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cedarmawan/Documents/1. PT Pilar Sinergi BUMN Indonesia /3. Progres Pengadaan Tanah/1. Daftar Detail Kebutuhan Tanah Per Kelurahan (Progres DNP)/5. 2021/8. Agustus /10 Agustus 2021/"/>
    </mc:Choice>
  </mc:AlternateContent>
  <xr:revisionPtr revIDLastSave="0" documentId="13_ncr:1_{48FBB36B-874D-ED4C-A10A-B46005E82ADD}" xr6:coauthVersionLast="47" xr6:coauthVersionMax="47" xr10:uidLastSave="{00000000-0000-0000-0000-000000000000}"/>
  <bookViews>
    <workbookView xWindow="0" yWindow="0" windowWidth="33600" windowHeight="21000" activeTab="8" xr2:uid="{00000000-000D-0000-FFFF-FFFF00000000}"/>
  </bookViews>
  <sheets>
    <sheet name="Jaticempaka" sheetId="19" r:id="rId1"/>
    <sheet name="Jatibening Baru" sheetId="39" r:id="rId2"/>
    <sheet name="Jatibening" sheetId="21" r:id="rId3"/>
    <sheet name="Jakamulya " sheetId="22" r:id="rId4"/>
    <sheet name="Jakasetia" sheetId="31" r:id="rId5"/>
    <sheet name="Pekayonjaya" sheetId="32" r:id="rId6"/>
    <sheet name="Margajaya" sheetId="33" r:id="rId7"/>
    <sheet name="Sepanjang Jaya" sheetId="34" r:id="rId8"/>
    <sheet name="Pengasinan" sheetId="35" r:id="rId9"/>
  </sheets>
  <definedNames>
    <definedName name="_xlnm.Print_Area" localSheetId="8">Pengasinan!$A$1:$AH$70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Q59" i="31" l="1"/>
  <c r="OP59" i="31"/>
  <c r="OO59" i="31"/>
  <c r="OI59" i="31"/>
  <c r="OS59" i="31"/>
  <c r="OH59" i="31"/>
  <c r="OK59" i="31"/>
  <c r="OG59" i="31"/>
  <c r="OL59" i="31"/>
  <c r="OF59" i="31"/>
  <c r="OR58" i="31"/>
  <c r="OU58" i="31"/>
  <c r="OQ58" i="31"/>
  <c r="OV58" i="31"/>
  <c r="OP58" i="31"/>
  <c r="OO58" i="31"/>
  <c r="OJ58" i="31"/>
  <c r="OI58" i="31"/>
  <c r="OS58" i="31"/>
  <c r="OH58" i="31"/>
  <c r="OK58" i="31"/>
  <c r="OG58" i="31"/>
  <c r="OL58" i="31"/>
  <c r="OF58" i="31"/>
  <c r="OT57" i="31"/>
  <c r="OS57" i="31"/>
  <c r="OR57" i="31"/>
  <c r="OU57" i="31"/>
  <c r="OQ57" i="31"/>
  <c r="OV57" i="31"/>
  <c r="OP57" i="31"/>
  <c r="OO57" i="31"/>
  <c r="OK57" i="31"/>
  <c r="OJ57" i="31"/>
  <c r="OM57" i="31"/>
  <c r="OI57" i="31"/>
  <c r="OH57" i="31"/>
  <c r="OG57" i="31"/>
  <c r="OL57" i="31"/>
  <c r="OF57" i="31"/>
  <c r="OU56" i="31"/>
  <c r="OT56" i="31"/>
  <c r="OW56" i="31"/>
  <c r="OS56" i="31"/>
  <c r="OR56" i="31"/>
  <c r="OQ56" i="31"/>
  <c r="OV56" i="31"/>
  <c r="OP56" i="31"/>
  <c r="OO56" i="31"/>
  <c r="OL56" i="31"/>
  <c r="OK56" i="31"/>
  <c r="OJ56" i="31"/>
  <c r="OM56" i="31"/>
  <c r="OI56" i="31"/>
  <c r="OH56" i="31"/>
  <c r="OG56" i="31"/>
  <c r="OF56" i="31"/>
  <c r="OV55" i="31"/>
  <c r="OU55" i="31"/>
  <c r="OT55" i="31"/>
  <c r="OW55" i="31"/>
  <c r="OS55" i="31"/>
  <c r="OR55" i="31"/>
  <c r="OQ55" i="31"/>
  <c r="OP55" i="31"/>
  <c r="OO55" i="31"/>
  <c r="OL55" i="31"/>
  <c r="OK55" i="31"/>
  <c r="OM55" i="31"/>
  <c r="OJ55" i="31"/>
  <c r="OI55" i="31"/>
  <c r="OH55" i="31"/>
  <c r="OG55" i="31"/>
  <c r="OF55" i="31"/>
  <c r="OS54" i="31"/>
  <c r="OP54" i="31"/>
  <c r="OO54" i="31"/>
  <c r="OL54" i="31"/>
  <c r="OK54" i="31"/>
  <c r="OI54" i="31"/>
  <c r="OH54" i="31"/>
  <c r="OR54" i="31"/>
  <c r="OU54" i="31"/>
  <c r="OG54" i="31"/>
  <c r="OQ54" i="31"/>
  <c r="OF54" i="31"/>
  <c r="OJ54" i="31"/>
  <c r="OM54" i="31"/>
  <c r="OP53" i="31"/>
  <c r="OO53" i="31"/>
  <c r="OK53" i="31"/>
  <c r="OI53" i="31"/>
  <c r="OS53" i="31"/>
  <c r="OH53" i="31"/>
  <c r="OR53" i="31"/>
  <c r="OU53" i="31"/>
  <c r="OG53" i="31"/>
  <c r="OL53" i="31"/>
  <c r="OF53" i="31"/>
  <c r="OP52" i="31"/>
  <c r="OO52" i="31"/>
  <c r="OI52" i="31"/>
  <c r="OS52" i="31"/>
  <c r="OH52" i="31"/>
  <c r="OK52" i="31"/>
  <c r="OG52" i="31"/>
  <c r="OL52" i="31"/>
  <c r="OF52" i="31"/>
  <c r="OP51" i="31"/>
  <c r="OO51" i="31"/>
  <c r="OI51" i="31"/>
  <c r="OS51" i="31"/>
  <c r="OH51" i="31"/>
  <c r="OR51" i="31"/>
  <c r="OU51" i="31"/>
  <c r="OG51" i="31"/>
  <c r="OL51" i="31"/>
  <c r="OF51" i="31"/>
  <c r="OQ50" i="31"/>
  <c r="OP50" i="31"/>
  <c r="OO50" i="31"/>
  <c r="OJ50" i="31"/>
  <c r="OI50" i="31"/>
  <c r="OS50" i="31"/>
  <c r="OH50" i="31"/>
  <c r="OK50" i="31"/>
  <c r="OG50" i="31"/>
  <c r="OL50" i="31"/>
  <c r="OF50" i="31"/>
  <c r="OR49" i="31"/>
  <c r="OU49" i="31"/>
  <c r="OP49" i="31"/>
  <c r="OO49" i="31"/>
  <c r="OK49" i="31"/>
  <c r="OJ49" i="31"/>
  <c r="OI49" i="31"/>
  <c r="OS49" i="31"/>
  <c r="OH49" i="31"/>
  <c r="OG49" i="31"/>
  <c r="OQ49" i="31"/>
  <c r="OF49" i="31"/>
  <c r="OT48" i="31"/>
  <c r="OS48" i="31"/>
  <c r="OQ48" i="31"/>
  <c r="OP48" i="31"/>
  <c r="OO48" i="31"/>
  <c r="OL48" i="31"/>
  <c r="OK48" i="31"/>
  <c r="OJ48" i="31"/>
  <c r="OM48" i="31"/>
  <c r="OI48" i="31"/>
  <c r="OH48" i="31"/>
  <c r="OR48" i="31"/>
  <c r="OU48" i="31"/>
  <c r="OG48" i="31"/>
  <c r="OF48" i="31"/>
  <c r="OU47" i="31"/>
  <c r="OR47" i="31"/>
  <c r="OP47" i="31"/>
  <c r="OO47" i="31"/>
  <c r="OL47" i="31"/>
  <c r="OK47" i="31"/>
  <c r="OM47" i="31"/>
  <c r="OJ47" i="31"/>
  <c r="OI47" i="31"/>
  <c r="OS47" i="31"/>
  <c r="OH47" i="31"/>
  <c r="OG47" i="31"/>
  <c r="OQ47" i="31"/>
  <c r="OF47" i="31"/>
  <c r="OS46" i="31"/>
  <c r="OP46" i="31"/>
  <c r="OO46" i="31"/>
  <c r="OL46" i="31"/>
  <c r="OK46" i="31"/>
  <c r="OI46" i="31"/>
  <c r="OH46" i="31"/>
  <c r="OR46" i="31"/>
  <c r="OU46" i="31"/>
  <c r="OG46" i="31"/>
  <c r="OQ46" i="31"/>
  <c r="OF46" i="31"/>
  <c r="OJ46" i="31"/>
  <c r="OM46" i="31"/>
  <c r="OP45" i="31"/>
  <c r="OO45" i="31"/>
  <c r="OK45" i="31"/>
  <c r="OI45" i="31"/>
  <c r="OS45" i="31"/>
  <c r="OH45" i="31"/>
  <c r="OR45" i="31"/>
  <c r="OU45" i="31"/>
  <c r="OG45" i="31"/>
  <c r="OL45" i="31"/>
  <c r="OF45" i="31"/>
  <c r="OP44" i="31"/>
  <c r="OO44" i="31"/>
  <c r="OI44" i="31"/>
  <c r="OS44" i="31"/>
  <c r="OH44" i="31"/>
  <c r="OK44" i="31"/>
  <c r="OG44" i="31"/>
  <c r="OL44" i="31"/>
  <c r="OF44" i="31"/>
  <c r="OP43" i="31"/>
  <c r="OO43" i="31"/>
  <c r="OI43" i="31"/>
  <c r="OS43" i="31"/>
  <c r="OH43" i="31"/>
  <c r="OR43" i="31"/>
  <c r="OU43" i="31"/>
  <c r="OG43" i="31"/>
  <c r="OL43" i="31"/>
  <c r="OF43" i="31"/>
  <c r="OQ42" i="31"/>
  <c r="OP42" i="31"/>
  <c r="OO42" i="31"/>
  <c r="OJ42" i="31"/>
  <c r="OI42" i="31"/>
  <c r="OS42" i="31"/>
  <c r="OH42" i="31"/>
  <c r="OK42" i="31"/>
  <c r="OG42" i="31"/>
  <c r="OL42" i="31"/>
  <c r="OF42" i="31"/>
  <c r="OR41" i="31"/>
  <c r="OU41" i="31"/>
  <c r="OP41" i="31"/>
  <c r="OO41" i="31"/>
  <c r="OK41" i="31"/>
  <c r="OJ41" i="31"/>
  <c r="OI41" i="31"/>
  <c r="OS41" i="31"/>
  <c r="OH41" i="31"/>
  <c r="OG41" i="31"/>
  <c r="OQ41" i="31"/>
  <c r="OF41" i="31"/>
  <c r="OT40" i="31"/>
  <c r="OS40" i="31"/>
  <c r="OQ40" i="31"/>
  <c r="OV40" i="31"/>
  <c r="OP40" i="31"/>
  <c r="OO40" i="31"/>
  <c r="OK40" i="31"/>
  <c r="OJ40" i="31"/>
  <c r="OI40" i="31"/>
  <c r="OH40" i="31"/>
  <c r="OR40" i="31"/>
  <c r="OU40" i="31"/>
  <c r="OG40" i="31"/>
  <c r="OF40" i="31"/>
  <c r="OU39" i="31"/>
  <c r="OT39" i="31"/>
  <c r="OR39" i="31"/>
  <c r="OV39" i="31"/>
  <c r="OQ39" i="31"/>
  <c r="OP39" i="31"/>
  <c r="OO39" i="31"/>
  <c r="OL39" i="31"/>
  <c r="OK39" i="31"/>
  <c r="OM39" i="31"/>
  <c r="OJ39" i="31"/>
  <c r="OI39" i="31"/>
  <c r="OS39" i="31"/>
  <c r="OH39" i="31"/>
  <c r="OG39" i="31"/>
  <c r="OF39" i="31"/>
  <c r="OU38" i="31"/>
  <c r="OS38" i="31"/>
  <c r="OR38" i="31"/>
  <c r="OP38" i="31"/>
  <c r="OO38" i="31"/>
  <c r="OL38" i="31"/>
  <c r="OM38" i="31"/>
  <c r="OK38" i="31"/>
  <c r="OJ38" i="31"/>
  <c r="OI38" i="31"/>
  <c r="OH38" i="31"/>
  <c r="OG38" i="31"/>
  <c r="OQ38" i="31"/>
  <c r="OF38" i="31"/>
  <c r="OS37" i="31"/>
  <c r="OP37" i="31"/>
  <c r="OO37" i="31"/>
  <c r="OK37" i="31"/>
  <c r="OI37" i="31"/>
  <c r="OH37" i="31"/>
  <c r="OR37" i="31"/>
  <c r="OU37" i="31"/>
  <c r="OG37" i="31"/>
  <c r="OL37" i="31"/>
  <c r="OF37" i="31"/>
  <c r="OP36" i="31"/>
  <c r="OO36" i="31"/>
  <c r="OI36" i="31"/>
  <c r="OS36" i="31"/>
  <c r="OH36" i="31"/>
  <c r="OK36" i="31"/>
  <c r="OG36" i="31"/>
  <c r="OL36" i="31"/>
  <c r="OF36" i="31"/>
  <c r="OP35" i="31"/>
  <c r="OO35" i="31"/>
  <c r="OI35" i="31"/>
  <c r="OS35" i="31"/>
  <c r="OH35" i="31"/>
  <c r="OR35" i="31"/>
  <c r="OU35" i="31"/>
  <c r="OG35" i="31"/>
  <c r="OQ35" i="31"/>
  <c r="OF35" i="31"/>
  <c r="OQ34" i="31"/>
  <c r="OP34" i="31"/>
  <c r="OO34" i="31"/>
  <c r="OI34" i="31"/>
  <c r="OS34" i="31"/>
  <c r="OH34" i="31"/>
  <c r="OR34" i="31"/>
  <c r="OU34" i="31"/>
  <c r="OG34" i="31"/>
  <c r="OL34" i="31"/>
  <c r="OF34" i="31"/>
  <c r="OR33" i="31"/>
  <c r="OU33" i="31"/>
  <c r="OP33" i="31"/>
  <c r="OO33" i="31"/>
  <c r="OJ33" i="31"/>
  <c r="OI33" i="31"/>
  <c r="OS33" i="31"/>
  <c r="OH33" i="31"/>
  <c r="OK33" i="31"/>
  <c r="OG33" i="31"/>
  <c r="OQ33" i="31"/>
  <c r="OF33" i="31"/>
  <c r="NZ60" i="39"/>
  <c r="OA60" i="39"/>
  <c r="OA13" i="39"/>
  <c r="OV33" i="31"/>
  <c r="OT33" i="31"/>
  <c r="OW39" i="31"/>
  <c r="OM41" i="31"/>
  <c r="OV50" i="31"/>
  <c r="OT49" i="31"/>
  <c r="OV49" i="31"/>
  <c r="OM58" i="31"/>
  <c r="OM42" i="31"/>
  <c r="OT38" i="31"/>
  <c r="OV38" i="31"/>
  <c r="OT46" i="31"/>
  <c r="OV46" i="31"/>
  <c r="OV47" i="31"/>
  <c r="OT47" i="31"/>
  <c r="OV34" i="31"/>
  <c r="OW40" i="31"/>
  <c r="OV35" i="31"/>
  <c r="OT35" i="31"/>
  <c r="OW35" i="31"/>
  <c r="OM40" i="31"/>
  <c r="OT41" i="31"/>
  <c r="OW41" i="31"/>
  <c r="OV41" i="31"/>
  <c r="OV48" i="31"/>
  <c r="OW48" i="31"/>
  <c r="OM50" i="31"/>
  <c r="OT54" i="31"/>
  <c r="OW54" i="31"/>
  <c r="OV54" i="31"/>
  <c r="OW57" i="31"/>
  <c r="OV59" i="31"/>
  <c r="OR42" i="31"/>
  <c r="OU42" i="31"/>
  <c r="OR50" i="31"/>
  <c r="OU50" i="31"/>
  <c r="OQ51" i="31"/>
  <c r="OQ43" i="31"/>
  <c r="OJ34" i="31"/>
  <c r="OR59" i="31"/>
  <c r="OU59" i="31"/>
  <c r="OL33" i="31"/>
  <c r="OM33" i="31"/>
  <c r="OT34" i="31"/>
  <c r="OW34" i="31"/>
  <c r="OR36" i="31"/>
  <c r="OU36" i="31"/>
  <c r="OQ37" i="31"/>
  <c r="OL41" i="31"/>
  <c r="OT42" i="31"/>
  <c r="OR44" i="31"/>
  <c r="OU44" i="31"/>
  <c r="OQ45" i="31"/>
  <c r="OL49" i="31"/>
  <c r="OM49" i="31"/>
  <c r="OQ53" i="31"/>
  <c r="OT58" i="31"/>
  <c r="OW58" i="31"/>
  <c r="OJ59" i="31"/>
  <c r="OM59" i="31"/>
  <c r="OK35" i="31"/>
  <c r="OJ36" i="31"/>
  <c r="OM36" i="31"/>
  <c r="OK43" i="31"/>
  <c r="OJ44" i="31"/>
  <c r="OM44" i="31"/>
  <c r="OK51" i="31"/>
  <c r="OJ52" i="31"/>
  <c r="OM52" i="31"/>
  <c r="OT59" i="31"/>
  <c r="OQ36" i="31"/>
  <c r="OL40" i="31"/>
  <c r="OQ44" i="31"/>
  <c r="OQ52" i="31"/>
  <c r="OK34" i="31"/>
  <c r="OJ35" i="31"/>
  <c r="OM35" i="31"/>
  <c r="OJ43" i="31"/>
  <c r="OM43" i="31"/>
  <c r="OT50" i="31"/>
  <c r="OW50" i="31"/>
  <c r="OJ51" i="31"/>
  <c r="OR52" i="31"/>
  <c r="OU52" i="31"/>
  <c r="OL35" i="31"/>
  <c r="OJ37" i="31"/>
  <c r="OM37" i="31"/>
  <c r="OJ45" i="31"/>
  <c r="OM45" i="31"/>
  <c r="OJ53" i="31"/>
  <c r="OM53" i="31"/>
  <c r="XFD126" i="19"/>
  <c r="XFC126" i="19"/>
  <c r="OW49" i="31"/>
  <c r="OT45" i="31"/>
  <c r="OV45" i="31"/>
  <c r="OW46" i="31"/>
  <c r="OV44" i="31"/>
  <c r="OT44" i="31"/>
  <c r="OW44" i="31"/>
  <c r="OW38" i="31"/>
  <c r="OT53" i="31"/>
  <c r="OW53" i="31"/>
  <c r="OV53" i="31"/>
  <c r="OM34" i="31"/>
  <c r="OV52" i="31"/>
  <c r="OT52" i="31"/>
  <c r="OW52" i="31"/>
  <c r="OV43" i="31"/>
  <c r="OT43" i="31"/>
  <c r="OW43" i="31"/>
  <c r="OV42" i="31"/>
  <c r="OW42" i="31"/>
  <c r="OV51" i="31"/>
  <c r="OT51" i="31"/>
  <c r="OM51" i="31"/>
  <c r="OV36" i="31"/>
  <c r="OT36" i="31"/>
  <c r="OW36" i="31"/>
  <c r="OT37" i="31"/>
  <c r="OV37" i="31"/>
  <c r="OW33" i="31"/>
  <c r="OW59" i="31"/>
  <c r="OW47" i="31"/>
  <c r="NZ125" i="19"/>
  <c r="NZ124" i="19"/>
  <c r="Z125" i="19"/>
  <c r="Z124" i="19"/>
  <c r="PE126" i="19"/>
  <c r="PC126" i="19"/>
  <c r="PB126" i="19"/>
  <c r="PA126" i="19"/>
  <c r="NK126" i="19"/>
  <c r="NJ126" i="19"/>
  <c r="NI126" i="19"/>
  <c r="NH126" i="19"/>
  <c r="NG126" i="19"/>
  <c r="NF126" i="19"/>
  <c r="NE126" i="19"/>
  <c r="ND126" i="19"/>
  <c r="NC126" i="19"/>
  <c r="NB126" i="19"/>
  <c r="NA126" i="19"/>
  <c r="MZ126" i="19"/>
  <c r="MY126" i="19"/>
  <c r="MX126" i="19"/>
  <c r="MW126" i="19"/>
  <c r="MV126" i="19"/>
  <c r="MU126" i="19"/>
  <c r="MT126" i="19"/>
  <c r="MS126" i="19"/>
  <c r="MR126" i="19"/>
  <c r="MQ126" i="19"/>
  <c r="MP126" i="19"/>
  <c r="MO126" i="19"/>
  <c r="MN126" i="19"/>
  <c r="MM126" i="19"/>
  <c r="ML126" i="19"/>
  <c r="MK126" i="19"/>
  <c r="MJ126" i="19"/>
  <c r="MI126" i="19"/>
  <c r="MH126" i="19"/>
  <c r="MG126" i="19"/>
  <c r="MF126" i="19"/>
  <c r="ME126" i="19"/>
  <c r="MD126" i="19"/>
  <c r="MC126" i="19"/>
  <c r="MB126" i="19"/>
  <c r="MA126" i="19"/>
  <c r="LZ126" i="19"/>
  <c r="LY126" i="19"/>
  <c r="LX126" i="19"/>
  <c r="LW126" i="19"/>
  <c r="LV126" i="19"/>
  <c r="LU126" i="19"/>
  <c r="LT126" i="19"/>
  <c r="LS126" i="19"/>
  <c r="LR126" i="19"/>
  <c r="LQ126" i="19"/>
  <c r="LP126" i="19"/>
  <c r="LO126" i="19"/>
  <c r="LN126" i="19"/>
  <c r="LM126" i="19"/>
  <c r="LL126" i="19"/>
  <c r="LK126" i="19"/>
  <c r="LJ126" i="19"/>
  <c r="LI126" i="19"/>
  <c r="LH126" i="19"/>
  <c r="LG126" i="19"/>
  <c r="LF126" i="19"/>
  <c r="LE126" i="19"/>
  <c r="LD126" i="19"/>
  <c r="LC126" i="19"/>
  <c r="LB126" i="19"/>
  <c r="LA126" i="19"/>
  <c r="KZ126" i="19"/>
  <c r="KY126" i="19"/>
  <c r="KX126" i="19"/>
  <c r="KW126" i="19"/>
  <c r="KV126" i="19"/>
  <c r="KU126" i="19"/>
  <c r="GH126" i="19"/>
  <c r="GG126" i="19"/>
  <c r="FV126" i="19"/>
  <c r="FU126" i="19"/>
  <c r="FT126" i="19"/>
  <c r="FS126" i="19"/>
  <c r="FR126" i="19"/>
  <c r="FQ126" i="19"/>
  <c r="FP126" i="19"/>
  <c r="FO126" i="19"/>
  <c r="FN126" i="19"/>
  <c r="FM126" i="19"/>
  <c r="FL126" i="19"/>
  <c r="FK126" i="19"/>
  <c r="FJ126" i="19"/>
  <c r="FI126" i="19"/>
  <c r="FH126" i="19"/>
  <c r="FF126" i="19"/>
  <c r="FE126" i="19"/>
  <c r="FD126" i="19"/>
  <c r="FC126" i="19"/>
  <c r="FB126" i="19"/>
  <c r="FA126" i="19"/>
  <c r="EZ126" i="19"/>
  <c r="EY126" i="19"/>
  <c r="EX126" i="19"/>
  <c r="EW126" i="19"/>
  <c r="EV126" i="19"/>
  <c r="EU126" i="19"/>
  <c r="ET126" i="19"/>
  <c r="ES126" i="19"/>
  <c r="ER126" i="19"/>
  <c r="EQ126" i="19"/>
  <c r="EP126" i="19"/>
  <c r="EO126" i="19"/>
  <c r="EN126" i="19"/>
  <c r="EM126" i="19"/>
  <c r="EL126" i="19"/>
  <c r="EK126" i="19"/>
  <c r="EJ126" i="19"/>
  <c r="EI126" i="19"/>
  <c r="CB126" i="19"/>
  <c r="BZ126" i="19"/>
  <c r="BY126" i="19"/>
  <c r="BX126" i="19"/>
  <c r="BW126" i="19"/>
  <c r="BV126" i="19"/>
  <c r="BU126" i="19"/>
  <c r="BT126" i="19"/>
  <c r="BS126" i="19"/>
  <c r="BR126" i="19"/>
  <c r="BQ126" i="19"/>
  <c r="BP126" i="19"/>
  <c r="BO126" i="19"/>
  <c r="BN126" i="19"/>
  <c r="AN126" i="19"/>
  <c r="AM126" i="19"/>
  <c r="AL126" i="19"/>
  <c r="AK126" i="19"/>
  <c r="AI126" i="19"/>
  <c r="AH126" i="19"/>
  <c r="AG126" i="19"/>
  <c r="AA126" i="19"/>
  <c r="V126" i="19"/>
  <c r="R126" i="19"/>
  <c r="N126" i="19"/>
  <c r="J126" i="19"/>
  <c r="F126" i="19"/>
  <c r="E126" i="19"/>
  <c r="D126" i="19"/>
  <c r="PP125" i="19"/>
  <c r="PO125" i="19"/>
  <c r="PQ125" i="19"/>
  <c r="PK125" i="19"/>
  <c r="PI125" i="19"/>
  <c r="PH125" i="19"/>
  <c r="PG125" i="19"/>
  <c r="PD125" i="19"/>
  <c r="PJ125" i="19"/>
  <c r="OZ125" i="19"/>
  <c r="OI125" i="19"/>
  <c r="OS125" i="19"/>
  <c r="OG125" i="19"/>
  <c r="OQ125" i="19"/>
  <c r="OF125" i="19"/>
  <c r="OE125" i="19"/>
  <c r="NY125" i="19"/>
  <c r="NS125" i="19"/>
  <c r="NT125" i="19"/>
  <c r="NU125" i="19"/>
  <c r="NR125" i="19"/>
  <c r="NQ125" i="19"/>
  <c r="NP125" i="19"/>
  <c r="NO125" i="19"/>
  <c r="NN125" i="19"/>
  <c r="NM125" i="19"/>
  <c r="KT125" i="19"/>
  <c r="KB125" i="19"/>
  <c r="KA125" i="19"/>
  <c r="JZ125" i="19"/>
  <c r="JY125" i="19"/>
  <c r="JX125" i="19"/>
  <c r="JW125" i="19"/>
  <c r="JV125" i="19"/>
  <c r="JU125" i="19"/>
  <c r="JT125" i="19"/>
  <c r="JS125" i="19"/>
  <c r="JR125" i="19"/>
  <c r="JQ125" i="19"/>
  <c r="JP125" i="19"/>
  <c r="JB125" i="19"/>
  <c r="IY125" i="19"/>
  <c r="IX125" i="19"/>
  <c r="IT125" i="19"/>
  <c r="HF125" i="19"/>
  <c r="HD125" i="19"/>
  <c r="GU125" i="19"/>
  <c r="GS125" i="19"/>
  <c r="GR125" i="19"/>
  <c r="GQ125" i="19"/>
  <c r="GP125" i="19"/>
  <c r="EH125" i="19"/>
  <c r="EG125" i="19"/>
  <c r="EA125" i="19"/>
  <c r="DZ125" i="19"/>
  <c r="DY125" i="19"/>
  <c r="DX125" i="19"/>
  <c r="DW125" i="19"/>
  <c r="DV125" i="19"/>
  <c r="CP125" i="19"/>
  <c r="KR125" i="19"/>
  <c r="CO125" i="19"/>
  <c r="KQ125" i="19"/>
  <c r="CN125" i="19"/>
  <c r="KP125" i="19"/>
  <c r="CM125" i="19"/>
  <c r="KO125" i="19"/>
  <c r="CL125" i="19"/>
  <c r="KN125" i="19"/>
  <c r="CK125" i="19"/>
  <c r="GD125" i="19"/>
  <c r="CJ125" i="19"/>
  <c r="KL125" i="19"/>
  <c r="CI125" i="19"/>
  <c r="GC125" i="19"/>
  <c r="CH125" i="19"/>
  <c r="KJ125" i="19"/>
  <c r="CG125" i="19"/>
  <c r="KI125" i="19"/>
  <c r="CF125" i="19"/>
  <c r="KH125" i="19"/>
  <c r="CE125" i="19"/>
  <c r="KG125" i="19"/>
  <c r="CD125" i="19"/>
  <c r="KF125" i="19"/>
  <c r="BJ125" i="19"/>
  <c r="BI125" i="19"/>
  <c r="BH125" i="19"/>
  <c r="BG125" i="19"/>
  <c r="IP125" i="19"/>
  <c r="BF125" i="19"/>
  <c r="BB125" i="19"/>
  <c r="JC125" i="19"/>
  <c r="AW125" i="19"/>
  <c r="AX125" i="19"/>
  <c r="AU125" i="19"/>
  <c r="AS125" i="19"/>
  <c r="AT125" i="19"/>
  <c r="AR125" i="19"/>
  <c r="AQ125" i="19"/>
  <c r="AO125" i="19"/>
  <c r="AP125" i="19"/>
  <c r="AF125" i="19"/>
  <c r="BE125" i="19"/>
  <c r="AD125" i="19"/>
  <c r="AC125" i="19"/>
  <c r="X125" i="19"/>
  <c r="W125" i="19"/>
  <c r="Y125" i="19"/>
  <c r="U125" i="19"/>
  <c r="T125" i="19"/>
  <c r="S125" i="19"/>
  <c r="P125" i="19"/>
  <c r="O125" i="19"/>
  <c r="OP125" i="19"/>
  <c r="L125" i="19"/>
  <c r="K125" i="19"/>
  <c r="M125" i="19"/>
  <c r="H125" i="19"/>
  <c r="G125" i="19"/>
  <c r="PP124" i="19"/>
  <c r="PO124" i="19"/>
  <c r="PQ124" i="19"/>
  <c r="PK124" i="19"/>
  <c r="PI124" i="19"/>
  <c r="PH124" i="19"/>
  <c r="PG124" i="19"/>
  <c r="PD124" i="19"/>
  <c r="PJ124" i="19"/>
  <c r="OZ124" i="19"/>
  <c r="OI124" i="19"/>
  <c r="OS124" i="19"/>
  <c r="OG124" i="19"/>
  <c r="OQ124" i="19"/>
  <c r="OF124" i="19"/>
  <c r="OE124" i="19"/>
  <c r="NY124" i="19"/>
  <c r="NS124" i="19"/>
  <c r="NR124" i="19"/>
  <c r="NQ124" i="19"/>
  <c r="NP124" i="19"/>
  <c r="NO124" i="19"/>
  <c r="NN124" i="19"/>
  <c r="NM124" i="19"/>
  <c r="KT124" i="19"/>
  <c r="KO124" i="19"/>
  <c r="KB124" i="19"/>
  <c r="KA124" i="19"/>
  <c r="JZ124" i="19"/>
  <c r="JY124" i="19"/>
  <c r="JX124" i="19"/>
  <c r="JW124" i="19"/>
  <c r="JV124" i="19"/>
  <c r="JU124" i="19"/>
  <c r="JT124" i="19"/>
  <c r="JS124" i="19"/>
  <c r="JR124" i="19"/>
  <c r="JQ124" i="19"/>
  <c r="JP124" i="19"/>
  <c r="JB124" i="19"/>
  <c r="IY124" i="19"/>
  <c r="IX124" i="19"/>
  <c r="IT124" i="19"/>
  <c r="HF124" i="19"/>
  <c r="HD124" i="19"/>
  <c r="GU124" i="19"/>
  <c r="GS124" i="19"/>
  <c r="GR124" i="19"/>
  <c r="GQ124" i="19"/>
  <c r="GP124" i="19"/>
  <c r="EH124" i="19"/>
  <c r="EG124" i="19"/>
  <c r="EA124" i="19"/>
  <c r="DZ124" i="19"/>
  <c r="DY124" i="19"/>
  <c r="DX124" i="19"/>
  <c r="DW124" i="19"/>
  <c r="DV124" i="19"/>
  <c r="CP124" i="19"/>
  <c r="KR124" i="19"/>
  <c r="CO124" i="19"/>
  <c r="KQ124" i="19"/>
  <c r="CN124" i="19"/>
  <c r="KP124" i="19"/>
  <c r="CM124" i="19"/>
  <c r="CL124" i="19"/>
  <c r="KN124" i="19"/>
  <c r="CK124" i="19"/>
  <c r="GD124" i="19"/>
  <c r="CJ124" i="19"/>
  <c r="KL124" i="19"/>
  <c r="CI124" i="19"/>
  <c r="KK124" i="19"/>
  <c r="CH124" i="19"/>
  <c r="KJ124" i="19"/>
  <c r="CG124" i="19"/>
  <c r="KI124" i="19"/>
  <c r="CF124" i="19"/>
  <c r="KH124" i="19"/>
  <c r="CE124" i="19"/>
  <c r="KG124" i="19"/>
  <c r="CD124" i="19"/>
  <c r="KF124" i="19"/>
  <c r="BJ124" i="19"/>
  <c r="BI124" i="19"/>
  <c r="BH124" i="19"/>
  <c r="BG124" i="19"/>
  <c r="IP124" i="19"/>
  <c r="BF124" i="19"/>
  <c r="BB124" i="19"/>
  <c r="JC124" i="19"/>
  <c r="AW124" i="19"/>
  <c r="BA124" i="19"/>
  <c r="AU124" i="19"/>
  <c r="AS124" i="19"/>
  <c r="AT124" i="19"/>
  <c r="AQ124" i="19"/>
  <c r="AR124" i="19"/>
  <c r="AO124" i="19"/>
  <c r="AP124" i="19"/>
  <c r="AF124" i="19"/>
  <c r="BE124" i="19"/>
  <c r="AD124" i="19"/>
  <c r="AC124" i="19"/>
  <c r="X124" i="19"/>
  <c r="W124" i="19"/>
  <c r="Y124" i="19"/>
  <c r="T124" i="19"/>
  <c r="S124" i="19"/>
  <c r="P124" i="19"/>
  <c r="O124" i="19"/>
  <c r="OP124" i="19"/>
  <c r="L124" i="19"/>
  <c r="K124" i="19"/>
  <c r="M124" i="19"/>
  <c r="H124" i="19"/>
  <c r="G124" i="19"/>
  <c r="NZ35" i="32"/>
  <c r="Z35" i="32"/>
  <c r="PP35" i="32"/>
  <c r="PO35" i="32"/>
  <c r="PK35" i="32"/>
  <c r="PJ35" i="32"/>
  <c r="PI35" i="32"/>
  <c r="PH35" i="32"/>
  <c r="PG35" i="32"/>
  <c r="PF35" i="32"/>
  <c r="PL35" i="32"/>
  <c r="PD35" i="32"/>
  <c r="OI35" i="32"/>
  <c r="OS35" i="32"/>
  <c r="OG35" i="32"/>
  <c r="OQ35" i="32"/>
  <c r="OF35" i="32"/>
  <c r="OE35" i="32"/>
  <c r="NY35" i="32"/>
  <c r="NS35" i="32"/>
  <c r="NR35" i="32"/>
  <c r="NQ35" i="32"/>
  <c r="NP35" i="32"/>
  <c r="NO35" i="32"/>
  <c r="NN35" i="32"/>
  <c r="NM35" i="32"/>
  <c r="KT35" i="32"/>
  <c r="KQ35" i="32"/>
  <c r="KI35" i="32"/>
  <c r="KB35" i="32"/>
  <c r="KA35" i="32"/>
  <c r="JZ35" i="32"/>
  <c r="JY35" i="32"/>
  <c r="JX35" i="32"/>
  <c r="JW35" i="32"/>
  <c r="JV35" i="32"/>
  <c r="JU35" i="32"/>
  <c r="JT35" i="32"/>
  <c r="JS35" i="32"/>
  <c r="JR35" i="32"/>
  <c r="JQ35" i="32"/>
  <c r="JP35" i="32"/>
  <c r="JB35" i="32"/>
  <c r="IX35" i="32"/>
  <c r="IT35" i="32"/>
  <c r="HF35" i="32"/>
  <c r="HD35" i="32"/>
  <c r="GU35" i="32"/>
  <c r="GT35" i="32"/>
  <c r="GS35" i="32"/>
  <c r="GR35" i="32"/>
  <c r="GQ35" i="32"/>
  <c r="GP35" i="32"/>
  <c r="GO35" i="32"/>
  <c r="GB35" i="32"/>
  <c r="GA35" i="32"/>
  <c r="EH35" i="32"/>
  <c r="EG35" i="32"/>
  <c r="EA35" i="32"/>
  <c r="DZ35" i="32"/>
  <c r="DY35" i="32"/>
  <c r="DX35" i="32"/>
  <c r="DW35" i="32"/>
  <c r="DV35" i="32"/>
  <c r="CP35" i="32"/>
  <c r="KR35" i="32"/>
  <c r="CO35" i="32"/>
  <c r="CN35" i="32"/>
  <c r="KP35" i="32"/>
  <c r="CM35" i="32"/>
  <c r="KO35" i="32"/>
  <c r="CL35" i="32"/>
  <c r="KN35" i="32"/>
  <c r="CK35" i="32"/>
  <c r="GD35" i="32"/>
  <c r="CJ35" i="32"/>
  <c r="KL35" i="32"/>
  <c r="CI35" i="32"/>
  <c r="GC35" i="32"/>
  <c r="CH35" i="32"/>
  <c r="KJ35" i="32"/>
  <c r="CG35" i="32"/>
  <c r="CF35" i="32"/>
  <c r="KH35" i="32"/>
  <c r="CE35" i="32"/>
  <c r="KG35" i="32"/>
  <c r="CD35" i="32"/>
  <c r="KF35" i="32"/>
  <c r="BJ35" i="32"/>
  <c r="BI35" i="32"/>
  <c r="BH35" i="32"/>
  <c r="HC35" i="32"/>
  <c r="HE35" i="32"/>
  <c r="BG35" i="32"/>
  <c r="IP35" i="32"/>
  <c r="IQ35" i="32"/>
  <c r="BF35" i="32"/>
  <c r="BC35" i="32"/>
  <c r="BB35" i="32"/>
  <c r="JC35" i="32"/>
  <c r="AW35" i="32"/>
  <c r="AX35" i="32"/>
  <c r="AU35" i="32"/>
  <c r="AV35" i="32"/>
  <c r="AS35" i="32"/>
  <c r="AT35" i="32"/>
  <c r="AQ35" i="32"/>
  <c r="AR35" i="32"/>
  <c r="AP35" i="32"/>
  <c r="AJ35" i="32"/>
  <c r="AF35" i="32"/>
  <c r="BE35" i="32"/>
  <c r="AC35" i="32"/>
  <c r="AB35" i="32"/>
  <c r="PQ35" i="32"/>
  <c r="X35" i="32"/>
  <c r="W35" i="32"/>
  <c r="IU35" i="32"/>
  <c r="T35" i="32"/>
  <c r="S35" i="32"/>
  <c r="U35" i="32"/>
  <c r="P35" i="32"/>
  <c r="O35" i="32"/>
  <c r="OP35" i="32"/>
  <c r="L35" i="32"/>
  <c r="K35" i="32"/>
  <c r="M35" i="32"/>
  <c r="H35" i="32"/>
  <c r="G35" i="32"/>
  <c r="I35" i="32"/>
  <c r="Q125" i="19"/>
  <c r="GT125" i="19"/>
  <c r="GV125" i="19"/>
  <c r="GX125" i="19"/>
  <c r="GY125" i="19"/>
  <c r="OW37" i="31"/>
  <c r="OW51" i="31"/>
  <c r="OW45" i="31"/>
  <c r="KK125" i="19"/>
  <c r="FZ124" i="19"/>
  <c r="JO35" i="32"/>
  <c r="BA125" i="19"/>
  <c r="NT124" i="19"/>
  <c r="NU124" i="19"/>
  <c r="PF124" i="19"/>
  <c r="PL124" i="19"/>
  <c r="AY35" i="32"/>
  <c r="OJ35" i="32"/>
  <c r="AY124" i="19"/>
  <c r="HC124" i="19"/>
  <c r="HE124" i="19"/>
  <c r="OH124" i="19"/>
  <c r="PF125" i="19"/>
  <c r="PL125" i="19"/>
  <c r="JO124" i="19"/>
  <c r="NT35" i="32"/>
  <c r="NU35" i="32"/>
  <c r="GC124" i="19"/>
  <c r="JO125" i="19"/>
  <c r="AX124" i="19"/>
  <c r="OJ124" i="19"/>
  <c r="AY125" i="19"/>
  <c r="HC125" i="19"/>
  <c r="HE125" i="19"/>
  <c r="OH125" i="19"/>
  <c r="GB125" i="19"/>
  <c r="BA35" i="32"/>
  <c r="GV35" i="32"/>
  <c r="AV125" i="19"/>
  <c r="AZ125" i="19"/>
  <c r="GE125" i="19"/>
  <c r="OJ125" i="19"/>
  <c r="EB125" i="19"/>
  <c r="BK125" i="19"/>
  <c r="BD125" i="19"/>
  <c r="IU125" i="19"/>
  <c r="Q124" i="19"/>
  <c r="BK124" i="19"/>
  <c r="EB124" i="19"/>
  <c r="IU124" i="19"/>
  <c r="OT124" i="19"/>
  <c r="IQ124" i="19"/>
  <c r="IO124" i="19"/>
  <c r="IQ125" i="19"/>
  <c r="IO125" i="19"/>
  <c r="OT125" i="19"/>
  <c r="BD124" i="19"/>
  <c r="KM124" i="19"/>
  <c r="AV124" i="19"/>
  <c r="GA124" i="19"/>
  <c r="FZ125" i="19"/>
  <c r="KM125" i="19"/>
  <c r="U124" i="19"/>
  <c r="GB124" i="19"/>
  <c r="GA125" i="19"/>
  <c r="OO124" i="19"/>
  <c r="OO125" i="19"/>
  <c r="GT124" i="19"/>
  <c r="GV124" i="19"/>
  <c r="GE124" i="19"/>
  <c r="KD124" i="19"/>
  <c r="BK35" i="32"/>
  <c r="Y35" i="32"/>
  <c r="EB35" i="32"/>
  <c r="AZ35" i="32"/>
  <c r="HG35" i="32"/>
  <c r="OH35" i="32"/>
  <c r="KD35" i="32"/>
  <c r="KE35" i="32"/>
  <c r="GX35" i="32"/>
  <c r="GY35" i="32"/>
  <c r="IC35" i="32"/>
  <c r="GW35" i="32"/>
  <c r="II35" i="32"/>
  <c r="KK35" i="32"/>
  <c r="FZ35" i="32"/>
  <c r="OT35" i="32"/>
  <c r="KM35" i="32"/>
  <c r="IY35" i="32"/>
  <c r="AD35" i="32"/>
  <c r="OO35" i="32"/>
  <c r="GE35" i="32"/>
  <c r="Q35" i="32"/>
  <c r="IO35" i="32"/>
  <c r="O52" i="34"/>
  <c r="K52" i="34"/>
  <c r="OE32" i="32"/>
  <c r="K112" i="19"/>
  <c r="K113" i="19"/>
  <c r="IC125" i="19"/>
  <c r="HG125" i="19"/>
  <c r="II125" i="19"/>
  <c r="IJ125" i="19"/>
  <c r="GW125" i="19"/>
  <c r="GZ125" i="19"/>
  <c r="KD125" i="19"/>
  <c r="KE125" i="19"/>
  <c r="OL124" i="19"/>
  <c r="FY125" i="19"/>
  <c r="GK125" i="19"/>
  <c r="FY35" i="32"/>
  <c r="HG124" i="19"/>
  <c r="HH124" i="19"/>
  <c r="AZ124" i="19"/>
  <c r="II124" i="19"/>
  <c r="IC124" i="19"/>
  <c r="GX124" i="19"/>
  <c r="GY124" i="19"/>
  <c r="GW124" i="19"/>
  <c r="IH125" i="19"/>
  <c r="IL125" i="19"/>
  <c r="OR125" i="19"/>
  <c r="OK125" i="19"/>
  <c r="IF125" i="19"/>
  <c r="ID125" i="19"/>
  <c r="IB125" i="19"/>
  <c r="OR124" i="19"/>
  <c r="OK124" i="19"/>
  <c r="OL125" i="19"/>
  <c r="KE124" i="19"/>
  <c r="FY124" i="19"/>
  <c r="HH125" i="19"/>
  <c r="HT125" i="19"/>
  <c r="IF35" i="32"/>
  <c r="ID35" i="32"/>
  <c r="IB35" i="32"/>
  <c r="GJ35" i="32"/>
  <c r="GK35" i="32"/>
  <c r="OR35" i="32"/>
  <c r="OL35" i="32"/>
  <c r="OK35" i="32"/>
  <c r="HH35" i="32"/>
  <c r="HT35" i="32"/>
  <c r="IH35" i="32"/>
  <c r="IL35" i="32"/>
  <c r="IJ35" i="32"/>
  <c r="GZ35" i="32"/>
  <c r="HI35" i="32"/>
  <c r="G59" i="31"/>
  <c r="HT124" i="19"/>
  <c r="HI125" i="19"/>
  <c r="GJ125" i="19"/>
  <c r="OM124" i="19"/>
  <c r="HS124" i="19"/>
  <c r="HU124" i="19"/>
  <c r="HQ124" i="19"/>
  <c r="HW124" i="19"/>
  <c r="IM125" i="19"/>
  <c r="IK125" i="19"/>
  <c r="IG125" i="19"/>
  <c r="IE125" i="19"/>
  <c r="OM125" i="19"/>
  <c r="GZ124" i="19"/>
  <c r="HI124" i="19"/>
  <c r="GJ124" i="19"/>
  <c r="GK124" i="19"/>
  <c r="OU124" i="19"/>
  <c r="OV124" i="19"/>
  <c r="OU125" i="19"/>
  <c r="OV125" i="19"/>
  <c r="HS125" i="19"/>
  <c r="HW125" i="19"/>
  <c r="HU125" i="19"/>
  <c r="HQ125" i="19"/>
  <c r="IF124" i="19"/>
  <c r="ID124" i="19"/>
  <c r="IB124" i="19"/>
  <c r="HK125" i="19"/>
  <c r="IH124" i="19"/>
  <c r="IJ124" i="19"/>
  <c r="IL124" i="19"/>
  <c r="HK35" i="32"/>
  <c r="OU35" i="32"/>
  <c r="OV35" i="32"/>
  <c r="IM35" i="32"/>
  <c r="IK35" i="32"/>
  <c r="HQ35" i="32"/>
  <c r="HU35" i="32"/>
  <c r="HS35" i="32"/>
  <c r="HW35" i="32"/>
  <c r="IG35" i="32"/>
  <c r="IE35" i="32"/>
  <c r="OM35" i="32"/>
  <c r="G105" i="39"/>
  <c r="G104" i="39"/>
  <c r="PP105" i="39"/>
  <c r="PO105" i="39"/>
  <c r="PK105" i="39"/>
  <c r="PJ105" i="39"/>
  <c r="PI105" i="39"/>
  <c r="PH105" i="39"/>
  <c r="PD105" i="39"/>
  <c r="PF105" i="39"/>
  <c r="PL105" i="39"/>
  <c r="OI105" i="39"/>
  <c r="OS105" i="39"/>
  <c r="OG105" i="39"/>
  <c r="OQ105" i="39"/>
  <c r="OF105" i="39"/>
  <c r="OE105" i="39"/>
  <c r="NY105" i="39"/>
  <c r="NS105" i="39"/>
  <c r="NR105" i="39"/>
  <c r="NQ105" i="39"/>
  <c r="NP105" i="39"/>
  <c r="NO105" i="39"/>
  <c r="NN105" i="39"/>
  <c r="NM105" i="39"/>
  <c r="KT105" i="39"/>
  <c r="KB105" i="39"/>
  <c r="KA105" i="39"/>
  <c r="JZ105" i="39"/>
  <c r="JY105" i="39"/>
  <c r="JX105" i="39"/>
  <c r="JW105" i="39"/>
  <c r="JV105" i="39"/>
  <c r="JU105" i="39"/>
  <c r="JT105" i="39"/>
  <c r="JS105" i="39"/>
  <c r="JR105" i="39"/>
  <c r="JQ105" i="39"/>
  <c r="JP105" i="39"/>
  <c r="JB105" i="39"/>
  <c r="IY105" i="39"/>
  <c r="IX105" i="39"/>
  <c r="IT105" i="39"/>
  <c r="HW105" i="39"/>
  <c r="HZ105" i="39"/>
  <c r="HF105" i="39"/>
  <c r="HD105" i="39"/>
  <c r="GU105" i="39"/>
  <c r="GS105" i="39"/>
  <c r="GR105" i="39"/>
  <c r="GQ105" i="39"/>
  <c r="GP105" i="39"/>
  <c r="GO105" i="39"/>
  <c r="GV105" i="39"/>
  <c r="GX105" i="39"/>
  <c r="EH105" i="39"/>
  <c r="EG105" i="39"/>
  <c r="EA105" i="39"/>
  <c r="DZ105" i="39"/>
  <c r="DY105" i="39"/>
  <c r="DX105" i="39"/>
  <c r="DW105" i="39"/>
  <c r="DV105" i="39"/>
  <c r="CP105" i="39"/>
  <c r="KR105" i="39"/>
  <c r="CO105" i="39"/>
  <c r="KQ105" i="39"/>
  <c r="CN105" i="39"/>
  <c r="KP105" i="39"/>
  <c r="CM105" i="39"/>
  <c r="KO105" i="39"/>
  <c r="CL105" i="39"/>
  <c r="KN105" i="39"/>
  <c r="CK105" i="39"/>
  <c r="KM105" i="39"/>
  <c r="CJ105" i="39"/>
  <c r="KL105" i="39"/>
  <c r="CI105" i="39"/>
  <c r="KK105" i="39"/>
  <c r="CH105" i="39"/>
  <c r="KJ105" i="39"/>
  <c r="CG105" i="39"/>
  <c r="KI105" i="39"/>
  <c r="CF105" i="39"/>
  <c r="KH105" i="39"/>
  <c r="CE105" i="39"/>
  <c r="KG105" i="39"/>
  <c r="CD105" i="39"/>
  <c r="KF105" i="39"/>
  <c r="BJ105" i="39"/>
  <c r="BI105" i="39"/>
  <c r="BH105" i="39"/>
  <c r="BG105" i="39"/>
  <c r="IP105" i="39"/>
  <c r="BF105" i="39"/>
  <c r="BB105" i="39"/>
  <c r="PG105" i="39"/>
  <c r="AO105" i="39"/>
  <c r="AJ105" i="39"/>
  <c r="AF105" i="39"/>
  <c r="BE105" i="39"/>
  <c r="AC105" i="39"/>
  <c r="X105" i="39"/>
  <c r="W105" i="39"/>
  <c r="IU105" i="39"/>
  <c r="T105" i="39"/>
  <c r="S105" i="39"/>
  <c r="U105" i="39"/>
  <c r="P105" i="39"/>
  <c r="O105" i="39"/>
  <c r="OP105" i="39"/>
  <c r="L105" i="39"/>
  <c r="K105" i="39"/>
  <c r="OO105" i="39"/>
  <c r="I105" i="39"/>
  <c r="H105" i="39"/>
  <c r="G106" i="39"/>
  <c r="I106" i="39"/>
  <c r="H106" i="39"/>
  <c r="K106" i="39"/>
  <c r="OO106" i="39"/>
  <c r="L106" i="39"/>
  <c r="O106" i="39"/>
  <c r="Q106" i="39"/>
  <c r="P106" i="39"/>
  <c r="S106" i="39"/>
  <c r="U106" i="39"/>
  <c r="T106" i="39"/>
  <c r="W106" i="39"/>
  <c r="IU106" i="39"/>
  <c r="X106" i="39"/>
  <c r="AC106" i="39"/>
  <c r="AF106" i="39"/>
  <c r="BE106" i="39"/>
  <c r="AJ106" i="39"/>
  <c r="AO106" i="39"/>
  <c r="BB106" i="39"/>
  <c r="PG106" i="39"/>
  <c r="BF106" i="39"/>
  <c r="BG106" i="39"/>
  <c r="IP106" i="39"/>
  <c r="IQ106" i="39"/>
  <c r="BH106" i="39"/>
  <c r="BI106" i="39"/>
  <c r="BJ106" i="39"/>
  <c r="CD106" i="39"/>
  <c r="CE106" i="39"/>
  <c r="FZ106" i="39"/>
  <c r="CF106" i="39"/>
  <c r="GA106" i="39"/>
  <c r="CG106" i="39"/>
  <c r="GB106" i="39"/>
  <c r="CH106" i="39"/>
  <c r="KJ106" i="39"/>
  <c r="CI106" i="39"/>
  <c r="KK106" i="39"/>
  <c r="CJ106" i="39"/>
  <c r="KL106" i="39"/>
  <c r="CK106" i="39"/>
  <c r="KM106" i="39"/>
  <c r="CL106" i="39"/>
  <c r="KN106" i="39"/>
  <c r="CM106" i="39"/>
  <c r="KO106" i="39"/>
  <c r="CN106" i="39"/>
  <c r="KP106" i="39"/>
  <c r="CO106" i="39"/>
  <c r="KQ106" i="39"/>
  <c r="CP106" i="39"/>
  <c r="KR106" i="39"/>
  <c r="DV106" i="39"/>
  <c r="DW106" i="39"/>
  <c r="DX106" i="39"/>
  <c r="DY106" i="39"/>
  <c r="DZ106" i="39"/>
  <c r="EA106" i="39"/>
  <c r="EG106" i="39"/>
  <c r="EH106" i="39"/>
  <c r="GC106" i="39"/>
  <c r="GO106" i="39"/>
  <c r="GP106" i="39"/>
  <c r="GQ106" i="39"/>
  <c r="GR106" i="39"/>
  <c r="GS106" i="39"/>
  <c r="GU106" i="39"/>
  <c r="HD106" i="39"/>
  <c r="HF106" i="39"/>
  <c r="IT106" i="39"/>
  <c r="IX106" i="39"/>
  <c r="IY106" i="39"/>
  <c r="JB106" i="39"/>
  <c r="HW106" i="39"/>
  <c r="JP106" i="39"/>
  <c r="JQ106" i="39"/>
  <c r="JR106" i="39"/>
  <c r="JS106" i="39"/>
  <c r="JT106" i="39"/>
  <c r="JU106" i="39"/>
  <c r="JV106" i="39"/>
  <c r="JW106" i="39"/>
  <c r="JX106" i="39"/>
  <c r="JY106" i="39"/>
  <c r="JZ106" i="39"/>
  <c r="KA106" i="39"/>
  <c r="KB106" i="39"/>
  <c r="KF106" i="39"/>
  <c r="KT106" i="39"/>
  <c r="NM106" i="39"/>
  <c r="NN106" i="39"/>
  <c r="NO106" i="39"/>
  <c r="NP106" i="39"/>
  <c r="NQ106" i="39"/>
  <c r="NR106" i="39"/>
  <c r="NS106" i="39"/>
  <c r="NY106" i="39"/>
  <c r="OE106" i="39"/>
  <c r="OF106" i="39"/>
  <c r="OG106" i="39"/>
  <c r="OQ106" i="39"/>
  <c r="OI106" i="39"/>
  <c r="OS106" i="39"/>
  <c r="PD106" i="39"/>
  <c r="PJ106" i="39"/>
  <c r="PH106" i="39"/>
  <c r="PI106" i="39"/>
  <c r="PK106" i="39"/>
  <c r="PO106" i="39"/>
  <c r="PP106" i="39"/>
  <c r="G46" i="21"/>
  <c r="G47" i="21"/>
  <c r="OE61" i="35"/>
  <c r="OF61" i="35"/>
  <c r="OG61" i="35"/>
  <c r="OQ61" i="35"/>
  <c r="OI61" i="35"/>
  <c r="OS61" i="35"/>
  <c r="OE62" i="35"/>
  <c r="OF62" i="35"/>
  <c r="OG62" i="35"/>
  <c r="OJ62" i="35"/>
  <c r="OI62" i="35"/>
  <c r="OS62" i="35"/>
  <c r="OE63" i="35"/>
  <c r="OF63" i="35"/>
  <c r="OG63" i="35"/>
  <c r="OI63" i="35"/>
  <c r="OS63" i="35"/>
  <c r="OE64" i="35"/>
  <c r="OF64" i="35"/>
  <c r="OG64" i="35"/>
  <c r="OQ64" i="35"/>
  <c r="OI64" i="35"/>
  <c r="OS64" i="35"/>
  <c r="OE65" i="35"/>
  <c r="OF65" i="35"/>
  <c r="OG65" i="35"/>
  <c r="OQ65" i="35"/>
  <c r="OI65" i="35"/>
  <c r="OS65" i="35"/>
  <c r="OE66" i="35"/>
  <c r="OF66" i="35"/>
  <c r="OG66" i="35"/>
  <c r="OI66" i="35"/>
  <c r="OS66" i="35"/>
  <c r="OE67" i="35"/>
  <c r="OF67" i="35"/>
  <c r="OG67" i="35"/>
  <c r="OQ67" i="35"/>
  <c r="OI67" i="35"/>
  <c r="OS67" i="35"/>
  <c r="OE68" i="35"/>
  <c r="OF68" i="35"/>
  <c r="OG68" i="35"/>
  <c r="OQ68" i="35"/>
  <c r="OI68" i="35"/>
  <c r="OS68" i="35"/>
  <c r="OE69" i="35"/>
  <c r="OF69" i="35"/>
  <c r="OG69" i="35"/>
  <c r="OI69" i="35"/>
  <c r="OS69" i="35"/>
  <c r="G67" i="35"/>
  <c r="OJ63" i="35"/>
  <c r="HK124" i="19"/>
  <c r="OW125" i="19"/>
  <c r="OW124" i="19"/>
  <c r="IG124" i="19"/>
  <c r="IE124" i="19"/>
  <c r="HR125" i="19"/>
  <c r="HP125" i="19"/>
  <c r="IK124" i="19"/>
  <c r="IM124" i="19"/>
  <c r="HZ124" i="19"/>
  <c r="HX124" i="19"/>
  <c r="HV124" i="19"/>
  <c r="HZ125" i="19"/>
  <c r="JF125" i="19"/>
  <c r="JJ125" i="19"/>
  <c r="HX125" i="19"/>
  <c r="HV125" i="19"/>
  <c r="HR124" i="19"/>
  <c r="HP124" i="19"/>
  <c r="JF124" i="19"/>
  <c r="HZ35" i="32"/>
  <c r="JF35" i="32"/>
  <c r="JJ35" i="32"/>
  <c r="HX35" i="32"/>
  <c r="HV35" i="32"/>
  <c r="HR35" i="32"/>
  <c r="HP35" i="32"/>
  <c r="OW35" i="32"/>
  <c r="OQ62" i="35"/>
  <c r="OJ61" i="35"/>
  <c r="GT106" i="39"/>
  <c r="Q105" i="39"/>
  <c r="M106" i="39"/>
  <c r="OJ69" i="35"/>
  <c r="GD106" i="39"/>
  <c r="NT105" i="39"/>
  <c r="NU105" i="39"/>
  <c r="OJ68" i="35"/>
  <c r="OJ65" i="35"/>
  <c r="GC105" i="39"/>
  <c r="OJ105" i="39"/>
  <c r="OJ64" i="35"/>
  <c r="PF106" i="39"/>
  <c r="PL106" i="39"/>
  <c r="KG106" i="39"/>
  <c r="BK105" i="39"/>
  <c r="GB105" i="39"/>
  <c r="OQ69" i="35"/>
  <c r="GT105" i="39"/>
  <c r="OQ66" i="35"/>
  <c r="HV105" i="39"/>
  <c r="PQ105" i="39"/>
  <c r="EB106" i="39"/>
  <c r="JO105" i="39"/>
  <c r="OJ67" i="35"/>
  <c r="OJ66" i="35"/>
  <c r="OJ106" i="39"/>
  <c r="FZ105" i="39"/>
  <c r="OQ63" i="35"/>
  <c r="KH106" i="39"/>
  <c r="JC106" i="39"/>
  <c r="GA105" i="39"/>
  <c r="EB105" i="39"/>
  <c r="HC105" i="39"/>
  <c r="HE105" i="39"/>
  <c r="OH105" i="39"/>
  <c r="HY105" i="39"/>
  <c r="IA105" i="39"/>
  <c r="OT105" i="39"/>
  <c r="IQ105" i="39"/>
  <c r="IO105" i="39"/>
  <c r="II105" i="39"/>
  <c r="HC106" i="39"/>
  <c r="HE106" i="39"/>
  <c r="HG106" i="39"/>
  <c r="M105" i="39"/>
  <c r="GD105" i="39"/>
  <c r="HX105" i="39"/>
  <c r="JC105" i="39"/>
  <c r="IC105" i="39"/>
  <c r="NT106" i="39"/>
  <c r="NU106" i="39"/>
  <c r="JO106" i="39"/>
  <c r="GV106" i="39"/>
  <c r="IC106" i="39"/>
  <c r="GE105" i="39"/>
  <c r="GW105" i="39"/>
  <c r="PQ106" i="39"/>
  <c r="BK106" i="39"/>
  <c r="KI106" i="39"/>
  <c r="HZ106" i="39"/>
  <c r="HX106" i="39"/>
  <c r="HV106" i="39"/>
  <c r="IO106" i="39"/>
  <c r="OP106" i="39"/>
  <c r="OT106" i="39"/>
  <c r="GE106" i="39"/>
  <c r="Z68" i="19"/>
  <c r="JJ124" i="19"/>
  <c r="HY125" i="19"/>
  <c r="JM125" i="19"/>
  <c r="IA125" i="19"/>
  <c r="JG125" i="19"/>
  <c r="JK125" i="19"/>
  <c r="IA124" i="19"/>
  <c r="HY124" i="19"/>
  <c r="JM124" i="19"/>
  <c r="HY35" i="32"/>
  <c r="JM35" i="32"/>
  <c r="IA35" i="32"/>
  <c r="JG35" i="32"/>
  <c r="JK35" i="32"/>
  <c r="KD106" i="39"/>
  <c r="KE106" i="39"/>
  <c r="HG105" i="39"/>
  <c r="HT105" i="39"/>
  <c r="II106" i="39"/>
  <c r="IH106" i="39"/>
  <c r="GX106" i="39"/>
  <c r="OH106" i="39"/>
  <c r="OL106" i="39"/>
  <c r="OR105" i="39"/>
  <c r="OL105" i="39"/>
  <c r="OK105" i="39"/>
  <c r="GW106" i="39"/>
  <c r="IL105" i="39"/>
  <c r="IJ105" i="39"/>
  <c r="IB105" i="39"/>
  <c r="IF105" i="39"/>
  <c r="ID105" i="39"/>
  <c r="KD105" i="39"/>
  <c r="KE105" i="39"/>
  <c r="FY105" i="39"/>
  <c r="HT106" i="39"/>
  <c r="HH106" i="39"/>
  <c r="IB106" i="39"/>
  <c r="ID106" i="39"/>
  <c r="IF106" i="39"/>
  <c r="FY106" i="39"/>
  <c r="HY106" i="39"/>
  <c r="IA106" i="39"/>
  <c r="L24" i="22"/>
  <c r="K24" i="22"/>
  <c r="M24" i="22"/>
  <c r="OF15" i="22"/>
  <c r="OE15" i="22"/>
  <c r="JG124" i="19"/>
  <c r="OR106" i="39"/>
  <c r="HH105" i="39"/>
  <c r="OK106" i="39"/>
  <c r="OM106" i="39"/>
  <c r="IL106" i="39"/>
  <c r="IM106" i="39"/>
  <c r="IJ106" i="39"/>
  <c r="OU105" i="39"/>
  <c r="OV105" i="39"/>
  <c r="IM105" i="39"/>
  <c r="IG105" i="39"/>
  <c r="IE105" i="39"/>
  <c r="GJ105" i="39"/>
  <c r="GK105" i="39"/>
  <c r="HU105" i="39"/>
  <c r="HS105" i="39"/>
  <c r="HQ105" i="39"/>
  <c r="OM105" i="39"/>
  <c r="GJ106" i="39"/>
  <c r="GK106" i="39"/>
  <c r="OU106" i="39"/>
  <c r="OV106" i="39"/>
  <c r="HS106" i="39"/>
  <c r="HU106" i="39"/>
  <c r="HQ106" i="39"/>
  <c r="IE106" i="39"/>
  <c r="IG106" i="39"/>
  <c r="L58" i="31"/>
  <c r="K58" i="31"/>
  <c r="M58" i="31"/>
  <c r="K55" i="31"/>
  <c r="M55" i="31"/>
  <c r="L55" i="31"/>
  <c r="L54" i="31"/>
  <c r="K54" i="31"/>
  <c r="M54" i="31"/>
  <c r="L53" i="31"/>
  <c r="K53" i="31"/>
  <c r="M53" i="31"/>
  <c r="L52" i="31"/>
  <c r="K52" i="31"/>
  <c r="M52" i="31"/>
  <c r="L51" i="31"/>
  <c r="K51" i="31"/>
  <c r="M51" i="31"/>
  <c r="L42" i="31"/>
  <c r="K42" i="31"/>
  <c r="M42" i="31"/>
  <c r="L41" i="31"/>
  <c r="K41" i="31"/>
  <c r="M41" i="31"/>
  <c r="L40" i="31"/>
  <c r="K40" i="31"/>
  <c r="M40" i="31"/>
  <c r="L39" i="31"/>
  <c r="K39" i="31"/>
  <c r="M39" i="31"/>
  <c r="IK106" i="39"/>
  <c r="JK124" i="19"/>
  <c r="HR105" i="39"/>
  <c r="JG105" i="39"/>
  <c r="JK105" i="39"/>
  <c r="HP105" i="39"/>
  <c r="JF105" i="39"/>
  <c r="JJ105" i="39"/>
  <c r="OW105" i="39"/>
  <c r="OW106" i="39"/>
  <c r="HR106" i="39"/>
  <c r="JG106" i="39"/>
  <c r="JK106" i="39"/>
  <c r="JF106" i="39"/>
  <c r="JJ106" i="39"/>
  <c r="HP106" i="39"/>
  <c r="JM106" i="39"/>
  <c r="OE33" i="31"/>
  <c r="G107" i="39"/>
  <c r="PP104" i="39"/>
  <c r="PO104" i="39"/>
  <c r="PK104" i="39"/>
  <c r="PI104" i="39"/>
  <c r="PH104" i="39"/>
  <c r="PD104" i="39"/>
  <c r="PF104" i="39"/>
  <c r="PL104" i="39"/>
  <c r="OI104" i="39"/>
  <c r="OS104" i="39"/>
  <c r="OG104" i="39"/>
  <c r="OQ104" i="39"/>
  <c r="OF104" i="39"/>
  <c r="OE104" i="39"/>
  <c r="NY104" i="39"/>
  <c r="NS104" i="39"/>
  <c r="NR104" i="39"/>
  <c r="NQ104" i="39"/>
  <c r="NP104" i="39"/>
  <c r="NO104" i="39"/>
  <c r="NN104" i="39"/>
  <c r="NM104" i="39"/>
  <c r="KT104" i="39"/>
  <c r="KB104" i="39"/>
  <c r="KA104" i="39"/>
  <c r="JZ104" i="39"/>
  <c r="JY104" i="39"/>
  <c r="JX104" i="39"/>
  <c r="JW104" i="39"/>
  <c r="JV104" i="39"/>
  <c r="JU104" i="39"/>
  <c r="JT104" i="39"/>
  <c r="JS104" i="39"/>
  <c r="JR104" i="39"/>
  <c r="JQ104" i="39"/>
  <c r="JP104" i="39"/>
  <c r="JB104" i="39"/>
  <c r="HW104" i="39"/>
  <c r="HV104" i="39"/>
  <c r="IY104" i="39"/>
  <c r="IX104" i="39"/>
  <c r="IT104" i="39"/>
  <c r="HF104" i="39"/>
  <c r="HD104" i="39"/>
  <c r="GU104" i="39"/>
  <c r="GS104" i="39"/>
  <c r="GR104" i="39"/>
  <c r="GQ104" i="39"/>
  <c r="GP104" i="39"/>
  <c r="GO104" i="39"/>
  <c r="EH104" i="39"/>
  <c r="EG104" i="39"/>
  <c r="EA104" i="39"/>
  <c r="DZ104" i="39"/>
  <c r="DY104" i="39"/>
  <c r="DX104" i="39"/>
  <c r="DW104" i="39"/>
  <c r="DV104" i="39"/>
  <c r="CP104" i="39"/>
  <c r="GE104" i="39"/>
  <c r="CO104" i="39"/>
  <c r="KQ104" i="39"/>
  <c r="CN104" i="39"/>
  <c r="KP104" i="39"/>
  <c r="CM104" i="39"/>
  <c r="KO104" i="39"/>
  <c r="CL104" i="39"/>
  <c r="KN104" i="39"/>
  <c r="CK104" i="39"/>
  <c r="GD104" i="39"/>
  <c r="CJ104" i="39"/>
  <c r="KL104" i="39"/>
  <c r="CI104" i="39"/>
  <c r="KK104" i="39"/>
  <c r="CH104" i="39"/>
  <c r="KJ104" i="39"/>
  <c r="CG104" i="39"/>
  <c r="KI104" i="39"/>
  <c r="CF104" i="39"/>
  <c r="KH104" i="39"/>
  <c r="CE104" i="39"/>
  <c r="KG104" i="39"/>
  <c r="CD104" i="39"/>
  <c r="KF104" i="39"/>
  <c r="BJ104" i="39"/>
  <c r="BI104" i="39"/>
  <c r="BH104" i="39"/>
  <c r="BG104" i="39"/>
  <c r="IP104" i="39"/>
  <c r="BF104" i="39"/>
  <c r="BB104" i="39"/>
  <c r="JC104" i="39"/>
  <c r="AO104" i="39"/>
  <c r="AJ104" i="39"/>
  <c r="AF104" i="39"/>
  <c r="BE104" i="39"/>
  <c r="AC104" i="39"/>
  <c r="X104" i="39"/>
  <c r="W104" i="39"/>
  <c r="IU104" i="39"/>
  <c r="T104" i="39"/>
  <c r="S104" i="39"/>
  <c r="U104" i="39"/>
  <c r="P104" i="39"/>
  <c r="O104" i="39"/>
  <c r="OP104" i="39"/>
  <c r="L104" i="39"/>
  <c r="K104" i="39"/>
  <c r="M104" i="39"/>
  <c r="I104" i="39"/>
  <c r="H104" i="39"/>
  <c r="PQ104" i="39"/>
  <c r="OJ104" i="39"/>
  <c r="OT104" i="39"/>
  <c r="GB104" i="39"/>
  <c r="BK104" i="39"/>
  <c r="EB104" i="39"/>
  <c r="GT104" i="39"/>
  <c r="KR104" i="39"/>
  <c r="GA104" i="39"/>
  <c r="GV104" i="39"/>
  <c r="GX104" i="39"/>
  <c r="PG104" i="39"/>
  <c r="HX104" i="39"/>
  <c r="HZ104" i="39"/>
  <c r="HY104" i="39"/>
  <c r="HC104" i="39"/>
  <c r="HE104" i="39"/>
  <c r="HG104" i="39"/>
  <c r="FZ104" i="39"/>
  <c r="JO104" i="39"/>
  <c r="PJ104" i="39"/>
  <c r="NT104" i="39"/>
  <c r="NU104" i="39"/>
  <c r="Q104" i="39"/>
  <c r="IQ104" i="39"/>
  <c r="IO104" i="39"/>
  <c r="KM104" i="39"/>
  <c r="GC104" i="39"/>
  <c r="OO104" i="39"/>
  <c r="GQ54" i="21"/>
  <c r="GQ53" i="21"/>
  <c r="IA104" i="39"/>
  <c r="II104" i="39"/>
  <c r="IJ104" i="39"/>
  <c r="IC104" i="39"/>
  <c r="IB104" i="39"/>
  <c r="GW104" i="39"/>
  <c r="OH104" i="39"/>
  <c r="OK104" i="39"/>
  <c r="FY104" i="39"/>
  <c r="KD104" i="39"/>
  <c r="KE104" i="39"/>
  <c r="HT104" i="39"/>
  <c r="HH104" i="39"/>
  <c r="P54" i="21"/>
  <c r="P53" i="21"/>
  <c r="O54" i="21"/>
  <c r="Q54" i="21"/>
  <c r="O53" i="21"/>
  <c r="Q53" i="21"/>
  <c r="IL104" i="39"/>
  <c r="ID104" i="39"/>
  <c r="IF104" i="39"/>
  <c r="IE104" i="39"/>
  <c r="OL104" i="39"/>
  <c r="OM104" i="39"/>
  <c r="OR104" i="39"/>
  <c r="OV104" i="39"/>
  <c r="GK104" i="39"/>
  <c r="GJ104" i="39"/>
  <c r="HU104" i="39"/>
  <c r="HS104" i="39"/>
  <c r="HQ104" i="39"/>
  <c r="IM104" i="39"/>
  <c r="PE70" i="35"/>
  <c r="PK69" i="35"/>
  <c r="PI69" i="35"/>
  <c r="PH69" i="35"/>
  <c r="PD69" i="35"/>
  <c r="PJ69" i="35"/>
  <c r="PK68" i="35"/>
  <c r="PI68" i="35"/>
  <c r="PH68" i="35"/>
  <c r="PD68" i="35"/>
  <c r="PJ68" i="35"/>
  <c r="PK67" i="35"/>
  <c r="PI67" i="35"/>
  <c r="PH67" i="35"/>
  <c r="PD67" i="35"/>
  <c r="PJ67" i="35"/>
  <c r="PK66" i="35"/>
  <c r="PI66" i="35"/>
  <c r="PH66" i="35"/>
  <c r="PD66" i="35"/>
  <c r="PJ66" i="35"/>
  <c r="PK65" i="35"/>
  <c r="PI65" i="35"/>
  <c r="PH65" i="35"/>
  <c r="PD65" i="35"/>
  <c r="PJ65" i="35"/>
  <c r="PI64" i="35"/>
  <c r="PG64" i="35"/>
  <c r="PD64" i="35"/>
  <c r="PI63" i="35"/>
  <c r="PG63" i="35"/>
  <c r="PD63" i="35"/>
  <c r="PK62" i="35"/>
  <c r="PG62" i="35"/>
  <c r="PD62" i="35"/>
  <c r="PJ62" i="35"/>
  <c r="PK61" i="35"/>
  <c r="PG61" i="35"/>
  <c r="PD61" i="35"/>
  <c r="PJ61" i="35"/>
  <c r="PK60" i="35"/>
  <c r="PI60" i="35"/>
  <c r="PH60" i="35"/>
  <c r="PG60" i="35"/>
  <c r="PD60" i="35"/>
  <c r="PJ60" i="35"/>
  <c r="PK59" i="35"/>
  <c r="PI59" i="35"/>
  <c r="PH59" i="35"/>
  <c r="PG59" i="35"/>
  <c r="PD59" i="35"/>
  <c r="PJ59" i="35"/>
  <c r="PK58" i="35"/>
  <c r="PI58" i="35"/>
  <c r="PH58" i="35"/>
  <c r="PG58" i="35"/>
  <c r="PD58" i="35"/>
  <c r="PJ58" i="35"/>
  <c r="PK57" i="35"/>
  <c r="PI57" i="35"/>
  <c r="PH57" i="35"/>
  <c r="PG57" i="35"/>
  <c r="PD57" i="35"/>
  <c r="PJ57" i="35"/>
  <c r="PK56" i="35"/>
  <c r="PI56" i="35"/>
  <c r="PH56" i="35"/>
  <c r="PG56" i="35"/>
  <c r="PD56" i="35"/>
  <c r="PJ56" i="35"/>
  <c r="PK55" i="35"/>
  <c r="PI55" i="35"/>
  <c r="PH55" i="35"/>
  <c r="PG55" i="35"/>
  <c r="PD55" i="35"/>
  <c r="PJ55" i="35"/>
  <c r="PK54" i="35"/>
  <c r="PI54" i="35"/>
  <c r="PH54" i="35"/>
  <c r="PG54" i="35"/>
  <c r="PD54" i="35"/>
  <c r="PJ54" i="35"/>
  <c r="PK53" i="35"/>
  <c r="PI53" i="35"/>
  <c r="PH53" i="35"/>
  <c r="PG53" i="35"/>
  <c r="PD53" i="35"/>
  <c r="PJ53" i="35"/>
  <c r="PK52" i="35"/>
  <c r="PI52" i="35"/>
  <c r="PH52" i="35"/>
  <c r="PG52" i="35"/>
  <c r="PD52" i="35"/>
  <c r="PJ52" i="35"/>
  <c r="PK51" i="35"/>
  <c r="PI51" i="35"/>
  <c r="PH51" i="35"/>
  <c r="PG51" i="35"/>
  <c r="PD51" i="35"/>
  <c r="PJ51" i="35"/>
  <c r="PK50" i="35"/>
  <c r="PI50" i="35"/>
  <c r="PH50" i="35"/>
  <c r="PG50" i="35"/>
  <c r="PD50" i="35"/>
  <c r="PJ50" i="35"/>
  <c r="PK49" i="35"/>
  <c r="PI49" i="35"/>
  <c r="PH49" i="35"/>
  <c r="PG49" i="35"/>
  <c r="PD49" i="35"/>
  <c r="PJ49" i="35"/>
  <c r="PK48" i="35"/>
  <c r="PI48" i="35"/>
  <c r="PH48" i="35"/>
  <c r="PG48" i="35"/>
  <c r="PD48" i="35"/>
  <c r="PJ48" i="35"/>
  <c r="PK47" i="35"/>
  <c r="PI47" i="35"/>
  <c r="PH47" i="35"/>
  <c r="PG47" i="35"/>
  <c r="PD47" i="35"/>
  <c r="PJ47" i="35"/>
  <c r="PK46" i="35"/>
  <c r="PI46" i="35"/>
  <c r="PH46" i="35"/>
  <c r="PG46" i="35"/>
  <c r="PD46" i="35"/>
  <c r="PJ46" i="35"/>
  <c r="PK45" i="35"/>
  <c r="PI45" i="35"/>
  <c r="PH45" i="35"/>
  <c r="PG45" i="35"/>
  <c r="PD45" i="35"/>
  <c r="PJ45" i="35"/>
  <c r="PK44" i="35"/>
  <c r="PI44" i="35"/>
  <c r="PH44" i="35"/>
  <c r="PG44" i="35"/>
  <c r="PD44" i="35"/>
  <c r="PJ44" i="35"/>
  <c r="PK43" i="35"/>
  <c r="PI43" i="35"/>
  <c r="PH43" i="35"/>
  <c r="PG43" i="35"/>
  <c r="PD43" i="35"/>
  <c r="PJ43" i="35"/>
  <c r="PK42" i="35"/>
  <c r="PI42" i="35"/>
  <c r="PH42" i="35"/>
  <c r="PG42" i="35"/>
  <c r="PD42" i="35"/>
  <c r="PJ42" i="35"/>
  <c r="PK41" i="35"/>
  <c r="PI41" i="35"/>
  <c r="PH41" i="35"/>
  <c r="PG41" i="35"/>
  <c r="PD41" i="35"/>
  <c r="PJ41" i="35"/>
  <c r="PK40" i="35"/>
  <c r="PI40" i="35"/>
  <c r="PH40" i="35"/>
  <c r="PG40" i="35"/>
  <c r="PD40" i="35"/>
  <c r="PJ40" i="35"/>
  <c r="PK39" i="35"/>
  <c r="PI39" i="35"/>
  <c r="PH39" i="35"/>
  <c r="PG39" i="35"/>
  <c r="PD39" i="35"/>
  <c r="PJ39" i="35"/>
  <c r="PK38" i="35"/>
  <c r="PI38" i="35"/>
  <c r="PH38" i="35"/>
  <c r="PG38" i="35"/>
  <c r="PD38" i="35"/>
  <c r="PJ38" i="35"/>
  <c r="PK37" i="35"/>
  <c r="PI37" i="35"/>
  <c r="PH37" i="35"/>
  <c r="PG37" i="35"/>
  <c r="PD37" i="35"/>
  <c r="PJ37" i="35"/>
  <c r="PK36" i="35"/>
  <c r="PI36" i="35"/>
  <c r="PH36" i="35"/>
  <c r="PG36" i="35"/>
  <c r="PD36" i="35"/>
  <c r="PJ36" i="35"/>
  <c r="PK35" i="35"/>
  <c r="PI35" i="35"/>
  <c r="PH35" i="35"/>
  <c r="PG35" i="35"/>
  <c r="PD35" i="35"/>
  <c r="PJ35" i="35"/>
  <c r="PK34" i="35"/>
  <c r="PI34" i="35"/>
  <c r="PH34" i="35"/>
  <c r="PG34" i="35"/>
  <c r="PD34" i="35"/>
  <c r="PJ34" i="35"/>
  <c r="PK33" i="35"/>
  <c r="PI33" i="35"/>
  <c r="PH33" i="35"/>
  <c r="PG33" i="35"/>
  <c r="PD33" i="35"/>
  <c r="PJ33" i="35"/>
  <c r="PK32" i="35"/>
  <c r="PI32" i="35"/>
  <c r="PH32" i="35"/>
  <c r="PG32" i="35"/>
  <c r="PD32" i="35"/>
  <c r="PJ32" i="35"/>
  <c r="PK31" i="35"/>
  <c r="PI31" i="35"/>
  <c r="PH31" i="35"/>
  <c r="PG31" i="35"/>
  <c r="PD31" i="35"/>
  <c r="PJ31" i="35"/>
  <c r="PK30" i="35"/>
  <c r="PI30" i="35"/>
  <c r="PH30" i="35"/>
  <c r="PG30" i="35"/>
  <c r="PD30" i="35"/>
  <c r="PJ30" i="35"/>
  <c r="PK29" i="35"/>
  <c r="PI29" i="35"/>
  <c r="PH29" i="35"/>
  <c r="PG29" i="35"/>
  <c r="PD29" i="35"/>
  <c r="PJ29" i="35"/>
  <c r="PK28" i="35"/>
  <c r="PI28" i="35"/>
  <c r="PH28" i="35"/>
  <c r="PG28" i="35"/>
  <c r="PD28" i="35"/>
  <c r="PJ28" i="35"/>
  <c r="PK27" i="35"/>
  <c r="PI27" i="35"/>
  <c r="PH27" i="35"/>
  <c r="PG27" i="35"/>
  <c r="PD27" i="35"/>
  <c r="PJ27" i="35"/>
  <c r="PK26" i="35"/>
  <c r="PG26" i="35"/>
  <c r="PD26" i="35"/>
  <c r="PJ26" i="35"/>
  <c r="PK25" i="35"/>
  <c r="PI25" i="35"/>
  <c r="PH25" i="35"/>
  <c r="PG25" i="35"/>
  <c r="PD25" i="35"/>
  <c r="PJ25" i="35"/>
  <c r="PK24" i="35"/>
  <c r="PI24" i="35"/>
  <c r="PH24" i="35"/>
  <c r="PG24" i="35"/>
  <c r="PD24" i="35"/>
  <c r="PJ24" i="35"/>
  <c r="PK23" i="35"/>
  <c r="PI23" i="35"/>
  <c r="PH23" i="35"/>
  <c r="PG23" i="35"/>
  <c r="PD23" i="35"/>
  <c r="PJ23" i="35"/>
  <c r="PK22" i="35"/>
  <c r="PI22" i="35"/>
  <c r="PH22" i="35"/>
  <c r="PG22" i="35"/>
  <c r="PD22" i="35"/>
  <c r="PJ22" i="35"/>
  <c r="PK21" i="35"/>
  <c r="PI21" i="35"/>
  <c r="PH21" i="35"/>
  <c r="PG21" i="35"/>
  <c r="PD21" i="35"/>
  <c r="PJ21" i="35"/>
  <c r="PK20" i="35"/>
  <c r="PI20" i="35"/>
  <c r="PH20" i="35"/>
  <c r="PG20" i="35"/>
  <c r="PD20" i="35"/>
  <c r="PJ20" i="35"/>
  <c r="PK19" i="35"/>
  <c r="PI19" i="35"/>
  <c r="PH19" i="35"/>
  <c r="PG19" i="35"/>
  <c r="PD19" i="35"/>
  <c r="PJ19" i="35"/>
  <c r="PK18" i="35"/>
  <c r="PI18" i="35"/>
  <c r="PH18" i="35"/>
  <c r="PG18" i="35"/>
  <c r="PD18" i="35"/>
  <c r="PJ18" i="35"/>
  <c r="PK17" i="35"/>
  <c r="PI17" i="35"/>
  <c r="PH17" i="35"/>
  <c r="PG17" i="35"/>
  <c r="PD17" i="35"/>
  <c r="PJ17" i="35"/>
  <c r="PK16" i="35"/>
  <c r="PI16" i="35"/>
  <c r="PH16" i="35"/>
  <c r="PG16" i="35"/>
  <c r="PD16" i="35"/>
  <c r="PJ16" i="35"/>
  <c r="PK15" i="35"/>
  <c r="PI15" i="35"/>
  <c r="PH15" i="35"/>
  <c r="PG15" i="35"/>
  <c r="PD15" i="35"/>
  <c r="PJ15" i="35"/>
  <c r="PK14" i="35"/>
  <c r="PI14" i="35"/>
  <c r="PH14" i="35"/>
  <c r="PG14" i="35"/>
  <c r="PD14" i="35"/>
  <c r="PJ14" i="35"/>
  <c r="PK13" i="35"/>
  <c r="PI13" i="35"/>
  <c r="PH13" i="35"/>
  <c r="PG13" i="35"/>
  <c r="PD13" i="35"/>
  <c r="PJ13" i="35"/>
  <c r="PK12" i="35"/>
  <c r="PI12" i="35"/>
  <c r="PH12" i="35"/>
  <c r="PG12" i="35"/>
  <c r="PD12" i="35"/>
  <c r="PJ12" i="35"/>
  <c r="PK11" i="35"/>
  <c r="PI11" i="35"/>
  <c r="PH11" i="35"/>
  <c r="PG11" i="35"/>
  <c r="PD11" i="35"/>
  <c r="PJ11" i="35"/>
  <c r="PK10" i="35"/>
  <c r="PI10" i="35"/>
  <c r="PH10" i="35"/>
  <c r="PG10" i="35"/>
  <c r="PD10" i="35"/>
  <c r="PJ10" i="35"/>
  <c r="PK9" i="35"/>
  <c r="PG9" i="35"/>
  <c r="PD9" i="35"/>
  <c r="PJ9" i="35"/>
  <c r="PK66" i="34"/>
  <c r="PI66" i="34"/>
  <c r="PH66" i="34"/>
  <c r="PG66" i="34"/>
  <c r="PD66" i="34"/>
  <c r="PJ66" i="34"/>
  <c r="PK65" i="34"/>
  <c r="PI65" i="34"/>
  <c r="PH65" i="34"/>
  <c r="PG65" i="34"/>
  <c r="PD65" i="34"/>
  <c r="PJ65" i="34"/>
  <c r="PK64" i="34"/>
  <c r="PI64" i="34"/>
  <c r="PH64" i="34"/>
  <c r="PG64" i="34"/>
  <c r="PD64" i="34"/>
  <c r="PJ64" i="34"/>
  <c r="PK63" i="34"/>
  <c r="PI63" i="34"/>
  <c r="PH63" i="34"/>
  <c r="PG63" i="34"/>
  <c r="PD63" i="34"/>
  <c r="PJ63" i="34"/>
  <c r="PI62" i="34"/>
  <c r="PD62" i="34"/>
  <c r="PK61" i="34"/>
  <c r="PI61" i="34"/>
  <c r="PH61" i="34"/>
  <c r="PD61" i="34"/>
  <c r="PJ61" i="34"/>
  <c r="PI60" i="34"/>
  <c r="PD60" i="34"/>
  <c r="PI59" i="34"/>
  <c r="PG59" i="34"/>
  <c r="PD59" i="34"/>
  <c r="PK58" i="34"/>
  <c r="PI58" i="34"/>
  <c r="PH58" i="34"/>
  <c r="PD58" i="34"/>
  <c r="PJ58" i="34"/>
  <c r="PI57" i="34"/>
  <c r="PD57" i="34"/>
  <c r="PK56" i="34"/>
  <c r="PI56" i="34"/>
  <c r="PH56" i="34"/>
  <c r="PG56" i="34"/>
  <c r="PD56" i="34"/>
  <c r="PJ56" i="34"/>
  <c r="PK55" i="34"/>
  <c r="PI55" i="34"/>
  <c r="PH55" i="34"/>
  <c r="PG55" i="34"/>
  <c r="PD55" i="34"/>
  <c r="PJ55" i="34"/>
  <c r="PK54" i="34"/>
  <c r="PI54" i="34"/>
  <c r="PH54" i="34"/>
  <c r="PG54" i="34"/>
  <c r="PD54" i="34"/>
  <c r="PJ54" i="34"/>
  <c r="PI53" i="34"/>
  <c r="PG53" i="34"/>
  <c r="PD53" i="34"/>
  <c r="PI52" i="34"/>
  <c r="PD52" i="34"/>
  <c r="PK51" i="34"/>
  <c r="PI51" i="34"/>
  <c r="PH51" i="34"/>
  <c r="PG51" i="34"/>
  <c r="PD51" i="34"/>
  <c r="PJ51" i="34"/>
  <c r="PI50" i="34"/>
  <c r="PG50" i="34"/>
  <c r="PD50" i="34"/>
  <c r="PK49" i="34"/>
  <c r="PI49" i="34"/>
  <c r="PH49" i="34"/>
  <c r="PG49" i="34"/>
  <c r="PD49" i="34"/>
  <c r="PJ49" i="34"/>
  <c r="PK48" i="34"/>
  <c r="PI48" i="34"/>
  <c r="PH48" i="34"/>
  <c r="PG48" i="34"/>
  <c r="PD48" i="34"/>
  <c r="PJ48" i="34"/>
  <c r="PK47" i="34"/>
  <c r="PI47" i="34"/>
  <c r="PH47" i="34"/>
  <c r="PG47" i="34"/>
  <c r="PD47" i="34"/>
  <c r="PJ47" i="34"/>
  <c r="PK46" i="34"/>
  <c r="PI46" i="34"/>
  <c r="PH46" i="34"/>
  <c r="PG46" i="34"/>
  <c r="PD46" i="34"/>
  <c r="PJ46" i="34"/>
  <c r="PK45" i="34"/>
  <c r="PI45" i="34"/>
  <c r="PH45" i="34"/>
  <c r="PG45" i="34"/>
  <c r="PD45" i="34"/>
  <c r="PJ45" i="34"/>
  <c r="PK44" i="34"/>
  <c r="PI44" i="34"/>
  <c r="PH44" i="34"/>
  <c r="PG44" i="34"/>
  <c r="PD44" i="34"/>
  <c r="PJ44" i="34"/>
  <c r="PK43" i="34"/>
  <c r="PI43" i="34"/>
  <c r="PH43" i="34"/>
  <c r="PG43" i="34"/>
  <c r="PD43" i="34"/>
  <c r="PJ43" i="34"/>
  <c r="PK42" i="34"/>
  <c r="PI42" i="34"/>
  <c r="PH42" i="34"/>
  <c r="PG42" i="34"/>
  <c r="PD42" i="34"/>
  <c r="PJ42" i="34"/>
  <c r="PK41" i="34"/>
  <c r="PI41" i="34"/>
  <c r="PH41" i="34"/>
  <c r="PG41" i="34"/>
  <c r="PD41" i="34"/>
  <c r="PJ41" i="34"/>
  <c r="PK40" i="34"/>
  <c r="PI40" i="34"/>
  <c r="PH40" i="34"/>
  <c r="PG40" i="34"/>
  <c r="PD40" i="34"/>
  <c r="PJ40" i="34"/>
  <c r="PK39" i="34"/>
  <c r="PI39" i="34"/>
  <c r="PH39" i="34"/>
  <c r="PG39" i="34"/>
  <c r="PD39" i="34"/>
  <c r="PJ39" i="34"/>
  <c r="PK38" i="34"/>
  <c r="PI38" i="34"/>
  <c r="PH38" i="34"/>
  <c r="PG38" i="34"/>
  <c r="PD38" i="34"/>
  <c r="PJ38" i="34"/>
  <c r="PK37" i="34"/>
  <c r="PI37" i="34"/>
  <c r="PH37" i="34"/>
  <c r="PG37" i="34"/>
  <c r="PD37" i="34"/>
  <c r="PJ37" i="34"/>
  <c r="PK36" i="34"/>
  <c r="PI36" i="34"/>
  <c r="PH36" i="34"/>
  <c r="PG36" i="34"/>
  <c r="PD36" i="34"/>
  <c r="PJ36" i="34"/>
  <c r="PK35" i="34"/>
  <c r="PI35" i="34"/>
  <c r="PH35" i="34"/>
  <c r="PG35" i="34"/>
  <c r="PD35" i="34"/>
  <c r="PJ35" i="34"/>
  <c r="PK34" i="34"/>
  <c r="PI34" i="34"/>
  <c r="PH34" i="34"/>
  <c r="PG34" i="34"/>
  <c r="PD34" i="34"/>
  <c r="PJ34" i="34"/>
  <c r="PK33" i="34"/>
  <c r="PI33" i="34"/>
  <c r="PH33" i="34"/>
  <c r="PG33" i="34"/>
  <c r="PD33" i="34"/>
  <c r="PJ33" i="34"/>
  <c r="PK32" i="34"/>
  <c r="PI32" i="34"/>
  <c r="PH32" i="34"/>
  <c r="PG32" i="34"/>
  <c r="PD32" i="34"/>
  <c r="PJ32" i="34"/>
  <c r="PK31" i="34"/>
  <c r="PI31" i="34"/>
  <c r="PH31" i="34"/>
  <c r="PG31" i="34"/>
  <c r="PD31" i="34"/>
  <c r="PJ31" i="34"/>
  <c r="PK30" i="34"/>
  <c r="PI30" i="34"/>
  <c r="PH30" i="34"/>
  <c r="PG30" i="34"/>
  <c r="PD30" i="34"/>
  <c r="PJ30" i="34"/>
  <c r="PK29" i="34"/>
  <c r="PI29" i="34"/>
  <c r="PH29" i="34"/>
  <c r="PG29" i="34"/>
  <c r="PD29" i="34"/>
  <c r="PJ29" i="34"/>
  <c r="PK28" i="34"/>
  <c r="PI28" i="34"/>
  <c r="PH28" i="34"/>
  <c r="PG28" i="34"/>
  <c r="PD28" i="34"/>
  <c r="PJ28" i="34"/>
  <c r="PK27" i="34"/>
  <c r="PI27" i="34"/>
  <c r="PH27" i="34"/>
  <c r="PG27" i="34"/>
  <c r="PD27" i="34"/>
  <c r="PJ27" i="34"/>
  <c r="PK26" i="34"/>
  <c r="PI26" i="34"/>
  <c r="PH26" i="34"/>
  <c r="PG26" i="34"/>
  <c r="PD26" i="34"/>
  <c r="PJ26" i="34"/>
  <c r="PK25" i="34"/>
  <c r="PI25" i="34"/>
  <c r="PH25" i="34"/>
  <c r="PG25" i="34"/>
  <c r="PD25" i="34"/>
  <c r="PJ25" i="34"/>
  <c r="PK24" i="34"/>
  <c r="PI24" i="34"/>
  <c r="PH24" i="34"/>
  <c r="PG24" i="34"/>
  <c r="PD24" i="34"/>
  <c r="PJ24" i="34"/>
  <c r="PK23" i="34"/>
  <c r="PI23" i="34"/>
  <c r="PH23" i="34"/>
  <c r="PG23" i="34"/>
  <c r="PD23" i="34"/>
  <c r="PJ23" i="34"/>
  <c r="PK22" i="34"/>
  <c r="PI22" i="34"/>
  <c r="PH22" i="34"/>
  <c r="PG22" i="34"/>
  <c r="PD22" i="34"/>
  <c r="PJ22" i="34"/>
  <c r="PK21" i="34"/>
  <c r="PI21" i="34"/>
  <c r="PH21" i="34"/>
  <c r="PG21" i="34"/>
  <c r="PD21" i="34"/>
  <c r="PJ21" i="34"/>
  <c r="PK20" i="34"/>
  <c r="PI20" i="34"/>
  <c r="PH20" i="34"/>
  <c r="PG20" i="34"/>
  <c r="PD20" i="34"/>
  <c r="PJ20" i="34"/>
  <c r="PK19" i="34"/>
  <c r="PI19" i="34"/>
  <c r="PH19" i="34"/>
  <c r="PG19" i="34"/>
  <c r="PD19" i="34"/>
  <c r="PJ19" i="34"/>
  <c r="PK18" i="34"/>
  <c r="PI18" i="34"/>
  <c r="PH18" i="34"/>
  <c r="PG18" i="34"/>
  <c r="PD18" i="34"/>
  <c r="PJ18" i="34"/>
  <c r="PK17" i="34"/>
  <c r="PI17" i="34"/>
  <c r="PH17" i="34"/>
  <c r="PG17" i="34"/>
  <c r="PD17" i="34"/>
  <c r="PJ17" i="34"/>
  <c r="PK16" i="34"/>
  <c r="PI16" i="34"/>
  <c r="PH16" i="34"/>
  <c r="PG16" i="34"/>
  <c r="PD16" i="34"/>
  <c r="PJ16" i="34"/>
  <c r="PK15" i="34"/>
  <c r="PI15" i="34"/>
  <c r="PH15" i="34"/>
  <c r="PG15" i="34"/>
  <c r="PD15" i="34"/>
  <c r="PJ15" i="34"/>
  <c r="PK14" i="34"/>
  <c r="PI14" i="34"/>
  <c r="PH14" i="34"/>
  <c r="PG14" i="34"/>
  <c r="PD14" i="34"/>
  <c r="PJ14" i="34"/>
  <c r="PK13" i="34"/>
  <c r="PI13" i="34"/>
  <c r="PH13" i="34"/>
  <c r="PG13" i="34"/>
  <c r="PD13" i="34"/>
  <c r="PJ13" i="34"/>
  <c r="PK12" i="34"/>
  <c r="PI12" i="34"/>
  <c r="PH12" i="34"/>
  <c r="PG12" i="34"/>
  <c r="PD12" i="34"/>
  <c r="PJ12" i="34"/>
  <c r="PK11" i="34"/>
  <c r="PI11" i="34"/>
  <c r="PH11" i="34"/>
  <c r="PG11" i="34"/>
  <c r="PD11" i="34"/>
  <c r="PJ11" i="34"/>
  <c r="PK10" i="34"/>
  <c r="PI10" i="34"/>
  <c r="PH10" i="34"/>
  <c r="PG10" i="34"/>
  <c r="PD10" i="34"/>
  <c r="PJ10" i="34"/>
  <c r="PK9" i="34"/>
  <c r="PI9" i="34"/>
  <c r="PH9" i="34"/>
  <c r="PG9" i="34"/>
  <c r="PD9" i="34"/>
  <c r="PE67" i="34"/>
  <c r="PE13" i="33"/>
  <c r="PK12" i="33"/>
  <c r="PI12" i="33"/>
  <c r="PH12" i="33"/>
  <c r="PD12" i="33"/>
  <c r="PJ12" i="33"/>
  <c r="PK11" i="33"/>
  <c r="PI11" i="33"/>
  <c r="PH11" i="33"/>
  <c r="PD11" i="33"/>
  <c r="PJ11" i="33"/>
  <c r="PK10" i="33"/>
  <c r="PI10" i="33"/>
  <c r="PH10" i="33"/>
  <c r="PG10" i="33"/>
  <c r="PD10" i="33"/>
  <c r="PJ10" i="33"/>
  <c r="PK9" i="33"/>
  <c r="PI9" i="33"/>
  <c r="PH9" i="33"/>
  <c r="PG9" i="33"/>
  <c r="PD9" i="33"/>
  <c r="PE36" i="32"/>
  <c r="PI34" i="32"/>
  <c r="PD34" i="32"/>
  <c r="PK33" i="32"/>
  <c r="PI33" i="32"/>
  <c r="PH33" i="32"/>
  <c r="PD33" i="32"/>
  <c r="PJ33" i="32"/>
  <c r="PK32" i="32"/>
  <c r="PI32" i="32"/>
  <c r="PH32" i="32"/>
  <c r="PD32" i="32"/>
  <c r="PJ32" i="32"/>
  <c r="PK31" i="32"/>
  <c r="PI31" i="32"/>
  <c r="PH31" i="32"/>
  <c r="PG31" i="32"/>
  <c r="PD31" i="32"/>
  <c r="PJ31" i="32"/>
  <c r="PK30" i="32"/>
  <c r="PI30" i="32"/>
  <c r="PH30" i="32"/>
  <c r="PG30" i="32"/>
  <c r="PD30" i="32"/>
  <c r="PJ30" i="32"/>
  <c r="PI29" i="32"/>
  <c r="PG29" i="32"/>
  <c r="PD29" i="32"/>
  <c r="PK28" i="32"/>
  <c r="PI28" i="32"/>
  <c r="PH28" i="32"/>
  <c r="PG28" i="32"/>
  <c r="PD28" i="32"/>
  <c r="PJ28" i="32"/>
  <c r="PK27" i="32"/>
  <c r="PI27" i="32"/>
  <c r="PH27" i="32"/>
  <c r="PG27" i="32"/>
  <c r="PD27" i="32"/>
  <c r="PJ27" i="32"/>
  <c r="PK26" i="32"/>
  <c r="PI26" i="32"/>
  <c r="PH26" i="32"/>
  <c r="PG26" i="32"/>
  <c r="PD26" i="32"/>
  <c r="PJ26" i="32"/>
  <c r="PK25" i="32"/>
  <c r="PI25" i="32"/>
  <c r="PH25" i="32"/>
  <c r="PG25" i="32"/>
  <c r="PD25" i="32"/>
  <c r="PJ25" i="32"/>
  <c r="PK24" i="32"/>
  <c r="PI24" i="32"/>
  <c r="PH24" i="32"/>
  <c r="PG24" i="32"/>
  <c r="PD24" i="32"/>
  <c r="PJ24" i="32"/>
  <c r="PK23" i="32"/>
  <c r="PI23" i="32"/>
  <c r="PH23" i="32"/>
  <c r="PG23" i="32"/>
  <c r="PD23" i="32"/>
  <c r="PJ23" i="32"/>
  <c r="PK22" i="32"/>
  <c r="PI22" i="32"/>
  <c r="PH22" i="32"/>
  <c r="PG22" i="32"/>
  <c r="PD22" i="32"/>
  <c r="PJ22" i="32"/>
  <c r="PI21" i="32"/>
  <c r="PG21" i="32"/>
  <c r="PD21" i="32"/>
  <c r="PK20" i="32"/>
  <c r="PI20" i="32"/>
  <c r="PH20" i="32"/>
  <c r="PG20" i="32"/>
  <c r="PD20" i="32"/>
  <c r="PJ20" i="32"/>
  <c r="PK19" i="32"/>
  <c r="PI19" i="32"/>
  <c r="PH19" i="32"/>
  <c r="PG19" i="32"/>
  <c r="PD19" i="32"/>
  <c r="PJ19" i="32"/>
  <c r="PK18" i="32"/>
  <c r="PI18" i="32"/>
  <c r="PH18" i="32"/>
  <c r="PG18" i="32"/>
  <c r="PD18" i="32"/>
  <c r="PJ18" i="32"/>
  <c r="PK17" i="32"/>
  <c r="PI17" i="32"/>
  <c r="PH17" i="32"/>
  <c r="PG17" i="32"/>
  <c r="PD17" i="32"/>
  <c r="PJ17" i="32"/>
  <c r="PK16" i="32"/>
  <c r="PI16" i="32"/>
  <c r="PH16" i="32"/>
  <c r="PG16" i="32"/>
  <c r="PD16" i="32"/>
  <c r="PJ16" i="32"/>
  <c r="PK15" i="32"/>
  <c r="PI15" i="32"/>
  <c r="PH15" i="32"/>
  <c r="PG15" i="32"/>
  <c r="PD15" i="32"/>
  <c r="PJ15" i="32"/>
  <c r="PK14" i="32"/>
  <c r="PI14" i="32"/>
  <c r="PH14" i="32"/>
  <c r="PG14" i="32"/>
  <c r="PD14" i="32"/>
  <c r="PJ14" i="32"/>
  <c r="PK13" i="32"/>
  <c r="PI13" i="32"/>
  <c r="PH13" i="32"/>
  <c r="PG13" i="32"/>
  <c r="PD13" i="32"/>
  <c r="PJ13" i="32"/>
  <c r="PK12" i="32"/>
  <c r="PI12" i="32"/>
  <c r="PH12" i="32"/>
  <c r="PG12" i="32"/>
  <c r="PD12" i="32"/>
  <c r="PJ12" i="32"/>
  <c r="PK11" i="32"/>
  <c r="PI11" i="32"/>
  <c r="PH11" i="32"/>
  <c r="PG11" i="32"/>
  <c r="PD11" i="32"/>
  <c r="PJ11" i="32"/>
  <c r="PK10" i="32"/>
  <c r="PI10" i="32"/>
  <c r="PH10" i="32"/>
  <c r="PG10" i="32"/>
  <c r="PD10" i="32"/>
  <c r="PJ10" i="32"/>
  <c r="PK9" i="32"/>
  <c r="PI9" i="32"/>
  <c r="PH9" i="32"/>
  <c r="PG9" i="32"/>
  <c r="PD9" i="32"/>
  <c r="PE60" i="31"/>
  <c r="PK59" i="31"/>
  <c r="PI59" i="31"/>
  <c r="PH59" i="31"/>
  <c r="PD59" i="31"/>
  <c r="PJ59" i="31"/>
  <c r="PI58" i="31"/>
  <c r="PG58" i="31"/>
  <c r="PD58" i="31"/>
  <c r="PI57" i="31"/>
  <c r="PG57" i="31"/>
  <c r="PD57" i="31"/>
  <c r="PI56" i="31"/>
  <c r="PG56" i="31"/>
  <c r="PD56" i="31"/>
  <c r="PI55" i="31"/>
  <c r="PG55" i="31"/>
  <c r="PD55" i="31"/>
  <c r="PI54" i="31"/>
  <c r="PG54" i="31"/>
  <c r="PD54" i="31"/>
  <c r="PI53" i="31"/>
  <c r="PG53" i="31"/>
  <c r="PD53" i="31"/>
  <c r="PI52" i="31"/>
  <c r="PG52" i="31"/>
  <c r="PD52" i="31"/>
  <c r="PK51" i="31"/>
  <c r="PI51" i="31"/>
  <c r="PH51" i="31"/>
  <c r="PD51" i="31"/>
  <c r="PJ51" i="31"/>
  <c r="PI50" i="31"/>
  <c r="PG50" i="31"/>
  <c r="PD50" i="31"/>
  <c r="PI49" i="31"/>
  <c r="PG49" i="31"/>
  <c r="PD49" i="31"/>
  <c r="PI48" i="31"/>
  <c r="PG48" i="31"/>
  <c r="PD48" i="31"/>
  <c r="PI47" i="31"/>
  <c r="PG47" i="31"/>
  <c r="PD47" i="31"/>
  <c r="PI46" i="31"/>
  <c r="PG46" i="31"/>
  <c r="PD46" i="31"/>
  <c r="PI45" i="31"/>
  <c r="PG45" i="31"/>
  <c r="PD45" i="31"/>
  <c r="PI44" i="31"/>
  <c r="PG44" i="31"/>
  <c r="PD44" i="31"/>
  <c r="PI43" i="31"/>
  <c r="PG43" i="31"/>
  <c r="PD43" i="31"/>
  <c r="PK42" i="31"/>
  <c r="PI42" i="31"/>
  <c r="PH42" i="31"/>
  <c r="PD42" i="31"/>
  <c r="PJ42" i="31"/>
  <c r="PK41" i="31"/>
  <c r="PI41" i="31"/>
  <c r="PH41" i="31"/>
  <c r="PD41" i="31"/>
  <c r="PJ41" i="31"/>
  <c r="PK40" i="31"/>
  <c r="PI40" i="31"/>
  <c r="PH40" i="31"/>
  <c r="PD40" i="31"/>
  <c r="PJ40" i="31"/>
  <c r="PK39" i="31"/>
  <c r="PI39" i="31"/>
  <c r="PH39" i="31"/>
  <c r="PD39" i="31"/>
  <c r="PJ39" i="31"/>
  <c r="PI38" i="31"/>
  <c r="PD38" i="31"/>
  <c r="PI37" i="31"/>
  <c r="PD37" i="31"/>
  <c r="PI36" i="31"/>
  <c r="PG36" i="31"/>
  <c r="PD36" i="31"/>
  <c r="PK35" i="31"/>
  <c r="PI35" i="31"/>
  <c r="PH35" i="31"/>
  <c r="PD35" i="31"/>
  <c r="PJ35" i="31"/>
  <c r="PI34" i="31"/>
  <c r="PG34" i="31"/>
  <c r="PD34" i="31"/>
  <c r="PI33" i="31"/>
  <c r="PG33" i="31"/>
  <c r="PD33" i="31"/>
  <c r="PK32" i="31"/>
  <c r="PI32" i="31"/>
  <c r="PH32" i="31"/>
  <c r="PG32" i="31"/>
  <c r="PD32" i="31"/>
  <c r="PJ32" i="31"/>
  <c r="PK31" i="31"/>
  <c r="PG31" i="31"/>
  <c r="PD31" i="31"/>
  <c r="PK30" i="31"/>
  <c r="PI30" i="31"/>
  <c r="PH30" i="31"/>
  <c r="PG30" i="31"/>
  <c r="PD30" i="31"/>
  <c r="PJ30" i="31"/>
  <c r="PK29" i="31"/>
  <c r="PI29" i="31"/>
  <c r="PH29" i="31"/>
  <c r="PG29" i="31"/>
  <c r="PD29" i="31"/>
  <c r="PJ29" i="31"/>
  <c r="PK28" i="31"/>
  <c r="PI28" i="31"/>
  <c r="PH28" i="31"/>
  <c r="PG28" i="31"/>
  <c r="PD28" i="31"/>
  <c r="PJ28" i="31"/>
  <c r="PK27" i="31"/>
  <c r="PI27" i="31"/>
  <c r="PH27" i="31"/>
  <c r="PG27" i="31"/>
  <c r="PD27" i="31"/>
  <c r="PJ27" i="31"/>
  <c r="PK26" i="31"/>
  <c r="PI26" i="31"/>
  <c r="PH26" i="31"/>
  <c r="PG26" i="31"/>
  <c r="PD26" i="31"/>
  <c r="PJ26" i="31"/>
  <c r="PK25" i="31"/>
  <c r="PI25" i="31"/>
  <c r="PH25" i="31"/>
  <c r="PG25" i="31"/>
  <c r="PD25" i="31"/>
  <c r="PJ25" i="31"/>
  <c r="PK24" i="31"/>
  <c r="PI24" i="31"/>
  <c r="PH24" i="31"/>
  <c r="PG24" i="31"/>
  <c r="PD24" i="31"/>
  <c r="PJ24" i="31"/>
  <c r="PK23" i="31"/>
  <c r="PI23" i="31"/>
  <c r="PH23" i="31"/>
  <c r="PG23" i="31"/>
  <c r="PD23" i="31"/>
  <c r="PJ23" i="31"/>
  <c r="PK22" i="31"/>
  <c r="PI22" i="31"/>
  <c r="PH22" i="31"/>
  <c r="PG22" i="31"/>
  <c r="PD22" i="31"/>
  <c r="PJ22" i="31"/>
  <c r="PK21" i="31"/>
  <c r="PI21" i="31"/>
  <c r="PH21" i="31"/>
  <c r="PG21" i="31"/>
  <c r="PD21" i="31"/>
  <c r="PJ21" i="31"/>
  <c r="PK20" i="31"/>
  <c r="PI20" i="31"/>
  <c r="PH20" i="31"/>
  <c r="PG20" i="31"/>
  <c r="PD20" i="31"/>
  <c r="PJ20" i="31"/>
  <c r="PK19" i="31"/>
  <c r="PI19" i="31"/>
  <c r="PH19" i="31"/>
  <c r="PG19" i="31"/>
  <c r="PD19" i="31"/>
  <c r="PJ19" i="31"/>
  <c r="PK18" i="31"/>
  <c r="PI18" i="31"/>
  <c r="PH18" i="31"/>
  <c r="PG18" i="31"/>
  <c r="PD18" i="31"/>
  <c r="PJ18" i="31"/>
  <c r="PK17" i="31"/>
  <c r="PI17" i="31"/>
  <c r="PH17" i="31"/>
  <c r="PG17" i="31"/>
  <c r="PD17" i="31"/>
  <c r="PJ17" i="31"/>
  <c r="PK16" i="31"/>
  <c r="PI16" i="31"/>
  <c r="PH16" i="31"/>
  <c r="PG16" i="31"/>
  <c r="PD16" i="31"/>
  <c r="PJ16" i="31"/>
  <c r="PK15" i="31"/>
  <c r="PI15" i="31"/>
  <c r="PH15" i="31"/>
  <c r="PG15" i="31"/>
  <c r="PD15" i="31"/>
  <c r="PJ15" i="31"/>
  <c r="PK14" i="31"/>
  <c r="PI14" i="31"/>
  <c r="PH14" i="31"/>
  <c r="PG14" i="31"/>
  <c r="PD14" i="31"/>
  <c r="PJ14" i="31"/>
  <c r="PK13" i="31"/>
  <c r="PI13" i="31"/>
  <c r="PH13" i="31"/>
  <c r="PG13" i="31"/>
  <c r="PD13" i="31"/>
  <c r="PJ13" i="31"/>
  <c r="PK12" i="31"/>
  <c r="PI12" i="31"/>
  <c r="PH12" i="31"/>
  <c r="PG12" i="31"/>
  <c r="PD12" i="31"/>
  <c r="PJ12" i="31"/>
  <c r="PK11" i="31"/>
  <c r="PI11" i="31"/>
  <c r="PH11" i="31"/>
  <c r="PG11" i="31"/>
  <c r="PD11" i="31"/>
  <c r="PJ11" i="31"/>
  <c r="PK10" i="31"/>
  <c r="PI10" i="31"/>
  <c r="PH10" i="31"/>
  <c r="PG10" i="31"/>
  <c r="PD10" i="31"/>
  <c r="PJ10" i="31"/>
  <c r="PK9" i="31"/>
  <c r="PI9" i="31"/>
  <c r="PH9" i="31"/>
  <c r="PG9" i="31"/>
  <c r="PD9" i="31"/>
  <c r="PE29" i="22"/>
  <c r="PK28" i="22"/>
  <c r="PI28" i="22"/>
  <c r="PH28" i="22"/>
  <c r="PD28" i="22"/>
  <c r="PJ28" i="22"/>
  <c r="PK27" i="22"/>
  <c r="PI27" i="22"/>
  <c r="PH27" i="22"/>
  <c r="PD27" i="22"/>
  <c r="PJ27" i="22"/>
  <c r="PK26" i="22"/>
  <c r="PI26" i="22"/>
  <c r="PH26" i="22"/>
  <c r="PD26" i="22"/>
  <c r="PJ26" i="22"/>
  <c r="PI25" i="22"/>
  <c r="PG25" i="22"/>
  <c r="PD25" i="22"/>
  <c r="PI24" i="22"/>
  <c r="PG24" i="22"/>
  <c r="PD24" i="22"/>
  <c r="PK23" i="22"/>
  <c r="PI23" i="22"/>
  <c r="PH23" i="22"/>
  <c r="PD23" i="22"/>
  <c r="PJ23" i="22"/>
  <c r="PI22" i="22"/>
  <c r="PG22" i="22"/>
  <c r="PD22" i="22"/>
  <c r="PI21" i="22"/>
  <c r="PG21" i="22"/>
  <c r="PD21" i="22"/>
  <c r="PI20" i="22"/>
  <c r="PG20" i="22"/>
  <c r="PD20" i="22"/>
  <c r="PI19" i="22"/>
  <c r="PG19" i="22"/>
  <c r="PD19" i="22"/>
  <c r="PI18" i="22"/>
  <c r="PG18" i="22"/>
  <c r="PD18" i="22"/>
  <c r="PI17" i="22"/>
  <c r="PG17" i="22"/>
  <c r="PD17" i="22"/>
  <c r="PI16" i="22"/>
  <c r="PG16" i="22"/>
  <c r="PD16" i="22"/>
  <c r="PI15" i="22"/>
  <c r="PG15" i="22"/>
  <c r="PD15" i="22"/>
  <c r="PK14" i="22"/>
  <c r="PI14" i="22"/>
  <c r="PH14" i="22"/>
  <c r="PG14" i="22"/>
  <c r="PD14" i="22"/>
  <c r="PJ14" i="22"/>
  <c r="PK13" i="22"/>
  <c r="PI13" i="22"/>
  <c r="PH13" i="22"/>
  <c r="PG13" i="22"/>
  <c r="PD13" i="22"/>
  <c r="PJ13" i="22"/>
  <c r="PK12" i="22"/>
  <c r="PI12" i="22"/>
  <c r="PH12" i="22"/>
  <c r="PG12" i="22"/>
  <c r="PD12" i="22"/>
  <c r="PJ12" i="22"/>
  <c r="PK11" i="22"/>
  <c r="PI11" i="22"/>
  <c r="PH11" i="22"/>
  <c r="PG11" i="22"/>
  <c r="PD11" i="22"/>
  <c r="PJ11" i="22"/>
  <c r="PK10" i="22"/>
  <c r="PI10" i="22"/>
  <c r="PH10" i="22"/>
  <c r="PG10" i="22"/>
  <c r="PD10" i="22"/>
  <c r="PJ10" i="22"/>
  <c r="PK9" i="22"/>
  <c r="PI9" i="22"/>
  <c r="PH9" i="22"/>
  <c r="PG9" i="22"/>
  <c r="PD9" i="22"/>
  <c r="PJ9" i="22"/>
  <c r="PE57" i="21"/>
  <c r="PC57" i="21"/>
  <c r="PK54" i="21"/>
  <c r="PI54" i="21"/>
  <c r="PH54" i="21"/>
  <c r="PD54" i="21"/>
  <c r="PJ54" i="21"/>
  <c r="PK53" i="21"/>
  <c r="PI53" i="21"/>
  <c r="PH53" i="21"/>
  <c r="PD53" i="21"/>
  <c r="PJ53" i="21"/>
  <c r="PK52" i="21"/>
  <c r="PI52" i="21"/>
  <c r="PH52" i="21"/>
  <c r="PG52" i="21"/>
  <c r="PD52" i="21"/>
  <c r="PJ52" i="21"/>
  <c r="PK51" i="21"/>
  <c r="PI51" i="21"/>
  <c r="PH51" i="21"/>
  <c r="PG51" i="21"/>
  <c r="PD51" i="21"/>
  <c r="PJ51" i="21"/>
  <c r="PK50" i="21"/>
  <c r="PI50" i="21"/>
  <c r="PH50" i="21"/>
  <c r="PD50" i="21"/>
  <c r="PJ50" i="21"/>
  <c r="PK49" i="21"/>
  <c r="PI49" i="21"/>
  <c r="PH49" i="21"/>
  <c r="PD49" i="21"/>
  <c r="PJ49" i="21"/>
  <c r="PK48" i="21"/>
  <c r="PI48" i="21"/>
  <c r="PH48" i="21"/>
  <c r="PD48" i="21"/>
  <c r="PJ48" i="21"/>
  <c r="PK47" i="21"/>
  <c r="PI47" i="21"/>
  <c r="PH47" i="21"/>
  <c r="PD47" i="21"/>
  <c r="PJ47" i="21"/>
  <c r="PK46" i="21"/>
  <c r="PI46" i="21"/>
  <c r="PH46" i="21"/>
  <c r="PD46" i="21"/>
  <c r="PJ46" i="21"/>
  <c r="PK45" i="21"/>
  <c r="PI45" i="21"/>
  <c r="PH45" i="21"/>
  <c r="PG45" i="21"/>
  <c r="PD45" i="21"/>
  <c r="PJ45" i="21"/>
  <c r="PK44" i="21"/>
  <c r="PI44" i="21"/>
  <c r="PH44" i="21"/>
  <c r="PG44" i="21"/>
  <c r="PD44" i="21"/>
  <c r="PJ44" i="21"/>
  <c r="PK43" i="21"/>
  <c r="PI43" i="21"/>
  <c r="PH43" i="21"/>
  <c r="PG43" i="21"/>
  <c r="PD43" i="21"/>
  <c r="PJ43" i="21"/>
  <c r="PK42" i="21"/>
  <c r="PI42" i="21"/>
  <c r="PH42" i="21"/>
  <c r="PG42" i="21"/>
  <c r="PD42" i="21"/>
  <c r="PJ42" i="21"/>
  <c r="PK41" i="21"/>
  <c r="PI41" i="21"/>
  <c r="PH41" i="21"/>
  <c r="PG41" i="21"/>
  <c r="PD41" i="21"/>
  <c r="PJ41" i="21"/>
  <c r="PK40" i="21"/>
  <c r="PI40" i="21"/>
  <c r="PH40" i="21"/>
  <c r="PG40" i="21"/>
  <c r="PD40" i="21"/>
  <c r="PJ40" i="21"/>
  <c r="PK39" i="21"/>
  <c r="PI39" i="21"/>
  <c r="PH39" i="21"/>
  <c r="PG39" i="21"/>
  <c r="PD39" i="21"/>
  <c r="PJ39" i="21"/>
  <c r="PK38" i="21"/>
  <c r="PI38" i="21"/>
  <c r="PH38" i="21"/>
  <c r="PG38" i="21"/>
  <c r="PD38" i="21"/>
  <c r="PJ38" i="21"/>
  <c r="PK37" i="21"/>
  <c r="PI37" i="21"/>
  <c r="PH37" i="21"/>
  <c r="PG37" i="21"/>
  <c r="PD37" i="21"/>
  <c r="PJ37" i="21"/>
  <c r="PK36" i="21"/>
  <c r="PI36" i="21"/>
  <c r="PH36" i="21"/>
  <c r="PG36" i="21"/>
  <c r="PD36" i="21"/>
  <c r="PJ36" i="21"/>
  <c r="PK35" i="21"/>
  <c r="PI35" i="21"/>
  <c r="PH35" i="21"/>
  <c r="PG35" i="21"/>
  <c r="PD35" i="21"/>
  <c r="PJ35" i="21"/>
  <c r="PK34" i="21"/>
  <c r="PI34" i="21"/>
  <c r="PH34" i="21"/>
  <c r="PG34" i="21"/>
  <c r="PD34" i="21"/>
  <c r="PJ34" i="21"/>
  <c r="PK33" i="21"/>
  <c r="PI33" i="21"/>
  <c r="PH33" i="21"/>
  <c r="PG33" i="21"/>
  <c r="PD33" i="21"/>
  <c r="PJ33" i="21"/>
  <c r="PK32" i="21"/>
  <c r="PI32" i="21"/>
  <c r="PH32" i="21"/>
  <c r="PG32" i="21"/>
  <c r="PD32" i="21"/>
  <c r="PJ32" i="21"/>
  <c r="PK31" i="21"/>
  <c r="PI31" i="21"/>
  <c r="PH31" i="21"/>
  <c r="PG31" i="21"/>
  <c r="PD31" i="21"/>
  <c r="PJ31" i="21"/>
  <c r="PK30" i="21"/>
  <c r="PI30" i="21"/>
  <c r="PH30" i="21"/>
  <c r="PG30" i="21"/>
  <c r="PD30" i="21"/>
  <c r="PJ30" i="21"/>
  <c r="PK29" i="21"/>
  <c r="PI29" i="21"/>
  <c r="PH29" i="21"/>
  <c r="PG29" i="21"/>
  <c r="PD29" i="21"/>
  <c r="PJ29" i="21"/>
  <c r="PK28" i="21"/>
  <c r="PI28" i="21"/>
  <c r="PH28" i="21"/>
  <c r="PG28" i="21"/>
  <c r="PD28" i="21"/>
  <c r="PJ28" i="21"/>
  <c r="PK27" i="21"/>
  <c r="PI27" i="21"/>
  <c r="PH27" i="21"/>
  <c r="PG27" i="21"/>
  <c r="PD27" i="21"/>
  <c r="PJ27" i="21"/>
  <c r="PI26" i="21"/>
  <c r="PG26" i="21"/>
  <c r="PD26" i="21"/>
  <c r="PK25" i="21"/>
  <c r="PI25" i="21"/>
  <c r="PH25" i="21"/>
  <c r="PG25" i="21"/>
  <c r="PD25" i="21"/>
  <c r="PJ25" i="21"/>
  <c r="PK24" i="21"/>
  <c r="PI24" i="21"/>
  <c r="PH24" i="21"/>
  <c r="PG24" i="21"/>
  <c r="PD24" i="21"/>
  <c r="PJ24" i="21"/>
  <c r="PK23" i="21"/>
  <c r="PI23" i="21"/>
  <c r="PH23" i="21"/>
  <c r="PG23" i="21"/>
  <c r="PD23" i="21"/>
  <c r="PJ23" i="21"/>
  <c r="PK22" i="21"/>
  <c r="PI22" i="21"/>
  <c r="PH22" i="21"/>
  <c r="PG22" i="21"/>
  <c r="PD22" i="21"/>
  <c r="PJ22" i="21"/>
  <c r="PK21" i="21"/>
  <c r="PI21" i="21"/>
  <c r="PH21" i="21"/>
  <c r="PG21" i="21"/>
  <c r="PD21" i="21"/>
  <c r="PJ21" i="21"/>
  <c r="PK20" i="21"/>
  <c r="PI20" i="21"/>
  <c r="PH20" i="21"/>
  <c r="PG20" i="21"/>
  <c r="PD20" i="21"/>
  <c r="PJ20" i="21"/>
  <c r="PK19" i="21"/>
  <c r="PI19" i="21"/>
  <c r="PH19" i="21"/>
  <c r="PG19" i="21"/>
  <c r="PD19" i="21"/>
  <c r="PJ19" i="21"/>
  <c r="PK18" i="21"/>
  <c r="PI18" i="21"/>
  <c r="PH18" i="21"/>
  <c r="PG18" i="21"/>
  <c r="PD18" i="21"/>
  <c r="PJ18" i="21"/>
  <c r="PK17" i="21"/>
  <c r="PI17" i="21"/>
  <c r="PH17" i="21"/>
  <c r="PG17" i="21"/>
  <c r="PD17" i="21"/>
  <c r="PJ17" i="21"/>
  <c r="PK16" i="21"/>
  <c r="PI16" i="21"/>
  <c r="PH16" i="21"/>
  <c r="PG16" i="21"/>
  <c r="PD16" i="21"/>
  <c r="PJ16" i="21"/>
  <c r="PK15" i="21"/>
  <c r="PI15" i="21"/>
  <c r="PH15" i="21"/>
  <c r="PG15" i="21"/>
  <c r="PD15" i="21"/>
  <c r="PJ15" i="21"/>
  <c r="PK14" i="21"/>
  <c r="PI14" i="21"/>
  <c r="PH14" i="21"/>
  <c r="PG14" i="21"/>
  <c r="PD14" i="21"/>
  <c r="PJ14" i="21"/>
  <c r="PK13" i="21"/>
  <c r="PI13" i="21"/>
  <c r="PH13" i="21"/>
  <c r="PG13" i="21"/>
  <c r="PD13" i="21"/>
  <c r="PJ13" i="21"/>
  <c r="PK12" i="21"/>
  <c r="PI12" i="21"/>
  <c r="PH12" i="21"/>
  <c r="PG12" i="21"/>
  <c r="PD12" i="21"/>
  <c r="PJ12" i="21"/>
  <c r="PK11" i="21"/>
  <c r="PI11" i="21"/>
  <c r="PH11" i="21"/>
  <c r="PG11" i="21"/>
  <c r="PD11" i="21"/>
  <c r="PJ11" i="21"/>
  <c r="PK10" i="21"/>
  <c r="PI10" i="21"/>
  <c r="PH10" i="21"/>
  <c r="PG10" i="21"/>
  <c r="PD10" i="21"/>
  <c r="PJ10" i="21"/>
  <c r="PK9" i="21"/>
  <c r="PI9" i="21"/>
  <c r="PH9" i="21"/>
  <c r="PG9" i="21"/>
  <c r="PD9" i="21"/>
  <c r="PJ9" i="21"/>
  <c r="PK107" i="39"/>
  <c r="PI107" i="39"/>
  <c r="PH107" i="39"/>
  <c r="PD107" i="39"/>
  <c r="PK103" i="39"/>
  <c r="PI103" i="39"/>
  <c r="PH103" i="39"/>
  <c r="PD103" i="39"/>
  <c r="PI102" i="39"/>
  <c r="PG102" i="39"/>
  <c r="PD102" i="39"/>
  <c r="PK101" i="39"/>
  <c r="PI101" i="39"/>
  <c r="PH101" i="39"/>
  <c r="PD101" i="39"/>
  <c r="PK100" i="39"/>
  <c r="PI100" i="39"/>
  <c r="PH100" i="39"/>
  <c r="PG100" i="39"/>
  <c r="PD100" i="39"/>
  <c r="PK99" i="39"/>
  <c r="PI99" i="39"/>
  <c r="PH99" i="39"/>
  <c r="PG99" i="39"/>
  <c r="PD99" i="39"/>
  <c r="PK98" i="39"/>
  <c r="PI98" i="39"/>
  <c r="PH98" i="39"/>
  <c r="PG98" i="39"/>
  <c r="PD98" i="39"/>
  <c r="PK97" i="39"/>
  <c r="PI97" i="39"/>
  <c r="PH97" i="39"/>
  <c r="PG97" i="39"/>
  <c r="PD97" i="39"/>
  <c r="PK96" i="39"/>
  <c r="PI96" i="39"/>
  <c r="PH96" i="39"/>
  <c r="PG96" i="39"/>
  <c r="PD96" i="39"/>
  <c r="PK95" i="39"/>
  <c r="PI95" i="39"/>
  <c r="PH95" i="39"/>
  <c r="PG95" i="39"/>
  <c r="PD95" i="39"/>
  <c r="PK94" i="39"/>
  <c r="PI94" i="39"/>
  <c r="PH94" i="39"/>
  <c r="PG94" i="39"/>
  <c r="PD94" i="39"/>
  <c r="PK93" i="39"/>
  <c r="PI93" i="39"/>
  <c r="PH93" i="39"/>
  <c r="PG93" i="39"/>
  <c r="PD93" i="39"/>
  <c r="PK92" i="39"/>
  <c r="PI92" i="39"/>
  <c r="PH92" i="39"/>
  <c r="PG92" i="39"/>
  <c r="PD92" i="39"/>
  <c r="PK91" i="39"/>
  <c r="PI91" i="39"/>
  <c r="PH91" i="39"/>
  <c r="PG91" i="39"/>
  <c r="PD91" i="39"/>
  <c r="PK90" i="39"/>
  <c r="PI90" i="39"/>
  <c r="PH90" i="39"/>
  <c r="PG90" i="39"/>
  <c r="PD90" i="39"/>
  <c r="PK89" i="39"/>
  <c r="PI89" i="39"/>
  <c r="PH89" i="39"/>
  <c r="PG89" i="39"/>
  <c r="PD89" i="39"/>
  <c r="PK88" i="39"/>
  <c r="PI88" i="39"/>
  <c r="PH88" i="39"/>
  <c r="PG88" i="39"/>
  <c r="PD88" i="39"/>
  <c r="PK87" i="39"/>
  <c r="PI87" i="39"/>
  <c r="PH87" i="39"/>
  <c r="PD87" i="39"/>
  <c r="PK86" i="39"/>
  <c r="PI86" i="39"/>
  <c r="PH86" i="39"/>
  <c r="PG86" i="39"/>
  <c r="PD86" i="39"/>
  <c r="PK85" i="39"/>
  <c r="PI85" i="39"/>
  <c r="PH85" i="39"/>
  <c r="PG85" i="39"/>
  <c r="PD85" i="39"/>
  <c r="PK84" i="39"/>
  <c r="PI84" i="39"/>
  <c r="PH84" i="39"/>
  <c r="PG84" i="39"/>
  <c r="PD84" i="39"/>
  <c r="PK83" i="39"/>
  <c r="PI83" i="39"/>
  <c r="PH83" i="39"/>
  <c r="PG83" i="39"/>
  <c r="PD83" i="39"/>
  <c r="PK82" i="39"/>
  <c r="PI82" i="39"/>
  <c r="PH82" i="39"/>
  <c r="PG82" i="39"/>
  <c r="PD82" i="39"/>
  <c r="PK81" i="39"/>
  <c r="PI81" i="39"/>
  <c r="PH81" i="39"/>
  <c r="PG81" i="39"/>
  <c r="PD81" i="39"/>
  <c r="PK80" i="39"/>
  <c r="PI80" i="39"/>
  <c r="PH80" i="39"/>
  <c r="PG80" i="39"/>
  <c r="PD80" i="39"/>
  <c r="PK79" i="39"/>
  <c r="PI79" i="39"/>
  <c r="PH79" i="39"/>
  <c r="PG79" i="39"/>
  <c r="PD79" i="39"/>
  <c r="PK78" i="39"/>
  <c r="PI78" i="39"/>
  <c r="PH78" i="39"/>
  <c r="PG78" i="39"/>
  <c r="PD78" i="39"/>
  <c r="PK77" i="39"/>
  <c r="PI77" i="39"/>
  <c r="PH77" i="39"/>
  <c r="PG77" i="39"/>
  <c r="PD77" i="39"/>
  <c r="PK76" i="39"/>
  <c r="PI76" i="39"/>
  <c r="PH76" i="39"/>
  <c r="PG76" i="39"/>
  <c r="PD76" i="39"/>
  <c r="PK75" i="39"/>
  <c r="PI75" i="39"/>
  <c r="PH75" i="39"/>
  <c r="PG75" i="39"/>
  <c r="PD75" i="39"/>
  <c r="PK74" i="39"/>
  <c r="PI74" i="39"/>
  <c r="PH74" i="39"/>
  <c r="PG74" i="39"/>
  <c r="PD74" i="39"/>
  <c r="PK73" i="39"/>
  <c r="PI73" i="39"/>
  <c r="PH73" i="39"/>
  <c r="PG73" i="39"/>
  <c r="PD73" i="39"/>
  <c r="PK72" i="39"/>
  <c r="PI72" i="39"/>
  <c r="PH72" i="39"/>
  <c r="PG72" i="39"/>
  <c r="PD72" i="39"/>
  <c r="PK71" i="39"/>
  <c r="PI71" i="39"/>
  <c r="PH71" i="39"/>
  <c r="PG71" i="39"/>
  <c r="PD71" i="39"/>
  <c r="PK70" i="39"/>
  <c r="PI70" i="39"/>
  <c r="PH70" i="39"/>
  <c r="PG70" i="39"/>
  <c r="PD70" i="39"/>
  <c r="PK69" i="39"/>
  <c r="PI69" i="39"/>
  <c r="PH69" i="39"/>
  <c r="PG69" i="39"/>
  <c r="PD69" i="39"/>
  <c r="PK68" i="39"/>
  <c r="PI68" i="39"/>
  <c r="PH68" i="39"/>
  <c r="PG68" i="39"/>
  <c r="PD68" i="39"/>
  <c r="PK67" i="39"/>
  <c r="PI67" i="39"/>
  <c r="PH67" i="39"/>
  <c r="PG67" i="39"/>
  <c r="PD67" i="39"/>
  <c r="PK66" i="39"/>
  <c r="PI66" i="39"/>
  <c r="PH66" i="39"/>
  <c r="PG66" i="39"/>
  <c r="PD66" i="39"/>
  <c r="PK65" i="39"/>
  <c r="PI65" i="39"/>
  <c r="PH65" i="39"/>
  <c r="PG65" i="39"/>
  <c r="PD65" i="39"/>
  <c r="PK64" i="39"/>
  <c r="PI64" i="39"/>
  <c r="PH64" i="39"/>
  <c r="PG64" i="39"/>
  <c r="PD64" i="39"/>
  <c r="PK63" i="39"/>
  <c r="PI63" i="39"/>
  <c r="PH63" i="39"/>
  <c r="PG63" i="39"/>
  <c r="PD63" i="39"/>
  <c r="PK62" i="39"/>
  <c r="PI62" i="39"/>
  <c r="PH62" i="39"/>
  <c r="PG62" i="39"/>
  <c r="PD62" i="39"/>
  <c r="PK61" i="39"/>
  <c r="PI61" i="39"/>
  <c r="PH61" i="39"/>
  <c r="PG61" i="39"/>
  <c r="PD61" i="39"/>
  <c r="PK60" i="39"/>
  <c r="PI60" i="39"/>
  <c r="PH60" i="39"/>
  <c r="PG60" i="39"/>
  <c r="PD60" i="39"/>
  <c r="PK59" i="39"/>
  <c r="PI59" i="39"/>
  <c r="PH59" i="39"/>
  <c r="PG59" i="39"/>
  <c r="PD59" i="39"/>
  <c r="PK58" i="39"/>
  <c r="PI58" i="39"/>
  <c r="PH58" i="39"/>
  <c r="PG58" i="39"/>
  <c r="PD58" i="39"/>
  <c r="PK57" i="39"/>
  <c r="PI57" i="39"/>
  <c r="PH57" i="39"/>
  <c r="PG57" i="39"/>
  <c r="PD57" i="39"/>
  <c r="PK56" i="39"/>
  <c r="PI56" i="39"/>
  <c r="PH56" i="39"/>
  <c r="PG56" i="39"/>
  <c r="PD56" i="39"/>
  <c r="PK55" i="39"/>
  <c r="PI55" i="39"/>
  <c r="PH55" i="39"/>
  <c r="PG55" i="39"/>
  <c r="PD55" i="39"/>
  <c r="PK54" i="39"/>
  <c r="PI54" i="39"/>
  <c r="PH54" i="39"/>
  <c r="PG54" i="39"/>
  <c r="PD54" i="39"/>
  <c r="PK53" i="39"/>
  <c r="PI53" i="39"/>
  <c r="PH53" i="39"/>
  <c r="PG53" i="39"/>
  <c r="PD53" i="39"/>
  <c r="PK52" i="39"/>
  <c r="PI52" i="39"/>
  <c r="PH52" i="39"/>
  <c r="PG52" i="39"/>
  <c r="PD52" i="39"/>
  <c r="PK51" i="39"/>
  <c r="PI51" i="39"/>
  <c r="PH51" i="39"/>
  <c r="PG51" i="39"/>
  <c r="PD51" i="39"/>
  <c r="PK50" i="39"/>
  <c r="PI50" i="39"/>
  <c r="PH50" i="39"/>
  <c r="PG50" i="39"/>
  <c r="PD50" i="39"/>
  <c r="PK49" i="39"/>
  <c r="PI49" i="39"/>
  <c r="PH49" i="39"/>
  <c r="PG49" i="39"/>
  <c r="PD49" i="39"/>
  <c r="PK48" i="39"/>
  <c r="PI48" i="39"/>
  <c r="PH48" i="39"/>
  <c r="PG48" i="39"/>
  <c r="PD48" i="39"/>
  <c r="PK47" i="39"/>
  <c r="PI47" i="39"/>
  <c r="PH47" i="39"/>
  <c r="PG47" i="39"/>
  <c r="PD47" i="39"/>
  <c r="PK46" i="39"/>
  <c r="PI46" i="39"/>
  <c r="PH46" i="39"/>
  <c r="PG46" i="39"/>
  <c r="PD46" i="39"/>
  <c r="PK45" i="39"/>
  <c r="PI45" i="39"/>
  <c r="PH45" i="39"/>
  <c r="PG45" i="39"/>
  <c r="PD45" i="39"/>
  <c r="PK44" i="39"/>
  <c r="PI44" i="39"/>
  <c r="PH44" i="39"/>
  <c r="PG44" i="39"/>
  <c r="PD44" i="39"/>
  <c r="PK43" i="39"/>
  <c r="PI43" i="39"/>
  <c r="PH43" i="39"/>
  <c r="PG43" i="39"/>
  <c r="PD43" i="39"/>
  <c r="PK42" i="39"/>
  <c r="PI42" i="39"/>
  <c r="PH42" i="39"/>
  <c r="PG42" i="39"/>
  <c r="PD42" i="39"/>
  <c r="PK41" i="39"/>
  <c r="PI41" i="39"/>
  <c r="PH41" i="39"/>
  <c r="PG41" i="39"/>
  <c r="PD41" i="39"/>
  <c r="PK40" i="39"/>
  <c r="PI40" i="39"/>
  <c r="PH40" i="39"/>
  <c r="PG40" i="39"/>
  <c r="PD40" i="39"/>
  <c r="PK39" i="39"/>
  <c r="PI39" i="39"/>
  <c r="PH39" i="39"/>
  <c r="PG39" i="39"/>
  <c r="PD39" i="39"/>
  <c r="PK38" i="39"/>
  <c r="PI38" i="39"/>
  <c r="PH38" i="39"/>
  <c r="PG38" i="39"/>
  <c r="PD38" i="39"/>
  <c r="PK37" i="39"/>
  <c r="PI37" i="39"/>
  <c r="PH37" i="39"/>
  <c r="PG37" i="39"/>
  <c r="PD37" i="39"/>
  <c r="PK36" i="39"/>
  <c r="PI36" i="39"/>
  <c r="PH36" i="39"/>
  <c r="PG36" i="39"/>
  <c r="PD36" i="39"/>
  <c r="PK35" i="39"/>
  <c r="PI35" i="39"/>
  <c r="PH35" i="39"/>
  <c r="PG35" i="39"/>
  <c r="PD35" i="39"/>
  <c r="PK34" i="39"/>
  <c r="PI34" i="39"/>
  <c r="PH34" i="39"/>
  <c r="PG34" i="39"/>
  <c r="PD34" i="39"/>
  <c r="PK33" i="39"/>
  <c r="PI33" i="39"/>
  <c r="PH33" i="39"/>
  <c r="PG33" i="39"/>
  <c r="PD33" i="39"/>
  <c r="PK32" i="39"/>
  <c r="PI32" i="39"/>
  <c r="PH32" i="39"/>
  <c r="PG32" i="39"/>
  <c r="PD32" i="39"/>
  <c r="PK31" i="39"/>
  <c r="PI31" i="39"/>
  <c r="PH31" i="39"/>
  <c r="PG31" i="39"/>
  <c r="PD31" i="39"/>
  <c r="PK30" i="39"/>
  <c r="PI30" i="39"/>
  <c r="PH30" i="39"/>
  <c r="PG30" i="39"/>
  <c r="PD30" i="39"/>
  <c r="PK29" i="39"/>
  <c r="PI29" i="39"/>
  <c r="PH29" i="39"/>
  <c r="PG29" i="39"/>
  <c r="PD29" i="39"/>
  <c r="PK28" i="39"/>
  <c r="PI28" i="39"/>
  <c r="PH28" i="39"/>
  <c r="PG28" i="39"/>
  <c r="PD28" i="39"/>
  <c r="PK27" i="39"/>
  <c r="PI27" i="39"/>
  <c r="PH27" i="39"/>
  <c r="PG27" i="39"/>
  <c r="PD27" i="39"/>
  <c r="PK26" i="39"/>
  <c r="PI26" i="39"/>
  <c r="PH26" i="39"/>
  <c r="PG26" i="39"/>
  <c r="PD26" i="39"/>
  <c r="PK25" i="39"/>
  <c r="PI25" i="39"/>
  <c r="PH25" i="39"/>
  <c r="PG25" i="39"/>
  <c r="PD25" i="39"/>
  <c r="PK24" i="39"/>
  <c r="PI24" i="39"/>
  <c r="PH24" i="39"/>
  <c r="PG24" i="39"/>
  <c r="PD24" i="39"/>
  <c r="PK23" i="39"/>
  <c r="PI23" i="39"/>
  <c r="PH23" i="39"/>
  <c r="PG23" i="39"/>
  <c r="PD23" i="39"/>
  <c r="PK22" i="39"/>
  <c r="PI22" i="39"/>
  <c r="PH22" i="39"/>
  <c r="PG22" i="39"/>
  <c r="PD22" i="39"/>
  <c r="PK21" i="39"/>
  <c r="PI21" i="39"/>
  <c r="PH21" i="39"/>
  <c r="PG21" i="39"/>
  <c r="PD21" i="39"/>
  <c r="PK20" i="39"/>
  <c r="PI20" i="39"/>
  <c r="PH20" i="39"/>
  <c r="PG20" i="39"/>
  <c r="PD20" i="39"/>
  <c r="PK19" i="39"/>
  <c r="PI19" i="39"/>
  <c r="PH19" i="39"/>
  <c r="PG19" i="39"/>
  <c r="PD19" i="39"/>
  <c r="PF19" i="39"/>
  <c r="PL19" i="39"/>
  <c r="PK18" i="39"/>
  <c r="PI18" i="39"/>
  <c r="PH18" i="39"/>
  <c r="PG18" i="39"/>
  <c r="PD18" i="39"/>
  <c r="PF18" i="39"/>
  <c r="PL18" i="39"/>
  <c r="PK17" i="39"/>
  <c r="PI17" i="39"/>
  <c r="PH17" i="39"/>
  <c r="PG17" i="39"/>
  <c r="PD17" i="39"/>
  <c r="PF17" i="39"/>
  <c r="PL17" i="39"/>
  <c r="PK16" i="39"/>
  <c r="PI16" i="39"/>
  <c r="PH16" i="39"/>
  <c r="PG16" i="39"/>
  <c r="PD16" i="39"/>
  <c r="PF16" i="39"/>
  <c r="PL16" i="39"/>
  <c r="PK15" i="39"/>
  <c r="PI15" i="39"/>
  <c r="PH15" i="39"/>
  <c r="PG15" i="39"/>
  <c r="PD15" i="39"/>
  <c r="PF15" i="39"/>
  <c r="PL15" i="39"/>
  <c r="PK14" i="39"/>
  <c r="PI14" i="39"/>
  <c r="PH14" i="39"/>
  <c r="PG14" i="39"/>
  <c r="PD14" i="39"/>
  <c r="PF14" i="39"/>
  <c r="PL14" i="39"/>
  <c r="PK13" i="39"/>
  <c r="PI13" i="39"/>
  <c r="PH13" i="39"/>
  <c r="PG13" i="39"/>
  <c r="PD13" i="39"/>
  <c r="PF13" i="39"/>
  <c r="PL13" i="39"/>
  <c r="PK12" i="39"/>
  <c r="PI12" i="39"/>
  <c r="PH12" i="39"/>
  <c r="PG12" i="39"/>
  <c r="PD12" i="39"/>
  <c r="PF12" i="39"/>
  <c r="PL12" i="39"/>
  <c r="PK11" i="39"/>
  <c r="PI11" i="39"/>
  <c r="PH11" i="39"/>
  <c r="PG11" i="39"/>
  <c r="PD11" i="39"/>
  <c r="PF11" i="39"/>
  <c r="PL11" i="39"/>
  <c r="PK10" i="39"/>
  <c r="PI10" i="39"/>
  <c r="PH10" i="39"/>
  <c r="PG10" i="39"/>
  <c r="PD10" i="39"/>
  <c r="PF10" i="39"/>
  <c r="PL10" i="39"/>
  <c r="PK9" i="39"/>
  <c r="PI9" i="39"/>
  <c r="PH9" i="39"/>
  <c r="PD9" i="39"/>
  <c r="PJ9" i="39"/>
  <c r="PE108" i="39"/>
  <c r="PK123" i="19"/>
  <c r="PI123" i="19"/>
  <c r="PH123" i="19"/>
  <c r="PK122" i="19"/>
  <c r="PI122" i="19"/>
  <c r="PH122" i="19"/>
  <c r="PK121" i="19"/>
  <c r="PI121" i="19"/>
  <c r="PH121" i="19"/>
  <c r="PK120" i="19"/>
  <c r="PI120" i="19"/>
  <c r="PH120" i="19"/>
  <c r="PK119" i="19"/>
  <c r="PI119" i="19"/>
  <c r="PH119" i="19"/>
  <c r="PK118" i="19"/>
  <c r="PI118" i="19"/>
  <c r="PH118" i="19"/>
  <c r="PK117" i="19"/>
  <c r="PI117" i="19"/>
  <c r="PH117" i="19"/>
  <c r="PK116" i="19"/>
  <c r="PI116" i="19"/>
  <c r="PH116" i="19"/>
  <c r="PI115" i="19"/>
  <c r="PG115" i="19"/>
  <c r="PK114" i="19"/>
  <c r="PI114" i="19"/>
  <c r="PH114" i="19"/>
  <c r="PI113" i="19"/>
  <c r="PK112" i="19"/>
  <c r="PI112" i="19"/>
  <c r="PH112" i="19"/>
  <c r="PK111" i="19"/>
  <c r="PG111" i="19"/>
  <c r="PK110" i="19"/>
  <c r="PI110" i="19"/>
  <c r="PH110" i="19"/>
  <c r="PG110" i="19"/>
  <c r="PK109" i="19"/>
  <c r="PI109" i="19"/>
  <c r="PH109" i="19"/>
  <c r="PG109" i="19"/>
  <c r="PK108" i="19"/>
  <c r="PI108" i="19"/>
  <c r="PH108" i="19"/>
  <c r="PG108" i="19"/>
  <c r="PK107" i="19"/>
  <c r="PI107" i="19"/>
  <c r="PH107" i="19"/>
  <c r="PG107" i="19"/>
  <c r="PK106" i="19"/>
  <c r="PI106" i="19"/>
  <c r="PH106" i="19"/>
  <c r="PG106" i="19"/>
  <c r="PK105" i="19"/>
  <c r="PI105" i="19"/>
  <c r="PH105" i="19"/>
  <c r="PG105" i="19"/>
  <c r="PK104" i="19"/>
  <c r="PI104" i="19"/>
  <c r="PH104" i="19"/>
  <c r="PG104" i="19"/>
  <c r="PK103" i="19"/>
  <c r="PI103" i="19"/>
  <c r="PH103" i="19"/>
  <c r="PG103" i="19"/>
  <c r="PK102" i="19"/>
  <c r="PI102" i="19"/>
  <c r="PH102" i="19"/>
  <c r="PG102" i="19"/>
  <c r="PK101" i="19"/>
  <c r="PI101" i="19"/>
  <c r="PH101" i="19"/>
  <c r="PG101" i="19"/>
  <c r="PK100" i="19"/>
  <c r="PI100" i="19"/>
  <c r="PH100" i="19"/>
  <c r="PG100" i="19"/>
  <c r="PK99" i="19"/>
  <c r="PI99" i="19"/>
  <c r="PH99" i="19"/>
  <c r="PG99" i="19"/>
  <c r="PK98" i="19"/>
  <c r="PI98" i="19"/>
  <c r="PH98" i="19"/>
  <c r="PG98" i="19"/>
  <c r="PK97" i="19"/>
  <c r="PI97" i="19"/>
  <c r="PH97" i="19"/>
  <c r="PG97" i="19"/>
  <c r="PK96" i="19"/>
  <c r="PI96" i="19"/>
  <c r="PH96" i="19"/>
  <c r="PG96" i="19"/>
  <c r="PK95" i="19"/>
  <c r="PI95" i="19"/>
  <c r="PH95" i="19"/>
  <c r="PG95" i="19"/>
  <c r="PK94" i="19"/>
  <c r="PI94" i="19"/>
  <c r="PH94" i="19"/>
  <c r="PG94" i="19"/>
  <c r="PK93" i="19"/>
  <c r="PI93" i="19"/>
  <c r="PH93" i="19"/>
  <c r="PG93" i="19"/>
  <c r="PK92" i="19"/>
  <c r="PI92" i="19"/>
  <c r="PH92" i="19"/>
  <c r="PG92" i="19"/>
  <c r="PK91" i="19"/>
  <c r="PI91" i="19"/>
  <c r="PH91" i="19"/>
  <c r="PG91" i="19"/>
  <c r="PK90" i="19"/>
  <c r="PI90" i="19"/>
  <c r="PH90" i="19"/>
  <c r="PG90" i="19"/>
  <c r="PK89" i="19"/>
  <c r="PI89" i="19"/>
  <c r="PH89" i="19"/>
  <c r="PG89" i="19"/>
  <c r="PK88" i="19"/>
  <c r="PI88" i="19"/>
  <c r="PH88" i="19"/>
  <c r="PG88" i="19"/>
  <c r="PK87" i="19"/>
  <c r="PI87" i="19"/>
  <c r="PH87" i="19"/>
  <c r="PG87" i="19"/>
  <c r="PK86" i="19"/>
  <c r="PI86" i="19"/>
  <c r="PH86" i="19"/>
  <c r="PG86" i="19"/>
  <c r="PK85" i="19"/>
  <c r="PI85" i="19"/>
  <c r="PH85" i="19"/>
  <c r="PG85" i="19"/>
  <c r="PK84" i="19"/>
  <c r="PI84" i="19"/>
  <c r="PH84" i="19"/>
  <c r="PG84" i="19"/>
  <c r="PK83" i="19"/>
  <c r="PI83" i="19"/>
  <c r="PH83" i="19"/>
  <c r="PG83" i="19"/>
  <c r="PK82" i="19"/>
  <c r="PI82" i="19"/>
  <c r="PH82" i="19"/>
  <c r="PG82" i="19"/>
  <c r="PK81" i="19"/>
  <c r="PI81" i="19"/>
  <c r="PH81" i="19"/>
  <c r="PG81" i="19"/>
  <c r="PK80" i="19"/>
  <c r="PI80" i="19"/>
  <c r="PH80" i="19"/>
  <c r="PG80" i="19"/>
  <c r="PK79" i="19"/>
  <c r="PI79" i="19"/>
  <c r="PH79" i="19"/>
  <c r="PG79" i="19"/>
  <c r="PK78" i="19"/>
  <c r="PI78" i="19"/>
  <c r="PH78" i="19"/>
  <c r="PG78" i="19"/>
  <c r="PK77" i="19"/>
  <c r="PI77" i="19"/>
  <c r="PH77" i="19"/>
  <c r="PG77" i="19"/>
  <c r="PK76" i="19"/>
  <c r="PI76" i="19"/>
  <c r="PH76" i="19"/>
  <c r="PG76" i="19"/>
  <c r="PK75" i="19"/>
  <c r="PI75" i="19"/>
  <c r="PH75" i="19"/>
  <c r="PG75" i="19"/>
  <c r="PK74" i="19"/>
  <c r="PI74" i="19"/>
  <c r="PH74" i="19"/>
  <c r="PG74" i="19"/>
  <c r="PK73" i="19"/>
  <c r="PI73" i="19"/>
  <c r="PH73" i="19"/>
  <c r="PG73" i="19"/>
  <c r="PK72" i="19"/>
  <c r="PI72" i="19"/>
  <c r="PH72" i="19"/>
  <c r="PG72" i="19"/>
  <c r="PK71" i="19"/>
  <c r="PI71" i="19"/>
  <c r="PH71" i="19"/>
  <c r="PG71" i="19"/>
  <c r="PK70" i="19"/>
  <c r="PI70" i="19"/>
  <c r="PH70" i="19"/>
  <c r="PG70" i="19"/>
  <c r="PK69" i="19"/>
  <c r="PI69" i="19"/>
  <c r="PH69" i="19"/>
  <c r="PG69" i="19"/>
  <c r="PK68" i="19"/>
  <c r="PI68" i="19"/>
  <c r="PH68" i="19"/>
  <c r="PG68" i="19"/>
  <c r="PK67" i="19"/>
  <c r="PI67" i="19"/>
  <c r="PH67" i="19"/>
  <c r="PG67" i="19"/>
  <c r="PK66" i="19"/>
  <c r="PI66" i="19"/>
  <c r="PH66" i="19"/>
  <c r="PG66" i="19"/>
  <c r="PK65" i="19"/>
  <c r="PI65" i="19"/>
  <c r="PH65" i="19"/>
  <c r="PG65" i="19"/>
  <c r="PK64" i="19"/>
  <c r="PI64" i="19"/>
  <c r="PH64" i="19"/>
  <c r="PG64" i="19"/>
  <c r="PK63" i="19"/>
  <c r="PI63" i="19"/>
  <c r="PH63" i="19"/>
  <c r="PG63" i="19"/>
  <c r="PK62" i="19"/>
  <c r="PI62" i="19"/>
  <c r="PH62" i="19"/>
  <c r="PG62" i="19"/>
  <c r="PK61" i="19"/>
  <c r="PI61" i="19"/>
  <c r="PH61" i="19"/>
  <c r="PG61" i="19"/>
  <c r="PK60" i="19"/>
  <c r="PI60" i="19"/>
  <c r="PH60" i="19"/>
  <c r="PG60" i="19"/>
  <c r="PK59" i="19"/>
  <c r="PI59" i="19"/>
  <c r="PH59" i="19"/>
  <c r="PG59" i="19"/>
  <c r="PK58" i="19"/>
  <c r="PI58" i="19"/>
  <c r="PH58" i="19"/>
  <c r="PG58" i="19"/>
  <c r="PK57" i="19"/>
  <c r="PI57" i="19"/>
  <c r="PH57" i="19"/>
  <c r="PG57" i="19"/>
  <c r="PK56" i="19"/>
  <c r="PI56" i="19"/>
  <c r="PH56" i="19"/>
  <c r="PG56" i="19"/>
  <c r="PK55" i="19"/>
  <c r="PI55" i="19"/>
  <c r="PH55" i="19"/>
  <c r="PG55" i="19"/>
  <c r="PK54" i="19"/>
  <c r="PI54" i="19"/>
  <c r="PH54" i="19"/>
  <c r="PG54" i="19"/>
  <c r="PK53" i="19"/>
  <c r="PI53" i="19"/>
  <c r="PH53" i="19"/>
  <c r="PG53" i="19"/>
  <c r="PK52" i="19"/>
  <c r="PI52" i="19"/>
  <c r="PH52" i="19"/>
  <c r="PG52" i="19"/>
  <c r="PK51" i="19"/>
  <c r="PI51" i="19"/>
  <c r="PH51" i="19"/>
  <c r="PG51" i="19"/>
  <c r="PK50" i="19"/>
  <c r="PI50" i="19"/>
  <c r="PH50" i="19"/>
  <c r="PG50" i="19"/>
  <c r="PK49" i="19"/>
  <c r="PI49" i="19"/>
  <c r="PH49" i="19"/>
  <c r="PG49" i="19"/>
  <c r="PK48" i="19"/>
  <c r="PI48" i="19"/>
  <c r="PH48" i="19"/>
  <c r="PG48" i="19"/>
  <c r="PK47" i="19"/>
  <c r="PI47" i="19"/>
  <c r="PH47" i="19"/>
  <c r="PG47" i="19"/>
  <c r="PK46" i="19"/>
  <c r="PI46" i="19"/>
  <c r="PH46" i="19"/>
  <c r="PG46" i="19"/>
  <c r="PK45" i="19"/>
  <c r="PI45" i="19"/>
  <c r="PH45" i="19"/>
  <c r="PG45" i="19"/>
  <c r="PK44" i="19"/>
  <c r="PI44" i="19"/>
  <c r="PH44" i="19"/>
  <c r="PG44" i="19"/>
  <c r="PK43" i="19"/>
  <c r="PI43" i="19"/>
  <c r="PH43" i="19"/>
  <c r="PG43" i="19"/>
  <c r="PK42" i="19"/>
  <c r="PI42" i="19"/>
  <c r="PH42" i="19"/>
  <c r="PG42" i="19"/>
  <c r="PK41" i="19"/>
  <c r="PI41" i="19"/>
  <c r="PH41" i="19"/>
  <c r="PG41" i="19"/>
  <c r="PK40" i="19"/>
  <c r="PI40" i="19"/>
  <c r="PH40" i="19"/>
  <c r="PG40" i="19"/>
  <c r="PK39" i="19"/>
  <c r="PI39" i="19"/>
  <c r="PH39" i="19"/>
  <c r="PG39" i="19"/>
  <c r="PK38" i="19"/>
  <c r="PI38" i="19"/>
  <c r="PH38" i="19"/>
  <c r="PG38" i="19"/>
  <c r="PK37" i="19"/>
  <c r="PI37" i="19"/>
  <c r="PH37" i="19"/>
  <c r="PG37" i="19"/>
  <c r="PK36" i="19"/>
  <c r="PI36" i="19"/>
  <c r="PH36" i="19"/>
  <c r="PG36" i="19"/>
  <c r="PK35" i="19"/>
  <c r="PI35" i="19"/>
  <c r="PH35" i="19"/>
  <c r="PG35" i="19"/>
  <c r="PK34" i="19"/>
  <c r="PI34" i="19"/>
  <c r="PH34" i="19"/>
  <c r="PG34" i="19"/>
  <c r="PK33" i="19"/>
  <c r="PI33" i="19"/>
  <c r="PH33" i="19"/>
  <c r="PG33" i="19"/>
  <c r="PK32" i="19"/>
  <c r="PI32" i="19"/>
  <c r="PH32" i="19"/>
  <c r="PG32" i="19"/>
  <c r="PK31" i="19"/>
  <c r="PI31" i="19"/>
  <c r="PH31" i="19"/>
  <c r="PG31" i="19"/>
  <c r="PK30" i="19"/>
  <c r="PI30" i="19"/>
  <c r="PH30" i="19"/>
  <c r="PG30" i="19"/>
  <c r="PK29" i="19"/>
  <c r="PI29" i="19"/>
  <c r="PH29" i="19"/>
  <c r="PG29" i="19"/>
  <c r="PK28" i="19"/>
  <c r="PI28" i="19"/>
  <c r="PH28" i="19"/>
  <c r="PG28" i="19"/>
  <c r="PK27" i="19"/>
  <c r="PI27" i="19"/>
  <c r="PH27" i="19"/>
  <c r="PG27" i="19"/>
  <c r="PK26" i="19"/>
  <c r="PI26" i="19"/>
  <c r="PH26" i="19"/>
  <c r="PG26" i="19"/>
  <c r="PK25" i="19"/>
  <c r="PI25" i="19"/>
  <c r="PH25" i="19"/>
  <c r="PG25" i="19"/>
  <c r="PK24" i="19"/>
  <c r="PI24" i="19"/>
  <c r="PH24" i="19"/>
  <c r="PG24" i="19"/>
  <c r="PK23" i="19"/>
  <c r="PI23" i="19"/>
  <c r="PH23" i="19"/>
  <c r="PG23" i="19"/>
  <c r="PK22" i="19"/>
  <c r="PI22" i="19"/>
  <c r="PH22" i="19"/>
  <c r="PG22" i="19"/>
  <c r="PK21" i="19"/>
  <c r="PI21" i="19"/>
  <c r="PH21" i="19"/>
  <c r="PG21" i="19"/>
  <c r="PK20" i="19"/>
  <c r="PI20" i="19"/>
  <c r="PH20" i="19"/>
  <c r="PG20" i="19"/>
  <c r="PK19" i="19"/>
  <c r="PI19" i="19"/>
  <c r="PH19" i="19"/>
  <c r="PG19" i="19"/>
  <c r="PK18" i="19"/>
  <c r="PI18" i="19"/>
  <c r="PH18" i="19"/>
  <c r="PG18" i="19"/>
  <c r="PK17" i="19"/>
  <c r="PI17" i="19"/>
  <c r="PH17" i="19"/>
  <c r="PG17" i="19"/>
  <c r="PK16" i="19"/>
  <c r="PI16" i="19"/>
  <c r="PH16" i="19"/>
  <c r="PG16" i="19"/>
  <c r="PK15" i="19"/>
  <c r="PI15" i="19"/>
  <c r="PH15" i="19"/>
  <c r="PG15" i="19"/>
  <c r="PK14" i="19"/>
  <c r="PI14" i="19"/>
  <c r="PH14" i="19"/>
  <c r="PG14" i="19"/>
  <c r="PK13" i="19"/>
  <c r="PI13" i="19"/>
  <c r="PH13" i="19"/>
  <c r="PG13" i="19"/>
  <c r="PK12" i="19"/>
  <c r="PI12" i="19"/>
  <c r="PH12" i="19"/>
  <c r="PG12" i="19"/>
  <c r="PK11" i="19"/>
  <c r="PI11" i="19"/>
  <c r="PH11" i="19"/>
  <c r="PG11" i="19"/>
  <c r="PK10" i="19"/>
  <c r="PI10" i="19"/>
  <c r="PH10" i="19"/>
  <c r="PG10" i="19"/>
  <c r="PK9" i="19"/>
  <c r="PI9" i="19"/>
  <c r="PH9" i="19"/>
  <c r="PG9" i="19"/>
  <c r="PD123" i="19"/>
  <c r="PF123" i="19"/>
  <c r="PL123" i="19"/>
  <c r="PD122" i="19"/>
  <c r="PJ122" i="19"/>
  <c r="PD121" i="19"/>
  <c r="PF121" i="19"/>
  <c r="PL121" i="19"/>
  <c r="PD120" i="19"/>
  <c r="PD119" i="19"/>
  <c r="PF119" i="19"/>
  <c r="PL119" i="19"/>
  <c r="PD118" i="19"/>
  <c r="PJ118" i="19"/>
  <c r="PD117" i="19"/>
  <c r="PF117" i="19"/>
  <c r="PL117" i="19"/>
  <c r="PD116" i="19"/>
  <c r="PD115" i="19"/>
  <c r="PD114" i="19"/>
  <c r="PF114" i="19"/>
  <c r="PL114" i="19"/>
  <c r="PD113" i="19"/>
  <c r="PF113" i="19"/>
  <c r="PL113" i="19"/>
  <c r="PD112" i="19"/>
  <c r="PF112" i="19"/>
  <c r="PL112" i="19"/>
  <c r="PD111" i="19"/>
  <c r="PD110" i="19"/>
  <c r="PF110" i="19"/>
  <c r="PL110" i="19"/>
  <c r="PD109" i="19"/>
  <c r="PJ109" i="19"/>
  <c r="PD108" i="19"/>
  <c r="PF108" i="19"/>
  <c r="PL108" i="19"/>
  <c r="PD107" i="19"/>
  <c r="PD106" i="19"/>
  <c r="PJ106" i="19"/>
  <c r="PD105" i="19"/>
  <c r="PJ105" i="19"/>
  <c r="PD104" i="19"/>
  <c r="PF104" i="19"/>
  <c r="PL104" i="19"/>
  <c r="PD103" i="19"/>
  <c r="PD102" i="19"/>
  <c r="PF102" i="19"/>
  <c r="PL102" i="19"/>
  <c r="PD101" i="19"/>
  <c r="PJ101" i="19"/>
  <c r="PD100" i="19"/>
  <c r="PF100" i="19"/>
  <c r="PL100" i="19"/>
  <c r="PD99" i="19"/>
  <c r="PD98" i="19"/>
  <c r="PJ98" i="19"/>
  <c r="PD97" i="19"/>
  <c r="PJ97" i="19"/>
  <c r="PD96" i="19"/>
  <c r="PF96" i="19"/>
  <c r="PL96" i="19"/>
  <c r="PD95" i="19"/>
  <c r="PD94" i="19"/>
  <c r="PF94" i="19"/>
  <c r="PL94" i="19"/>
  <c r="PD93" i="19"/>
  <c r="PJ93" i="19"/>
  <c r="PD92" i="19"/>
  <c r="PF92" i="19"/>
  <c r="PL92" i="19"/>
  <c r="PD91" i="19"/>
  <c r="PD90" i="19"/>
  <c r="PJ90" i="19"/>
  <c r="PD89" i="19"/>
  <c r="PJ89" i="19"/>
  <c r="PD88" i="19"/>
  <c r="PF88" i="19"/>
  <c r="PL88" i="19"/>
  <c r="PD87" i="19"/>
  <c r="PD86" i="19"/>
  <c r="PF86" i="19"/>
  <c r="PL86" i="19"/>
  <c r="PD85" i="19"/>
  <c r="PJ85" i="19"/>
  <c r="PD84" i="19"/>
  <c r="PF84" i="19"/>
  <c r="PL84" i="19"/>
  <c r="PD83" i="19"/>
  <c r="PD82" i="19"/>
  <c r="PJ82" i="19"/>
  <c r="PD81" i="19"/>
  <c r="PJ81" i="19"/>
  <c r="PD80" i="19"/>
  <c r="PF80" i="19"/>
  <c r="PL80" i="19"/>
  <c r="PD79" i="19"/>
  <c r="PD78" i="19"/>
  <c r="PF78" i="19"/>
  <c r="PL78" i="19"/>
  <c r="PD77" i="19"/>
  <c r="PJ77" i="19"/>
  <c r="PD76" i="19"/>
  <c r="PF76" i="19"/>
  <c r="PL76" i="19"/>
  <c r="PD75" i="19"/>
  <c r="PD74" i="19"/>
  <c r="PJ74" i="19"/>
  <c r="PD73" i="19"/>
  <c r="PJ73" i="19"/>
  <c r="PD72" i="19"/>
  <c r="PF72" i="19"/>
  <c r="PL72" i="19"/>
  <c r="PD71" i="19"/>
  <c r="PD70" i="19"/>
  <c r="PF70" i="19"/>
  <c r="PL70" i="19"/>
  <c r="PD69" i="19"/>
  <c r="PJ69" i="19"/>
  <c r="PD68" i="19"/>
  <c r="PF68" i="19"/>
  <c r="PL68" i="19"/>
  <c r="PD67" i="19"/>
  <c r="PD66" i="19"/>
  <c r="PJ66" i="19"/>
  <c r="PD65" i="19"/>
  <c r="PJ65" i="19"/>
  <c r="PD64" i="19"/>
  <c r="PF64" i="19"/>
  <c r="PL64" i="19"/>
  <c r="PD63" i="19"/>
  <c r="PD62" i="19"/>
  <c r="PF62" i="19"/>
  <c r="PL62" i="19"/>
  <c r="PD61" i="19"/>
  <c r="PJ61" i="19"/>
  <c r="PD60" i="19"/>
  <c r="PF60" i="19"/>
  <c r="PL60" i="19"/>
  <c r="PD59" i="19"/>
  <c r="PD58" i="19"/>
  <c r="PJ58" i="19"/>
  <c r="PD57" i="19"/>
  <c r="PJ57" i="19"/>
  <c r="PD56" i="19"/>
  <c r="PF56" i="19"/>
  <c r="PL56" i="19"/>
  <c r="PD55" i="19"/>
  <c r="PD54" i="19"/>
  <c r="PF54" i="19"/>
  <c r="PL54" i="19"/>
  <c r="PD53" i="19"/>
  <c r="PJ53" i="19"/>
  <c r="PD52" i="19"/>
  <c r="PF52" i="19"/>
  <c r="PL52" i="19"/>
  <c r="PD51" i="19"/>
  <c r="PD50" i="19"/>
  <c r="PJ50" i="19"/>
  <c r="PD49" i="19"/>
  <c r="PJ49" i="19"/>
  <c r="PD48" i="19"/>
  <c r="PF48" i="19"/>
  <c r="PL48" i="19"/>
  <c r="PD47" i="19"/>
  <c r="PD46" i="19"/>
  <c r="PF46" i="19"/>
  <c r="PL46" i="19"/>
  <c r="PD45" i="19"/>
  <c r="PJ45" i="19"/>
  <c r="PD44" i="19"/>
  <c r="PF44" i="19"/>
  <c r="PL44" i="19"/>
  <c r="PD43" i="19"/>
  <c r="PD42" i="19"/>
  <c r="PJ42" i="19"/>
  <c r="PD41" i="19"/>
  <c r="PJ41" i="19"/>
  <c r="PD40" i="19"/>
  <c r="PF40" i="19"/>
  <c r="PL40" i="19"/>
  <c r="PD39" i="19"/>
  <c r="PD38" i="19"/>
  <c r="PF38" i="19"/>
  <c r="PL38" i="19"/>
  <c r="PD37" i="19"/>
  <c r="PJ37" i="19"/>
  <c r="PD36" i="19"/>
  <c r="PF36" i="19"/>
  <c r="PL36" i="19"/>
  <c r="PD35" i="19"/>
  <c r="PD34" i="19"/>
  <c r="PJ34" i="19"/>
  <c r="PD33" i="19"/>
  <c r="PJ33" i="19"/>
  <c r="PD32" i="19"/>
  <c r="PD31" i="19"/>
  <c r="PD30" i="19"/>
  <c r="PF30" i="19"/>
  <c r="PL30" i="19"/>
  <c r="PD29" i="19"/>
  <c r="PJ29" i="19"/>
  <c r="PD28" i="19"/>
  <c r="PF28" i="19"/>
  <c r="PL28" i="19"/>
  <c r="PD27" i="19"/>
  <c r="PD26" i="19"/>
  <c r="PJ26" i="19"/>
  <c r="PD25" i="19"/>
  <c r="PJ25" i="19"/>
  <c r="PD24" i="19"/>
  <c r="PF24" i="19"/>
  <c r="PL24" i="19"/>
  <c r="PD23" i="19"/>
  <c r="PF23" i="19"/>
  <c r="PL23" i="19"/>
  <c r="PD22" i="19"/>
  <c r="PJ22" i="19"/>
  <c r="PD21" i="19"/>
  <c r="PJ21" i="19"/>
  <c r="PD20" i="19"/>
  <c r="PF20" i="19"/>
  <c r="PL20" i="19"/>
  <c r="PD19" i="19"/>
  <c r="PF19" i="19"/>
  <c r="PL19" i="19"/>
  <c r="PD18" i="19"/>
  <c r="PJ18" i="19"/>
  <c r="PD17" i="19"/>
  <c r="PJ17" i="19"/>
  <c r="PD16" i="19"/>
  <c r="PF16" i="19"/>
  <c r="PL16" i="19"/>
  <c r="PD15" i="19"/>
  <c r="PF15" i="19"/>
  <c r="PL15" i="19"/>
  <c r="PD14" i="19"/>
  <c r="PF14" i="19"/>
  <c r="PL14" i="19"/>
  <c r="PD13" i="19"/>
  <c r="PJ13" i="19"/>
  <c r="PD12" i="19"/>
  <c r="PF12" i="19"/>
  <c r="PL12" i="19"/>
  <c r="PD11" i="19"/>
  <c r="PF11" i="19"/>
  <c r="PL11" i="19"/>
  <c r="PD10" i="19"/>
  <c r="PF10" i="19"/>
  <c r="PL10" i="19"/>
  <c r="PD9" i="19"/>
  <c r="PJ9" i="19"/>
  <c r="PJ32" i="19"/>
  <c r="PD126" i="19"/>
  <c r="OU104" i="39"/>
  <c r="OW104" i="39"/>
  <c r="IG104" i="39"/>
  <c r="PJ117" i="19"/>
  <c r="PJ15" i="19"/>
  <c r="PF82" i="19"/>
  <c r="PL82" i="19"/>
  <c r="PJ114" i="19"/>
  <c r="PJ119" i="19"/>
  <c r="PF9" i="19"/>
  <c r="PL9" i="19"/>
  <c r="PI108" i="39"/>
  <c r="PF18" i="19"/>
  <c r="PL18" i="19"/>
  <c r="PF101" i="19"/>
  <c r="PL101" i="19"/>
  <c r="PF69" i="19"/>
  <c r="PL69" i="19"/>
  <c r="PJ68" i="19"/>
  <c r="PH13" i="33"/>
  <c r="PF37" i="19"/>
  <c r="PL37" i="19"/>
  <c r="PK13" i="33"/>
  <c r="PF50" i="19"/>
  <c r="PL50" i="19"/>
  <c r="HP104" i="39"/>
  <c r="HR104" i="39"/>
  <c r="JF104" i="39"/>
  <c r="JJ104" i="39"/>
  <c r="PJ16" i="39"/>
  <c r="PF13" i="19"/>
  <c r="PL13" i="19"/>
  <c r="PF26" i="19"/>
  <c r="PL26" i="19"/>
  <c r="PF45" i="19"/>
  <c r="PL45" i="19"/>
  <c r="PF58" i="19"/>
  <c r="PL58" i="19"/>
  <c r="PF77" i="19"/>
  <c r="PL77" i="19"/>
  <c r="PF90" i="19"/>
  <c r="PL90" i="19"/>
  <c r="PF109" i="19"/>
  <c r="PL109" i="19"/>
  <c r="PF122" i="19"/>
  <c r="PL122" i="19"/>
  <c r="PJ84" i="19"/>
  <c r="PJ12" i="39"/>
  <c r="PJ10" i="19"/>
  <c r="PJ28" i="19"/>
  <c r="PJ92" i="19"/>
  <c r="PI67" i="34"/>
  <c r="PJ76" i="19"/>
  <c r="PF21" i="19"/>
  <c r="PL21" i="19"/>
  <c r="PF34" i="19"/>
  <c r="PL34" i="19"/>
  <c r="PF53" i="19"/>
  <c r="PL53" i="19"/>
  <c r="PF66" i="19"/>
  <c r="PL66" i="19"/>
  <c r="PF85" i="19"/>
  <c r="PL85" i="19"/>
  <c r="PF98" i="19"/>
  <c r="PL98" i="19"/>
  <c r="PJ19" i="19"/>
  <c r="PJ36" i="19"/>
  <c r="PJ100" i="19"/>
  <c r="PJ108" i="19"/>
  <c r="PJ17" i="39"/>
  <c r="PI36" i="32"/>
  <c r="PJ44" i="19"/>
  <c r="PF29" i="19"/>
  <c r="PL29" i="19"/>
  <c r="PF42" i="19"/>
  <c r="PL42" i="19"/>
  <c r="PF61" i="19"/>
  <c r="PL61" i="19"/>
  <c r="PF74" i="19"/>
  <c r="PL74" i="19"/>
  <c r="PF93" i="19"/>
  <c r="PL93" i="19"/>
  <c r="PF106" i="19"/>
  <c r="PL106" i="19"/>
  <c r="PJ52" i="19"/>
  <c r="PJ60" i="19"/>
  <c r="PJ121" i="19"/>
  <c r="PF97" i="19"/>
  <c r="PL97" i="19"/>
  <c r="PF39" i="19"/>
  <c r="PL39" i="19"/>
  <c r="PJ39" i="19"/>
  <c r="PF55" i="19"/>
  <c r="PL55" i="19"/>
  <c r="PJ55" i="19"/>
  <c r="PF71" i="19"/>
  <c r="PL71" i="19"/>
  <c r="PJ71" i="19"/>
  <c r="PF87" i="19"/>
  <c r="PL87" i="19"/>
  <c r="PJ87" i="19"/>
  <c r="PF103" i="19"/>
  <c r="PL103" i="19"/>
  <c r="PJ103" i="19"/>
  <c r="PJ14" i="19"/>
  <c r="PJ30" i="19"/>
  <c r="PJ38" i="19"/>
  <c r="PJ46" i="19"/>
  <c r="PJ54" i="19"/>
  <c r="PJ62" i="19"/>
  <c r="PJ70" i="19"/>
  <c r="PJ78" i="19"/>
  <c r="PJ86" i="19"/>
  <c r="PJ94" i="19"/>
  <c r="PJ102" i="19"/>
  <c r="PJ110" i="19"/>
  <c r="PJ123" i="19"/>
  <c r="PJ9" i="32"/>
  <c r="PD36" i="32"/>
  <c r="PF43" i="19"/>
  <c r="PL43" i="19"/>
  <c r="PJ43" i="19"/>
  <c r="PF75" i="19"/>
  <c r="PL75" i="19"/>
  <c r="PJ75" i="19"/>
  <c r="PF91" i="19"/>
  <c r="PL91" i="19"/>
  <c r="PJ91" i="19"/>
  <c r="PF107" i="19"/>
  <c r="PL107" i="19"/>
  <c r="PJ107" i="19"/>
  <c r="PJ9" i="33"/>
  <c r="PJ13" i="33"/>
  <c r="PD13" i="33"/>
  <c r="PF33" i="19"/>
  <c r="PL33" i="19"/>
  <c r="PJ112" i="19"/>
  <c r="PI13" i="33"/>
  <c r="PF27" i="19"/>
  <c r="PL27" i="19"/>
  <c r="PJ27" i="19"/>
  <c r="PF22" i="19"/>
  <c r="PL22" i="19"/>
  <c r="PF49" i="19"/>
  <c r="PL49" i="19"/>
  <c r="PF120" i="19"/>
  <c r="PL120" i="19"/>
  <c r="PJ120" i="19"/>
  <c r="PF35" i="19"/>
  <c r="PL35" i="19"/>
  <c r="PJ35" i="19"/>
  <c r="PF51" i="19"/>
  <c r="PL51" i="19"/>
  <c r="PJ51" i="19"/>
  <c r="PF67" i="19"/>
  <c r="PL67" i="19"/>
  <c r="PJ67" i="19"/>
  <c r="PF99" i="19"/>
  <c r="PL99" i="19"/>
  <c r="PJ99" i="19"/>
  <c r="PF115" i="19"/>
  <c r="PL115" i="19"/>
  <c r="PJ24" i="19"/>
  <c r="PJ40" i="19"/>
  <c r="PJ48" i="19"/>
  <c r="PJ64" i="19"/>
  <c r="PJ72" i="19"/>
  <c r="PJ96" i="19"/>
  <c r="PJ18" i="39"/>
  <c r="PD29" i="22"/>
  <c r="PF25" i="19"/>
  <c r="PL25" i="19"/>
  <c r="PF41" i="19"/>
  <c r="PL41" i="19"/>
  <c r="PF57" i="19"/>
  <c r="PL57" i="19"/>
  <c r="PF73" i="19"/>
  <c r="PL73" i="19"/>
  <c r="PF89" i="19"/>
  <c r="PL89" i="19"/>
  <c r="PF105" i="19"/>
  <c r="PL105" i="19"/>
  <c r="PF116" i="19"/>
  <c r="PL116" i="19"/>
  <c r="PJ116" i="19"/>
  <c r="PJ14" i="39"/>
  <c r="PI57" i="21"/>
  <c r="PF17" i="19"/>
  <c r="PL17" i="19"/>
  <c r="PF65" i="19"/>
  <c r="PL65" i="19"/>
  <c r="PF81" i="19"/>
  <c r="PL81" i="19"/>
  <c r="PF118" i="19"/>
  <c r="PL118" i="19"/>
  <c r="PF83" i="19"/>
  <c r="PL83" i="19"/>
  <c r="PJ83" i="19"/>
  <c r="PJ56" i="19"/>
  <c r="PJ80" i="19"/>
  <c r="PJ88" i="19"/>
  <c r="PJ104" i="19"/>
  <c r="PF31" i="19"/>
  <c r="PL31" i="19"/>
  <c r="PJ31" i="19"/>
  <c r="PF47" i="19"/>
  <c r="PL47" i="19"/>
  <c r="PJ47" i="19"/>
  <c r="PF63" i="19"/>
  <c r="PL63" i="19"/>
  <c r="PJ63" i="19"/>
  <c r="PF79" i="19"/>
  <c r="PL79" i="19"/>
  <c r="PJ79" i="19"/>
  <c r="PF95" i="19"/>
  <c r="PL95" i="19"/>
  <c r="PJ95" i="19"/>
  <c r="PF111" i="19"/>
  <c r="PL111" i="19"/>
  <c r="PJ111" i="19"/>
  <c r="PJ12" i="19"/>
  <c r="PJ16" i="19"/>
  <c r="PJ20" i="19"/>
  <c r="PJ23" i="19"/>
  <c r="PI29" i="22"/>
  <c r="PF59" i="19"/>
  <c r="PL59" i="19"/>
  <c r="PJ59" i="19"/>
  <c r="PJ11" i="19"/>
  <c r="PJ10" i="39"/>
  <c r="PJ9" i="31"/>
  <c r="PD60" i="31"/>
  <c r="PJ13" i="39"/>
  <c r="PD57" i="21"/>
  <c r="PD70" i="35"/>
  <c r="PD108" i="39"/>
  <c r="PJ11" i="39"/>
  <c r="PJ15" i="39"/>
  <c r="PJ19" i="39"/>
  <c r="PD67" i="34"/>
  <c r="PF9" i="35"/>
  <c r="PL9" i="35"/>
  <c r="PF10" i="35"/>
  <c r="PL10" i="35"/>
  <c r="PF11" i="35"/>
  <c r="PL11" i="35"/>
  <c r="PF12" i="35"/>
  <c r="PL12" i="35"/>
  <c r="PF13" i="35"/>
  <c r="PL13" i="35"/>
  <c r="PF14" i="35"/>
  <c r="PL14" i="35"/>
  <c r="PF15" i="35"/>
  <c r="PL15" i="35"/>
  <c r="PF16" i="35"/>
  <c r="PL16" i="35"/>
  <c r="PF17" i="35"/>
  <c r="PL17" i="35"/>
  <c r="PF18" i="35"/>
  <c r="PL18" i="35"/>
  <c r="PF19" i="35"/>
  <c r="PL19" i="35"/>
  <c r="PF20" i="35"/>
  <c r="PL20" i="35"/>
  <c r="PF21" i="35"/>
  <c r="PL21" i="35"/>
  <c r="PF22" i="35"/>
  <c r="PL22" i="35"/>
  <c r="PF23" i="35"/>
  <c r="PL23" i="35"/>
  <c r="PF24" i="35"/>
  <c r="PL24" i="35"/>
  <c r="PF25" i="35"/>
  <c r="PL25" i="35"/>
  <c r="PF26" i="35"/>
  <c r="PL26" i="35"/>
  <c r="PF27" i="35"/>
  <c r="PL27" i="35"/>
  <c r="PF28" i="35"/>
  <c r="PL28" i="35"/>
  <c r="PF29" i="35"/>
  <c r="PL29" i="35"/>
  <c r="PF30" i="35"/>
  <c r="PL30" i="35"/>
  <c r="PF31" i="35"/>
  <c r="PL31" i="35"/>
  <c r="PF32" i="35"/>
  <c r="PL32" i="35"/>
  <c r="PF33" i="35"/>
  <c r="PL33" i="35"/>
  <c r="PF34" i="35"/>
  <c r="PL34" i="35"/>
  <c r="PF35" i="35"/>
  <c r="PL35" i="35"/>
  <c r="PF36" i="35"/>
  <c r="PL36" i="35"/>
  <c r="PF37" i="35"/>
  <c r="PL37" i="35"/>
  <c r="PF38" i="35"/>
  <c r="PL38" i="35"/>
  <c r="PF39" i="35"/>
  <c r="PL39" i="35"/>
  <c r="PF40" i="35"/>
  <c r="PL40" i="35"/>
  <c r="PF41" i="35"/>
  <c r="PL41" i="35"/>
  <c r="PF42" i="35"/>
  <c r="PL42" i="35"/>
  <c r="PF43" i="35"/>
  <c r="PL43" i="35"/>
  <c r="PF44" i="35"/>
  <c r="PL44" i="35"/>
  <c r="PF45" i="35"/>
  <c r="PL45" i="35"/>
  <c r="PF46" i="35"/>
  <c r="PL46" i="35"/>
  <c r="PF47" i="35"/>
  <c r="PL47" i="35"/>
  <c r="PF48" i="35"/>
  <c r="PL48" i="35"/>
  <c r="PF49" i="35"/>
  <c r="PL49" i="35"/>
  <c r="PF50" i="35"/>
  <c r="PL50" i="35"/>
  <c r="PF51" i="35"/>
  <c r="PL51" i="35"/>
  <c r="PF52" i="35"/>
  <c r="PL52" i="35"/>
  <c r="PF53" i="35"/>
  <c r="PL53" i="35"/>
  <c r="PF54" i="35"/>
  <c r="PL54" i="35"/>
  <c r="PF55" i="35"/>
  <c r="PL55" i="35"/>
  <c r="PF56" i="35"/>
  <c r="PL56" i="35"/>
  <c r="PF57" i="35"/>
  <c r="PL57" i="35"/>
  <c r="PF58" i="35"/>
  <c r="PL58" i="35"/>
  <c r="PF59" i="35"/>
  <c r="PL59" i="35"/>
  <c r="PF60" i="35"/>
  <c r="PL60" i="35"/>
  <c r="PF61" i="35"/>
  <c r="PL61" i="35"/>
  <c r="PF62" i="35"/>
  <c r="PL62" i="35"/>
  <c r="PF63" i="35"/>
  <c r="PF64" i="35"/>
  <c r="PL64" i="35"/>
  <c r="PF65" i="35"/>
  <c r="PL65" i="35"/>
  <c r="PF66" i="35"/>
  <c r="PL66" i="35"/>
  <c r="PF67" i="35"/>
  <c r="PL67" i="35"/>
  <c r="PF68" i="35"/>
  <c r="PL68" i="35"/>
  <c r="PF69" i="35"/>
  <c r="PL69" i="35"/>
  <c r="PF9" i="34"/>
  <c r="PF10" i="34"/>
  <c r="PL10" i="34"/>
  <c r="PF11" i="34"/>
  <c r="PL11" i="34"/>
  <c r="PF12" i="34"/>
  <c r="PL12" i="34"/>
  <c r="PF13" i="34"/>
  <c r="PL13" i="34"/>
  <c r="PF14" i="34"/>
  <c r="PL14" i="34"/>
  <c r="PF15" i="34"/>
  <c r="PL15" i="34"/>
  <c r="PF16" i="34"/>
  <c r="PL16" i="34"/>
  <c r="PF17" i="34"/>
  <c r="PL17" i="34"/>
  <c r="PF18" i="34"/>
  <c r="PL18" i="34"/>
  <c r="PF19" i="34"/>
  <c r="PL19" i="34"/>
  <c r="PF20" i="34"/>
  <c r="PL20" i="34"/>
  <c r="PF21" i="34"/>
  <c r="PL21" i="34"/>
  <c r="PF22" i="34"/>
  <c r="PL22" i="34"/>
  <c r="PF23" i="34"/>
  <c r="PL23" i="34"/>
  <c r="PF24" i="34"/>
  <c r="PL24" i="34"/>
  <c r="PF25" i="34"/>
  <c r="PL25" i="34"/>
  <c r="PF26" i="34"/>
  <c r="PL26" i="34"/>
  <c r="PF27" i="34"/>
  <c r="PL27" i="34"/>
  <c r="PF28" i="34"/>
  <c r="PL28" i="34"/>
  <c r="PF29" i="34"/>
  <c r="PL29" i="34"/>
  <c r="PF30" i="34"/>
  <c r="PL30" i="34"/>
  <c r="PF31" i="34"/>
  <c r="PL31" i="34"/>
  <c r="PF32" i="34"/>
  <c r="PL32" i="34"/>
  <c r="PF33" i="34"/>
  <c r="PL33" i="34"/>
  <c r="PF34" i="34"/>
  <c r="PL34" i="34"/>
  <c r="PF35" i="34"/>
  <c r="PL35" i="34"/>
  <c r="PF36" i="34"/>
  <c r="PL36" i="34"/>
  <c r="PF37" i="34"/>
  <c r="PL37" i="34"/>
  <c r="PF38" i="34"/>
  <c r="PL38" i="34"/>
  <c r="PF39" i="34"/>
  <c r="PL39" i="34"/>
  <c r="PF40" i="34"/>
  <c r="PL40" i="34"/>
  <c r="PF41" i="34"/>
  <c r="PL41" i="34"/>
  <c r="PF42" i="34"/>
  <c r="PL42" i="34"/>
  <c r="PF43" i="34"/>
  <c r="PL43" i="34"/>
  <c r="PF44" i="34"/>
  <c r="PL44" i="34"/>
  <c r="PF45" i="34"/>
  <c r="PL45" i="34"/>
  <c r="PF46" i="34"/>
  <c r="PL46" i="34"/>
  <c r="PF47" i="34"/>
  <c r="PL47" i="34"/>
  <c r="PF48" i="34"/>
  <c r="PL48" i="34"/>
  <c r="PF49" i="34"/>
  <c r="PL49" i="34"/>
  <c r="PF50" i="34"/>
  <c r="PL50" i="34"/>
  <c r="PF51" i="34"/>
  <c r="PL51" i="34"/>
  <c r="PF52" i="34"/>
  <c r="PF53" i="34"/>
  <c r="PL53" i="34"/>
  <c r="PF54" i="34"/>
  <c r="PL54" i="34"/>
  <c r="PF55" i="34"/>
  <c r="PL55" i="34"/>
  <c r="PF56" i="34"/>
  <c r="PL56" i="34"/>
  <c r="PF57" i="34"/>
  <c r="PF58" i="34"/>
  <c r="PL58" i="34"/>
  <c r="PF59" i="34"/>
  <c r="PL59" i="34"/>
  <c r="PF60" i="34"/>
  <c r="PF61" i="34"/>
  <c r="PL61" i="34"/>
  <c r="PF62" i="34"/>
  <c r="PF63" i="34"/>
  <c r="PL63" i="34"/>
  <c r="PF64" i="34"/>
  <c r="PL64" i="34"/>
  <c r="PF65" i="34"/>
  <c r="PL65" i="34"/>
  <c r="PF66" i="34"/>
  <c r="PL66" i="34"/>
  <c r="PJ9" i="34"/>
  <c r="PF9" i="33"/>
  <c r="PF10" i="33"/>
  <c r="PL10" i="33"/>
  <c r="PF11" i="33"/>
  <c r="PL11" i="33"/>
  <c r="PF12" i="33"/>
  <c r="PL12" i="33"/>
  <c r="PF9" i="32"/>
  <c r="PL9" i="32"/>
  <c r="PF10" i="32"/>
  <c r="PL10" i="32"/>
  <c r="PF11" i="32"/>
  <c r="PL11" i="32"/>
  <c r="PF12" i="32"/>
  <c r="PL12" i="32"/>
  <c r="PF13" i="32"/>
  <c r="PL13" i="32"/>
  <c r="PF14" i="32"/>
  <c r="PL14" i="32"/>
  <c r="PF15" i="32"/>
  <c r="PL15" i="32"/>
  <c r="PF16" i="32"/>
  <c r="PL16" i="32"/>
  <c r="PF17" i="32"/>
  <c r="PL17" i="32"/>
  <c r="PF18" i="32"/>
  <c r="PL18" i="32"/>
  <c r="PF19" i="32"/>
  <c r="PL19" i="32"/>
  <c r="PF20" i="32"/>
  <c r="PL20" i="32"/>
  <c r="PF21" i="32"/>
  <c r="PF22" i="32"/>
  <c r="PL22" i="32"/>
  <c r="PF23" i="32"/>
  <c r="PL23" i="32"/>
  <c r="PF24" i="32"/>
  <c r="PL24" i="32"/>
  <c r="PF25" i="32"/>
  <c r="PL25" i="32"/>
  <c r="PF26" i="32"/>
  <c r="PL26" i="32"/>
  <c r="PF27" i="32"/>
  <c r="PL27" i="32"/>
  <c r="PF28" i="32"/>
  <c r="PL28" i="32"/>
  <c r="PF29" i="32"/>
  <c r="PL29" i="32"/>
  <c r="PF30" i="32"/>
  <c r="PL30" i="32"/>
  <c r="PF31" i="32"/>
  <c r="PL31" i="32"/>
  <c r="PF32" i="32"/>
  <c r="PL32" i="32"/>
  <c r="PF33" i="32"/>
  <c r="PL33" i="32"/>
  <c r="PF34" i="32"/>
  <c r="PF9" i="31"/>
  <c r="PL9" i="31"/>
  <c r="PF10" i="31"/>
  <c r="PL10" i="31"/>
  <c r="PF11" i="31"/>
  <c r="PL11" i="31"/>
  <c r="PF12" i="31"/>
  <c r="PL12" i="31"/>
  <c r="PF13" i="31"/>
  <c r="PL13" i="31"/>
  <c r="PF14" i="31"/>
  <c r="PL14" i="31"/>
  <c r="PF15" i="31"/>
  <c r="PL15" i="31"/>
  <c r="PF16" i="31"/>
  <c r="PL16" i="31"/>
  <c r="PF17" i="31"/>
  <c r="PL17" i="31"/>
  <c r="PF18" i="31"/>
  <c r="PL18" i="31"/>
  <c r="PF19" i="31"/>
  <c r="PL19" i="31"/>
  <c r="PF20" i="31"/>
  <c r="PL20" i="31"/>
  <c r="PF21" i="31"/>
  <c r="PL21" i="31"/>
  <c r="PF22" i="31"/>
  <c r="PL22" i="31"/>
  <c r="PF23" i="31"/>
  <c r="PL23" i="31"/>
  <c r="PF24" i="31"/>
  <c r="PL24" i="31"/>
  <c r="PF25" i="31"/>
  <c r="PL25" i="31"/>
  <c r="PF26" i="31"/>
  <c r="PL26" i="31"/>
  <c r="PF27" i="31"/>
  <c r="PL27" i="31"/>
  <c r="PF28" i="31"/>
  <c r="PL28" i="31"/>
  <c r="PF29" i="31"/>
  <c r="PL29" i="31"/>
  <c r="PF30" i="31"/>
  <c r="PL30" i="31"/>
  <c r="PF31" i="31"/>
  <c r="PF32" i="31"/>
  <c r="PL32" i="31"/>
  <c r="PF33" i="31"/>
  <c r="PF34" i="31"/>
  <c r="PL34" i="31"/>
  <c r="PF35" i="31"/>
  <c r="PL35" i="31"/>
  <c r="PF36" i="31"/>
  <c r="PL36" i="31"/>
  <c r="PF37" i="31"/>
  <c r="PF38" i="31"/>
  <c r="PF39" i="31"/>
  <c r="PL39" i="31"/>
  <c r="PF40" i="31"/>
  <c r="PL40" i="31"/>
  <c r="PF41" i="31"/>
  <c r="PL41" i="31"/>
  <c r="PF42" i="31"/>
  <c r="PL42" i="31"/>
  <c r="PF43" i="31"/>
  <c r="PL43" i="31"/>
  <c r="PF44" i="31"/>
  <c r="PL44" i="31"/>
  <c r="PF45" i="31"/>
  <c r="PL45" i="31"/>
  <c r="PF46" i="31"/>
  <c r="PL46" i="31"/>
  <c r="PF47" i="31"/>
  <c r="PL47" i="31"/>
  <c r="PF48" i="31"/>
  <c r="PL48" i="31"/>
  <c r="PF49" i="31"/>
  <c r="PL49" i="31"/>
  <c r="PF50" i="31"/>
  <c r="PL50" i="31"/>
  <c r="PF51" i="31"/>
  <c r="PL51" i="31"/>
  <c r="PF52" i="31"/>
  <c r="PL52" i="31"/>
  <c r="PF53" i="31"/>
  <c r="PL53" i="31"/>
  <c r="PF54" i="31"/>
  <c r="PL54" i="31"/>
  <c r="PF55" i="31"/>
  <c r="PL55" i="31"/>
  <c r="PF56" i="31"/>
  <c r="PL56" i="31"/>
  <c r="PF57" i="31"/>
  <c r="PL57" i="31"/>
  <c r="PF58" i="31"/>
  <c r="PL58" i="31"/>
  <c r="PF59" i="31"/>
  <c r="PL59" i="31"/>
  <c r="PF9" i="22"/>
  <c r="PL9" i="22"/>
  <c r="PF10" i="22"/>
  <c r="PL10" i="22"/>
  <c r="PF11" i="22"/>
  <c r="PL11" i="22"/>
  <c r="PF12" i="22"/>
  <c r="PL12" i="22"/>
  <c r="PF13" i="22"/>
  <c r="PL13" i="22"/>
  <c r="PF14" i="22"/>
  <c r="PL14" i="22"/>
  <c r="PF15" i="22"/>
  <c r="PF16" i="22"/>
  <c r="PL16" i="22"/>
  <c r="PF17" i="22"/>
  <c r="PL17" i="22"/>
  <c r="PF18" i="22"/>
  <c r="PL18" i="22"/>
  <c r="PF19" i="22"/>
  <c r="PL19" i="22"/>
  <c r="PF20" i="22"/>
  <c r="PL20" i="22"/>
  <c r="PF21" i="22"/>
  <c r="PL21" i="22"/>
  <c r="PF22" i="22"/>
  <c r="PL22" i="22"/>
  <c r="PF23" i="22"/>
  <c r="PL23" i="22"/>
  <c r="PF24" i="22"/>
  <c r="PL24" i="22"/>
  <c r="PF25" i="22"/>
  <c r="PL25" i="22"/>
  <c r="PF26" i="22"/>
  <c r="PL26" i="22"/>
  <c r="PF27" i="22"/>
  <c r="PL27" i="22"/>
  <c r="PF28" i="22"/>
  <c r="PL28" i="22"/>
  <c r="PF9" i="21"/>
  <c r="PL9" i="21"/>
  <c r="PF10" i="21"/>
  <c r="PL10" i="21"/>
  <c r="PF11" i="21"/>
  <c r="PL11" i="21"/>
  <c r="PF12" i="21"/>
  <c r="PL12" i="21"/>
  <c r="PF13" i="21"/>
  <c r="PL13" i="21"/>
  <c r="PF14" i="21"/>
  <c r="PL14" i="21"/>
  <c r="PF15" i="21"/>
  <c r="PL15" i="21"/>
  <c r="PF16" i="21"/>
  <c r="PL16" i="21"/>
  <c r="PF17" i="21"/>
  <c r="PL17" i="21"/>
  <c r="PF18" i="21"/>
  <c r="PL18" i="21"/>
  <c r="PF19" i="21"/>
  <c r="PL19" i="21"/>
  <c r="PF20" i="21"/>
  <c r="PL20" i="21"/>
  <c r="PF21" i="21"/>
  <c r="PL21" i="21"/>
  <c r="PF22" i="21"/>
  <c r="PL22" i="21"/>
  <c r="PF23" i="21"/>
  <c r="PL23" i="21"/>
  <c r="PF24" i="21"/>
  <c r="PL24" i="21"/>
  <c r="PF25" i="21"/>
  <c r="PL25" i="21"/>
  <c r="PF26" i="21"/>
  <c r="PF27" i="21"/>
  <c r="PL27" i="21"/>
  <c r="PF28" i="21"/>
  <c r="PL28" i="21"/>
  <c r="PF29" i="21"/>
  <c r="PL29" i="21"/>
  <c r="PF30" i="21"/>
  <c r="PL30" i="21"/>
  <c r="PF31" i="21"/>
  <c r="PL31" i="21"/>
  <c r="PF32" i="21"/>
  <c r="PL32" i="21"/>
  <c r="PF33" i="21"/>
  <c r="PL33" i="21"/>
  <c r="PF34" i="21"/>
  <c r="PL34" i="21"/>
  <c r="PF35" i="21"/>
  <c r="PL35" i="21"/>
  <c r="PF36" i="21"/>
  <c r="PL36" i="21"/>
  <c r="PF37" i="21"/>
  <c r="PL37" i="21"/>
  <c r="PF38" i="21"/>
  <c r="PL38" i="21"/>
  <c r="PF39" i="21"/>
  <c r="PL39" i="21"/>
  <c r="PF40" i="21"/>
  <c r="PL40" i="21"/>
  <c r="PF41" i="21"/>
  <c r="PL41" i="21"/>
  <c r="PF42" i="21"/>
  <c r="PL42" i="21"/>
  <c r="PF43" i="21"/>
  <c r="PL43" i="21"/>
  <c r="PF44" i="21"/>
  <c r="PL44" i="21"/>
  <c r="PF45" i="21"/>
  <c r="PL45" i="21"/>
  <c r="PF46" i="21"/>
  <c r="PL46" i="21"/>
  <c r="PF47" i="21"/>
  <c r="PL47" i="21"/>
  <c r="PF48" i="21"/>
  <c r="PL48" i="21"/>
  <c r="PF49" i="21"/>
  <c r="PL49" i="21"/>
  <c r="PF50" i="21"/>
  <c r="PL50" i="21"/>
  <c r="PF51" i="21"/>
  <c r="PL51" i="21"/>
  <c r="PF52" i="21"/>
  <c r="PL52" i="21"/>
  <c r="PF53" i="21"/>
  <c r="PL53" i="21"/>
  <c r="PF54" i="21"/>
  <c r="PL54" i="21"/>
  <c r="PJ21" i="39"/>
  <c r="PF21" i="39"/>
  <c r="PL21" i="39"/>
  <c r="PJ37" i="39"/>
  <c r="PF37" i="39"/>
  <c r="PL37" i="39"/>
  <c r="PJ101" i="39"/>
  <c r="PF101" i="39"/>
  <c r="PL101" i="39"/>
  <c r="PF9" i="39"/>
  <c r="PJ25" i="39"/>
  <c r="PF25" i="39"/>
  <c r="PL25" i="39"/>
  <c r="PJ33" i="39"/>
  <c r="PF33" i="39"/>
  <c r="PL33" i="39"/>
  <c r="PJ41" i="39"/>
  <c r="PF41" i="39"/>
  <c r="PL41" i="39"/>
  <c r="PJ49" i="39"/>
  <c r="PF49" i="39"/>
  <c r="PL49" i="39"/>
  <c r="PJ57" i="39"/>
  <c r="PF57" i="39"/>
  <c r="PL57" i="39"/>
  <c r="PJ65" i="39"/>
  <c r="PF65" i="39"/>
  <c r="PL65" i="39"/>
  <c r="PJ73" i="39"/>
  <c r="PF73" i="39"/>
  <c r="PL73" i="39"/>
  <c r="PJ81" i="39"/>
  <c r="PF81" i="39"/>
  <c r="PL81" i="39"/>
  <c r="PJ89" i="39"/>
  <c r="PF89" i="39"/>
  <c r="PL89" i="39"/>
  <c r="PJ97" i="39"/>
  <c r="PF97" i="39"/>
  <c r="PL97" i="39"/>
  <c r="PJ61" i="39"/>
  <c r="PF61" i="39"/>
  <c r="PL61" i="39"/>
  <c r="PJ93" i="39"/>
  <c r="PF93" i="39"/>
  <c r="PL93" i="39"/>
  <c r="PJ22" i="39"/>
  <c r="PF22" i="39"/>
  <c r="PL22" i="39"/>
  <c r="PJ30" i="39"/>
  <c r="PF30" i="39"/>
  <c r="PL30" i="39"/>
  <c r="PJ38" i="39"/>
  <c r="PF38" i="39"/>
  <c r="PL38" i="39"/>
  <c r="PJ46" i="39"/>
  <c r="PF46" i="39"/>
  <c r="PL46" i="39"/>
  <c r="PJ54" i="39"/>
  <c r="PF54" i="39"/>
  <c r="PL54" i="39"/>
  <c r="PJ62" i="39"/>
  <c r="PF62" i="39"/>
  <c r="PL62" i="39"/>
  <c r="PJ70" i="39"/>
  <c r="PF70" i="39"/>
  <c r="PL70" i="39"/>
  <c r="PJ78" i="39"/>
  <c r="PF78" i="39"/>
  <c r="PL78" i="39"/>
  <c r="PJ86" i="39"/>
  <c r="PF86" i="39"/>
  <c r="PL86" i="39"/>
  <c r="PJ94" i="39"/>
  <c r="PF94" i="39"/>
  <c r="PL94" i="39"/>
  <c r="PF102" i="39"/>
  <c r="PL102" i="39"/>
  <c r="PJ27" i="39"/>
  <c r="PF27" i="39"/>
  <c r="PL27" i="39"/>
  <c r="PJ35" i="39"/>
  <c r="PF35" i="39"/>
  <c r="PL35" i="39"/>
  <c r="PJ43" i="39"/>
  <c r="PF43" i="39"/>
  <c r="PL43" i="39"/>
  <c r="PJ51" i="39"/>
  <c r="PF51" i="39"/>
  <c r="PL51" i="39"/>
  <c r="PJ59" i="39"/>
  <c r="PF59" i="39"/>
  <c r="PL59" i="39"/>
  <c r="PJ67" i="39"/>
  <c r="PF67" i="39"/>
  <c r="PL67" i="39"/>
  <c r="PJ75" i="39"/>
  <c r="PF75" i="39"/>
  <c r="PL75" i="39"/>
  <c r="PJ83" i="39"/>
  <c r="PF83" i="39"/>
  <c r="PL83" i="39"/>
  <c r="PJ91" i="39"/>
  <c r="PF91" i="39"/>
  <c r="PL91" i="39"/>
  <c r="PJ99" i="39"/>
  <c r="PF99" i="39"/>
  <c r="PL99" i="39"/>
  <c r="PJ24" i="39"/>
  <c r="PF24" i="39"/>
  <c r="PL24" i="39"/>
  <c r="PJ32" i="39"/>
  <c r="PF32" i="39"/>
  <c r="PL32" i="39"/>
  <c r="PJ40" i="39"/>
  <c r="PF40" i="39"/>
  <c r="PL40" i="39"/>
  <c r="PJ48" i="39"/>
  <c r="PF48" i="39"/>
  <c r="PL48" i="39"/>
  <c r="PJ56" i="39"/>
  <c r="PF56" i="39"/>
  <c r="PL56" i="39"/>
  <c r="PJ64" i="39"/>
  <c r="PF64" i="39"/>
  <c r="PL64" i="39"/>
  <c r="PJ72" i="39"/>
  <c r="PF72" i="39"/>
  <c r="PL72" i="39"/>
  <c r="PJ80" i="39"/>
  <c r="PF80" i="39"/>
  <c r="PL80" i="39"/>
  <c r="PJ88" i="39"/>
  <c r="PF88" i="39"/>
  <c r="PL88" i="39"/>
  <c r="PJ96" i="39"/>
  <c r="PF96" i="39"/>
  <c r="PL96" i="39"/>
  <c r="PJ107" i="39"/>
  <c r="PF107" i="39"/>
  <c r="PL107" i="39"/>
  <c r="PJ69" i="39"/>
  <c r="PF69" i="39"/>
  <c r="PL69" i="39"/>
  <c r="PJ29" i="39"/>
  <c r="PF29" i="39"/>
  <c r="PL29" i="39"/>
  <c r="PJ53" i="39"/>
  <c r="PF53" i="39"/>
  <c r="PL53" i="39"/>
  <c r="PJ85" i="39"/>
  <c r="PF85" i="39"/>
  <c r="PL85" i="39"/>
  <c r="PJ26" i="39"/>
  <c r="PF26" i="39"/>
  <c r="PL26" i="39"/>
  <c r="PJ34" i="39"/>
  <c r="PF34" i="39"/>
  <c r="PL34" i="39"/>
  <c r="PJ42" i="39"/>
  <c r="PF42" i="39"/>
  <c r="PL42" i="39"/>
  <c r="PJ50" i="39"/>
  <c r="PF50" i="39"/>
  <c r="PL50" i="39"/>
  <c r="PJ58" i="39"/>
  <c r="PF58" i="39"/>
  <c r="PL58" i="39"/>
  <c r="PJ66" i="39"/>
  <c r="PF66" i="39"/>
  <c r="PL66" i="39"/>
  <c r="PJ74" i="39"/>
  <c r="PF74" i="39"/>
  <c r="PL74" i="39"/>
  <c r="PJ82" i="39"/>
  <c r="PF82" i="39"/>
  <c r="PL82" i="39"/>
  <c r="PJ90" i="39"/>
  <c r="PF90" i="39"/>
  <c r="PL90" i="39"/>
  <c r="PJ98" i="39"/>
  <c r="PF98" i="39"/>
  <c r="PL98" i="39"/>
  <c r="PJ45" i="39"/>
  <c r="PF45" i="39"/>
  <c r="PL45" i="39"/>
  <c r="PJ23" i="39"/>
  <c r="PF23" i="39"/>
  <c r="PL23" i="39"/>
  <c r="PJ31" i="39"/>
  <c r="PF31" i="39"/>
  <c r="PL31" i="39"/>
  <c r="PJ39" i="39"/>
  <c r="PF39" i="39"/>
  <c r="PL39" i="39"/>
  <c r="PJ47" i="39"/>
  <c r="PF47" i="39"/>
  <c r="PL47" i="39"/>
  <c r="PJ55" i="39"/>
  <c r="PF55" i="39"/>
  <c r="PL55" i="39"/>
  <c r="PJ63" i="39"/>
  <c r="PF63" i="39"/>
  <c r="PL63" i="39"/>
  <c r="PJ71" i="39"/>
  <c r="PF71" i="39"/>
  <c r="PL71" i="39"/>
  <c r="PJ79" i="39"/>
  <c r="PF79" i="39"/>
  <c r="PL79" i="39"/>
  <c r="PJ87" i="39"/>
  <c r="PF87" i="39"/>
  <c r="PL87" i="39"/>
  <c r="PJ95" i="39"/>
  <c r="PF95" i="39"/>
  <c r="PL95" i="39"/>
  <c r="PJ103" i="39"/>
  <c r="PF103" i="39"/>
  <c r="PL103" i="39"/>
  <c r="PJ77" i="39"/>
  <c r="PF77" i="39"/>
  <c r="PL77" i="39"/>
  <c r="PJ20" i="39"/>
  <c r="PF20" i="39"/>
  <c r="PL20" i="39"/>
  <c r="PJ28" i="39"/>
  <c r="PF28" i="39"/>
  <c r="PL28" i="39"/>
  <c r="PJ36" i="39"/>
  <c r="PF36" i="39"/>
  <c r="PL36" i="39"/>
  <c r="PJ44" i="39"/>
  <c r="PF44" i="39"/>
  <c r="PL44" i="39"/>
  <c r="PJ52" i="39"/>
  <c r="PF52" i="39"/>
  <c r="PL52" i="39"/>
  <c r="PJ60" i="39"/>
  <c r="PF60" i="39"/>
  <c r="PL60" i="39"/>
  <c r="PJ68" i="39"/>
  <c r="PF68" i="39"/>
  <c r="PL68" i="39"/>
  <c r="PJ76" i="39"/>
  <c r="PF76" i="39"/>
  <c r="PL76" i="39"/>
  <c r="PJ84" i="39"/>
  <c r="PF84" i="39"/>
  <c r="PL84" i="39"/>
  <c r="PJ92" i="39"/>
  <c r="PF92" i="39"/>
  <c r="PL92" i="39"/>
  <c r="PJ100" i="39"/>
  <c r="PF100" i="39"/>
  <c r="PL100" i="39"/>
  <c r="PF32" i="19"/>
  <c r="PF126" i="19"/>
  <c r="JG104" i="39"/>
  <c r="JK104" i="39"/>
  <c r="PL9" i="33"/>
  <c r="PL13" i="33"/>
  <c r="PF13" i="33"/>
  <c r="PL32" i="19"/>
  <c r="PL126" i="19"/>
  <c r="PL63" i="35"/>
  <c r="PL70" i="35"/>
  <c r="PF70" i="35"/>
  <c r="PL9" i="34"/>
  <c r="PF67" i="34"/>
  <c r="PL21" i="32"/>
  <c r="PF36" i="32"/>
  <c r="PL33" i="31"/>
  <c r="PF60" i="31"/>
  <c r="PL15" i="22"/>
  <c r="PL29" i="22"/>
  <c r="PF29" i="22"/>
  <c r="PL26" i="21"/>
  <c r="PL57" i="21"/>
  <c r="PF57" i="21"/>
  <c r="PL9" i="39"/>
  <c r="PL108" i="39"/>
  <c r="PF108" i="39"/>
  <c r="OE111" i="19"/>
  <c r="G34" i="32"/>
  <c r="G58" i="31"/>
  <c r="I58" i="31"/>
  <c r="G57" i="31"/>
  <c r="G56" i="31"/>
  <c r="I56" i="31"/>
  <c r="G55" i="31"/>
  <c r="I55" i="31"/>
  <c r="G54" i="31"/>
  <c r="I54" i="31"/>
  <c r="G53" i="31"/>
  <c r="I53" i="31"/>
  <c r="G52" i="31"/>
  <c r="I52" i="31"/>
  <c r="G51" i="31"/>
  <c r="I51" i="31"/>
  <c r="G50" i="31"/>
  <c r="G49" i="31"/>
  <c r="G48" i="31"/>
  <c r="G47" i="31"/>
  <c r="I47" i="31"/>
  <c r="G46" i="31"/>
  <c r="I46" i="31"/>
  <c r="G45" i="31"/>
  <c r="I45" i="31"/>
  <c r="G44" i="31"/>
  <c r="I44" i="31"/>
  <c r="G43" i="31"/>
  <c r="G42" i="31"/>
  <c r="G41" i="31"/>
  <c r="G40" i="31"/>
  <c r="G39" i="31"/>
  <c r="G38" i="31"/>
  <c r="G37" i="31"/>
  <c r="G36" i="31"/>
  <c r="G35" i="31"/>
  <c r="G34" i="31"/>
  <c r="PP58" i="31"/>
  <c r="PO58" i="31"/>
  <c r="NY58" i="31"/>
  <c r="NS58" i="31"/>
  <c r="NR58" i="31"/>
  <c r="NQ58" i="31"/>
  <c r="NP58" i="31"/>
  <c r="NO58" i="31"/>
  <c r="NN58" i="31"/>
  <c r="NM58" i="31"/>
  <c r="KT58" i="31"/>
  <c r="KB58" i="31"/>
  <c r="KA58" i="31"/>
  <c r="JZ58" i="31"/>
  <c r="JY58" i="31"/>
  <c r="JX58" i="31"/>
  <c r="JW58" i="31"/>
  <c r="JV58" i="31"/>
  <c r="JU58" i="31"/>
  <c r="JT58" i="31"/>
  <c r="JS58" i="31"/>
  <c r="JR58" i="31"/>
  <c r="JQ58" i="31"/>
  <c r="JP58" i="31"/>
  <c r="JB58" i="31"/>
  <c r="HW58" i="31"/>
  <c r="HX58" i="31"/>
  <c r="IX58" i="31"/>
  <c r="IT58" i="31"/>
  <c r="HF58" i="31"/>
  <c r="HD58" i="31"/>
  <c r="GU58" i="31"/>
  <c r="GS58" i="31"/>
  <c r="GR58" i="31"/>
  <c r="GQ58" i="31"/>
  <c r="GP58" i="31"/>
  <c r="GO58" i="31"/>
  <c r="EH58" i="31"/>
  <c r="EG58" i="31"/>
  <c r="EA58" i="31"/>
  <c r="DZ58" i="31"/>
  <c r="DY58" i="31"/>
  <c r="DX58" i="31"/>
  <c r="DW58" i="31"/>
  <c r="DV58" i="31"/>
  <c r="CP58" i="31"/>
  <c r="KR58" i="31"/>
  <c r="CO58" i="31"/>
  <c r="KQ58" i="31"/>
  <c r="CN58" i="31"/>
  <c r="KP58" i="31"/>
  <c r="CM58" i="31"/>
  <c r="KO58" i="31"/>
  <c r="CL58" i="31"/>
  <c r="KN58" i="31"/>
  <c r="CK58" i="31"/>
  <c r="KM58" i="31"/>
  <c r="CJ58" i="31"/>
  <c r="KL58" i="31"/>
  <c r="CI58" i="31"/>
  <c r="KK58" i="31"/>
  <c r="CH58" i="31"/>
  <c r="KJ58" i="31"/>
  <c r="CG58" i="31"/>
  <c r="KI58" i="31"/>
  <c r="CF58" i="31"/>
  <c r="KH58" i="31"/>
  <c r="CE58" i="31"/>
  <c r="KG58" i="31"/>
  <c r="CD58" i="31"/>
  <c r="KF58" i="31"/>
  <c r="BJ58" i="31"/>
  <c r="BI58" i="31"/>
  <c r="BH58" i="31"/>
  <c r="BG58" i="31"/>
  <c r="IP58" i="31"/>
  <c r="BF58" i="31"/>
  <c r="BB58" i="31"/>
  <c r="AJ58" i="31"/>
  <c r="AF58" i="31"/>
  <c r="BE58" i="31"/>
  <c r="AC58" i="31"/>
  <c r="AB58" i="31"/>
  <c r="X58" i="31"/>
  <c r="W58" i="31"/>
  <c r="Y58" i="31"/>
  <c r="T58" i="31"/>
  <c r="S58" i="31"/>
  <c r="U58" i="31"/>
  <c r="P58" i="31"/>
  <c r="O58" i="31"/>
  <c r="Q58" i="31"/>
  <c r="H58" i="31"/>
  <c r="KT33" i="31"/>
  <c r="G33" i="31"/>
  <c r="PP56" i="31"/>
  <c r="PO56" i="31"/>
  <c r="NY56" i="31"/>
  <c r="NS56" i="31"/>
  <c r="NR56" i="31"/>
  <c r="NQ56" i="31"/>
  <c r="NP56" i="31"/>
  <c r="NO56" i="31"/>
  <c r="NN56" i="31"/>
  <c r="NM56" i="31"/>
  <c r="KT56" i="31"/>
  <c r="KB56" i="31"/>
  <c r="KA56" i="31"/>
  <c r="JZ56" i="31"/>
  <c r="JY56" i="31"/>
  <c r="JX56" i="31"/>
  <c r="JW56" i="31"/>
  <c r="JV56" i="31"/>
  <c r="JU56" i="31"/>
  <c r="JT56" i="31"/>
  <c r="JS56" i="31"/>
  <c r="JR56" i="31"/>
  <c r="JQ56" i="31"/>
  <c r="JP56" i="31"/>
  <c r="JB56" i="31"/>
  <c r="HW56" i="31"/>
  <c r="IX56" i="31"/>
  <c r="IT56" i="31"/>
  <c r="HF56" i="31"/>
  <c r="HD56" i="31"/>
  <c r="GU56" i="31"/>
  <c r="GS56" i="31"/>
  <c r="GR56" i="31"/>
  <c r="GQ56" i="31"/>
  <c r="GP56" i="31"/>
  <c r="GO56" i="31"/>
  <c r="EH56" i="31"/>
  <c r="EG56" i="31"/>
  <c r="EA56" i="31"/>
  <c r="DZ56" i="31"/>
  <c r="DY56" i="31"/>
  <c r="DX56" i="31"/>
  <c r="DW56" i="31"/>
  <c r="DV56" i="31"/>
  <c r="CP56" i="31"/>
  <c r="KR56" i="31"/>
  <c r="CO56" i="31"/>
  <c r="KQ56" i="31"/>
  <c r="CN56" i="31"/>
  <c r="KP56" i="31"/>
  <c r="CM56" i="31"/>
  <c r="KO56" i="31"/>
  <c r="CL56" i="31"/>
  <c r="KN56" i="31"/>
  <c r="CK56" i="31"/>
  <c r="CJ56" i="31"/>
  <c r="KL56" i="31"/>
  <c r="CI56" i="31"/>
  <c r="KK56" i="31"/>
  <c r="CH56" i="31"/>
  <c r="KJ56" i="31"/>
  <c r="CG56" i="31"/>
  <c r="CF56" i="31"/>
  <c r="GA56" i="31"/>
  <c r="CE56" i="31"/>
  <c r="FZ56" i="31"/>
  <c r="CD56" i="31"/>
  <c r="KF56" i="31"/>
  <c r="BJ56" i="31"/>
  <c r="BI56" i="31"/>
  <c r="BH56" i="31"/>
  <c r="BG56" i="31"/>
  <c r="BF56" i="31"/>
  <c r="BB56" i="31"/>
  <c r="AJ56" i="31"/>
  <c r="AF56" i="31"/>
  <c r="BE56" i="31"/>
  <c r="AC56" i="31"/>
  <c r="AB56" i="31"/>
  <c r="IY56" i="31"/>
  <c r="X56" i="31"/>
  <c r="W56" i="31"/>
  <c r="IU56" i="31"/>
  <c r="T56" i="31"/>
  <c r="S56" i="31"/>
  <c r="U56" i="31"/>
  <c r="P56" i="31"/>
  <c r="O56" i="31"/>
  <c r="Q56" i="31"/>
  <c r="L56" i="31"/>
  <c r="K56" i="31"/>
  <c r="M56" i="31"/>
  <c r="H56" i="31"/>
  <c r="PP55" i="31"/>
  <c r="PO55" i="31"/>
  <c r="NY55" i="31"/>
  <c r="NS55" i="31"/>
  <c r="NR55" i="31"/>
  <c r="NQ55" i="31"/>
  <c r="NP55" i="31"/>
  <c r="NO55" i="31"/>
  <c r="NN55" i="31"/>
  <c r="NM55" i="31"/>
  <c r="KT55" i="31"/>
  <c r="KB55" i="31"/>
  <c r="KA55" i="31"/>
  <c r="JZ55" i="31"/>
  <c r="JY55" i="31"/>
  <c r="JX55" i="31"/>
  <c r="JW55" i="31"/>
  <c r="JV55" i="31"/>
  <c r="JU55" i="31"/>
  <c r="JT55" i="31"/>
  <c r="JS55" i="31"/>
  <c r="JR55" i="31"/>
  <c r="JQ55" i="31"/>
  <c r="JP55" i="31"/>
  <c r="JB55" i="31"/>
  <c r="HW55" i="31"/>
  <c r="HV55" i="31"/>
  <c r="IX55" i="31"/>
  <c r="IT55" i="31"/>
  <c r="HF55" i="31"/>
  <c r="HD55" i="31"/>
  <c r="GU55" i="31"/>
  <c r="GS55" i="31"/>
  <c r="GR55" i="31"/>
  <c r="GQ55" i="31"/>
  <c r="GP55" i="31"/>
  <c r="GO55" i="31"/>
  <c r="EH55" i="31"/>
  <c r="EG55" i="31"/>
  <c r="EA55" i="31"/>
  <c r="DZ55" i="31"/>
  <c r="DY55" i="31"/>
  <c r="DX55" i="31"/>
  <c r="DW55" i="31"/>
  <c r="DV55" i="31"/>
  <c r="CP55" i="31"/>
  <c r="CO55" i="31"/>
  <c r="KQ55" i="31"/>
  <c r="CN55" i="31"/>
  <c r="KP55" i="31"/>
  <c r="CM55" i="31"/>
  <c r="KO55" i="31"/>
  <c r="CL55" i="31"/>
  <c r="KN55" i="31"/>
  <c r="CK55" i="31"/>
  <c r="KM55" i="31"/>
  <c r="CJ55" i="31"/>
  <c r="KL55" i="31"/>
  <c r="CI55" i="31"/>
  <c r="KK55" i="31"/>
  <c r="CH55" i="31"/>
  <c r="KJ55" i="31"/>
  <c r="CG55" i="31"/>
  <c r="GB55" i="31"/>
  <c r="CF55" i="31"/>
  <c r="GA55" i="31"/>
  <c r="CE55" i="31"/>
  <c r="KG55" i="31"/>
  <c r="CD55" i="31"/>
  <c r="KF55" i="31"/>
  <c r="BJ55" i="31"/>
  <c r="BI55" i="31"/>
  <c r="BH55" i="31"/>
  <c r="BG55" i="31"/>
  <c r="IP55" i="31"/>
  <c r="BF55" i="31"/>
  <c r="BB55" i="31"/>
  <c r="AJ55" i="31"/>
  <c r="AF55" i="31"/>
  <c r="BE55" i="31"/>
  <c r="AC55" i="31"/>
  <c r="AB55" i="31"/>
  <c r="IY55" i="31"/>
  <c r="X55" i="31"/>
  <c r="W55" i="31"/>
  <c r="IU55" i="31"/>
  <c r="T55" i="31"/>
  <c r="S55" i="31"/>
  <c r="U55" i="31"/>
  <c r="P55" i="31"/>
  <c r="O55" i="31"/>
  <c r="Q55" i="31"/>
  <c r="H55" i="31"/>
  <c r="PP54" i="31"/>
  <c r="PO54" i="31"/>
  <c r="NY54" i="31"/>
  <c r="NS54" i="31"/>
  <c r="NR54" i="31"/>
  <c r="NQ54" i="31"/>
  <c r="NP54" i="31"/>
  <c r="NO54" i="31"/>
  <c r="NN54" i="31"/>
  <c r="NM54" i="31"/>
  <c r="KT54" i="31"/>
  <c r="KB54" i="31"/>
  <c r="KA54" i="31"/>
  <c r="JZ54" i="31"/>
  <c r="JY54" i="31"/>
  <c r="JX54" i="31"/>
  <c r="JW54" i="31"/>
  <c r="JV54" i="31"/>
  <c r="JU54" i="31"/>
  <c r="JT54" i="31"/>
  <c r="JS54" i="31"/>
  <c r="JR54" i="31"/>
  <c r="JQ54" i="31"/>
  <c r="JP54" i="31"/>
  <c r="JB54" i="31"/>
  <c r="HW54" i="31"/>
  <c r="IX54" i="31"/>
  <c r="IT54" i="31"/>
  <c r="HF54" i="31"/>
  <c r="HD54" i="31"/>
  <c r="GU54" i="31"/>
  <c r="GS54" i="31"/>
  <c r="GR54" i="31"/>
  <c r="GQ54" i="31"/>
  <c r="GP54" i="31"/>
  <c r="GO54" i="31"/>
  <c r="EH54" i="31"/>
  <c r="EG54" i="31"/>
  <c r="EA54" i="31"/>
  <c r="DZ54" i="31"/>
  <c r="DY54" i="31"/>
  <c r="DX54" i="31"/>
  <c r="DW54" i="31"/>
  <c r="DV54" i="31"/>
  <c r="CP54" i="31"/>
  <c r="GE54" i="31"/>
  <c r="CO54" i="31"/>
  <c r="KQ54" i="31"/>
  <c r="CN54" i="31"/>
  <c r="KP54" i="31"/>
  <c r="CM54" i="31"/>
  <c r="KO54" i="31"/>
  <c r="CL54" i="31"/>
  <c r="KN54" i="31"/>
  <c r="CK54" i="31"/>
  <c r="CJ54" i="31"/>
  <c r="KL54" i="31"/>
  <c r="CI54" i="31"/>
  <c r="CH54" i="31"/>
  <c r="KJ54" i="31"/>
  <c r="CG54" i="31"/>
  <c r="CF54" i="31"/>
  <c r="CE54" i="31"/>
  <c r="KG54" i="31"/>
  <c r="CD54" i="31"/>
  <c r="KF54" i="31"/>
  <c r="BJ54" i="31"/>
  <c r="BI54" i="31"/>
  <c r="BH54" i="31"/>
  <c r="BG54" i="31"/>
  <c r="IP54" i="31"/>
  <c r="IO54" i="31"/>
  <c r="BF54" i="31"/>
  <c r="BB54" i="31"/>
  <c r="AJ54" i="31"/>
  <c r="AF54" i="31"/>
  <c r="BE54" i="31"/>
  <c r="AC54" i="31"/>
  <c r="AB54" i="31"/>
  <c r="IY54" i="31"/>
  <c r="X54" i="31"/>
  <c r="W54" i="31"/>
  <c r="T54" i="31"/>
  <c r="S54" i="31"/>
  <c r="U54" i="31"/>
  <c r="P54" i="31"/>
  <c r="O54" i="31"/>
  <c r="Q54" i="31"/>
  <c r="H54" i="31"/>
  <c r="PP53" i="31"/>
  <c r="PO53" i="31"/>
  <c r="NY53" i="31"/>
  <c r="NS53" i="31"/>
  <c r="NR53" i="31"/>
  <c r="NQ53" i="31"/>
  <c r="NP53" i="31"/>
  <c r="NO53" i="31"/>
  <c r="NN53" i="31"/>
  <c r="NM53" i="31"/>
  <c r="KT53" i="31"/>
  <c r="KB53" i="31"/>
  <c r="KA53" i="31"/>
  <c r="JZ53" i="31"/>
  <c r="JY53" i="31"/>
  <c r="JX53" i="31"/>
  <c r="JW53" i="31"/>
  <c r="JV53" i="31"/>
  <c r="JU53" i="31"/>
  <c r="JT53" i="31"/>
  <c r="JS53" i="31"/>
  <c r="JR53" i="31"/>
  <c r="JQ53" i="31"/>
  <c r="JP53" i="31"/>
  <c r="JB53" i="31"/>
  <c r="HW53" i="31"/>
  <c r="IX53" i="31"/>
  <c r="IT53" i="31"/>
  <c r="HF53" i="31"/>
  <c r="HD53" i="31"/>
  <c r="GU53" i="31"/>
  <c r="GS53" i="31"/>
  <c r="GR53" i="31"/>
  <c r="GQ53" i="31"/>
  <c r="GP53" i="31"/>
  <c r="GO53" i="31"/>
  <c r="EH53" i="31"/>
  <c r="EG53" i="31"/>
  <c r="EA53" i="31"/>
  <c r="DZ53" i="31"/>
  <c r="DY53" i="31"/>
  <c r="DX53" i="31"/>
  <c r="DW53" i="31"/>
  <c r="DV53" i="31"/>
  <c r="CP53" i="31"/>
  <c r="CO53" i="31"/>
  <c r="KQ53" i="31"/>
  <c r="CN53" i="31"/>
  <c r="KP53" i="31"/>
  <c r="CM53" i="31"/>
  <c r="KO53" i="31"/>
  <c r="CL53" i="31"/>
  <c r="KN53" i="31"/>
  <c r="CK53" i="31"/>
  <c r="GD53" i="31"/>
  <c r="CJ53" i="31"/>
  <c r="KL53" i="31"/>
  <c r="CI53" i="31"/>
  <c r="KK53" i="31"/>
  <c r="CH53" i="31"/>
  <c r="KJ53" i="31"/>
  <c r="CG53" i="31"/>
  <c r="GB53" i="31"/>
  <c r="CF53" i="31"/>
  <c r="KH53" i="31"/>
  <c r="CE53" i="31"/>
  <c r="CD53" i="31"/>
  <c r="KF53" i="31"/>
  <c r="BJ53" i="31"/>
  <c r="BI53" i="31"/>
  <c r="BH53" i="31"/>
  <c r="BG53" i="31"/>
  <c r="IP53" i="31"/>
  <c r="BF53" i="31"/>
  <c r="BB53" i="31"/>
  <c r="AJ53" i="31"/>
  <c r="AF53" i="31"/>
  <c r="BE53" i="31"/>
  <c r="AC53" i="31"/>
  <c r="AB53" i="31"/>
  <c r="IY53" i="31"/>
  <c r="X53" i="31"/>
  <c r="W53" i="31"/>
  <c r="T53" i="31"/>
  <c r="S53" i="31"/>
  <c r="U53" i="31"/>
  <c r="P53" i="31"/>
  <c r="O53" i="31"/>
  <c r="Q53" i="31"/>
  <c r="H53" i="31"/>
  <c r="PP52" i="31"/>
  <c r="PO52" i="31"/>
  <c r="NY52" i="31"/>
  <c r="NS52" i="31"/>
  <c r="NR52" i="31"/>
  <c r="NQ52" i="31"/>
  <c r="NP52" i="31"/>
  <c r="NO52" i="31"/>
  <c r="NN52" i="31"/>
  <c r="NM52" i="31"/>
  <c r="KT52" i="31"/>
  <c r="KB52" i="31"/>
  <c r="KA52" i="31"/>
  <c r="JZ52" i="31"/>
  <c r="JY52" i="31"/>
  <c r="JX52" i="31"/>
  <c r="JW52" i="31"/>
  <c r="JV52" i="31"/>
  <c r="JU52" i="31"/>
  <c r="JT52" i="31"/>
  <c r="JS52" i="31"/>
  <c r="JR52" i="31"/>
  <c r="JQ52" i="31"/>
  <c r="JP52" i="31"/>
  <c r="JB52" i="31"/>
  <c r="HW52" i="31"/>
  <c r="IX52" i="31"/>
  <c r="IT52" i="31"/>
  <c r="HF52" i="31"/>
  <c r="HD52" i="31"/>
  <c r="GU52" i="31"/>
  <c r="GS52" i="31"/>
  <c r="GR52" i="31"/>
  <c r="GQ52" i="31"/>
  <c r="GP52" i="31"/>
  <c r="GO52" i="31"/>
  <c r="EH52" i="31"/>
  <c r="EG52" i="31"/>
  <c r="EA52" i="31"/>
  <c r="DZ52" i="31"/>
  <c r="DY52" i="31"/>
  <c r="DX52" i="31"/>
  <c r="DW52" i="31"/>
  <c r="DV52" i="31"/>
  <c r="CP52" i="31"/>
  <c r="KR52" i="31"/>
  <c r="CO52" i="31"/>
  <c r="KQ52" i="31"/>
  <c r="CN52" i="31"/>
  <c r="KP52" i="31"/>
  <c r="CM52" i="31"/>
  <c r="KO52" i="31"/>
  <c r="CL52" i="31"/>
  <c r="KN52" i="31"/>
  <c r="CK52" i="31"/>
  <c r="CJ52" i="31"/>
  <c r="KL52" i="31"/>
  <c r="CI52" i="31"/>
  <c r="GC52" i="31"/>
  <c r="CH52" i="31"/>
  <c r="KJ52" i="31"/>
  <c r="CG52" i="31"/>
  <c r="GB52" i="31"/>
  <c r="CF52" i="31"/>
  <c r="GA52" i="31"/>
  <c r="CE52" i="31"/>
  <c r="CD52" i="31"/>
  <c r="KF52" i="31"/>
  <c r="BJ52" i="31"/>
  <c r="BI52" i="31"/>
  <c r="BH52" i="31"/>
  <c r="BG52" i="31"/>
  <c r="BF52" i="31"/>
  <c r="BB52" i="31"/>
  <c r="AJ52" i="31"/>
  <c r="AF52" i="31"/>
  <c r="BE52" i="31"/>
  <c r="AC52" i="31"/>
  <c r="AB52" i="31"/>
  <c r="X52" i="31"/>
  <c r="W52" i="31"/>
  <c r="Y52" i="31"/>
  <c r="T52" i="31"/>
  <c r="S52" i="31"/>
  <c r="U52" i="31"/>
  <c r="P52" i="31"/>
  <c r="O52" i="31"/>
  <c r="Q52" i="31"/>
  <c r="H52" i="31"/>
  <c r="PP51" i="31"/>
  <c r="PO51" i="31"/>
  <c r="NY51" i="31"/>
  <c r="NS51" i="31"/>
  <c r="NR51" i="31"/>
  <c r="NQ51" i="31"/>
  <c r="NP51" i="31"/>
  <c r="NO51" i="31"/>
  <c r="NN51" i="31"/>
  <c r="NM51" i="31"/>
  <c r="KT51" i="31"/>
  <c r="KB51" i="31"/>
  <c r="KA51" i="31"/>
  <c r="JZ51" i="31"/>
  <c r="JY51" i="31"/>
  <c r="JX51" i="31"/>
  <c r="JW51" i="31"/>
  <c r="JV51" i="31"/>
  <c r="JU51" i="31"/>
  <c r="JT51" i="31"/>
  <c r="JS51" i="31"/>
  <c r="JR51" i="31"/>
  <c r="JQ51" i="31"/>
  <c r="JP51" i="31"/>
  <c r="JB51" i="31"/>
  <c r="HW51" i="31"/>
  <c r="IX51" i="31"/>
  <c r="IT51" i="31"/>
  <c r="HF51" i="31"/>
  <c r="HD51" i="31"/>
  <c r="GU51" i="31"/>
  <c r="GS51" i="31"/>
  <c r="GR51" i="31"/>
  <c r="GQ51" i="31"/>
  <c r="GP51" i="31"/>
  <c r="GO51" i="31"/>
  <c r="EH51" i="31"/>
  <c r="EG51" i="31"/>
  <c r="EA51" i="31"/>
  <c r="DZ51" i="31"/>
  <c r="DY51" i="31"/>
  <c r="DX51" i="31"/>
  <c r="DW51" i="31"/>
  <c r="DV51" i="31"/>
  <c r="CP51" i="31"/>
  <c r="CO51" i="31"/>
  <c r="KQ51" i="31"/>
  <c r="CN51" i="31"/>
  <c r="KP51" i="31"/>
  <c r="CM51" i="31"/>
  <c r="KO51" i="31"/>
  <c r="CL51" i="31"/>
  <c r="KN51" i="31"/>
  <c r="CK51" i="31"/>
  <c r="KM51" i="31"/>
  <c r="CJ51" i="31"/>
  <c r="KL51" i="31"/>
  <c r="CI51" i="31"/>
  <c r="GC51" i="31"/>
  <c r="CH51" i="31"/>
  <c r="KJ51" i="31"/>
  <c r="CG51" i="31"/>
  <c r="GB51" i="31"/>
  <c r="CF51" i="31"/>
  <c r="GA51" i="31"/>
  <c r="CE51" i="31"/>
  <c r="FZ51" i="31"/>
  <c r="CD51" i="31"/>
  <c r="KF51" i="31"/>
  <c r="BJ51" i="31"/>
  <c r="BI51" i="31"/>
  <c r="BH51" i="31"/>
  <c r="BG51" i="31"/>
  <c r="IP51" i="31"/>
  <c r="BF51" i="31"/>
  <c r="BB51" i="31"/>
  <c r="AJ51" i="31"/>
  <c r="AF51" i="31"/>
  <c r="BE51" i="31"/>
  <c r="AC51" i="31"/>
  <c r="AB51" i="31"/>
  <c r="AD51" i="31"/>
  <c r="X51" i="31"/>
  <c r="W51" i="31"/>
  <c r="T51" i="31"/>
  <c r="S51" i="31"/>
  <c r="U51" i="31"/>
  <c r="P51" i="31"/>
  <c r="O51" i="31"/>
  <c r="Q51" i="31"/>
  <c r="H51" i="31"/>
  <c r="PP50" i="31"/>
  <c r="PO50" i="31"/>
  <c r="NY50" i="31"/>
  <c r="NS50" i="31"/>
  <c r="NR50" i="31"/>
  <c r="NQ50" i="31"/>
  <c r="NP50" i="31"/>
  <c r="NO50" i="31"/>
  <c r="NN50" i="31"/>
  <c r="NM50" i="31"/>
  <c r="KT50" i="31"/>
  <c r="KB50" i="31"/>
  <c r="KA50" i="31"/>
  <c r="JZ50" i="31"/>
  <c r="JY50" i="31"/>
  <c r="JX50" i="31"/>
  <c r="JW50" i="31"/>
  <c r="JV50" i="31"/>
  <c r="JU50" i="31"/>
  <c r="JT50" i="31"/>
  <c r="JS50" i="31"/>
  <c r="JR50" i="31"/>
  <c r="JQ50" i="31"/>
  <c r="JP50" i="31"/>
  <c r="JB50" i="31"/>
  <c r="HW50" i="31"/>
  <c r="IX50" i="31"/>
  <c r="IT50" i="31"/>
  <c r="HF50" i="31"/>
  <c r="HD50" i="31"/>
  <c r="GU50" i="31"/>
  <c r="GS50" i="31"/>
  <c r="GR50" i="31"/>
  <c r="GQ50" i="31"/>
  <c r="GP50" i="31"/>
  <c r="GO50" i="31"/>
  <c r="EH50" i="31"/>
  <c r="EG50" i="31"/>
  <c r="EA50" i="31"/>
  <c r="DZ50" i="31"/>
  <c r="DY50" i="31"/>
  <c r="DX50" i="31"/>
  <c r="DW50" i="31"/>
  <c r="DV50" i="31"/>
  <c r="CP50" i="31"/>
  <c r="KR50" i="31"/>
  <c r="CO50" i="31"/>
  <c r="KQ50" i="31"/>
  <c r="CN50" i="31"/>
  <c r="KP50" i="31"/>
  <c r="CM50" i="31"/>
  <c r="KO50" i="31"/>
  <c r="CL50" i="31"/>
  <c r="KN50" i="31"/>
  <c r="CK50" i="31"/>
  <c r="KM50" i="31"/>
  <c r="CJ50" i="31"/>
  <c r="KL50" i="31"/>
  <c r="CI50" i="31"/>
  <c r="CH50" i="31"/>
  <c r="KJ50" i="31"/>
  <c r="CG50" i="31"/>
  <c r="GB50" i="31"/>
  <c r="CF50" i="31"/>
  <c r="CE50" i="31"/>
  <c r="KG50" i="31"/>
  <c r="CD50" i="31"/>
  <c r="KF50" i="31"/>
  <c r="BJ50" i="31"/>
  <c r="BI50" i="31"/>
  <c r="BH50" i="31"/>
  <c r="BG50" i="31"/>
  <c r="IP50" i="31"/>
  <c r="BF50" i="31"/>
  <c r="BB50" i="31"/>
  <c r="AJ50" i="31"/>
  <c r="AF50" i="31"/>
  <c r="BE50" i="31"/>
  <c r="AC50" i="31"/>
  <c r="AB50" i="31"/>
  <c r="X50" i="31"/>
  <c r="W50" i="31"/>
  <c r="IU50" i="31"/>
  <c r="T50" i="31"/>
  <c r="S50" i="31"/>
  <c r="U50" i="31"/>
  <c r="P50" i="31"/>
  <c r="O50" i="31"/>
  <c r="Q50" i="31"/>
  <c r="L50" i="31"/>
  <c r="K50" i="31"/>
  <c r="M50" i="31"/>
  <c r="I50" i="31"/>
  <c r="H50" i="31"/>
  <c r="PP49" i="31"/>
  <c r="PO49" i="31"/>
  <c r="NY49" i="31"/>
  <c r="NS49" i="31"/>
  <c r="NR49" i="31"/>
  <c r="NQ49" i="31"/>
  <c r="NP49" i="31"/>
  <c r="NO49" i="31"/>
  <c r="NN49" i="31"/>
  <c r="NM49" i="31"/>
  <c r="KT49" i="31"/>
  <c r="KB49" i="31"/>
  <c r="KA49" i="31"/>
  <c r="JZ49" i="31"/>
  <c r="JY49" i="31"/>
  <c r="JX49" i="31"/>
  <c r="JW49" i="31"/>
  <c r="JV49" i="31"/>
  <c r="JU49" i="31"/>
  <c r="JT49" i="31"/>
  <c r="JS49" i="31"/>
  <c r="JR49" i="31"/>
  <c r="JQ49" i="31"/>
  <c r="JP49" i="31"/>
  <c r="JB49" i="31"/>
  <c r="HW49" i="31"/>
  <c r="IX49" i="31"/>
  <c r="IT49" i="31"/>
  <c r="HF49" i="31"/>
  <c r="HD49" i="31"/>
  <c r="GU49" i="31"/>
  <c r="GS49" i="31"/>
  <c r="GR49" i="31"/>
  <c r="GQ49" i="31"/>
  <c r="GP49" i="31"/>
  <c r="GO49" i="31"/>
  <c r="EH49" i="31"/>
  <c r="EG49" i="31"/>
  <c r="EA49" i="31"/>
  <c r="DZ49" i="31"/>
  <c r="DY49" i="31"/>
  <c r="DX49" i="31"/>
  <c r="DW49" i="31"/>
  <c r="DV49" i="31"/>
  <c r="CP49" i="31"/>
  <c r="GE49" i="31"/>
  <c r="CO49" i="31"/>
  <c r="KQ49" i="31"/>
  <c r="CN49" i="31"/>
  <c r="KP49" i="31"/>
  <c r="CM49" i="31"/>
  <c r="KO49" i="31"/>
  <c r="CL49" i="31"/>
  <c r="KN49" i="31"/>
  <c r="CK49" i="31"/>
  <c r="CJ49" i="31"/>
  <c r="KL49" i="31"/>
  <c r="CI49" i="31"/>
  <c r="GC49" i="31"/>
  <c r="CH49" i="31"/>
  <c r="KJ49" i="31"/>
  <c r="CG49" i="31"/>
  <c r="CF49" i="31"/>
  <c r="CE49" i="31"/>
  <c r="KG49" i="31"/>
  <c r="CD49" i="31"/>
  <c r="KF49" i="31"/>
  <c r="BJ49" i="31"/>
  <c r="BI49" i="31"/>
  <c r="BH49" i="31"/>
  <c r="BG49" i="31"/>
  <c r="IP49" i="31"/>
  <c r="IO49" i="31"/>
  <c r="BF49" i="31"/>
  <c r="BB49" i="31"/>
  <c r="AJ49" i="31"/>
  <c r="AF49" i="31"/>
  <c r="BE49" i="31"/>
  <c r="AC49" i="31"/>
  <c r="AB49" i="31"/>
  <c r="AD49" i="31"/>
  <c r="X49" i="31"/>
  <c r="W49" i="31"/>
  <c r="Y49" i="31"/>
  <c r="T49" i="31"/>
  <c r="S49" i="31"/>
  <c r="U49" i="31"/>
  <c r="P49" i="31"/>
  <c r="O49" i="31"/>
  <c r="Q49" i="31"/>
  <c r="L49" i="31"/>
  <c r="K49" i="31"/>
  <c r="M49" i="31"/>
  <c r="I49" i="31"/>
  <c r="H49" i="31"/>
  <c r="PP48" i="31"/>
  <c r="PO48" i="31"/>
  <c r="NY48" i="31"/>
  <c r="NS48" i="31"/>
  <c r="NR48" i="31"/>
  <c r="NQ48" i="31"/>
  <c r="NP48" i="31"/>
  <c r="NO48" i="31"/>
  <c r="NN48" i="31"/>
  <c r="NM48" i="31"/>
  <c r="KT48" i="31"/>
  <c r="KB48" i="31"/>
  <c r="KA48" i="31"/>
  <c r="JZ48" i="31"/>
  <c r="JY48" i="31"/>
  <c r="JX48" i="31"/>
  <c r="JW48" i="31"/>
  <c r="JV48" i="31"/>
  <c r="JU48" i="31"/>
  <c r="JT48" i="31"/>
  <c r="JS48" i="31"/>
  <c r="JR48" i="31"/>
  <c r="JQ48" i="31"/>
  <c r="JP48" i="31"/>
  <c r="JB48" i="31"/>
  <c r="HW48" i="31"/>
  <c r="IX48" i="31"/>
  <c r="IT48" i="31"/>
  <c r="HF48" i="31"/>
  <c r="HD48" i="31"/>
  <c r="GU48" i="31"/>
  <c r="GS48" i="31"/>
  <c r="GR48" i="31"/>
  <c r="GQ48" i="31"/>
  <c r="GP48" i="31"/>
  <c r="GO48" i="31"/>
  <c r="EH48" i="31"/>
  <c r="EG48" i="31"/>
  <c r="EA48" i="31"/>
  <c r="DZ48" i="31"/>
  <c r="DY48" i="31"/>
  <c r="DX48" i="31"/>
  <c r="DW48" i="31"/>
  <c r="DV48" i="31"/>
  <c r="CP48" i="31"/>
  <c r="GE48" i="31"/>
  <c r="CO48" i="31"/>
  <c r="KQ48" i="31"/>
  <c r="CN48" i="31"/>
  <c r="KP48" i="31"/>
  <c r="CM48" i="31"/>
  <c r="KO48" i="31"/>
  <c r="CL48" i="31"/>
  <c r="KN48" i="31"/>
  <c r="CK48" i="31"/>
  <c r="CJ48" i="31"/>
  <c r="KL48" i="31"/>
  <c r="CI48" i="31"/>
  <c r="CH48" i="31"/>
  <c r="KJ48" i="31"/>
  <c r="CG48" i="31"/>
  <c r="KI48" i="31"/>
  <c r="CF48" i="31"/>
  <c r="KH48" i="31"/>
  <c r="CE48" i="31"/>
  <c r="KG48" i="31"/>
  <c r="CD48" i="31"/>
  <c r="KF48" i="31"/>
  <c r="BJ48" i="31"/>
  <c r="BI48" i="31"/>
  <c r="BH48" i="31"/>
  <c r="BG48" i="31"/>
  <c r="IP48" i="31"/>
  <c r="BF48" i="31"/>
  <c r="BB48" i="31"/>
  <c r="AJ48" i="31"/>
  <c r="AF48" i="31"/>
  <c r="BE48" i="31"/>
  <c r="AC48" i="31"/>
  <c r="AB48" i="31"/>
  <c r="AD48" i="31"/>
  <c r="X48" i="31"/>
  <c r="W48" i="31"/>
  <c r="Y48" i="31"/>
  <c r="T48" i="31"/>
  <c r="S48" i="31"/>
  <c r="U48" i="31"/>
  <c r="P48" i="31"/>
  <c r="O48" i="31"/>
  <c r="Q48" i="31"/>
  <c r="L48" i="31"/>
  <c r="K48" i="31"/>
  <c r="M48" i="31"/>
  <c r="I48" i="31"/>
  <c r="H48" i="31"/>
  <c r="PP47" i="31"/>
  <c r="PO47" i="31"/>
  <c r="NY47" i="31"/>
  <c r="NS47" i="31"/>
  <c r="NR47" i="31"/>
  <c r="NQ47" i="31"/>
  <c r="NP47" i="31"/>
  <c r="NO47" i="31"/>
  <c r="NN47" i="31"/>
  <c r="NM47" i="31"/>
  <c r="KT47" i="31"/>
  <c r="KB47" i="31"/>
  <c r="KA47" i="31"/>
  <c r="JZ47" i="31"/>
  <c r="JY47" i="31"/>
  <c r="JX47" i="31"/>
  <c r="JW47" i="31"/>
  <c r="JV47" i="31"/>
  <c r="JU47" i="31"/>
  <c r="JT47" i="31"/>
  <c r="JS47" i="31"/>
  <c r="JR47" i="31"/>
  <c r="JQ47" i="31"/>
  <c r="JP47" i="31"/>
  <c r="JB47" i="31"/>
  <c r="HW47" i="31"/>
  <c r="IX47" i="31"/>
  <c r="IT47" i="31"/>
  <c r="HF47" i="31"/>
  <c r="HD47" i="31"/>
  <c r="GU47" i="31"/>
  <c r="GS47" i="31"/>
  <c r="GR47" i="31"/>
  <c r="GQ47" i="31"/>
  <c r="GP47" i="31"/>
  <c r="GO47" i="31"/>
  <c r="EH47" i="31"/>
  <c r="EG47" i="31"/>
  <c r="EA47" i="31"/>
  <c r="DZ47" i="31"/>
  <c r="DY47" i="31"/>
  <c r="DX47" i="31"/>
  <c r="DW47" i="31"/>
  <c r="DV47" i="31"/>
  <c r="CP47" i="31"/>
  <c r="GE47" i="31"/>
  <c r="CO47" i="31"/>
  <c r="KQ47" i="31"/>
  <c r="CN47" i="31"/>
  <c r="KP47" i="31"/>
  <c r="CM47" i="31"/>
  <c r="KO47" i="31"/>
  <c r="CL47" i="31"/>
  <c r="KN47" i="31"/>
  <c r="CK47" i="31"/>
  <c r="KM47" i="31"/>
  <c r="CJ47" i="31"/>
  <c r="KL47" i="31"/>
  <c r="CI47" i="31"/>
  <c r="KK47" i="31"/>
  <c r="CH47" i="31"/>
  <c r="KJ47" i="31"/>
  <c r="CG47" i="31"/>
  <c r="CF47" i="31"/>
  <c r="GA47" i="31"/>
  <c r="CE47" i="31"/>
  <c r="FZ47" i="31"/>
  <c r="CD47" i="31"/>
  <c r="KF47" i="31"/>
  <c r="BJ47" i="31"/>
  <c r="BI47" i="31"/>
  <c r="BH47" i="31"/>
  <c r="BG47" i="31"/>
  <c r="IP47" i="31"/>
  <c r="BF47" i="31"/>
  <c r="BB47" i="31"/>
  <c r="AJ47" i="31"/>
  <c r="AF47" i="31"/>
  <c r="BE47" i="31"/>
  <c r="AC47" i="31"/>
  <c r="AB47" i="31"/>
  <c r="X47" i="31"/>
  <c r="W47" i="31"/>
  <c r="IU47" i="31"/>
  <c r="T47" i="31"/>
  <c r="S47" i="31"/>
  <c r="U47" i="31"/>
  <c r="P47" i="31"/>
  <c r="O47" i="31"/>
  <c r="Q47" i="31"/>
  <c r="L47" i="31"/>
  <c r="K47" i="31"/>
  <c r="M47" i="31"/>
  <c r="H47" i="31"/>
  <c r="PP46" i="31"/>
  <c r="PO46" i="31"/>
  <c r="NY46" i="31"/>
  <c r="NS46" i="31"/>
  <c r="NR46" i="31"/>
  <c r="NQ46" i="31"/>
  <c r="NP46" i="31"/>
  <c r="NO46" i="31"/>
  <c r="NN46" i="31"/>
  <c r="NM46" i="31"/>
  <c r="KT46" i="31"/>
  <c r="KB46" i="31"/>
  <c r="KA46" i="31"/>
  <c r="JZ46" i="31"/>
  <c r="JY46" i="31"/>
  <c r="JX46" i="31"/>
  <c r="JW46" i="31"/>
  <c r="JV46" i="31"/>
  <c r="JU46" i="31"/>
  <c r="JT46" i="31"/>
  <c r="JS46" i="31"/>
  <c r="JR46" i="31"/>
  <c r="JQ46" i="31"/>
  <c r="JP46" i="31"/>
  <c r="JB46" i="31"/>
  <c r="HW46" i="31"/>
  <c r="HV46" i="31"/>
  <c r="IX46" i="31"/>
  <c r="IT46" i="31"/>
  <c r="HF46" i="31"/>
  <c r="HD46" i="31"/>
  <c r="GU46" i="31"/>
  <c r="GS46" i="31"/>
  <c r="GR46" i="31"/>
  <c r="GQ46" i="31"/>
  <c r="GP46" i="31"/>
  <c r="GO46" i="31"/>
  <c r="EH46" i="31"/>
  <c r="EG46" i="31"/>
  <c r="EA46" i="31"/>
  <c r="DZ46" i="31"/>
  <c r="DY46" i="31"/>
  <c r="DX46" i="31"/>
  <c r="DW46" i="31"/>
  <c r="DV46" i="31"/>
  <c r="CP46" i="31"/>
  <c r="GE46" i="31"/>
  <c r="CO46" i="31"/>
  <c r="KQ46" i="31"/>
  <c r="CN46" i="31"/>
  <c r="KP46" i="31"/>
  <c r="CM46" i="31"/>
  <c r="KO46" i="31"/>
  <c r="CL46" i="31"/>
  <c r="KN46" i="31"/>
  <c r="CK46" i="31"/>
  <c r="CJ46" i="31"/>
  <c r="KL46" i="31"/>
  <c r="CI46" i="31"/>
  <c r="KK46" i="31"/>
  <c r="CH46" i="31"/>
  <c r="KJ46" i="31"/>
  <c r="CG46" i="31"/>
  <c r="GB46" i="31"/>
  <c r="CF46" i="31"/>
  <c r="KH46" i="31"/>
  <c r="CE46" i="31"/>
  <c r="FZ46" i="31"/>
  <c r="CD46" i="31"/>
  <c r="KF46" i="31"/>
  <c r="BJ46" i="31"/>
  <c r="BI46" i="31"/>
  <c r="BH46" i="31"/>
  <c r="BG46" i="31"/>
  <c r="IP46" i="31"/>
  <c r="IO46" i="31"/>
  <c r="BF46" i="31"/>
  <c r="BB46" i="31"/>
  <c r="AJ46" i="31"/>
  <c r="AF46" i="31"/>
  <c r="BE46" i="31"/>
  <c r="AC46" i="31"/>
  <c r="AB46" i="31"/>
  <c r="IY46" i="31"/>
  <c r="X46" i="31"/>
  <c r="W46" i="31"/>
  <c r="Y46" i="31"/>
  <c r="T46" i="31"/>
  <c r="S46" i="31"/>
  <c r="U46" i="31"/>
  <c r="P46" i="31"/>
  <c r="O46" i="31"/>
  <c r="Q46" i="31"/>
  <c r="L46" i="31"/>
  <c r="K46" i="31"/>
  <c r="M46" i="31"/>
  <c r="H46" i="31"/>
  <c r="PP45" i="31"/>
  <c r="PO45" i="31"/>
  <c r="NY45" i="31"/>
  <c r="NS45" i="31"/>
  <c r="NR45" i="31"/>
  <c r="NQ45" i="31"/>
  <c r="NP45" i="31"/>
  <c r="NO45" i="31"/>
  <c r="NN45" i="31"/>
  <c r="NM45" i="31"/>
  <c r="KT45" i="31"/>
  <c r="KB45" i="31"/>
  <c r="KA45" i="31"/>
  <c r="JZ45" i="31"/>
  <c r="JY45" i="31"/>
  <c r="JX45" i="31"/>
  <c r="JW45" i="31"/>
  <c r="JV45" i="31"/>
  <c r="JU45" i="31"/>
  <c r="JT45" i="31"/>
  <c r="JS45" i="31"/>
  <c r="JR45" i="31"/>
  <c r="JQ45" i="31"/>
  <c r="JP45" i="31"/>
  <c r="JB45" i="31"/>
  <c r="HW45" i="31"/>
  <c r="IX45" i="31"/>
  <c r="IT45" i="31"/>
  <c r="HF45" i="31"/>
  <c r="HD45" i="31"/>
  <c r="GU45" i="31"/>
  <c r="GS45" i="31"/>
  <c r="GR45" i="31"/>
  <c r="GQ45" i="31"/>
  <c r="GP45" i="31"/>
  <c r="GO45" i="31"/>
  <c r="EH45" i="31"/>
  <c r="EG45" i="31"/>
  <c r="EA45" i="31"/>
  <c r="DZ45" i="31"/>
  <c r="DY45" i="31"/>
  <c r="DX45" i="31"/>
  <c r="DW45" i="31"/>
  <c r="DV45" i="31"/>
  <c r="CP45" i="31"/>
  <c r="KR45" i="31"/>
  <c r="CO45" i="31"/>
  <c r="KQ45" i="31"/>
  <c r="CN45" i="31"/>
  <c r="KP45" i="31"/>
  <c r="CM45" i="31"/>
  <c r="KO45" i="31"/>
  <c r="CL45" i="31"/>
  <c r="KN45" i="31"/>
  <c r="CK45" i="31"/>
  <c r="KM45" i="31"/>
  <c r="CJ45" i="31"/>
  <c r="KL45" i="31"/>
  <c r="CI45" i="31"/>
  <c r="KK45" i="31"/>
  <c r="CH45" i="31"/>
  <c r="KJ45" i="31"/>
  <c r="CG45" i="31"/>
  <c r="KI45" i="31"/>
  <c r="CF45" i="31"/>
  <c r="GA45" i="31"/>
  <c r="CE45" i="31"/>
  <c r="FZ45" i="31"/>
  <c r="CD45" i="31"/>
  <c r="KF45" i="31"/>
  <c r="BJ45" i="31"/>
  <c r="BI45" i="31"/>
  <c r="BH45" i="31"/>
  <c r="BG45" i="31"/>
  <c r="IP45" i="31"/>
  <c r="BF45" i="31"/>
  <c r="BB45" i="31"/>
  <c r="AJ45" i="31"/>
  <c r="AF45" i="31"/>
  <c r="BE45" i="31"/>
  <c r="AC45" i="31"/>
  <c r="AB45" i="31"/>
  <c r="IY45" i="31"/>
  <c r="X45" i="31"/>
  <c r="W45" i="31"/>
  <c r="Y45" i="31"/>
  <c r="T45" i="31"/>
  <c r="S45" i="31"/>
  <c r="U45" i="31"/>
  <c r="P45" i="31"/>
  <c r="O45" i="31"/>
  <c r="Q45" i="31"/>
  <c r="L45" i="31"/>
  <c r="K45" i="31"/>
  <c r="M45" i="31"/>
  <c r="H45" i="31"/>
  <c r="PP44" i="31"/>
  <c r="PO44" i="31"/>
  <c r="NY44" i="31"/>
  <c r="NS44" i="31"/>
  <c r="NR44" i="31"/>
  <c r="NQ44" i="31"/>
  <c r="NP44" i="31"/>
  <c r="NO44" i="31"/>
  <c r="NN44" i="31"/>
  <c r="NM44" i="31"/>
  <c r="KT44" i="31"/>
  <c r="KB44" i="31"/>
  <c r="KA44" i="31"/>
  <c r="JZ44" i="31"/>
  <c r="JY44" i="31"/>
  <c r="JX44" i="31"/>
  <c r="JW44" i="31"/>
  <c r="JV44" i="31"/>
  <c r="JU44" i="31"/>
  <c r="JT44" i="31"/>
  <c r="JS44" i="31"/>
  <c r="JR44" i="31"/>
  <c r="JQ44" i="31"/>
  <c r="JP44" i="31"/>
  <c r="JB44" i="31"/>
  <c r="HW44" i="31"/>
  <c r="HX44" i="31"/>
  <c r="IX44" i="31"/>
  <c r="IT44" i="31"/>
  <c r="HF44" i="31"/>
  <c r="HD44" i="31"/>
  <c r="GU44" i="31"/>
  <c r="GS44" i="31"/>
  <c r="GR44" i="31"/>
  <c r="GQ44" i="31"/>
  <c r="GP44" i="31"/>
  <c r="GO44" i="31"/>
  <c r="EH44" i="31"/>
  <c r="EG44" i="31"/>
  <c r="EA44" i="31"/>
  <c r="DZ44" i="31"/>
  <c r="DY44" i="31"/>
  <c r="DX44" i="31"/>
  <c r="DW44" i="31"/>
  <c r="DV44" i="31"/>
  <c r="CP44" i="31"/>
  <c r="KR44" i="31"/>
  <c r="CO44" i="31"/>
  <c r="KQ44" i="31"/>
  <c r="CN44" i="31"/>
  <c r="KP44" i="31"/>
  <c r="CM44" i="31"/>
  <c r="KO44" i="31"/>
  <c r="CL44" i="31"/>
  <c r="KN44" i="31"/>
  <c r="CK44" i="31"/>
  <c r="CJ44" i="31"/>
  <c r="KL44" i="31"/>
  <c r="CI44" i="31"/>
  <c r="GC44" i="31"/>
  <c r="CH44" i="31"/>
  <c r="KJ44" i="31"/>
  <c r="CG44" i="31"/>
  <c r="KI44" i="31"/>
  <c r="CF44" i="31"/>
  <c r="KH44" i="31"/>
  <c r="CE44" i="31"/>
  <c r="KG44" i="31"/>
  <c r="CD44" i="31"/>
  <c r="KF44" i="31"/>
  <c r="BJ44" i="31"/>
  <c r="BI44" i="31"/>
  <c r="BH44" i="31"/>
  <c r="BG44" i="31"/>
  <c r="IP44" i="31"/>
  <c r="IO44" i="31"/>
  <c r="BF44" i="31"/>
  <c r="BB44" i="31"/>
  <c r="AJ44" i="31"/>
  <c r="AF44" i="31"/>
  <c r="BE44" i="31"/>
  <c r="AC44" i="31"/>
  <c r="AB44" i="31"/>
  <c r="IY44" i="31"/>
  <c r="X44" i="31"/>
  <c r="W44" i="31"/>
  <c r="Y44" i="31"/>
  <c r="T44" i="31"/>
  <c r="S44" i="31"/>
  <c r="U44" i="31"/>
  <c r="P44" i="31"/>
  <c r="O44" i="31"/>
  <c r="Q44" i="31"/>
  <c r="L44" i="31"/>
  <c r="K44" i="31"/>
  <c r="M44" i="31"/>
  <c r="H44" i="31"/>
  <c r="G28" i="22"/>
  <c r="G27" i="22"/>
  <c r="G26" i="22"/>
  <c r="G25" i="22"/>
  <c r="G24" i="22"/>
  <c r="G23" i="22"/>
  <c r="G22" i="22"/>
  <c r="I22" i="22"/>
  <c r="G21" i="22"/>
  <c r="I21" i="22"/>
  <c r="H21" i="22"/>
  <c r="G20" i="22"/>
  <c r="I20" i="22"/>
  <c r="G19" i="22"/>
  <c r="I19" i="22"/>
  <c r="G18" i="22"/>
  <c r="I18" i="22"/>
  <c r="G17" i="22"/>
  <c r="G16" i="22"/>
  <c r="PP22" i="22"/>
  <c r="PO22" i="22"/>
  <c r="NS22" i="22"/>
  <c r="NR22" i="22"/>
  <c r="NQ22" i="22"/>
  <c r="NP22" i="22"/>
  <c r="NO22" i="22"/>
  <c r="NN22" i="22"/>
  <c r="NM22" i="22"/>
  <c r="KT22" i="22"/>
  <c r="KB22" i="22"/>
  <c r="KA22" i="22"/>
  <c r="JZ22" i="22"/>
  <c r="JY22" i="22"/>
  <c r="JX22" i="22"/>
  <c r="JW22" i="22"/>
  <c r="JV22" i="22"/>
  <c r="JU22" i="22"/>
  <c r="JT22" i="22"/>
  <c r="JS22" i="22"/>
  <c r="JR22" i="22"/>
  <c r="JQ22" i="22"/>
  <c r="JP22" i="22"/>
  <c r="JB22" i="22"/>
  <c r="HW22" i="22"/>
  <c r="HZ22" i="22"/>
  <c r="HY22" i="22"/>
  <c r="IX22" i="22"/>
  <c r="IT22" i="22"/>
  <c r="HF22" i="22"/>
  <c r="HD22" i="22"/>
  <c r="GU22" i="22"/>
  <c r="GS22" i="22"/>
  <c r="GR22" i="22"/>
  <c r="GQ22" i="22"/>
  <c r="GP22" i="22"/>
  <c r="GO22" i="22"/>
  <c r="EH22" i="22"/>
  <c r="EG22" i="22"/>
  <c r="EA22" i="22"/>
  <c r="DZ22" i="22"/>
  <c r="DY22" i="22"/>
  <c r="DX22" i="22"/>
  <c r="DW22" i="22"/>
  <c r="DV22" i="22"/>
  <c r="CP22" i="22"/>
  <c r="KR22" i="22"/>
  <c r="CO22" i="22"/>
  <c r="KQ22" i="22"/>
  <c r="CN22" i="22"/>
  <c r="KP22" i="22"/>
  <c r="CM22" i="22"/>
  <c r="KO22" i="22"/>
  <c r="CL22" i="22"/>
  <c r="KN22" i="22"/>
  <c r="CK22" i="22"/>
  <c r="GD22" i="22"/>
  <c r="CJ22" i="22"/>
  <c r="KL22" i="22"/>
  <c r="CI22" i="22"/>
  <c r="KK22" i="22"/>
  <c r="CH22" i="22"/>
  <c r="KJ22" i="22"/>
  <c r="CG22" i="22"/>
  <c r="KI22" i="22"/>
  <c r="CF22" i="22"/>
  <c r="KH22" i="22"/>
  <c r="CE22" i="22"/>
  <c r="KG22" i="22"/>
  <c r="CD22" i="22"/>
  <c r="KF22" i="22"/>
  <c r="BJ22" i="22"/>
  <c r="BI22" i="22"/>
  <c r="BH22" i="22"/>
  <c r="BG22" i="22"/>
  <c r="IP22" i="22"/>
  <c r="BF22" i="22"/>
  <c r="BB22" i="22"/>
  <c r="AW22" i="22"/>
  <c r="BA22" i="22"/>
  <c r="AU22" i="22"/>
  <c r="AS22" i="22"/>
  <c r="AT22" i="22"/>
  <c r="AQ22" i="22"/>
  <c r="AR22" i="22"/>
  <c r="AO22" i="22"/>
  <c r="AP22" i="22"/>
  <c r="AF22" i="22"/>
  <c r="BE22" i="22"/>
  <c r="AC22" i="22"/>
  <c r="AB22" i="22"/>
  <c r="X22" i="22"/>
  <c r="W22" i="22"/>
  <c r="Y22" i="22"/>
  <c r="T22" i="22"/>
  <c r="S22" i="22"/>
  <c r="U22" i="22"/>
  <c r="P22" i="22"/>
  <c r="O22" i="22"/>
  <c r="Q22" i="22"/>
  <c r="L22" i="22"/>
  <c r="K22" i="22"/>
  <c r="M22" i="22"/>
  <c r="H22" i="22"/>
  <c r="PP21" i="22"/>
  <c r="PO21" i="22"/>
  <c r="NS21" i="22"/>
  <c r="NR21" i="22"/>
  <c r="NQ21" i="22"/>
  <c r="NP21" i="22"/>
  <c r="NO21" i="22"/>
  <c r="NN21" i="22"/>
  <c r="NM21" i="22"/>
  <c r="KT21" i="22"/>
  <c r="KB21" i="22"/>
  <c r="KA21" i="22"/>
  <c r="JZ21" i="22"/>
  <c r="JY21" i="22"/>
  <c r="JX21" i="22"/>
  <c r="JW21" i="22"/>
  <c r="JV21" i="22"/>
  <c r="JU21" i="22"/>
  <c r="JT21" i="22"/>
  <c r="JS21" i="22"/>
  <c r="JR21" i="22"/>
  <c r="JQ21" i="22"/>
  <c r="JP21" i="22"/>
  <c r="JB21" i="22"/>
  <c r="HW21" i="22"/>
  <c r="HX21" i="22"/>
  <c r="IX21" i="22"/>
  <c r="IT21" i="22"/>
  <c r="HF21" i="22"/>
  <c r="HD21" i="22"/>
  <c r="GU21" i="22"/>
  <c r="GS21" i="22"/>
  <c r="GR21" i="22"/>
  <c r="GQ21" i="22"/>
  <c r="GP21" i="22"/>
  <c r="GO21" i="22"/>
  <c r="EH21" i="22"/>
  <c r="EG21" i="22"/>
  <c r="EA21" i="22"/>
  <c r="DZ21" i="22"/>
  <c r="DY21" i="22"/>
  <c r="DX21" i="22"/>
  <c r="DW21" i="22"/>
  <c r="DV21" i="22"/>
  <c r="CP21" i="22"/>
  <c r="GE21" i="22"/>
  <c r="CO21" i="22"/>
  <c r="KQ21" i="22"/>
  <c r="CN21" i="22"/>
  <c r="KP21" i="22"/>
  <c r="CM21" i="22"/>
  <c r="KO21" i="22"/>
  <c r="CL21" i="22"/>
  <c r="KN21" i="22"/>
  <c r="CK21" i="22"/>
  <c r="CJ21" i="22"/>
  <c r="KL21" i="22"/>
  <c r="CI21" i="22"/>
  <c r="GC21" i="22"/>
  <c r="CH21" i="22"/>
  <c r="KJ21" i="22"/>
  <c r="CG21" i="22"/>
  <c r="KI21" i="22"/>
  <c r="CF21" i="22"/>
  <c r="KH21" i="22"/>
  <c r="CE21" i="22"/>
  <c r="KG21" i="22"/>
  <c r="CD21" i="22"/>
  <c r="KF21" i="22"/>
  <c r="BJ21" i="22"/>
  <c r="BI21" i="22"/>
  <c r="BH21" i="22"/>
  <c r="BG21" i="22"/>
  <c r="IP21" i="22"/>
  <c r="IO21" i="22"/>
  <c r="BF21" i="22"/>
  <c r="BB21" i="22"/>
  <c r="AW21" i="22"/>
  <c r="BA21" i="22"/>
  <c r="AU21" i="22"/>
  <c r="AV21" i="22"/>
  <c r="AS21" i="22"/>
  <c r="AT21" i="22"/>
  <c r="AQ21" i="22"/>
  <c r="AR21" i="22"/>
  <c r="AO21" i="22"/>
  <c r="AP21" i="22"/>
  <c r="AF21" i="22"/>
  <c r="BE21" i="22"/>
  <c r="AC21" i="22"/>
  <c r="AB21" i="22"/>
  <c r="X21" i="22"/>
  <c r="W21" i="22"/>
  <c r="IU21" i="22"/>
  <c r="T21" i="22"/>
  <c r="S21" i="22"/>
  <c r="U21" i="22"/>
  <c r="P21" i="22"/>
  <c r="O21" i="22"/>
  <c r="Q21" i="22"/>
  <c r="L21" i="22"/>
  <c r="K21" i="22"/>
  <c r="M21" i="22"/>
  <c r="PP20" i="22"/>
  <c r="PO20" i="22"/>
  <c r="NS20" i="22"/>
  <c r="NR20" i="22"/>
  <c r="NQ20" i="22"/>
  <c r="NP20" i="22"/>
  <c r="NO20" i="22"/>
  <c r="NN20" i="22"/>
  <c r="NM20" i="22"/>
  <c r="KT20" i="22"/>
  <c r="KB20" i="22"/>
  <c r="KA20" i="22"/>
  <c r="JZ20" i="22"/>
  <c r="JY20" i="22"/>
  <c r="JX20" i="22"/>
  <c r="JW20" i="22"/>
  <c r="JV20" i="22"/>
  <c r="JU20" i="22"/>
  <c r="JT20" i="22"/>
  <c r="JS20" i="22"/>
  <c r="JR20" i="22"/>
  <c r="JQ20" i="22"/>
  <c r="JP20" i="22"/>
  <c r="JB20" i="22"/>
  <c r="HW20" i="22"/>
  <c r="HV20" i="22"/>
  <c r="IX20" i="22"/>
  <c r="IT20" i="22"/>
  <c r="HF20" i="22"/>
  <c r="HD20" i="22"/>
  <c r="GU20" i="22"/>
  <c r="GS20" i="22"/>
  <c r="GR20" i="22"/>
  <c r="GQ20" i="22"/>
  <c r="GP20" i="22"/>
  <c r="GO20" i="22"/>
  <c r="EH20" i="22"/>
  <c r="EG20" i="22"/>
  <c r="EA20" i="22"/>
  <c r="DZ20" i="22"/>
  <c r="DY20" i="22"/>
  <c r="DX20" i="22"/>
  <c r="DW20" i="22"/>
  <c r="DV20" i="22"/>
  <c r="CP20" i="22"/>
  <c r="GE20" i="22"/>
  <c r="CO20" i="22"/>
  <c r="KQ20" i="22"/>
  <c r="CN20" i="22"/>
  <c r="KP20" i="22"/>
  <c r="CM20" i="22"/>
  <c r="KO20" i="22"/>
  <c r="CL20" i="22"/>
  <c r="KN20" i="22"/>
  <c r="CK20" i="22"/>
  <c r="KM20" i="22"/>
  <c r="CJ20" i="22"/>
  <c r="KL20" i="22"/>
  <c r="CI20" i="22"/>
  <c r="KK20" i="22"/>
  <c r="CH20" i="22"/>
  <c r="KJ20" i="22"/>
  <c r="CG20" i="22"/>
  <c r="GB20" i="22"/>
  <c r="CF20" i="22"/>
  <c r="GA20" i="22"/>
  <c r="CE20" i="22"/>
  <c r="KG20" i="22"/>
  <c r="CD20" i="22"/>
  <c r="KF20" i="22"/>
  <c r="BJ20" i="22"/>
  <c r="BI20" i="22"/>
  <c r="BH20" i="22"/>
  <c r="BG20" i="22"/>
  <c r="IP20" i="22"/>
  <c r="BF20" i="22"/>
  <c r="BB20" i="22"/>
  <c r="AW20" i="22"/>
  <c r="BA20" i="22"/>
  <c r="AU20" i="22"/>
  <c r="AV20" i="22"/>
  <c r="AS20" i="22"/>
  <c r="AT20" i="22"/>
  <c r="AQ20" i="22"/>
  <c r="AR20" i="22"/>
  <c r="AO20" i="22"/>
  <c r="AP20" i="22"/>
  <c r="AF20" i="22"/>
  <c r="BE20" i="22"/>
  <c r="AC20" i="22"/>
  <c r="AB20" i="22"/>
  <c r="IY20" i="22"/>
  <c r="X20" i="22"/>
  <c r="W20" i="22"/>
  <c r="T20" i="22"/>
  <c r="S20" i="22"/>
  <c r="U20" i="22"/>
  <c r="P20" i="22"/>
  <c r="O20" i="22"/>
  <c r="Q20" i="22"/>
  <c r="L20" i="22"/>
  <c r="K20" i="22"/>
  <c r="M20" i="22"/>
  <c r="H20" i="22"/>
  <c r="PP19" i="22"/>
  <c r="PO19" i="22"/>
  <c r="NS19" i="22"/>
  <c r="NR19" i="22"/>
  <c r="NQ19" i="22"/>
  <c r="NP19" i="22"/>
  <c r="NO19" i="22"/>
  <c r="NN19" i="22"/>
  <c r="NM19" i="22"/>
  <c r="KT19" i="22"/>
  <c r="KB19" i="22"/>
  <c r="KA19" i="22"/>
  <c r="JZ19" i="22"/>
  <c r="JY19" i="22"/>
  <c r="JX19" i="22"/>
  <c r="JW19" i="22"/>
  <c r="JV19" i="22"/>
  <c r="JU19" i="22"/>
  <c r="JT19" i="22"/>
  <c r="JS19" i="22"/>
  <c r="JR19" i="22"/>
  <c r="JQ19" i="22"/>
  <c r="JP19" i="22"/>
  <c r="JB19" i="22"/>
  <c r="HW19" i="22"/>
  <c r="HZ19" i="22"/>
  <c r="IX19" i="22"/>
  <c r="IT19" i="22"/>
  <c r="HF19" i="22"/>
  <c r="HD19" i="22"/>
  <c r="GU19" i="22"/>
  <c r="GS19" i="22"/>
  <c r="GR19" i="22"/>
  <c r="GQ19" i="22"/>
  <c r="GP19" i="22"/>
  <c r="GO19" i="22"/>
  <c r="EH19" i="22"/>
  <c r="EG19" i="22"/>
  <c r="EA19" i="22"/>
  <c r="DZ19" i="22"/>
  <c r="DY19" i="22"/>
  <c r="DX19" i="22"/>
  <c r="DW19" i="22"/>
  <c r="DV19" i="22"/>
  <c r="CP19" i="22"/>
  <c r="KR19" i="22"/>
  <c r="CO19" i="22"/>
  <c r="KQ19" i="22"/>
  <c r="CN19" i="22"/>
  <c r="KP19" i="22"/>
  <c r="CM19" i="22"/>
  <c r="KO19" i="22"/>
  <c r="CL19" i="22"/>
  <c r="KN19" i="22"/>
  <c r="CK19" i="22"/>
  <c r="KM19" i="22"/>
  <c r="CJ19" i="22"/>
  <c r="KL19" i="22"/>
  <c r="CI19" i="22"/>
  <c r="KK19" i="22"/>
  <c r="CH19" i="22"/>
  <c r="KJ19" i="22"/>
  <c r="CG19" i="22"/>
  <c r="KI19" i="22"/>
  <c r="CF19" i="22"/>
  <c r="GA19" i="22"/>
  <c r="CE19" i="22"/>
  <c r="FZ19" i="22"/>
  <c r="CD19" i="22"/>
  <c r="KF19" i="22"/>
  <c r="BJ19" i="22"/>
  <c r="BI19" i="22"/>
  <c r="BH19" i="22"/>
  <c r="BG19" i="22"/>
  <c r="IP19" i="22"/>
  <c r="IQ19" i="22"/>
  <c r="BF19" i="22"/>
  <c r="BB19" i="22"/>
  <c r="AW19" i="22"/>
  <c r="BA19" i="22"/>
  <c r="AU19" i="22"/>
  <c r="AS19" i="22"/>
  <c r="AT19" i="22"/>
  <c r="AQ19" i="22"/>
  <c r="AR19" i="22"/>
  <c r="AO19" i="22"/>
  <c r="AP19" i="22"/>
  <c r="AF19" i="22"/>
  <c r="BE19" i="22"/>
  <c r="AC19" i="22"/>
  <c r="AB19" i="22"/>
  <c r="AD19" i="22"/>
  <c r="X19" i="22"/>
  <c r="W19" i="22"/>
  <c r="T19" i="22"/>
  <c r="S19" i="22"/>
  <c r="U19" i="22"/>
  <c r="P19" i="22"/>
  <c r="O19" i="22"/>
  <c r="Q19" i="22"/>
  <c r="L19" i="22"/>
  <c r="K19" i="22"/>
  <c r="M19" i="22"/>
  <c r="H19" i="22"/>
  <c r="PP18" i="22"/>
  <c r="PO18" i="22"/>
  <c r="NS18" i="22"/>
  <c r="NR18" i="22"/>
  <c r="NQ18" i="22"/>
  <c r="NP18" i="22"/>
  <c r="NO18" i="22"/>
  <c r="NN18" i="22"/>
  <c r="NM18" i="22"/>
  <c r="KT18" i="22"/>
  <c r="KB18" i="22"/>
  <c r="KA18" i="22"/>
  <c r="JZ18" i="22"/>
  <c r="JY18" i="22"/>
  <c r="JX18" i="22"/>
  <c r="JW18" i="22"/>
  <c r="JV18" i="22"/>
  <c r="JU18" i="22"/>
  <c r="JT18" i="22"/>
  <c r="JS18" i="22"/>
  <c r="JR18" i="22"/>
  <c r="JQ18" i="22"/>
  <c r="JP18" i="22"/>
  <c r="JB18" i="22"/>
  <c r="HW18" i="22"/>
  <c r="HV18" i="22"/>
  <c r="IX18" i="22"/>
  <c r="IT18" i="22"/>
  <c r="HF18" i="22"/>
  <c r="HD18" i="22"/>
  <c r="GU18" i="22"/>
  <c r="GS18" i="22"/>
  <c r="GR18" i="22"/>
  <c r="GQ18" i="22"/>
  <c r="GP18" i="22"/>
  <c r="GO18" i="22"/>
  <c r="EH18" i="22"/>
  <c r="EG18" i="22"/>
  <c r="EA18" i="22"/>
  <c r="DZ18" i="22"/>
  <c r="DY18" i="22"/>
  <c r="DX18" i="22"/>
  <c r="DW18" i="22"/>
  <c r="DV18" i="22"/>
  <c r="CP18" i="22"/>
  <c r="KR18" i="22"/>
  <c r="CO18" i="22"/>
  <c r="KQ18" i="22"/>
  <c r="CN18" i="22"/>
  <c r="KP18" i="22"/>
  <c r="CM18" i="22"/>
  <c r="KO18" i="22"/>
  <c r="CL18" i="22"/>
  <c r="KN18" i="22"/>
  <c r="CK18" i="22"/>
  <c r="GD18" i="22"/>
  <c r="CJ18" i="22"/>
  <c r="KL18" i="22"/>
  <c r="CI18" i="22"/>
  <c r="GC18" i="22"/>
  <c r="CH18" i="22"/>
  <c r="KJ18" i="22"/>
  <c r="CG18" i="22"/>
  <c r="KI18" i="22"/>
  <c r="CF18" i="22"/>
  <c r="KH18" i="22"/>
  <c r="CE18" i="22"/>
  <c r="KG18" i="22"/>
  <c r="CD18" i="22"/>
  <c r="KF18" i="22"/>
  <c r="BJ18" i="22"/>
  <c r="BI18" i="22"/>
  <c r="BH18" i="22"/>
  <c r="BG18" i="22"/>
  <c r="IP18" i="22"/>
  <c r="IQ18" i="22"/>
  <c r="BF18" i="22"/>
  <c r="BB18" i="22"/>
  <c r="AW18" i="22"/>
  <c r="BA18" i="22"/>
  <c r="AU18" i="22"/>
  <c r="AS18" i="22"/>
  <c r="AT18" i="22"/>
  <c r="AQ18" i="22"/>
  <c r="AR18" i="22"/>
  <c r="AO18" i="22"/>
  <c r="AP18" i="22"/>
  <c r="AF18" i="22"/>
  <c r="BE18" i="22"/>
  <c r="AC18" i="22"/>
  <c r="AB18" i="22"/>
  <c r="X18" i="22"/>
  <c r="W18" i="22"/>
  <c r="Y18" i="22"/>
  <c r="T18" i="22"/>
  <c r="S18" i="22"/>
  <c r="U18" i="22"/>
  <c r="P18" i="22"/>
  <c r="O18" i="22"/>
  <c r="Q18" i="22"/>
  <c r="L18" i="22"/>
  <c r="K18" i="22"/>
  <c r="M18" i="22"/>
  <c r="H18" i="22"/>
  <c r="G15" i="22"/>
  <c r="G66" i="35"/>
  <c r="G64" i="35"/>
  <c r="G63" i="35"/>
  <c r="G68" i="35"/>
  <c r="G65" i="35"/>
  <c r="G62" i="35"/>
  <c r="G61" i="35"/>
  <c r="G69" i="35"/>
  <c r="G33" i="32"/>
  <c r="GV19" i="22"/>
  <c r="GW19" i="22"/>
  <c r="GD19" i="22"/>
  <c r="PH53" i="31"/>
  <c r="PK53" i="31"/>
  <c r="PJ53" i="31"/>
  <c r="JC56" i="31"/>
  <c r="PK56" i="31"/>
  <c r="PH56" i="31"/>
  <c r="PJ56" i="31"/>
  <c r="JC51" i="31"/>
  <c r="PG51" i="31"/>
  <c r="PH46" i="31"/>
  <c r="PK46" i="31"/>
  <c r="PJ46" i="31"/>
  <c r="PK48" i="31"/>
  <c r="PH48" i="31"/>
  <c r="PJ48" i="31"/>
  <c r="PH50" i="31"/>
  <c r="PK50" i="31"/>
  <c r="PJ50" i="31"/>
  <c r="JC58" i="31"/>
  <c r="PH58" i="31"/>
  <c r="PK58" i="31"/>
  <c r="PJ58" i="31"/>
  <c r="PH20" i="22"/>
  <c r="PK20" i="22"/>
  <c r="PJ20" i="22"/>
  <c r="PH45" i="31"/>
  <c r="PK45" i="31"/>
  <c r="PJ45" i="31"/>
  <c r="PH54" i="31"/>
  <c r="PK54" i="31"/>
  <c r="PJ54" i="31"/>
  <c r="JC19" i="22"/>
  <c r="PK19" i="22"/>
  <c r="PH19" i="22"/>
  <c r="PJ19" i="22"/>
  <c r="GV21" i="22"/>
  <c r="II21" i="22"/>
  <c r="HC56" i="31"/>
  <c r="HE56" i="31"/>
  <c r="HG56" i="31"/>
  <c r="JC21" i="22"/>
  <c r="PH21" i="22"/>
  <c r="PK21" i="22"/>
  <c r="PJ21" i="22"/>
  <c r="JC18" i="22"/>
  <c r="PK18" i="22"/>
  <c r="PH18" i="22"/>
  <c r="PJ18" i="22"/>
  <c r="PK52" i="31"/>
  <c r="PH52" i="31"/>
  <c r="PJ52" i="31"/>
  <c r="GB58" i="31"/>
  <c r="PK47" i="31"/>
  <c r="PH47" i="31"/>
  <c r="PJ47" i="31"/>
  <c r="JC49" i="31"/>
  <c r="PK49" i="31"/>
  <c r="PH49" i="31"/>
  <c r="PJ49" i="31"/>
  <c r="GV20" i="22"/>
  <c r="II20" i="22"/>
  <c r="IJ20" i="22"/>
  <c r="JC22" i="22"/>
  <c r="PK22" i="22"/>
  <c r="PH22" i="22"/>
  <c r="PJ22" i="22"/>
  <c r="JC44" i="31"/>
  <c r="PK44" i="31"/>
  <c r="PH44" i="31"/>
  <c r="PJ44" i="31"/>
  <c r="JC55" i="31"/>
  <c r="PK55" i="31"/>
  <c r="PH55" i="31"/>
  <c r="PJ55" i="31"/>
  <c r="GV52" i="31"/>
  <c r="IC52" i="31"/>
  <c r="AY18" i="22"/>
  <c r="GV46" i="31"/>
  <c r="HC50" i="31"/>
  <c r="HE50" i="31"/>
  <c r="HG50" i="31"/>
  <c r="GV50" i="31"/>
  <c r="II50" i="31"/>
  <c r="NT22" i="22"/>
  <c r="NU22" i="22"/>
  <c r="GV45" i="31"/>
  <c r="IC45" i="31"/>
  <c r="IB45" i="31"/>
  <c r="AX18" i="22"/>
  <c r="GV44" i="31"/>
  <c r="GW44" i="31"/>
  <c r="GV49" i="31"/>
  <c r="FZ48" i="31"/>
  <c r="JC50" i="31"/>
  <c r="HC52" i="31"/>
  <c r="HE52" i="31"/>
  <c r="HG52" i="31"/>
  <c r="HH52" i="31"/>
  <c r="GT19" i="22"/>
  <c r="EB21" i="22"/>
  <c r="GA22" i="22"/>
  <c r="GC22" i="22"/>
  <c r="HC18" i="22"/>
  <c r="HE18" i="22"/>
  <c r="HG18" i="22"/>
  <c r="FZ18" i="22"/>
  <c r="GE19" i="22"/>
  <c r="FZ21" i="22"/>
  <c r="GC58" i="31"/>
  <c r="GA18" i="22"/>
  <c r="GA21" i="22"/>
  <c r="FZ50" i="31"/>
  <c r="GV58" i="31"/>
  <c r="GB18" i="22"/>
  <c r="NT18" i="22"/>
  <c r="NU18" i="22"/>
  <c r="GB21" i="22"/>
  <c r="KH47" i="31"/>
  <c r="GA48" i="31"/>
  <c r="GE50" i="31"/>
  <c r="KI51" i="31"/>
  <c r="KG56" i="31"/>
  <c r="PQ18" i="22"/>
  <c r="GV18" i="22"/>
  <c r="GW18" i="22"/>
  <c r="KH19" i="22"/>
  <c r="GB48" i="31"/>
  <c r="FZ54" i="31"/>
  <c r="FZ55" i="31"/>
  <c r="HC20" i="22"/>
  <c r="HE20" i="22"/>
  <c r="HG20" i="22"/>
  <c r="HH20" i="22"/>
  <c r="FZ20" i="22"/>
  <c r="EB56" i="31"/>
  <c r="KR54" i="31"/>
  <c r="FZ58" i="31"/>
  <c r="HC19" i="22"/>
  <c r="HE19" i="22"/>
  <c r="HG19" i="22"/>
  <c r="HT19" i="22"/>
  <c r="GB19" i="22"/>
  <c r="EB22" i="22"/>
  <c r="GB22" i="22"/>
  <c r="GT50" i="31"/>
  <c r="GV53" i="31"/>
  <c r="GA58" i="31"/>
  <c r="KK18" i="22"/>
  <c r="KR21" i="22"/>
  <c r="GT21" i="22"/>
  <c r="KI53" i="31"/>
  <c r="IU18" i="22"/>
  <c r="IC19" i="22"/>
  <c r="IB19" i="22"/>
  <c r="KH20" i="22"/>
  <c r="HC47" i="31"/>
  <c r="HE47" i="31"/>
  <c r="HG47" i="31"/>
  <c r="GD47" i="31"/>
  <c r="KK52" i="31"/>
  <c r="AY21" i="22"/>
  <c r="JO22" i="22"/>
  <c r="IO19" i="22"/>
  <c r="NT19" i="22"/>
  <c r="NU19" i="22"/>
  <c r="KI20" i="22"/>
  <c r="NT20" i="22"/>
  <c r="NU20" i="22"/>
  <c r="NT21" i="22"/>
  <c r="NU21" i="22"/>
  <c r="PQ22" i="22"/>
  <c r="HC22" i="22"/>
  <c r="HE22" i="22"/>
  <c r="HG22" i="22"/>
  <c r="HH22" i="22"/>
  <c r="FZ22" i="22"/>
  <c r="KR46" i="31"/>
  <c r="GV47" i="31"/>
  <c r="HC51" i="31"/>
  <c r="HE51" i="31"/>
  <c r="HG51" i="31"/>
  <c r="HH51" i="31"/>
  <c r="GV51" i="31"/>
  <c r="IC51" i="31"/>
  <c r="PQ58" i="31"/>
  <c r="BK58" i="31"/>
  <c r="NT58" i="31"/>
  <c r="NU58" i="31"/>
  <c r="KI50" i="31"/>
  <c r="GC19" i="22"/>
  <c r="JO19" i="22"/>
  <c r="KG19" i="22"/>
  <c r="PQ21" i="22"/>
  <c r="AX22" i="22"/>
  <c r="HC49" i="31"/>
  <c r="HE49" i="31"/>
  <c r="HG49" i="31"/>
  <c r="HT49" i="31"/>
  <c r="HS49" i="31"/>
  <c r="Y50" i="31"/>
  <c r="GD20" i="22"/>
  <c r="AX21" i="22"/>
  <c r="AZ21" i="22"/>
  <c r="JO21" i="22"/>
  <c r="GT22" i="22"/>
  <c r="BK45" i="31"/>
  <c r="GV48" i="31"/>
  <c r="GX48" i="31"/>
  <c r="GD50" i="31"/>
  <c r="GV55" i="31"/>
  <c r="II55" i="31"/>
  <c r="IL55" i="31"/>
  <c r="KH56" i="31"/>
  <c r="JO18" i="22"/>
  <c r="IU22" i="22"/>
  <c r="HC45" i="31"/>
  <c r="HE45" i="31"/>
  <c r="HG45" i="31"/>
  <c r="HT45" i="31"/>
  <c r="GD45" i="31"/>
  <c r="IQ46" i="31"/>
  <c r="IU58" i="31"/>
  <c r="JO58" i="31"/>
  <c r="EB58" i="31"/>
  <c r="EB48" i="31"/>
  <c r="EB55" i="31"/>
  <c r="GT44" i="31"/>
  <c r="EB45" i="31"/>
  <c r="HC58" i="31"/>
  <c r="HE58" i="31"/>
  <c r="HG58" i="31"/>
  <c r="HT58" i="31"/>
  <c r="HV58" i="31"/>
  <c r="IY58" i="31"/>
  <c r="HX52" i="31"/>
  <c r="HV52" i="31"/>
  <c r="HZ54" i="31"/>
  <c r="HY54" i="31"/>
  <c r="HX54" i="31"/>
  <c r="HV54" i="31"/>
  <c r="IQ58" i="31"/>
  <c r="IO58" i="31"/>
  <c r="NT51" i="31"/>
  <c r="NU51" i="31"/>
  <c r="GA44" i="31"/>
  <c r="KM53" i="31"/>
  <c r="GD58" i="31"/>
  <c r="GB44" i="31"/>
  <c r="FZ49" i="31"/>
  <c r="GT52" i="31"/>
  <c r="GE58" i="31"/>
  <c r="GT58" i="31"/>
  <c r="NT54" i="31"/>
  <c r="NU54" i="31"/>
  <c r="NT44" i="31"/>
  <c r="NU44" i="31"/>
  <c r="JO45" i="31"/>
  <c r="KK51" i="31"/>
  <c r="JO52" i="31"/>
  <c r="GE44" i="31"/>
  <c r="IU45" i="31"/>
  <c r="GC46" i="31"/>
  <c r="BK51" i="31"/>
  <c r="AD58" i="31"/>
  <c r="HZ58" i="31"/>
  <c r="KR47" i="31"/>
  <c r="GE52" i="31"/>
  <c r="PQ44" i="31"/>
  <c r="KG45" i="31"/>
  <c r="GT47" i="31"/>
  <c r="KG47" i="31"/>
  <c r="HC53" i="31"/>
  <c r="HE53" i="31"/>
  <c r="HG53" i="31"/>
  <c r="HT53" i="31"/>
  <c r="GA53" i="31"/>
  <c r="GC56" i="31"/>
  <c r="Y55" i="31"/>
  <c r="BK53" i="31"/>
  <c r="JC53" i="31"/>
  <c r="PQ52" i="31"/>
  <c r="HZ52" i="31"/>
  <c r="HY52" i="31"/>
  <c r="IU52" i="31"/>
  <c r="PQ50" i="31"/>
  <c r="IY50" i="31"/>
  <c r="IU48" i="31"/>
  <c r="BK47" i="31"/>
  <c r="HX46" i="31"/>
  <c r="HC46" i="31"/>
  <c r="HE46" i="31"/>
  <c r="HG46" i="31"/>
  <c r="HZ46" i="31"/>
  <c r="JC45" i="31"/>
  <c r="AD44" i="31"/>
  <c r="IU44" i="31"/>
  <c r="HZ44" i="31"/>
  <c r="HV44" i="31"/>
  <c r="GD46" i="31"/>
  <c r="KM46" i="31"/>
  <c r="IO48" i="31"/>
  <c r="IQ48" i="31"/>
  <c r="KI54" i="31"/>
  <c r="GB54" i="31"/>
  <c r="Y54" i="31"/>
  <c r="IU54" i="31"/>
  <c r="IY48" i="31"/>
  <c r="KR48" i="31"/>
  <c r="NT48" i="31"/>
  <c r="NU48" i="31"/>
  <c r="JO49" i="31"/>
  <c r="HZ47" i="31"/>
  <c r="HY47" i="31"/>
  <c r="HV47" i="31"/>
  <c r="HX48" i="31"/>
  <c r="HZ48" i="31"/>
  <c r="HV48" i="31"/>
  <c r="GT51" i="31"/>
  <c r="KR53" i="31"/>
  <c r="GE53" i="31"/>
  <c r="HX47" i="31"/>
  <c r="JO56" i="31"/>
  <c r="GC50" i="31"/>
  <c r="KK50" i="31"/>
  <c r="HZ56" i="31"/>
  <c r="HV56" i="31"/>
  <c r="EB44" i="31"/>
  <c r="KH49" i="31"/>
  <c r="GA49" i="31"/>
  <c r="IO47" i="31"/>
  <c r="IQ47" i="31"/>
  <c r="BK49" i="31"/>
  <c r="GB49" i="31"/>
  <c r="KI49" i="31"/>
  <c r="Y51" i="31"/>
  <c r="IU51" i="31"/>
  <c r="KR51" i="31"/>
  <c r="GE51" i="31"/>
  <c r="JO51" i="31"/>
  <c r="KM52" i="31"/>
  <c r="GD52" i="31"/>
  <c r="KH54" i="31"/>
  <c r="GA54" i="31"/>
  <c r="IQ55" i="31"/>
  <c r="IO55" i="31"/>
  <c r="KR55" i="31"/>
  <c r="GE55" i="31"/>
  <c r="GT55" i="31"/>
  <c r="GC45" i="31"/>
  <c r="GT46" i="31"/>
  <c r="GT53" i="31"/>
  <c r="GD51" i="31"/>
  <c r="KH52" i="31"/>
  <c r="EB54" i="31"/>
  <c r="AD55" i="31"/>
  <c r="BK46" i="31"/>
  <c r="KG46" i="31"/>
  <c r="IY49" i="31"/>
  <c r="EB50" i="31"/>
  <c r="IY51" i="31"/>
  <c r="BK52" i="31"/>
  <c r="EB53" i="31"/>
  <c r="AD54" i="31"/>
  <c r="GD55" i="31"/>
  <c r="EB47" i="31"/>
  <c r="GT49" i="31"/>
  <c r="KK49" i="31"/>
  <c r="BK50" i="31"/>
  <c r="EB51" i="31"/>
  <c r="KG51" i="31"/>
  <c r="JC52" i="31"/>
  <c r="KH55" i="31"/>
  <c r="JO44" i="31"/>
  <c r="BK48" i="31"/>
  <c r="NT49" i="31"/>
  <c r="NU49" i="31"/>
  <c r="EB52" i="31"/>
  <c r="HC55" i="31"/>
  <c r="HE55" i="31"/>
  <c r="HG55" i="31"/>
  <c r="GC53" i="31"/>
  <c r="JO53" i="31"/>
  <c r="NT53" i="31"/>
  <c r="NU53" i="31"/>
  <c r="JO54" i="31"/>
  <c r="GC55" i="31"/>
  <c r="PQ46" i="31"/>
  <c r="JO47" i="31"/>
  <c r="PQ49" i="31"/>
  <c r="PQ54" i="31"/>
  <c r="Y56" i="31"/>
  <c r="HC44" i="31"/>
  <c r="HE44" i="31"/>
  <c r="HG44" i="31"/>
  <c r="HT44" i="31"/>
  <c r="FZ44" i="31"/>
  <c r="KK44" i="31"/>
  <c r="GT45" i="31"/>
  <c r="NT46" i="31"/>
  <c r="NU46" i="31"/>
  <c r="JO48" i="31"/>
  <c r="NT50" i="31"/>
  <c r="NU50" i="31"/>
  <c r="KH51" i="31"/>
  <c r="NT52" i="31"/>
  <c r="NU52" i="31"/>
  <c r="NT55" i="31"/>
  <c r="NU55" i="31"/>
  <c r="PQ55" i="31"/>
  <c r="NT56" i="31"/>
  <c r="NU56" i="31"/>
  <c r="IQ45" i="31"/>
  <c r="IO45" i="31"/>
  <c r="HZ45" i="31"/>
  <c r="HX45" i="31"/>
  <c r="HV45" i="31"/>
  <c r="GD48" i="31"/>
  <c r="KM48" i="31"/>
  <c r="GD49" i="31"/>
  <c r="KM49" i="31"/>
  <c r="HC54" i="31"/>
  <c r="HE54" i="31"/>
  <c r="HG54" i="31"/>
  <c r="BK54" i="31"/>
  <c r="HZ53" i="31"/>
  <c r="HX53" i="31"/>
  <c r="HV53" i="31"/>
  <c r="IU46" i="31"/>
  <c r="JC47" i="31"/>
  <c r="IC50" i="31"/>
  <c r="NT45" i="31"/>
  <c r="NU45" i="31"/>
  <c r="IQ49" i="31"/>
  <c r="IQ50" i="31"/>
  <c r="IO50" i="31"/>
  <c r="JC46" i="31"/>
  <c r="KK48" i="31"/>
  <c r="GC48" i="31"/>
  <c r="HZ50" i="31"/>
  <c r="HX50" i="31"/>
  <c r="HV50" i="31"/>
  <c r="KG52" i="31"/>
  <c r="FZ52" i="31"/>
  <c r="HX49" i="31"/>
  <c r="HZ49" i="31"/>
  <c r="HV49" i="31"/>
  <c r="KI56" i="31"/>
  <c r="GB56" i="31"/>
  <c r="PQ45" i="31"/>
  <c r="AD45" i="31"/>
  <c r="IP56" i="31"/>
  <c r="BK56" i="31"/>
  <c r="GB45" i="31"/>
  <c r="KH45" i="31"/>
  <c r="KI47" i="31"/>
  <c r="GB47" i="31"/>
  <c r="GA50" i="31"/>
  <c r="KH50" i="31"/>
  <c r="JO50" i="31"/>
  <c r="GC54" i="31"/>
  <c r="KK54" i="31"/>
  <c r="PQ56" i="31"/>
  <c r="AD56" i="31"/>
  <c r="GA46" i="31"/>
  <c r="Y47" i="31"/>
  <c r="BK44" i="31"/>
  <c r="GD44" i="31"/>
  <c r="KM44" i="31"/>
  <c r="EB46" i="31"/>
  <c r="IQ44" i="31"/>
  <c r="GE45" i="31"/>
  <c r="PQ47" i="31"/>
  <c r="IY47" i="31"/>
  <c r="GD54" i="31"/>
  <c r="KM54" i="31"/>
  <c r="JO46" i="31"/>
  <c r="NT47" i="31"/>
  <c r="NU47" i="31"/>
  <c r="FZ53" i="31"/>
  <c r="KG53" i="31"/>
  <c r="AD47" i="31"/>
  <c r="HZ51" i="31"/>
  <c r="HX51" i="31"/>
  <c r="HV51" i="31"/>
  <c r="IY52" i="31"/>
  <c r="AD52" i="31"/>
  <c r="IP52" i="31"/>
  <c r="GT54" i="31"/>
  <c r="GV54" i="31"/>
  <c r="GD56" i="31"/>
  <c r="KM56" i="31"/>
  <c r="JC48" i="31"/>
  <c r="KI46" i="31"/>
  <c r="KR49" i="31"/>
  <c r="AD50" i="31"/>
  <c r="IQ51" i="31"/>
  <c r="IO51" i="31"/>
  <c r="KI52" i="31"/>
  <c r="IU53" i="31"/>
  <c r="Y53" i="31"/>
  <c r="IQ54" i="31"/>
  <c r="HZ55" i="31"/>
  <c r="HX55" i="31"/>
  <c r="AD46" i="31"/>
  <c r="GC47" i="31"/>
  <c r="HC48" i="31"/>
  <c r="HE48" i="31"/>
  <c r="HG48" i="31"/>
  <c r="GT48" i="31"/>
  <c r="EB49" i="31"/>
  <c r="PQ51" i="31"/>
  <c r="IQ53" i="31"/>
  <c r="IO53" i="31"/>
  <c r="GV56" i="31"/>
  <c r="GT56" i="31"/>
  <c r="IU49" i="31"/>
  <c r="JC54" i="31"/>
  <c r="BK55" i="31"/>
  <c r="KI55" i="31"/>
  <c r="PQ48" i="31"/>
  <c r="HX56" i="31"/>
  <c r="PQ53" i="31"/>
  <c r="AD53" i="31"/>
  <c r="JO55" i="31"/>
  <c r="GE56" i="31"/>
  <c r="BK22" i="22"/>
  <c r="AD22" i="22"/>
  <c r="HV22" i="22"/>
  <c r="HZ21" i="22"/>
  <c r="HC21" i="22"/>
  <c r="HE21" i="22"/>
  <c r="HG21" i="22"/>
  <c r="HT21" i="22"/>
  <c r="EB20" i="22"/>
  <c r="GT20" i="22"/>
  <c r="PQ20" i="22"/>
  <c r="JC20" i="22"/>
  <c r="EB19" i="22"/>
  <c r="IY19" i="22"/>
  <c r="BK19" i="22"/>
  <c r="HV19" i="22"/>
  <c r="EB18" i="22"/>
  <c r="IY18" i="22"/>
  <c r="BK18" i="22"/>
  <c r="HH19" i="22"/>
  <c r="IQ20" i="22"/>
  <c r="IO20" i="22"/>
  <c r="IQ22" i="22"/>
  <c r="IO22" i="22"/>
  <c r="AX19" i="22"/>
  <c r="HX20" i="22"/>
  <c r="HX19" i="22"/>
  <c r="GC20" i="22"/>
  <c r="JO20" i="22"/>
  <c r="AY19" i="22"/>
  <c r="IL20" i="22"/>
  <c r="KR20" i="22"/>
  <c r="KK21" i="22"/>
  <c r="GV22" i="22"/>
  <c r="IY21" i="22"/>
  <c r="AD21" i="22"/>
  <c r="AY22" i="22"/>
  <c r="AV22" i="22"/>
  <c r="IA19" i="22"/>
  <c r="HY19" i="22"/>
  <c r="IU19" i="22"/>
  <c r="Y19" i="22"/>
  <c r="HZ18" i="22"/>
  <c r="HX18" i="22"/>
  <c r="HZ20" i="22"/>
  <c r="KM18" i="22"/>
  <c r="PQ19" i="22"/>
  <c r="AX20" i="22"/>
  <c r="AZ20" i="22"/>
  <c r="IA22" i="22"/>
  <c r="AD18" i="22"/>
  <c r="AY20" i="22"/>
  <c r="BK21" i="22"/>
  <c r="GD21" i="22"/>
  <c r="KM21" i="22"/>
  <c r="IQ21" i="22"/>
  <c r="AV18" i="22"/>
  <c r="GT18" i="22"/>
  <c r="AV19" i="22"/>
  <c r="Y20" i="22"/>
  <c r="IU20" i="22"/>
  <c r="BK20" i="22"/>
  <c r="Y21" i="22"/>
  <c r="IY22" i="22"/>
  <c r="KM22" i="22"/>
  <c r="IO18" i="22"/>
  <c r="GW20" i="22"/>
  <c r="HV21" i="22"/>
  <c r="HX22" i="22"/>
  <c r="GX20" i="22"/>
  <c r="IC20" i="22"/>
  <c r="GE22" i="22"/>
  <c r="GE18" i="22"/>
  <c r="AD20" i="22"/>
  <c r="AB29" i="32"/>
  <c r="PO29" i="32"/>
  <c r="PP29" i="32"/>
  <c r="G29" i="32"/>
  <c r="OG29" i="32"/>
  <c r="OQ29" i="32"/>
  <c r="O29" i="32"/>
  <c r="OP29" i="32"/>
  <c r="BH29" i="32"/>
  <c r="BI29" i="32"/>
  <c r="HD29" i="32"/>
  <c r="OI29" i="32"/>
  <c r="OS29" i="32"/>
  <c r="K29" i="32"/>
  <c r="OO29" i="32"/>
  <c r="OF29" i="32"/>
  <c r="OE29" i="32"/>
  <c r="NY29" i="32"/>
  <c r="NM29" i="32"/>
  <c r="NN29" i="32"/>
  <c r="NO29" i="32"/>
  <c r="NP29" i="32"/>
  <c r="NQ29" i="32"/>
  <c r="NR29" i="32"/>
  <c r="NS29" i="32"/>
  <c r="KT29" i="32"/>
  <c r="CP29" i="32"/>
  <c r="GE29" i="32"/>
  <c r="CO29" i="32"/>
  <c r="KQ29" i="32"/>
  <c r="CN29" i="32"/>
  <c r="KP29" i="32"/>
  <c r="CM29" i="32"/>
  <c r="KO29" i="32"/>
  <c r="CL29" i="32"/>
  <c r="KN29" i="32"/>
  <c r="CK29" i="32"/>
  <c r="CJ29" i="32"/>
  <c r="KL29" i="32"/>
  <c r="CI29" i="32"/>
  <c r="KK29" i="32"/>
  <c r="CH29" i="32"/>
  <c r="KJ29" i="32"/>
  <c r="CG29" i="32"/>
  <c r="GB29" i="32"/>
  <c r="CF29" i="32"/>
  <c r="CE29" i="32"/>
  <c r="CD29" i="32"/>
  <c r="KF29" i="32"/>
  <c r="KB29" i="32"/>
  <c r="KA29" i="32"/>
  <c r="JZ29" i="32"/>
  <c r="JY29" i="32"/>
  <c r="JX29" i="32"/>
  <c r="JW29" i="32"/>
  <c r="JV29" i="32"/>
  <c r="JU29" i="32"/>
  <c r="JT29" i="32"/>
  <c r="JS29" i="32"/>
  <c r="JR29" i="32"/>
  <c r="JQ29" i="32"/>
  <c r="JP29" i="32"/>
  <c r="BG29" i="32"/>
  <c r="IP29" i="32"/>
  <c r="GO29" i="32"/>
  <c r="GP29" i="32"/>
  <c r="GQ29" i="32"/>
  <c r="GR29" i="32"/>
  <c r="JB29" i="32"/>
  <c r="HW29" i="32"/>
  <c r="HZ29" i="32"/>
  <c r="HF29" i="32"/>
  <c r="IX29" i="32"/>
  <c r="W29" i="32"/>
  <c r="IU29" i="32"/>
  <c r="IT29" i="32"/>
  <c r="GU29" i="32"/>
  <c r="GS29" i="32"/>
  <c r="EH29" i="32"/>
  <c r="EG29" i="32"/>
  <c r="DW29" i="32"/>
  <c r="DX29" i="32"/>
  <c r="DY29" i="32"/>
  <c r="DZ29" i="32"/>
  <c r="EA29" i="32"/>
  <c r="DV29" i="32"/>
  <c r="BF29" i="32"/>
  <c r="BJ29" i="32"/>
  <c r="AF29" i="32"/>
  <c r="BE29" i="32"/>
  <c r="BC29" i="32"/>
  <c r="AW29" i="32"/>
  <c r="AX29" i="32"/>
  <c r="AU29" i="32"/>
  <c r="AS29" i="32"/>
  <c r="AQ29" i="32"/>
  <c r="AO29" i="32"/>
  <c r="AP29" i="32"/>
  <c r="AJ29" i="32"/>
  <c r="AC29" i="32"/>
  <c r="X29" i="32"/>
  <c r="S29" i="32"/>
  <c r="U29" i="32"/>
  <c r="T29" i="32"/>
  <c r="P29" i="32"/>
  <c r="L29" i="32"/>
  <c r="H29" i="32"/>
  <c r="GY7" i="32"/>
  <c r="GY8" i="32"/>
  <c r="HI8" i="32"/>
  <c r="A10" i="32"/>
  <c r="A11" i="32"/>
  <c r="A12" i="32"/>
  <c r="A13" i="32"/>
  <c r="A14" i="32"/>
  <c r="A15" i="32"/>
  <c r="A16" i="32"/>
  <c r="A17" i="32"/>
  <c r="A18" i="32"/>
  <c r="A19" i="32"/>
  <c r="A20" i="32"/>
  <c r="A21" i="32"/>
  <c r="A22" i="32"/>
  <c r="A23" i="32"/>
  <c r="A24" i="32"/>
  <c r="A25" i="32"/>
  <c r="A26" i="32"/>
  <c r="A27" i="32"/>
  <c r="G60" i="34"/>
  <c r="G59" i="34"/>
  <c r="G57" i="34"/>
  <c r="G52" i="34"/>
  <c r="G61" i="34"/>
  <c r="G58" i="34"/>
  <c r="PP62" i="34"/>
  <c r="PO62" i="34"/>
  <c r="NY62" i="34"/>
  <c r="NS62" i="34"/>
  <c r="NR62" i="34"/>
  <c r="NQ62" i="34"/>
  <c r="NP62" i="34"/>
  <c r="NO62" i="34"/>
  <c r="NN62" i="34"/>
  <c r="NM62" i="34"/>
  <c r="KT62" i="34"/>
  <c r="KB62" i="34"/>
  <c r="KA62" i="34"/>
  <c r="JZ62" i="34"/>
  <c r="JY62" i="34"/>
  <c r="JX62" i="34"/>
  <c r="JW62" i="34"/>
  <c r="JV62" i="34"/>
  <c r="JU62" i="34"/>
  <c r="JT62" i="34"/>
  <c r="JS62" i="34"/>
  <c r="JR62" i="34"/>
  <c r="JQ62" i="34"/>
  <c r="JP62" i="34"/>
  <c r="JB62" i="34"/>
  <c r="HW62" i="34"/>
  <c r="HX62" i="34"/>
  <c r="IX62" i="34"/>
  <c r="IT62" i="34"/>
  <c r="HF62" i="34"/>
  <c r="HD62" i="34"/>
  <c r="GU62" i="34"/>
  <c r="GS62" i="34"/>
  <c r="GR62" i="34"/>
  <c r="GQ62" i="34"/>
  <c r="GP62" i="34"/>
  <c r="GO62" i="34"/>
  <c r="EH62" i="34"/>
  <c r="EG62" i="34"/>
  <c r="EA62" i="34"/>
  <c r="DZ62" i="34"/>
  <c r="DY62" i="34"/>
  <c r="DX62" i="34"/>
  <c r="DW62" i="34"/>
  <c r="DV62" i="34"/>
  <c r="CP62" i="34"/>
  <c r="KR62" i="34"/>
  <c r="CO62" i="34"/>
  <c r="KQ62" i="34"/>
  <c r="CN62" i="34"/>
  <c r="CM62" i="34"/>
  <c r="KO62" i="34"/>
  <c r="CL62" i="34"/>
  <c r="KN62" i="34"/>
  <c r="CK62" i="34"/>
  <c r="GD62" i="34"/>
  <c r="CJ62" i="34"/>
  <c r="KL62" i="34"/>
  <c r="CI62" i="34"/>
  <c r="GC62" i="34"/>
  <c r="CH62" i="34"/>
  <c r="KJ62" i="34"/>
  <c r="CG62" i="34"/>
  <c r="GB62" i="34"/>
  <c r="CF62" i="34"/>
  <c r="CE62" i="34"/>
  <c r="CD62" i="34"/>
  <c r="KF62" i="34"/>
  <c r="BJ62" i="34"/>
  <c r="BI62" i="34"/>
  <c r="BH62" i="34"/>
  <c r="BG62" i="34"/>
  <c r="IP62" i="34"/>
  <c r="BF62" i="34"/>
  <c r="BB62" i="34"/>
  <c r="PK62" i="34"/>
  <c r="AJ62" i="34"/>
  <c r="AF62" i="34"/>
  <c r="BE62" i="34"/>
  <c r="AC62" i="34"/>
  <c r="AB62" i="34"/>
  <c r="X62" i="34"/>
  <c r="W62" i="34"/>
  <c r="Y62" i="34"/>
  <c r="T62" i="34"/>
  <c r="S62" i="34"/>
  <c r="U62" i="34"/>
  <c r="P62" i="34"/>
  <c r="O62" i="34"/>
  <c r="Q62" i="34"/>
  <c r="L62" i="34"/>
  <c r="K62" i="34"/>
  <c r="M62" i="34"/>
  <c r="H62" i="34"/>
  <c r="G62" i="34"/>
  <c r="I62" i="34"/>
  <c r="Z49" i="35"/>
  <c r="G12" i="33"/>
  <c r="I12" i="33"/>
  <c r="G11" i="33"/>
  <c r="G32" i="32"/>
  <c r="I32" i="32"/>
  <c r="G54" i="21"/>
  <c r="I54" i="21"/>
  <c r="G53" i="21"/>
  <c r="I53" i="21"/>
  <c r="G50" i="21"/>
  <c r="I50" i="21"/>
  <c r="G49" i="21"/>
  <c r="G48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3" i="21"/>
  <c r="A54" i="21"/>
  <c r="GY4" i="21"/>
  <c r="GY5" i="21"/>
  <c r="GY6" i="21"/>
  <c r="GY7" i="21"/>
  <c r="GY8" i="21"/>
  <c r="GY66" i="21"/>
  <c r="HI8" i="21"/>
  <c r="G103" i="39"/>
  <c r="I103" i="39"/>
  <c r="G87" i="39"/>
  <c r="G123" i="19"/>
  <c r="G122" i="19"/>
  <c r="G121" i="19"/>
  <c r="G120" i="19"/>
  <c r="G119" i="19"/>
  <c r="G118" i="19"/>
  <c r="G117" i="19"/>
  <c r="G116" i="19"/>
  <c r="G115" i="19"/>
  <c r="G114" i="19"/>
  <c r="G113" i="19"/>
  <c r="G112" i="19"/>
  <c r="G111" i="19"/>
  <c r="Z64" i="19"/>
  <c r="LN67" i="34"/>
  <c r="LM67" i="34"/>
  <c r="Z14" i="31"/>
  <c r="Z51" i="34"/>
  <c r="Z67" i="19"/>
  <c r="Z66" i="19"/>
  <c r="Z65" i="19"/>
  <c r="Z63" i="19"/>
  <c r="Z60" i="19"/>
  <c r="Z59" i="19"/>
  <c r="H52" i="34"/>
  <c r="L52" i="34"/>
  <c r="M52" i="34"/>
  <c r="P52" i="34"/>
  <c r="Q52" i="34"/>
  <c r="T52" i="34"/>
  <c r="U52" i="34"/>
  <c r="X52" i="34"/>
  <c r="Y52" i="34"/>
  <c r="AB52" i="34"/>
  <c r="AC52" i="34"/>
  <c r="BE52" i="34"/>
  <c r="BF52" i="34"/>
  <c r="BG52" i="34"/>
  <c r="IP52" i="34"/>
  <c r="BH52" i="34"/>
  <c r="BI52" i="34"/>
  <c r="BJ52" i="34"/>
  <c r="CD52" i="34"/>
  <c r="KF52" i="34"/>
  <c r="CE52" i="34"/>
  <c r="KG52" i="34"/>
  <c r="CF52" i="34"/>
  <c r="GA52" i="34"/>
  <c r="CG52" i="34"/>
  <c r="KI52" i="34"/>
  <c r="CH52" i="34"/>
  <c r="KJ52" i="34"/>
  <c r="CI52" i="34"/>
  <c r="GC52" i="34"/>
  <c r="CJ52" i="34"/>
  <c r="KL52" i="34"/>
  <c r="CK52" i="34"/>
  <c r="KM52" i="34"/>
  <c r="CL52" i="34"/>
  <c r="KN52" i="34"/>
  <c r="CM52" i="34"/>
  <c r="CN52" i="34"/>
  <c r="KP52" i="34"/>
  <c r="CO52" i="34"/>
  <c r="KQ52" i="34"/>
  <c r="CP52" i="34"/>
  <c r="GE52" i="34"/>
  <c r="DV52" i="34"/>
  <c r="DW52" i="34"/>
  <c r="DX52" i="34"/>
  <c r="DY52" i="34"/>
  <c r="DZ52" i="34"/>
  <c r="EA52" i="34"/>
  <c r="EG52" i="34"/>
  <c r="EH52" i="34"/>
  <c r="GO52" i="34"/>
  <c r="GP52" i="34"/>
  <c r="GQ52" i="34"/>
  <c r="GR52" i="34"/>
  <c r="GS52" i="34"/>
  <c r="GU52" i="34"/>
  <c r="HD52" i="34"/>
  <c r="HF52" i="34"/>
  <c r="IX52" i="34"/>
  <c r="JB52" i="34"/>
  <c r="HW52" i="34"/>
  <c r="IT52" i="34"/>
  <c r="IU52" i="34"/>
  <c r="JQ52" i="34"/>
  <c r="JR52" i="34"/>
  <c r="JS52" i="34"/>
  <c r="JT52" i="34"/>
  <c r="JU52" i="34"/>
  <c r="JV52" i="34"/>
  <c r="JW52" i="34"/>
  <c r="JX52" i="34"/>
  <c r="JY52" i="34"/>
  <c r="JZ52" i="34"/>
  <c r="KA52" i="34"/>
  <c r="KB52" i="34"/>
  <c r="JP52" i="34"/>
  <c r="KT52" i="34"/>
  <c r="NM52" i="34"/>
  <c r="NN52" i="34"/>
  <c r="NO52" i="34"/>
  <c r="NP52" i="34"/>
  <c r="NQ52" i="34"/>
  <c r="NR52" i="34"/>
  <c r="NS52" i="34"/>
  <c r="NY52" i="34"/>
  <c r="OE52" i="34"/>
  <c r="OF52" i="34"/>
  <c r="OG52" i="34"/>
  <c r="OI52" i="34"/>
  <c r="OS52" i="34"/>
  <c r="OO52" i="34"/>
  <c r="OP52" i="34"/>
  <c r="PO52" i="34"/>
  <c r="PP52" i="34"/>
  <c r="PC67" i="34"/>
  <c r="PB67" i="34"/>
  <c r="PA67" i="34"/>
  <c r="OB67" i="34"/>
  <c r="OA67" i="34"/>
  <c r="NZ67" i="34"/>
  <c r="NK67" i="34"/>
  <c r="NJ67" i="34"/>
  <c r="NI67" i="34"/>
  <c r="NH67" i="34"/>
  <c r="NG67" i="34"/>
  <c r="NF67" i="34"/>
  <c r="NE67" i="34"/>
  <c r="ND67" i="34"/>
  <c r="NC67" i="34"/>
  <c r="NB67" i="34"/>
  <c r="MX67" i="34"/>
  <c r="MW67" i="34"/>
  <c r="MV67" i="34"/>
  <c r="MU67" i="34"/>
  <c r="MT67" i="34"/>
  <c r="MS67" i="34"/>
  <c r="MR67" i="34"/>
  <c r="MQ67" i="34"/>
  <c r="MP67" i="34"/>
  <c r="MO67" i="34"/>
  <c r="MN67" i="34"/>
  <c r="MM67" i="34"/>
  <c r="ML67" i="34"/>
  <c r="MK67" i="34"/>
  <c r="MJ67" i="34"/>
  <c r="MI67" i="34"/>
  <c r="MH67" i="34"/>
  <c r="MG67" i="34"/>
  <c r="MF67" i="34"/>
  <c r="ME67" i="34"/>
  <c r="MD67" i="34"/>
  <c r="MC67" i="34"/>
  <c r="MB67" i="34"/>
  <c r="MA67" i="34"/>
  <c r="LZ67" i="34"/>
  <c r="LY67" i="34"/>
  <c r="LX67" i="34"/>
  <c r="LW67" i="34"/>
  <c r="LV67" i="34"/>
  <c r="LU67" i="34"/>
  <c r="LT67" i="34"/>
  <c r="LS67" i="34"/>
  <c r="LR67" i="34"/>
  <c r="LQ67" i="34"/>
  <c r="LP67" i="34"/>
  <c r="LO67" i="34"/>
  <c r="LL67" i="34"/>
  <c r="LK67" i="34"/>
  <c r="LJ67" i="34"/>
  <c r="LI67" i="34"/>
  <c r="LH67" i="34"/>
  <c r="LG67" i="34"/>
  <c r="LF67" i="34"/>
  <c r="LE67" i="34"/>
  <c r="LD67" i="34"/>
  <c r="LC67" i="34"/>
  <c r="LB67" i="34"/>
  <c r="LA67" i="34"/>
  <c r="KZ67" i="34"/>
  <c r="KY67" i="34"/>
  <c r="KX67" i="34"/>
  <c r="KW67" i="34"/>
  <c r="KV67" i="34"/>
  <c r="KU67" i="34"/>
  <c r="FV67" i="34"/>
  <c r="FU67" i="34"/>
  <c r="FT67" i="34"/>
  <c r="FS67" i="34"/>
  <c r="FR67" i="34"/>
  <c r="FQ67" i="34"/>
  <c r="FP67" i="34"/>
  <c r="FO67" i="34"/>
  <c r="FN67" i="34"/>
  <c r="FM67" i="34"/>
  <c r="FL67" i="34"/>
  <c r="FK67" i="34"/>
  <c r="FJ67" i="34"/>
  <c r="FI67" i="34"/>
  <c r="FH67" i="34"/>
  <c r="FF67" i="34"/>
  <c r="FE67" i="34"/>
  <c r="FD67" i="34"/>
  <c r="FC67" i="34"/>
  <c r="FB67" i="34"/>
  <c r="FA67" i="34"/>
  <c r="EZ67" i="34"/>
  <c r="EY67" i="34"/>
  <c r="EX67" i="34"/>
  <c r="EW67" i="34"/>
  <c r="EV67" i="34"/>
  <c r="EU67" i="34"/>
  <c r="ET67" i="34"/>
  <c r="ES67" i="34"/>
  <c r="ER67" i="34"/>
  <c r="EQ67" i="34"/>
  <c r="EP67" i="34"/>
  <c r="EO67" i="34"/>
  <c r="EN67" i="34"/>
  <c r="EM67" i="34"/>
  <c r="EL67" i="34"/>
  <c r="EK67" i="34"/>
  <c r="EJ67" i="34"/>
  <c r="EI67" i="34"/>
  <c r="CC73" i="34"/>
  <c r="CC72" i="34"/>
  <c r="CC71" i="34"/>
  <c r="CC70" i="34"/>
  <c r="CC69" i="34"/>
  <c r="CB67" i="34"/>
  <c r="BZ67" i="34"/>
  <c r="BY67" i="34"/>
  <c r="BX67" i="34"/>
  <c r="BW67" i="34"/>
  <c r="BV67" i="34"/>
  <c r="BU67" i="34"/>
  <c r="BT67" i="34"/>
  <c r="BS67" i="34"/>
  <c r="BR67" i="34"/>
  <c r="BQ67" i="34"/>
  <c r="BP67" i="34"/>
  <c r="BO67" i="34"/>
  <c r="BN67" i="34"/>
  <c r="AN67" i="34"/>
  <c r="AM67" i="34"/>
  <c r="AL67" i="34"/>
  <c r="AG72" i="34"/>
  <c r="AG71" i="34"/>
  <c r="AG70" i="34"/>
  <c r="AG69" i="34"/>
  <c r="AA67" i="34"/>
  <c r="V67" i="34"/>
  <c r="R67" i="34"/>
  <c r="N67" i="34"/>
  <c r="J67" i="34"/>
  <c r="F67" i="34"/>
  <c r="E67" i="34"/>
  <c r="D67" i="34"/>
  <c r="X51" i="34"/>
  <c r="Z14" i="22"/>
  <c r="Z13" i="22"/>
  <c r="Z11" i="22"/>
  <c r="Z20" i="31"/>
  <c r="Z18" i="31"/>
  <c r="Z16" i="31"/>
  <c r="Z15" i="31"/>
  <c r="Z13" i="31"/>
  <c r="Z12" i="31"/>
  <c r="Z11" i="31"/>
  <c r="Z10" i="31"/>
  <c r="Z80" i="39"/>
  <c r="PP50" i="21"/>
  <c r="PO50" i="21"/>
  <c r="OZ50" i="21"/>
  <c r="NS50" i="21"/>
  <c r="NR50" i="21"/>
  <c r="NM50" i="21"/>
  <c r="NN50" i="21"/>
  <c r="NO50" i="21"/>
  <c r="NP50" i="21"/>
  <c r="NQ50" i="21"/>
  <c r="KT50" i="21"/>
  <c r="KB50" i="21"/>
  <c r="KA50" i="21"/>
  <c r="JZ50" i="21"/>
  <c r="JY50" i="21"/>
  <c r="JX50" i="21"/>
  <c r="JW50" i="21"/>
  <c r="JV50" i="21"/>
  <c r="JU50" i="21"/>
  <c r="JT50" i="21"/>
  <c r="JS50" i="21"/>
  <c r="JQ50" i="21"/>
  <c r="JR50" i="21"/>
  <c r="JP50" i="21"/>
  <c r="JB50" i="21"/>
  <c r="HW50" i="21"/>
  <c r="HX50" i="21"/>
  <c r="IX50" i="21"/>
  <c r="IT50" i="21"/>
  <c r="HF50" i="21"/>
  <c r="HD50" i="21"/>
  <c r="GU50" i="21"/>
  <c r="GS50" i="21"/>
  <c r="GR50" i="21"/>
  <c r="GQ50" i="21"/>
  <c r="GP50" i="21"/>
  <c r="GO50" i="21"/>
  <c r="EH50" i="21"/>
  <c r="EG50" i="21"/>
  <c r="EA50" i="21"/>
  <c r="DZ50" i="21"/>
  <c r="DY50" i="21"/>
  <c r="DX50" i="21"/>
  <c r="DW50" i="21"/>
  <c r="DV50" i="21"/>
  <c r="CP50" i="21"/>
  <c r="CO50" i="21"/>
  <c r="KQ50" i="21"/>
  <c r="CN50" i="21"/>
  <c r="KP50" i="21"/>
  <c r="CM50" i="21"/>
  <c r="CL50" i="21"/>
  <c r="KN50" i="21"/>
  <c r="CK50" i="21"/>
  <c r="CJ50" i="21"/>
  <c r="KL50" i="21"/>
  <c r="CI50" i="21"/>
  <c r="CH50" i="21"/>
  <c r="KJ50" i="21"/>
  <c r="CG50" i="21"/>
  <c r="CE50" i="21"/>
  <c r="KG50" i="21"/>
  <c r="CD50" i="21"/>
  <c r="BJ50" i="21"/>
  <c r="BI50" i="21"/>
  <c r="BH50" i="21"/>
  <c r="BG50" i="21"/>
  <c r="IP50" i="21"/>
  <c r="BF50" i="21"/>
  <c r="BB50" i="21"/>
  <c r="PG50" i="21"/>
  <c r="AJ50" i="21"/>
  <c r="AF50" i="21"/>
  <c r="BE50" i="21"/>
  <c r="AC50" i="21"/>
  <c r="AB50" i="21"/>
  <c r="IY50" i="21"/>
  <c r="X50" i="21"/>
  <c r="W50" i="21"/>
  <c r="T50" i="21"/>
  <c r="S50" i="21"/>
  <c r="U50" i="21"/>
  <c r="P50" i="21"/>
  <c r="O50" i="21"/>
  <c r="Q50" i="21"/>
  <c r="L50" i="21"/>
  <c r="K50" i="21"/>
  <c r="M50" i="21"/>
  <c r="H50" i="21"/>
  <c r="CF50" i="21"/>
  <c r="KH50" i="21"/>
  <c r="H69" i="35"/>
  <c r="I69" i="35"/>
  <c r="K69" i="35"/>
  <c r="L69" i="35"/>
  <c r="O69" i="35"/>
  <c r="P69" i="35"/>
  <c r="S69" i="35"/>
  <c r="U69" i="35"/>
  <c r="T69" i="35"/>
  <c r="W69" i="35"/>
  <c r="Y69" i="35"/>
  <c r="X69" i="35"/>
  <c r="AB69" i="35"/>
  <c r="IY69" i="35"/>
  <c r="AC69" i="35"/>
  <c r="AF69" i="35"/>
  <c r="BE69" i="35"/>
  <c r="AJ69" i="35"/>
  <c r="BB69" i="35"/>
  <c r="BF69" i="35"/>
  <c r="BG69" i="35"/>
  <c r="IP69" i="35"/>
  <c r="IO69" i="35"/>
  <c r="BH69" i="35"/>
  <c r="BI69" i="35"/>
  <c r="BJ69" i="35"/>
  <c r="CD69" i="35"/>
  <c r="KF69" i="35"/>
  <c r="CE69" i="35"/>
  <c r="FZ69" i="35"/>
  <c r="CF69" i="35"/>
  <c r="CG69" i="35"/>
  <c r="KI69" i="35"/>
  <c r="CH69" i="35"/>
  <c r="KJ69" i="35"/>
  <c r="CI69" i="35"/>
  <c r="GC69" i="35"/>
  <c r="CJ69" i="35"/>
  <c r="KL69" i="35"/>
  <c r="CK69" i="35"/>
  <c r="CL69" i="35"/>
  <c r="KN69" i="35"/>
  <c r="CM69" i="35"/>
  <c r="KO69" i="35"/>
  <c r="CN69" i="35"/>
  <c r="KP69" i="35"/>
  <c r="CO69" i="35"/>
  <c r="KQ69" i="35"/>
  <c r="CP69" i="35"/>
  <c r="DV69" i="35"/>
  <c r="DW69" i="35"/>
  <c r="DX69" i="35"/>
  <c r="DY69" i="35"/>
  <c r="DZ69" i="35"/>
  <c r="EA69" i="35"/>
  <c r="EG69" i="35"/>
  <c r="EH69" i="35"/>
  <c r="GO69" i="35"/>
  <c r="GP69" i="35"/>
  <c r="GQ69" i="35"/>
  <c r="GR69" i="35"/>
  <c r="GS69" i="35"/>
  <c r="GU69" i="35"/>
  <c r="HD69" i="35"/>
  <c r="HF69" i="35"/>
  <c r="IT69" i="35"/>
  <c r="IX69" i="35"/>
  <c r="JB69" i="35"/>
  <c r="HW69" i="35"/>
  <c r="HZ69" i="35"/>
  <c r="JP69" i="35"/>
  <c r="JQ69" i="35"/>
  <c r="JR69" i="35"/>
  <c r="JS69" i="35"/>
  <c r="JT69" i="35"/>
  <c r="JU69" i="35"/>
  <c r="JV69" i="35"/>
  <c r="JW69" i="35"/>
  <c r="JX69" i="35"/>
  <c r="JY69" i="35"/>
  <c r="JZ69" i="35"/>
  <c r="KA69" i="35"/>
  <c r="KB69" i="35"/>
  <c r="KT69" i="35"/>
  <c r="NM69" i="35"/>
  <c r="NN69" i="35"/>
  <c r="NO69" i="35"/>
  <c r="NP69" i="35"/>
  <c r="NQ69" i="35"/>
  <c r="NR69" i="35"/>
  <c r="NS69" i="35"/>
  <c r="OZ69" i="35"/>
  <c r="PO69" i="35"/>
  <c r="PP69" i="35"/>
  <c r="PP68" i="35"/>
  <c r="PO68" i="35"/>
  <c r="OZ68" i="35"/>
  <c r="NS68" i="35"/>
  <c r="NR68" i="35"/>
  <c r="NQ68" i="35"/>
  <c r="NM68" i="35"/>
  <c r="NN68" i="35"/>
  <c r="NO68" i="35"/>
  <c r="NP68" i="35"/>
  <c r="KT68" i="35"/>
  <c r="KB68" i="35"/>
  <c r="KA68" i="35"/>
  <c r="JZ68" i="35"/>
  <c r="JY68" i="35"/>
  <c r="JX68" i="35"/>
  <c r="JW68" i="35"/>
  <c r="JV68" i="35"/>
  <c r="JU68" i="35"/>
  <c r="JT68" i="35"/>
  <c r="JS68" i="35"/>
  <c r="JR68" i="35"/>
  <c r="JQ68" i="35"/>
  <c r="JP68" i="35"/>
  <c r="JB68" i="35"/>
  <c r="HW68" i="35"/>
  <c r="HX68" i="35"/>
  <c r="IX68" i="35"/>
  <c r="IT68" i="35"/>
  <c r="HF68" i="35"/>
  <c r="HD68" i="35"/>
  <c r="GU68" i="35"/>
  <c r="GS68" i="35"/>
  <c r="GR68" i="35"/>
  <c r="GQ68" i="35"/>
  <c r="GP68" i="35"/>
  <c r="GO68" i="35"/>
  <c r="EH68" i="35"/>
  <c r="EG68" i="35"/>
  <c r="EA68" i="35"/>
  <c r="DZ68" i="35"/>
  <c r="DY68" i="35"/>
  <c r="DX68" i="35"/>
  <c r="DW68" i="35"/>
  <c r="DV68" i="35"/>
  <c r="CP68" i="35"/>
  <c r="GE68" i="35"/>
  <c r="CO68" i="35"/>
  <c r="KQ68" i="35"/>
  <c r="CN68" i="35"/>
  <c r="KP68" i="35"/>
  <c r="CM68" i="35"/>
  <c r="KO68" i="35"/>
  <c r="CL68" i="35"/>
  <c r="KN68" i="35"/>
  <c r="CK68" i="35"/>
  <c r="GD68" i="35"/>
  <c r="CJ68" i="35"/>
  <c r="KL68" i="35"/>
  <c r="CI68" i="35"/>
  <c r="CH68" i="35"/>
  <c r="KJ68" i="35"/>
  <c r="CG68" i="35"/>
  <c r="CF68" i="35"/>
  <c r="CE68" i="35"/>
  <c r="CD68" i="35"/>
  <c r="KF68" i="35"/>
  <c r="BJ68" i="35"/>
  <c r="BF68" i="35"/>
  <c r="BG68" i="35"/>
  <c r="IP68" i="35"/>
  <c r="IO68" i="35"/>
  <c r="BH68" i="35"/>
  <c r="BI68" i="35"/>
  <c r="BB68" i="35"/>
  <c r="PG68" i="35"/>
  <c r="AJ68" i="35"/>
  <c r="AF68" i="35"/>
  <c r="BE68" i="35"/>
  <c r="AC68" i="35"/>
  <c r="AB68" i="35"/>
  <c r="IY68" i="35"/>
  <c r="X68" i="35"/>
  <c r="W68" i="35"/>
  <c r="T68" i="35"/>
  <c r="S68" i="35"/>
  <c r="U68" i="35"/>
  <c r="P68" i="35"/>
  <c r="O68" i="35"/>
  <c r="L68" i="35"/>
  <c r="K68" i="35"/>
  <c r="I68" i="35"/>
  <c r="H68" i="35"/>
  <c r="PP67" i="35"/>
  <c r="PO67" i="35"/>
  <c r="OZ67" i="35"/>
  <c r="NS67" i="35"/>
  <c r="NR67" i="35"/>
  <c r="NQ67" i="35"/>
  <c r="NP67" i="35"/>
  <c r="NO67" i="35"/>
  <c r="NN67" i="35"/>
  <c r="NM67" i="35"/>
  <c r="KT67" i="35"/>
  <c r="KB67" i="35"/>
  <c r="KA67" i="35"/>
  <c r="JZ67" i="35"/>
  <c r="JY67" i="35"/>
  <c r="JX67" i="35"/>
  <c r="JW67" i="35"/>
  <c r="JV67" i="35"/>
  <c r="JU67" i="35"/>
  <c r="JT67" i="35"/>
  <c r="JS67" i="35"/>
  <c r="JR67" i="35"/>
  <c r="JQ67" i="35"/>
  <c r="JP67" i="35"/>
  <c r="JB67" i="35"/>
  <c r="HW67" i="35"/>
  <c r="IX67" i="35"/>
  <c r="IT67" i="35"/>
  <c r="HF67" i="35"/>
  <c r="HD67" i="35"/>
  <c r="GU67" i="35"/>
  <c r="GS67" i="35"/>
  <c r="GR67" i="35"/>
  <c r="GQ67" i="35"/>
  <c r="GP67" i="35"/>
  <c r="GO67" i="35"/>
  <c r="EH67" i="35"/>
  <c r="EG67" i="35"/>
  <c r="EA67" i="35"/>
  <c r="DZ67" i="35"/>
  <c r="DY67" i="35"/>
  <c r="DX67" i="35"/>
  <c r="DW67" i="35"/>
  <c r="DV67" i="35"/>
  <c r="CP67" i="35"/>
  <c r="KR67" i="35"/>
  <c r="CO67" i="35"/>
  <c r="CN67" i="35"/>
  <c r="KP67" i="35"/>
  <c r="CM67" i="35"/>
  <c r="KO67" i="35"/>
  <c r="CL67" i="35"/>
  <c r="KN67" i="35"/>
  <c r="CK67" i="35"/>
  <c r="GD67" i="35"/>
  <c r="CJ67" i="35"/>
  <c r="KL67" i="35"/>
  <c r="CI67" i="35"/>
  <c r="KK67" i="35"/>
  <c r="CH67" i="35"/>
  <c r="KJ67" i="35"/>
  <c r="CG67" i="35"/>
  <c r="CF67" i="35"/>
  <c r="CE67" i="35"/>
  <c r="CD67" i="35"/>
  <c r="KF67" i="35"/>
  <c r="BJ67" i="35"/>
  <c r="BI67" i="35"/>
  <c r="BH67" i="35"/>
  <c r="BG67" i="35"/>
  <c r="IP67" i="35"/>
  <c r="BF67" i="35"/>
  <c r="BB67" i="35"/>
  <c r="PG67" i="35"/>
  <c r="AJ67" i="35"/>
  <c r="AF67" i="35"/>
  <c r="BE67" i="35"/>
  <c r="AC67" i="35"/>
  <c r="AB67" i="35"/>
  <c r="X67" i="35"/>
  <c r="W67" i="35"/>
  <c r="Y67" i="35"/>
  <c r="T67" i="35"/>
  <c r="S67" i="35"/>
  <c r="U67" i="35"/>
  <c r="P67" i="35"/>
  <c r="O67" i="35"/>
  <c r="L67" i="35"/>
  <c r="K67" i="35"/>
  <c r="I67" i="35"/>
  <c r="H67" i="35"/>
  <c r="PP66" i="35"/>
  <c r="PO66" i="35"/>
  <c r="OZ66" i="35"/>
  <c r="NS66" i="35"/>
  <c r="NR66" i="35"/>
  <c r="NQ66" i="35"/>
  <c r="NP66" i="35"/>
  <c r="NO66" i="35"/>
  <c r="NN66" i="35"/>
  <c r="NM66" i="35"/>
  <c r="KT66" i="35"/>
  <c r="KB66" i="35"/>
  <c r="KA66" i="35"/>
  <c r="JZ66" i="35"/>
  <c r="JY66" i="35"/>
  <c r="JX66" i="35"/>
  <c r="JQ66" i="35"/>
  <c r="JR66" i="35"/>
  <c r="JS66" i="35"/>
  <c r="JT66" i="35"/>
  <c r="JU66" i="35"/>
  <c r="JV66" i="35"/>
  <c r="JW66" i="35"/>
  <c r="JP66" i="35"/>
  <c r="JB66" i="35"/>
  <c r="HW66" i="35"/>
  <c r="HZ66" i="35"/>
  <c r="IX66" i="35"/>
  <c r="IT66" i="35"/>
  <c r="HF66" i="35"/>
  <c r="HD66" i="35"/>
  <c r="GU66" i="35"/>
  <c r="GS66" i="35"/>
  <c r="GR66" i="35"/>
  <c r="GQ66" i="35"/>
  <c r="GP66" i="35"/>
  <c r="GO66" i="35"/>
  <c r="EH66" i="35"/>
  <c r="EG66" i="35"/>
  <c r="EA66" i="35"/>
  <c r="DZ66" i="35"/>
  <c r="DY66" i="35"/>
  <c r="DX66" i="35"/>
  <c r="DW66" i="35"/>
  <c r="DV66" i="35"/>
  <c r="CP66" i="35"/>
  <c r="GE66" i="35"/>
  <c r="CO66" i="35"/>
  <c r="KQ66" i="35"/>
  <c r="CN66" i="35"/>
  <c r="KP66" i="35"/>
  <c r="CM66" i="35"/>
  <c r="KO66" i="35"/>
  <c r="CL66" i="35"/>
  <c r="KN66" i="35"/>
  <c r="CK66" i="35"/>
  <c r="GD66" i="35"/>
  <c r="CJ66" i="35"/>
  <c r="KL66" i="35"/>
  <c r="CI66" i="35"/>
  <c r="GC66" i="35"/>
  <c r="CH66" i="35"/>
  <c r="KJ66" i="35"/>
  <c r="CG66" i="35"/>
  <c r="CF66" i="35"/>
  <c r="CE66" i="35"/>
  <c r="CD66" i="35"/>
  <c r="KF66" i="35"/>
  <c r="BJ66" i="35"/>
  <c r="BI66" i="35"/>
  <c r="BH66" i="35"/>
  <c r="BG66" i="35"/>
  <c r="IP66" i="35"/>
  <c r="IQ66" i="35"/>
  <c r="BF66" i="35"/>
  <c r="BB66" i="35"/>
  <c r="AJ66" i="35"/>
  <c r="AF66" i="35"/>
  <c r="BE66" i="35"/>
  <c r="AC66" i="35"/>
  <c r="AB66" i="35"/>
  <c r="X66" i="35"/>
  <c r="W66" i="35"/>
  <c r="Y66" i="35"/>
  <c r="T66" i="35"/>
  <c r="S66" i="35"/>
  <c r="U66" i="35"/>
  <c r="P66" i="35"/>
  <c r="O66" i="35"/>
  <c r="L66" i="35"/>
  <c r="K66" i="35"/>
  <c r="I66" i="35"/>
  <c r="H66" i="35"/>
  <c r="PP65" i="35"/>
  <c r="PO65" i="35"/>
  <c r="OZ65" i="35"/>
  <c r="NS65" i="35"/>
  <c r="NR65" i="35"/>
  <c r="NQ65" i="35"/>
  <c r="NP65" i="35"/>
  <c r="NO65" i="35"/>
  <c r="NN65" i="35"/>
  <c r="NM65" i="35"/>
  <c r="KT65" i="35"/>
  <c r="KB65" i="35"/>
  <c r="KA65" i="35"/>
  <c r="JZ65" i="35"/>
  <c r="JY65" i="35"/>
  <c r="JX65" i="35"/>
  <c r="JW65" i="35"/>
  <c r="JV65" i="35"/>
  <c r="JU65" i="35"/>
  <c r="JT65" i="35"/>
  <c r="JS65" i="35"/>
  <c r="JR65" i="35"/>
  <c r="JQ65" i="35"/>
  <c r="JP65" i="35"/>
  <c r="JB65" i="35"/>
  <c r="HW65" i="35"/>
  <c r="HV65" i="35"/>
  <c r="IX65" i="35"/>
  <c r="IT65" i="35"/>
  <c r="HF65" i="35"/>
  <c r="HD65" i="35"/>
  <c r="GU65" i="35"/>
  <c r="GS65" i="35"/>
  <c r="GR65" i="35"/>
  <c r="GQ65" i="35"/>
  <c r="GO65" i="35"/>
  <c r="GP65" i="35"/>
  <c r="EH65" i="35"/>
  <c r="EG65" i="35"/>
  <c r="EA65" i="35"/>
  <c r="DZ65" i="35"/>
  <c r="DY65" i="35"/>
  <c r="DX65" i="35"/>
  <c r="DW65" i="35"/>
  <c r="DV65" i="35"/>
  <c r="CP65" i="35"/>
  <c r="KR65" i="35"/>
  <c r="CO65" i="35"/>
  <c r="KQ65" i="35"/>
  <c r="CN65" i="35"/>
  <c r="KP65" i="35"/>
  <c r="CM65" i="35"/>
  <c r="CL65" i="35"/>
  <c r="KN65" i="35"/>
  <c r="CK65" i="35"/>
  <c r="KM65" i="35"/>
  <c r="CJ65" i="35"/>
  <c r="KL65" i="35"/>
  <c r="CI65" i="35"/>
  <c r="CH65" i="35"/>
  <c r="KJ65" i="35"/>
  <c r="CG65" i="35"/>
  <c r="KI65" i="35"/>
  <c r="CF65" i="35"/>
  <c r="KH65" i="35"/>
  <c r="CE65" i="35"/>
  <c r="FZ65" i="35"/>
  <c r="CD65" i="35"/>
  <c r="KF65" i="35"/>
  <c r="BJ65" i="35"/>
  <c r="BI65" i="35"/>
  <c r="BH65" i="35"/>
  <c r="BG65" i="35"/>
  <c r="IP65" i="35"/>
  <c r="IO65" i="35"/>
  <c r="BF65" i="35"/>
  <c r="BB65" i="35"/>
  <c r="AJ65" i="35"/>
  <c r="AF65" i="35"/>
  <c r="BE65" i="35"/>
  <c r="AC65" i="35"/>
  <c r="AB65" i="35"/>
  <c r="X65" i="35"/>
  <c r="W65" i="35"/>
  <c r="IU65" i="35"/>
  <c r="T65" i="35"/>
  <c r="S65" i="35"/>
  <c r="U65" i="35"/>
  <c r="P65" i="35"/>
  <c r="O65" i="35"/>
  <c r="L65" i="35"/>
  <c r="K65" i="35"/>
  <c r="I65" i="35"/>
  <c r="H65" i="35"/>
  <c r="PP11" i="33"/>
  <c r="AB11" i="33"/>
  <c r="PO11" i="33"/>
  <c r="OZ11" i="33"/>
  <c r="NS11" i="33"/>
  <c r="NR11" i="33"/>
  <c r="NQ11" i="33"/>
  <c r="NP11" i="33"/>
  <c r="NO11" i="33"/>
  <c r="NN11" i="33"/>
  <c r="NM11" i="33"/>
  <c r="KT11" i="33"/>
  <c r="KB11" i="33"/>
  <c r="KA11" i="33"/>
  <c r="JZ11" i="33"/>
  <c r="JY11" i="33"/>
  <c r="JX11" i="33"/>
  <c r="JW11" i="33"/>
  <c r="JV11" i="33"/>
  <c r="JU11" i="33"/>
  <c r="JT11" i="33"/>
  <c r="JS11" i="33"/>
  <c r="JR11" i="33"/>
  <c r="JQ11" i="33"/>
  <c r="JP11" i="33"/>
  <c r="JB11" i="33"/>
  <c r="HW11" i="33"/>
  <c r="IX11" i="33"/>
  <c r="IT11" i="33"/>
  <c r="HF11" i="33"/>
  <c r="HD11" i="33"/>
  <c r="GU11" i="33"/>
  <c r="GS11" i="33"/>
  <c r="GR11" i="33"/>
  <c r="GQ11" i="33"/>
  <c r="GP11" i="33"/>
  <c r="GO11" i="33"/>
  <c r="EH11" i="33"/>
  <c r="EG11" i="33"/>
  <c r="EA11" i="33"/>
  <c r="DZ11" i="33"/>
  <c r="DY11" i="33"/>
  <c r="DX11" i="33"/>
  <c r="DW11" i="33"/>
  <c r="DV11" i="33"/>
  <c r="CP11" i="33"/>
  <c r="KR11" i="33"/>
  <c r="CO11" i="33"/>
  <c r="KQ11" i="33"/>
  <c r="CN11" i="33"/>
  <c r="KP11" i="33"/>
  <c r="CM11" i="33"/>
  <c r="KO11" i="33"/>
  <c r="CL11" i="33"/>
  <c r="KN11" i="33"/>
  <c r="CK11" i="33"/>
  <c r="CJ11" i="33"/>
  <c r="KL11" i="33"/>
  <c r="CI11" i="33"/>
  <c r="KK11" i="33"/>
  <c r="CH11" i="33"/>
  <c r="KJ11" i="33"/>
  <c r="CG11" i="33"/>
  <c r="KI11" i="33"/>
  <c r="CF11" i="33"/>
  <c r="CE11" i="33"/>
  <c r="KG11" i="33"/>
  <c r="CD11" i="33"/>
  <c r="KF11" i="33"/>
  <c r="BJ11" i="33"/>
  <c r="BI11" i="33"/>
  <c r="BH11" i="33"/>
  <c r="BG11" i="33"/>
  <c r="IP11" i="33"/>
  <c r="BF11" i="33"/>
  <c r="BB11" i="33"/>
  <c r="AJ11" i="33"/>
  <c r="AF11" i="33"/>
  <c r="BE11" i="33"/>
  <c r="AC11" i="33"/>
  <c r="X11" i="33"/>
  <c r="W11" i="33"/>
  <c r="IU11" i="33"/>
  <c r="T11" i="33"/>
  <c r="S11" i="33"/>
  <c r="U11" i="33"/>
  <c r="P11" i="33"/>
  <c r="O11" i="33"/>
  <c r="Q11" i="33"/>
  <c r="L11" i="33"/>
  <c r="K11" i="33"/>
  <c r="M11" i="33"/>
  <c r="I11" i="33"/>
  <c r="H11" i="33"/>
  <c r="PP34" i="32"/>
  <c r="PO34" i="32"/>
  <c r="NY34" i="32"/>
  <c r="NS34" i="32"/>
  <c r="NR34" i="32"/>
  <c r="NQ34" i="32"/>
  <c r="NP34" i="32"/>
  <c r="NO34" i="32"/>
  <c r="NN34" i="32"/>
  <c r="NM34" i="32"/>
  <c r="KT34" i="32"/>
  <c r="KB34" i="32"/>
  <c r="KA34" i="32"/>
  <c r="JZ34" i="32"/>
  <c r="JY34" i="32"/>
  <c r="JX34" i="32"/>
  <c r="JW34" i="32"/>
  <c r="JQ34" i="32"/>
  <c r="JR34" i="32"/>
  <c r="JS34" i="32"/>
  <c r="JT34" i="32"/>
  <c r="JU34" i="32"/>
  <c r="JV34" i="32"/>
  <c r="JP34" i="32"/>
  <c r="JB34" i="32"/>
  <c r="HW34" i="32"/>
  <c r="HX34" i="32"/>
  <c r="IX34" i="32"/>
  <c r="IT34" i="32"/>
  <c r="HF34" i="32"/>
  <c r="HD34" i="32"/>
  <c r="GU34" i="32"/>
  <c r="GS34" i="32"/>
  <c r="GR34" i="32"/>
  <c r="GQ34" i="32"/>
  <c r="GP34" i="32"/>
  <c r="GO34" i="32"/>
  <c r="EH34" i="32"/>
  <c r="EG34" i="32"/>
  <c r="EA34" i="32"/>
  <c r="DZ34" i="32"/>
  <c r="DY34" i="32"/>
  <c r="DW34" i="32"/>
  <c r="DX34" i="32"/>
  <c r="DV34" i="32"/>
  <c r="CP34" i="32"/>
  <c r="KR34" i="32"/>
  <c r="CO34" i="32"/>
  <c r="KQ34" i="32"/>
  <c r="CN34" i="32"/>
  <c r="KP34" i="32"/>
  <c r="CM34" i="32"/>
  <c r="KO34" i="32"/>
  <c r="CL34" i="32"/>
  <c r="KN34" i="32"/>
  <c r="CK34" i="32"/>
  <c r="CJ34" i="32"/>
  <c r="KL34" i="32"/>
  <c r="CI34" i="32"/>
  <c r="GC34" i="32"/>
  <c r="CH34" i="32"/>
  <c r="KJ34" i="32"/>
  <c r="CG34" i="32"/>
  <c r="CF34" i="32"/>
  <c r="KH34" i="32"/>
  <c r="CE34" i="32"/>
  <c r="FZ34" i="32"/>
  <c r="CD34" i="32"/>
  <c r="KF34" i="32"/>
  <c r="BJ34" i="32"/>
  <c r="BI34" i="32"/>
  <c r="BH34" i="32"/>
  <c r="BG34" i="32"/>
  <c r="IP34" i="32"/>
  <c r="BF34" i="32"/>
  <c r="BC34" i="32"/>
  <c r="BB34" i="32"/>
  <c r="PK34" i="32"/>
  <c r="AW34" i="32"/>
  <c r="AU34" i="32"/>
  <c r="AS34" i="32"/>
  <c r="AT34" i="32"/>
  <c r="AQ34" i="32"/>
  <c r="AR34" i="32"/>
  <c r="AP34" i="32"/>
  <c r="AJ34" i="32"/>
  <c r="AF34" i="32"/>
  <c r="BE34" i="32"/>
  <c r="AC34" i="32"/>
  <c r="AB34" i="32"/>
  <c r="IY34" i="32"/>
  <c r="X34" i="32"/>
  <c r="W34" i="32"/>
  <c r="T34" i="32"/>
  <c r="S34" i="32"/>
  <c r="U34" i="32"/>
  <c r="P34" i="32"/>
  <c r="O34" i="32"/>
  <c r="Q34" i="32"/>
  <c r="L34" i="32"/>
  <c r="K34" i="32"/>
  <c r="M34" i="32"/>
  <c r="I34" i="32"/>
  <c r="H34" i="32"/>
  <c r="PP33" i="32"/>
  <c r="PO33" i="32"/>
  <c r="NY33" i="32"/>
  <c r="NS33" i="32"/>
  <c r="NR33" i="32"/>
  <c r="NQ33" i="32"/>
  <c r="NP33" i="32"/>
  <c r="NO33" i="32"/>
  <c r="NN33" i="32"/>
  <c r="NM33" i="32"/>
  <c r="KT33" i="32"/>
  <c r="KB33" i="32"/>
  <c r="KA33" i="32"/>
  <c r="JZ33" i="32"/>
  <c r="JY33" i="32"/>
  <c r="JX33" i="32"/>
  <c r="JW33" i="32"/>
  <c r="JQ33" i="32"/>
  <c r="JR33" i="32"/>
  <c r="JS33" i="32"/>
  <c r="JT33" i="32"/>
  <c r="JU33" i="32"/>
  <c r="JV33" i="32"/>
  <c r="JP33" i="32"/>
  <c r="JB33" i="32"/>
  <c r="HW33" i="32"/>
  <c r="HZ33" i="32"/>
  <c r="IX33" i="32"/>
  <c r="IT33" i="32"/>
  <c r="HF33" i="32"/>
  <c r="HD33" i="32"/>
  <c r="GU33" i="32"/>
  <c r="GS33" i="32"/>
  <c r="GR33" i="32"/>
  <c r="GQ33" i="32"/>
  <c r="GP33" i="32"/>
  <c r="GO33" i="32"/>
  <c r="EH33" i="32"/>
  <c r="EG33" i="32"/>
  <c r="EA33" i="32"/>
  <c r="DZ33" i="32"/>
  <c r="DY33" i="32"/>
  <c r="DX33" i="32"/>
  <c r="DW33" i="32"/>
  <c r="DV33" i="32"/>
  <c r="CP33" i="32"/>
  <c r="GE33" i="32"/>
  <c r="CO33" i="32"/>
  <c r="KQ33" i="32"/>
  <c r="CN33" i="32"/>
  <c r="KP33" i="32"/>
  <c r="CM33" i="32"/>
  <c r="KO33" i="32"/>
  <c r="CL33" i="32"/>
  <c r="KN33" i="32"/>
  <c r="CK33" i="32"/>
  <c r="GD33" i="32"/>
  <c r="CJ33" i="32"/>
  <c r="KL33" i="32"/>
  <c r="CI33" i="32"/>
  <c r="KK33" i="32"/>
  <c r="CH33" i="32"/>
  <c r="KJ33" i="32"/>
  <c r="CG33" i="32"/>
  <c r="GB33" i="32"/>
  <c r="CF33" i="32"/>
  <c r="GA33" i="32"/>
  <c r="CE33" i="32"/>
  <c r="CD33" i="32"/>
  <c r="KF33" i="32"/>
  <c r="BJ33" i="32"/>
  <c r="BI33" i="32"/>
  <c r="BH33" i="32"/>
  <c r="BG33" i="32"/>
  <c r="BF33" i="32"/>
  <c r="BC33" i="32"/>
  <c r="BB33" i="32"/>
  <c r="PG33" i="32"/>
  <c r="AW33" i="32"/>
  <c r="AU33" i="32"/>
  <c r="AV33" i="32"/>
  <c r="AS33" i="32"/>
  <c r="AT33" i="32"/>
  <c r="AQ33" i="32"/>
  <c r="AR33" i="32"/>
  <c r="AP33" i="32"/>
  <c r="AJ33" i="32"/>
  <c r="AF33" i="32"/>
  <c r="BE33" i="32"/>
  <c r="AC33" i="32"/>
  <c r="AB33" i="32"/>
  <c r="X33" i="32"/>
  <c r="W33" i="32"/>
  <c r="Y33" i="32"/>
  <c r="T33" i="32"/>
  <c r="S33" i="32"/>
  <c r="P33" i="32"/>
  <c r="O33" i="32"/>
  <c r="Q33" i="32"/>
  <c r="L33" i="32"/>
  <c r="K33" i="32"/>
  <c r="M33" i="32"/>
  <c r="I33" i="32"/>
  <c r="H33" i="32"/>
  <c r="PP32" i="32"/>
  <c r="PO32" i="32"/>
  <c r="NY32" i="32"/>
  <c r="NS32" i="32"/>
  <c r="NR32" i="32"/>
  <c r="NQ32" i="32"/>
  <c r="NP32" i="32"/>
  <c r="NO32" i="32"/>
  <c r="NN32" i="32"/>
  <c r="NM32" i="32"/>
  <c r="KT32" i="32"/>
  <c r="KB32" i="32"/>
  <c r="KA32" i="32"/>
  <c r="JZ32" i="32"/>
  <c r="JY32" i="32"/>
  <c r="JX32" i="32"/>
  <c r="JW32" i="32"/>
  <c r="JV32" i="32"/>
  <c r="JU32" i="32"/>
  <c r="JT32" i="32"/>
  <c r="JS32" i="32"/>
  <c r="JR32" i="32"/>
  <c r="JQ32" i="32"/>
  <c r="JP32" i="32"/>
  <c r="JB32" i="32"/>
  <c r="HW32" i="32"/>
  <c r="IX32" i="32"/>
  <c r="IT32" i="32"/>
  <c r="HF32" i="32"/>
  <c r="HD32" i="32"/>
  <c r="GU32" i="32"/>
  <c r="GS32" i="32"/>
  <c r="GR32" i="32"/>
  <c r="GO32" i="32"/>
  <c r="GP32" i="32"/>
  <c r="GQ32" i="32"/>
  <c r="EH32" i="32"/>
  <c r="EG32" i="32"/>
  <c r="EA32" i="32"/>
  <c r="DZ32" i="32"/>
  <c r="DW32" i="32"/>
  <c r="DX32" i="32"/>
  <c r="DY32" i="32"/>
  <c r="DV32" i="32"/>
  <c r="CP32" i="32"/>
  <c r="CO32" i="32"/>
  <c r="KQ32" i="32"/>
  <c r="CN32" i="32"/>
  <c r="KP32" i="32"/>
  <c r="CM32" i="32"/>
  <c r="KO32" i="32"/>
  <c r="CL32" i="32"/>
  <c r="KN32" i="32"/>
  <c r="CK32" i="32"/>
  <c r="KM32" i="32"/>
  <c r="CJ32" i="32"/>
  <c r="KL32" i="32"/>
  <c r="CI32" i="32"/>
  <c r="CH32" i="32"/>
  <c r="KJ32" i="32"/>
  <c r="CG32" i="32"/>
  <c r="CF32" i="32"/>
  <c r="KH32" i="32"/>
  <c r="CE32" i="32"/>
  <c r="CD32" i="32"/>
  <c r="KF32" i="32"/>
  <c r="BJ32" i="32"/>
  <c r="BI32" i="32"/>
  <c r="BH32" i="32"/>
  <c r="BG32" i="32"/>
  <c r="BF32" i="32"/>
  <c r="BC32" i="32"/>
  <c r="BB32" i="32"/>
  <c r="PG32" i="32"/>
  <c r="AW32" i="32"/>
  <c r="BA32" i="32"/>
  <c r="AU32" i="32"/>
  <c r="AV32" i="32"/>
  <c r="AS32" i="32"/>
  <c r="AT32" i="32"/>
  <c r="AQ32" i="32"/>
  <c r="AR32" i="32"/>
  <c r="AP32" i="32"/>
  <c r="AJ32" i="32"/>
  <c r="AF32" i="32"/>
  <c r="BE32" i="32"/>
  <c r="AC32" i="32"/>
  <c r="AB32" i="32"/>
  <c r="IY32" i="32"/>
  <c r="X32" i="32"/>
  <c r="W32" i="32"/>
  <c r="T32" i="32"/>
  <c r="S32" i="32"/>
  <c r="U32" i="32"/>
  <c r="P32" i="32"/>
  <c r="O32" i="32"/>
  <c r="Q32" i="32"/>
  <c r="L32" i="32"/>
  <c r="K32" i="32"/>
  <c r="M32" i="32"/>
  <c r="H32" i="32"/>
  <c r="PP57" i="31"/>
  <c r="PO57" i="31"/>
  <c r="NY57" i="31"/>
  <c r="NS57" i="31"/>
  <c r="NR57" i="31"/>
  <c r="NQ57" i="31"/>
  <c r="NP57" i="31"/>
  <c r="NO57" i="31"/>
  <c r="NN57" i="31"/>
  <c r="NM57" i="31"/>
  <c r="KT57" i="31"/>
  <c r="KB57" i="31"/>
  <c r="KA57" i="31"/>
  <c r="JZ57" i="31"/>
  <c r="JY57" i="31"/>
  <c r="JX57" i="31"/>
  <c r="JW57" i="31"/>
  <c r="JV57" i="31"/>
  <c r="JU57" i="31"/>
  <c r="JT57" i="31"/>
  <c r="JS57" i="31"/>
  <c r="JR57" i="31"/>
  <c r="JQ57" i="31"/>
  <c r="JP57" i="31"/>
  <c r="JB57" i="31"/>
  <c r="HW57" i="31"/>
  <c r="IX57" i="31"/>
  <c r="IT57" i="31"/>
  <c r="HF57" i="31"/>
  <c r="HD57" i="31"/>
  <c r="GU57" i="31"/>
  <c r="GS57" i="31"/>
  <c r="GR57" i="31"/>
  <c r="GQ57" i="31"/>
  <c r="GP57" i="31"/>
  <c r="GO57" i="31"/>
  <c r="EH57" i="31"/>
  <c r="EG57" i="31"/>
  <c r="EA57" i="31"/>
  <c r="DZ57" i="31"/>
  <c r="DY57" i="31"/>
  <c r="DW57" i="31"/>
  <c r="DX57" i="31"/>
  <c r="DV57" i="31"/>
  <c r="CP57" i="31"/>
  <c r="KR57" i="31"/>
  <c r="CO57" i="31"/>
  <c r="KQ57" i="31"/>
  <c r="CN57" i="31"/>
  <c r="KP57" i="31"/>
  <c r="CM57" i="31"/>
  <c r="KO57" i="31"/>
  <c r="CL57" i="31"/>
  <c r="KN57" i="31"/>
  <c r="CK57" i="31"/>
  <c r="CJ57" i="31"/>
  <c r="KL57" i="31"/>
  <c r="CI57" i="31"/>
  <c r="GC57" i="31"/>
  <c r="CH57" i="31"/>
  <c r="KJ57" i="31"/>
  <c r="CG57" i="31"/>
  <c r="GB57" i="31"/>
  <c r="CF57" i="31"/>
  <c r="CE57" i="31"/>
  <c r="FZ57" i="31"/>
  <c r="CD57" i="31"/>
  <c r="KF57" i="31"/>
  <c r="BJ57" i="31"/>
  <c r="BI57" i="31"/>
  <c r="BH57" i="31"/>
  <c r="BG57" i="31"/>
  <c r="IP57" i="31"/>
  <c r="BF57" i="31"/>
  <c r="BB57" i="31"/>
  <c r="AJ57" i="31"/>
  <c r="AF57" i="31"/>
  <c r="BE57" i="31"/>
  <c r="AC57" i="31"/>
  <c r="AB57" i="31"/>
  <c r="X57" i="31"/>
  <c r="W57" i="31"/>
  <c r="Y57" i="31"/>
  <c r="T57" i="31"/>
  <c r="S57" i="31"/>
  <c r="U57" i="31"/>
  <c r="P57" i="31"/>
  <c r="O57" i="31"/>
  <c r="Q57" i="31"/>
  <c r="L57" i="31"/>
  <c r="K57" i="31"/>
  <c r="M57" i="31"/>
  <c r="I57" i="31"/>
  <c r="H57" i="31"/>
  <c r="PP38" i="31"/>
  <c r="PO38" i="31"/>
  <c r="NY38" i="31"/>
  <c r="NS38" i="31"/>
  <c r="NR38" i="31"/>
  <c r="NQ38" i="31"/>
  <c r="NP38" i="31"/>
  <c r="NO38" i="31"/>
  <c r="NN38" i="31"/>
  <c r="NM38" i="31"/>
  <c r="KT38" i="31"/>
  <c r="KB38" i="31"/>
  <c r="KA38" i="31"/>
  <c r="JZ38" i="31"/>
  <c r="JY38" i="31"/>
  <c r="JX38" i="31"/>
  <c r="JW38" i="31"/>
  <c r="JV38" i="31"/>
  <c r="JU38" i="31"/>
  <c r="JT38" i="31"/>
  <c r="JQ38" i="31"/>
  <c r="JR38" i="31"/>
  <c r="JS38" i="31"/>
  <c r="JP38" i="31"/>
  <c r="JB38" i="31"/>
  <c r="HW38" i="31"/>
  <c r="HZ38" i="31"/>
  <c r="HY38" i="31"/>
  <c r="IX38" i="31"/>
  <c r="IT38" i="31"/>
  <c r="HF38" i="31"/>
  <c r="HD38" i="31"/>
  <c r="GU38" i="31"/>
  <c r="GS38" i="31"/>
  <c r="GR38" i="31"/>
  <c r="GQ38" i="31"/>
  <c r="GP38" i="31"/>
  <c r="GO38" i="31"/>
  <c r="EH38" i="31"/>
  <c r="EG38" i="31"/>
  <c r="EA38" i="31"/>
  <c r="DZ38" i="31"/>
  <c r="DY38" i="31"/>
  <c r="DW38" i="31"/>
  <c r="DX38" i="31"/>
  <c r="DV38" i="31"/>
  <c r="CP38" i="31"/>
  <c r="CO38" i="31"/>
  <c r="KQ38" i="31"/>
  <c r="CN38" i="31"/>
  <c r="KP38" i="31"/>
  <c r="CM38" i="31"/>
  <c r="KO38" i="31"/>
  <c r="CL38" i="31"/>
  <c r="KN38" i="31"/>
  <c r="CK38" i="31"/>
  <c r="GD38" i="31"/>
  <c r="CJ38" i="31"/>
  <c r="KL38" i="31"/>
  <c r="CI38" i="31"/>
  <c r="CH38" i="31"/>
  <c r="KJ38" i="31"/>
  <c r="CG38" i="31"/>
  <c r="GB38" i="31"/>
  <c r="CF38" i="31"/>
  <c r="GA38" i="31"/>
  <c r="CE38" i="31"/>
  <c r="CD38" i="31"/>
  <c r="KF38" i="31"/>
  <c r="BJ38" i="31"/>
  <c r="BI38" i="31"/>
  <c r="BH38" i="31"/>
  <c r="BG38" i="31"/>
  <c r="IP38" i="31"/>
  <c r="BF38" i="31"/>
  <c r="BB38" i="31"/>
  <c r="PK38" i="31"/>
  <c r="AJ38" i="31"/>
  <c r="AF38" i="31"/>
  <c r="BE38" i="31"/>
  <c r="AC38" i="31"/>
  <c r="AB38" i="31"/>
  <c r="X38" i="31"/>
  <c r="W38" i="31"/>
  <c r="T38" i="31"/>
  <c r="S38" i="31"/>
  <c r="U38" i="31"/>
  <c r="P38" i="31"/>
  <c r="O38" i="31"/>
  <c r="Q38" i="31"/>
  <c r="L38" i="31"/>
  <c r="K38" i="31"/>
  <c r="M38" i="31"/>
  <c r="I38" i="31"/>
  <c r="H38" i="31"/>
  <c r="BB26" i="22"/>
  <c r="I17" i="22"/>
  <c r="PP27" i="22"/>
  <c r="PO27" i="22"/>
  <c r="NS27" i="22"/>
  <c r="NR27" i="22"/>
  <c r="NQ27" i="22"/>
  <c r="NP27" i="22"/>
  <c r="NO27" i="22"/>
  <c r="NN27" i="22"/>
  <c r="NM27" i="22"/>
  <c r="KT27" i="22"/>
  <c r="KB27" i="22"/>
  <c r="KA27" i="22"/>
  <c r="JZ27" i="22"/>
  <c r="JY27" i="22"/>
  <c r="JX27" i="22"/>
  <c r="JW27" i="22"/>
  <c r="JV27" i="22"/>
  <c r="JU27" i="22"/>
  <c r="JT27" i="22"/>
  <c r="JS27" i="22"/>
  <c r="JR27" i="22"/>
  <c r="JQ27" i="22"/>
  <c r="JP27" i="22"/>
  <c r="JB27" i="22"/>
  <c r="HW27" i="22"/>
  <c r="HV27" i="22"/>
  <c r="IX27" i="22"/>
  <c r="IT27" i="22"/>
  <c r="HF27" i="22"/>
  <c r="HD27" i="22"/>
  <c r="BH27" i="22"/>
  <c r="BI27" i="22"/>
  <c r="GU27" i="22"/>
  <c r="GS27" i="22"/>
  <c r="GR27" i="22"/>
  <c r="GQ27" i="22"/>
  <c r="GP27" i="22"/>
  <c r="GO27" i="22"/>
  <c r="EH27" i="22"/>
  <c r="EG27" i="22"/>
  <c r="EA27" i="22"/>
  <c r="DZ27" i="22"/>
  <c r="DY27" i="22"/>
  <c r="DX27" i="22"/>
  <c r="DW27" i="22"/>
  <c r="DV27" i="22"/>
  <c r="CP27" i="22"/>
  <c r="GE27" i="22"/>
  <c r="CO27" i="22"/>
  <c r="KQ27" i="22"/>
  <c r="CN27" i="22"/>
  <c r="KP27" i="22"/>
  <c r="CM27" i="22"/>
  <c r="KO27" i="22"/>
  <c r="CL27" i="22"/>
  <c r="KN27" i="22"/>
  <c r="CK27" i="22"/>
  <c r="CJ27" i="22"/>
  <c r="KL27" i="22"/>
  <c r="CI27" i="22"/>
  <c r="CH27" i="22"/>
  <c r="KJ27" i="22"/>
  <c r="CG27" i="22"/>
  <c r="CF27" i="22"/>
  <c r="CE27" i="22"/>
  <c r="FZ27" i="22"/>
  <c r="CD27" i="22"/>
  <c r="KF27" i="22"/>
  <c r="BJ27" i="22"/>
  <c r="BG27" i="22"/>
  <c r="IP27" i="22"/>
  <c r="IQ27" i="22"/>
  <c r="BF27" i="22"/>
  <c r="BB27" i="22"/>
  <c r="PG27" i="22"/>
  <c r="AW27" i="22"/>
  <c r="BA27" i="22"/>
  <c r="AU27" i="22"/>
  <c r="AS27" i="22"/>
  <c r="AT27" i="22"/>
  <c r="AQ27" i="22"/>
  <c r="AR27" i="22"/>
  <c r="AO27" i="22"/>
  <c r="AP27" i="22"/>
  <c r="AF27" i="22"/>
  <c r="BE27" i="22"/>
  <c r="AC27" i="22"/>
  <c r="AB27" i="22"/>
  <c r="IY27" i="22"/>
  <c r="X27" i="22"/>
  <c r="W27" i="22"/>
  <c r="Y27" i="22"/>
  <c r="T27" i="22"/>
  <c r="S27" i="22"/>
  <c r="U27" i="22"/>
  <c r="P27" i="22"/>
  <c r="O27" i="22"/>
  <c r="Q27" i="22"/>
  <c r="L27" i="22"/>
  <c r="K27" i="22"/>
  <c r="M27" i="22"/>
  <c r="I27" i="22"/>
  <c r="H27" i="22"/>
  <c r="PP26" i="22"/>
  <c r="PO26" i="22"/>
  <c r="NS26" i="22"/>
  <c r="NR26" i="22"/>
  <c r="NQ26" i="22"/>
  <c r="NP26" i="22"/>
  <c r="NO26" i="22"/>
  <c r="NN26" i="22"/>
  <c r="NM26" i="22"/>
  <c r="KT26" i="22"/>
  <c r="KB26" i="22"/>
  <c r="KA26" i="22"/>
  <c r="JZ26" i="22"/>
  <c r="JY26" i="22"/>
  <c r="JX26" i="22"/>
  <c r="JW26" i="22"/>
  <c r="JV26" i="22"/>
  <c r="JU26" i="22"/>
  <c r="JT26" i="22"/>
  <c r="JS26" i="22"/>
  <c r="JR26" i="22"/>
  <c r="JQ26" i="22"/>
  <c r="JP26" i="22"/>
  <c r="JB26" i="22"/>
  <c r="HW26" i="22"/>
  <c r="HV26" i="22"/>
  <c r="IX26" i="22"/>
  <c r="IT26" i="22"/>
  <c r="HF26" i="22"/>
  <c r="HD26" i="22"/>
  <c r="GU26" i="22"/>
  <c r="GS26" i="22"/>
  <c r="GR26" i="22"/>
  <c r="GQ26" i="22"/>
  <c r="GP26" i="22"/>
  <c r="GO26" i="22"/>
  <c r="EH26" i="22"/>
  <c r="EG26" i="22"/>
  <c r="EA26" i="22"/>
  <c r="DZ26" i="22"/>
  <c r="DY26" i="22"/>
  <c r="DX26" i="22"/>
  <c r="DW26" i="22"/>
  <c r="DV26" i="22"/>
  <c r="CP26" i="22"/>
  <c r="CO26" i="22"/>
  <c r="KQ26" i="22"/>
  <c r="CN26" i="22"/>
  <c r="KP26" i="22"/>
  <c r="CM26" i="22"/>
  <c r="KO26" i="22"/>
  <c r="CL26" i="22"/>
  <c r="KN26" i="22"/>
  <c r="CK26" i="22"/>
  <c r="CJ26" i="22"/>
  <c r="KL26" i="22"/>
  <c r="CI26" i="22"/>
  <c r="GC26" i="22"/>
  <c r="CH26" i="22"/>
  <c r="KJ26" i="22"/>
  <c r="CG26" i="22"/>
  <c r="CF26" i="22"/>
  <c r="KH26" i="22"/>
  <c r="CE26" i="22"/>
  <c r="KG26" i="22"/>
  <c r="CD26" i="22"/>
  <c r="KF26" i="22"/>
  <c r="BJ26" i="22"/>
  <c r="BF26" i="22"/>
  <c r="BG26" i="22"/>
  <c r="IP26" i="22"/>
  <c r="IO26" i="22"/>
  <c r="BH26" i="22"/>
  <c r="BI26" i="22"/>
  <c r="AW26" i="22"/>
  <c r="BA26" i="22"/>
  <c r="AU26" i="22"/>
  <c r="AS26" i="22"/>
  <c r="AT26" i="22"/>
  <c r="AQ26" i="22"/>
  <c r="AR26" i="22"/>
  <c r="AO26" i="22"/>
  <c r="AP26" i="22"/>
  <c r="AF26" i="22"/>
  <c r="BE26" i="22"/>
  <c r="AC26" i="22"/>
  <c r="AB26" i="22"/>
  <c r="AD26" i="22"/>
  <c r="X26" i="22"/>
  <c r="W26" i="22"/>
  <c r="T26" i="22"/>
  <c r="S26" i="22"/>
  <c r="U26" i="22"/>
  <c r="P26" i="22"/>
  <c r="O26" i="22"/>
  <c r="Q26" i="22"/>
  <c r="L26" i="22"/>
  <c r="K26" i="22"/>
  <c r="M26" i="22"/>
  <c r="I26" i="22"/>
  <c r="H26" i="22"/>
  <c r="PP25" i="22"/>
  <c r="PO25" i="22"/>
  <c r="NS25" i="22"/>
  <c r="NR25" i="22"/>
  <c r="NQ25" i="22"/>
  <c r="NP25" i="22"/>
  <c r="NO25" i="22"/>
  <c r="NN25" i="22"/>
  <c r="NM25" i="22"/>
  <c r="KT25" i="22"/>
  <c r="KB25" i="22"/>
  <c r="KA25" i="22"/>
  <c r="JZ25" i="22"/>
  <c r="JY25" i="22"/>
  <c r="JX25" i="22"/>
  <c r="JW25" i="22"/>
  <c r="JV25" i="22"/>
  <c r="JU25" i="22"/>
  <c r="JT25" i="22"/>
  <c r="JS25" i="22"/>
  <c r="JR25" i="22"/>
  <c r="JQ25" i="22"/>
  <c r="JP25" i="22"/>
  <c r="JB25" i="22"/>
  <c r="HW25" i="22"/>
  <c r="HV25" i="22"/>
  <c r="IX25" i="22"/>
  <c r="IT25" i="22"/>
  <c r="HF25" i="22"/>
  <c r="HD25" i="22"/>
  <c r="GU25" i="22"/>
  <c r="GS25" i="22"/>
  <c r="GR25" i="22"/>
  <c r="GO25" i="22"/>
  <c r="GP25" i="22"/>
  <c r="GQ25" i="22"/>
  <c r="EH25" i="22"/>
  <c r="EG25" i="22"/>
  <c r="EA25" i="22"/>
  <c r="DZ25" i="22"/>
  <c r="DW25" i="22"/>
  <c r="DX25" i="22"/>
  <c r="DY25" i="22"/>
  <c r="DV25" i="22"/>
  <c r="CP25" i="22"/>
  <c r="KR25" i="22"/>
  <c r="CO25" i="22"/>
  <c r="KQ25" i="22"/>
  <c r="CN25" i="22"/>
  <c r="KP25" i="22"/>
  <c r="CM25" i="22"/>
  <c r="KO25" i="22"/>
  <c r="CL25" i="22"/>
  <c r="KN25" i="22"/>
  <c r="CK25" i="22"/>
  <c r="KM25" i="22"/>
  <c r="CJ25" i="22"/>
  <c r="KL25" i="22"/>
  <c r="CI25" i="22"/>
  <c r="KK25" i="22"/>
  <c r="CH25" i="22"/>
  <c r="KJ25" i="22"/>
  <c r="CG25" i="22"/>
  <c r="CF25" i="22"/>
  <c r="CE25" i="22"/>
  <c r="KG25" i="22"/>
  <c r="CD25" i="22"/>
  <c r="KF25" i="22"/>
  <c r="BJ25" i="22"/>
  <c r="BI25" i="22"/>
  <c r="BH25" i="22"/>
  <c r="BG25" i="22"/>
  <c r="IP25" i="22"/>
  <c r="IQ25" i="22"/>
  <c r="BF25" i="22"/>
  <c r="BB25" i="22"/>
  <c r="AW25" i="22"/>
  <c r="AU25" i="22"/>
  <c r="AV25" i="22"/>
  <c r="AS25" i="22"/>
  <c r="AT25" i="22"/>
  <c r="AQ25" i="22"/>
  <c r="AR25" i="22"/>
  <c r="AO25" i="22"/>
  <c r="AP25" i="22"/>
  <c r="AF25" i="22"/>
  <c r="BE25" i="22"/>
  <c r="AC25" i="22"/>
  <c r="AB25" i="22"/>
  <c r="X25" i="22"/>
  <c r="W25" i="22"/>
  <c r="Y25" i="22"/>
  <c r="T25" i="22"/>
  <c r="S25" i="22"/>
  <c r="U25" i="22"/>
  <c r="P25" i="22"/>
  <c r="O25" i="22"/>
  <c r="Q25" i="22"/>
  <c r="L25" i="22"/>
  <c r="K25" i="22"/>
  <c r="M25" i="22"/>
  <c r="I25" i="22"/>
  <c r="H25" i="22"/>
  <c r="PP24" i="22"/>
  <c r="PO24" i="22"/>
  <c r="NS24" i="22"/>
  <c r="NR24" i="22"/>
  <c r="NQ24" i="22"/>
  <c r="NP24" i="22"/>
  <c r="NO24" i="22"/>
  <c r="NN24" i="22"/>
  <c r="NM24" i="22"/>
  <c r="KT24" i="22"/>
  <c r="KB24" i="22"/>
  <c r="KA24" i="22"/>
  <c r="JZ24" i="22"/>
  <c r="JY24" i="22"/>
  <c r="JX24" i="22"/>
  <c r="JQ24" i="22"/>
  <c r="JR24" i="22"/>
  <c r="JS24" i="22"/>
  <c r="JT24" i="22"/>
  <c r="JU24" i="22"/>
  <c r="JV24" i="22"/>
  <c r="JW24" i="22"/>
  <c r="JP24" i="22"/>
  <c r="JB24" i="22"/>
  <c r="HW24" i="22"/>
  <c r="HZ24" i="22"/>
  <c r="IX24" i="22"/>
  <c r="IT24" i="22"/>
  <c r="HF24" i="22"/>
  <c r="HD24" i="22"/>
  <c r="GU24" i="22"/>
  <c r="GS24" i="22"/>
  <c r="GO24" i="22"/>
  <c r="GP24" i="22"/>
  <c r="GQ24" i="22"/>
  <c r="GR24" i="22"/>
  <c r="EH24" i="22"/>
  <c r="EG24" i="22"/>
  <c r="EA24" i="22"/>
  <c r="DZ24" i="22"/>
  <c r="DY24" i="22"/>
  <c r="DX24" i="22"/>
  <c r="DW24" i="22"/>
  <c r="DV24" i="22"/>
  <c r="CP24" i="22"/>
  <c r="GE24" i="22"/>
  <c r="CO24" i="22"/>
  <c r="KQ24" i="22"/>
  <c r="CN24" i="22"/>
  <c r="CM24" i="22"/>
  <c r="KO24" i="22"/>
  <c r="CL24" i="22"/>
  <c r="KN24" i="22"/>
  <c r="CK24" i="22"/>
  <c r="GD24" i="22"/>
  <c r="CJ24" i="22"/>
  <c r="KL24" i="22"/>
  <c r="CI24" i="22"/>
  <c r="GC24" i="22"/>
  <c r="CH24" i="22"/>
  <c r="KJ24" i="22"/>
  <c r="CG24" i="22"/>
  <c r="CF24" i="22"/>
  <c r="KH24" i="22"/>
  <c r="CE24" i="22"/>
  <c r="CD24" i="22"/>
  <c r="KF24" i="22"/>
  <c r="BJ24" i="22"/>
  <c r="BI24" i="22"/>
  <c r="BH24" i="22"/>
  <c r="BG24" i="22"/>
  <c r="IP24" i="22"/>
  <c r="BF24" i="22"/>
  <c r="BB24" i="22"/>
  <c r="AW24" i="22"/>
  <c r="BA24" i="22"/>
  <c r="AU24" i="22"/>
  <c r="AS24" i="22"/>
  <c r="AT24" i="22"/>
  <c r="AQ24" i="22"/>
  <c r="AR24" i="22"/>
  <c r="AO24" i="22"/>
  <c r="AP24" i="22"/>
  <c r="AF24" i="22"/>
  <c r="BE24" i="22"/>
  <c r="AC24" i="22"/>
  <c r="AB24" i="22"/>
  <c r="IY24" i="22"/>
  <c r="X24" i="22"/>
  <c r="W24" i="22"/>
  <c r="T24" i="22"/>
  <c r="S24" i="22"/>
  <c r="U24" i="22"/>
  <c r="P24" i="22"/>
  <c r="O24" i="22"/>
  <c r="Q24" i="22"/>
  <c r="I24" i="22"/>
  <c r="H24" i="22"/>
  <c r="PP23" i="22"/>
  <c r="PO23" i="22"/>
  <c r="NS23" i="22"/>
  <c r="NR23" i="22"/>
  <c r="NQ23" i="22"/>
  <c r="NP23" i="22"/>
  <c r="NO23" i="22"/>
  <c r="NN23" i="22"/>
  <c r="NM23" i="22"/>
  <c r="KT23" i="22"/>
  <c r="KB23" i="22"/>
  <c r="KA23" i="22"/>
  <c r="JZ23" i="22"/>
  <c r="JY23" i="22"/>
  <c r="JX23" i="22"/>
  <c r="JW23" i="22"/>
  <c r="JV23" i="22"/>
  <c r="JU23" i="22"/>
  <c r="JQ23" i="22"/>
  <c r="JR23" i="22"/>
  <c r="JS23" i="22"/>
  <c r="JT23" i="22"/>
  <c r="JP23" i="22"/>
  <c r="JB23" i="22"/>
  <c r="HW23" i="22"/>
  <c r="HV23" i="22"/>
  <c r="IX23" i="22"/>
  <c r="IT23" i="22"/>
  <c r="HF23" i="22"/>
  <c r="HD23" i="22"/>
  <c r="GU23" i="22"/>
  <c r="GS23" i="22"/>
  <c r="GR23" i="22"/>
  <c r="GQ23" i="22"/>
  <c r="GO23" i="22"/>
  <c r="GP23" i="22"/>
  <c r="EH23" i="22"/>
  <c r="EG23" i="22"/>
  <c r="EA23" i="22"/>
  <c r="DZ23" i="22"/>
  <c r="DY23" i="22"/>
  <c r="DW23" i="22"/>
  <c r="DX23" i="22"/>
  <c r="DV23" i="22"/>
  <c r="CP23" i="22"/>
  <c r="CO23" i="22"/>
  <c r="KQ23" i="22"/>
  <c r="CN23" i="22"/>
  <c r="KP23" i="22"/>
  <c r="CM23" i="22"/>
  <c r="KO23" i="22"/>
  <c r="CL23" i="22"/>
  <c r="KN23" i="22"/>
  <c r="CK23" i="22"/>
  <c r="CJ23" i="22"/>
  <c r="KL23" i="22"/>
  <c r="CI23" i="22"/>
  <c r="KK23" i="22"/>
  <c r="CH23" i="22"/>
  <c r="KJ23" i="22"/>
  <c r="CG23" i="22"/>
  <c r="GB23" i="22"/>
  <c r="CF23" i="22"/>
  <c r="KH23" i="22"/>
  <c r="CE23" i="22"/>
  <c r="KG23" i="22"/>
  <c r="CD23" i="22"/>
  <c r="KF23" i="22"/>
  <c r="BJ23" i="22"/>
  <c r="BI23" i="22"/>
  <c r="BH23" i="22"/>
  <c r="BG23" i="22"/>
  <c r="IP23" i="22"/>
  <c r="IQ23" i="22"/>
  <c r="BF23" i="22"/>
  <c r="BB23" i="22"/>
  <c r="AW23" i="22"/>
  <c r="AU23" i="22"/>
  <c r="AS23" i="22"/>
  <c r="AT23" i="22"/>
  <c r="AQ23" i="22"/>
  <c r="AR23" i="22"/>
  <c r="AO23" i="22"/>
  <c r="AP23" i="22"/>
  <c r="AF23" i="22"/>
  <c r="AC23" i="22"/>
  <c r="AB23" i="22"/>
  <c r="X23" i="22"/>
  <c r="W23" i="22"/>
  <c r="Y23" i="22"/>
  <c r="T23" i="22"/>
  <c r="S23" i="22"/>
  <c r="U23" i="22"/>
  <c r="P23" i="22"/>
  <c r="O23" i="22"/>
  <c r="Q23" i="22"/>
  <c r="L23" i="22"/>
  <c r="K23" i="22"/>
  <c r="M23" i="22"/>
  <c r="I23" i="22"/>
  <c r="H23" i="22"/>
  <c r="PP17" i="22"/>
  <c r="PO17" i="22"/>
  <c r="NS17" i="22"/>
  <c r="NR17" i="22"/>
  <c r="NQ17" i="22"/>
  <c r="NP17" i="22"/>
  <c r="NO17" i="22"/>
  <c r="NN17" i="22"/>
  <c r="NM17" i="22"/>
  <c r="KT17" i="22"/>
  <c r="KB17" i="22"/>
  <c r="KA17" i="22"/>
  <c r="JZ17" i="22"/>
  <c r="JY17" i="22"/>
  <c r="JX17" i="22"/>
  <c r="JW17" i="22"/>
  <c r="JV17" i="22"/>
  <c r="JU17" i="22"/>
  <c r="JT17" i="22"/>
  <c r="JS17" i="22"/>
  <c r="JR17" i="22"/>
  <c r="JQ17" i="22"/>
  <c r="JP17" i="22"/>
  <c r="JB17" i="22"/>
  <c r="HW17" i="22"/>
  <c r="HX17" i="22"/>
  <c r="IX17" i="22"/>
  <c r="IT17" i="22"/>
  <c r="HF17" i="22"/>
  <c r="HD17" i="22"/>
  <c r="GU17" i="22"/>
  <c r="GS17" i="22"/>
  <c r="GR17" i="22"/>
  <c r="GO17" i="22"/>
  <c r="GP17" i="22"/>
  <c r="GQ17" i="22"/>
  <c r="EH17" i="22"/>
  <c r="EG17" i="22"/>
  <c r="EA17" i="22"/>
  <c r="DW17" i="22"/>
  <c r="DX17" i="22"/>
  <c r="DY17" i="22"/>
  <c r="DZ17" i="22"/>
  <c r="DV17" i="22"/>
  <c r="CP17" i="22"/>
  <c r="CO17" i="22"/>
  <c r="KQ17" i="22"/>
  <c r="CN17" i="22"/>
  <c r="KP17" i="22"/>
  <c r="CM17" i="22"/>
  <c r="KO17" i="22"/>
  <c r="CL17" i="22"/>
  <c r="KN17" i="22"/>
  <c r="CK17" i="22"/>
  <c r="GD17" i="22"/>
  <c r="CJ17" i="22"/>
  <c r="KL17" i="22"/>
  <c r="CI17" i="22"/>
  <c r="CH17" i="22"/>
  <c r="CG17" i="22"/>
  <c r="KI17" i="22"/>
  <c r="CF17" i="22"/>
  <c r="CE17" i="22"/>
  <c r="FZ17" i="22"/>
  <c r="CD17" i="22"/>
  <c r="KF17" i="22"/>
  <c r="BJ17" i="22"/>
  <c r="BI17" i="22"/>
  <c r="BH17" i="22"/>
  <c r="BG17" i="22"/>
  <c r="IP17" i="22"/>
  <c r="IO17" i="22"/>
  <c r="BF17" i="22"/>
  <c r="AW17" i="22"/>
  <c r="AU17" i="22"/>
  <c r="AV17" i="22"/>
  <c r="AS17" i="22"/>
  <c r="AT17" i="22"/>
  <c r="AQ17" i="22"/>
  <c r="AR17" i="22"/>
  <c r="AO17" i="22"/>
  <c r="AP17" i="22"/>
  <c r="AF17" i="22"/>
  <c r="BE17" i="22"/>
  <c r="AC17" i="22"/>
  <c r="AB17" i="22"/>
  <c r="IY17" i="22"/>
  <c r="X17" i="22"/>
  <c r="W17" i="22"/>
  <c r="IU17" i="22"/>
  <c r="T17" i="22"/>
  <c r="S17" i="22"/>
  <c r="U17" i="22"/>
  <c r="P17" i="22"/>
  <c r="O17" i="22"/>
  <c r="Q17" i="22"/>
  <c r="L17" i="22"/>
  <c r="K17" i="22"/>
  <c r="M17" i="22"/>
  <c r="H17" i="22"/>
  <c r="PP16" i="22"/>
  <c r="PO16" i="22"/>
  <c r="NS16" i="22"/>
  <c r="NR16" i="22"/>
  <c r="NQ16" i="22"/>
  <c r="NP16" i="22"/>
  <c r="NO16" i="22"/>
  <c r="NN16" i="22"/>
  <c r="NM16" i="22"/>
  <c r="KT16" i="22"/>
  <c r="KB16" i="22"/>
  <c r="KA16" i="22"/>
  <c r="JZ16" i="22"/>
  <c r="JY16" i="22"/>
  <c r="JX16" i="22"/>
  <c r="JW16" i="22"/>
  <c r="JV16" i="22"/>
  <c r="JU16" i="22"/>
  <c r="JQ16" i="22"/>
  <c r="JR16" i="22"/>
  <c r="JS16" i="22"/>
  <c r="JT16" i="22"/>
  <c r="JP16" i="22"/>
  <c r="JB16" i="22"/>
  <c r="HW16" i="22"/>
  <c r="HX16" i="22"/>
  <c r="IX16" i="22"/>
  <c r="IT16" i="22"/>
  <c r="HF16" i="22"/>
  <c r="HD16" i="22"/>
  <c r="GU16" i="22"/>
  <c r="GS16" i="22"/>
  <c r="GR16" i="22"/>
  <c r="GQ16" i="22"/>
  <c r="GO16" i="22"/>
  <c r="GP16" i="22"/>
  <c r="EH16" i="22"/>
  <c r="EG16" i="22"/>
  <c r="EA16" i="22"/>
  <c r="DZ16" i="22"/>
  <c r="DY16" i="22"/>
  <c r="DW16" i="22"/>
  <c r="DX16" i="22"/>
  <c r="DV16" i="22"/>
  <c r="CP16" i="22"/>
  <c r="CO16" i="22"/>
  <c r="KQ16" i="22"/>
  <c r="CN16" i="22"/>
  <c r="KP16" i="22"/>
  <c r="CM16" i="22"/>
  <c r="KO16" i="22"/>
  <c r="CL16" i="22"/>
  <c r="KN16" i="22"/>
  <c r="CK16" i="22"/>
  <c r="CJ16" i="22"/>
  <c r="KL16" i="22"/>
  <c r="CI16" i="22"/>
  <c r="CH16" i="22"/>
  <c r="KJ16" i="22"/>
  <c r="CG16" i="22"/>
  <c r="CF16" i="22"/>
  <c r="CE16" i="22"/>
  <c r="CD16" i="22"/>
  <c r="KF16" i="22"/>
  <c r="BJ16" i="22"/>
  <c r="BI16" i="22"/>
  <c r="BH16" i="22"/>
  <c r="BG16" i="22"/>
  <c r="BF16" i="22"/>
  <c r="BB16" i="22"/>
  <c r="AW16" i="22"/>
  <c r="AU16" i="22"/>
  <c r="AV16" i="22"/>
  <c r="AS16" i="22"/>
  <c r="AT16" i="22"/>
  <c r="AQ16" i="22"/>
  <c r="AR16" i="22"/>
  <c r="AO16" i="22"/>
  <c r="AP16" i="22"/>
  <c r="AF16" i="22"/>
  <c r="BE16" i="22"/>
  <c r="AC16" i="22"/>
  <c r="AB16" i="22"/>
  <c r="X16" i="22"/>
  <c r="W16" i="22"/>
  <c r="Y16" i="22"/>
  <c r="T16" i="22"/>
  <c r="S16" i="22"/>
  <c r="U16" i="22"/>
  <c r="P16" i="22"/>
  <c r="O16" i="22"/>
  <c r="Q16" i="22"/>
  <c r="L16" i="22"/>
  <c r="K16" i="22"/>
  <c r="M16" i="22"/>
  <c r="H16" i="22"/>
  <c r="NY44" i="21"/>
  <c r="NY45" i="21"/>
  <c r="PP54" i="21"/>
  <c r="PO54" i="21"/>
  <c r="OZ54" i="21"/>
  <c r="NS54" i="21"/>
  <c r="NR54" i="21"/>
  <c r="NQ54" i="21"/>
  <c r="NP54" i="21"/>
  <c r="NO54" i="21"/>
  <c r="NN54" i="21"/>
  <c r="NM54" i="21"/>
  <c r="KT54" i="21"/>
  <c r="KB54" i="21"/>
  <c r="KA54" i="21"/>
  <c r="JZ54" i="21"/>
  <c r="JY54" i="21"/>
  <c r="JX54" i="21"/>
  <c r="JW54" i="21"/>
  <c r="JV54" i="21"/>
  <c r="JQ54" i="21"/>
  <c r="JR54" i="21"/>
  <c r="JS54" i="21"/>
  <c r="JT54" i="21"/>
  <c r="JU54" i="21"/>
  <c r="JP54" i="21"/>
  <c r="JB54" i="21"/>
  <c r="HW54" i="21"/>
  <c r="HZ54" i="21"/>
  <c r="HY54" i="21"/>
  <c r="IX54" i="21"/>
  <c r="IT54" i="21"/>
  <c r="HF54" i="21"/>
  <c r="HD54" i="21"/>
  <c r="GU54" i="21"/>
  <c r="GS54" i="21"/>
  <c r="GR54" i="21"/>
  <c r="GP54" i="21"/>
  <c r="GO54" i="21"/>
  <c r="EH54" i="21"/>
  <c r="EG54" i="21"/>
  <c r="EA54" i="21"/>
  <c r="DZ54" i="21"/>
  <c r="DY54" i="21"/>
  <c r="DX54" i="21"/>
  <c r="DW54" i="21"/>
  <c r="DV54" i="21"/>
  <c r="CP54" i="21"/>
  <c r="GE54" i="21"/>
  <c r="CO54" i="21"/>
  <c r="KQ54" i="21"/>
  <c r="CN54" i="21"/>
  <c r="KP54" i="21"/>
  <c r="CM54" i="21"/>
  <c r="KO54" i="21"/>
  <c r="CL54" i="21"/>
  <c r="KN54" i="21"/>
  <c r="CK54" i="21"/>
  <c r="CJ54" i="21"/>
  <c r="KL54" i="21"/>
  <c r="CI54" i="21"/>
  <c r="GC54" i="21"/>
  <c r="CH54" i="21"/>
  <c r="KJ54" i="21"/>
  <c r="CG54" i="21"/>
  <c r="KI54" i="21"/>
  <c r="CE54" i="21"/>
  <c r="KG54" i="21"/>
  <c r="CD54" i="21"/>
  <c r="KF54" i="21"/>
  <c r="BJ54" i="21"/>
  <c r="BI54" i="21"/>
  <c r="BH54" i="21"/>
  <c r="BG54" i="21"/>
  <c r="BF54" i="21"/>
  <c r="BB54" i="21"/>
  <c r="PG54" i="21"/>
  <c r="AJ54" i="21"/>
  <c r="AF54" i="21"/>
  <c r="BE54" i="21"/>
  <c r="AC54" i="21"/>
  <c r="AB54" i="21"/>
  <c r="AD54" i="21"/>
  <c r="X54" i="21"/>
  <c r="W54" i="21"/>
  <c r="T54" i="21"/>
  <c r="S54" i="21"/>
  <c r="U54" i="21"/>
  <c r="L54" i="21"/>
  <c r="K54" i="21"/>
  <c r="M54" i="21"/>
  <c r="H54" i="21"/>
  <c r="PP45" i="21"/>
  <c r="PO45" i="21"/>
  <c r="OZ45" i="21"/>
  <c r="OI45" i="21"/>
  <c r="OS45" i="21"/>
  <c r="OG45" i="21"/>
  <c r="OF45" i="21"/>
  <c r="OE45" i="21"/>
  <c r="NS45" i="21"/>
  <c r="NR45" i="21"/>
  <c r="NQ45" i="21"/>
  <c r="NP45" i="21"/>
  <c r="NO45" i="21"/>
  <c r="NN45" i="21"/>
  <c r="NM45" i="21"/>
  <c r="KT45" i="21"/>
  <c r="KB45" i="21"/>
  <c r="KA45" i="21"/>
  <c r="JZ45" i="21"/>
  <c r="JY45" i="21"/>
  <c r="JX45" i="21"/>
  <c r="JW45" i="21"/>
  <c r="JQ45" i="21"/>
  <c r="JR45" i="21"/>
  <c r="JS45" i="21"/>
  <c r="JT45" i="21"/>
  <c r="JU45" i="21"/>
  <c r="JV45" i="21"/>
  <c r="JP45" i="21"/>
  <c r="JB45" i="21"/>
  <c r="IX45" i="21"/>
  <c r="IT45" i="21"/>
  <c r="HF45" i="21"/>
  <c r="HD45" i="21"/>
  <c r="GU45" i="21"/>
  <c r="GS45" i="21"/>
  <c r="GR45" i="21"/>
  <c r="GO45" i="21"/>
  <c r="GP45" i="21"/>
  <c r="GQ45" i="21"/>
  <c r="EH45" i="21"/>
  <c r="EG45" i="21"/>
  <c r="EA45" i="21"/>
  <c r="DZ45" i="21"/>
  <c r="DW45" i="21"/>
  <c r="DX45" i="21"/>
  <c r="DY45" i="21"/>
  <c r="DV45" i="21"/>
  <c r="CP45" i="21"/>
  <c r="KR45" i="21"/>
  <c r="CO45" i="21"/>
  <c r="KQ45" i="21"/>
  <c r="CN45" i="21"/>
  <c r="KP45" i="21"/>
  <c r="CM45" i="21"/>
  <c r="KO45" i="21"/>
  <c r="CL45" i="21"/>
  <c r="KN45" i="21"/>
  <c r="CK45" i="21"/>
  <c r="CJ45" i="21"/>
  <c r="KL45" i="21"/>
  <c r="CI45" i="21"/>
  <c r="KK45" i="21"/>
  <c r="CH45" i="21"/>
  <c r="KJ45" i="21"/>
  <c r="CG45" i="21"/>
  <c r="CE45" i="21"/>
  <c r="CD45" i="21"/>
  <c r="KF45" i="21"/>
  <c r="BJ45" i="21"/>
  <c r="BI45" i="21"/>
  <c r="BH45" i="21"/>
  <c r="BG45" i="21"/>
  <c r="IP45" i="21"/>
  <c r="BF45" i="21"/>
  <c r="BB45" i="21"/>
  <c r="JC45" i="21"/>
  <c r="AJ45" i="21"/>
  <c r="AF45" i="21"/>
  <c r="BE45" i="21"/>
  <c r="AC45" i="21"/>
  <c r="AB45" i="21"/>
  <c r="Z45" i="21"/>
  <c r="X45" i="21"/>
  <c r="W45" i="21"/>
  <c r="T45" i="21"/>
  <c r="S45" i="21"/>
  <c r="U45" i="21"/>
  <c r="P45" i="21"/>
  <c r="O45" i="21"/>
  <c r="OP45" i="21"/>
  <c r="L45" i="21"/>
  <c r="K45" i="21"/>
  <c r="M45" i="21"/>
  <c r="H45" i="21"/>
  <c r="G45" i="21"/>
  <c r="I45" i="21"/>
  <c r="PP44" i="21"/>
  <c r="PO44" i="21"/>
  <c r="OZ44" i="21"/>
  <c r="OI44" i="21"/>
  <c r="OS44" i="21"/>
  <c r="OG44" i="21"/>
  <c r="OF44" i="21"/>
  <c r="OE44" i="21"/>
  <c r="NS44" i="21"/>
  <c r="NR44" i="21"/>
  <c r="NQ44" i="21"/>
  <c r="NP44" i="21"/>
  <c r="NO44" i="21"/>
  <c r="NN44" i="21"/>
  <c r="NM44" i="21"/>
  <c r="KT44" i="21"/>
  <c r="KB44" i="21"/>
  <c r="KA44" i="21"/>
  <c r="JZ44" i="21"/>
  <c r="JY44" i="21"/>
  <c r="JX44" i="21"/>
  <c r="JW44" i="21"/>
  <c r="JV44" i="21"/>
  <c r="JU44" i="21"/>
  <c r="JQ44" i="21"/>
  <c r="JR44" i="21"/>
  <c r="JS44" i="21"/>
  <c r="JT44" i="21"/>
  <c r="JP44" i="21"/>
  <c r="JB44" i="21"/>
  <c r="IX44" i="21"/>
  <c r="IT44" i="21"/>
  <c r="HF44" i="21"/>
  <c r="HD44" i="21"/>
  <c r="GU44" i="21"/>
  <c r="GS44" i="21"/>
  <c r="GR44" i="21"/>
  <c r="GQ44" i="21"/>
  <c r="GP44" i="21"/>
  <c r="GO44" i="21"/>
  <c r="EH44" i="21"/>
  <c r="EG44" i="21"/>
  <c r="EA44" i="21"/>
  <c r="DZ44" i="21"/>
  <c r="DY44" i="21"/>
  <c r="DX44" i="21"/>
  <c r="DW44" i="21"/>
  <c r="DV44" i="21"/>
  <c r="CP44" i="21"/>
  <c r="CO44" i="21"/>
  <c r="KQ44" i="21"/>
  <c r="CN44" i="21"/>
  <c r="KP44" i="21"/>
  <c r="CM44" i="21"/>
  <c r="CL44" i="21"/>
  <c r="KN44" i="21"/>
  <c r="CK44" i="21"/>
  <c r="KM44" i="21"/>
  <c r="CJ44" i="21"/>
  <c r="KL44" i="21"/>
  <c r="CI44" i="21"/>
  <c r="KK44" i="21"/>
  <c r="CH44" i="21"/>
  <c r="KJ44" i="21"/>
  <c r="CG44" i="21"/>
  <c r="CE44" i="21"/>
  <c r="FZ44" i="21"/>
  <c r="CD44" i="21"/>
  <c r="CF44" i="21"/>
  <c r="BJ44" i="21"/>
  <c r="BI44" i="21"/>
  <c r="BH44" i="21"/>
  <c r="BG44" i="21"/>
  <c r="IP44" i="21"/>
  <c r="BF44" i="21"/>
  <c r="BB44" i="21"/>
  <c r="JC44" i="21"/>
  <c r="AJ44" i="21"/>
  <c r="AF44" i="21"/>
  <c r="BE44" i="21"/>
  <c r="AC44" i="21"/>
  <c r="AB44" i="21"/>
  <c r="Z44" i="21"/>
  <c r="X44" i="21"/>
  <c r="W44" i="21"/>
  <c r="IU44" i="21"/>
  <c r="T44" i="21"/>
  <c r="S44" i="21"/>
  <c r="U44" i="21"/>
  <c r="P44" i="21"/>
  <c r="O44" i="21"/>
  <c r="L44" i="21"/>
  <c r="K44" i="21"/>
  <c r="OO44" i="21"/>
  <c r="H44" i="21"/>
  <c r="G44" i="21"/>
  <c r="I44" i="21"/>
  <c r="PP103" i="39"/>
  <c r="PO103" i="39"/>
  <c r="OI103" i="39"/>
  <c r="OS103" i="39"/>
  <c r="OG103" i="39"/>
  <c r="OQ103" i="39"/>
  <c r="OF103" i="39"/>
  <c r="OE103" i="39"/>
  <c r="NY103" i="39"/>
  <c r="NS103" i="39"/>
  <c r="NR103" i="39"/>
  <c r="NQ103" i="39"/>
  <c r="NP103" i="39"/>
  <c r="NO103" i="39"/>
  <c r="NN103" i="39"/>
  <c r="NM103" i="39"/>
  <c r="KT103" i="39"/>
  <c r="KB103" i="39"/>
  <c r="KA103" i="39"/>
  <c r="JZ103" i="39"/>
  <c r="JY103" i="39"/>
  <c r="JX103" i="39"/>
  <c r="JW103" i="39"/>
  <c r="JQ103" i="39"/>
  <c r="JR103" i="39"/>
  <c r="JS103" i="39"/>
  <c r="JT103" i="39"/>
  <c r="JU103" i="39"/>
  <c r="JV103" i="39"/>
  <c r="JP103" i="39"/>
  <c r="JB103" i="39"/>
  <c r="HW103" i="39"/>
  <c r="HV103" i="39"/>
  <c r="IY103" i="39"/>
  <c r="IX103" i="39"/>
  <c r="IT103" i="39"/>
  <c r="HF103" i="39"/>
  <c r="HD103" i="39"/>
  <c r="GU103" i="39"/>
  <c r="GS103" i="39"/>
  <c r="GR103" i="39"/>
  <c r="GQ103" i="39"/>
  <c r="GP103" i="39"/>
  <c r="GO103" i="39"/>
  <c r="EH103" i="39"/>
  <c r="EG103" i="39"/>
  <c r="EA103" i="39"/>
  <c r="DZ103" i="39"/>
  <c r="DY103" i="39"/>
  <c r="DW103" i="39"/>
  <c r="DX103" i="39"/>
  <c r="DV103" i="39"/>
  <c r="CP103" i="39"/>
  <c r="GE103" i="39"/>
  <c r="CO103" i="39"/>
  <c r="KQ103" i="39"/>
  <c r="CN103" i="39"/>
  <c r="KP103" i="39"/>
  <c r="CM103" i="39"/>
  <c r="KO103" i="39"/>
  <c r="CL103" i="39"/>
  <c r="KN103" i="39"/>
  <c r="CK103" i="39"/>
  <c r="GD103" i="39"/>
  <c r="CJ103" i="39"/>
  <c r="CI103" i="39"/>
  <c r="KK103" i="39"/>
  <c r="CH103" i="39"/>
  <c r="KJ103" i="39"/>
  <c r="CG103" i="39"/>
  <c r="CF103" i="39"/>
  <c r="CE103" i="39"/>
  <c r="KG103" i="39"/>
  <c r="CD103" i="39"/>
  <c r="KF103" i="39"/>
  <c r="BJ103" i="39"/>
  <c r="BI103" i="39"/>
  <c r="BH103" i="39"/>
  <c r="BG103" i="39"/>
  <c r="IP103" i="39"/>
  <c r="BF103" i="39"/>
  <c r="BB103" i="39"/>
  <c r="AO103" i="39"/>
  <c r="AJ103" i="39"/>
  <c r="AF103" i="39"/>
  <c r="BE103" i="39"/>
  <c r="AC103" i="39"/>
  <c r="X103" i="39"/>
  <c r="W103" i="39"/>
  <c r="IU103" i="39"/>
  <c r="T103" i="39"/>
  <c r="S103" i="39"/>
  <c r="U103" i="39"/>
  <c r="P103" i="39"/>
  <c r="O103" i="39"/>
  <c r="Q103" i="39"/>
  <c r="L103" i="39"/>
  <c r="K103" i="39"/>
  <c r="M103" i="39"/>
  <c r="H103" i="39"/>
  <c r="PP102" i="39"/>
  <c r="PO102" i="39"/>
  <c r="OI102" i="39"/>
  <c r="OS102" i="39"/>
  <c r="OG102" i="39"/>
  <c r="OQ102" i="39"/>
  <c r="OF102" i="39"/>
  <c r="OE102" i="39"/>
  <c r="NY102" i="39"/>
  <c r="NS102" i="39"/>
  <c r="NR102" i="39"/>
  <c r="NQ102" i="39"/>
  <c r="NP102" i="39"/>
  <c r="NM102" i="39"/>
  <c r="NN102" i="39"/>
  <c r="NO102" i="39"/>
  <c r="KT102" i="39"/>
  <c r="KB102" i="39"/>
  <c r="KA102" i="39"/>
  <c r="JZ102" i="39"/>
  <c r="JY102" i="39"/>
  <c r="JX102" i="39"/>
  <c r="JW102" i="39"/>
  <c r="JV102" i="39"/>
  <c r="JU102" i="39"/>
  <c r="JT102" i="39"/>
  <c r="JS102" i="39"/>
  <c r="JR102" i="39"/>
  <c r="JQ102" i="39"/>
  <c r="JP102" i="39"/>
  <c r="JB102" i="39"/>
  <c r="HW102" i="39"/>
  <c r="IY102" i="39"/>
  <c r="IX102" i="39"/>
  <c r="IT102" i="39"/>
  <c r="HF102" i="39"/>
  <c r="HD102" i="39"/>
  <c r="GU102" i="39"/>
  <c r="GS102" i="39"/>
  <c r="GR102" i="39"/>
  <c r="GQ102" i="39"/>
  <c r="GP102" i="39"/>
  <c r="GO102" i="39"/>
  <c r="EH102" i="39"/>
  <c r="EG102" i="39"/>
  <c r="EA102" i="39"/>
  <c r="DZ102" i="39"/>
  <c r="DY102" i="39"/>
  <c r="DX102" i="39"/>
  <c r="DW102" i="39"/>
  <c r="DV102" i="39"/>
  <c r="CP102" i="39"/>
  <c r="GE102" i="39"/>
  <c r="CO102" i="39"/>
  <c r="KQ102" i="39"/>
  <c r="CN102" i="39"/>
  <c r="KP102" i="39"/>
  <c r="CM102" i="39"/>
  <c r="KO102" i="39"/>
  <c r="CL102" i="39"/>
  <c r="CK102" i="39"/>
  <c r="CJ102" i="39"/>
  <c r="KL102" i="39"/>
  <c r="CI102" i="39"/>
  <c r="CH102" i="39"/>
  <c r="KJ102" i="39"/>
  <c r="CG102" i="39"/>
  <c r="GB102" i="39"/>
  <c r="CF102" i="39"/>
  <c r="GA102" i="39"/>
  <c r="CE102" i="39"/>
  <c r="CD102" i="39"/>
  <c r="KF102" i="39"/>
  <c r="BJ102" i="39"/>
  <c r="BI102" i="39"/>
  <c r="BH102" i="39"/>
  <c r="BG102" i="39"/>
  <c r="BF102" i="39"/>
  <c r="BB102" i="39"/>
  <c r="AO102" i="39"/>
  <c r="AJ102" i="39"/>
  <c r="AF102" i="39"/>
  <c r="BE102" i="39"/>
  <c r="AC102" i="39"/>
  <c r="X102" i="39"/>
  <c r="W102" i="39"/>
  <c r="IU102" i="39"/>
  <c r="T102" i="39"/>
  <c r="S102" i="39"/>
  <c r="U102" i="39"/>
  <c r="P102" i="39"/>
  <c r="O102" i="39"/>
  <c r="L102" i="39"/>
  <c r="K102" i="39"/>
  <c r="M102" i="39"/>
  <c r="H102" i="39"/>
  <c r="G102" i="39"/>
  <c r="I102" i="39"/>
  <c r="OI110" i="19"/>
  <c r="OS110" i="19"/>
  <c r="OG110" i="19"/>
  <c r="OF110" i="19"/>
  <c r="OE110" i="19"/>
  <c r="OI109" i="19"/>
  <c r="OS109" i="19"/>
  <c r="OG109" i="19"/>
  <c r="OQ109" i="19"/>
  <c r="OT109" i="19"/>
  <c r="OF109" i="19"/>
  <c r="OE109" i="19"/>
  <c r="OI108" i="19"/>
  <c r="OS108" i="19"/>
  <c r="OG108" i="19"/>
  <c r="OQ108" i="19"/>
  <c r="OT108" i="19"/>
  <c r="OF108" i="19"/>
  <c r="OE108" i="19"/>
  <c r="PP113" i="19"/>
  <c r="PO113" i="19"/>
  <c r="OZ113" i="19"/>
  <c r="NS113" i="19"/>
  <c r="NR113" i="19"/>
  <c r="NQ113" i="19"/>
  <c r="NP113" i="19"/>
  <c r="NO113" i="19"/>
  <c r="NN113" i="19"/>
  <c r="NM113" i="19"/>
  <c r="KT113" i="19"/>
  <c r="KB113" i="19"/>
  <c r="KA113" i="19"/>
  <c r="JZ113" i="19"/>
  <c r="JY113" i="19"/>
  <c r="JX113" i="19"/>
  <c r="JW113" i="19"/>
  <c r="JV113" i="19"/>
  <c r="JU113" i="19"/>
  <c r="JT113" i="19"/>
  <c r="JS113" i="19"/>
  <c r="JR113" i="19"/>
  <c r="JQ113" i="19"/>
  <c r="JP113" i="19"/>
  <c r="JB113" i="19"/>
  <c r="HW113" i="19"/>
  <c r="IY113" i="19"/>
  <c r="IX113" i="19"/>
  <c r="IT113" i="19"/>
  <c r="HF113" i="19"/>
  <c r="HD113" i="19"/>
  <c r="GU113" i="19"/>
  <c r="GS113" i="19"/>
  <c r="GR113" i="19"/>
  <c r="GQ113" i="19"/>
  <c r="GP113" i="19"/>
  <c r="FX113" i="19"/>
  <c r="EH113" i="19"/>
  <c r="EG113" i="19"/>
  <c r="EA113" i="19"/>
  <c r="DZ113" i="19"/>
  <c r="DY113" i="19"/>
  <c r="DX113" i="19"/>
  <c r="DW113" i="19"/>
  <c r="DV113" i="19"/>
  <c r="CP113" i="19"/>
  <c r="CO113" i="19"/>
  <c r="KQ113" i="19"/>
  <c r="CN113" i="19"/>
  <c r="KP113" i="19"/>
  <c r="CM113" i="19"/>
  <c r="KO113" i="19"/>
  <c r="CL113" i="19"/>
  <c r="KN113" i="19"/>
  <c r="CK113" i="19"/>
  <c r="GD113" i="19"/>
  <c r="CJ113" i="19"/>
  <c r="KL113" i="19"/>
  <c r="CI113" i="19"/>
  <c r="KK113" i="19"/>
  <c r="CH113" i="19"/>
  <c r="KJ113" i="19"/>
  <c r="CG113" i="19"/>
  <c r="CF113" i="19"/>
  <c r="KH113" i="19"/>
  <c r="CE113" i="19"/>
  <c r="CD113" i="19"/>
  <c r="KF113" i="19"/>
  <c r="BJ113" i="19"/>
  <c r="BI113" i="19"/>
  <c r="BH113" i="19"/>
  <c r="BG113" i="19"/>
  <c r="IP113" i="19"/>
  <c r="BF113" i="19"/>
  <c r="BB113" i="19"/>
  <c r="AW113" i="19"/>
  <c r="AX113" i="19"/>
  <c r="AU113" i="19"/>
  <c r="AV113" i="19"/>
  <c r="AS113" i="19"/>
  <c r="AT113" i="19"/>
  <c r="AQ113" i="19"/>
  <c r="AR113" i="19"/>
  <c r="AO113" i="19"/>
  <c r="AP113" i="19"/>
  <c r="AF113" i="19"/>
  <c r="BE113" i="19"/>
  <c r="S113" i="19"/>
  <c r="U113" i="19"/>
  <c r="W113" i="19"/>
  <c r="AD113" i="19"/>
  <c r="AC113" i="19"/>
  <c r="X113" i="19"/>
  <c r="T113" i="19"/>
  <c r="P113" i="19"/>
  <c r="O113" i="19"/>
  <c r="Q113" i="19"/>
  <c r="L113" i="19"/>
  <c r="H113" i="19"/>
  <c r="PP122" i="19"/>
  <c r="PO122" i="19"/>
  <c r="OZ122" i="19"/>
  <c r="NS122" i="19"/>
  <c r="NR122" i="19"/>
  <c r="NQ122" i="19"/>
  <c r="NP122" i="19"/>
  <c r="NO122" i="19"/>
  <c r="NN122" i="19"/>
  <c r="NM122" i="19"/>
  <c r="KT122" i="19"/>
  <c r="KB122" i="19"/>
  <c r="KA122" i="19"/>
  <c r="JZ122" i="19"/>
  <c r="JY122" i="19"/>
  <c r="JX122" i="19"/>
  <c r="JW122" i="19"/>
  <c r="JV122" i="19"/>
  <c r="JU122" i="19"/>
  <c r="JT122" i="19"/>
  <c r="JS122" i="19"/>
  <c r="JQ122" i="19"/>
  <c r="JR122" i="19"/>
  <c r="JP122" i="19"/>
  <c r="JB122" i="19"/>
  <c r="HW122" i="19"/>
  <c r="IY122" i="19"/>
  <c r="IX122" i="19"/>
  <c r="IT122" i="19"/>
  <c r="HF122" i="19"/>
  <c r="HD122" i="19"/>
  <c r="GU122" i="19"/>
  <c r="GS122" i="19"/>
  <c r="GR122" i="19"/>
  <c r="GQ122" i="19"/>
  <c r="GP122" i="19"/>
  <c r="FX122" i="19"/>
  <c r="EH122" i="19"/>
  <c r="EG122" i="19"/>
  <c r="EA122" i="19"/>
  <c r="DZ122" i="19"/>
  <c r="DY122" i="19"/>
  <c r="DW122" i="19"/>
  <c r="DX122" i="19"/>
  <c r="DV122" i="19"/>
  <c r="CP122" i="19"/>
  <c r="KR122" i="19"/>
  <c r="CO122" i="19"/>
  <c r="KQ122" i="19"/>
  <c r="CN122" i="19"/>
  <c r="KP122" i="19"/>
  <c r="CM122" i="19"/>
  <c r="KO122" i="19"/>
  <c r="CL122" i="19"/>
  <c r="KN122" i="19"/>
  <c r="CK122" i="19"/>
  <c r="GD122" i="19"/>
  <c r="CJ122" i="19"/>
  <c r="KL122" i="19"/>
  <c r="CI122" i="19"/>
  <c r="CH122" i="19"/>
  <c r="KJ122" i="19"/>
  <c r="CG122" i="19"/>
  <c r="KI122" i="19"/>
  <c r="CF122" i="19"/>
  <c r="CE122" i="19"/>
  <c r="KG122" i="19"/>
  <c r="CD122" i="19"/>
  <c r="KF122" i="19"/>
  <c r="BJ122" i="19"/>
  <c r="BI122" i="19"/>
  <c r="BH122" i="19"/>
  <c r="BG122" i="19"/>
  <c r="BF122" i="19"/>
  <c r="BB122" i="19"/>
  <c r="AW122" i="19"/>
  <c r="AX122" i="19"/>
  <c r="AU122" i="19"/>
  <c r="AS122" i="19"/>
  <c r="AT122" i="19"/>
  <c r="AQ122" i="19"/>
  <c r="AR122" i="19"/>
  <c r="AO122" i="19"/>
  <c r="AP122" i="19"/>
  <c r="AF122" i="19"/>
  <c r="BE122" i="19"/>
  <c r="AD122" i="19"/>
  <c r="AC122" i="19"/>
  <c r="X122" i="19"/>
  <c r="W122" i="19"/>
  <c r="Y122" i="19"/>
  <c r="T122" i="19"/>
  <c r="S122" i="19"/>
  <c r="P122" i="19"/>
  <c r="O122" i="19"/>
  <c r="Q122" i="19"/>
  <c r="L122" i="19"/>
  <c r="K122" i="19"/>
  <c r="H122" i="19"/>
  <c r="PP121" i="19"/>
  <c r="PO121" i="19"/>
  <c r="OZ121" i="19"/>
  <c r="NS121" i="19"/>
  <c r="NR121" i="19"/>
  <c r="NQ121" i="19"/>
  <c r="NP121" i="19"/>
  <c r="NO121" i="19"/>
  <c r="NN121" i="19"/>
  <c r="NM121" i="19"/>
  <c r="KT121" i="19"/>
  <c r="KB121" i="19"/>
  <c r="KA121" i="19"/>
  <c r="JZ121" i="19"/>
  <c r="JY121" i="19"/>
  <c r="JX121" i="19"/>
  <c r="JW121" i="19"/>
  <c r="JV121" i="19"/>
  <c r="JU121" i="19"/>
  <c r="JQ121" i="19"/>
  <c r="JR121" i="19"/>
  <c r="JS121" i="19"/>
  <c r="JT121" i="19"/>
  <c r="JP121" i="19"/>
  <c r="JB121" i="19"/>
  <c r="HW121" i="19"/>
  <c r="IY121" i="19"/>
  <c r="IX121" i="19"/>
  <c r="IT121" i="19"/>
  <c r="HF121" i="19"/>
  <c r="HD121" i="19"/>
  <c r="GU121" i="19"/>
  <c r="GS121" i="19"/>
  <c r="GR121" i="19"/>
  <c r="GP121" i="19"/>
  <c r="GQ121" i="19"/>
  <c r="FX121" i="19"/>
  <c r="EH121" i="19"/>
  <c r="EG121" i="19"/>
  <c r="EA121" i="19"/>
  <c r="DZ121" i="19"/>
  <c r="DW121" i="19"/>
  <c r="DX121" i="19"/>
  <c r="DY121" i="19"/>
  <c r="DV121" i="19"/>
  <c r="CP121" i="19"/>
  <c r="CO121" i="19"/>
  <c r="KQ121" i="19"/>
  <c r="CN121" i="19"/>
  <c r="KP121" i="19"/>
  <c r="CM121" i="19"/>
  <c r="KO121" i="19"/>
  <c r="CL121" i="19"/>
  <c r="KN121" i="19"/>
  <c r="CK121" i="19"/>
  <c r="CJ121" i="19"/>
  <c r="KL121" i="19"/>
  <c r="CI121" i="19"/>
  <c r="GC121" i="19"/>
  <c r="CH121" i="19"/>
  <c r="KJ121" i="19"/>
  <c r="CG121" i="19"/>
  <c r="KI121" i="19"/>
  <c r="CF121" i="19"/>
  <c r="CE121" i="19"/>
  <c r="CD121" i="19"/>
  <c r="KF121" i="19"/>
  <c r="BJ121" i="19"/>
  <c r="BI121" i="19"/>
  <c r="BH121" i="19"/>
  <c r="BG121" i="19"/>
  <c r="IP121" i="19"/>
  <c r="BF121" i="19"/>
  <c r="BB121" i="19"/>
  <c r="PG121" i="19"/>
  <c r="AW121" i="19"/>
  <c r="AX121" i="19"/>
  <c r="AU121" i="19"/>
  <c r="AS121" i="19"/>
  <c r="AT121" i="19"/>
  <c r="AQ121" i="19"/>
  <c r="AR121" i="19"/>
  <c r="AO121" i="19"/>
  <c r="AP121" i="19"/>
  <c r="AF121" i="19"/>
  <c r="BE121" i="19"/>
  <c r="AD121" i="19"/>
  <c r="AC121" i="19"/>
  <c r="X121" i="19"/>
  <c r="W121" i="19"/>
  <c r="IU121" i="19"/>
  <c r="T121" i="19"/>
  <c r="S121" i="19"/>
  <c r="U121" i="19"/>
  <c r="P121" i="19"/>
  <c r="O121" i="19"/>
  <c r="Q121" i="19"/>
  <c r="L121" i="19"/>
  <c r="K121" i="19"/>
  <c r="H121" i="19"/>
  <c r="PP120" i="19"/>
  <c r="PO120" i="19"/>
  <c r="OZ120" i="19"/>
  <c r="NS120" i="19"/>
  <c r="NR120" i="19"/>
  <c r="NQ120" i="19"/>
  <c r="NP120" i="19"/>
  <c r="NO120" i="19"/>
  <c r="NN120" i="19"/>
  <c r="NM120" i="19"/>
  <c r="KT120" i="19"/>
  <c r="KB120" i="19"/>
  <c r="KA120" i="19"/>
  <c r="JZ120" i="19"/>
  <c r="JY120" i="19"/>
  <c r="JX120" i="19"/>
  <c r="JW120" i="19"/>
  <c r="JV120" i="19"/>
  <c r="JU120" i="19"/>
  <c r="JT120" i="19"/>
  <c r="JS120" i="19"/>
  <c r="JR120" i="19"/>
  <c r="JQ120" i="19"/>
  <c r="JP120" i="19"/>
  <c r="JB120" i="19"/>
  <c r="HW120" i="19"/>
  <c r="IY120" i="19"/>
  <c r="IX120" i="19"/>
  <c r="IT120" i="19"/>
  <c r="HF120" i="19"/>
  <c r="HD120" i="19"/>
  <c r="GU120" i="19"/>
  <c r="GP120" i="19"/>
  <c r="GS120" i="19"/>
  <c r="GR120" i="19"/>
  <c r="GQ120" i="19"/>
  <c r="FX120" i="19"/>
  <c r="EH120" i="19"/>
  <c r="EG120" i="19"/>
  <c r="EA120" i="19"/>
  <c r="DZ120" i="19"/>
  <c r="DY120" i="19"/>
  <c r="DX120" i="19"/>
  <c r="DW120" i="19"/>
  <c r="DV120" i="19"/>
  <c r="CP120" i="19"/>
  <c r="GE120" i="19"/>
  <c r="CO120" i="19"/>
  <c r="KQ120" i="19"/>
  <c r="CN120" i="19"/>
  <c r="KP120" i="19"/>
  <c r="CM120" i="19"/>
  <c r="KO120" i="19"/>
  <c r="CL120" i="19"/>
  <c r="KN120" i="19"/>
  <c r="CK120" i="19"/>
  <c r="CJ120" i="19"/>
  <c r="KL120" i="19"/>
  <c r="CI120" i="19"/>
  <c r="CH120" i="19"/>
  <c r="KJ120" i="19"/>
  <c r="CG120" i="19"/>
  <c r="KI120" i="19"/>
  <c r="CF120" i="19"/>
  <c r="GA120" i="19"/>
  <c r="CE120" i="19"/>
  <c r="CD120" i="19"/>
  <c r="KF120" i="19"/>
  <c r="BJ120" i="19"/>
  <c r="BF120" i="19"/>
  <c r="BG120" i="19"/>
  <c r="IP120" i="19"/>
  <c r="IQ120" i="19"/>
  <c r="BH120" i="19"/>
  <c r="BI120" i="19"/>
  <c r="BB120" i="19"/>
  <c r="PG120" i="19"/>
  <c r="AW120" i="19"/>
  <c r="AU120" i="19"/>
  <c r="AV120" i="19"/>
  <c r="AS120" i="19"/>
  <c r="AT120" i="19"/>
  <c r="AQ120" i="19"/>
  <c r="AR120" i="19"/>
  <c r="AO120" i="19"/>
  <c r="AP120" i="19"/>
  <c r="AF120" i="19"/>
  <c r="BE120" i="19"/>
  <c r="AD120" i="19"/>
  <c r="AC120" i="19"/>
  <c r="X120" i="19"/>
  <c r="W120" i="19"/>
  <c r="Y120" i="19"/>
  <c r="T120" i="19"/>
  <c r="S120" i="19"/>
  <c r="U120" i="19"/>
  <c r="P120" i="19"/>
  <c r="O120" i="19"/>
  <c r="Q120" i="19"/>
  <c r="L120" i="19"/>
  <c r="K120" i="19"/>
  <c r="H120" i="19"/>
  <c r="PP119" i="19"/>
  <c r="PO119" i="19"/>
  <c r="OZ119" i="19"/>
  <c r="NS119" i="19"/>
  <c r="NR119" i="19"/>
  <c r="NQ119" i="19"/>
  <c r="NP119" i="19"/>
  <c r="NM119" i="19"/>
  <c r="NN119" i="19"/>
  <c r="NO119" i="19"/>
  <c r="KT119" i="19"/>
  <c r="KB119" i="19"/>
  <c r="KA119" i="19"/>
  <c r="JZ119" i="19"/>
  <c r="JY119" i="19"/>
  <c r="JX119" i="19"/>
  <c r="JW119" i="19"/>
  <c r="JV119" i="19"/>
  <c r="JQ119" i="19"/>
  <c r="JR119" i="19"/>
  <c r="JS119" i="19"/>
  <c r="JT119" i="19"/>
  <c r="JU119" i="19"/>
  <c r="JP119" i="19"/>
  <c r="JB119" i="19"/>
  <c r="HW119" i="19"/>
  <c r="HZ119" i="19"/>
  <c r="HY119" i="19"/>
  <c r="IY119" i="19"/>
  <c r="IX119" i="19"/>
  <c r="IT119" i="19"/>
  <c r="HF119" i="19"/>
  <c r="HD119" i="19"/>
  <c r="GU119" i="19"/>
  <c r="GS119" i="19"/>
  <c r="GR119" i="19"/>
  <c r="GQ119" i="19"/>
  <c r="GP119" i="19"/>
  <c r="FX119" i="19"/>
  <c r="EH119" i="19"/>
  <c r="EG119" i="19"/>
  <c r="EA119" i="19"/>
  <c r="DZ119" i="19"/>
  <c r="DY119" i="19"/>
  <c r="DX119" i="19"/>
  <c r="DW119" i="19"/>
  <c r="DV119" i="19"/>
  <c r="CP119" i="19"/>
  <c r="CO119" i="19"/>
  <c r="KQ119" i="19"/>
  <c r="CN119" i="19"/>
  <c r="KP119" i="19"/>
  <c r="CM119" i="19"/>
  <c r="KO119" i="19"/>
  <c r="CL119" i="19"/>
  <c r="KN119" i="19"/>
  <c r="CK119" i="19"/>
  <c r="KM119" i="19"/>
  <c r="CJ119" i="19"/>
  <c r="KL119" i="19"/>
  <c r="CI119" i="19"/>
  <c r="CH119" i="19"/>
  <c r="KJ119" i="19"/>
  <c r="CG119" i="19"/>
  <c r="KI119" i="19"/>
  <c r="CF119" i="19"/>
  <c r="CE119" i="19"/>
  <c r="CD119" i="19"/>
  <c r="KF119" i="19"/>
  <c r="BJ119" i="19"/>
  <c r="BI119" i="19"/>
  <c r="BH119" i="19"/>
  <c r="BG119" i="19"/>
  <c r="IP119" i="19"/>
  <c r="BF119" i="19"/>
  <c r="BB119" i="19"/>
  <c r="AW119" i="19"/>
  <c r="AX119" i="19"/>
  <c r="AU119" i="19"/>
  <c r="AS119" i="19"/>
  <c r="AT119" i="19"/>
  <c r="AQ119" i="19"/>
  <c r="AR119" i="19"/>
  <c r="AO119" i="19"/>
  <c r="AP119" i="19"/>
  <c r="AF119" i="19"/>
  <c r="BE119" i="19"/>
  <c r="S119" i="19"/>
  <c r="W119" i="19"/>
  <c r="IU119" i="19"/>
  <c r="AD119" i="19"/>
  <c r="AC119" i="19"/>
  <c r="X119" i="19"/>
  <c r="T119" i="19"/>
  <c r="P119" i="19"/>
  <c r="O119" i="19"/>
  <c r="Q119" i="19"/>
  <c r="L119" i="19"/>
  <c r="K119" i="19"/>
  <c r="H119" i="19"/>
  <c r="PP118" i="19"/>
  <c r="PO118" i="19"/>
  <c r="OZ118" i="19"/>
  <c r="NS118" i="19"/>
  <c r="NR118" i="19"/>
  <c r="NQ118" i="19"/>
  <c r="NP118" i="19"/>
  <c r="NM118" i="19"/>
  <c r="NN118" i="19"/>
  <c r="NO118" i="19"/>
  <c r="KT118" i="19"/>
  <c r="KB118" i="19"/>
  <c r="KA118" i="19"/>
  <c r="JZ118" i="19"/>
  <c r="JY118" i="19"/>
  <c r="JX118" i="19"/>
  <c r="JW118" i="19"/>
  <c r="JV118" i="19"/>
  <c r="JU118" i="19"/>
  <c r="JT118" i="19"/>
  <c r="JS118" i="19"/>
  <c r="JR118" i="19"/>
  <c r="JQ118" i="19"/>
  <c r="JP118" i="19"/>
  <c r="JB118" i="19"/>
  <c r="HW118" i="19"/>
  <c r="IY118" i="19"/>
  <c r="IX118" i="19"/>
  <c r="IT118" i="19"/>
  <c r="HF118" i="19"/>
  <c r="HD118" i="19"/>
  <c r="GU118" i="19"/>
  <c r="GS118" i="19"/>
  <c r="GR118" i="19"/>
  <c r="GQ118" i="19"/>
  <c r="GP118" i="19"/>
  <c r="FX118" i="19"/>
  <c r="EH118" i="19"/>
  <c r="EG118" i="19"/>
  <c r="EA118" i="19"/>
  <c r="DW118" i="19"/>
  <c r="DX118" i="19"/>
  <c r="DY118" i="19"/>
  <c r="DZ118" i="19"/>
  <c r="DV118" i="19"/>
  <c r="CP118" i="19"/>
  <c r="CO118" i="19"/>
  <c r="KQ118" i="19"/>
  <c r="CN118" i="19"/>
  <c r="KP118" i="19"/>
  <c r="CM118" i="19"/>
  <c r="KO118" i="19"/>
  <c r="CL118" i="19"/>
  <c r="KN118" i="19"/>
  <c r="CK118" i="19"/>
  <c r="CJ118" i="19"/>
  <c r="KL118" i="19"/>
  <c r="CI118" i="19"/>
  <c r="KK118" i="19"/>
  <c r="CH118" i="19"/>
  <c r="KJ118" i="19"/>
  <c r="CG118" i="19"/>
  <c r="KI118" i="19"/>
  <c r="CF118" i="19"/>
  <c r="CE118" i="19"/>
  <c r="CD118" i="19"/>
  <c r="KF118" i="19"/>
  <c r="BJ118" i="19"/>
  <c r="BF118" i="19"/>
  <c r="BG118" i="19"/>
  <c r="IP118" i="19"/>
  <c r="BH118" i="19"/>
  <c r="BI118" i="19"/>
  <c r="BB118" i="19"/>
  <c r="AW118" i="19"/>
  <c r="BA118" i="19"/>
  <c r="AU118" i="19"/>
  <c r="AV118" i="19"/>
  <c r="AS118" i="19"/>
  <c r="AT118" i="19"/>
  <c r="AQ118" i="19"/>
  <c r="AR118" i="19"/>
  <c r="AO118" i="19"/>
  <c r="AP118" i="19"/>
  <c r="AF118" i="19"/>
  <c r="BE118" i="19"/>
  <c r="AD118" i="19"/>
  <c r="AC118" i="19"/>
  <c r="X118" i="19"/>
  <c r="W118" i="19"/>
  <c r="T118" i="19"/>
  <c r="S118" i="19"/>
  <c r="P118" i="19"/>
  <c r="O118" i="19"/>
  <c r="Q118" i="19"/>
  <c r="L118" i="19"/>
  <c r="K118" i="19"/>
  <c r="H118" i="19"/>
  <c r="PP117" i="19"/>
  <c r="PO117" i="19"/>
  <c r="OZ117" i="19"/>
  <c r="NS117" i="19"/>
  <c r="NR117" i="19"/>
  <c r="NQ117" i="19"/>
  <c r="NP117" i="19"/>
  <c r="NO117" i="19"/>
  <c r="NN117" i="19"/>
  <c r="NM117" i="19"/>
  <c r="KT117" i="19"/>
  <c r="KB117" i="19"/>
  <c r="KA117" i="19"/>
  <c r="JZ117" i="19"/>
  <c r="JY117" i="19"/>
  <c r="JX117" i="19"/>
  <c r="JW117" i="19"/>
  <c r="JV117" i="19"/>
  <c r="JU117" i="19"/>
  <c r="JT117" i="19"/>
  <c r="JS117" i="19"/>
  <c r="JR117" i="19"/>
  <c r="JQ117" i="19"/>
  <c r="JP117" i="19"/>
  <c r="JB117" i="19"/>
  <c r="HW117" i="19"/>
  <c r="HV117" i="19"/>
  <c r="IY117" i="19"/>
  <c r="IX117" i="19"/>
  <c r="IT117" i="19"/>
  <c r="HF117" i="19"/>
  <c r="HD117" i="19"/>
  <c r="GU117" i="19"/>
  <c r="GS117" i="19"/>
  <c r="GR117" i="19"/>
  <c r="GQ117" i="19"/>
  <c r="GP117" i="19"/>
  <c r="FX117" i="19"/>
  <c r="EH117" i="19"/>
  <c r="EG117" i="19"/>
  <c r="EA117" i="19"/>
  <c r="DZ117" i="19"/>
  <c r="DY117" i="19"/>
  <c r="DX117" i="19"/>
  <c r="DW117" i="19"/>
  <c r="DV117" i="19"/>
  <c r="CP117" i="19"/>
  <c r="CO117" i="19"/>
  <c r="KQ117" i="19"/>
  <c r="CN117" i="19"/>
  <c r="KP117" i="19"/>
  <c r="CM117" i="19"/>
  <c r="KO117" i="19"/>
  <c r="CL117" i="19"/>
  <c r="KN117" i="19"/>
  <c r="CK117" i="19"/>
  <c r="GD117" i="19"/>
  <c r="CJ117" i="19"/>
  <c r="KL117" i="19"/>
  <c r="CI117" i="19"/>
  <c r="GC117" i="19"/>
  <c r="CH117" i="19"/>
  <c r="KJ117" i="19"/>
  <c r="CG117" i="19"/>
  <c r="CF117" i="19"/>
  <c r="KH117" i="19"/>
  <c r="CE117" i="19"/>
  <c r="KG117" i="19"/>
  <c r="CD117" i="19"/>
  <c r="KF117" i="19"/>
  <c r="BJ117" i="19"/>
  <c r="BI117" i="19"/>
  <c r="BH117" i="19"/>
  <c r="BG117" i="19"/>
  <c r="IP117" i="19"/>
  <c r="BF117" i="19"/>
  <c r="BB117" i="19"/>
  <c r="PG117" i="19"/>
  <c r="AW117" i="19"/>
  <c r="AU117" i="19"/>
  <c r="AV117" i="19"/>
  <c r="AS117" i="19"/>
  <c r="AT117" i="19"/>
  <c r="AQ117" i="19"/>
  <c r="AR117" i="19"/>
  <c r="AO117" i="19"/>
  <c r="AP117" i="19"/>
  <c r="AF117" i="19"/>
  <c r="BE117" i="19"/>
  <c r="AD117" i="19"/>
  <c r="AC117" i="19"/>
  <c r="X117" i="19"/>
  <c r="W117" i="19"/>
  <c r="IU117" i="19"/>
  <c r="T117" i="19"/>
  <c r="S117" i="19"/>
  <c r="U117" i="19"/>
  <c r="P117" i="19"/>
  <c r="O117" i="19"/>
  <c r="Q117" i="19"/>
  <c r="L117" i="19"/>
  <c r="K117" i="19"/>
  <c r="H117" i="19"/>
  <c r="PP116" i="19"/>
  <c r="PO116" i="19"/>
  <c r="OZ116" i="19"/>
  <c r="NS116" i="19"/>
  <c r="NR116" i="19"/>
  <c r="NQ116" i="19"/>
  <c r="NP116" i="19"/>
  <c r="NO116" i="19"/>
  <c r="NN116" i="19"/>
  <c r="NM116" i="19"/>
  <c r="KT116" i="19"/>
  <c r="KB116" i="19"/>
  <c r="KA116" i="19"/>
  <c r="JZ116" i="19"/>
  <c r="JY116" i="19"/>
  <c r="JX116" i="19"/>
  <c r="JW116" i="19"/>
  <c r="JV116" i="19"/>
  <c r="JU116" i="19"/>
  <c r="JT116" i="19"/>
  <c r="JS116" i="19"/>
  <c r="JR116" i="19"/>
  <c r="JQ116" i="19"/>
  <c r="JP116" i="19"/>
  <c r="JB116" i="19"/>
  <c r="HW116" i="19"/>
  <c r="IY116" i="19"/>
  <c r="IX116" i="19"/>
  <c r="IT116" i="19"/>
  <c r="HF116" i="19"/>
  <c r="HD116" i="19"/>
  <c r="GU116" i="19"/>
  <c r="GS116" i="19"/>
  <c r="GR116" i="19"/>
  <c r="GQ116" i="19"/>
  <c r="GP116" i="19"/>
  <c r="FX116" i="19"/>
  <c r="EH116" i="19"/>
  <c r="EG116" i="19"/>
  <c r="EA116" i="19"/>
  <c r="DZ116" i="19"/>
  <c r="DY116" i="19"/>
  <c r="DX116" i="19"/>
  <c r="DW116" i="19"/>
  <c r="DV116" i="19"/>
  <c r="CP116" i="19"/>
  <c r="CO116" i="19"/>
  <c r="KQ116" i="19"/>
  <c r="CN116" i="19"/>
  <c r="KP116" i="19"/>
  <c r="CM116" i="19"/>
  <c r="KO116" i="19"/>
  <c r="CL116" i="19"/>
  <c r="KN116" i="19"/>
  <c r="CK116" i="19"/>
  <c r="GD116" i="19"/>
  <c r="CJ116" i="19"/>
  <c r="KL116" i="19"/>
  <c r="CI116" i="19"/>
  <c r="CF116" i="19"/>
  <c r="GA116" i="19"/>
  <c r="CG116" i="19"/>
  <c r="GB116" i="19"/>
  <c r="CH116" i="19"/>
  <c r="KJ116" i="19"/>
  <c r="CE116" i="19"/>
  <c r="CD116" i="19"/>
  <c r="KF116" i="19"/>
  <c r="BJ116" i="19"/>
  <c r="BF116" i="19"/>
  <c r="BG116" i="19"/>
  <c r="IP116" i="19"/>
  <c r="IO116" i="19"/>
  <c r="BH116" i="19"/>
  <c r="BI116" i="19"/>
  <c r="BB116" i="19"/>
  <c r="PG116" i="19"/>
  <c r="AW116" i="19"/>
  <c r="AU116" i="19"/>
  <c r="AV116" i="19"/>
  <c r="AS116" i="19"/>
  <c r="AT116" i="19"/>
  <c r="AQ116" i="19"/>
  <c r="AR116" i="19"/>
  <c r="AO116" i="19"/>
  <c r="AP116" i="19"/>
  <c r="AF116" i="19"/>
  <c r="BE116" i="19"/>
  <c r="AD116" i="19"/>
  <c r="AC116" i="19"/>
  <c r="X116" i="19"/>
  <c r="W116" i="19"/>
  <c r="T116" i="19"/>
  <c r="S116" i="19"/>
  <c r="P116" i="19"/>
  <c r="O116" i="19"/>
  <c r="Q116" i="19"/>
  <c r="L116" i="19"/>
  <c r="K116" i="19"/>
  <c r="H116" i="19"/>
  <c r="PP115" i="19"/>
  <c r="PO115" i="19"/>
  <c r="OZ115" i="19"/>
  <c r="NS115" i="19"/>
  <c r="NR115" i="19"/>
  <c r="NQ115" i="19"/>
  <c r="NP115" i="19"/>
  <c r="NM115" i="19"/>
  <c r="NN115" i="19"/>
  <c r="NO115" i="19"/>
  <c r="KT115" i="19"/>
  <c r="KB115" i="19"/>
  <c r="KA115" i="19"/>
  <c r="JZ115" i="19"/>
  <c r="JY115" i="19"/>
  <c r="JX115" i="19"/>
  <c r="JW115" i="19"/>
  <c r="JV115" i="19"/>
  <c r="JU115" i="19"/>
  <c r="JT115" i="19"/>
  <c r="JS115" i="19"/>
  <c r="JR115" i="19"/>
  <c r="JQ115" i="19"/>
  <c r="JP115" i="19"/>
  <c r="JB115" i="19"/>
  <c r="HW115" i="19"/>
  <c r="IY115" i="19"/>
  <c r="IX115" i="19"/>
  <c r="IT115" i="19"/>
  <c r="HF115" i="19"/>
  <c r="HD115" i="19"/>
  <c r="GU115" i="19"/>
  <c r="GS115" i="19"/>
  <c r="GR115" i="19"/>
  <c r="GQ115" i="19"/>
  <c r="GP115" i="19"/>
  <c r="FX115" i="19"/>
  <c r="EH115" i="19"/>
  <c r="EG115" i="19"/>
  <c r="EA115" i="19"/>
  <c r="DZ115" i="19"/>
  <c r="DY115" i="19"/>
  <c r="DW115" i="19"/>
  <c r="DX115" i="19"/>
  <c r="DV115" i="19"/>
  <c r="CP115" i="19"/>
  <c r="CO115" i="19"/>
  <c r="KQ115" i="19"/>
  <c r="CN115" i="19"/>
  <c r="KP115" i="19"/>
  <c r="CM115" i="19"/>
  <c r="KO115" i="19"/>
  <c r="CL115" i="19"/>
  <c r="KN115" i="19"/>
  <c r="CK115" i="19"/>
  <c r="GD115" i="19"/>
  <c r="CJ115" i="19"/>
  <c r="KL115" i="19"/>
  <c r="CI115" i="19"/>
  <c r="CH115" i="19"/>
  <c r="KJ115" i="19"/>
  <c r="CG115" i="19"/>
  <c r="GB115" i="19"/>
  <c r="CF115" i="19"/>
  <c r="GA115" i="19"/>
  <c r="CE115" i="19"/>
  <c r="CD115" i="19"/>
  <c r="KF115" i="19"/>
  <c r="BJ115" i="19"/>
  <c r="BI115" i="19"/>
  <c r="BH115" i="19"/>
  <c r="BG115" i="19"/>
  <c r="BF115" i="19"/>
  <c r="BB115" i="19"/>
  <c r="AW115" i="19"/>
  <c r="AX115" i="19"/>
  <c r="AU115" i="19"/>
  <c r="AV115" i="19"/>
  <c r="AS115" i="19"/>
  <c r="AT115" i="19"/>
  <c r="AQ115" i="19"/>
  <c r="AR115" i="19"/>
  <c r="AO115" i="19"/>
  <c r="AP115" i="19"/>
  <c r="AF115" i="19"/>
  <c r="BE115" i="19"/>
  <c r="AD115" i="19"/>
  <c r="AC115" i="19"/>
  <c r="X115" i="19"/>
  <c r="W115" i="19"/>
  <c r="T115" i="19"/>
  <c r="S115" i="19"/>
  <c r="P115" i="19"/>
  <c r="O115" i="19"/>
  <c r="Q115" i="19"/>
  <c r="L115" i="19"/>
  <c r="K115" i="19"/>
  <c r="H115" i="19"/>
  <c r="PP114" i="19"/>
  <c r="PO114" i="19"/>
  <c r="OZ114" i="19"/>
  <c r="NS114" i="19"/>
  <c r="NR114" i="19"/>
  <c r="NQ114" i="19"/>
  <c r="NP114" i="19"/>
  <c r="NO114" i="19"/>
  <c r="NN114" i="19"/>
  <c r="NM114" i="19"/>
  <c r="KT114" i="19"/>
  <c r="KB114" i="19"/>
  <c r="KA114" i="19"/>
  <c r="JZ114" i="19"/>
  <c r="JY114" i="19"/>
  <c r="JX114" i="19"/>
  <c r="JQ114" i="19"/>
  <c r="JR114" i="19"/>
  <c r="JS114" i="19"/>
  <c r="JT114" i="19"/>
  <c r="JU114" i="19"/>
  <c r="JV114" i="19"/>
  <c r="JW114" i="19"/>
  <c r="JP114" i="19"/>
  <c r="JB114" i="19"/>
  <c r="HW114" i="19"/>
  <c r="HZ114" i="19"/>
  <c r="HY114" i="19"/>
  <c r="IY114" i="19"/>
  <c r="IX114" i="19"/>
  <c r="IT114" i="19"/>
  <c r="HF114" i="19"/>
  <c r="HD114" i="19"/>
  <c r="BH114" i="19"/>
  <c r="BI114" i="19"/>
  <c r="GU114" i="19"/>
  <c r="GS114" i="19"/>
  <c r="GR114" i="19"/>
  <c r="GQ114" i="19"/>
  <c r="GP114" i="19"/>
  <c r="FX114" i="19"/>
  <c r="EH114" i="19"/>
  <c r="EG114" i="19"/>
  <c r="EA114" i="19"/>
  <c r="DZ114" i="19"/>
  <c r="DY114" i="19"/>
  <c r="DX114" i="19"/>
  <c r="DW114" i="19"/>
  <c r="DV114" i="19"/>
  <c r="CP114" i="19"/>
  <c r="CO114" i="19"/>
  <c r="KQ114" i="19"/>
  <c r="CN114" i="19"/>
  <c r="KP114" i="19"/>
  <c r="CM114" i="19"/>
  <c r="KO114" i="19"/>
  <c r="CL114" i="19"/>
  <c r="CK114" i="19"/>
  <c r="GD114" i="19"/>
  <c r="CJ114" i="19"/>
  <c r="KL114" i="19"/>
  <c r="CI114" i="19"/>
  <c r="CH114" i="19"/>
  <c r="KJ114" i="19"/>
  <c r="CG114" i="19"/>
  <c r="GB114" i="19"/>
  <c r="CF114" i="19"/>
  <c r="CE114" i="19"/>
  <c r="CD114" i="19"/>
  <c r="KF114" i="19"/>
  <c r="BJ114" i="19"/>
  <c r="BG114" i="19"/>
  <c r="IP114" i="19"/>
  <c r="BF114" i="19"/>
  <c r="BB114" i="19"/>
  <c r="AW114" i="19"/>
  <c r="AU114" i="19"/>
  <c r="AS114" i="19"/>
  <c r="AT114" i="19"/>
  <c r="AQ114" i="19"/>
  <c r="AR114" i="19"/>
  <c r="AO114" i="19"/>
  <c r="AP114" i="19"/>
  <c r="AF114" i="19"/>
  <c r="BE114" i="19"/>
  <c r="S114" i="19"/>
  <c r="U114" i="19"/>
  <c r="W114" i="19"/>
  <c r="IU114" i="19"/>
  <c r="AD114" i="19"/>
  <c r="AC114" i="19"/>
  <c r="X114" i="19"/>
  <c r="T114" i="19"/>
  <c r="P114" i="19"/>
  <c r="O114" i="19"/>
  <c r="Q114" i="19"/>
  <c r="L114" i="19"/>
  <c r="K114" i="19"/>
  <c r="H114" i="19"/>
  <c r="KI23" i="22"/>
  <c r="KM24" i="22"/>
  <c r="GE67" i="35"/>
  <c r="GE34" i="32"/>
  <c r="I16" i="22"/>
  <c r="BB17" i="22"/>
  <c r="CF54" i="21"/>
  <c r="AD108" i="19"/>
  <c r="AD109" i="19"/>
  <c r="AD110" i="19"/>
  <c r="AD111" i="19"/>
  <c r="AD112" i="19"/>
  <c r="AD123" i="19"/>
  <c r="AE24" i="35"/>
  <c r="AE23" i="35"/>
  <c r="NZ78" i="39"/>
  <c r="NZ61" i="39"/>
  <c r="NZ52" i="39"/>
  <c r="NY107" i="39"/>
  <c r="NY101" i="39"/>
  <c r="NY100" i="39"/>
  <c r="NY99" i="39"/>
  <c r="NY98" i="39"/>
  <c r="NY97" i="39"/>
  <c r="NY96" i="39"/>
  <c r="NY95" i="39"/>
  <c r="NY94" i="39"/>
  <c r="NY93" i="39"/>
  <c r="NY92" i="39"/>
  <c r="NY91" i="39"/>
  <c r="NY90" i="39"/>
  <c r="NY89" i="39"/>
  <c r="NY88" i="39"/>
  <c r="NY87" i="39"/>
  <c r="NZ109" i="19"/>
  <c r="NZ108" i="19"/>
  <c r="NY110" i="19"/>
  <c r="NY109" i="19"/>
  <c r="NY108" i="19"/>
  <c r="AE32" i="31"/>
  <c r="AE56" i="39"/>
  <c r="AE61" i="19"/>
  <c r="AE38" i="19"/>
  <c r="AE42" i="21"/>
  <c r="AE41" i="21"/>
  <c r="AE13" i="21"/>
  <c r="AE27" i="32"/>
  <c r="AE36" i="32"/>
  <c r="AE22" i="31"/>
  <c r="Z88" i="39"/>
  <c r="AF88" i="39"/>
  <c r="BE88" i="39"/>
  <c r="Z78" i="39"/>
  <c r="Z110" i="19"/>
  <c r="XFC36" i="32"/>
  <c r="XFD36" i="32"/>
  <c r="XFD60" i="31"/>
  <c r="XFC60" i="31"/>
  <c r="XFC57" i="21"/>
  <c r="XFD57" i="21"/>
  <c r="XFC108" i="39"/>
  <c r="XFD108" i="39"/>
  <c r="CD22" i="35"/>
  <c r="CD21" i="35"/>
  <c r="CE21" i="35"/>
  <c r="FZ21" i="35"/>
  <c r="CF22" i="35"/>
  <c r="GA22" i="35"/>
  <c r="CG22" i="35"/>
  <c r="GB22" i="35"/>
  <c r="CI22" i="35"/>
  <c r="GC22" i="35"/>
  <c r="CK22" i="35"/>
  <c r="GD22" i="35"/>
  <c r="CP22" i="35"/>
  <c r="CF21" i="35"/>
  <c r="CG21" i="35"/>
  <c r="CI21" i="35"/>
  <c r="GC21" i="35"/>
  <c r="CK21" i="35"/>
  <c r="GD21" i="35"/>
  <c r="CP21" i="35"/>
  <c r="GE21" i="35"/>
  <c r="AE22" i="35"/>
  <c r="AE21" i="35"/>
  <c r="Z89" i="19"/>
  <c r="Z43" i="21"/>
  <c r="BH43" i="21"/>
  <c r="BI43" i="21"/>
  <c r="HD43" i="21"/>
  <c r="OG43" i="21"/>
  <c r="O43" i="21"/>
  <c r="OG9" i="21"/>
  <c r="OQ9" i="21"/>
  <c r="OT9" i="21"/>
  <c r="BH9" i="21"/>
  <c r="BI9" i="21"/>
  <c r="HD9" i="21"/>
  <c r="O9" i="21"/>
  <c r="OP9" i="21"/>
  <c r="OG10" i="21"/>
  <c r="OQ10" i="21"/>
  <c r="OT10" i="21"/>
  <c r="BH10" i="21"/>
  <c r="BI10" i="21"/>
  <c r="HD10" i="21"/>
  <c r="O10" i="21"/>
  <c r="OP10" i="21"/>
  <c r="OG11" i="21"/>
  <c r="BH11" i="21"/>
  <c r="BI11" i="21"/>
  <c r="HD11" i="21"/>
  <c r="O11" i="21"/>
  <c r="OP11" i="21"/>
  <c r="OG12" i="21"/>
  <c r="OJ12" i="21"/>
  <c r="BH12" i="21"/>
  <c r="BI12" i="21"/>
  <c r="HD12" i="21"/>
  <c r="O12" i="21"/>
  <c r="OG13" i="21"/>
  <c r="OQ13" i="21"/>
  <c r="BH13" i="21"/>
  <c r="BI13" i="21"/>
  <c r="HD13" i="21"/>
  <c r="O13" i="21"/>
  <c r="OP13" i="21"/>
  <c r="OG14" i="21"/>
  <c r="OQ14" i="21"/>
  <c r="BH14" i="21"/>
  <c r="BI14" i="21"/>
  <c r="HD14" i="21"/>
  <c r="O14" i="21"/>
  <c r="OP14" i="21"/>
  <c r="OG15" i="21"/>
  <c r="BH15" i="21"/>
  <c r="BI15" i="21"/>
  <c r="HD15" i="21"/>
  <c r="O15" i="21"/>
  <c r="OG16" i="21"/>
  <c r="OQ16" i="21"/>
  <c r="OT16" i="21"/>
  <c r="BH16" i="21"/>
  <c r="BI16" i="21"/>
  <c r="HD16" i="21"/>
  <c r="O16" i="21"/>
  <c r="OP16" i="21"/>
  <c r="OG17" i="21"/>
  <c r="BH17" i="21"/>
  <c r="BI17" i="21"/>
  <c r="HD17" i="21"/>
  <c r="O17" i="21"/>
  <c r="OP17" i="21"/>
  <c r="OG18" i="21"/>
  <c r="BH18" i="21"/>
  <c r="BI18" i="21"/>
  <c r="HD18" i="21"/>
  <c r="O18" i="21"/>
  <c r="OP18" i="21"/>
  <c r="OG19" i="21"/>
  <c r="BH19" i="21"/>
  <c r="BI19" i="21"/>
  <c r="HD19" i="21"/>
  <c r="O19" i="21"/>
  <c r="OP19" i="21"/>
  <c r="OG20" i="21"/>
  <c r="BH20" i="21"/>
  <c r="BI20" i="21"/>
  <c r="HD20" i="21"/>
  <c r="O20" i="21"/>
  <c r="OP20" i="21"/>
  <c r="OG21" i="21"/>
  <c r="BH21" i="21"/>
  <c r="BI21" i="21"/>
  <c r="HD21" i="21"/>
  <c r="O21" i="21"/>
  <c r="OP21" i="21"/>
  <c r="OG22" i="21"/>
  <c r="OJ22" i="21"/>
  <c r="BH22" i="21"/>
  <c r="BI22" i="21"/>
  <c r="HD22" i="21"/>
  <c r="O22" i="21"/>
  <c r="OP22" i="21"/>
  <c r="OG23" i="21"/>
  <c r="BH23" i="21"/>
  <c r="BI23" i="21"/>
  <c r="HD23" i="21"/>
  <c r="O23" i="21"/>
  <c r="OG24" i="21"/>
  <c r="OQ24" i="21"/>
  <c r="OT24" i="21"/>
  <c r="BH24" i="21"/>
  <c r="BI24" i="21"/>
  <c r="HD24" i="21"/>
  <c r="O24" i="21"/>
  <c r="OP24" i="21"/>
  <c r="OG25" i="21"/>
  <c r="OQ25" i="21"/>
  <c r="OT25" i="21"/>
  <c r="BH25" i="21"/>
  <c r="BI25" i="21"/>
  <c r="HD25" i="21"/>
  <c r="O25" i="21"/>
  <c r="OP25" i="21"/>
  <c r="OG26" i="21"/>
  <c r="OQ26" i="21"/>
  <c r="O26" i="21"/>
  <c r="BH26" i="21"/>
  <c r="BI26" i="21"/>
  <c r="HD26" i="21"/>
  <c r="OG27" i="21"/>
  <c r="BH27" i="21"/>
  <c r="BI27" i="21"/>
  <c r="HD27" i="21"/>
  <c r="O27" i="21"/>
  <c r="OG28" i="21"/>
  <c r="OQ28" i="21"/>
  <c r="BH28" i="21"/>
  <c r="BI28" i="21"/>
  <c r="HD28" i="21"/>
  <c r="O28" i="21"/>
  <c r="OP28" i="21"/>
  <c r="OG29" i="21"/>
  <c r="BH29" i="21"/>
  <c r="BI29" i="21"/>
  <c r="HD29" i="21"/>
  <c r="O29" i="21"/>
  <c r="OP29" i="21"/>
  <c r="OG30" i="21"/>
  <c r="OQ30" i="21"/>
  <c r="OT30" i="21"/>
  <c r="BH30" i="21"/>
  <c r="BI30" i="21"/>
  <c r="HD30" i="21"/>
  <c r="O30" i="21"/>
  <c r="OP30" i="21"/>
  <c r="OG31" i="21"/>
  <c r="BH31" i="21"/>
  <c r="BI31" i="21"/>
  <c r="HD31" i="21"/>
  <c r="O31" i="21"/>
  <c r="OG32" i="21"/>
  <c r="OQ32" i="21"/>
  <c r="OT32" i="21"/>
  <c r="BH32" i="21"/>
  <c r="BI32" i="21"/>
  <c r="HD32" i="21"/>
  <c r="O32" i="21"/>
  <c r="OP32" i="21"/>
  <c r="OG33" i="21"/>
  <c r="OQ33" i="21"/>
  <c r="OT33" i="21"/>
  <c r="BH33" i="21"/>
  <c r="BI33" i="21"/>
  <c r="HD33" i="21"/>
  <c r="O33" i="21"/>
  <c r="OP33" i="21"/>
  <c r="OG34" i="21"/>
  <c r="BH34" i="21"/>
  <c r="BI34" i="21"/>
  <c r="HD34" i="21"/>
  <c r="O34" i="21"/>
  <c r="OP34" i="21"/>
  <c r="OG35" i="21"/>
  <c r="OQ35" i="21"/>
  <c r="OT35" i="21"/>
  <c r="BH35" i="21"/>
  <c r="BI35" i="21"/>
  <c r="HD35" i="21"/>
  <c r="O35" i="21"/>
  <c r="OP35" i="21"/>
  <c r="OG36" i="21"/>
  <c r="BH36" i="21"/>
  <c r="BI36" i="21"/>
  <c r="HD36" i="21"/>
  <c r="O36" i="21"/>
  <c r="OP36" i="21"/>
  <c r="OG37" i="21"/>
  <c r="BH37" i="21"/>
  <c r="BI37" i="21"/>
  <c r="HD37" i="21"/>
  <c r="O37" i="21"/>
  <c r="OP37" i="21"/>
  <c r="OG38" i="21"/>
  <c r="OJ38" i="21"/>
  <c r="BH38" i="21"/>
  <c r="BI38" i="21"/>
  <c r="HD38" i="21"/>
  <c r="O38" i="21"/>
  <c r="OP38" i="21"/>
  <c r="OG39" i="21"/>
  <c r="BH39" i="21"/>
  <c r="BI39" i="21"/>
  <c r="HD39" i="21"/>
  <c r="O39" i="21"/>
  <c r="OG40" i="21"/>
  <c r="OJ40" i="21"/>
  <c r="BH40" i="21"/>
  <c r="BI40" i="21"/>
  <c r="HD40" i="21"/>
  <c r="O40" i="21"/>
  <c r="OG41" i="21"/>
  <c r="BH41" i="21"/>
  <c r="BI41" i="21"/>
  <c r="HD41" i="21"/>
  <c r="O41" i="21"/>
  <c r="OP41" i="21"/>
  <c r="OG42" i="21"/>
  <c r="BH42" i="21"/>
  <c r="BI42" i="21"/>
  <c r="HD42" i="21"/>
  <c r="O42" i="21"/>
  <c r="OP42" i="21"/>
  <c r="OI9" i="21"/>
  <c r="OS9" i="21"/>
  <c r="OI10" i="21"/>
  <c r="OS10" i="21"/>
  <c r="OI11" i="21"/>
  <c r="OS11" i="21"/>
  <c r="OI12" i="21"/>
  <c r="OS12" i="21"/>
  <c r="OI13" i="21"/>
  <c r="OS13" i="21"/>
  <c r="OI14" i="21"/>
  <c r="OS14" i="21"/>
  <c r="OI15" i="21"/>
  <c r="OS15" i="21"/>
  <c r="OI16" i="21"/>
  <c r="OS16" i="21"/>
  <c r="OI17" i="21"/>
  <c r="OS17" i="21"/>
  <c r="OI18" i="21"/>
  <c r="OS18" i="21"/>
  <c r="OI19" i="21"/>
  <c r="OS19" i="21"/>
  <c r="OI20" i="21"/>
  <c r="OS20" i="21"/>
  <c r="OI21" i="21"/>
  <c r="OS21" i="21"/>
  <c r="OI22" i="21"/>
  <c r="OS22" i="21"/>
  <c r="OI23" i="21"/>
  <c r="OS23" i="21"/>
  <c r="OI24" i="21"/>
  <c r="OS24" i="21"/>
  <c r="OI25" i="21"/>
  <c r="OS25" i="21"/>
  <c r="OI26" i="21"/>
  <c r="OS26" i="21"/>
  <c r="OI27" i="21"/>
  <c r="OS27" i="21"/>
  <c r="OI28" i="21"/>
  <c r="OS28" i="21"/>
  <c r="OI29" i="21"/>
  <c r="OS29" i="21"/>
  <c r="OI30" i="21"/>
  <c r="OS30" i="21"/>
  <c r="OI31" i="21"/>
  <c r="OS31" i="21"/>
  <c r="OI32" i="21"/>
  <c r="OS32" i="21"/>
  <c r="OI33" i="21"/>
  <c r="OS33" i="21"/>
  <c r="OI34" i="21"/>
  <c r="OS34" i="21"/>
  <c r="OI35" i="21"/>
  <c r="OS35" i="21"/>
  <c r="OI36" i="21"/>
  <c r="OS36" i="21"/>
  <c r="OI37" i="21"/>
  <c r="OS37" i="21"/>
  <c r="OI38" i="21"/>
  <c r="OS38" i="21"/>
  <c r="OI39" i="21"/>
  <c r="OS39" i="21"/>
  <c r="OI40" i="21"/>
  <c r="OS40" i="21"/>
  <c r="OI41" i="21"/>
  <c r="OS41" i="21"/>
  <c r="OI42" i="21"/>
  <c r="OS42" i="21"/>
  <c r="OI43" i="21"/>
  <c r="OS43" i="21"/>
  <c r="K9" i="21"/>
  <c r="OO9" i="21"/>
  <c r="K10" i="21"/>
  <c r="K11" i="21"/>
  <c r="OO11" i="21"/>
  <c r="K12" i="21"/>
  <c r="OO12" i="21"/>
  <c r="K13" i="21"/>
  <c r="K14" i="21"/>
  <c r="K15" i="21"/>
  <c r="OO15" i="21"/>
  <c r="K16" i="21"/>
  <c r="OO16" i="21"/>
  <c r="K17" i="21"/>
  <c r="OO17" i="21"/>
  <c r="K18" i="21"/>
  <c r="K19" i="21"/>
  <c r="OO19" i="21"/>
  <c r="K20" i="21"/>
  <c r="OO20" i="21"/>
  <c r="K21" i="21"/>
  <c r="M21" i="21"/>
  <c r="K22" i="21"/>
  <c r="OO22" i="21"/>
  <c r="K23" i="21"/>
  <c r="OO23" i="21"/>
  <c r="K24" i="21"/>
  <c r="OO24" i="21"/>
  <c r="K25" i="21"/>
  <c r="OO25" i="21"/>
  <c r="K26" i="21"/>
  <c r="K27" i="21"/>
  <c r="OO27" i="21"/>
  <c r="K28" i="21"/>
  <c r="OO28" i="21"/>
  <c r="K29" i="21"/>
  <c r="K30" i="21"/>
  <c r="OO30" i="21"/>
  <c r="K31" i="21"/>
  <c r="OO31" i="21"/>
  <c r="K32" i="21"/>
  <c r="OO32" i="21"/>
  <c r="K33" i="21"/>
  <c r="OO33" i="21"/>
  <c r="K34" i="21"/>
  <c r="K35" i="21"/>
  <c r="OO35" i="21"/>
  <c r="K36" i="21"/>
  <c r="OO36" i="21"/>
  <c r="K37" i="21"/>
  <c r="K38" i="21"/>
  <c r="OO38" i="21"/>
  <c r="K39" i="21"/>
  <c r="OO39" i="21"/>
  <c r="K40" i="21"/>
  <c r="OO40" i="21"/>
  <c r="K41" i="21"/>
  <c r="OO41" i="21"/>
  <c r="K42" i="21"/>
  <c r="K43" i="21"/>
  <c r="OO43" i="21"/>
  <c r="OF43" i="21"/>
  <c r="OF9" i="21"/>
  <c r="OF10" i="21"/>
  <c r="OF11" i="21"/>
  <c r="OF12" i="21"/>
  <c r="OF13" i="21"/>
  <c r="OF14" i="21"/>
  <c r="OF15" i="21"/>
  <c r="OF16" i="21"/>
  <c r="OF17" i="21"/>
  <c r="OF18" i="21"/>
  <c r="OF19" i="21"/>
  <c r="OF20" i="21"/>
  <c r="OF21" i="21"/>
  <c r="OF22" i="21"/>
  <c r="OF23" i="21"/>
  <c r="OF24" i="21"/>
  <c r="OF25" i="21"/>
  <c r="OF26" i="21"/>
  <c r="OF27" i="21"/>
  <c r="OF28" i="21"/>
  <c r="OF29" i="21"/>
  <c r="OF30" i="21"/>
  <c r="OF31" i="21"/>
  <c r="OF32" i="21"/>
  <c r="OF33" i="21"/>
  <c r="OF34" i="21"/>
  <c r="OF35" i="21"/>
  <c r="OF36" i="21"/>
  <c r="OF37" i="21"/>
  <c r="OF38" i="21"/>
  <c r="OF39" i="21"/>
  <c r="OF40" i="21"/>
  <c r="OF41" i="21"/>
  <c r="OF42" i="21"/>
  <c r="OE9" i="21"/>
  <c r="OE10" i="21"/>
  <c r="OE11" i="21"/>
  <c r="OE12" i="21"/>
  <c r="OE13" i="21"/>
  <c r="OE14" i="21"/>
  <c r="OE15" i="21"/>
  <c r="OE16" i="21"/>
  <c r="OE17" i="21"/>
  <c r="OE18" i="21"/>
  <c r="OE19" i="21"/>
  <c r="OE20" i="21"/>
  <c r="OE21" i="21"/>
  <c r="OE22" i="21"/>
  <c r="OE23" i="21"/>
  <c r="OE24" i="21"/>
  <c r="OE25" i="21"/>
  <c r="OE26" i="21"/>
  <c r="OE27" i="21"/>
  <c r="OE28" i="21"/>
  <c r="OE29" i="21"/>
  <c r="OE30" i="21"/>
  <c r="OE31" i="21"/>
  <c r="OE32" i="21"/>
  <c r="OE33" i="21"/>
  <c r="OE34" i="21"/>
  <c r="OE35" i="21"/>
  <c r="OE36" i="21"/>
  <c r="OE37" i="21"/>
  <c r="OE38" i="21"/>
  <c r="OE39" i="21"/>
  <c r="OE40" i="21"/>
  <c r="OE41" i="21"/>
  <c r="OE42" i="21"/>
  <c r="OE43" i="21"/>
  <c r="OZ53" i="21"/>
  <c r="OZ49" i="21"/>
  <c r="OZ48" i="21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B43" i="21"/>
  <c r="IY43" i="21"/>
  <c r="PO43" i="21"/>
  <c r="PP43" i="21"/>
  <c r="OZ43" i="21"/>
  <c r="NY43" i="21"/>
  <c r="NM43" i="21"/>
  <c r="NN43" i="21"/>
  <c r="NO43" i="21"/>
  <c r="NP43" i="21"/>
  <c r="NQ43" i="21"/>
  <c r="NR43" i="21"/>
  <c r="NS43" i="21"/>
  <c r="KT43" i="21"/>
  <c r="CP43" i="21"/>
  <c r="CO43" i="21"/>
  <c r="KQ43" i="21"/>
  <c r="CN43" i="21"/>
  <c r="KP43" i="21"/>
  <c r="CM43" i="21"/>
  <c r="KO43" i="21"/>
  <c r="CL43" i="21"/>
  <c r="KN43" i="21"/>
  <c r="CK43" i="21"/>
  <c r="KM43" i="21"/>
  <c r="CJ43" i="21"/>
  <c r="KL43" i="21"/>
  <c r="CI43" i="21"/>
  <c r="KK43" i="21"/>
  <c r="CH43" i="21"/>
  <c r="KJ43" i="21"/>
  <c r="CG43" i="21"/>
  <c r="KI43" i="21"/>
  <c r="CF43" i="21"/>
  <c r="CD43" i="21"/>
  <c r="CE43" i="21"/>
  <c r="KB43" i="21"/>
  <c r="KA43" i="21"/>
  <c r="JZ43" i="21"/>
  <c r="JY43" i="21"/>
  <c r="JX43" i="21"/>
  <c r="JW43" i="21"/>
  <c r="JV43" i="21"/>
  <c r="JU43" i="21"/>
  <c r="JT43" i="21"/>
  <c r="JS43" i="21"/>
  <c r="JR43" i="21"/>
  <c r="JQ43" i="21"/>
  <c r="JP43" i="21"/>
  <c r="BG43" i="21"/>
  <c r="IP43" i="21"/>
  <c r="GO43" i="21"/>
  <c r="GP43" i="21"/>
  <c r="GQ43" i="21"/>
  <c r="GR43" i="21"/>
  <c r="GS43" i="21"/>
  <c r="JB43" i="21"/>
  <c r="IX43" i="21"/>
  <c r="HF43" i="21"/>
  <c r="GU43" i="21"/>
  <c r="W43" i="21"/>
  <c r="Y43" i="21"/>
  <c r="BB43" i="21"/>
  <c r="JC43" i="21"/>
  <c r="IT43" i="21"/>
  <c r="EH43" i="21"/>
  <c r="EG43" i="21"/>
  <c r="DW43" i="21"/>
  <c r="DX43" i="21"/>
  <c r="DY43" i="21"/>
  <c r="DZ43" i="21"/>
  <c r="EA43" i="21"/>
  <c r="DV43" i="21"/>
  <c r="S43" i="21"/>
  <c r="U43" i="21"/>
  <c r="BF43" i="21"/>
  <c r="BJ43" i="21"/>
  <c r="AF43" i="21"/>
  <c r="BE43" i="21"/>
  <c r="AJ43" i="21"/>
  <c r="AC43" i="21"/>
  <c r="X43" i="21"/>
  <c r="T43" i="21"/>
  <c r="P43" i="21"/>
  <c r="L43" i="21"/>
  <c r="G43" i="21"/>
  <c r="I43" i="21"/>
  <c r="H43" i="21"/>
  <c r="PO110" i="19"/>
  <c r="PP110" i="19"/>
  <c r="OZ110" i="19"/>
  <c r="NM110" i="19"/>
  <c r="NN110" i="19"/>
  <c r="NO110" i="19"/>
  <c r="NP110" i="19"/>
  <c r="NQ110" i="19"/>
  <c r="NR110" i="19"/>
  <c r="NS110" i="19"/>
  <c r="KT110" i="19"/>
  <c r="CP110" i="19"/>
  <c r="CO110" i="19"/>
  <c r="KQ110" i="19"/>
  <c r="CN110" i="19"/>
  <c r="KP110" i="19"/>
  <c r="CM110" i="19"/>
  <c r="KO110" i="19"/>
  <c r="CL110" i="19"/>
  <c r="KN110" i="19"/>
  <c r="CK110" i="19"/>
  <c r="GD110" i="19"/>
  <c r="CJ110" i="19"/>
  <c r="KL110" i="19"/>
  <c r="CI110" i="19"/>
  <c r="CH110" i="19"/>
  <c r="KJ110" i="19"/>
  <c r="CG110" i="19"/>
  <c r="CF110" i="19"/>
  <c r="KH110" i="19"/>
  <c r="CE110" i="19"/>
  <c r="CD110" i="19"/>
  <c r="KF110" i="19"/>
  <c r="FX110" i="19"/>
  <c r="KB110" i="19"/>
  <c r="KA110" i="19"/>
  <c r="JZ110" i="19"/>
  <c r="JY110" i="19"/>
  <c r="JX110" i="19"/>
  <c r="JW110" i="19"/>
  <c r="JV110" i="19"/>
  <c r="JU110" i="19"/>
  <c r="JT110" i="19"/>
  <c r="JS110" i="19"/>
  <c r="JR110" i="19"/>
  <c r="JQ110" i="19"/>
  <c r="JP110" i="19"/>
  <c r="BG110" i="19"/>
  <c r="GP110" i="19"/>
  <c r="GQ110" i="19"/>
  <c r="GR110" i="19"/>
  <c r="GS110" i="19"/>
  <c r="JB110" i="19"/>
  <c r="IX110" i="19"/>
  <c r="BH110" i="19"/>
  <c r="BI110" i="19"/>
  <c r="HD110" i="19"/>
  <c r="HF110" i="19"/>
  <c r="GU110" i="19"/>
  <c r="W110" i="19"/>
  <c r="Y110" i="19"/>
  <c r="IY110" i="19"/>
  <c r="BB110" i="19"/>
  <c r="JC110" i="19"/>
  <c r="IT110" i="19"/>
  <c r="EH110" i="19"/>
  <c r="EG110" i="19"/>
  <c r="DW110" i="19"/>
  <c r="DX110" i="19"/>
  <c r="DY110" i="19"/>
  <c r="DZ110" i="19"/>
  <c r="EA110" i="19"/>
  <c r="DV110" i="19"/>
  <c r="S110" i="19"/>
  <c r="U110" i="19"/>
  <c r="BF110" i="19"/>
  <c r="BJ110" i="19"/>
  <c r="AF110" i="19"/>
  <c r="BE110" i="19"/>
  <c r="AW110" i="19"/>
  <c r="BA110" i="19"/>
  <c r="AU110" i="19"/>
  <c r="AV110" i="19"/>
  <c r="AS110" i="19"/>
  <c r="AT110" i="19"/>
  <c r="AQ110" i="19"/>
  <c r="AR110" i="19"/>
  <c r="AO110" i="19"/>
  <c r="AP110" i="19"/>
  <c r="AC110" i="19"/>
  <c r="X110" i="19"/>
  <c r="T110" i="19"/>
  <c r="O110" i="19"/>
  <c r="P110" i="19"/>
  <c r="K110" i="19"/>
  <c r="L110" i="19"/>
  <c r="H110" i="19"/>
  <c r="G110" i="19"/>
  <c r="OZ123" i="19"/>
  <c r="OZ112" i="19"/>
  <c r="OZ111" i="19"/>
  <c r="OZ109" i="19"/>
  <c r="OZ108" i="19"/>
  <c r="OZ107" i="19"/>
  <c r="OZ106" i="19"/>
  <c r="OZ105" i="19"/>
  <c r="OZ104" i="19"/>
  <c r="OZ103" i="19"/>
  <c r="OZ102" i="19"/>
  <c r="OZ101" i="19"/>
  <c r="OZ100" i="19"/>
  <c r="OZ99" i="19"/>
  <c r="OZ98" i="19"/>
  <c r="OZ97" i="19"/>
  <c r="OZ96" i="19"/>
  <c r="OZ95" i="19"/>
  <c r="OZ94" i="19"/>
  <c r="OZ93" i="19"/>
  <c r="OZ92" i="19"/>
  <c r="OZ91" i="19"/>
  <c r="OZ90" i="19"/>
  <c r="OZ89" i="19"/>
  <c r="OZ88" i="19"/>
  <c r="OZ87" i="19"/>
  <c r="OZ86" i="19"/>
  <c r="OZ85" i="19"/>
  <c r="OZ84" i="19"/>
  <c r="OZ83" i="19"/>
  <c r="OZ82" i="19"/>
  <c r="OZ81" i="19"/>
  <c r="OZ80" i="19"/>
  <c r="OZ79" i="19"/>
  <c r="OZ78" i="19"/>
  <c r="OZ77" i="19"/>
  <c r="OZ76" i="19"/>
  <c r="OZ75" i="19"/>
  <c r="OZ74" i="19"/>
  <c r="OZ73" i="19"/>
  <c r="OZ72" i="19"/>
  <c r="OZ71" i="19"/>
  <c r="OZ70" i="19"/>
  <c r="OZ69" i="19"/>
  <c r="OZ68" i="19"/>
  <c r="OZ67" i="19"/>
  <c r="OZ66" i="19"/>
  <c r="OZ65" i="19"/>
  <c r="OZ64" i="19"/>
  <c r="OZ63" i="19"/>
  <c r="OZ62" i="19"/>
  <c r="OZ61" i="19"/>
  <c r="OZ60" i="19"/>
  <c r="OZ59" i="19"/>
  <c r="OZ58" i="19"/>
  <c r="OZ57" i="19"/>
  <c r="OZ56" i="19"/>
  <c r="OZ55" i="19"/>
  <c r="OZ54" i="19"/>
  <c r="OZ53" i="19"/>
  <c r="OZ52" i="19"/>
  <c r="OZ51" i="19"/>
  <c r="OZ50" i="19"/>
  <c r="OZ49" i="19"/>
  <c r="OZ48" i="19"/>
  <c r="OZ47" i="19"/>
  <c r="OZ46" i="19"/>
  <c r="OZ45" i="19"/>
  <c r="OZ44" i="19"/>
  <c r="OZ43" i="19"/>
  <c r="OZ42" i="19"/>
  <c r="OZ41" i="19"/>
  <c r="OZ40" i="19"/>
  <c r="OZ39" i="19"/>
  <c r="OZ38" i="19"/>
  <c r="OZ37" i="19"/>
  <c r="OZ36" i="19"/>
  <c r="OZ35" i="19"/>
  <c r="OZ34" i="19"/>
  <c r="OZ33" i="19"/>
  <c r="OZ32" i="19"/>
  <c r="OZ31" i="19"/>
  <c r="OZ30" i="19"/>
  <c r="OZ29" i="19"/>
  <c r="OZ28" i="19"/>
  <c r="OZ27" i="19"/>
  <c r="OZ26" i="19"/>
  <c r="OZ25" i="19"/>
  <c r="OZ24" i="19"/>
  <c r="OZ23" i="19"/>
  <c r="OZ22" i="19"/>
  <c r="OZ21" i="19"/>
  <c r="OZ20" i="19"/>
  <c r="OZ19" i="19"/>
  <c r="OZ18" i="19"/>
  <c r="OZ17" i="19"/>
  <c r="OZ16" i="19"/>
  <c r="OZ15" i="19"/>
  <c r="OZ14" i="19"/>
  <c r="OZ13" i="19"/>
  <c r="OZ12" i="19"/>
  <c r="OZ11" i="19"/>
  <c r="OZ10" i="19"/>
  <c r="OZ9" i="19"/>
  <c r="Z76" i="39"/>
  <c r="Z108" i="19"/>
  <c r="Z72" i="19"/>
  <c r="Z71" i="19"/>
  <c r="Z55" i="19"/>
  <c r="Z109" i="19"/>
  <c r="X109" i="19"/>
  <c r="W109" i="19"/>
  <c r="S109" i="19"/>
  <c r="U109" i="19"/>
  <c r="T109" i="19"/>
  <c r="P109" i="19"/>
  <c r="O109" i="19"/>
  <c r="L109" i="19"/>
  <c r="K109" i="19"/>
  <c r="X108" i="19"/>
  <c r="W108" i="19"/>
  <c r="T108" i="19"/>
  <c r="S108" i="19"/>
  <c r="U108" i="19"/>
  <c r="P108" i="19"/>
  <c r="O108" i="19"/>
  <c r="L108" i="19"/>
  <c r="K108" i="19"/>
  <c r="G109" i="19"/>
  <c r="G108" i="19"/>
  <c r="PP109" i="19"/>
  <c r="PO109" i="19"/>
  <c r="NS109" i="19"/>
  <c r="NR109" i="19"/>
  <c r="NQ109" i="19"/>
  <c r="NP109" i="19"/>
  <c r="NO109" i="19"/>
  <c r="NN109" i="19"/>
  <c r="NM109" i="19"/>
  <c r="KT109" i="19"/>
  <c r="KB109" i="19"/>
  <c r="KA109" i="19"/>
  <c r="JZ109" i="19"/>
  <c r="JY109" i="19"/>
  <c r="JX109" i="19"/>
  <c r="JW109" i="19"/>
  <c r="JV109" i="19"/>
  <c r="JU109" i="19"/>
  <c r="JT109" i="19"/>
  <c r="JS109" i="19"/>
  <c r="JR109" i="19"/>
  <c r="JQ109" i="19"/>
  <c r="JP109" i="19"/>
  <c r="JB109" i="19"/>
  <c r="IY109" i="19"/>
  <c r="IX109" i="19"/>
  <c r="IT109" i="19"/>
  <c r="HF109" i="19"/>
  <c r="HD109" i="19"/>
  <c r="GU109" i="19"/>
  <c r="GS109" i="19"/>
  <c r="GR109" i="19"/>
  <c r="GQ109" i="19"/>
  <c r="GP109" i="19"/>
  <c r="FX109" i="19"/>
  <c r="EH109" i="19"/>
  <c r="EG109" i="19"/>
  <c r="EA109" i="19"/>
  <c r="DZ109" i="19"/>
  <c r="DY109" i="19"/>
  <c r="DX109" i="19"/>
  <c r="DW109" i="19"/>
  <c r="DV109" i="19"/>
  <c r="CP109" i="19"/>
  <c r="CO109" i="19"/>
  <c r="KQ109" i="19"/>
  <c r="CN109" i="19"/>
  <c r="KP109" i="19"/>
  <c r="CM109" i="19"/>
  <c r="KO109" i="19"/>
  <c r="CL109" i="19"/>
  <c r="KN109" i="19"/>
  <c r="CK109" i="19"/>
  <c r="KM109" i="19"/>
  <c r="CJ109" i="19"/>
  <c r="KL109" i="19"/>
  <c r="CI109" i="19"/>
  <c r="CH109" i="19"/>
  <c r="KJ109" i="19"/>
  <c r="CG109" i="19"/>
  <c r="GB109" i="19"/>
  <c r="CF109" i="19"/>
  <c r="GA109" i="19"/>
  <c r="CE109" i="19"/>
  <c r="CD109" i="19"/>
  <c r="KF109" i="19"/>
  <c r="BJ109" i="19"/>
  <c r="BI109" i="19"/>
  <c r="BH109" i="19"/>
  <c r="BG109" i="19"/>
  <c r="IP109" i="19"/>
  <c r="BF109" i="19"/>
  <c r="BB109" i="19"/>
  <c r="JC109" i="19"/>
  <c r="AW109" i="19"/>
  <c r="BA109" i="19"/>
  <c r="AU109" i="19"/>
  <c r="AV109" i="19"/>
  <c r="AS109" i="19"/>
  <c r="AT109" i="19"/>
  <c r="AQ109" i="19"/>
  <c r="AR109" i="19"/>
  <c r="AO109" i="19"/>
  <c r="AP109" i="19"/>
  <c r="AF109" i="19"/>
  <c r="BE109" i="19"/>
  <c r="AC109" i="19"/>
  <c r="H109" i="19"/>
  <c r="PP108" i="19"/>
  <c r="PO108" i="19"/>
  <c r="NS108" i="19"/>
  <c r="NR108" i="19"/>
  <c r="NQ108" i="19"/>
  <c r="NP108" i="19"/>
  <c r="NO108" i="19"/>
  <c r="NN108" i="19"/>
  <c r="NM108" i="19"/>
  <c r="KT108" i="19"/>
  <c r="KB108" i="19"/>
  <c r="KA108" i="19"/>
  <c r="JZ108" i="19"/>
  <c r="JY108" i="19"/>
  <c r="JX108" i="19"/>
  <c r="JW108" i="19"/>
  <c r="JV108" i="19"/>
  <c r="JU108" i="19"/>
  <c r="JT108" i="19"/>
  <c r="JS108" i="19"/>
  <c r="JR108" i="19"/>
  <c r="JQ108" i="19"/>
  <c r="JP108" i="19"/>
  <c r="JB108" i="19"/>
  <c r="IY108" i="19"/>
  <c r="IX108" i="19"/>
  <c r="IT108" i="19"/>
  <c r="HF108" i="19"/>
  <c r="HD108" i="19"/>
  <c r="GU108" i="19"/>
  <c r="GS108" i="19"/>
  <c r="GR108" i="19"/>
  <c r="GQ108" i="19"/>
  <c r="GP108" i="19"/>
  <c r="FX108" i="19"/>
  <c r="EH108" i="19"/>
  <c r="EG108" i="19"/>
  <c r="EA108" i="19"/>
  <c r="DZ108" i="19"/>
  <c r="DY108" i="19"/>
  <c r="DX108" i="19"/>
  <c r="DW108" i="19"/>
  <c r="DV108" i="19"/>
  <c r="CP108" i="19"/>
  <c r="CO108" i="19"/>
  <c r="KQ108" i="19"/>
  <c r="CN108" i="19"/>
  <c r="KP108" i="19"/>
  <c r="CM108" i="19"/>
  <c r="KO108" i="19"/>
  <c r="CL108" i="19"/>
  <c r="KN108" i="19"/>
  <c r="CK108" i="19"/>
  <c r="CJ108" i="19"/>
  <c r="KL108" i="19"/>
  <c r="CI108" i="19"/>
  <c r="CH108" i="19"/>
  <c r="KJ108" i="19"/>
  <c r="CG108" i="19"/>
  <c r="CF108" i="19"/>
  <c r="CE108" i="19"/>
  <c r="CD108" i="19"/>
  <c r="KF108" i="19"/>
  <c r="BJ108" i="19"/>
  <c r="BI108" i="19"/>
  <c r="BH108" i="19"/>
  <c r="BG108" i="19"/>
  <c r="IP108" i="19"/>
  <c r="BF108" i="19"/>
  <c r="BB108" i="19"/>
  <c r="JC108" i="19"/>
  <c r="AW108" i="19"/>
  <c r="AU108" i="19"/>
  <c r="AV108" i="19"/>
  <c r="AS108" i="19"/>
  <c r="AT108" i="19"/>
  <c r="AQ108" i="19"/>
  <c r="AR108" i="19"/>
  <c r="AO108" i="19"/>
  <c r="AP108" i="19"/>
  <c r="AF108" i="19"/>
  <c r="BE108" i="19"/>
  <c r="AC108" i="19"/>
  <c r="H108" i="19"/>
  <c r="Z100" i="39"/>
  <c r="Z99" i="39"/>
  <c r="Z98" i="39"/>
  <c r="Z97" i="39"/>
  <c r="Z96" i="39"/>
  <c r="Z95" i="39"/>
  <c r="Z94" i="39"/>
  <c r="Z93" i="39"/>
  <c r="Z92" i="39"/>
  <c r="Z91" i="39"/>
  <c r="Z90" i="39"/>
  <c r="Z89" i="39"/>
  <c r="AE60" i="39"/>
  <c r="OI107" i="39"/>
  <c r="OS107" i="39"/>
  <c r="OG107" i="39"/>
  <c r="OQ107" i="39"/>
  <c r="OF107" i="39"/>
  <c r="OE107" i="39"/>
  <c r="OI101" i="39"/>
  <c r="OS101" i="39"/>
  <c r="OG101" i="39"/>
  <c r="OQ101" i="39"/>
  <c r="OF101" i="39"/>
  <c r="OE101" i="39"/>
  <c r="OI100" i="39"/>
  <c r="OS100" i="39"/>
  <c r="OG100" i="39"/>
  <c r="OF100" i="39"/>
  <c r="OE100" i="39"/>
  <c r="OI99" i="39"/>
  <c r="OS99" i="39"/>
  <c r="OG99" i="39"/>
  <c r="OQ99" i="39"/>
  <c r="OT99" i="39"/>
  <c r="OF99" i="39"/>
  <c r="OE99" i="39"/>
  <c r="OI98" i="39"/>
  <c r="OS98" i="39"/>
  <c r="OG98" i="39"/>
  <c r="OF98" i="39"/>
  <c r="OE98" i="39"/>
  <c r="OI97" i="39"/>
  <c r="OS97" i="39"/>
  <c r="OG97" i="39"/>
  <c r="OF97" i="39"/>
  <c r="OE97" i="39"/>
  <c r="OI96" i="39"/>
  <c r="OS96" i="39"/>
  <c r="OG96" i="39"/>
  <c r="OQ96" i="39"/>
  <c r="OT96" i="39"/>
  <c r="OF96" i="39"/>
  <c r="OE96" i="39"/>
  <c r="OI95" i="39"/>
  <c r="OS95" i="39"/>
  <c r="OG95" i="39"/>
  <c r="OF95" i="39"/>
  <c r="OE95" i="39"/>
  <c r="OI94" i="39"/>
  <c r="OS94" i="39"/>
  <c r="OG94" i="39"/>
  <c r="OF94" i="39"/>
  <c r="OE94" i="39"/>
  <c r="OI93" i="39"/>
  <c r="OS93" i="39"/>
  <c r="OG93" i="39"/>
  <c r="OF93" i="39"/>
  <c r="OE93" i="39"/>
  <c r="OI92" i="39"/>
  <c r="OS92" i="39"/>
  <c r="OG92" i="39"/>
  <c r="OF92" i="39"/>
  <c r="OE92" i="39"/>
  <c r="OI91" i="39"/>
  <c r="OS91" i="39"/>
  <c r="OG91" i="39"/>
  <c r="OF91" i="39"/>
  <c r="OE91" i="39"/>
  <c r="OI90" i="39"/>
  <c r="OS90" i="39"/>
  <c r="OG90" i="39"/>
  <c r="OF90" i="39"/>
  <c r="OE90" i="39"/>
  <c r="OI89" i="39"/>
  <c r="OS89" i="39"/>
  <c r="OG89" i="39"/>
  <c r="OF89" i="39"/>
  <c r="OE89" i="39"/>
  <c r="OI88" i="39"/>
  <c r="OS88" i="39"/>
  <c r="OG88" i="39"/>
  <c r="OQ88" i="39"/>
  <c r="OT88" i="39"/>
  <c r="OF88" i="39"/>
  <c r="OE88" i="39"/>
  <c r="CC113" i="39"/>
  <c r="T9" i="39"/>
  <c r="S9" i="39"/>
  <c r="U9" i="39"/>
  <c r="T107" i="39"/>
  <c r="S107" i="39"/>
  <c r="U107" i="39"/>
  <c r="T101" i="39"/>
  <c r="S101" i="39"/>
  <c r="U101" i="39"/>
  <c r="T100" i="39"/>
  <c r="S100" i="39"/>
  <c r="U100" i="39"/>
  <c r="T99" i="39"/>
  <c r="S99" i="39"/>
  <c r="U99" i="39"/>
  <c r="T98" i="39"/>
  <c r="S98" i="39"/>
  <c r="U98" i="39"/>
  <c r="T97" i="39"/>
  <c r="S97" i="39"/>
  <c r="U97" i="39"/>
  <c r="T96" i="39"/>
  <c r="S96" i="39"/>
  <c r="U96" i="39"/>
  <c r="T95" i="39"/>
  <c r="S95" i="39"/>
  <c r="U95" i="39"/>
  <c r="T94" i="39"/>
  <c r="S94" i="39"/>
  <c r="U94" i="39"/>
  <c r="T93" i="39"/>
  <c r="S93" i="39"/>
  <c r="U93" i="39"/>
  <c r="T92" i="39"/>
  <c r="S92" i="39"/>
  <c r="U92" i="39"/>
  <c r="T91" i="39"/>
  <c r="S91" i="39"/>
  <c r="U91" i="39"/>
  <c r="T90" i="39"/>
  <c r="S90" i="39"/>
  <c r="T89" i="39"/>
  <c r="S89" i="39"/>
  <c r="U89" i="39"/>
  <c r="T88" i="39"/>
  <c r="S88" i="39"/>
  <c r="U88" i="39"/>
  <c r="P107" i="39"/>
  <c r="O107" i="39"/>
  <c r="Q107" i="39"/>
  <c r="P101" i="39"/>
  <c r="O101" i="39"/>
  <c r="P100" i="39"/>
  <c r="O100" i="39"/>
  <c r="P99" i="39"/>
  <c r="O99" i="39"/>
  <c r="P98" i="39"/>
  <c r="O98" i="39"/>
  <c r="P97" i="39"/>
  <c r="O97" i="39"/>
  <c r="P96" i="39"/>
  <c r="O96" i="39"/>
  <c r="P95" i="39"/>
  <c r="O95" i="39"/>
  <c r="P94" i="39"/>
  <c r="O94" i="39"/>
  <c r="OP94" i="39"/>
  <c r="P93" i="39"/>
  <c r="O93" i="39"/>
  <c r="OP93" i="39"/>
  <c r="P92" i="39"/>
  <c r="O92" i="39"/>
  <c r="P91" i="39"/>
  <c r="O91" i="39"/>
  <c r="OP91" i="39"/>
  <c r="P90" i="39"/>
  <c r="O90" i="39"/>
  <c r="P89" i="39"/>
  <c r="O89" i="39"/>
  <c r="OP89" i="39"/>
  <c r="P88" i="39"/>
  <c r="O88" i="39"/>
  <c r="I107" i="39"/>
  <c r="G101" i="39"/>
  <c r="I101" i="39"/>
  <c r="G100" i="39"/>
  <c r="I100" i="39"/>
  <c r="G99" i="39"/>
  <c r="I99" i="39"/>
  <c r="G98" i="39"/>
  <c r="I98" i="39"/>
  <c r="G97" i="39"/>
  <c r="I97" i="39"/>
  <c r="G96" i="39"/>
  <c r="I96" i="39"/>
  <c r="G95" i="39"/>
  <c r="I95" i="39"/>
  <c r="G94" i="39"/>
  <c r="I94" i="39"/>
  <c r="G93" i="39"/>
  <c r="I93" i="39"/>
  <c r="G92" i="39"/>
  <c r="I92" i="39"/>
  <c r="G91" i="39"/>
  <c r="I91" i="39"/>
  <c r="G90" i="39"/>
  <c r="I90" i="39"/>
  <c r="G89" i="39"/>
  <c r="I89" i="39"/>
  <c r="G88" i="39"/>
  <c r="PP107" i="39"/>
  <c r="PO107" i="39"/>
  <c r="NS107" i="39"/>
  <c r="NR107" i="39"/>
  <c r="NQ107" i="39"/>
  <c r="NP107" i="39"/>
  <c r="NO107" i="39"/>
  <c r="NN107" i="39"/>
  <c r="NM107" i="39"/>
  <c r="KT107" i="39"/>
  <c r="KB107" i="39"/>
  <c r="KA107" i="39"/>
  <c r="JZ107" i="39"/>
  <c r="JY107" i="39"/>
  <c r="JX107" i="39"/>
  <c r="JW107" i="39"/>
  <c r="JV107" i="39"/>
  <c r="JU107" i="39"/>
  <c r="JT107" i="39"/>
  <c r="JS107" i="39"/>
  <c r="JR107" i="39"/>
  <c r="JQ107" i="39"/>
  <c r="JP107" i="39"/>
  <c r="JB107" i="39"/>
  <c r="IY107" i="39"/>
  <c r="IX107" i="39"/>
  <c r="IT107" i="39"/>
  <c r="HF107" i="39"/>
  <c r="HD107" i="39"/>
  <c r="GU107" i="39"/>
  <c r="GS107" i="39"/>
  <c r="GR107" i="39"/>
  <c r="GQ107" i="39"/>
  <c r="GP107" i="39"/>
  <c r="GO107" i="39"/>
  <c r="EH107" i="39"/>
  <c r="EG107" i="39"/>
  <c r="EA107" i="39"/>
  <c r="DY107" i="39"/>
  <c r="DX107" i="39"/>
  <c r="DW107" i="39"/>
  <c r="CP107" i="39"/>
  <c r="CO107" i="39"/>
  <c r="KQ107" i="39"/>
  <c r="CN107" i="39"/>
  <c r="KP107" i="39"/>
  <c r="CM107" i="39"/>
  <c r="KO107" i="39"/>
  <c r="CL107" i="39"/>
  <c r="KN107" i="39"/>
  <c r="CK107" i="39"/>
  <c r="CJ107" i="39"/>
  <c r="KL107" i="39"/>
  <c r="CI107" i="39"/>
  <c r="GC107" i="39"/>
  <c r="CH107" i="39"/>
  <c r="KJ107" i="39"/>
  <c r="CG107" i="39"/>
  <c r="CF107" i="39"/>
  <c r="CE107" i="39"/>
  <c r="CD107" i="39"/>
  <c r="KF107" i="39"/>
  <c r="BJ107" i="39"/>
  <c r="BI107" i="39"/>
  <c r="BH107" i="39"/>
  <c r="BG107" i="39"/>
  <c r="IP107" i="39"/>
  <c r="BF107" i="39"/>
  <c r="BB107" i="39"/>
  <c r="AO107" i="39"/>
  <c r="AJ107" i="39"/>
  <c r="AF107" i="39"/>
  <c r="BE107" i="39"/>
  <c r="AC107" i="39"/>
  <c r="X107" i="39"/>
  <c r="W107" i="39"/>
  <c r="IU107" i="39"/>
  <c r="L107" i="39"/>
  <c r="K107" i="39"/>
  <c r="H107" i="39"/>
  <c r="PP101" i="39"/>
  <c r="PO101" i="39"/>
  <c r="NS101" i="39"/>
  <c r="NR101" i="39"/>
  <c r="NQ101" i="39"/>
  <c r="NP101" i="39"/>
  <c r="NO101" i="39"/>
  <c r="NN101" i="39"/>
  <c r="NM101" i="39"/>
  <c r="KT101" i="39"/>
  <c r="KB101" i="39"/>
  <c r="KA101" i="39"/>
  <c r="JZ101" i="39"/>
  <c r="JY101" i="39"/>
  <c r="JX101" i="39"/>
  <c r="JW101" i="39"/>
  <c r="JV101" i="39"/>
  <c r="JU101" i="39"/>
  <c r="JT101" i="39"/>
  <c r="JS101" i="39"/>
  <c r="JR101" i="39"/>
  <c r="JQ101" i="39"/>
  <c r="JP101" i="39"/>
  <c r="JB101" i="39"/>
  <c r="HW101" i="39"/>
  <c r="HX101" i="39"/>
  <c r="IY101" i="39"/>
  <c r="IX101" i="39"/>
  <c r="IT101" i="39"/>
  <c r="HF101" i="39"/>
  <c r="HD101" i="39"/>
  <c r="GU101" i="39"/>
  <c r="GS101" i="39"/>
  <c r="GR101" i="39"/>
  <c r="GO101" i="39"/>
  <c r="GP101" i="39"/>
  <c r="GQ101" i="39"/>
  <c r="EH101" i="39"/>
  <c r="EG101" i="39"/>
  <c r="EA101" i="39"/>
  <c r="DZ101" i="39"/>
  <c r="DY101" i="39"/>
  <c r="DX101" i="39"/>
  <c r="DW101" i="39"/>
  <c r="DV101" i="39"/>
  <c r="CP101" i="39"/>
  <c r="CO101" i="39"/>
  <c r="KQ101" i="39"/>
  <c r="CN101" i="39"/>
  <c r="KP101" i="39"/>
  <c r="CM101" i="39"/>
  <c r="KO101" i="39"/>
  <c r="CL101" i="39"/>
  <c r="KN101" i="39"/>
  <c r="CK101" i="39"/>
  <c r="CJ101" i="39"/>
  <c r="KL101" i="39"/>
  <c r="CI101" i="39"/>
  <c r="GC101" i="39"/>
  <c r="CH101" i="39"/>
  <c r="KJ101" i="39"/>
  <c r="CG101" i="39"/>
  <c r="GB101" i="39"/>
  <c r="CF101" i="39"/>
  <c r="GA101" i="39"/>
  <c r="CE101" i="39"/>
  <c r="CD101" i="39"/>
  <c r="KF101" i="39"/>
  <c r="BJ101" i="39"/>
  <c r="BI101" i="39"/>
  <c r="BH101" i="39"/>
  <c r="BG101" i="39"/>
  <c r="IP101" i="39"/>
  <c r="BF101" i="39"/>
  <c r="BB101" i="39"/>
  <c r="AO101" i="39"/>
  <c r="AJ101" i="39"/>
  <c r="AF101" i="39"/>
  <c r="BE101" i="39"/>
  <c r="AC101" i="39"/>
  <c r="X101" i="39"/>
  <c r="W101" i="39"/>
  <c r="IU101" i="39"/>
  <c r="L101" i="39"/>
  <c r="K101" i="39"/>
  <c r="OO101" i="39"/>
  <c r="H101" i="39"/>
  <c r="PP100" i="39"/>
  <c r="PO100" i="39"/>
  <c r="NS100" i="39"/>
  <c r="NR100" i="39"/>
  <c r="NQ100" i="39"/>
  <c r="NP100" i="39"/>
  <c r="NO100" i="39"/>
  <c r="NN100" i="39"/>
  <c r="NM100" i="39"/>
  <c r="KT100" i="39"/>
  <c r="KB100" i="39"/>
  <c r="KA100" i="39"/>
  <c r="JZ100" i="39"/>
  <c r="JY100" i="39"/>
  <c r="JX100" i="39"/>
  <c r="JW100" i="39"/>
  <c r="JV100" i="39"/>
  <c r="JU100" i="39"/>
  <c r="JT100" i="39"/>
  <c r="JS100" i="39"/>
  <c r="JR100" i="39"/>
  <c r="JQ100" i="39"/>
  <c r="JP100" i="39"/>
  <c r="JB100" i="39"/>
  <c r="IY100" i="39"/>
  <c r="IX100" i="39"/>
  <c r="IT100" i="39"/>
  <c r="HF100" i="39"/>
  <c r="HD100" i="39"/>
  <c r="GU100" i="39"/>
  <c r="GS100" i="39"/>
  <c r="GR100" i="39"/>
  <c r="GQ100" i="39"/>
  <c r="GP100" i="39"/>
  <c r="GO100" i="39"/>
  <c r="EH100" i="39"/>
  <c r="EG100" i="39"/>
  <c r="EA100" i="39"/>
  <c r="DZ100" i="39"/>
  <c r="DY100" i="39"/>
  <c r="DX100" i="39"/>
  <c r="DW100" i="39"/>
  <c r="DV100" i="39"/>
  <c r="CP100" i="39"/>
  <c r="CO100" i="39"/>
  <c r="KQ100" i="39"/>
  <c r="CN100" i="39"/>
  <c r="KP100" i="39"/>
  <c r="CM100" i="39"/>
  <c r="KO100" i="39"/>
  <c r="CL100" i="39"/>
  <c r="KN100" i="39"/>
  <c r="CK100" i="39"/>
  <c r="CJ100" i="39"/>
  <c r="KL100" i="39"/>
  <c r="CI100" i="39"/>
  <c r="CH100" i="39"/>
  <c r="KJ100" i="39"/>
  <c r="CG100" i="39"/>
  <c r="GB100" i="39"/>
  <c r="CF100" i="39"/>
  <c r="CE100" i="39"/>
  <c r="CD100" i="39"/>
  <c r="KF100" i="39"/>
  <c r="BJ100" i="39"/>
  <c r="BI100" i="39"/>
  <c r="BH100" i="39"/>
  <c r="BG100" i="39"/>
  <c r="IP100" i="39"/>
  <c r="BB100" i="39"/>
  <c r="JC100" i="39"/>
  <c r="AO100" i="39"/>
  <c r="AJ100" i="39"/>
  <c r="AF100" i="39"/>
  <c r="BE100" i="39"/>
  <c r="AC100" i="39"/>
  <c r="X100" i="39"/>
  <c r="W100" i="39"/>
  <c r="IU100" i="39"/>
  <c r="L100" i="39"/>
  <c r="K100" i="39"/>
  <c r="OO100" i="39"/>
  <c r="H100" i="39"/>
  <c r="PP99" i="39"/>
  <c r="PO99" i="39"/>
  <c r="NS99" i="39"/>
  <c r="NR99" i="39"/>
  <c r="NQ99" i="39"/>
  <c r="NP99" i="39"/>
  <c r="NO99" i="39"/>
  <c r="NN99" i="39"/>
  <c r="NM99" i="39"/>
  <c r="KT99" i="39"/>
  <c r="KB99" i="39"/>
  <c r="KA99" i="39"/>
  <c r="JZ99" i="39"/>
  <c r="JY99" i="39"/>
  <c r="JX99" i="39"/>
  <c r="JW99" i="39"/>
  <c r="JV99" i="39"/>
  <c r="JU99" i="39"/>
  <c r="JT99" i="39"/>
  <c r="JS99" i="39"/>
  <c r="JR99" i="39"/>
  <c r="JQ99" i="39"/>
  <c r="JP99" i="39"/>
  <c r="JB99" i="39"/>
  <c r="IY99" i="39"/>
  <c r="IX99" i="39"/>
  <c r="IT99" i="39"/>
  <c r="HF99" i="39"/>
  <c r="HD99" i="39"/>
  <c r="GU99" i="39"/>
  <c r="GS99" i="39"/>
  <c r="GR99" i="39"/>
  <c r="GQ99" i="39"/>
  <c r="GP99" i="39"/>
  <c r="GO99" i="39"/>
  <c r="EH99" i="39"/>
  <c r="EG99" i="39"/>
  <c r="EA99" i="39"/>
  <c r="DZ99" i="39"/>
  <c r="DY99" i="39"/>
  <c r="DX99" i="39"/>
  <c r="DW99" i="39"/>
  <c r="DV99" i="39"/>
  <c r="CP99" i="39"/>
  <c r="GE99" i="39"/>
  <c r="CO99" i="39"/>
  <c r="KQ99" i="39"/>
  <c r="CN99" i="39"/>
  <c r="KP99" i="39"/>
  <c r="CM99" i="39"/>
  <c r="KO99" i="39"/>
  <c r="CL99" i="39"/>
  <c r="KN99" i="39"/>
  <c r="CK99" i="39"/>
  <c r="CJ99" i="39"/>
  <c r="KL99" i="39"/>
  <c r="CI99" i="39"/>
  <c r="CH99" i="39"/>
  <c r="KJ99" i="39"/>
  <c r="CG99" i="39"/>
  <c r="GB99" i="39"/>
  <c r="CF99" i="39"/>
  <c r="CE99" i="39"/>
  <c r="CD99" i="39"/>
  <c r="KF99" i="39"/>
  <c r="BJ99" i="39"/>
  <c r="BI99" i="39"/>
  <c r="BH99" i="39"/>
  <c r="BG99" i="39"/>
  <c r="IP99" i="39"/>
  <c r="IO99" i="39"/>
  <c r="BF99" i="39"/>
  <c r="BB99" i="39"/>
  <c r="JC99" i="39"/>
  <c r="AO99" i="39"/>
  <c r="AJ99" i="39"/>
  <c r="AF99" i="39"/>
  <c r="BE99" i="39"/>
  <c r="AC99" i="39"/>
  <c r="X99" i="39"/>
  <c r="W99" i="39"/>
  <c r="IU99" i="39"/>
  <c r="L99" i="39"/>
  <c r="K99" i="39"/>
  <c r="OO99" i="39"/>
  <c r="H99" i="39"/>
  <c r="PP98" i="39"/>
  <c r="PO98" i="39"/>
  <c r="NS98" i="39"/>
  <c r="NR98" i="39"/>
  <c r="NQ98" i="39"/>
  <c r="NP98" i="39"/>
  <c r="NO98" i="39"/>
  <c r="NN98" i="39"/>
  <c r="NM98" i="39"/>
  <c r="KT98" i="39"/>
  <c r="KB98" i="39"/>
  <c r="KA98" i="39"/>
  <c r="JZ98" i="39"/>
  <c r="JY98" i="39"/>
  <c r="JX98" i="39"/>
  <c r="JW98" i="39"/>
  <c r="JV98" i="39"/>
  <c r="JU98" i="39"/>
  <c r="JT98" i="39"/>
  <c r="JS98" i="39"/>
  <c r="JR98" i="39"/>
  <c r="JQ98" i="39"/>
  <c r="JP98" i="39"/>
  <c r="JB98" i="39"/>
  <c r="IY98" i="39"/>
  <c r="IX98" i="39"/>
  <c r="IT98" i="39"/>
  <c r="HF98" i="39"/>
  <c r="HD98" i="39"/>
  <c r="GU98" i="39"/>
  <c r="GS98" i="39"/>
  <c r="GR98" i="39"/>
  <c r="GQ98" i="39"/>
  <c r="GP98" i="39"/>
  <c r="GO98" i="39"/>
  <c r="EH98" i="39"/>
  <c r="EG98" i="39"/>
  <c r="EA98" i="39"/>
  <c r="DZ98" i="39"/>
  <c r="DY98" i="39"/>
  <c r="DX98" i="39"/>
  <c r="DW98" i="39"/>
  <c r="DV98" i="39"/>
  <c r="CP98" i="39"/>
  <c r="CO98" i="39"/>
  <c r="KQ98" i="39"/>
  <c r="CN98" i="39"/>
  <c r="KP98" i="39"/>
  <c r="CM98" i="39"/>
  <c r="KO98" i="39"/>
  <c r="CL98" i="39"/>
  <c r="KN98" i="39"/>
  <c r="CK98" i="39"/>
  <c r="GD98" i="39"/>
  <c r="CJ98" i="39"/>
  <c r="KL98" i="39"/>
  <c r="CI98" i="39"/>
  <c r="CH98" i="39"/>
  <c r="KJ98" i="39"/>
  <c r="CG98" i="39"/>
  <c r="CF98" i="39"/>
  <c r="CE98" i="39"/>
  <c r="CD98" i="39"/>
  <c r="KF98" i="39"/>
  <c r="BJ98" i="39"/>
  <c r="BI98" i="39"/>
  <c r="BH98" i="39"/>
  <c r="BG98" i="39"/>
  <c r="BF98" i="39"/>
  <c r="BB98" i="39"/>
  <c r="JC98" i="39"/>
  <c r="AO98" i="39"/>
  <c r="AJ98" i="39"/>
  <c r="AF98" i="39"/>
  <c r="BE98" i="39"/>
  <c r="AC98" i="39"/>
  <c r="X98" i="39"/>
  <c r="W98" i="39"/>
  <c r="IU98" i="39"/>
  <c r="L98" i="39"/>
  <c r="K98" i="39"/>
  <c r="H98" i="39"/>
  <c r="PP97" i="39"/>
  <c r="PO97" i="39"/>
  <c r="NS97" i="39"/>
  <c r="NR97" i="39"/>
  <c r="NQ97" i="39"/>
  <c r="NP97" i="39"/>
  <c r="NO97" i="39"/>
  <c r="NN97" i="39"/>
  <c r="NM97" i="39"/>
  <c r="KT97" i="39"/>
  <c r="KB97" i="39"/>
  <c r="KA97" i="39"/>
  <c r="JZ97" i="39"/>
  <c r="JY97" i="39"/>
  <c r="JX97" i="39"/>
  <c r="JW97" i="39"/>
  <c r="JV97" i="39"/>
  <c r="JU97" i="39"/>
  <c r="JT97" i="39"/>
  <c r="JS97" i="39"/>
  <c r="JR97" i="39"/>
  <c r="JQ97" i="39"/>
  <c r="JP97" i="39"/>
  <c r="JB97" i="39"/>
  <c r="IY97" i="39"/>
  <c r="IX97" i="39"/>
  <c r="IT97" i="39"/>
  <c r="HF97" i="39"/>
  <c r="HD97" i="39"/>
  <c r="GU97" i="39"/>
  <c r="GS97" i="39"/>
  <c r="GR97" i="39"/>
  <c r="GQ97" i="39"/>
  <c r="GP97" i="39"/>
  <c r="GO97" i="39"/>
  <c r="EH97" i="39"/>
  <c r="EG97" i="39"/>
  <c r="EA97" i="39"/>
  <c r="DZ97" i="39"/>
  <c r="DY97" i="39"/>
  <c r="DW97" i="39"/>
  <c r="DX97" i="39"/>
  <c r="DV97" i="39"/>
  <c r="CP97" i="39"/>
  <c r="CO97" i="39"/>
  <c r="KQ97" i="39"/>
  <c r="CN97" i="39"/>
  <c r="KP97" i="39"/>
  <c r="CM97" i="39"/>
  <c r="KO97" i="39"/>
  <c r="CL97" i="39"/>
  <c r="KN97" i="39"/>
  <c r="CK97" i="39"/>
  <c r="KM97" i="39"/>
  <c r="CJ97" i="39"/>
  <c r="KL97" i="39"/>
  <c r="CI97" i="39"/>
  <c r="CH97" i="39"/>
  <c r="KJ97" i="39"/>
  <c r="CG97" i="39"/>
  <c r="KI97" i="39"/>
  <c r="CF97" i="39"/>
  <c r="CE97" i="39"/>
  <c r="CD97" i="39"/>
  <c r="KF97" i="39"/>
  <c r="BJ97" i="39"/>
  <c r="BI97" i="39"/>
  <c r="BH97" i="39"/>
  <c r="BG97" i="39"/>
  <c r="IP97" i="39"/>
  <c r="IO97" i="39"/>
  <c r="BB97" i="39"/>
  <c r="JC97" i="39"/>
  <c r="AO97" i="39"/>
  <c r="AJ97" i="39"/>
  <c r="AF97" i="39"/>
  <c r="BE97" i="39"/>
  <c r="AC97" i="39"/>
  <c r="X97" i="39"/>
  <c r="W97" i="39"/>
  <c r="IU97" i="39"/>
  <c r="L97" i="39"/>
  <c r="K97" i="39"/>
  <c r="H97" i="39"/>
  <c r="PP96" i="39"/>
  <c r="PO96" i="39"/>
  <c r="NS96" i="39"/>
  <c r="NR96" i="39"/>
  <c r="NQ96" i="39"/>
  <c r="NP96" i="39"/>
  <c r="NO96" i="39"/>
  <c r="NN96" i="39"/>
  <c r="NM96" i="39"/>
  <c r="KT96" i="39"/>
  <c r="KB96" i="39"/>
  <c r="KA96" i="39"/>
  <c r="JZ96" i="39"/>
  <c r="JY96" i="39"/>
  <c r="JX96" i="39"/>
  <c r="JW96" i="39"/>
  <c r="JV96" i="39"/>
  <c r="JU96" i="39"/>
  <c r="JT96" i="39"/>
  <c r="JS96" i="39"/>
  <c r="JR96" i="39"/>
  <c r="JQ96" i="39"/>
  <c r="JP96" i="39"/>
  <c r="JB96" i="39"/>
  <c r="IY96" i="39"/>
  <c r="IX96" i="39"/>
  <c r="IT96" i="39"/>
  <c r="HF96" i="39"/>
  <c r="HD96" i="39"/>
  <c r="GU96" i="39"/>
  <c r="GS96" i="39"/>
  <c r="GR96" i="39"/>
  <c r="GQ96" i="39"/>
  <c r="GP96" i="39"/>
  <c r="GO96" i="39"/>
  <c r="EH96" i="39"/>
  <c r="EG96" i="39"/>
  <c r="EA96" i="39"/>
  <c r="DZ96" i="39"/>
  <c r="DY96" i="39"/>
  <c r="DX96" i="39"/>
  <c r="DW96" i="39"/>
  <c r="DV96" i="39"/>
  <c r="CP96" i="39"/>
  <c r="CO96" i="39"/>
  <c r="KQ96" i="39"/>
  <c r="CN96" i="39"/>
  <c r="KP96" i="39"/>
  <c r="CM96" i="39"/>
  <c r="KO96" i="39"/>
  <c r="CL96" i="39"/>
  <c r="KN96" i="39"/>
  <c r="CK96" i="39"/>
  <c r="CJ96" i="39"/>
  <c r="KL96" i="39"/>
  <c r="CI96" i="39"/>
  <c r="CH96" i="39"/>
  <c r="KJ96" i="39"/>
  <c r="CG96" i="39"/>
  <c r="GB96" i="39"/>
  <c r="CF96" i="39"/>
  <c r="KH96" i="39"/>
  <c r="CE96" i="39"/>
  <c r="KG96" i="39"/>
  <c r="CD96" i="39"/>
  <c r="KF96" i="39"/>
  <c r="BJ96" i="39"/>
  <c r="BI96" i="39"/>
  <c r="BH96" i="39"/>
  <c r="BG96" i="39"/>
  <c r="IP96" i="39"/>
  <c r="BB96" i="39"/>
  <c r="JC96" i="39"/>
  <c r="AO96" i="39"/>
  <c r="AJ96" i="39"/>
  <c r="AF96" i="39"/>
  <c r="BE96" i="39"/>
  <c r="AC96" i="39"/>
  <c r="X96" i="39"/>
  <c r="W96" i="39"/>
  <c r="IU96" i="39"/>
  <c r="L96" i="39"/>
  <c r="K96" i="39"/>
  <c r="H96" i="39"/>
  <c r="PP95" i="39"/>
  <c r="PO95" i="39"/>
  <c r="NS95" i="39"/>
  <c r="NR95" i="39"/>
  <c r="NQ95" i="39"/>
  <c r="NP95" i="39"/>
  <c r="NO95" i="39"/>
  <c r="NN95" i="39"/>
  <c r="NM95" i="39"/>
  <c r="KT95" i="39"/>
  <c r="KB95" i="39"/>
  <c r="KA95" i="39"/>
  <c r="JZ95" i="39"/>
  <c r="JY95" i="39"/>
  <c r="JX95" i="39"/>
  <c r="JW95" i="39"/>
  <c r="JV95" i="39"/>
  <c r="JU95" i="39"/>
  <c r="JT95" i="39"/>
  <c r="JS95" i="39"/>
  <c r="JR95" i="39"/>
  <c r="JQ95" i="39"/>
  <c r="JP95" i="39"/>
  <c r="JB95" i="39"/>
  <c r="IY95" i="39"/>
  <c r="IX95" i="39"/>
  <c r="IT95" i="39"/>
  <c r="HF95" i="39"/>
  <c r="HD95" i="39"/>
  <c r="GU95" i="39"/>
  <c r="GS95" i="39"/>
  <c r="GR95" i="39"/>
  <c r="GQ95" i="39"/>
  <c r="GP95" i="39"/>
  <c r="GO95" i="39"/>
  <c r="EH95" i="39"/>
  <c r="EG95" i="39"/>
  <c r="EA95" i="39"/>
  <c r="DZ95" i="39"/>
  <c r="DY95" i="39"/>
  <c r="DX95" i="39"/>
  <c r="DW95" i="39"/>
  <c r="DV95" i="39"/>
  <c r="CP95" i="39"/>
  <c r="GE95" i="39"/>
  <c r="CO95" i="39"/>
  <c r="KQ95" i="39"/>
  <c r="CN95" i="39"/>
  <c r="KP95" i="39"/>
  <c r="CM95" i="39"/>
  <c r="KO95" i="39"/>
  <c r="CL95" i="39"/>
  <c r="KN95" i="39"/>
  <c r="CK95" i="39"/>
  <c r="CJ95" i="39"/>
  <c r="KL95" i="39"/>
  <c r="CI95" i="39"/>
  <c r="CH95" i="39"/>
  <c r="KJ95" i="39"/>
  <c r="CG95" i="39"/>
  <c r="KI95" i="39"/>
  <c r="CF95" i="39"/>
  <c r="GA95" i="39"/>
  <c r="CE95" i="39"/>
  <c r="CD95" i="39"/>
  <c r="KF95" i="39"/>
  <c r="BJ95" i="39"/>
  <c r="BI95" i="39"/>
  <c r="BH95" i="39"/>
  <c r="BG95" i="39"/>
  <c r="IP95" i="39"/>
  <c r="BB95" i="39"/>
  <c r="JC95" i="39"/>
  <c r="AO95" i="39"/>
  <c r="AJ95" i="39"/>
  <c r="AF95" i="39"/>
  <c r="BE95" i="39"/>
  <c r="AC95" i="39"/>
  <c r="X95" i="39"/>
  <c r="W95" i="39"/>
  <c r="IU95" i="39"/>
  <c r="L95" i="39"/>
  <c r="K95" i="39"/>
  <c r="M95" i="39"/>
  <c r="H95" i="39"/>
  <c r="PP94" i="39"/>
  <c r="PO94" i="39"/>
  <c r="NS94" i="39"/>
  <c r="NR94" i="39"/>
  <c r="NQ94" i="39"/>
  <c r="NP94" i="39"/>
  <c r="NO94" i="39"/>
  <c r="NN94" i="39"/>
  <c r="NM94" i="39"/>
  <c r="KT94" i="39"/>
  <c r="KB94" i="39"/>
  <c r="KA94" i="39"/>
  <c r="JZ94" i="39"/>
  <c r="JY94" i="39"/>
  <c r="JX94" i="39"/>
  <c r="JW94" i="39"/>
  <c r="JV94" i="39"/>
  <c r="JU94" i="39"/>
  <c r="JT94" i="39"/>
  <c r="JS94" i="39"/>
  <c r="JR94" i="39"/>
  <c r="JQ94" i="39"/>
  <c r="JP94" i="39"/>
  <c r="JB94" i="39"/>
  <c r="IY94" i="39"/>
  <c r="IX94" i="39"/>
  <c r="IT94" i="39"/>
  <c r="HF94" i="39"/>
  <c r="HD94" i="39"/>
  <c r="GU94" i="39"/>
  <c r="GS94" i="39"/>
  <c r="GR94" i="39"/>
  <c r="GQ94" i="39"/>
  <c r="GP94" i="39"/>
  <c r="GO94" i="39"/>
  <c r="EH94" i="39"/>
  <c r="EG94" i="39"/>
  <c r="EA94" i="39"/>
  <c r="DZ94" i="39"/>
  <c r="DY94" i="39"/>
  <c r="DX94" i="39"/>
  <c r="DW94" i="39"/>
  <c r="DV94" i="39"/>
  <c r="CP94" i="39"/>
  <c r="CO94" i="39"/>
  <c r="KQ94" i="39"/>
  <c r="CN94" i="39"/>
  <c r="KP94" i="39"/>
  <c r="CM94" i="39"/>
  <c r="KO94" i="39"/>
  <c r="CL94" i="39"/>
  <c r="KN94" i="39"/>
  <c r="CK94" i="39"/>
  <c r="CJ94" i="39"/>
  <c r="KL94" i="39"/>
  <c r="CI94" i="39"/>
  <c r="CH94" i="39"/>
  <c r="KJ94" i="39"/>
  <c r="CG94" i="39"/>
  <c r="CF94" i="39"/>
  <c r="GA94" i="39"/>
  <c r="CE94" i="39"/>
  <c r="CD94" i="39"/>
  <c r="KF94" i="39"/>
  <c r="BJ94" i="39"/>
  <c r="BI94" i="39"/>
  <c r="BH94" i="39"/>
  <c r="BG94" i="39"/>
  <c r="IP94" i="39"/>
  <c r="BF94" i="39"/>
  <c r="BB94" i="39"/>
  <c r="JC94" i="39"/>
  <c r="AO94" i="39"/>
  <c r="AJ94" i="39"/>
  <c r="AF94" i="39"/>
  <c r="BE94" i="39"/>
  <c r="AC94" i="39"/>
  <c r="X94" i="39"/>
  <c r="W94" i="39"/>
  <c r="IU94" i="39"/>
  <c r="L94" i="39"/>
  <c r="K94" i="39"/>
  <c r="M94" i="39"/>
  <c r="H94" i="39"/>
  <c r="PP93" i="39"/>
  <c r="PO93" i="39"/>
  <c r="NS93" i="39"/>
  <c r="NR93" i="39"/>
  <c r="NQ93" i="39"/>
  <c r="NP93" i="39"/>
  <c r="NO93" i="39"/>
  <c r="NN93" i="39"/>
  <c r="NM93" i="39"/>
  <c r="KT93" i="39"/>
  <c r="KB93" i="39"/>
  <c r="KA93" i="39"/>
  <c r="JZ93" i="39"/>
  <c r="JY93" i="39"/>
  <c r="JX93" i="39"/>
  <c r="JW93" i="39"/>
  <c r="JV93" i="39"/>
  <c r="JU93" i="39"/>
  <c r="JT93" i="39"/>
  <c r="JS93" i="39"/>
  <c r="JR93" i="39"/>
  <c r="JQ93" i="39"/>
  <c r="JP93" i="39"/>
  <c r="JB93" i="39"/>
  <c r="IY93" i="39"/>
  <c r="IX93" i="39"/>
  <c r="IT93" i="39"/>
  <c r="HF93" i="39"/>
  <c r="HD93" i="39"/>
  <c r="GU93" i="39"/>
  <c r="GS93" i="39"/>
  <c r="GR93" i="39"/>
  <c r="GQ93" i="39"/>
  <c r="GP93" i="39"/>
  <c r="GO93" i="39"/>
  <c r="EH93" i="39"/>
  <c r="EG93" i="39"/>
  <c r="EA93" i="39"/>
  <c r="DZ93" i="39"/>
  <c r="DY93" i="39"/>
  <c r="DX93" i="39"/>
  <c r="DW93" i="39"/>
  <c r="DV93" i="39"/>
  <c r="CP93" i="39"/>
  <c r="CO93" i="39"/>
  <c r="KQ93" i="39"/>
  <c r="CN93" i="39"/>
  <c r="KP93" i="39"/>
  <c r="CM93" i="39"/>
  <c r="KO93" i="39"/>
  <c r="CL93" i="39"/>
  <c r="KN93" i="39"/>
  <c r="CK93" i="39"/>
  <c r="GD93" i="39"/>
  <c r="CJ93" i="39"/>
  <c r="KL93" i="39"/>
  <c r="CI93" i="39"/>
  <c r="CH93" i="39"/>
  <c r="KJ93" i="39"/>
  <c r="CG93" i="39"/>
  <c r="KI93" i="39"/>
  <c r="CF93" i="39"/>
  <c r="GA93" i="39"/>
  <c r="CE93" i="39"/>
  <c r="CD93" i="39"/>
  <c r="KF93" i="39"/>
  <c r="BJ93" i="39"/>
  <c r="BI93" i="39"/>
  <c r="BH93" i="39"/>
  <c r="BG93" i="39"/>
  <c r="IP93" i="39"/>
  <c r="BB93" i="39"/>
  <c r="JC93" i="39"/>
  <c r="AO93" i="39"/>
  <c r="AJ93" i="39"/>
  <c r="AF93" i="39"/>
  <c r="BE93" i="39"/>
  <c r="AC93" i="39"/>
  <c r="X93" i="39"/>
  <c r="W93" i="39"/>
  <c r="IU93" i="39"/>
  <c r="L93" i="39"/>
  <c r="K93" i="39"/>
  <c r="H93" i="39"/>
  <c r="PP92" i="39"/>
  <c r="PO92" i="39"/>
  <c r="NS92" i="39"/>
  <c r="NR92" i="39"/>
  <c r="NQ92" i="39"/>
  <c r="NP92" i="39"/>
  <c r="NO92" i="39"/>
  <c r="NN92" i="39"/>
  <c r="NM92" i="39"/>
  <c r="KT92" i="39"/>
  <c r="KB92" i="39"/>
  <c r="KA92" i="39"/>
  <c r="JZ92" i="39"/>
  <c r="JY92" i="39"/>
  <c r="JX92" i="39"/>
  <c r="JW92" i="39"/>
  <c r="JV92" i="39"/>
  <c r="JU92" i="39"/>
  <c r="JT92" i="39"/>
  <c r="JS92" i="39"/>
  <c r="JR92" i="39"/>
  <c r="JQ92" i="39"/>
  <c r="JP92" i="39"/>
  <c r="JB92" i="39"/>
  <c r="IY92" i="39"/>
  <c r="IX92" i="39"/>
  <c r="IT92" i="39"/>
  <c r="HF92" i="39"/>
  <c r="HD92" i="39"/>
  <c r="GU92" i="39"/>
  <c r="GS92" i="39"/>
  <c r="GR92" i="39"/>
  <c r="GQ92" i="39"/>
  <c r="GP92" i="39"/>
  <c r="GO92" i="39"/>
  <c r="EH92" i="39"/>
  <c r="EG92" i="39"/>
  <c r="EA92" i="39"/>
  <c r="DZ92" i="39"/>
  <c r="DY92" i="39"/>
  <c r="DX92" i="39"/>
  <c r="DW92" i="39"/>
  <c r="DV92" i="39"/>
  <c r="CP92" i="39"/>
  <c r="GE92" i="39"/>
  <c r="CO92" i="39"/>
  <c r="KQ92" i="39"/>
  <c r="CN92" i="39"/>
  <c r="KP92" i="39"/>
  <c r="CM92" i="39"/>
  <c r="KO92" i="39"/>
  <c r="CL92" i="39"/>
  <c r="KN92" i="39"/>
  <c r="CK92" i="39"/>
  <c r="CJ92" i="39"/>
  <c r="KL92" i="39"/>
  <c r="CI92" i="39"/>
  <c r="KK92" i="39"/>
  <c r="CH92" i="39"/>
  <c r="KJ92" i="39"/>
  <c r="CG92" i="39"/>
  <c r="CF92" i="39"/>
  <c r="CE92" i="39"/>
  <c r="CD92" i="39"/>
  <c r="KF92" i="39"/>
  <c r="BJ92" i="39"/>
  <c r="BI92" i="39"/>
  <c r="BH92" i="39"/>
  <c r="BG92" i="39"/>
  <c r="IP92" i="39"/>
  <c r="IO92" i="39"/>
  <c r="BB92" i="39"/>
  <c r="JC92" i="39"/>
  <c r="AO92" i="39"/>
  <c r="AJ92" i="39"/>
  <c r="AF92" i="39"/>
  <c r="AC92" i="39"/>
  <c r="X92" i="39"/>
  <c r="W92" i="39"/>
  <c r="IU92" i="39"/>
  <c r="L92" i="39"/>
  <c r="K92" i="39"/>
  <c r="M92" i="39"/>
  <c r="H92" i="39"/>
  <c r="PP91" i="39"/>
  <c r="PO91" i="39"/>
  <c r="NS91" i="39"/>
  <c r="NR91" i="39"/>
  <c r="NQ91" i="39"/>
  <c r="NP91" i="39"/>
  <c r="NO91" i="39"/>
  <c r="NN91" i="39"/>
  <c r="NM91" i="39"/>
  <c r="KT91" i="39"/>
  <c r="KB91" i="39"/>
  <c r="KA91" i="39"/>
  <c r="JZ91" i="39"/>
  <c r="JY91" i="39"/>
  <c r="JX91" i="39"/>
  <c r="JW91" i="39"/>
  <c r="JV91" i="39"/>
  <c r="JU91" i="39"/>
  <c r="JT91" i="39"/>
  <c r="JS91" i="39"/>
  <c r="JR91" i="39"/>
  <c r="JQ91" i="39"/>
  <c r="JP91" i="39"/>
  <c r="JB91" i="39"/>
  <c r="IY91" i="39"/>
  <c r="IX91" i="39"/>
  <c r="IT91" i="39"/>
  <c r="HF91" i="39"/>
  <c r="HD91" i="39"/>
  <c r="GU91" i="39"/>
  <c r="GS91" i="39"/>
  <c r="GR91" i="39"/>
  <c r="GQ91" i="39"/>
  <c r="GP91" i="39"/>
  <c r="GO91" i="39"/>
  <c r="EH91" i="39"/>
  <c r="EG91" i="39"/>
  <c r="EA91" i="39"/>
  <c r="DZ91" i="39"/>
  <c r="DY91" i="39"/>
  <c r="DX91" i="39"/>
  <c r="DW91" i="39"/>
  <c r="DV91" i="39"/>
  <c r="CP91" i="39"/>
  <c r="KR91" i="39"/>
  <c r="CO91" i="39"/>
  <c r="KQ91" i="39"/>
  <c r="CN91" i="39"/>
  <c r="KP91" i="39"/>
  <c r="CM91" i="39"/>
  <c r="KO91" i="39"/>
  <c r="CL91" i="39"/>
  <c r="KN91" i="39"/>
  <c r="CK91" i="39"/>
  <c r="CJ91" i="39"/>
  <c r="KL91" i="39"/>
  <c r="CI91" i="39"/>
  <c r="GC91" i="39"/>
  <c r="CH91" i="39"/>
  <c r="KJ91" i="39"/>
  <c r="CG91" i="39"/>
  <c r="CF91" i="39"/>
  <c r="CE91" i="39"/>
  <c r="FZ91" i="39"/>
  <c r="CD91" i="39"/>
  <c r="KF91" i="39"/>
  <c r="BJ91" i="39"/>
  <c r="BI91" i="39"/>
  <c r="BH91" i="39"/>
  <c r="BG91" i="39"/>
  <c r="IP91" i="39"/>
  <c r="IO91" i="39"/>
  <c r="BF91" i="39"/>
  <c r="BB91" i="39"/>
  <c r="JC91" i="39"/>
  <c r="AO91" i="39"/>
  <c r="AJ91" i="39"/>
  <c r="AF91" i="39"/>
  <c r="BE91" i="39"/>
  <c r="AC91" i="39"/>
  <c r="X91" i="39"/>
  <c r="W91" i="39"/>
  <c r="IU91" i="39"/>
  <c r="L91" i="39"/>
  <c r="K91" i="39"/>
  <c r="M91" i="39"/>
  <c r="H91" i="39"/>
  <c r="PP90" i="39"/>
  <c r="PO90" i="39"/>
  <c r="NS90" i="39"/>
  <c r="NR90" i="39"/>
  <c r="NQ90" i="39"/>
  <c r="NP90" i="39"/>
  <c r="NO90" i="39"/>
  <c r="NN90" i="39"/>
  <c r="NM90" i="39"/>
  <c r="KT90" i="39"/>
  <c r="KB90" i="39"/>
  <c r="KA90" i="39"/>
  <c r="JZ90" i="39"/>
  <c r="JY90" i="39"/>
  <c r="JX90" i="39"/>
  <c r="JW90" i="39"/>
  <c r="JV90" i="39"/>
  <c r="JU90" i="39"/>
  <c r="JT90" i="39"/>
  <c r="JS90" i="39"/>
  <c r="JR90" i="39"/>
  <c r="JQ90" i="39"/>
  <c r="JP90" i="39"/>
  <c r="JB90" i="39"/>
  <c r="IY90" i="39"/>
  <c r="IX90" i="39"/>
  <c r="IT90" i="39"/>
  <c r="HF90" i="39"/>
  <c r="HD90" i="39"/>
  <c r="GU90" i="39"/>
  <c r="GS90" i="39"/>
  <c r="GR90" i="39"/>
  <c r="GQ90" i="39"/>
  <c r="GP90" i="39"/>
  <c r="GO90" i="39"/>
  <c r="EH90" i="39"/>
  <c r="EG90" i="39"/>
  <c r="EA90" i="39"/>
  <c r="DZ90" i="39"/>
  <c r="DY90" i="39"/>
  <c r="DX90" i="39"/>
  <c r="DW90" i="39"/>
  <c r="DV90" i="39"/>
  <c r="CP90" i="39"/>
  <c r="CO90" i="39"/>
  <c r="KQ90" i="39"/>
  <c r="CN90" i="39"/>
  <c r="KP90" i="39"/>
  <c r="CM90" i="39"/>
  <c r="KO90" i="39"/>
  <c r="CL90" i="39"/>
  <c r="KN90" i="39"/>
  <c r="CK90" i="39"/>
  <c r="CJ90" i="39"/>
  <c r="KL90" i="39"/>
  <c r="CI90" i="39"/>
  <c r="CH90" i="39"/>
  <c r="KJ90" i="39"/>
  <c r="CG90" i="39"/>
  <c r="KI90" i="39"/>
  <c r="CF90" i="39"/>
  <c r="KH90" i="39"/>
  <c r="CE90" i="39"/>
  <c r="FZ90" i="39"/>
  <c r="CD90" i="39"/>
  <c r="KF90" i="39"/>
  <c r="BJ90" i="39"/>
  <c r="BI90" i="39"/>
  <c r="BH90" i="39"/>
  <c r="BG90" i="39"/>
  <c r="IP90" i="39"/>
  <c r="IO90" i="39"/>
  <c r="BB90" i="39"/>
  <c r="JC90" i="39"/>
  <c r="AO90" i="39"/>
  <c r="AJ90" i="39"/>
  <c r="AF90" i="39"/>
  <c r="BE90" i="39"/>
  <c r="AC90" i="39"/>
  <c r="X90" i="39"/>
  <c r="W90" i="39"/>
  <c r="IU90" i="39"/>
  <c r="L90" i="39"/>
  <c r="K90" i="39"/>
  <c r="H90" i="39"/>
  <c r="PP89" i="39"/>
  <c r="PO89" i="39"/>
  <c r="NS89" i="39"/>
  <c r="NR89" i="39"/>
  <c r="NQ89" i="39"/>
  <c r="NP89" i="39"/>
  <c r="NO89" i="39"/>
  <c r="NN89" i="39"/>
  <c r="NM89" i="39"/>
  <c r="KT89" i="39"/>
  <c r="KB89" i="39"/>
  <c r="KA89" i="39"/>
  <c r="JZ89" i="39"/>
  <c r="JY89" i="39"/>
  <c r="JX89" i="39"/>
  <c r="JW89" i="39"/>
  <c r="JV89" i="39"/>
  <c r="JU89" i="39"/>
  <c r="JT89" i="39"/>
  <c r="JS89" i="39"/>
  <c r="JR89" i="39"/>
  <c r="JQ89" i="39"/>
  <c r="JP89" i="39"/>
  <c r="JB89" i="39"/>
  <c r="IY89" i="39"/>
  <c r="IX89" i="39"/>
  <c r="IT89" i="39"/>
  <c r="HF89" i="39"/>
  <c r="HD89" i="39"/>
  <c r="GU89" i="39"/>
  <c r="GS89" i="39"/>
  <c r="GR89" i="39"/>
  <c r="GQ89" i="39"/>
  <c r="GP89" i="39"/>
  <c r="GO89" i="39"/>
  <c r="EH89" i="39"/>
  <c r="EG89" i="39"/>
  <c r="EA89" i="39"/>
  <c r="DZ89" i="39"/>
  <c r="DY89" i="39"/>
  <c r="DX89" i="39"/>
  <c r="DW89" i="39"/>
  <c r="DV89" i="39"/>
  <c r="CP89" i="39"/>
  <c r="CO89" i="39"/>
  <c r="KQ89" i="39"/>
  <c r="CN89" i="39"/>
  <c r="KP89" i="39"/>
  <c r="CM89" i="39"/>
  <c r="KO89" i="39"/>
  <c r="CL89" i="39"/>
  <c r="KN89" i="39"/>
  <c r="CK89" i="39"/>
  <c r="CJ89" i="39"/>
  <c r="KL89" i="39"/>
  <c r="CI89" i="39"/>
  <c r="KK89" i="39"/>
  <c r="CH89" i="39"/>
  <c r="KJ89" i="39"/>
  <c r="CG89" i="39"/>
  <c r="KI89" i="39"/>
  <c r="CF89" i="39"/>
  <c r="GA89" i="39"/>
  <c r="CE89" i="39"/>
  <c r="FZ89" i="39"/>
  <c r="CD89" i="39"/>
  <c r="KF89" i="39"/>
  <c r="BJ89" i="39"/>
  <c r="BI89" i="39"/>
  <c r="BH89" i="39"/>
  <c r="BG89" i="39"/>
  <c r="IP89" i="39"/>
  <c r="BF89" i="39"/>
  <c r="BB89" i="39"/>
  <c r="JC89" i="39"/>
  <c r="AO89" i="39"/>
  <c r="AJ89" i="39"/>
  <c r="AF89" i="39"/>
  <c r="BE89" i="39"/>
  <c r="AC89" i="39"/>
  <c r="X89" i="39"/>
  <c r="W89" i="39"/>
  <c r="IU89" i="39"/>
  <c r="L89" i="39"/>
  <c r="K89" i="39"/>
  <c r="H89" i="39"/>
  <c r="PP88" i="39"/>
  <c r="PO88" i="39"/>
  <c r="NS88" i="39"/>
  <c r="NR88" i="39"/>
  <c r="NQ88" i="39"/>
  <c r="NP88" i="39"/>
  <c r="NO88" i="39"/>
  <c r="NN88" i="39"/>
  <c r="NM88" i="39"/>
  <c r="KT88" i="39"/>
  <c r="KB88" i="39"/>
  <c r="KA88" i="39"/>
  <c r="JZ88" i="39"/>
  <c r="JY88" i="39"/>
  <c r="JX88" i="39"/>
  <c r="JW88" i="39"/>
  <c r="JV88" i="39"/>
  <c r="JU88" i="39"/>
  <c r="JT88" i="39"/>
  <c r="JS88" i="39"/>
  <c r="JR88" i="39"/>
  <c r="JQ88" i="39"/>
  <c r="JP88" i="39"/>
  <c r="JB88" i="39"/>
  <c r="IY88" i="39"/>
  <c r="IX88" i="39"/>
  <c r="IT88" i="39"/>
  <c r="HF88" i="39"/>
  <c r="HD88" i="39"/>
  <c r="GU88" i="39"/>
  <c r="GS88" i="39"/>
  <c r="GR88" i="39"/>
  <c r="GQ88" i="39"/>
  <c r="GP88" i="39"/>
  <c r="GO88" i="39"/>
  <c r="EH88" i="39"/>
  <c r="EG88" i="39"/>
  <c r="EA88" i="39"/>
  <c r="DY88" i="39"/>
  <c r="DX88" i="39"/>
  <c r="DW88" i="39"/>
  <c r="CP88" i="39"/>
  <c r="CO88" i="39"/>
  <c r="KQ88" i="39"/>
  <c r="CN88" i="39"/>
  <c r="KP88" i="39"/>
  <c r="CM88" i="39"/>
  <c r="KO88" i="39"/>
  <c r="CL88" i="39"/>
  <c r="KN88" i="39"/>
  <c r="CK88" i="39"/>
  <c r="KM88" i="39"/>
  <c r="CJ88" i="39"/>
  <c r="KL88" i="39"/>
  <c r="CI88" i="39"/>
  <c r="CH88" i="39"/>
  <c r="KJ88" i="39"/>
  <c r="CG88" i="39"/>
  <c r="KI88" i="39"/>
  <c r="CF88" i="39"/>
  <c r="GA88" i="39"/>
  <c r="CE88" i="39"/>
  <c r="KG88" i="39"/>
  <c r="CD88" i="39"/>
  <c r="KF88" i="39"/>
  <c r="BJ88" i="39"/>
  <c r="BI88" i="39"/>
  <c r="BH88" i="39"/>
  <c r="BG88" i="39"/>
  <c r="IP88" i="39"/>
  <c r="IO88" i="39"/>
  <c r="BF88" i="39"/>
  <c r="BB88" i="39"/>
  <c r="JC88" i="39"/>
  <c r="AO88" i="39"/>
  <c r="AJ88" i="39"/>
  <c r="AC88" i="39"/>
  <c r="X88" i="39"/>
  <c r="W88" i="39"/>
  <c r="IU88" i="39"/>
  <c r="L88" i="39"/>
  <c r="K88" i="39"/>
  <c r="H88" i="39"/>
  <c r="PP87" i="39"/>
  <c r="PO87" i="39"/>
  <c r="NS87" i="39"/>
  <c r="NR87" i="39"/>
  <c r="NQ87" i="39"/>
  <c r="NP87" i="39"/>
  <c r="NO87" i="39"/>
  <c r="NN87" i="39"/>
  <c r="NM87" i="39"/>
  <c r="KT87" i="39"/>
  <c r="KB87" i="39"/>
  <c r="KA87" i="39"/>
  <c r="JZ87" i="39"/>
  <c r="JY87" i="39"/>
  <c r="JX87" i="39"/>
  <c r="JW87" i="39"/>
  <c r="JV87" i="39"/>
  <c r="JU87" i="39"/>
  <c r="JT87" i="39"/>
  <c r="JS87" i="39"/>
  <c r="JR87" i="39"/>
  <c r="JQ87" i="39"/>
  <c r="JP87" i="39"/>
  <c r="JB87" i="39"/>
  <c r="HW87" i="39"/>
  <c r="IY87" i="39"/>
  <c r="IX87" i="39"/>
  <c r="IT87" i="39"/>
  <c r="HF87" i="39"/>
  <c r="HD87" i="39"/>
  <c r="GU87" i="39"/>
  <c r="GS87" i="39"/>
  <c r="GR87" i="39"/>
  <c r="GQ87" i="39"/>
  <c r="GP87" i="39"/>
  <c r="GO87" i="39"/>
  <c r="EH87" i="39"/>
  <c r="EG87" i="39"/>
  <c r="EA87" i="39"/>
  <c r="DZ87" i="39"/>
  <c r="DY87" i="39"/>
  <c r="DX87" i="39"/>
  <c r="DW87" i="39"/>
  <c r="DV87" i="39"/>
  <c r="CP87" i="39"/>
  <c r="CO87" i="39"/>
  <c r="KQ87" i="39"/>
  <c r="CN87" i="39"/>
  <c r="KP87" i="39"/>
  <c r="CM87" i="39"/>
  <c r="KO87" i="39"/>
  <c r="CL87" i="39"/>
  <c r="KN87" i="39"/>
  <c r="CK87" i="39"/>
  <c r="KM87" i="39"/>
  <c r="CJ87" i="39"/>
  <c r="KL87" i="39"/>
  <c r="CI87" i="39"/>
  <c r="GC87" i="39"/>
  <c r="CH87" i="39"/>
  <c r="KJ87" i="39"/>
  <c r="CG87" i="39"/>
  <c r="KI87" i="39"/>
  <c r="CF87" i="39"/>
  <c r="CE87" i="39"/>
  <c r="CD87" i="39"/>
  <c r="BJ87" i="39"/>
  <c r="BI87" i="39"/>
  <c r="BH87" i="39"/>
  <c r="BG87" i="39"/>
  <c r="IP87" i="39"/>
  <c r="BF87" i="39"/>
  <c r="BB87" i="39"/>
  <c r="PG87" i="39"/>
  <c r="AO87" i="39"/>
  <c r="AJ87" i="39"/>
  <c r="AF87" i="39"/>
  <c r="BE87" i="39"/>
  <c r="AC87" i="39"/>
  <c r="X87" i="39"/>
  <c r="W87" i="39"/>
  <c r="IU87" i="39"/>
  <c r="T87" i="39"/>
  <c r="S87" i="39"/>
  <c r="U87" i="39"/>
  <c r="Q87" i="39"/>
  <c r="P87" i="39"/>
  <c r="L87" i="39"/>
  <c r="K87" i="39"/>
  <c r="H87" i="39"/>
  <c r="DZ88" i="39"/>
  <c r="DV107" i="39"/>
  <c r="DZ107" i="39"/>
  <c r="BF95" i="39"/>
  <c r="BF97" i="39"/>
  <c r="Z12" i="21"/>
  <c r="Z11" i="21"/>
  <c r="Z10" i="21"/>
  <c r="Z9" i="21"/>
  <c r="AJ74" i="39"/>
  <c r="AJ75" i="39"/>
  <c r="W52" i="39"/>
  <c r="IU52" i="39"/>
  <c r="AB53" i="21"/>
  <c r="PO53" i="21"/>
  <c r="PP53" i="21"/>
  <c r="BB53" i="21"/>
  <c r="NM53" i="21"/>
  <c r="NN53" i="21"/>
  <c r="NO53" i="21"/>
  <c r="NP53" i="21"/>
  <c r="NQ53" i="21"/>
  <c r="NR53" i="21"/>
  <c r="NS53" i="21"/>
  <c r="KT53" i="21"/>
  <c r="CP53" i="21"/>
  <c r="KR53" i="21"/>
  <c r="CO53" i="21"/>
  <c r="KQ53" i="21"/>
  <c r="CN53" i="21"/>
  <c r="KP53" i="21"/>
  <c r="CM53" i="21"/>
  <c r="KO53" i="21"/>
  <c r="CL53" i="21"/>
  <c r="KN53" i="21"/>
  <c r="CK53" i="21"/>
  <c r="GD53" i="21"/>
  <c r="CJ53" i="21"/>
  <c r="KL53" i="21"/>
  <c r="CI53" i="21"/>
  <c r="GC53" i="21"/>
  <c r="CH53" i="21"/>
  <c r="KJ53" i="21"/>
  <c r="CG53" i="21"/>
  <c r="GB53" i="21"/>
  <c r="CF53" i="21"/>
  <c r="GA53" i="21"/>
  <c r="CE53" i="21"/>
  <c r="FZ53" i="21"/>
  <c r="CD53" i="21"/>
  <c r="KF53" i="21"/>
  <c r="KB53" i="21"/>
  <c r="KA53" i="21"/>
  <c r="JZ53" i="21"/>
  <c r="JY53" i="21"/>
  <c r="JX53" i="21"/>
  <c r="JW53" i="21"/>
  <c r="JV53" i="21"/>
  <c r="JU53" i="21"/>
  <c r="JT53" i="21"/>
  <c r="JS53" i="21"/>
  <c r="JR53" i="21"/>
  <c r="JQ53" i="21"/>
  <c r="JP53" i="21"/>
  <c r="BG53" i="21"/>
  <c r="IP53" i="21"/>
  <c r="IQ53" i="21"/>
  <c r="GO53" i="21"/>
  <c r="JB53" i="21"/>
  <c r="HW53" i="21"/>
  <c r="HX53" i="21"/>
  <c r="BH53" i="21"/>
  <c r="BI53" i="21"/>
  <c r="HD53" i="21"/>
  <c r="HF53" i="21"/>
  <c r="IX53" i="21"/>
  <c r="W53" i="21"/>
  <c r="IU53" i="21"/>
  <c r="IT53" i="21"/>
  <c r="GU53" i="21"/>
  <c r="GP53" i="21"/>
  <c r="GR53" i="21"/>
  <c r="GS53" i="21"/>
  <c r="EH53" i="21"/>
  <c r="EG53" i="21"/>
  <c r="DW53" i="21"/>
  <c r="DX53" i="21"/>
  <c r="DY53" i="21"/>
  <c r="DZ53" i="21"/>
  <c r="EA53" i="21"/>
  <c r="DV53" i="21"/>
  <c r="BF53" i="21"/>
  <c r="BJ53" i="21"/>
  <c r="AF53" i="21"/>
  <c r="BE53" i="21"/>
  <c r="AJ53" i="21"/>
  <c r="AC53" i="21"/>
  <c r="X53" i="21"/>
  <c r="S53" i="21"/>
  <c r="U53" i="21"/>
  <c r="T53" i="21"/>
  <c r="K53" i="21"/>
  <c r="M53" i="21"/>
  <c r="L53" i="21"/>
  <c r="H53" i="21"/>
  <c r="AE13" i="39"/>
  <c r="AE12" i="34"/>
  <c r="AE11" i="34"/>
  <c r="AE10" i="34"/>
  <c r="AE9" i="34"/>
  <c r="AE10" i="33"/>
  <c r="AE9" i="33"/>
  <c r="Z61" i="39"/>
  <c r="Z20" i="34"/>
  <c r="W81" i="39"/>
  <c r="W79" i="39"/>
  <c r="IU79" i="39"/>
  <c r="W77" i="39"/>
  <c r="IU77" i="39"/>
  <c r="W78" i="39"/>
  <c r="W80" i="39"/>
  <c r="Z19" i="34"/>
  <c r="W19" i="34"/>
  <c r="X19" i="34"/>
  <c r="Z81" i="39"/>
  <c r="Z79" i="39"/>
  <c r="Z77" i="39"/>
  <c r="Z52" i="39"/>
  <c r="AO86" i="39"/>
  <c r="AO85" i="39"/>
  <c r="AO84" i="39"/>
  <c r="AO83" i="39"/>
  <c r="AO82" i="39"/>
  <c r="AO81" i="39"/>
  <c r="AO80" i="39"/>
  <c r="AO79" i="39"/>
  <c r="AO78" i="39"/>
  <c r="AO77" i="39"/>
  <c r="AO76" i="39"/>
  <c r="AO75" i="39"/>
  <c r="AO74" i="39"/>
  <c r="AO73" i="39"/>
  <c r="AO72" i="39"/>
  <c r="AO71" i="39"/>
  <c r="AO70" i="39"/>
  <c r="AO69" i="39"/>
  <c r="AO68" i="39"/>
  <c r="AO67" i="39"/>
  <c r="AO66" i="39"/>
  <c r="AO65" i="39"/>
  <c r="AO64" i="39"/>
  <c r="AO63" i="39"/>
  <c r="AO62" i="39"/>
  <c r="AO61" i="39"/>
  <c r="AO60" i="39"/>
  <c r="AO59" i="39"/>
  <c r="AO58" i="39"/>
  <c r="AO57" i="39"/>
  <c r="AO56" i="39"/>
  <c r="AO55" i="39"/>
  <c r="AO54" i="39"/>
  <c r="AO53" i="39"/>
  <c r="AO52" i="39"/>
  <c r="AO51" i="39"/>
  <c r="AO50" i="39"/>
  <c r="AO49" i="39"/>
  <c r="AO48" i="39"/>
  <c r="AO47" i="39"/>
  <c r="AO46" i="39"/>
  <c r="AO45" i="39"/>
  <c r="AO44" i="39"/>
  <c r="AO43" i="39"/>
  <c r="AO42" i="39"/>
  <c r="AO41" i="39"/>
  <c r="AO40" i="39"/>
  <c r="AO39" i="39"/>
  <c r="AO38" i="39"/>
  <c r="AO37" i="39"/>
  <c r="AO36" i="39"/>
  <c r="AO35" i="39"/>
  <c r="AO34" i="39"/>
  <c r="AO33" i="39"/>
  <c r="AO32" i="39"/>
  <c r="AO31" i="39"/>
  <c r="AO30" i="39"/>
  <c r="AO29" i="39"/>
  <c r="AO28" i="39"/>
  <c r="AO27" i="39"/>
  <c r="AO26" i="39"/>
  <c r="AO25" i="39"/>
  <c r="AO24" i="39"/>
  <c r="AO23" i="39"/>
  <c r="AO22" i="39"/>
  <c r="AO21" i="39"/>
  <c r="AO20" i="39"/>
  <c r="AO19" i="39"/>
  <c r="AO18" i="39"/>
  <c r="AO17" i="39"/>
  <c r="AO16" i="39"/>
  <c r="AO15" i="39"/>
  <c r="AO14" i="39"/>
  <c r="AO13" i="39"/>
  <c r="AO12" i="39"/>
  <c r="AO11" i="39"/>
  <c r="AO10" i="39"/>
  <c r="AO9" i="39"/>
  <c r="AB22" i="31"/>
  <c r="PO22" i="31"/>
  <c r="PP22" i="31"/>
  <c r="G22" i="31"/>
  <c r="DZ22" i="31"/>
  <c r="BB22" i="31"/>
  <c r="JC22" i="31"/>
  <c r="OG22" i="31"/>
  <c r="OQ22" i="31"/>
  <c r="OT22" i="31"/>
  <c r="O22" i="31"/>
  <c r="BH22" i="31"/>
  <c r="BI22" i="31"/>
  <c r="HD22" i="31"/>
  <c r="OI22" i="31"/>
  <c r="OS22" i="31"/>
  <c r="K22" i="31"/>
  <c r="OO22" i="31"/>
  <c r="OF22" i="31"/>
  <c r="OE22" i="31"/>
  <c r="NY22" i="31"/>
  <c r="NM22" i="31"/>
  <c r="NN22" i="31"/>
  <c r="NO22" i="31"/>
  <c r="NP22" i="31"/>
  <c r="NQ22" i="31"/>
  <c r="NR22" i="31"/>
  <c r="NS22" i="31"/>
  <c r="KT22" i="31"/>
  <c r="CP22" i="31"/>
  <c r="GE22" i="31"/>
  <c r="CO22" i="31"/>
  <c r="KQ22" i="31"/>
  <c r="CN22" i="31"/>
  <c r="KP22" i="31"/>
  <c r="CM22" i="31"/>
  <c r="KO22" i="31"/>
  <c r="CL22" i="31"/>
  <c r="KN22" i="31"/>
  <c r="CK22" i="31"/>
  <c r="GD22" i="31"/>
  <c r="CJ22" i="31"/>
  <c r="KL22" i="31"/>
  <c r="CI22" i="31"/>
  <c r="KK22" i="31"/>
  <c r="CH22" i="31"/>
  <c r="KJ22" i="31"/>
  <c r="CG22" i="31"/>
  <c r="KI22" i="31"/>
  <c r="CF22" i="31"/>
  <c r="GA22" i="31"/>
  <c r="CE22" i="31"/>
  <c r="CD22" i="31"/>
  <c r="KF22" i="31"/>
  <c r="KB22" i="31"/>
  <c r="KA22" i="31"/>
  <c r="JZ22" i="31"/>
  <c r="JY22" i="31"/>
  <c r="JX22" i="31"/>
  <c r="JW22" i="31"/>
  <c r="JV22" i="31"/>
  <c r="JU22" i="31"/>
  <c r="JT22" i="31"/>
  <c r="JS22" i="31"/>
  <c r="JR22" i="31"/>
  <c r="JQ22" i="31"/>
  <c r="JP22" i="31"/>
  <c r="BG22" i="31"/>
  <c r="GO22" i="31"/>
  <c r="GP22" i="31"/>
  <c r="GQ22" i="31"/>
  <c r="GR22" i="31"/>
  <c r="JB22" i="31"/>
  <c r="HF22" i="31"/>
  <c r="IX22" i="31"/>
  <c r="W22" i="31"/>
  <c r="IT22" i="31"/>
  <c r="GU22" i="31"/>
  <c r="GS22" i="31"/>
  <c r="EH22" i="31"/>
  <c r="EG22" i="31"/>
  <c r="DW22" i="31"/>
  <c r="DX22" i="31"/>
  <c r="DY22" i="31"/>
  <c r="EA22" i="31"/>
  <c r="BF22" i="31"/>
  <c r="BJ22" i="31"/>
  <c r="AF22" i="31"/>
  <c r="BE22" i="31"/>
  <c r="AJ22" i="31"/>
  <c r="AC22" i="31"/>
  <c r="X22" i="31"/>
  <c r="S22" i="31"/>
  <c r="U22" i="31"/>
  <c r="T22" i="31"/>
  <c r="P22" i="31"/>
  <c r="L22" i="31"/>
  <c r="H22" i="31"/>
  <c r="PP64" i="35"/>
  <c r="PO64" i="35"/>
  <c r="PP63" i="35"/>
  <c r="PO63" i="35"/>
  <c r="PP62" i="35"/>
  <c r="PO62" i="35"/>
  <c r="PP61" i="35"/>
  <c r="PO61" i="35"/>
  <c r="PP60" i="35"/>
  <c r="PO60" i="35"/>
  <c r="PP59" i="35"/>
  <c r="PO59" i="35"/>
  <c r="PP58" i="35"/>
  <c r="PO58" i="35"/>
  <c r="PP57" i="35"/>
  <c r="PO57" i="35"/>
  <c r="PP56" i="35"/>
  <c r="PO56" i="35"/>
  <c r="PP55" i="35"/>
  <c r="PO55" i="35"/>
  <c r="PP54" i="35"/>
  <c r="PO54" i="35"/>
  <c r="PP53" i="35"/>
  <c r="PO53" i="35"/>
  <c r="PP52" i="35"/>
  <c r="PO52" i="35"/>
  <c r="PP51" i="35"/>
  <c r="PO51" i="35"/>
  <c r="PP50" i="35"/>
  <c r="PO50" i="35"/>
  <c r="PP49" i="35"/>
  <c r="PO49" i="35"/>
  <c r="PP48" i="35"/>
  <c r="PO48" i="35"/>
  <c r="PP47" i="35"/>
  <c r="PO47" i="35"/>
  <c r="PP46" i="35"/>
  <c r="PO46" i="35"/>
  <c r="PP45" i="35"/>
  <c r="PO45" i="35"/>
  <c r="PP44" i="35"/>
  <c r="PO44" i="35"/>
  <c r="PP43" i="35"/>
  <c r="PO43" i="35"/>
  <c r="PP42" i="35"/>
  <c r="PO42" i="35"/>
  <c r="PP41" i="35"/>
  <c r="PO41" i="35"/>
  <c r="PP40" i="35"/>
  <c r="PO40" i="35"/>
  <c r="PP39" i="35"/>
  <c r="PO39" i="35"/>
  <c r="PP38" i="35"/>
  <c r="PO38" i="35"/>
  <c r="PP37" i="35"/>
  <c r="PO37" i="35"/>
  <c r="PP36" i="35"/>
  <c r="PO36" i="35"/>
  <c r="PP35" i="35"/>
  <c r="PO35" i="35"/>
  <c r="PP34" i="35"/>
  <c r="PO34" i="35"/>
  <c r="PP33" i="35"/>
  <c r="PO33" i="35"/>
  <c r="PP32" i="35"/>
  <c r="PO32" i="35"/>
  <c r="PP31" i="35"/>
  <c r="PO31" i="35"/>
  <c r="PP30" i="35"/>
  <c r="PO30" i="35"/>
  <c r="PP29" i="35"/>
  <c r="PO29" i="35"/>
  <c r="PP28" i="35"/>
  <c r="PO28" i="35"/>
  <c r="PP27" i="35"/>
  <c r="PO27" i="35"/>
  <c r="PP26" i="35"/>
  <c r="PO26" i="35"/>
  <c r="PP25" i="35"/>
  <c r="PO25" i="35"/>
  <c r="PP24" i="35"/>
  <c r="PP23" i="35"/>
  <c r="PP22" i="35"/>
  <c r="PP21" i="35"/>
  <c r="PP20" i="35"/>
  <c r="PO20" i="35"/>
  <c r="PP19" i="35"/>
  <c r="PO19" i="35"/>
  <c r="PP18" i="35"/>
  <c r="PO18" i="35"/>
  <c r="PP17" i="35"/>
  <c r="PO17" i="35"/>
  <c r="PP16" i="35"/>
  <c r="PO16" i="35"/>
  <c r="PP15" i="35"/>
  <c r="PO15" i="35"/>
  <c r="PP14" i="35"/>
  <c r="PO14" i="35"/>
  <c r="PP13" i="35"/>
  <c r="PO13" i="35"/>
  <c r="PP12" i="35"/>
  <c r="PO12" i="35"/>
  <c r="PP11" i="35"/>
  <c r="PO11" i="35"/>
  <c r="PP10" i="35"/>
  <c r="PO10" i="35"/>
  <c r="PP61" i="34"/>
  <c r="PO61" i="34"/>
  <c r="PP60" i="34"/>
  <c r="PO60" i="34"/>
  <c r="PP59" i="34"/>
  <c r="PO59" i="34"/>
  <c r="PP58" i="34"/>
  <c r="PO58" i="34"/>
  <c r="PP57" i="34"/>
  <c r="PO57" i="34"/>
  <c r="PP55" i="34"/>
  <c r="PO55" i="34"/>
  <c r="PP54" i="34"/>
  <c r="PO54" i="34"/>
  <c r="PP53" i="34"/>
  <c r="PO53" i="34"/>
  <c r="PP51" i="34"/>
  <c r="PO51" i="34"/>
  <c r="PP50" i="34"/>
  <c r="PO50" i="34"/>
  <c r="PP49" i="34"/>
  <c r="PO49" i="34"/>
  <c r="PP48" i="34"/>
  <c r="PO48" i="34"/>
  <c r="PP47" i="34"/>
  <c r="PO47" i="34"/>
  <c r="PP46" i="34"/>
  <c r="PO46" i="34"/>
  <c r="PP45" i="34"/>
  <c r="PO45" i="34"/>
  <c r="PP44" i="34"/>
  <c r="PO44" i="34"/>
  <c r="PP43" i="34"/>
  <c r="PO43" i="34"/>
  <c r="PP42" i="34"/>
  <c r="PO42" i="34"/>
  <c r="PP41" i="34"/>
  <c r="PO41" i="34"/>
  <c r="PP40" i="34"/>
  <c r="PO40" i="34"/>
  <c r="PP39" i="34"/>
  <c r="PO39" i="34"/>
  <c r="PP38" i="34"/>
  <c r="PO38" i="34"/>
  <c r="PP37" i="34"/>
  <c r="PO37" i="34"/>
  <c r="PP36" i="34"/>
  <c r="PO36" i="34"/>
  <c r="PP35" i="34"/>
  <c r="PO35" i="34"/>
  <c r="PP34" i="34"/>
  <c r="PO34" i="34"/>
  <c r="PP33" i="34"/>
  <c r="PO33" i="34"/>
  <c r="PP32" i="34"/>
  <c r="PO32" i="34"/>
  <c r="PP31" i="34"/>
  <c r="PO31" i="34"/>
  <c r="PP30" i="34"/>
  <c r="PO30" i="34"/>
  <c r="PP29" i="34"/>
  <c r="PO29" i="34"/>
  <c r="PP28" i="34"/>
  <c r="PO28" i="34"/>
  <c r="PP27" i="34"/>
  <c r="PO27" i="34"/>
  <c r="PP26" i="34"/>
  <c r="PO26" i="34"/>
  <c r="PP25" i="34"/>
  <c r="PO25" i="34"/>
  <c r="PP24" i="34"/>
  <c r="PO24" i="34"/>
  <c r="PP23" i="34"/>
  <c r="PO23" i="34"/>
  <c r="PP22" i="34"/>
  <c r="PO22" i="34"/>
  <c r="PP21" i="34"/>
  <c r="PO21" i="34"/>
  <c r="PP20" i="34"/>
  <c r="PO20" i="34"/>
  <c r="PP19" i="34"/>
  <c r="PO19" i="34"/>
  <c r="PP18" i="34"/>
  <c r="PO18" i="34"/>
  <c r="PP17" i="34"/>
  <c r="PO17" i="34"/>
  <c r="PP16" i="34"/>
  <c r="PO16" i="34"/>
  <c r="PP15" i="34"/>
  <c r="PO15" i="34"/>
  <c r="PP14" i="34"/>
  <c r="PO14" i="34"/>
  <c r="PP13" i="34"/>
  <c r="PO13" i="34"/>
  <c r="PO12" i="34"/>
  <c r="PO11" i="34"/>
  <c r="PO10" i="34"/>
  <c r="PP12" i="33"/>
  <c r="PO12" i="33"/>
  <c r="PO10" i="33"/>
  <c r="PP31" i="32"/>
  <c r="PO31" i="32"/>
  <c r="PP30" i="32"/>
  <c r="PO30" i="32"/>
  <c r="PP27" i="32"/>
  <c r="AB27" i="32"/>
  <c r="PO27" i="32"/>
  <c r="PP26" i="32"/>
  <c r="PO26" i="32"/>
  <c r="PP25" i="32"/>
  <c r="PO25" i="32"/>
  <c r="PP24" i="32"/>
  <c r="PO24" i="32"/>
  <c r="PP23" i="32"/>
  <c r="PO23" i="32"/>
  <c r="PP22" i="32"/>
  <c r="PO22" i="32"/>
  <c r="PP21" i="32"/>
  <c r="PO21" i="32"/>
  <c r="PP20" i="32"/>
  <c r="PO20" i="32"/>
  <c r="PP19" i="32"/>
  <c r="PO19" i="32"/>
  <c r="PP18" i="32"/>
  <c r="PO18" i="32"/>
  <c r="PP17" i="32"/>
  <c r="PO17" i="32"/>
  <c r="PP16" i="32"/>
  <c r="PO16" i="32"/>
  <c r="PP15" i="32"/>
  <c r="PO15" i="32"/>
  <c r="PP14" i="32"/>
  <c r="PO14" i="32"/>
  <c r="PP13" i="32"/>
  <c r="PO13" i="32"/>
  <c r="PP12" i="32"/>
  <c r="PO12" i="32"/>
  <c r="PP11" i="32"/>
  <c r="PO11" i="32"/>
  <c r="PP10" i="32"/>
  <c r="PO10" i="32"/>
  <c r="PP59" i="31"/>
  <c r="PO59" i="31"/>
  <c r="PP37" i="31"/>
  <c r="PO37" i="31"/>
  <c r="PP43" i="31"/>
  <c r="PO43" i="31"/>
  <c r="PP42" i="31"/>
  <c r="PO42" i="31"/>
  <c r="PP41" i="31"/>
  <c r="PO41" i="31"/>
  <c r="PP40" i="31"/>
  <c r="PO40" i="31"/>
  <c r="PP39" i="31"/>
  <c r="PO39" i="31"/>
  <c r="PP36" i="31"/>
  <c r="PO36" i="31"/>
  <c r="PP35" i="31"/>
  <c r="PO35" i="31"/>
  <c r="PP34" i="31"/>
  <c r="PO34" i="31"/>
  <c r="PP33" i="31"/>
  <c r="PO33" i="31"/>
  <c r="AB32" i="31"/>
  <c r="PP32" i="31"/>
  <c r="PO32" i="31"/>
  <c r="PO31" i="31"/>
  <c r="PP30" i="31"/>
  <c r="PO30" i="31"/>
  <c r="PP29" i="31"/>
  <c r="PO29" i="31"/>
  <c r="PP28" i="31"/>
  <c r="PO28" i="31"/>
  <c r="PP27" i="31"/>
  <c r="PO27" i="31"/>
  <c r="PP26" i="31"/>
  <c r="PO26" i="31"/>
  <c r="PP25" i="31"/>
  <c r="PO25" i="31"/>
  <c r="PP24" i="31"/>
  <c r="PO24" i="31"/>
  <c r="PP23" i="31"/>
  <c r="PO23" i="31"/>
  <c r="PP21" i="31"/>
  <c r="PO21" i="31"/>
  <c r="PP20" i="31"/>
  <c r="PO20" i="31"/>
  <c r="PP19" i="31"/>
  <c r="PO19" i="31"/>
  <c r="PP18" i="31"/>
  <c r="PO18" i="31"/>
  <c r="PP17" i="31"/>
  <c r="PO17" i="31"/>
  <c r="PP16" i="31"/>
  <c r="PO16" i="31"/>
  <c r="PP15" i="31"/>
  <c r="PO15" i="31"/>
  <c r="PP14" i="31"/>
  <c r="PO14" i="31"/>
  <c r="PP13" i="31"/>
  <c r="PO13" i="31"/>
  <c r="PP12" i="31"/>
  <c r="PO12" i="31"/>
  <c r="PP11" i="31"/>
  <c r="PO11" i="31"/>
  <c r="PP10" i="31"/>
  <c r="PO10" i="31"/>
  <c r="PP28" i="22"/>
  <c r="PO28" i="22"/>
  <c r="PP15" i="22"/>
  <c r="PO15" i="22"/>
  <c r="PP14" i="22"/>
  <c r="PO14" i="22"/>
  <c r="PP13" i="22"/>
  <c r="PO13" i="22"/>
  <c r="PP12" i="22"/>
  <c r="PO12" i="22"/>
  <c r="PP11" i="22"/>
  <c r="PO11" i="22"/>
  <c r="PP10" i="22"/>
  <c r="PO10" i="22"/>
  <c r="PP49" i="21"/>
  <c r="PO49" i="21"/>
  <c r="PP48" i="21"/>
  <c r="PO48" i="21"/>
  <c r="PP47" i="21"/>
  <c r="PO47" i="21"/>
  <c r="PP46" i="21"/>
  <c r="PO46" i="21"/>
  <c r="AB42" i="21"/>
  <c r="PP42" i="21"/>
  <c r="PO42" i="21"/>
  <c r="AB41" i="21"/>
  <c r="PP41" i="21"/>
  <c r="PO41" i="21"/>
  <c r="PP40" i="21"/>
  <c r="PO40" i="21"/>
  <c r="PP39" i="21"/>
  <c r="PO39" i="21"/>
  <c r="PP38" i="21"/>
  <c r="PO38" i="21"/>
  <c r="PP37" i="21"/>
  <c r="PO37" i="21"/>
  <c r="PP36" i="21"/>
  <c r="PO36" i="21"/>
  <c r="PP35" i="21"/>
  <c r="PO35" i="21"/>
  <c r="PP34" i="21"/>
  <c r="PO34" i="21"/>
  <c r="PP33" i="21"/>
  <c r="PO33" i="21"/>
  <c r="PP32" i="21"/>
  <c r="PO32" i="21"/>
  <c r="PP31" i="21"/>
  <c r="PO31" i="21"/>
  <c r="PP30" i="21"/>
  <c r="PO30" i="21"/>
  <c r="PP29" i="21"/>
  <c r="PO29" i="21"/>
  <c r="PP28" i="21"/>
  <c r="PO28" i="21"/>
  <c r="PP27" i="21"/>
  <c r="PO27" i="21"/>
  <c r="PP26" i="21"/>
  <c r="PO26" i="21"/>
  <c r="PP25" i="21"/>
  <c r="PO25" i="21"/>
  <c r="PP24" i="21"/>
  <c r="PO24" i="21"/>
  <c r="PP23" i="21"/>
  <c r="PO23" i="21"/>
  <c r="PP22" i="21"/>
  <c r="PO22" i="21"/>
  <c r="PP21" i="21"/>
  <c r="PO21" i="21"/>
  <c r="PP20" i="21"/>
  <c r="PO20" i="21"/>
  <c r="PP19" i="21"/>
  <c r="PO19" i="21"/>
  <c r="PP18" i="21"/>
  <c r="PO18" i="21"/>
  <c r="PP17" i="21"/>
  <c r="PO17" i="21"/>
  <c r="PP16" i="21"/>
  <c r="PO16" i="21"/>
  <c r="PP15" i="21"/>
  <c r="PO15" i="21"/>
  <c r="PP14" i="21"/>
  <c r="PO14" i="21"/>
  <c r="PP13" i="21"/>
  <c r="PP12" i="21"/>
  <c r="PO12" i="21"/>
  <c r="PP11" i="21"/>
  <c r="PO11" i="21"/>
  <c r="PP10" i="21"/>
  <c r="PO10" i="21"/>
  <c r="PP86" i="39"/>
  <c r="PO86" i="39"/>
  <c r="PP85" i="39"/>
  <c r="PO85" i="39"/>
  <c r="PP84" i="39"/>
  <c r="PO84" i="39"/>
  <c r="PP83" i="39"/>
  <c r="PO83" i="39"/>
  <c r="PP82" i="39"/>
  <c r="PO82" i="39"/>
  <c r="PP81" i="39"/>
  <c r="PO81" i="39"/>
  <c r="PP80" i="39"/>
  <c r="PO80" i="39"/>
  <c r="PP79" i="39"/>
  <c r="PO79" i="39"/>
  <c r="PP78" i="39"/>
  <c r="PO78" i="39"/>
  <c r="PP77" i="39"/>
  <c r="PO77" i="39"/>
  <c r="PP76" i="39"/>
  <c r="PO76" i="39"/>
  <c r="PP75" i="39"/>
  <c r="PO75" i="39"/>
  <c r="PP74" i="39"/>
  <c r="PO74" i="39"/>
  <c r="PP73" i="39"/>
  <c r="PO73" i="39"/>
  <c r="PP72" i="39"/>
  <c r="PO72" i="39"/>
  <c r="PP71" i="39"/>
  <c r="PO71" i="39"/>
  <c r="PP70" i="39"/>
  <c r="PO70" i="39"/>
  <c r="PP69" i="39"/>
  <c r="PO69" i="39"/>
  <c r="PP68" i="39"/>
  <c r="PO68" i="39"/>
  <c r="PP67" i="39"/>
  <c r="PO67" i="39"/>
  <c r="PP66" i="39"/>
  <c r="PO66" i="39"/>
  <c r="PP65" i="39"/>
  <c r="PO65" i="39"/>
  <c r="PP64" i="39"/>
  <c r="PO64" i="39"/>
  <c r="PP63" i="39"/>
  <c r="PO63" i="39"/>
  <c r="PP62" i="39"/>
  <c r="PO62" i="39"/>
  <c r="PP61" i="39"/>
  <c r="PO61" i="39"/>
  <c r="AB60" i="39"/>
  <c r="PO60" i="39"/>
  <c r="PP59" i="39"/>
  <c r="PO59" i="39"/>
  <c r="PP58" i="39"/>
  <c r="PO58" i="39"/>
  <c r="PP57" i="39"/>
  <c r="PO57" i="39"/>
  <c r="PP56" i="39"/>
  <c r="AB56" i="39"/>
  <c r="PO56" i="39"/>
  <c r="PP55" i="39"/>
  <c r="PO55" i="39"/>
  <c r="PP54" i="39"/>
  <c r="PO54" i="39"/>
  <c r="PP53" i="39"/>
  <c r="PO53" i="39"/>
  <c r="PP52" i="39"/>
  <c r="PO52" i="39"/>
  <c r="PP51" i="39"/>
  <c r="PO51" i="39"/>
  <c r="PP50" i="39"/>
  <c r="PO50" i="39"/>
  <c r="PP49" i="39"/>
  <c r="PO49" i="39"/>
  <c r="PP48" i="39"/>
  <c r="PO48" i="39"/>
  <c r="PP47" i="39"/>
  <c r="PO47" i="39"/>
  <c r="PP46" i="39"/>
  <c r="PO46" i="39"/>
  <c r="PP45" i="39"/>
  <c r="PO45" i="39"/>
  <c r="PP44" i="39"/>
  <c r="PO44" i="39"/>
  <c r="PP43" i="39"/>
  <c r="PO43" i="39"/>
  <c r="PP42" i="39"/>
  <c r="PO42" i="39"/>
  <c r="PP41" i="39"/>
  <c r="PO41" i="39"/>
  <c r="PP40" i="39"/>
  <c r="PO40" i="39"/>
  <c r="PP39" i="39"/>
  <c r="PO39" i="39"/>
  <c r="PP38" i="39"/>
  <c r="PO38" i="39"/>
  <c r="PP37" i="39"/>
  <c r="PO37" i="39"/>
  <c r="PP36" i="39"/>
  <c r="PO36" i="39"/>
  <c r="PP35" i="39"/>
  <c r="PO35" i="39"/>
  <c r="PP34" i="39"/>
  <c r="PO34" i="39"/>
  <c r="PP33" i="39"/>
  <c r="PO33" i="39"/>
  <c r="PP32" i="39"/>
  <c r="PO32" i="39"/>
  <c r="PP31" i="39"/>
  <c r="PO31" i="39"/>
  <c r="PP30" i="39"/>
  <c r="PO30" i="39"/>
  <c r="PP29" i="39"/>
  <c r="PO29" i="39"/>
  <c r="PP28" i="39"/>
  <c r="PO28" i="39"/>
  <c r="PP27" i="39"/>
  <c r="PO27" i="39"/>
  <c r="PP26" i="39"/>
  <c r="PO26" i="39"/>
  <c r="PP25" i="39"/>
  <c r="PO25" i="39"/>
  <c r="PP24" i="39"/>
  <c r="PO24" i="39"/>
  <c r="PP23" i="39"/>
  <c r="PO23" i="39"/>
  <c r="PP22" i="39"/>
  <c r="PO22" i="39"/>
  <c r="PP21" i="39"/>
  <c r="PO21" i="39"/>
  <c r="PP20" i="39"/>
  <c r="PO20" i="39"/>
  <c r="PP19" i="39"/>
  <c r="PO19" i="39"/>
  <c r="PP18" i="39"/>
  <c r="PO18" i="39"/>
  <c r="PP17" i="39"/>
  <c r="PO17" i="39"/>
  <c r="PP16" i="39"/>
  <c r="PO16" i="39"/>
  <c r="PP15" i="39"/>
  <c r="PO15" i="39"/>
  <c r="PP14" i="39"/>
  <c r="PO14" i="39"/>
  <c r="PP13" i="39"/>
  <c r="PP12" i="39"/>
  <c r="PO12" i="39"/>
  <c r="PP11" i="39"/>
  <c r="PO11" i="39"/>
  <c r="PP10" i="39"/>
  <c r="PO10" i="39"/>
  <c r="PP123" i="19"/>
  <c r="PO123" i="19"/>
  <c r="PP112" i="19"/>
  <c r="PO112" i="19"/>
  <c r="PP111" i="19"/>
  <c r="PO111" i="19"/>
  <c r="PP107" i="19"/>
  <c r="PO107" i="19"/>
  <c r="PP106" i="19"/>
  <c r="PO106" i="19"/>
  <c r="PP105" i="19"/>
  <c r="PO105" i="19"/>
  <c r="PP104" i="19"/>
  <c r="PO104" i="19"/>
  <c r="PP103" i="19"/>
  <c r="PO103" i="19"/>
  <c r="PP102" i="19"/>
  <c r="PO102" i="19"/>
  <c r="PP101" i="19"/>
  <c r="PO101" i="19"/>
  <c r="PP100" i="19"/>
  <c r="PO100" i="19"/>
  <c r="PP99" i="19"/>
  <c r="PO99" i="19"/>
  <c r="PP98" i="19"/>
  <c r="PO98" i="19"/>
  <c r="PP97" i="19"/>
  <c r="PO97" i="19"/>
  <c r="PP96" i="19"/>
  <c r="PO96" i="19"/>
  <c r="PP95" i="19"/>
  <c r="PO95" i="19"/>
  <c r="PP94" i="19"/>
  <c r="PO94" i="19"/>
  <c r="PP93" i="19"/>
  <c r="PO93" i="19"/>
  <c r="PP92" i="19"/>
  <c r="PO92" i="19"/>
  <c r="PP91" i="19"/>
  <c r="PO91" i="19"/>
  <c r="PP90" i="19"/>
  <c r="PO90" i="19"/>
  <c r="PP89" i="19"/>
  <c r="PO89" i="19"/>
  <c r="PP88" i="19"/>
  <c r="PO88" i="19"/>
  <c r="PP87" i="19"/>
  <c r="PO87" i="19"/>
  <c r="PP86" i="19"/>
  <c r="PO86" i="19"/>
  <c r="PP85" i="19"/>
  <c r="PO85" i="19"/>
  <c r="PP84" i="19"/>
  <c r="PO84" i="19"/>
  <c r="PP83" i="19"/>
  <c r="PO83" i="19"/>
  <c r="PP82" i="19"/>
  <c r="PO82" i="19"/>
  <c r="PP81" i="19"/>
  <c r="PO81" i="19"/>
  <c r="PP80" i="19"/>
  <c r="PO80" i="19"/>
  <c r="PP79" i="19"/>
  <c r="PO79" i="19"/>
  <c r="PP78" i="19"/>
  <c r="PO78" i="19"/>
  <c r="PP77" i="19"/>
  <c r="PO77" i="19"/>
  <c r="PP76" i="19"/>
  <c r="PO76" i="19"/>
  <c r="PP75" i="19"/>
  <c r="PO75" i="19"/>
  <c r="PP74" i="19"/>
  <c r="PO74" i="19"/>
  <c r="PP73" i="19"/>
  <c r="PO73" i="19"/>
  <c r="PP72" i="19"/>
  <c r="PO72" i="19"/>
  <c r="PP71" i="19"/>
  <c r="PO71" i="19"/>
  <c r="PP70" i="19"/>
  <c r="PO70" i="19"/>
  <c r="PP69" i="19"/>
  <c r="PO69" i="19"/>
  <c r="PP68" i="19"/>
  <c r="PO68" i="19"/>
  <c r="PP67" i="19"/>
  <c r="PO67" i="19"/>
  <c r="PP66" i="19"/>
  <c r="PO66" i="19"/>
  <c r="PP65" i="19"/>
  <c r="PO65" i="19"/>
  <c r="PP64" i="19"/>
  <c r="PO64" i="19"/>
  <c r="PP63" i="19"/>
  <c r="PO63" i="19"/>
  <c r="PP62" i="19"/>
  <c r="PO62" i="19"/>
  <c r="PP61" i="19"/>
  <c r="AB61" i="19"/>
  <c r="PO61" i="19"/>
  <c r="PP60" i="19"/>
  <c r="PO60" i="19"/>
  <c r="PP59" i="19"/>
  <c r="PO59" i="19"/>
  <c r="PP58" i="19"/>
  <c r="PO58" i="19"/>
  <c r="PP57" i="19"/>
  <c r="PO57" i="19"/>
  <c r="PP56" i="19"/>
  <c r="PO56" i="19"/>
  <c r="PP55" i="19"/>
  <c r="PO55" i="19"/>
  <c r="PP54" i="19"/>
  <c r="PO54" i="19"/>
  <c r="PP53" i="19"/>
  <c r="PO53" i="19"/>
  <c r="PP52" i="19"/>
  <c r="PO52" i="19"/>
  <c r="PP51" i="19"/>
  <c r="PO51" i="19"/>
  <c r="PP50" i="19"/>
  <c r="PO50" i="19"/>
  <c r="PP49" i="19"/>
  <c r="PO49" i="19"/>
  <c r="PP48" i="19"/>
  <c r="PO48" i="19"/>
  <c r="PP47" i="19"/>
  <c r="PO47" i="19"/>
  <c r="PP46" i="19"/>
  <c r="PO46" i="19"/>
  <c r="PP45" i="19"/>
  <c r="PO45" i="19"/>
  <c r="PP44" i="19"/>
  <c r="PO44" i="19"/>
  <c r="PP43" i="19"/>
  <c r="PO43" i="19"/>
  <c r="PP42" i="19"/>
  <c r="PO42" i="19"/>
  <c r="PP41" i="19"/>
  <c r="PO41" i="19"/>
  <c r="PP40" i="19"/>
  <c r="PO40" i="19"/>
  <c r="PP39" i="19"/>
  <c r="PO39" i="19"/>
  <c r="PP38" i="19"/>
  <c r="PP37" i="19"/>
  <c r="PO37" i="19"/>
  <c r="PP36" i="19"/>
  <c r="PO36" i="19"/>
  <c r="PP35" i="19"/>
  <c r="PO35" i="19"/>
  <c r="PP34" i="19"/>
  <c r="PO34" i="19"/>
  <c r="PP33" i="19"/>
  <c r="PO33" i="19"/>
  <c r="PO32" i="19"/>
  <c r="PP32" i="19"/>
  <c r="PP126" i="19"/>
  <c r="PP31" i="19"/>
  <c r="PO31" i="19"/>
  <c r="PP30" i="19"/>
  <c r="PO30" i="19"/>
  <c r="PP29" i="19"/>
  <c r="PO29" i="19"/>
  <c r="PP28" i="19"/>
  <c r="PO28" i="19"/>
  <c r="PP27" i="19"/>
  <c r="PO27" i="19"/>
  <c r="PP26" i="19"/>
  <c r="PO26" i="19"/>
  <c r="PP25" i="19"/>
  <c r="PO25" i="19"/>
  <c r="PP24" i="19"/>
  <c r="PO24" i="19"/>
  <c r="PP23" i="19"/>
  <c r="PO23" i="19"/>
  <c r="PP22" i="19"/>
  <c r="PO22" i="19"/>
  <c r="PP21" i="19"/>
  <c r="PO21" i="19"/>
  <c r="PP20" i="19"/>
  <c r="PO20" i="19"/>
  <c r="PP19" i="19"/>
  <c r="PO19" i="19"/>
  <c r="PP18" i="19"/>
  <c r="PO18" i="19"/>
  <c r="PP17" i="19"/>
  <c r="PO17" i="19"/>
  <c r="PP16" i="19"/>
  <c r="PO16" i="19"/>
  <c r="PP15" i="19"/>
  <c r="PO15" i="19"/>
  <c r="PP14" i="19"/>
  <c r="PO14" i="19"/>
  <c r="PP13" i="19"/>
  <c r="PO13" i="19"/>
  <c r="PP12" i="19"/>
  <c r="PO12" i="19"/>
  <c r="PP11" i="19"/>
  <c r="PO11" i="19"/>
  <c r="PP10" i="19"/>
  <c r="PO10" i="19"/>
  <c r="PP9" i="39"/>
  <c r="PO9" i="39"/>
  <c r="PP9" i="21"/>
  <c r="PO9" i="21"/>
  <c r="PP9" i="22"/>
  <c r="PO9" i="22"/>
  <c r="PP9" i="31"/>
  <c r="PO9" i="31"/>
  <c r="PP9" i="32"/>
  <c r="PO9" i="32"/>
  <c r="PO9" i="33"/>
  <c r="PO9" i="34"/>
  <c r="PP9" i="35"/>
  <c r="PO9" i="35"/>
  <c r="PP9" i="19"/>
  <c r="PO9" i="19"/>
  <c r="EH61" i="19"/>
  <c r="EG61" i="19"/>
  <c r="FF70" i="35"/>
  <c r="FF13" i="33"/>
  <c r="FF36" i="32"/>
  <c r="FF60" i="31"/>
  <c r="FF29" i="22"/>
  <c r="FF57" i="21"/>
  <c r="FF108" i="39"/>
  <c r="Z45" i="19"/>
  <c r="Z27" i="35"/>
  <c r="CF9" i="35"/>
  <c r="CG9" i="35"/>
  <c r="CI9" i="35"/>
  <c r="CK9" i="35"/>
  <c r="CP9" i="35"/>
  <c r="CF10" i="35"/>
  <c r="GA10" i="35"/>
  <c r="CG10" i="35"/>
  <c r="GB10" i="35"/>
  <c r="CI10" i="35"/>
  <c r="GC10" i="35"/>
  <c r="CK10" i="35"/>
  <c r="CP10" i="35"/>
  <c r="GE10" i="35"/>
  <c r="CF11" i="35"/>
  <c r="GA11" i="35"/>
  <c r="CG11" i="35"/>
  <c r="GB11" i="35"/>
  <c r="CI11" i="35"/>
  <c r="CK11" i="35"/>
  <c r="CP11" i="35"/>
  <c r="GE11" i="35"/>
  <c r="CF12" i="35"/>
  <c r="CG12" i="35"/>
  <c r="CI12" i="35"/>
  <c r="GC12" i="35"/>
  <c r="CK12" i="35"/>
  <c r="GD12" i="35"/>
  <c r="CP12" i="35"/>
  <c r="GE12" i="35"/>
  <c r="CF13" i="35"/>
  <c r="CG13" i="35"/>
  <c r="CI13" i="35"/>
  <c r="CK13" i="35"/>
  <c r="CP13" i="35"/>
  <c r="CF14" i="35"/>
  <c r="GA14" i="35"/>
  <c r="CG14" i="35"/>
  <c r="CI14" i="35"/>
  <c r="GC14" i="35"/>
  <c r="CK14" i="35"/>
  <c r="CP14" i="35"/>
  <c r="GE14" i="35"/>
  <c r="CF15" i="35"/>
  <c r="GA15" i="35"/>
  <c r="CG15" i="35"/>
  <c r="GB15" i="35"/>
  <c r="CI15" i="35"/>
  <c r="GC15" i="35"/>
  <c r="CK15" i="35"/>
  <c r="CP15" i="35"/>
  <c r="CF16" i="35"/>
  <c r="GA16" i="35"/>
  <c r="CG16" i="35"/>
  <c r="CI16" i="35"/>
  <c r="GC16" i="35"/>
  <c r="CK16" i="35"/>
  <c r="CP16" i="35"/>
  <c r="CF17" i="35"/>
  <c r="CG17" i="35"/>
  <c r="GB17" i="35"/>
  <c r="CI17" i="35"/>
  <c r="GC17" i="35"/>
  <c r="CK17" i="35"/>
  <c r="GD17" i="35"/>
  <c r="CP17" i="35"/>
  <c r="CF18" i="35"/>
  <c r="CG18" i="35"/>
  <c r="GB18" i="35"/>
  <c r="CI18" i="35"/>
  <c r="CK18" i="35"/>
  <c r="CP18" i="35"/>
  <c r="GE18" i="35"/>
  <c r="CF19" i="35"/>
  <c r="GA19" i="35"/>
  <c r="CG19" i="35"/>
  <c r="GB19" i="35"/>
  <c r="CI19" i="35"/>
  <c r="GC19" i="35"/>
  <c r="CK19" i="35"/>
  <c r="CP19" i="35"/>
  <c r="CF20" i="35"/>
  <c r="GA20" i="35"/>
  <c r="CG20" i="35"/>
  <c r="CI20" i="35"/>
  <c r="GC20" i="35"/>
  <c r="CK20" i="35"/>
  <c r="GD20" i="35"/>
  <c r="CP20" i="35"/>
  <c r="GE20" i="35"/>
  <c r="CF23" i="35"/>
  <c r="CG23" i="35"/>
  <c r="CI23" i="35"/>
  <c r="CK23" i="35"/>
  <c r="GD23" i="35"/>
  <c r="CP23" i="35"/>
  <c r="GE23" i="35"/>
  <c r="CF24" i="35"/>
  <c r="GA24" i="35"/>
  <c r="CG24" i="35"/>
  <c r="GB24" i="35"/>
  <c r="CI24" i="35"/>
  <c r="GC24" i="35"/>
  <c r="CK24" i="35"/>
  <c r="CP24" i="35"/>
  <c r="CF25" i="35"/>
  <c r="GA25" i="35"/>
  <c r="CG25" i="35"/>
  <c r="GB25" i="35"/>
  <c r="CI25" i="35"/>
  <c r="CK25" i="35"/>
  <c r="GD25" i="35"/>
  <c r="CP25" i="35"/>
  <c r="CF26" i="35"/>
  <c r="GA26" i="35"/>
  <c r="CG26" i="35"/>
  <c r="CI26" i="35"/>
  <c r="CK26" i="35"/>
  <c r="CP26" i="35"/>
  <c r="GE26" i="35"/>
  <c r="CF27" i="35"/>
  <c r="GA27" i="35"/>
  <c r="CG27" i="35"/>
  <c r="GB27" i="35"/>
  <c r="CI27" i="35"/>
  <c r="GC27" i="35"/>
  <c r="CK27" i="35"/>
  <c r="GD27" i="35"/>
  <c r="CP27" i="35"/>
  <c r="CF28" i="35"/>
  <c r="CG28" i="35"/>
  <c r="CI28" i="35"/>
  <c r="GC28" i="35"/>
  <c r="CK28" i="35"/>
  <c r="CP28" i="35"/>
  <c r="CF29" i="35"/>
  <c r="GA29" i="35"/>
  <c r="CG29" i="35"/>
  <c r="GB29" i="35"/>
  <c r="CI29" i="35"/>
  <c r="CK29" i="35"/>
  <c r="GD29" i="35"/>
  <c r="CP29" i="35"/>
  <c r="GE29" i="35"/>
  <c r="CF30" i="35"/>
  <c r="GA30" i="35"/>
  <c r="CG30" i="35"/>
  <c r="CI30" i="35"/>
  <c r="GC30" i="35"/>
  <c r="CK30" i="35"/>
  <c r="GD30" i="35"/>
  <c r="CP30" i="35"/>
  <c r="GE30" i="35"/>
  <c r="CF31" i="35"/>
  <c r="CG31" i="35"/>
  <c r="GB31" i="35"/>
  <c r="CI31" i="35"/>
  <c r="GC31" i="35"/>
  <c r="CK31" i="35"/>
  <c r="GD31" i="35"/>
  <c r="CP31" i="35"/>
  <c r="GE31" i="35"/>
  <c r="CF32" i="35"/>
  <c r="GA32" i="35"/>
  <c r="CG32" i="35"/>
  <c r="CI32" i="35"/>
  <c r="GC32" i="35"/>
  <c r="CK32" i="35"/>
  <c r="CP32" i="35"/>
  <c r="GE32" i="35"/>
  <c r="CF33" i="35"/>
  <c r="CG33" i="35"/>
  <c r="GB33" i="35"/>
  <c r="CI33" i="35"/>
  <c r="CK33" i="35"/>
  <c r="GD33" i="35"/>
  <c r="CP33" i="35"/>
  <c r="GE33" i="35"/>
  <c r="CF34" i="35"/>
  <c r="GA34" i="35"/>
  <c r="CG34" i="35"/>
  <c r="CI34" i="35"/>
  <c r="GC34" i="35"/>
  <c r="CK34" i="35"/>
  <c r="CP34" i="35"/>
  <c r="CF35" i="35"/>
  <c r="CG35" i="35"/>
  <c r="GB35" i="35"/>
  <c r="CI35" i="35"/>
  <c r="CK35" i="35"/>
  <c r="GD35" i="35"/>
  <c r="CP35" i="35"/>
  <c r="CF36" i="35"/>
  <c r="GA36" i="35"/>
  <c r="CG36" i="35"/>
  <c r="CI36" i="35"/>
  <c r="CK36" i="35"/>
  <c r="CP36" i="35"/>
  <c r="CF37" i="35"/>
  <c r="GA37" i="35"/>
  <c r="CG37" i="35"/>
  <c r="GB37" i="35"/>
  <c r="CI37" i="35"/>
  <c r="CK37" i="35"/>
  <c r="CP37" i="35"/>
  <c r="CF38" i="35"/>
  <c r="GA38" i="35"/>
  <c r="CG38" i="35"/>
  <c r="CI38" i="35"/>
  <c r="GC38" i="35"/>
  <c r="CK38" i="35"/>
  <c r="CP38" i="35"/>
  <c r="GE38" i="35"/>
  <c r="CF39" i="35"/>
  <c r="CG39" i="35"/>
  <c r="CI39" i="35"/>
  <c r="GC39" i="35"/>
  <c r="CK39" i="35"/>
  <c r="CP39" i="35"/>
  <c r="CF40" i="35"/>
  <c r="CG40" i="35"/>
  <c r="GB40" i="35"/>
  <c r="CI40" i="35"/>
  <c r="GC40" i="35"/>
  <c r="CK40" i="35"/>
  <c r="CP40" i="35"/>
  <c r="GE40" i="35"/>
  <c r="KD41" i="35"/>
  <c r="KE41" i="35"/>
  <c r="CF42" i="35"/>
  <c r="CG42" i="35"/>
  <c r="CI42" i="35"/>
  <c r="GC42" i="35"/>
  <c r="CK42" i="35"/>
  <c r="CP42" i="35"/>
  <c r="GE42" i="35"/>
  <c r="CF43" i="35"/>
  <c r="CG43" i="35"/>
  <c r="GB43" i="35"/>
  <c r="CI43" i="35"/>
  <c r="GC43" i="35"/>
  <c r="CK43" i="35"/>
  <c r="GD43" i="35"/>
  <c r="CP43" i="35"/>
  <c r="CF44" i="35"/>
  <c r="GA44" i="35"/>
  <c r="CG44" i="35"/>
  <c r="GB44" i="35"/>
  <c r="CI44" i="35"/>
  <c r="GC44" i="35"/>
  <c r="CK44" i="35"/>
  <c r="CP44" i="35"/>
  <c r="CF45" i="35"/>
  <c r="CG45" i="35"/>
  <c r="GB45" i="35"/>
  <c r="CI45" i="35"/>
  <c r="GC45" i="35"/>
  <c r="CK45" i="35"/>
  <c r="CP45" i="35"/>
  <c r="GE45" i="35"/>
  <c r="CF46" i="35"/>
  <c r="CG46" i="35"/>
  <c r="CI46" i="35"/>
  <c r="CK46" i="35"/>
  <c r="CP46" i="35"/>
  <c r="CF47" i="35"/>
  <c r="CG47" i="35"/>
  <c r="GB47" i="35"/>
  <c r="CI47" i="35"/>
  <c r="GC47" i="35"/>
  <c r="CK47" i="35"/>
  <c r="CP47" i="35"/>
  <c r="CF48" i="35"/>
  <c r="CG48" i="35"/>
  <c r="CI48" i="35"/>
  <c r="GC48" i="35"/>
  <c r="CK48" i="35"/>
  <c r="CP48" i="35"/>
  <c r="GE48" i="35"/>
  <c r="CF49" i="35"/>
  <c r="CG49" i="35"/>
  <c r="CI49" i="35"/>
  <c r="GC49" i="35"/>
  <c r="CK49" i="35"/>
  <c r="CP49" i="35"/>
  <c r="GE49" i="35"/>
  <c r="CF50" i="35"/>
  <c r="GA50" i="35"/>
  <c r="CG50" i="35"/>
  <c r="CI50" i="35"/>
  <c r="CK50" i="35"/>
  <c r="GD50" i="35"/>
  <c r="CP50" i="35"/>
  <c r="GE50" i="35"/>
  <c r="KD51" i="35"/>
  <c r="KE51" i="35"/>
  <c r="CF52" i="35"/>
  <c r="GA52" i="35"/>
  <c r="CG52" i="35"/>
  <c r="CI52" i="35"/>
  <c r="CK52" i="35"/>
  <c r="CP52" i="35"/>
  <c r="GE52" i="35"/>
  <c r="CF53" i="35"/>
  <c r="GA53" i="35"/>
  <c r="CG53" i="35"/>
  <c r="GB53" i="35"/>
  <c r="CI53" i="35"/>
  <c r="GC53" i="35"/>
  <c r="CK53" i="35"/>
  <c r="GD53" i="35"/>
  <c r="CP53" i="35"/>
  <c r="CF54" i="35"/>
  <c r="GA54" i="35"/>
  <c r="CG54" i="35"/>
  <c r="CI54" i="35"/>
  <c r="GC54" i="35"/>
  <c r="CK54" i="35"/>
  <c r="CP54" i="35"/>
  <c r="CF55" i="35"/>
  <c r="CG55" i="35"/>
  <c r="GB55" i="35"/>
  <c r="CI55" i="35"/>
  <c r="CK55" i="35"/>
  <c r="GD55" i="35"/>
  <c r="CP55" i="35"/>
  <c r="KD56" i="35"/>
  <c r="KE56" i="35"/>
  <c r="CF57" i="35"/>
  <c r="GA57" i="35"/>
  <c r="CG57" i="35"/>
  <c r="CI57" i="35"/>
  <c r="CK57" i="35"/>
  <c r="CP57" i="35"/>
  <c r="CF58" i="35"/>
  <c r="CG58" i="35"/>
  <c r="CI58" i="35"/>
  <c r="GC58" i="35"/>
  <c r="CK58" i="35"/>
  <c r="GD58" i="35"/>
  <c r="CP58" i="35"/>
  <c r="CF59" i="35"/>
  <c r="GA59" i="35"/>
  <c r="CG59" i="35"/>
  <c r="CI59" i="35"/>
  <c r="GC59" i="35"/>
  <c r="CK59" i="35"/>
  <c r="CP59" i="35"/>
  <c r="KD60" i="35"/>
  <c r="KE60" i="35"/>
  <c r="CF61" i="35"/>
  <c r="CG61" i="35"/>
  <c r="GB61" i="35"/>
  <c r="CI61" i="35"/>
  <c r="KK61" i="35"/>
  <c r="CK61" i="35"/>
  <c r="CP61" i="35"/>
  <c r="CF62" i="35"/>
  <c r="CG62" i="35"/>
  <c r="GB62" i="35"/>
  <c r="CI62" i="35"/>
  <c r="GC62" i="35"/>
  <c r="CK62" i="35"/>
  <c r="GD62" i="35"/>
  <c r="CP62" i="35"/>
  <c r="CF63" i="35"/>
  <c r="CG63" i="35"/>
  <c r="GB63" i="35"/>
  <c r="CI63" i="35"/>
  <c r="GC63" i="35"/>
  <c r="CK63" i="35"/>
  <c r="CP63" i="35"/>
  <c r="GE63" i="35"/>
  <c r="CF64" i="35"/>
  <c r="GA64" i="35"/>
  <c r="CG64" i="35"/>
  <c r="CI64" i="35"/>
  <c r="CK64" i="35"/>
  <c r="GD64" i="35"/>
  <c r="CP64" i="35"/>
  <c r="CF9" i="34"/>
  <c r="CG9" i="34"/>
  <c r="CI9" i="34"/>
  <c r="CK9" i="34"/>
  <c r="GD9" i="34"/>
  <c r="CP9" i="34"/>
  <c r="CF10" i="34"/>
  <c r="GA10" i="34"/>
  <c r="CG10" i="34"/>
  <c r="GB10" i="34"/>
  <c r="CI10" i="34"/>
  <c r="CK10" i="34"/>
  <c r="CP10" i="34"/>
  <c r="CF11" i="34"/>
  <c r="GA11" i="34"/>
  <c r="CG11" i="34"/>
  <c r="GB11" i="34"/>
  <c r="CI11" i="34"/>
  <c r="CK11" i="34"/>
  <c r="CP11" i="34"/>
  <c r="CF12" i="34"/>
  <c r="CG12" i="34"/>
  <c r="CI12" i="34"/>
  <c r="CK12" i="34"/>
  <c r="CP12" i="34"/>
  <c r="GE12" i="34"/>
  <c r="CF13" i="34"/>
  <c r="CG13" i="34"/>
  <c r="GB13" i="34"/>
  <c r="CI13" i="34"/>
  <c r="GC13" i="34"/>
  <c r="CK13" i="34"/>
  <c r="CP13" i="34"/>
  <c r="CF14" i="34"/>
  <c r="GA14" i="34"/>
  <c r="CG14" i="34"/>
  <c r="CI14" i="34"/>
  <c r="CD14" i="34"/>
  <c r="CK14" i="34"/>
  <c r="GD14" i="34"/>
  <c r="CP14" i="34"/>
  <c r="GE14" i="34"/>
  <c r="CF15" i="34"/>
  <c r="GA15" i="34"/>
  <c r="CG15" i="34"/>
  <c r="CI15" i="34"/>
  <c r="CD15" i="34"/>
  <c r="CK15" i="34"/>
  <c r="GD15" i="34"/>
  <c r="CP15" i="34"/>
  <c r="CF16" i="34"/>
  <c r="GA16" i="34"/>
  <c r="CG16" i="34"/>
  <c r="CI16" i="34"/>
  <c r="GC16" i="34"/>
  <c r="CK16" i="34"/>
  <c r="GD16" i="34"/>
  <c r="CP16" i="34"/>
  <c r="CF17" i="34"/>
  <c r="CG17" i="34"/>
  <c r="KI17" i="34"/>
  <c r="CI17" i="34"/>
  <c r="CK17" i="34"/>
  <c r="GD17" i="34"/>
  <c r="CP17" i="34"/>
  <c r="GE17" i="34"/>
  <c r="CF18" i="34"/>
  <c r="CG18" i="34"/>
  <c r="GB18" i="34"/>
  <c r="CI18" i="34"/>
  <c r="CK18" i="34"/>
  <c r="CP18" i="34"/>
  <c r="CF19" i="34"/>
  <c r="GA19" i="34"/>
  <c r="CG19" i="34"/>
  <c r="GB19" i="34"/>
  <c r="CI19" i="34"/>
  <c r="GC19" i="34"/>
  <c r="CK19" i="34"/>
  <c r="GD19" i="34"/>
  <c r="CP19" i="34"/>
  <c r="CF20" i="34"/>
  <c r="CG20" i="34"/>
  <c r="CI20" i="34"/>
  <c r="CK20" i="34"/>
  <c r="CP20" i="34"/>
  <c r="GE20" i="34"/>
  <c r="CF21" i="34"/>
  <c r="CG21" i="34"/>
  <c r="CI21" i="34"/>
  <c r="CK21" i="34"/>
  <c r="CP21" i="34"/>
  <c r="CF22" i="34"/>
  <c r="GA22" i="34"/>
  <c r="CG22" i="34"/>
  <c r="CI22" i="34"/>
  <c r="KK22" i="34"/>
  <c r="CK22" i="34"/>
  <c r="GD22" i="34"/>
  <c r="CP22" i="34"/>
  <c r="GE22" i="34"/>
  <c r="CF23" i="34"/>
  <c r="CG23" i="34"/>
  <c r="CI23" i="34"/>
  <c r="KK23" i="34"/>
  <c r="CK23" i="34"/>
  <c r="CP23" i="34"/>
  <c r="CF24" i="34"/>
  <c r="GA24" i="34"/>
  <c r="CG24" i="34"/>
  <c r="CI24" i="34"/>
  <c r="CK24" i="34"/>
  <c r="CP24" i="34"/>
  <c r="CF25" i="34"/>
  <c r="CG25" i="34"/>
  <c r="CI25" i="34"/>
  <c r="CK25" i="34"/>
  <c r="GD25" i="34"/>
  <c r="CP25" i="34"/>
  <c r="CF26" i="34"/>
  <c r="CG26" i="34"/>
  <c r="CI26" i="34"/>
  <c r="CK26" i="34"/>
  <c r="GD26" i="34"/>
  <c r="CP26" i="34"/>
  <c r="CF27" i="34"/>
  <c r="CG27" i="34"/>
  <c r="GB27" i="34"/>
  <c r="CI27" i="34"/>
  <c r="GC27" i="34"/>
  <c r="CK27" i="34"/>
  <c r="GD27" i="34"/>
  <c r="CP27" i="34"/>
  <c r="GE27" i="34"/>
  <c r="CF28" i="34"/>
  <c r="CG28" i="34"/>
  <c r="CI28" i="34"/>
  <c r="GC28" i="34"/>
  <c r="CK28" i="34"/>
  <c r="CP28" i="34"/>
  <c r="GE28" i="34"/>
  <c r="CF29" i="34"/>
  <c r="GA29" i="34"/>
  <c r="CG29" i="34"/>
  <c r="GB29" i="34"/>
  <c r="CI29" i="34"/>
  <c r="CK29" i="34"/>
  <c r="CP29" i="34"/>
  <c r="CF30" i="34"/>
  <c r="CG30" i="34"/>
  <c r="CI30" i="34"/>
  <c r="GC30" i="34"/>
  <c r="CK30" i="34"/>
  <c r="CP30" i="34"/>
  <c r="CF31" i="34"/>
  <c r="CG31" i="34"/>
  <c r="KI31" i="34"/>
  <c r="CI31" i="34"/>
  <c r="CK31" i="34"/>
  <c r="GD31" i="34"/>
  <c r="CP31" i="34"/>
  <c r="CF32" i="34"/>
  <c r="GA32" i="34"/>
  <c r="CG32" i="34"/>
  <c r="GB32" i="34"/>
  <c r="CI32" i="34"/>
  <c r="CK32" i="34"/>
  <c r="CP32" i="34"/>
  <c r="CF33" i="34"/>
  <c r="CG33" i="34"/>
  <c r="GB33" i="34"/>
  <c r="CI33" i="34"/>
  <c r="GC33" i="34"/>
  <c r="CK33" i="34"/>
  <c r="GD33" i="34"/>
  <c r="CP33" i="34"/>
  <c r="GE33" i="34"/>
  <c r="CF34" i="34"/>
  <c r="GA34" i="34"/>
  <c r="CG34" i="34"/>
  <c r="CI34" i="34"/>
  <c r="CK34" i="34"/>
  <c r="CP34" i="34"/>
  <c r="GE34" i="34"/>
  <c r="CF35" i="34"/>
  <c r="GA35" i="34"/>
  <c r="CG35" i="34"/>
  <c r="CI35" i="34"/>
  <c r="CK35" i="34"/>
  <c r="CP35" i="34"/>
  <c r="CF36" i="34"/>
  <c r="CG36" i="34"/>
  <c r="CI36" i="34"/>
  <c r="KK36" i="34"/>
  <c r="CK36" i="34"/>
  <c r="CP36" i="34"/>
  <c r="GE36" i="34"/>
  <c r="CF37" i="34"/>
  <c r="CG37" i="34"/>
  <c r="CI37" i="34"/>
  <c r="GC37" i="34"/>
  <c r="CK37" i="34"/>
  <c r="CP37" i="34"/>
  <c r="KR37" i="34"/>
  <c r="CF38" i="34"/>
  <c r="GA38" i="34"/>
  <c r="CG38" i="34"/>
  <c r="CI38" i="34"/>
  <c r="GC38" i="34"/>
  <c r="CK38" i="34"/>
  <c r="CP38" i="34"/>
  <c r="CF39" i="34"/>
  <c r="CG39" i="34"/>
  <c r="CI39" i="34"/>
  <c r="CK39" i="34"/>
  <c r="GD39" i="34"/>
  <c r="CP39" i="34"/>
  <c r="CF40" i="34"/>
  <c r="CG40" i="34"/>
  <c r="GB40" i="34"/>
  <c r="CI40" i="34"/>
  <c r="GC40" i="34"/>
  <c r="CK40" i="34"/>
  <c r="GD40" i="34"/>
  <c r="CP40" i="34"/>
  <c r="CF41" i="34"/>
  <c r="CG41" i="34"/>
  <c r="GB41" i="34"/>
  <c r="CI41" i="34"/>
  <c r="GC41" i="34"/>
  <c r="CK41" i="34"/>
  <c r="CP41" i="34"/>
  <c r="GE41" i="34"/>
  <c r="CF42" i="34"/>
  <c r="GA42" i="34"/>
  <c r="CG42" i="34"/>
  <c r="GB42" i="34"/>
  <c r="CI42" i="34"/>
  <c r="CK42" i="34"/>
  <c r="CP42" i="34"/>
  <c r="CF43" i="34"/>
  <c r="CG43" i="34"/>
  <c r="GB43" i="34"/>
  <c r="CI43" i="34"/>
  <c r="GC43" i="34"/>
  <c r="CK43" i="34"/>
  <c r="CP43" i="34"/>
  <c r="GE43" i="34"/>
  <c r="CF44" i="34"/>
  <c r="CG44" i="34"/>
  <c r="CI44" i="34"/>
  <c r="CK44" i="34"/>
  <c r="CP44" i="34"/>
  <c r="GE44" i="34"/>
  <c r="CF45" i="34"/>
  <c r="GA45" i="34"/>
  <c r="CG45" i="34"/>
  <c r="CI45" i="34"/>
  <c r="CK45" i="34"/>
  <c r="CP45" i="34"/>
  <c r="CF46" i="34"/>
  <c r="GA46" i="34"/>
  <c r="CG46" i="34"/>
  <c r="GB46" i="34"/>
  <c r="CI46" i="34"/>
  <c r="GC46" i="34"/>
  <c r="CK46" i="34"/>
  <c r="CP46" i="34"/>
  <c r="CF47" i="34"/>
  <c r="CG47" i="34"/>
  <c r="CI47" i="34"/>
  <c r="CK47" i="34"/>
  <c r="CP47" i="34"/>
  <c r="GE47" i="34"/>
  <c r="CF48" i="34"/>
  <c r="CG48" i="34"/>
  <c r="CI48" i="34"/>
  <c r="GC48" i="34"/>
  <c r="CK48" i="34"/>
  <c r="GD48" i="34"/>
  <c r="CP48" i="34"/>
  <c r="CF49" i="34"/>
  <c r="GA49" i="34"/>
  <c r="CG49" i="34"/>
  <c r="GB49" i="34"/>
  <c r="CI49" i="34"/>
  <c r="CK49" i="34"/>
  <c r="GD49" i="34"/>
  <c r="CP49" i="34"/>
  <c r="GE49" i="34"/>
  <c r="CF50" i="34"/>
  <c r="GA50" i="34"/>
  <c r="CG50" i="34"/>
  <c r="GB50" i="34"/>
  <c r="CI50" i="34"/>
  <c r="CK50" i="34"/>
  <c r="CP50" i="34"/>
  <c r="CF51" i="34"/>
  <c r="CG51" i="34"/>
  <c r="GB51" i="34"/>
  <c r="CI51" i="34"/>
  <c r="GC51" i="34"/>
  <c r="CK51" i="34"/>
  <c r="CP51" i="34"/>
  <c r="GE51" i="34"/>
  <c r="CF53" i="34"/>
  <c r="CG53" i="34"/>
  <c r="GB53" i="34"/>
  <c r="CI53" i="34"/>
  <c r="GC53" i="34"/>
  <c r="CK53" i="34"/>
  <c r="CP53" i="34"/>
  <c r="CF54" i="34"/>
  <c r="CG54" i="34"/>
  <c r="GB54" i="34"/>
  <c r="CI54" i="34"/>
  <c r="CK54" i="34"/>
  <c r="CP54" i="34"/>
  <c r="CF55" i="34"/>
  <c r="CG55" i="34"/>
  <c r="GB55" i="34"/>
  <c r="CI55" i="34"/>
  <c r="GC55" i="34"/>
  <c r="CK55" i="34"/>
  <c r="CP55" i="34"/>
  <c r="GE55" i="34"/>
  <c r="CF57" i="34"/>
  <c r="CG57" i="34"/>
  <c r="CI57" i="34"/>
  <c r="GC57" i="34"/>
  <c r="CK57" i="34"/>
  <c r="CP57" i="34"/>
  <c r="CF58" i="34"/>
  <c r="GA58" i="34"/>
  <c r="CG58" i="34"/>
  <c r="CI58" i="34"/>
  <c r="CK58" i="34"/>
  <c r="KM58" i="34"/>
  <c r="CP58" i="34"/>
  <c r="CF59" i="34"/>
  <c r="CG59" i="34"/>
  <c r="CI59" i="34"/>
  <c r="CK59" i="34"/>
  <c r="GD59" i="34"/>
  <c r="CP59" i="34"/>
  <c r="GE59" i="34"/>
  <c r="CF60" i="34"/>
  <c r="CG60" i="34"/>
  <c r="KI60" i="34"/>
  <c r="CI60" i="34"/>
  <c r="CK60" i="34"/>
  <c r="GD60" i="34"/>
  <c r="CP60" i="34"/>
  <c r="CF61" i="34"/>
  <c r="KH61" i="34"/>
  <c r="CG61" i="34"/>
  <c r="GB61" i="34"/>
  <c r="CI61" i="34"/>
  <c r="CK61" i="34"/>
  <c r="CP61" i="34"/>
  <c r="CF9" i="33"/>
  <c r="CG9" i="33"/>
  <c r="CI9" i="33"/>
  <c r="CK9" i="33"/>
  <c r="CP9" i="33"/>
  <c r="GE9" i="33"/>
  <c r="CF10" i="33"/>
  <c r="GA10" i="33"/>
  <c r="CG10" i="33"/>
  <c r="GB10" i="33"/>
  <c r="CI10" i="33"/>
  <c r="GC10" i="33"/>
  <c r="CK10" i="33"/>
  <c r="CP10" i="33"/>
  <c r="CF12" i="33"/>
  <c r="GA12" i="33"/>
  <c r="CG12" i="33"/>
  <c r="CI12" i="33"/>
  <c r="CK12" i="33"/>
  <c r="GD12" i="33"/>
  <c r="CP12" i="33"/>
  <c r="GE12" i="33"/>
  <c r="CF9" i="32"/>
  <c r="CG9" i="32"/>
  <c r="CI9" i="32"/>
  <c r="CK9" i="32"/>
  <c r="GD9" i="32"/>
  <c r="CP9" i="32"/>
  <c r="GE9" i="32"/>
  <c r="CF10" i="32"/>
  <c r="CG10" i="32"/>
  <c r="CI10" i="32"/>
  <c r="GC10" i="32"/>
  <c r="CK10" i="32"/>
  <c r="GD10" i="32"/>
  <c r="CP10" i="32"/>
  <c r="GE10" i="32"/>
  <c r="CF11" i="32"/>
  <c r="KH11" i="32"/>
  <c r="CG11" i="32"/>
  <c r="CI11" i="32"/>
  <c r="CK11" i="32"/>
  <c r="CP11" i="32"/>
  <c r="CF12" i="32"/>
  <c r="GA12" i="32"/>
  <c r="CG12" i="32"/>
  <c r="CI12" i="32"/>
  <c r="CK12" i="32"/>
  <c r="CP12" i="32"/>
  <c r="GE12" i="32"/>
  <c r="CF13" i="32"/>
  <c r="CG13" i="32"/>
  <c r="GB13" i="32"/>
  <c r="CI13" i="32"/>
  <c r="CK13" i="32"/>
  <c r="GD13" i="32"/>
  <c r="CP13" i="32"/>
  <c r="CF14" i="32"/>
  <c r="CG14" i="32"/>
  <c r="GB14" i="32"/>
  <c r="CI14" i="32"/>
  <c r="CK14" i="32"/>
  <c r="GD14" i="32"/>
  <c r="CP14" i="32"/>
  <c r="CF15" i="32"/>
  <c r="CG15" i="32"/>
  <c r="GB15" i="32"/>
  <c r="CI15" i="32"/>
  <c r="CK15" i="32"/>
  <c r="GD15" i="32"/>
  <c r="CP15" i="32"/>
  <c r="CF16" i="32"/>
  <c r="KH16" i="32"/>
  <c r="CG16" i="32"/>
  <c r="CI16" i="32"/>
  <c r="CK16" i="32"/>
  <c r="CP16" i="32"/>
  <c r="GE16" i="32"/>
  <c r="CF17" i="32"/>
  <c r="GA17" i="32"/>
  <c r="CG17" i="32"/>
  <c r="GB17" i="32"/>
  <c r="CI17" i="32"/>
  <c r="GC17" i="32"/>
  <c r="CK17" i="32"/>
  <c r="GD17" i="32"/>
  <c r="CP17" i="32"/>
  <c r="KR17" i="32"/>
  <c r="CF18" i="32"/>
  <c r="GA18" i="32"/>
  <c r="CG18" i="32"/>
  <c r="GB18" i="32"/>
  <c r="CI18" i="32"/>
  <c r="GC18" i="32"/>
  <c r="CK18" i="32"/>
  <c r="CP18" i="32"/>
  <c r="CF19" i="32"/>
  <c r="KH19" i="32"/>
  <c r="CG19" i="32"/>
  <c r="CI19" i="32"/>
  <c r="GC19" i="32"/>
  <c r="CK19" i="32"/>
  <c r="GD19" i="32"/>
  <c r="CP19" i="32"/>
  <c r="CF20" i="32"/>
  <c r="KH20" i="32"/>
  <c r="CG20" i="32"/>
  <c r="CI20" i="32"/>
  <c r="KK20" i="32"/>
  <c r="CK20" i="32"/>
  <c r="GD20" i="32"/>
  <c r="CP20" i="32"/>
  <c r="KR20" i="32"/>
  <c r="CF21" i="32"/>
  <c r="CG21" i="32"/>
  <c r="CI21" i="32"/>
  <c r="CK21" i="32"/>
  <c r="CP21" i="32"/>
  <c r="GE21" i="32"/>
  <c r="CF22" i="32"/>
  <c r="CG22" i="32"/>
  <c r="CI22" i="32"/>
  <c r="GC22" i="32"/>
  <c r="CK22" i="32"/>
  <c r="CP22" i="32"/>
  <c r="CF23" i="32"/>
  <c r="GA23" i="32"/>
  <c r="CG23" i="32"/>
  <c r="CI23" i="32"/>
  <c r="CK23" i="32"/>
  <c r="GD23" i="32"/>
  <c r="CP23" i="32"/>
  <c r="CF24" i="32"/>
  <c r="GA24" i="32"/>
  <c r="CG24" i="32"/>
  <c r="CI24" i="32"/>
  <c r="CK24" i="32"/>
  <c r="CP24" i="32"/>
  <c r="CF25" i="32"/>
  <c r="GA25" i="32"/>
  <c r="CG25" i="32"/>
  <c r="KI25" i="32"/>
  <c r="CI25" i="32"/>
  <c r="CK25" i="32"/>
  <c r="CP25" i="32"/>
  <c r="CF26" i="32"/>
  <c r="GA26" i="32"/>
  <c r="CG26" i="32"/>
  <c r="CI26" i="32"/>
  <c r="CK26" i="32"/>
  <c r="CP26" i="32"/>
  <c r="CF27" i="32"/>
  <c r="GA27" i="32"/>
  <c r="CG27" i="32"/>
  <c r="CI27" i="32"/>
  <c r="GC27" i="32"/>
  <c r="CK27" i="32"/>
  <c r="CP27" i="32"/>
  <c r="KR27" i="32"/>
  <c r="CF30" i="32"/>
  <c r="CG30" i="32"/>
  <c r="CI30" i="32"/>
  <c r="GC30" i="32"/>
  <c r="CK30" i="32"/>
  <c r="CP30" i="32"/>
  <c r="CF31" i="32"/>
  <c r="KH31" i="32"/>
  <c r="CG31" i="32"/>
  <c r="KI31" i="32"/>
  <c r="CI31" i="32"/>
  <c r="CK31" i="32"/>
  <c r="CP31" i="32"/>
  <c r="CF9" i="31"/>
  <c r="KH9" i="31"/>
  <c r="CG9" i="31"/>
  <c r="CI9" i="31"/>
  <c r="CK9" i="31"/>
  <c r="CP9" i="31"/>
  <c r="CG10" i="31"/>
  <c r="CI10" i="31"/>
  <c r="CK10" i="31"/>
  <c r="CP10" i="31"/>
  <c r="CG11" i="31"/>
  <c r="CI11" i="31"/>
  <c r="CK11" i="31"/>
  <c r="CP11" i="31"/>
  <c r="GE11" i="31"/>
  <c r="CG12" i="31"/>
  <c r="KI12" i="31"/>
  <c r="CI12" i="31"/>
  <c r="CK12" i="31"/>
  <c r="GD12" i="31"/>
  <c r="CP12" i="31"/>
  <c r="CG13" i="31"/>
  <c r="CI13" i="31"/>
  <c r="KK13" i="31"/>
  <c r="CK13" i="31"/>
  <c r="KM13" i="31"/>
  <c r="CP13" i="31"/>
  <c r="GE13" i="31"/>
  <c r="CG14" i="31"/>
  <c r="GB14" i="31"/>
  <c r="CI14" i="31"/>
  <c r="GC14" i="31"/>
  <c r="CK14" i="31"/>
  <c r="KM14" i="31"/>
  <c r="CP14" i="31"/>
  <c r="KR14" i="31"/>
  <c r="CG15" i="31"/>
  <c r="CI15" i="31"/>
  <c r="GC15" i="31"/>
  <c r="CK15" i="31"/>
  <c r="CP15" i="31"/>
  <c r="GE15" i="31"/>
  <c r="CG16" i="31"/>
  <c r="KI16" i="31"/>
  <c r="CI16" i="31"/>
  <c r="CK16" i="31"/>
  <c r="CP16" i="31"/>
  <c r="GE16" i="31"/>
  <c r="CF17" i="31"/>
  <c r="GA17" i="31"/>
  <c r="CG17" i="31"/>
  <c r="CI17" i="31"/>
  <c r="CK17" i="31"/>
  <c r="CP17" i="31"/>
  <c r="GE17" i="31"/>
  <c r="CG18" i="31"/>
  <c r="CI18" i="31"/>
  <c r="CK18" i="31"/>
  <c r="CP18" i="31"/>
  <c r="CF19" i="31"/>
  <c r="CG19" i="31"/>
  <c r="CI19" i="31"/>
  <c r="CK19" i="31"/>
  <c r="KM19" i="31"/>
  <c r="CP19" i="31"/>
  <c r="CG20" i="31"/>
  <c r="CI20" i="31"/>
  <c r="CK20" i="31"/>
  <c r="GD20" i="31"/>
  <c r="CP20" i="31"/>
  <c r="CF21" i="31"/>
  <c r="CG21" i="31"/>
  <c r="GB21" i="31"/>
  <c r="CI21" i="31"/>
  <c r="KK21" i="31"/>
  <c r="CK21" i="31"/>
  <c r="GD21" i="31"/>
  <c r="CP21" i="31"/>
  <c r="GE21" i="31"/>
  <c r="CF23" i="31"/>
  <c r="GA23" i="31"/>
  <c r="CG23" i="31"/>
  <c r="KI23" i="31"/>
  <c r="CI23" i="31"/>
  <c r="CK23" i="31"/>
  <c r="CP23" i="31"/>
  <c r="CF24" i="31"/>
  <c r="KH24" i="31"/>
  <c r="CG24" i="31"/>
  <c r="CI24" i="31"/>
  <c r="CK24" i="31"/>
  <c r="CP24" i="31"/>
  <c r="CF25" i="31"/>
  <c r="CG25" i="31"/>
  <c r="GB25" i="31"/>
  <c r="CI25" i="31"/>
  <c r="CK25" i="31"/>
  <c r="KM25" i="31"/>
  <c r="CP25" i="31"/>
  <c r="KR25" i="31"/>
  <c r="CF26" i="31"/>
  <c r="CG26" i="31"/>
  <c r="CI26" i="31"/>
  <c r="GC26" i="31"/>
  <c r="CK26" i="31"/>
  <c r="CP26" i="31"/>
  <c r="KR26" i="31"/>
  <c r="CF27" i="31"/>
  <c r="KH27" i="31"/>
  <c r="CG27" i="31"/>
  <c r="KI27" i="31"/>
  <c r="CI27" i="31"/>
  <c r="CK27" i="31"/>
  <c r="GD27" i="31"/>
  <c r="CP27" i="31"/>
  <c r="GE27" i="31"/>
  <c r="CF28" i="31"/>
  <c r="GA28" i="31"/>
  <c r="CG28" i="31"/>
  <c r="KI28" i="31"/>
  <c r="CI28" i="31"/>
  <c r="CK28" i="31"/>
  <c r="CP28" i="31"/>
  <c r="CF29" i="31"/>
  <c r="GA29" i="31"/>
  <c r="CG29" i="31"/>
  <c r="CI29" i="31"/>
  <c r="CK29" i="31"/>
  <c r="CP29" i="31"/>
  <c r="GE29" i="31"/>
  <c r="CF30" i="31"/>
  <c r="GA30" i="31"/>
  <c r="CG30" i="31"/>
  <c r="KI30" i="31"/>
  <c r="CI30" i="31"/>
  <c r="GC30" i="31"/>
  <c r="CK30" i="31"/>
  <c r="GD30" i="31"/>
  <c r="CP30" i="31"/>
  <c r="CF31" i="31"/>
  <c r="GA31" i="31"/>
  <c r="CG31" i="31"/>
  <c r="CI31" i="31"/>
  <c r="GC31" i="31"/>
  <c r="CK31" i="31"/>
  <c r="CP31" i="31"/>
  <c r="KR31" i="31"/>
  <c r="CF32" i="31"/>
  <c r="CG32" i="31"/>
  <c r="CI32" i="31"/>
  <c r="KK32" i="31"/>
  <c r="CK32" i="31"/>
  <c r="CP32" i="31"/>
  <c r="CF33" i="31"/>
  <c r="GA33" i="31"/>
  <c r="CG33" i="31"/>
  <c r="GB33" i="31"/>
  <c r="CI33" i="31"/>
  <c r="CK33" i="31"/>
  <c r="GD33" i="31"/>
  <c r="CP33" i="31"/>
  <c r="GE33" i="31"/>
  <c r="CF34" i="31"/>
  <c r="GA34" i="31"/>
  <c r="CG34" i="31"/>
  <c r="GB34" i="31"/>
  <c r="CI34" i="31"/>
  <c r="GC34" i="31"/>
  <c r="CK34" i="31"/>
  <c r="CP34" i="31"/>
  <c r="CF35" i="31"/>
  <c r="CG35" i="31"/>
  <c r="CI35" i="31"/>
  <c r="GC35" i="31"/>
  <c r="CK35" i="31"/>
  <c r="GD35" i="31"/>
  <c r="CP35" i="31"/>
  <c r="KR35" i="31"/>
  <c r="CF36" i="31"/>
  <c r="CG36" i="31"/>
  <c r="CI36" i="31"/>
  <c r="CK36" i="31"/>
  <c r="CP36" i="31"/>
  <c r="CF39" i="31"/>
  <c r="KH39" i="31"/>
  <c r="CG39" i="31"/>
  <c r="CI39" i="31"/>
  <c r="KK39" i="31"/>
  <c r="CK39" i="31"/>
  <c r="CP39" i="31"/>
  <c r="CF40" i="31"/>
  <c r="GA40" i="31"/>
  <c r="CG40" i="31"/>
  <c r="CI40" i="31"/>
  <c r="GC40" i="31"/>
  <c r="CK40" i="31"/>
  <c r="CP40" i="31"/>
  <c r="GE40" i="31"/>
  <c r="CF41" i="31"/>
  <c r="CG41" i="31"/>
  <c r="CI41" i="31"/>
  <c r="CK41" i="31"/>
  <c r="KM41" i="31"/>
  <c r="CP41" i="31"/>
  <c r="CF42" i="31"/>
  <c r="CG42" i="31"/>
  <c r="CI42" i="31"/>
  <c r="GC42" i="31"/>
  <c r="CK42" i="31"/>
  <c r="CP42" i="31"/>
  <c r="GE42" i="31"/>
  <c r="CF43" i="31"/>
  <c r="GA43" i="31"/>
  <c r="CG43" i="31"/>
  <c r="CI43" i="31"/>
  <c r="GC43" i="31"/>
  <c r="CK43" i="31"/>
  <c r="GD43" i="31"/>
  <c r="CP43" i="31"/>
  <c r="GE43" i="31"/>
  <c r="CF37" i="31"/>
  <c r="KH37" i="31"/>
  <c r="CG37" i="31"/>
  <c r="GB37" i="31"/>
  <c r="CI37" i="31"/>
  <c r="CK37" i="31"/>
  <c r="GD37" i="31"/>
  <c r="CP37" i="31"/>
  <c r="CF59" i="31"/>
  <c r="GA59" i="31"/>
  <c r="CG59" i="31"/>
  <c r="CI59" i="31"/>
  <c r="KK59" i="31"/>
  <c r="CK59" i="31"/>
  <c r="CP59" i="31"/>
  <c r="CF9" i="22"/>
  <c r="CG9" i="22"/>
  <c r="GB9" i="22"/>
  <c r="CI9" i="22"/>
  <c r="CK9" i="22"/>
  <c r="CP9" i="22"/>
  <c r="GE9" i="22"/>
  <c r="CF10" i="22"/>
  <c r="KH10" i="22"/>
  <c r="CG10" i="22"/>
  <c r="CI10" i="22"/>
  <c r="GC10" i="22"/>
  <c r="CK10" i="22"/>
  <c r="KM10" i="22"/>
  <c r="CP10" i="22"/>
  <c r="CG11" i="22"/>
  <c r="GB11" i="22"/>
  <c r="CI11" i="22"/>
  <c r="CK11" i="22"/>
  <c r="GD11" i="22"/>
  <c r="CP11" i="22"/>
  <c r="CF12" i="22"/>
  <c r="GA12" i="22"/>
  <c r="CG12" i="22"/>
  <c r="CI12" i="22"/>
  <c r="CK12" i="22"/>
  <c r="CP12" i="22"/>
  <c r="GE12" i="22"/>
  <c r="CG13" i="22"/>
  <c r="GB13" i="22"/>
  <c r="CI13" i="22"/>
  <c r="CK13" i="22"/>
  <c r="CP13" i="22"/>
  <c r="GE13" i="22"/>
  <c r="CG14" i="22"/>
  <c r="CI14" i="22"/>
  <c r="CK14" i="22"/>
  <c r="GD14" i="22"/>
  <c r="CP14" i="22"/>
  <c r="KR14" i="22"/>
  <c r="CF15" i="22"/>
  <c r="KH15" i="22"/>
  <c r="CG15" i="22"/>
  <c r="CI15" i="22"/>
  <c r="GC15" i="22"/>
  <c r="CK15" i="22"/>
  <c r="CP15" i="22"/>
  <c r="CF28" i="22"/>
  <c r="GA28" i="22"/>
  <c r="CG28" i="22"/>
  <c r="CI28" i="22"/>
  <c r="GC28" i="22"/>
  <c r="CK28" i="22"/>
  <c r="KM28" i="22"/>
  <c r="CP28" i="22"/>
  <c r="GE28" i="22"/>
  <c r="CF9" i="21"/>
  <c r="GA9" i="21"/>
  <c r="CG9" i="21"/>
  <c r="GB9" i="21"/>
  <c r="CI9" i="21"/>
  <c r="GC9" i="21"/>
  <c r="CK9" i="21"/>
  <c r="GD9" i="21"/>
  <c r="CP9" i="21"/>
  <c r="CF10" i="21"/>
  <c r="CG10" i="21"/>
  <c r="GB10" i="21"/>
  <c r="CI10" i="21"/>
  <c r="GC10" i="21"/>
  <c r="CK10" i="21"/>
  <c r="GD10" i="21"/>
  <c r="CP10" i="21"/>
  <c r="GE10" i="21"/>
  <c r="CD11" i="21"/>
  <c r="CF11" i="21"/>
  <c r="GA11" i="21"/>
  <c r="CG11" i="21"/>
  <c r="GB11" i="21"/>
  <c r="CI11" i="21"/>
  <c r="GC11" i="21"/>
  <c r="CK11" i="21"/>
  <c r="CP11" i="21"/>
  <c r="CG12" i="21"/>
  <c r="GB12" i="21"/>
  <c r="CI12" i="21"/>
  <c r="GC12" i="21"/>
  <c r="CK12" i="21"/>
  <c r="GD12" i="21"/>
  <c r="CP12" i="21"/>
  <c r="GE12" i="21"/>
  <c r="CF13" i="21"/>
  <c r="GA13" i="21"/>
  <c r="CG13" i="21"/>
  <c r="GB13" i="21"/>
  <c r="CI13" i="21"/>
  <c r="GC13" i="21"/>
  <c r="CK13" i="21"/>
  <c r="KM13" i="21"/>
  <c r="CP13" i="21"/>
  <c r="GE13" i="21"/>
  <c r="CF14" i="21"/>
  <c r="GA14" i="21"/>
  <c r="CG14" i="21"/>
  <c r="GB14" i="21"/>
  <c r="CI14" i="21"/>
  <c r="GC14" i="21"/>
  <c r="CK14" i="21"/>
  <c r="GD14" i="21"/>
  <c r="CP14" i="21"/>
  <c r="GE14" i="21"/>
  <c r="CF15" i="21"/>
  <c r="GA15" i="21"/>
  <c r="CG15" i="21"/>
  <c r="CI15" i="21"/>
  <c r="GC15" i="21"/>
  <c r="CK15" i="21"/>
  <c r="GD15" i="21"/>
  <c r="CP15" i="21"/>
  <c r="GE15" i="21"/>
  <c r="CF16" i="21"/>
  <c r="GA16" i="21"/>
  <c r="CG16" i="21"/>
  <c r="GB16" i="21"/>
  <c r="CI16" i="21"/>
  <c r="CK16" i="21"/>
  <c r="GD16" i="21"/>
  <c r="CP16" i="21"/>
  <c r="GE16" i="21"/>
  <c r="CF17" i="21"/>
  <c r="GA17" i="21"/>
  <c r="CG17" i="21"/>
  <c r="GB17" i="21"/>
  <c r="CI17" i="21"/>
  <c r="GC17" i="21"/>
  <c r="CK17" i="21"/>
  <c r="GD17" i="21"/>
  <c r="CP17" i="21"/>
  <c r="GE17" i="21"/>
  <c r="CF18" i="21"/>
  <c r="GA18" i="21"/>
  <c r="CG18" i="21"/>
  <c r="GB18" i="21"/>
  <c r="CI18" i="21"/>
  <c r="CK18" i="21"/>
  <c r="GD18" i="21"/>
  <c r="CP18" i="21"/>
  <c r="CD19" i="21"/>
  <c r="KF19" i="21"/>
  <c r="CG19" i="21"/>
  <c r="GB19" i="21"/>
  <c r="CI19" i="21"/>
  <c r="GC19" i="21"/>
  <c r="CK19" i="21"/>
  <c r="CP19" i="21"/>
  <c r="CF20" i="21"/>
  <c r="CG20" i="21"/>
  <c r="CI20" i="21"/>
  <c r="GC20" i="21"/>
  <c r="CK20" i="21"/>
  <c r="GD20" i="21"/>
  <c r="CP20" i="21"/>
  <c r="GE20" i="21"/>
  <c r="CF21" i="21"/>
  <c r="GA21" i="21"/>
  <c r="CG21" i="21"/>
  <c r="GB21" i="21"/>
  <c r="CI21" i="21"/>
  <c r="GC21" i="21"/>
  <c r="CK21" i="21"/>
  <c r="CP21" i="21"/>
  <c r="GE21" i="21"/>
  <c r="CF22" i="21"/>
  <c r="GA22" i="21"/>
  <c r="CG22" i="21"/>
  <c r="GB22" i="21"/>
  <c r="CI22" i="21"/>
  <c r="GC22" i="21"/>
  <c r="CK22" i="21"/>
  <c r="GD22" i="21"/>
  <c r="CP22" i="21"/>
  <c r="CF23" i="21"/>
  <c r="GA23" i="21"/>
  <c r="CG23" i="21"/>
  <c r="GB23" i="21"/>
  <c r="CI23" i="21"/>
  <c r="GC23" i="21"/>
  <c r="CK23" i="21"/>
  <c r="GD23" i="21"/>
  <c r="CP23" i="21"/>
  <c r="GE23" i="21"/>
  <c r="CF24" i="21"/>
  <c r="GA24" i="21"/>
  <c r="CG24" i="21"/>
  <c r="GB24" i="21"/>
  <c r="CI24" i="21"/>
  <c r="GC24" i="21"/>
  <c r="CK24" i="21"/>
  <c r="CP24" i="21"/>
  <c r="CF25" i="21"/>
  <c r="GA25" i="21"/>
  <c r="CG25" i="21"/>
  <c r="GB25" i="21"/>
  <c r="CI25" i="21"/>
  <c r="GC25" i="21"/>
  <c r="CK25" i="21"/>
  <c r="GD25" i="21"/>
  <c r="CP25" i="21"/>
  <c r="GE25" i="21"/>
  <c r="CF26" i="21"/>
  <c r="GA26" i="21"/>
  <c r="CG26" i="21"/>
  <c r="GB26" i="21"/>
  <c r="CI26" i="21"/>
  <c r="GC26" i="21"/>
  <c r="CK26" i="21"/>
  <c r="GD26" i="21"/>
  <c r="CP26" i="21"/>
  <c r="GE26" i="21"/>
  <c r="CF27" i="21"/>
  <c r="GA27" i="21"/>
  <c r="CG27" i="21"/>
  <c r="GB27" i="21"/>
  <c r="CI27" i="21"/>
  <c r="GC27" i="21"/>
  <c r="CK27" i="21"/>
  <c r="GD27" i="21"/>
  <c r="CP27" i="21"/>
  <c r="GE27" i="21"/>
  <c r="CF28" i="21"/>
  <c r="CG28" i="21"/>
  <c r="CI28" i="21"/>
  <c r="GC28" i="21"/>
  <c r="CK28" i="21"/>
  <c r="GD28" i="21"/>
  <c r="CP28" i="21"/>
  <c r="GE28" i="21"/>
  <c r="CF29" i="21"/>
  <c r="GA29" i="21"/>
  <c r="CG29" i="21"/>
  <c r="CI29" i="21"/>
  <c r="GC29" i="21"/>
  <c r="CK29" i="21"/>
  <c r="GD29" i="21"/>
  <c r="CP29" i="21"/>
  <c r="GE29" i="21"/>
  <c r="CF30" i="21"/>
  <c r="GA30" i="21"/>
  <c r="CG30" i="21"/>
  <c r="GB30" i="21"/>
  <c r="CI30" i="21"/>
  <c r="GC30" i="21"/>
  <c r="CK30" i="21"/>
  <c r="GD30" i="21"/>
  <c r="CP30" i="21"/>
  <c r="CF31" i="21"/>
  <c r="GA31" i="21"/>
  <c r="CG31" i="21"/>
  <c r="KI31" i="21"/>
  <c r="CI31" i="21"/>
  <c r="GC31" i="21"/>
  <c r="CK31" i="21"/>
  <c r="CP31" i="21"/>
  <c r="GE31" i="21"/>
  <c r="CF32" i="21"/>
  <c r="GA32" i="21"/>
  <c r="CG32" i="21"/>
  <c r="GB32" i="21"/>
  <c r="CI32" i="21"/>
  <c r="CK32" i="21"/>
  <c r="CP32" i="21"/>
  <c r="GE32" i="21"/>
  <c r="CF33" i="21"/>
  <c r="GA33" i="21"/>
  <c r="CG33" i="21"/>
  <c r="GB33" i="21"/>
  <c r="CI33" i="21"/>
  <c r="GC33" i="21"/>
  <c r="CK33" i="21"/>
  <c r="GD33" i="21"/>
  <c r="CP33" i="21"/>
  <c r="GE33" i="21"/>
  <c r="CF34" i="21"/>
  <c r="CG34" i="21"/>
  <c r="GB34" i="21"/>
  <c r="CI34" i="21"/>
  <c r="CK34" i="21"/>
  <c r="GD34" i="21"/>
  <c r="CP34" i="21"/>
  <c r="GE34" i="21"/>
  <c r="CF35" i="21"/>
  <c r="GA35" i="21"/>
  <c r="CG35" i="21"/>
  <c r="GB35" i="21"/>
  <c r="CI35" i="21"/>
  <c r="GC35" i="21"/>
  <c r="CK35" i="21"/>
  <c r="GD35" i="21"/>
  <c r="CP35" i="21"/>
  <c r="GE35" i="21"/>
  <c r="CF36" i="21"/>
  <c r="CG36" i="21"/>
  <c r="GB36" i="21"/>
  <c r="CI36" i="21"/>
  <c r="CK36" i="21"/>
  <c r="CP36" i="21"/>
  <c r="GE36" i="21"/>
  <c r="CF37" i="21"/>
  <c r="GA37" i="21"/>
  <c r="CG37" i="21"/>
  <c r="GB37" i="21"/>
  <c r="CI37" i="21"/>
  <c r="GC37" i="21"/>
  <c r="CK37" i="21"/>
  <c r="KM37" i="21"/>
  <c r="CP37" i="21"/>
  <c r="CF38" i="21"/>
  <c r="GA38" i="21"/>
  <c r="CG38" i="21"/>
  <c r="CI38" i="21"/>
  <c r="GC38" i="21"/>
  <c r="CK38" i="21"/>
  <c r="GD38" i="21"/>
  <c r="CP38" i="21"/>
  <c r="GE38" i="21"/>
  <c r="CF39" i="21"/>
  <c r="GA39" i="21"/>
  <c r="CG39" i="21"/>
  <c r="CI39" i="21"/>
  <c r="GC39" i="21"/>
  <c r="CK39" i="21"/>
  <c r="GD39" i="21"/>
  <c r="CP39" i="21"/>
  <c r="CF40" i="21"/>
  <c r="GA40" i="21"/>
  <c r="CG40" i="21"/>
  <c r="GB40" i="21"/>
  <c r="CI40" i="21"/>
  <c r="GC40" i="21"/>
  <c r="CK40" i="21"/>
  <c r="GD40" i="21"/>
  <c r="CP40" i="21"/>
  <c r="CF41" i="21"/>
  <c r="GA41" i="21"/>
  <c r="CG41" i="21"/>
  <c r="CI41" i="21"/>
  <c r="GC41" i="21"/>
  <c r="CK41" i="21"/>
  <c r="GD41" i="21"/>
  <c r="CP41" i="21"/>
  <c r="GE41" i="21"/>
  <c r="CF42" i="21"/>
  <c r="GA42" i="21"/>
  <c r="CG42" i="21"/>
  <c r="CI42" i="21"/>
  <c r="CK42" i="21"/>
  <c r="GD42" i="21"/>
  <c r="CP42" i="21"/>
  <c r="CF46" i="21"/>
  <c r="KH46" i="21"/>
  <c r="CG46" i="21"/>
  <c r="KI46" i="21"/>
  <c r="CI46" i="21"/>
  <c r="GC46" i="21"/>
  <c r="CK46" i="21"/>
  <c r="GD46" i="21"/>
  <c r="CP46" i="21"/>
  <c r="GE46" i="21"/>
  <c r="CF47" i="21"/>
  <c r="CG47" i="21"/>
  <c r="GB47" i="21"/>
  <c r="CI47" i="21"/>
  <c r="CK47" i="21"/>
  <c r="GD47" i="21"/>
  <c r="CP47" i="21"/>
  <c r="GE47" i="21"/>
  <c r="CF48" i="21"/>
  <c r="GA48" i="21"/>
  <c r="CG48" i="21"/>
  <c r="CI48" i="21"/>
  <c r="CK48" i="21"/>
  <c r="GD48" i="21"/>
  <c r="CP48" i="21"/>
  <c r="KR48" i="21"/>
  <c r="CF49" i="21"/>
  <c r="CG49" i="21"/>
  <c r="GB49" i="21"/>
  <c r="CI49" i="21"/>
  <c r="KK49" i="21"/>
  <c r="CK49" i="21"/>
  <c r="GD49" i="21"/>
  <c r="CP49" i="21"/>
  <c r="KR49" i="21"/>
  <c r="CF9" i="39"/>
  <c r="CG9" i="39"/>
  <c r="CI9" i="39"/>
  <c r="CK9" i="39"/>
  <c r="GD9" i="39"/>
  <c r="CP9" i="39"/>
  <c r="GE9" i="39"/>
  <c r="CF10" i="39"/>
  <c r="GA10" i="39"/>
  <c r="CG10" i="39"/>
  <c r="CI10" i="39"/>
  <c r="CK10" i="39"/>
  <c r="CP10" i="39"/>
  <c r="CF11" i="39"/>
  <c r="CG11" i="39"/>
  <c r="KI11" i="39"/>
  <c r="CI11" i="39"/>
  <c r="CK11" i="39"/>
  <c r="GD11" i="39"/>
  <c r="CP11" i="39"/>
  <c r="CF12" i="39"/>
  <c r="CG12" i="39"/>
  <c r="CI12" i="39"/>
  <c r="CK12" i="39"/>
  <c r="CP12" i="39"/>
  <c r="CF13" i="39"/>
  <c r="CG13" i="39"/>
  <c r="GB13" i="39"/>
  <c r="CI13" i="39"/>
  <c r="GC13" i="39"/>
  <c r="CK13" i="39"/>
  <c r="CP13" i="39"/>
  <c r="CF14" i="39"/>
  <c r="CG14" i="39"/>
  <c r="CI14" i="39"/>
  <c r="CK14" i="39"/>
  <c r="KM14" i="39"/>
  <c r="CP14" i="39"/>
  <c r="GE14" i="39"/>
  <c r="CF15" i="39"/>
  <c r="GA15" i="39"/>
  <c r="CG15" i="39"/>
  <c r="CI15" i="39"/>
  <c r="KK15" i="39"/>
  <c r="CK15" i="39"/>
  <c r="CP15" i="39"/>
  <c r="CF16" i="39"/>
  <c r="CG16" i="39"/>
  <c r="GB16" i="39"/>
  <c r="CI16" i="39"/>
  <c r="GC16" i="39"/>
  <c r="CK16" i="39"/>
  <c r="GD16" i="39"/>
  <c r="CP16" i="39"/>
  <c r="CF17" i="39"/>
  <c r="GA17" i="39"/>
  <c r="CG17" i="39"/>
  <c r="CI17" i="39"/>
  <c r="CK17" i="39"/>
  <c r="GD17" i="39"/>
  <c r="CP17" i="39"/>
  <c r="CF18" i="39"/>
  <c r="GA18" i="39"/>
  <c r="CG18" i="39"/>
  <c r="CI18" i="39"/>
  <c r="GC18" i="39"/>
  <c r="CK18" i="39"/>
  <c r="CP18" i="39"/>
  <c r="CF19" i="39"/>
  <c r="CG19" i="39"/>
  <c r="GB19" i="39"/>
  <c r="CI19" i="39"/>
  <c r="KK19" i="39"/>
  <c r="CK19" i="39"/>
  <c r="CP19" i="39"/>
  <c r="GE19" i="39"/>
  <c r="CF20" i="39"/>
  <c r="GA20" i="39"/>
  <c r="CG20" i="39"/>
  <c r="CI20" i="39"/>
  <c r="CK20" i="39"/>
  <c r="GD20" i="39"/>
  <c r="CP20" i="39"/>
  <c r="KR20" i="39"/>
  <c r="CF21" i="39"/>
  <c r="GA21" i="39"/>
  <c r="CG21" i="39"/>
  <c r="CI21" i="39"/>
  <c r="GC21" i="39"/>
  <c r="CK21" i="39"/>
  <c r="CP21" i="39"/>
  <c r="GE21" i="39"/>
  <c r="CF22" i="39"/>
  <c r="CG22" i="39"/>
  <c r="CI22" i="39"/>
  <c r="KK22" i="39"/>
  <c r="CK22" i="39"/>
  <c r="CP22" i="39"/>
  <c r="GE22" i="39"/>
  <c r="CF23" i="39"/>
  <c r="CG23" i="39"/>
  <c r="GB23" i="39"/>
  <c r="CI23" i="39"/>
  <c r="CK23" i="39"/>
  <c r="CP23" i="39"/>
  <c r="CF24" i="39"/>
  <c r="CG24" i="39"/>
  <c r="KI24" i="39"/>
  <c r="CI24" i="39"/>
  <c r="GC24" i="39"/>
  <c r="CK24" i="39"/>
  <c r="GD24" i="39"/>
  <c r="CP24" i="39"/>
  <c r="GE24" i="39"/>
  <c r="CF25" i="39"/>
  <c r="CG25" i="39"/>
  <c r="CI25" i="39"/>
  <c r="GC25" i="39"/>
  <c r="CK25" i="39"/>
  <c r="GD25" i="39"/>
  <c r="CP25" i="39"/>
  <c r="CF26" i="39"/>
  <c r="GA26" i="39"/>
  <c r="CG26" i="39"/>
  <c r="GB26" i="39"/>
  <c r="CI26" i="39"/>
  <c r="GC26" i="39"/>
  <c r="CK26" i="39"/>
  <c r="CP26" i="39"/>
  <c r="CF27" i="39"/>
  <c r="CG27" i="39"/>
  <c r="GB27" i="39"/>
  <c r="CI27" i="39"/>
  <c r="CK27" i="39"/>
  <c r="GD27" i="39"/>
  <c r="CP27" i="39"/>
  <c r="GE27" i="39"/>
  <c r="CF28" i="39"/>
  <c r="CG28" i="39"/>
  <c r="CI28" i="39"/>
  <c r="CK28" i="39"/>
  <c r="GD28" i="39"/>
  <c r="CP28" i="39"/>
  <c r="KR28" i="39"/>
  <c r="CF29" i="39"/>
  <c r="GA29" i="39"/>
  <c r="CG29" i="39"/>
  <c r="CI29" i="39"/>
  <c r="CK29" i="39"/>
  <c r="CP29" i="39"/>
  <c r="CF30" i="39"/>
  <c r="CG30" i="39"/>
  <c r="CI30" i="39"/>
  <c r="CK30" i="39"/>
  <c r="GD30" i="39"/>
  <c r="CP30" i="39"/>
  <c r="CF31" i="39"/>
  <c r="GA31" i="39"/>
  <c r="CG31" i="39"/>
  <c r="GB31" i="39"/>
  <c r="CI31" i="39"/>
  <c r="CK31" i="39"/>
  <c r="CP31" i="39"/>
  <c r="GE31" i="39"/>
  <c r="CF32" i="39"/>
  <c r="GA32" i="39"/>
  <c r="CG32" i="39"/>
  <c r="GB32" i="39"/>
  <c r="CI32" i="39"/>
  <c r="CK32" i="39"/>
  <c r="CP32" i="39"/>
  <c r="CF33" i="39"/>
  <c r="CG33" i="39"/>
  <c r="CI33" i="39"/>
  <c r="CK33" i="39"/>
  <c r="CP33" i="39"/>
  <c r="CF34" i="39"/>
  <c r="CG34" i="39"/>
  <c r="GB34" i="39"/>
  <c r="CI34" i="39"/>
  <c r="CK34" i="39"/>
  <c r="CP34" i="39"/>
  <c r="GE34" i="39"/>
  <c r="CF35" i="39"/>
  <c r="CG35" i="39"/>
  <c r="GB35" i="39"/>
  <c r="CI35" i="39"/>
  <c r="KK35" i="39"/>
  <c r="CK35" i="39"/>
  <c r="CP35" i="39"/>
  <c r="GE35" i="39"/>
  <c r="CF36" i="39"/>
  <c r="CG36" i="39"/>
  <c r="CI36" i="39"/>
  <c r="GC36" i="39"/>
  <c r="CK36" i="39"/>
  <c r="CP36" i="39"/>
  <c r="GE36" i="39"/>
  <c r="CF37" i="39"/>
  <c r="CG37" i="39"/>
  <c r="CI37" i="39"/>
  <c r="GC37" i="39"/>
  <c r="CK37" i="39"/>
  <c r="CP37" i="39"/>
  <c r="GE37" i="39"/>
  <c r="CF38" i="39"/>
  <c r="CG38" i="39"/>
  <c r="CI38" i="39"/>
  <c r="CK38" i="39"/>
  <c r="KM38" i="39"/>
  <c r="CP38" i="39"/>
  <c r="CF39" i="39"/>
  <c r="GA39" i="39"/>
  <c r="CG39" i="39"/>
  <c r="CI39" i="39"/>
  <c r="CK39" i="39"/>
  <c r="CP39" i="39"/>
  <c r="CF40" i="39"/>
  <c r="GA40" i="39"/>
  <c r="CG40" i="39"/>
  <c r="CI40" i="39"/>
  <c r="CK40" i="39"/>
  <c r="GD40" i="39"/>
  <c r="CP40" i="39"/>
  <c r="CF41" i="39"/>
  <c r="CG41" i="39"/>
  <c r="GB41" i="39"/>
  <c r="CI41" i="39"/>
  <c r="CK41" i="39"/>
  <c r="KM41" i="39"/>
  <c r="CP41" i="39"/>
  <c r="CF42" i="39"/>
  <c r="CG42" i="39"/>
  <c r="GB42" i="39"/>
  <c r="CI42" i="39"/>
  <c r="CK42" i="39"/>
  <c r="CP42" i="39"/>
  <c r="KD43" i="39"/>
  <c r="KE43" i="39"/>
  <c r="CF44" i="39"/>
  <c r="CG44" i="39"/>
  <c r="CI44" i="39"/>
  <c r="CK44" i="39"/>
  <c r="CP44" i="39"/>
  <c r="GE44" i="39"/>
  <c r="CF45" i="39"/>
  <c r="CG45" i="39"/>
  <c r="CI45" i="39"/>
  <c r="CK45" i="39"/>
  <c r="CP45" i="39"/>
  <c r="CF46" i="39"/>
  <c r="GA46" i="39"/>
  <c r="CG46" i="39"/>
  <c r="CI46" i="39"/>
  <c r="CK46" i="39"/>
  <c r="CP46" i="39"/>
  <c r="CF47" i="39"/>
  <c r="GA47" i="39"/>
  <c r="CG47" i="39"/>
  <c r="KI47" i="39"/>
  <c r="CI47" i="39"/>
  <c r="CK47" i="39"/>
  <c r="GD47" i="39"/>
  <c r="CP47" i="39"/>
  <c r="GE47" i="39"/>
  <c r="CF48" i="39"/>
  <c r="KH48" i="39"/>
  <c r="CG48" i="39"/>
  <c r="CI48" i="39"/>
  <c r="CK48" i="39"/>
  <c r="KM48" i="39"/>
  <c r="CP48" i="39"/>
  <c r="CF49" i="39"/>
  <c r="CG49" i="39"/>
  <c r="CI49" i="39"/>
  <c r="CK49" i="39"/>
  <c r="GD49" i="39"/>
  <c r="CP49" i="39"/>
  <c r="GE49" i="39"/>
  <c r="CF50" i="39"/>
  <c r="CG50" i="39"/>
  <c r="CI50" i="39"/>
  <c r="KK50" i="39"/>
  <c r="CK50" i="39"/>
  <c r="CP50" i="39"/>
  <c r="CF51" i="39"/>
  <c r="CG51" i="39"/>
  <c r="GB51" i="39"/>
  <c r="CI51" i="39"/>
  <c r="CK51" i="39"/>
  <c r="CP51" i="39"/>
  <c r="KR51" i="39"/>
  <c r="CF52" i="39"/>
  <c r="CG52" i="39"/>
  <c r="CI52" i="39"/>
  <c r="GC52" i="39"/>
  <c r="CK52" i="39"/>
  <c r="CP52" i="39"/>
  <c r="GE52" i="39"/>
  <c r="CF53" i="39"/>
  <c r="GA53" i="39"/>
  <c r="CG53" i="39"/>
  <c r="CI53" i="39"/>
  <c r="CK53" i="39"/>
  <c r="GD53" i="39"/>
  <c r="CP53" i="39"/>
  <c r="GE53" i="39"/>
  <c r="CF54" i="39"/>
  <c r="CG54" i="39"/>
  <c r="CI54" i="39"/>
  <c r="CK54" i="39"/>
  <c r="CP54" i="39"/>
  <c r="CF55" i="39"/>
  <c r="CG55" i="39"/>
  <c r="CI55" i="39"/>
  <c r="CK55" i="39"/>
  <c r="CP55" i="39"/>
  <c r="GE55" i="39"/>
  <c r="CF56" i="39"/>
  <c r="GA56" i="39"/>
  <c r="CG56" i="39"/>
  <c r="GB56" i="39"/>
  <c r="CI56" i="39"/>
  <c r="CK56" i="39"/>
  <c r="GD56" i="39"/>
  <c r="CP56" i="39"/>
  <c r="KR56" i="39"/>
  <c r="CF57" i="39"/>
  <c r="CG57" i="39"/>
  <c r="CI57" i="39"/>
  <c r="GC57" i="39"/>
  <c r="CK57" i="39"/>
  <c r="CP57" i="39"/>
  <c r="CF58" i="39"/>
  <c r="CG58" i="39"/>
  <c r="CI58" i="39"/>
  <c r="CK58" i="39"/>
  <c r="KM58" i="39"/>
  <c r="CP58" i="39"/>
  <c r="GE58" i="39"/>
  <c r="CF59" i="39"/>
  <c r="CG59" i="39"/>
  <c r="CI59" i="39"/>
  <c r="GC59" i="39"/>
  <c r="CK59" i="39"/>
  <c r="CP59" i="39"/>
  <c r="GE59" i="39"/>
  <c r="CF60" i="39"/>
  <c r="CG60" i="39"/>
  <c r="CI60" i="39"/>
  <c r="CK60" i="39"/>
  <c r="CP60" i="39"/>
  <c r="CF61" i="39"/>
  <c r="CG61" i="39"/>
  <c r="CI61" i="39"/>
  <c r="CK61" i="39"/>
  <c r="GD61" i="39"/>
  <c r="CP61" i="39"/>
  <c r="CF62" i="39"/>
  <c r="CG62" i="39"/>
  <c r="CI62" i="39"/>
  <c r="GC62" i="39"/>
  <c r="CK62" i="39"/>
  <c r="KM62" i="39"/>
  <c r="CP62" i="39"/>
  <c r="CF63" i="39"/>
  <c r="CG63" i="39"/>
  <c r="CI63" i="39"/>
  <c r="GC63" i="39"/>
  <c r="CK63" i="39"/>
  <c r="CP63" i="39"/>
  <c r="GE63" i="39"/>
  <c r="CF64" i="39"/>
  <c r="CG64" i="39"/>
  <c r="CI64" i="39"/>
  <c r="CK64" i="39"/>
  <c r="CP64" i="39"/>
  <c r="CF65" i="39"/>
  <c r="KH65" i="39"/>
  <c r="CG65" i="39"/>
  <c r="GB65" i="39"/>
  <c r="CI65" i="39"/>
  <c r="CK65" i="39"/>
  <c r="GD65" i="39"/>
  <c r="CP65" i="39"/>
  <c r="KR65" i="39"/>
  <c r="CF66" i="39"/>
  <c r="CG66" i="39"/>
  <c r="CI66" i="39"/>
  <c r="CK66" i="39"/>
  <c r="GD66" i="39"/>
  <c r="CP66" i="39"/>
  <c r="CF67" i="39"/>
  <c r="KH67" i="39"/>
  <c r="CG67" i="39"/>
  <c r="GB67" i="39"/>
  <c r="CI67" i="39"/>
  <c r="CK67" i="39"/>
  <c r="CP67" i="39"/>
  <c r="CF68" i="39"/>
  <c r="CG68" i="39"/>
  <c r="CI68" i="39"/>
  <c r="GC68" i="39"/>
  <c r="CK68" i="39"/>
  <c r="CP68" i="39"/>
  <c r="GE68" i="39"/>
  <c r="CF69" i="39"/>
  <c r="CG69" i="39"/>
  <c r="GB69" i="39"/>
  <c r="CI69" i="39"/>
  <c r="CK69" i="39"/>
  <c r="CP69" i="39"/>
  <c r="CF70" i="39"/>
  <c r="GA70" i="39"/>
  <c r="CG70" i="39"/>
  <c r="CI70" i="39"/>
  <c r="GC70" i="39"/>
  <c r="CK70" i="39"/>
  <c r="CP70" i="39"/>
  <c r="GE70" i="39"/>
  <c r="CF71" i="39"/>
  <c r="GA71" i="39"/>
  <c r="CG71" i="39"/>
  <c r="GB71" i="39"/>
  <c r="CI71" i="39"/>
  <c r="CK71" i="39"/>
  <c r="CP71" i="39"/>
  <c r="CF72" i="39"/>
  <c r="GA72" i="39"/>
  <c r="CG72" i="39"/>
  <c r="CI72" i="39"/>
  <c r="CK72" i="39"/>
  <c r="GD72" i="39"/>
  <c r="CP72" i="39"/>
  <c r="CF73" i="39"/>
  <c r="CG73" i="39"/>
  <c r="CI73" i="39"/>
  <c r="CK73" i="39"/>
  <c r="GD73" i="39"/>
  <c r="CP73" i="39"/>
  <c r="KR73" i="39"/>
  <c r="CF74" i="39"/>
  <c r="CG74" i="39"/>
  <c r="CI74" i="39"/>
  <c r="GC74" i="39"/>
  <c r="CK74" i="39"/>
  <c r="CP74" i="39"/>
  <c r="CF75" i="39"/>
  <c r="GA75" i="39"/>
  <c r="CG75" i="39"/>
  <c r="GB75" i="39"/>
  <c r="CI75" i="39"/>
  <c r="CK75" i="39"/>
  <c r="GD75" i="39"/>
  <c r="CP75" i="39"/>
  <c r="CF76" i="39"/>
  <c r="CG76" i="39"/>
  <c r="KI76" i="39"/>
  <c r="CI76" i="39"/>
  <c r="CK76" i="39"/>
  <c r="CP76" i="39"/>
  <c r="GE76" i="39"/>
  <c r="CF77" i="39"/>
  <c r="CG77" i="39"/>
  <c r="CI77" i="39"/>
  <c r="CK77" i="39"/>
  <c r="CP77" i="39"/>
  <c r="CF78" i="39"/>
  <c r="GA78" i="39"/>
  <c r="CG78" i="39"/>
  <c r="CI78" i="39"/>
  <c r="GC78" i="39"/>
  <c r="CK78" i="39"/>
  <c r="KM78" i="39"/>
  <c r="CP78" i="39"/>
  <c r="CF79" i="39"/>
  <c r="GA79" i="39"/>
  <c r="CG79" i="39"/>
  <c r="GB79" i="39"/>
  <c r="CI79" i="39"/>
  <c r="GC79" i="39"/>
  <c r="CK79" i="39"/>
  <c r="CP79" i="39"/>
  <c r="GE79" i="39"/>
  <c r="CF80" i="39"/>
  <c r="GA80" i="39"/>
  <c r="CG80" i="39"/>
  <c r="KI80" i="39"/>
  <c r="CI80" i="39"/>
  <c r="GC80" i="39"/>
  <c r="CK80" i="39"/>
  <c r="GD80" i="39"/>
  <c r="CP80" i="39"/>
  <c r="CF81" i="39"/>
  <c r="CG81" i="39"/>
  <c r="CI81" i="39"/>
  <c r="CK81" i="39"/>
  <c r="GD81" i="39"/>
  <c r="CP81" i="39"/>
  <c r="CF82" i="39"/>
  <c r="CG82" i="39"/>
  <c r="CI82" i="39"/>
  <c r="CK82" i="39"/>
  <c r="CP82" i="39"/>
  <c r="CF83" i="39"/>
  <c r="CG83" i="39"/>
  <c r="CI83" i="39"/>
  <c r="CK83" i="39"/>
  <c r="CP83" i="39"/>
  <c r="GE83" i="39"/>
  <c r="CF84" i="39"/>
  <c r="CG84" i="39"/>
  <c r="CI84" i="39"/>
  <c r="CK84" i="39"/>
  <c r="CP84" i="39"/>
  <c r="CF85" i="39"/>
  <c r="CG85" i="39"/>
  <c r="CI85" i="39"/>
  <c r="GC85" i="39"/>
  <c r="CK85" i="39"/>
  <c r="GD85" i="39"/>
  <c r="CP85" i="39"/>
  <c r="CF86" i="39"/>
  <c r="CG86" i="39"/>
  <c r="CI86" i="39"/>
  <c r="CK86" i="39"/>
  <c r="GD86" i="39"/>
  <c r="CP86" i="39"/>
  <c r="CF123" i="19"/>
  <c r="GA123" i="19"/>
  <c r="CG123" i="19"/>
  <c r="GB123" i="19"/>
  <c r="CI123" i="19"/>
  <c r="CK123" i="19"/>
  <c r="CP123" i="19"/>
  <c r="FX123" i="19"/>
  <c r="CF112" i="19"/>
  <c r="CG112" i="19"/>
  <c r="KI112" i="19"/>
  <c r="CI112" i="19"/>
  <c r="CK112" i="19"/>
  <c r="GD112" i="19"/>
  <c r="CP112" i="19"/>
  <c r="KR112" i="19"/>
  <c r="FX112" i="19"/>
  <c r="CF111" i="19"/>
  <c r="CG111" i="19"/>
  <c r="GB111" i="19"/>
  <c r="CI111" i="19"/>
  <c r="CK111" i="19"/>
  <c r="GD111" i="19"/>
  <c r="CP111" i="19"/>
  <c r="FX111" i="19"/>
  <c r="CF107" i="19"/>
  <c r="GA107" i="19"/>
  <c r="CD107" i="19"/>
  <c r="CI107" i="19"/>
  <c r="GC107" i="19"/>
  <c r="CK107" i="19"/>
  <c r="GD107" i="19"/>
  <c r="CP107" i="19"/>
  <c r="GE107" i="19"/>
  <c r="CF106" i="19"/>
  <c r="CD106" i="19"/>
  <c r="CG106" i="19"/>
  <c r="CI106" i="19"/>
  <c r="CK106" i="19"/>
  <c r="CP106" i="19"/>
  <c r="GE106" i="19"/>
  <c r="CF105" i="19"/>
  <c r="CD105" i="19"/>
  <c r="CI105" i="19"/>
  <c r="GC105" i="19"/>
  <c r="CK105" i="19"/>
  <c r="GD105" i="19"/>
  <c r="CP105" i="19"/>
  <c r="CF104" i="19"/>
  <c r="GA104" i="19"/>
  <c r="CD104" i="19"/>
  <c r="KF104" i="19"/>
  <c r="CI104" i="19"/>
  <c r="GC104" i="19"/>
  <c r="CK104" i="19"/>
  <c r="GD104" i="19"/>
  <c r="CP104" i="19"/>
  <c r="GE104" i="19"/>
  <c r="CF103" i="19"/>
  <c r="CD103" i="19"/>
  <c r="CI103" i="19"/>
  <c r="GC103" i="19"/>
  <c r="CK103" i="19"/>
  <c r="GD103" i="19"/>
  <c r="CP103" i="19"/>
  <c r="CF102" i="19"/>
  <c r="GA102" i="19"/>
  <c r="CD102" i="19"/>
  <c r="CI102" i="19"/>
  <c r="GC102" i="19"/>
  <c r="CK102" i="19"/>
  <c r="GD102" i="19"/>
  <c r="CP102" i="19"/>
  <c r="CF101" i="19"/>
  <c r="GA101" i="19"/>
  <c r="CD101" i="19"/>
  <c r="CG101" i="19"/>
  <c r="CI101" i="19"/>
  <c r="GC101" i="19"/>
  <c r="CK101" i="19"/>
  <c r="GD101" i="19"/>
  <c r="CP101" i="19"/>
  <c r="GE101" i="19"/>
  <c r="CF100" i="19"/>
  <c r="GA100" i="19"/>
  <c r="CG100" i="19"/>
  <c r="CI100" i="19"/>
  <c r="CK100" i="19"/>
  <c r="GD100" i="19"/>
  <c r="CP100" i="19"/>
  <c r="GE100" i="19"/>
  <c r="CF99" i="19"/>
  <c r="CG99" i="19"/>
  <c r="GB99" i="19"/>
  <c r="CI99" i="19"/>
  <c r="GC99" i="19"/>
  <c r="CK99" i="19"/>
  <c r="CP99" i="19"/>
  <c r="GE99" i="19"/>
  <c r="CD98" i="19"/>
  <c r="CG98" i="19"/>
  <c r="GB98" i="19"/>
  <c r="CI98" i="19"/>
  <c r="CK98" i="19"/>
  <c r="CP98" i="19"/>
  <c r="GE98" i="19"/>
  <c r="CF97" i="19"/>
  <c r="GA97" i="19"/>
  <c r="CG97" i="19"/>
  <c r="GB97" i="19"/>
  <c r="CI97" i="19"/>
  <c r="GC97" i="19"/>
  <c r="CK97" i="19"/>
  <c r="CP97" i="19"/>
  <c r="GE97" i="19"/>
  <c r="CF96" i="19"/>
  <c r="GA96" i="19"/>
  <c r="CG96" i="19"/>
  <c r="CI96" i="19"/>
  <c r="GC96" i="19"/>
  <c r="CK96" i="19"/>
  <c r="GD96" i="19"/>
  <c r="CP96" i="19"/>
  <c r="CF95" i="19"/>
  <c r="GA95" i="19"/>
  <c r="CG95" i="19"/>
  <c r="CI95" i="19"/>
  <c r="CK95" i="19"/>
  <c r="GD95" i="19"/>
  <c r="CP95" i="19"/>
  <c r="CF94" i="19"/>
  <c r="GA94" i="19"/>
  <c r="CG94" i="19"/>
  <c r="GB94" i="19"/>
  <c r="CI94" i="19"/>
  <c r="GC94" i="19"/>
  <c r="CK94" i="19"/>
  <c r="GD94" i="19"/>
  <c r="CP94" i="19"/>
  <c r="CF93" i="19"/>
  <c r="GA93" i="19"/>
  <c r="CG93" i="19"/>
  <c r="GB93" i="19"/>
  <c r="CI93" i="19"/>
  <c r="CK93" i="19"/>
  <c r="GD93" i="19"/>
  <c r="CP93" i="19"/>
  <c r="GE93" i="19"/>
  <c r="CF92" i="19"/>
  <c r="GA92" i="19"/>
  <c r="CG92" i="19"/>
  <c r="GB92" i="19"/>
  <c r="CI92" i="19"/>
  <c r="CK92" i="19"/>
  <c r="GD92" i="19"/>
  <c r="CP92" i="19"/>
  <c r="GE92" i="19"/>
  <c r="CF91" i="19"/>
  <c r="CG91" i="19"/>
  <c r="GB91" i="19"/>
  <c r="CI91" i="19"/>
  <c r="GC91" i="19"/>
  <c r="CK91" i="19"/>
  <c r="CP91" i="19"/>
  <c r="GE91" i="19"/>
  <c r="CF90" i="19"/>
  <c r="CG90" i="19"/>
  <c r="CI90" i="19"/>
  <c r="GC90" i="19"/>
  <c r="CK90" i="19"/>
  <c r="CP90" i="19"/>
  <c r="GE90" i="19"/>
  <c r="CF89" i="19"/>
  <c r="CG89" i="19"/>
  <c r="GB89" i="19"/>
  <c r="CI89" i="19"/>
  <c r="GC89" i="19"/>
  <c r="CK89" i="19"/>
  <c r="CP89" i="19"/>
  <c r="GE89" i="19"/>
  <c r="CF88" i="19"/>
  <c r="CG88" i="19"/>
  <c r="GB88" i="19"/>
  <c r="CI88" i="19"/>
  <c r="GC88" i="19"/>
  <c r="CK88" i="19"/>
  <c r="CP88" i="19"/>
  <c r="GE88" i="19"/>
  <c r="CF87" i="19"/>
  <c r="GA87" i="19"/>
  <c r="CG87" i="19"/>
  <c r="CI87" i="19"/>
  <c r="GC87" i="19"/>
  <c r="CK87" i="19"/>
  <c r="GD87" i="19"/>
  <c r="CP87" i="19"/>
  <c r="CF86" i="19"/>
  <c r="GA86" i="19"/>
  <c r="CG86" i="19"/>
  <c r="GB86" i="19"/>
  <c r="CI86" i="19"/>
  <c r="GC86" i="19"/>
  <c r="CK86" i="19"/>
  <c r="CP86" i="19"/>
  <c r="CF85" i="19"/>
  <c r="CG85" i="19"/>
  <c r="GB85" i="19"/>
  <c r="CI85" i="19"/>
  <c r="GC85" i="19"/>
  <c r="CK85" i="19"/>
  <c r="GD85" i="19"/>
  <c r="CP85" i="19"/>
  <c r="GE85" i="19"/>
  <c r="CF84" i="19"/>
  <c r="GA84" i="19"/>
  <c r="CG84" i="19"/>
  <c r="GB84" i="19"/>
  <c r="CI84" i="19"/>
  <c r="GC84" i="19"/>
  <c r="CK84" i="19"/>
  <c r="GD84" i="19"/>
  <c r="CP84" i="19"/>
  <c r="CF83" i="19"/>
  <c r="CG83" i="19"/>
  <c r="GB83" i="19"/>
  <c r="CI83" i="19"/>
  <c r="GC83" i="19"/>
  <c r="CK83" i="19"/>
  <c r="GD83" i="19"/>
  <c r="CP83" i="19"/>
  <c r="GE83" i="19"/>
  <c r="CF82" i="19"/>
  <c r="CG82" i="19"/>
  <c r="GB82" i="19"/>
  <c r="CI82" i="19"/>
  <c r="GC82" i="19"/>
  <c r="CK82" i="19"/>
  <c r="CP82" i="19"/>
  <c r="CF81" i="19"/>
  <c r="GA81" i="19"/>
  <c r="CG81" i="19"/>
  <c r="GB81" i="19"/>
  <c r="CI81" i="19"/>
  <c r="GC81" i="19"/>
  <c r="CK81" i="19"/>
  <c r="CP81" i="19"/>
  <c r="GE81" i="19"/>
  <c r="CF80" i="19"/>
  <c r="KH80" i="19"/>
  <c r="CG80" i="19"/>
  <c r="CI80" i="19"/>
  <c r="GC80" i="19"/>
  <c r="CK80" i="19"/>
  <c r="GD80" i="19"/>
  <c r="CP80" i="19"/>
  <c r="GE80" i="19"/>
  <c r="CF79" i="19"/>
  <c r="GA79" i="19"/>
  <c r="CG79" i="19"/>
  <c r="CI79" i="19"/>
  <c r="CK79" i="19"/>
  <c r="GD79" i="19"/>
  <c r="CP79" i="19"/>
  <c r="CF78" i="19"/>
  <c r="GA78" i="19"/>
  <c r="CG78" i="19"/>
  <c r="GB78" i="19"/>
  <c r="CI78" i="19"/>
  <c r="GC78" i="19"/>
  <c r="CK78" i="19"/>
  <c r="GD78" i="19"/>
  <c r="CP78" i="19"/>
  <c r="CF77" i="19"/>
  <c r="GA77" i="19"/>
  <c r="CG77" i="19"/>
  <c r="CI77" i="19"/>
  <c r="GC77" i="19"/>
  <c r="CK77" i="19"/>
  <c r="GD77" i="19"/>
  <c r="CP77" i="19"/>
  <c r="GE77" i="19"/>
  <c r="CF76" i="19"/>
  <c r="GA76" i="19"/>
  <c r="CG76" i="19"/>
  <c r="GB76" i="19"/>
  <c r="CI76" i="19"/>
  <c r="CK76" i="19"/>
  <c r="GD76" i="19"/>
  <c r="CP76" i="19"/>
  <c r="GE76" i="19"/>
  <c r="CF75" i="19"/>
  <c r="CG75" i="19"/>
  <c r="GB75" i="19"/>
  <c r="CI75" i="19"/>
  <c r="GC75" i="19"/>
  <c r="CK75" i="19"/>
  <c r="GD75" i="19"/>
  <c r="CP75" i="19"/>
  <c r="GE75" i="19"/>
  <c r="CF74" i="19"/>
  <c r="CG74" i="19"/>
  <c r="CI74" i="19"/>
  <c r="GC74" i="19"/>
  <c r="CK74" i="19"/>
  <c r="CP74" i="19"/>
  <c r="GE74" i="19"/>
  <c r="CF73" i="19"/>
  <c r="GA73" i="19"/>
  <c r="CG73" i="19"/>
  <c r="CI73" i="19"/>
  <c r="GC73" i="19"/>
  <c r="CK73" i="19"/>
  <c r="CP73" i="19"/>
  <c r="CF72" i="19"/>
  <c r="GA72" i="19"/>
  <c r="CG72" i="19"/>
  <c r="CI72" i="19"/>
  <c r="GC72" i="19"/>
  <c r="CK72" i="19"/>
  <c r="GD72" i="19"/>
  <c r="CP72" i="19"/>
  <c r="GE72" i="19"/>
  <c r="CF71" i="19"/>
  <c r="CG71" i="19"/>
  <c r="CI71" i="19"/>
  <c r="GC71" i="19"/>
  <c r="CK71" i="19"/>
  <c r="GD71" i="19"/>
  <c r="CP71" i="19"/>
  <c r="CF70" i="19"/>
  <c r="GA70" i="19"/>
  <c r="CG70" i="19"/>
  <c r="GB70" i="19"/>
  <c r="CI70" i="19"/>
  <c r="CK70" i="19"/>
  <c r="GD70" i="19"/>
  <c r="CP70" i="19"/>
  <c r="GE70" i="19"/>
  <c r="CF69" i="19"/>
  <c r="GA69" i="19"/>
  <c r="CG69" i="19"/>
  <c r="GB69" i="19"/>
  <c r="CI69" i="19"/>
  <c r="CK69" i="19"/>
  <c r="GD69" i="19"/>
  <c r="CP69" i="19"/>
  <c r="CF68" i="19"/>
  <c r="GA68" i="19"/>
  <c r="CG68" i="19"/>
  <c r="GB68" i="19"/>
  <c r="CI68" i="19"/>
  <c r="GC68" i="19"/>
  <c r="CK68" i="19"/>
  <c r="GD68" i="19"/>
  <c r="CP68" i="19"/>
  <c r="CF67" i="19"/>
  <c r="CG67" i="19"/>
  <c r="GB67" i="19"/>
  <c r="CI67" i="19"/>
  <c r="GC67" i="19"/>
  <c r="CK67" i="19"/>
  <c r="GD67" i="19"/>
  <c r="CP67" i="19"/>
  <c r="GE67" i="19"/>
  <c r="CF66" i="19"/>
  <c r="CG66" i="19"/>
  <c r="CI66" i="19"/>
  <c r="GC66" i="19"/>
  <c r="CK66" i="19"/>
  <c r="GD66" i="19"/>
  <c r="CP66" i="19"/>
  <c r="GE66" i="19"/>
  <c r="CF65" i="19"/>
  <c r="GA65" i="19"/>
  <c r="CG65" i="19"/>
  <c r="GB65" i="19"/>
  <c r="CI65" i="19"/>
  <c r="GC65" i="19"/>
  <c r="CK65" i="19"/>
  <c r="CP65" i="19"/>
  <c r="CF64" i="19"/>
  <c r="GA64" i="19"/>
  <c r="CG64" i="19"/>
  <c r="CI64" i="19"/>
  <c r="CK64" i="19"/>
  <c r="GD64" i="19"/>
  <c r="CP64" i="19"/>
  <c r="GE64" i="19"/>
  <c r="CF63" i="19"/>
  <c r="GA63" i="19"/>
  <c r="CG63" i="19"/>
  <c r="GB63" i="19"/>
  <c r="CI63" i="19"/>
  <c r="CK63" i="19"/>
  <c r="CP63" i="19"/>
  <c r="CF62" i="19"/>
  <c r="GA62" i="19"/>
  <c r="CG62" i="19"/>
  <c r="GB62" i="19"/>
  <c r="CI62" i="19"/>
  <c r="GC62" i="19"/>
  <c r="CK62" i="19"/>
  <c r="GD62" i="19"/>
  <c r="CP62" i="19"/>
  <c r="GE62" i="19"/>
  <c r="CF61" i="19"/>
  <c r="GA61" i="19"/>
  <c r="CG61" i="19"/>
  <c r="CI61" i="19"/>
  <c r="CK61" i="19"/>
  <c r="GD61" i="19"/>
  <c r="CP61" i="19"/>
  <c r="GE61" i="19"/>
  <c r="CF60" i="19"/>
  <c r="GA60" i="19"/>
  <c r="CG60" i="19"/>
  <c r="GB60" i="19"/>
  <c r="CI60" i="19"/>
  <c r="GC60" i="19"/>
  <c r="CK60" i="19"/>
  <c r="CP60" i="19"/>
  <c r="KR60" i="19"/>
  <c r="CF59" i="19"/>
  <c r="CG59" i="19"/>
  <c r="GB59" i="19"/>
  <c r="CI59" i="19"/>
  <c r="GC59" i="19"/>
  <c r="CK59" i="19"/>
  <c r="GD59" i="19"/>
  <c r="CP59" i="19"/>
  <c r="GE59" i="19"/>
  <c r="CF58" i="19"/>
  <c r="CG58" i="19"/>
  <c r="GB58" i="19"/>
  <c r="CI58" i="19"/>
  <c r="CK58" i="19"/>
  <c r="GD58" i="19"/>
  <c r="CP58" i="19"/>
  <c r="GE58" i="19"/>
  <c r="CF57" i="19"/>
  <c r="GA57" i="19"/>
  <c r="CG57" i="19"/>
  <c r="GB57" i="19"/>
  <c r="CI57" i="19"/>
  <c r="CK57" i="19"/>
  <c r="CP57" i="19"/>
  <c r="GE57" i="19"/>
  <c r="CF56" i="19"/>
  <c r="CG56" i="19"/>
  <c r="CI56" i="19"/>
  <c r="GC56" i="19"/>
  <c r="CK56" i="19"/>
  <c r="GD56" i="19"/>
  <c r="CP56" i="19"/>
  <c r="GE56" i="19"/>
  <c r="CF55" i="19"/>
  <c r="GA55" i="19"/>
  <c r="CG55" i="19"/>
  <c r="GB55" i="19"/>
  <c r="CI55" i="19"/>
  <c r="CK55" i="19"/>
  <c r="CP55" i="19"/>
  <c r="CF54" i="19"/>
  <c r="GA54" i="19"/>
  <c r="CG54" i="19"/>
  <c r="GB54" i="19"/>
  <c r="CI54" i="19"/>
  <c r="CK54" i="19"/>
  <c r="GD54" i="19"/>
  <c r="CP54" i="19"/>
  <c r="CF53" i="19"/>
  <c r="GA53" i="19"/>
  <c r="CG53" i="19"/>
  <c r="GB53" i="19"/>
  <c r="CI53" i="19"/>
  <c r="CK53" i="19"/>
  <c r="GD53" i="19"/>
  <c r="CP53" i="19"/>
  <c r="GE53" i="19"/>
  <c r="CF52" i="19"/>
  <c r="GA52" i="19"/>
  <c r="CG52" i="19"/>
  <c r="CI52" i="19"/>
  <c r="CK52" i="19"/>
  <c r="GD52" i="19"/>
  <c r="CP52" i="19"/>
  <c r="CF51" i="19"/>
  <c r="CG51" i="19"/>
  <c r="GB51" i="19"/>
  <c r="CI51" i="19"/>
  <c r="GC51" i="19"/>
  <c r="CK51" i="19"/>
  <c r="GD51" i="19"/>
  <c r="CP51" i="19"/>
  <c r="GE51" i="19"/>
  <c r="CF50" i="19"/>
  <c r="CG50" i="19"/>
  <c r="GB50" i="19"/>
  <c r="CI50" i="19"/>
  <c r="GC50" i="19"/>
  <c r="CK50" i="19"/>
  <c r="CP50" i="19"/>
  <c r="CF49" i="19"/>
  <c r="GA49" i="19"/>
  <c r="CG49" i="19"/>
  <c r="CI49" i="19"/>
  <c r="CK49" i="19"/>
  <c r="CP49" i="19"/>
  <c r="GE49" i="19"/>
  <c r="CF48" i="19"/>
  <c r="GA48" i="19"/>
  <c r="CG48" i="19"/>
  <c r="CI48" i="19"/>
  <c r="GC48" i="19"/>
  <c r="CK48" i="19"/>
  <c r="GD48" i="19"/>
  <c r="CP48" i="19"/>
  <c r="GE48" i="19"/>
  <c r="CF47" i="19"/>
  <c r="GA47" i="19"/>
  <c r="CG47" i="19"/>
  <c r="CI47" i="19"/>
  <c r="GC47" i="19"/>
  <c r="CK47" i="19"/>
  <c r="GD47" i="19"/>
  <c r="CP47" i="19"/>
  <c r="CF46" i="19"/>
  <c r="GA46" i="19"/>
  <c r="CG46" i="19"/>
  <c r="GB46" i="19"/>
  <c r="CI46" i="19"/>
  <c r="GC46" i="19"/>
  <c r="CK46" i="19"/>
  <c r="CP46" i="19"/>
  <c r="CF45" i="19"/>
  <c r="CG45" i="19"/>
  <c r="CI45" i="19"/>
  <c r="CK45" i="19"/>
  <c r="GD45" i="19"/>
  <c r="CP45" i="19"/>
  <c r="GE45" i="19"/>
  <c r="CF9" i="19"/>
  <c r="CG9" i="19"/>
  <c r="CI9" i="19"/>
  <c r="CK9" i="19"/>
  <c r="CP9" i="19"/>
  <c r="CF10" i="19"/>
  <c r="CG10" i="19"/>
  <c r="GB10" i="19"/>
  <c r="CI10" i="19"/>
  <c r="GC10" i="19"/>
  <c r="CK10" i="19"/>
  <c r="GD10" i="19"/>
  <c r="CP10" i="19"/>
  <c r="GE10" i="19"/>
  <c r="CF11" i="19"/>
  <c r="GA11" i="19"/>
  <c r="CG11" i="19"/>
  <c r="CI11" i="19"/>
  <c r="CK11" i="19"/>
  <c r="CP11" i="19"/>
  <c r="GE11" i="19"/>
  <c r="CF12" i="19"/>
  <c r="CG12" i="19"/>
  <c r="GB12" i="19"/>
  <c r="CI12" i="19"/>
  <c r="CK12" i="19"/>
  <c r="GD12" i="19"/>
  <c r="CP12" i="19"/>
  <c r="CF13" i="19"/>
  <c r="GA13" i="19"/>
  <c r="CG13" i="19"/>
  <c r="CI13" i="19"/>
  <c r="GC13" i="19"/>
  <c r="CK13" i="19"/>
  <c r="GD13" i="19"/>
  <c r="CP13" i="19"/>
  <c r="GE13" i="19"/>
  <c r="CF14" i="19"/>
  <c r="CG14" i="19"/>
  <c r="GB14" i="19"/>
  <c r="CI14" i="19"/>
  <c r="GC14" i="19"/>
  <c r="CK14" i="19"/>
  <c r="GD14" i="19"/>
  <c r="CP14" i="19"/>
  <c r="CF15" i="19"/>
  <c r="GA15" i="19"/>
  <c r="CG15" i="19"/>
  <c r="GB15" i="19"/>
  <c r="CI15" i="19"/>
  <c r="GC15" i="19"/>
  <c r="CK15" i="19"/>
  <c r="GD15" i="19"/>
  <c r="CP15" i="19"/>
  <c r="GE15" i="19"/>
  <c r="CF16" i="19"/>
  <c r="CG16" i="19"/>
  <c r="GB16" i="19"/>
  <c r="CI16" i="19"/>
  <c r="CK16" i="19"/>
  <c r="GD16" i="19"/>
  <c r="CP16" i="19"/>
  <c r="GE16" i="19"/>
  <c r="CF17" i="19"/>
  <c r="GA17" i="19"/>
  <c r="CG17" i="19"/>
  <c r="CI17" i="19"/>
  <c r="GC17" i="19"/>
  <c r="CK17" i="19"/>
  <c r="GD17" i="19"/>
  <c r="CP17" i="19"/>
  <c r="GE17" i="19"/>
  <c r="CF18" i="19"/>
  <c r="CG18" i="19"/>
  <c r="GB18" i="19"/>
  <c r="CI18" i="19"/>
  <c r="GC18" i="19"/>
  <c r="CK18" i="19"/>
  <c r="GD18" i="19"/>
  <c r="CP18" i="19"/>
  <c r="CF19" i="19"/>
  <c r="GA19" i="19"/>
  <c r="CG19" i="19"/>
  <c r="GB19" i="19"/>
  <c r="CI19" i="19"/>
  <c r="GC19" i="19"/>
  <c r="CK19" i="19"/>
  <c r="CP19" i="19"/>
  <c r="GE19" i="19"/>
  <c r="CF20" i="19"/>
  <c r="CG20" i="19"/>
  <c r="GB20" i="19"/>
  <c r="CI20" i="19"/>
  <c r="CK20" i="19"/>
  <c r="GD20" i="19"/>
  <c r="CP20" i="19"/>
  <c r="GE20" i="19"/>
  <c r="CF21" i="19"/>
  <c r="CG21" i="19"/>
  <c r="CI21" i="19"/>
  <c r="GC21" i="19"/>
  <c r="CK21" i="19"/>
  <c r="GD21" i="19"/>
  <c r="CP21" i="19"/>
  <c r="GE21" i="19"/>
  <c r="CF22" i="19"/>
  <c r="CG22" i="19"/>
  <c r="KI22" i="19"/>
  <c r="CI22" i="19"/>
  <c r="GC22" i="19"/>
  <c r="CK22" i="19"/>
  <c r="CP22" i="19"/>
  <c r="CF23" i="19"/>
  <c r="CG23" i="19"/>
  <c r="GB23" i="19"/>
  <c r="CI23" i="19"/>
  <c r="GC23" i="19"/>
  <c r="CK23" i="19"/>
  <c r="CP23" i="19"/>
  <c r="GE23" i="19"/>
  <c r="CF24" i="19"/>
  <c r="GA24" i="19"/>
  <c r="CG24" i="19"/>
  <c r="GB24" i="19"/>
  <c r="CI24" i="19"/>
  <c r="CK24" i="19"/>
  <c r="GD24" i="19"/>
  <c r="CP24" i="19"/>
  <c r="GE24" i="19"/>
  <c r="CF25" i="19"/>
  <c r="GA25" i="19"/>
  <c r="CG25" i="19"/>
  <c r="CI25" i="19"/>
  <c r="GC25" i="19"/>
  <c r="CK25" i="19"/>
  <c r="GD25" i="19"/>
  <c r="CP25" i="19"/>
  <c r="GE25" i="19"/>
  <c r="CF26" i="19"/>
  <c r="CG26" i="19"/>
  <c r="GB26" i="19"/>
  <c r="CI26" i="19"/>
  <c r="GC26" i="19"/>
  <c r="CK26" i="19"/>
  <c r="GD26" i="19"/>
  <c r="CP26" i="19"/>
  <c r="GE26" i="19"/>
  <c r="CF27" i="19"/>
  <c r="GA27" i="19"/>
  <c r="CG27" i="19"/>
  <c r="GB27" i="19"/>
  <c r="CI27" i="19"/>
  <c r="GC27" i="19"/>
  <c r="CK27" i="19"/>
  <c r="CP27" i="19"/>
  <c r="CF28" i="19"/>
  <c r="GA28" i="19"/>
  <c r="CG28" i="19"/>
  <c r="GB28" i="19"/>
  <c r="CI28" i="19"/>
  <c r="CK28" i="19"/>
  <c r="GD28" i="19"/>
  <c r="CP28" i="19"/>
  <c r="GE28" i="19"/>
  <c r="CF29" i="19"/>
  <c r="CG29" i="19"/>
  <c r="CI29" i="19"/>
  <c r="CK29" i="19"/>
  <c r="GD29" i="19"/>
  <c r="CP29" i="19"/>
  <c r="GE29" i="19"/>
  <c r="CF30" i="19"/>
  <c r="CG30" i="19"/>
  <c r="CI30" i="19"/>
  <c r="GC30" i="19"/>
  <c r="CK30" i="19"/>
  <c r="GD30" i="19"/>
  <c r="CP30" i="19"/>
  <c r="CF31" i="19"/>
  <c r="GA31" i="19"/>
  <c r="CG31" i="19"/>
  <c r="GB31" i="19"/>
  <c r="CI31" i="19"/>
  <c r="GC31" i="19"/>
  <c r="CK31" i="19"/>
  <c r="CP31" i="19"/>
  <c r="CF32" i="19"/>
  <c r="GA32" i="19"/>
  <c r="CG32" i="19"/>
  <c r="CI32" i="19"/>
  <c r="CK32" i="19"/>
  <c r="GD32" i="19"/>
  <c r="CP32" i="19"/>
  <c r="GE32" i="19"/>
  <c r="CF33" i="19"/>
  <c r="GA33" i="19"/>
  <c r="CG33" i="19"/>
  <c r="CI33" i="19"/>
  <c r="GC33" i="19"/>
  <c r="CK33" i="19"/>
  <c r="GD33" i="19"/>
  <c r="CP33" i="19"/>
  <c r="CF34" i="19"/>
  <c r="CG34" i="19"/>
  <c r="CI34" i="19"/>
  <c r="GC34" i="19"/>
  <c r="CK34" i="19"/>
  <c r="GD34" i="19"/>
  <c r="CP34" i="19"/>
  <c r="GE34" i="19"/>
  <c r="CF35" i="19"/>
  <c r="GA35" i="19"/>
  <c r="CG35" i="19"/>
  <c r="CI35" i="19"/>
  <c r="CK35" i="19"/>
  <c r="CP35" i="19"/>
  <c r="GE35" i="19"/>
  <c r="CF36" i="19"/>
  <c r="GA36" i="19"/>
  <c r="CG36" i="19"/>
  <c r="GB36" i="19"/>
  <c r="CI36" i="19"/>
  <c r="CK36" i="19"/>
  <c r="GD36" i="19"/>
  <c r="CP36" i="19"/>
  <c r="GE36" i="19"/>
  <c r="CF37" i="19"/>
  <c r="CG37" i="19"/>
  <c r="CI37" i="19"/>
  <c r="GC37" i="19"/>
  <c r="CK37" i="19"/>
  <c r="GD37" i="19"/>
  <c r="CP37" i="19"/>
  <c r="GE37" i="19"/>
  <c r="CF38" i="19"/>
  <c r="GA38" i="19"/>
  <c r="CG38" i="19"/>
  <c r="GB38" i="19"/>
  <c r="CI38" i="19"/>
  <c r="GC38" i="19"/>
  <c r="CK38" i="19"/>
  <c r="GD38" i="19"/>
  <c r="CP38" i="19"/>
  <c r="CF39" i="19"/>
  <c r="GA39" i="19"/>
  <c r="CG39" i="19"/>
  <c r="GB39" i="19"/>
  <c r="CI39" i="19"/>
  <c r="GC39" i="19"/>
  <c r="CK39" i="19"/>
  <c r="GD39" i="19"/>
  <c r="CP39" i="19"/>
  <c r="GE39" i="19"/>
  <c r="CF40" i="19"/>
  <c r="GA40" i="19"/>
  <c r="CG40" i="19"/>
  <c r="GB40" i="19"/>
  <c r="CI40" i="19"/>
  <c r="CK40" i="19"/>
  <c r="GD40" i="19"/>
  <c r="CP40" i="19"/>
  <c r="GE40" i="19"/>
  <c r="CF41" i="19"/>
  <c r="GA41" i="19"/>
  <c r="CG41" i="19"/>
  <c r="CI41" i="19"/>
  <c r="CK41" i="19"/>
  <c r="GD41" i="19"/>
  <c r="CP41" i="19"/>
  <c r="KD42" i="19"/>
  <c r="KE42" i="19"/>
  <c r="CF43" i="19"/>
  <c r="GA43" i="19"/>
  <c r="CG43" i="19"/>
  <c r="GB43" i="19"/>
  <c r="CI43" i="19"/>
  <c r="CK43" i="19"/>
  <c r="GD43" i="19"/>
  <c r="CP43" i="19"/>
  <c r="CF44" i="19"/>
  <c r="CG44" i="19"/>
  <c r="CI44" i="19"/>
  <c r="CK44" i="19"/>
  <c r="GD44" i="19"/>
  <c r="CP44" i="19"/>
  <c r="FX70" i="35"/>
  <c r="FX67" i="34"/>
  <c r="FX13" i="33"/>
  <c r="FX36" i="32"/>
  <c r="FX60" i="31"/>
  <c r="FX29" i="22"/>
  <c r="FX57" i="21"/>
  <c r="FX108" i="39"/>
  <c r="CD75" i="39"/>
  <c r="CD74" i="39"/>
  <c r="CE74" i="39"/>
  <c r="CD55" i="39"/>
  <c r="CE55" i="39"/>
  <c r="CO55" i="39"/>
  <c r="KQ55" i="39"/>
  <c r="CN55" i="39"/>
  <c r="KP55" i="39"/>
  <c r="CM55" i="39"/>
  <c r="KO55" i="39"/>
  <c r="CL55" i="39"/>
  <c r="KN55" i="39"/>
  <c r="CJ55" i="39"/>
  <c r="KL55" i="39"/>
  <c r="CH55" i="39"/>
  <c r="BB49" i="21"/>
  <c r="PG49" i="21"/>
  <c r="FC108" i="39"/>
  <c r="FC57" i="21"/>
  <c r="FC29" i="22"/>
  <c r="FC60" i="31"/>
  <c r="FC36" i="32"/>
  <c r="FC13" i="33"/>
  <c r="FC70" i="35"/>
  <c r="EJ1" i="39"/>
  <c r="EK1" i="39"/>
  <c r="EL1" i="39"/>
  <c r="EM1" i="39"/>
  <c r="EN1" i="39"/>
  <c r="EO1" i="39"/>
  <c r="EP1" i="39"/>
  <c r="EQ1" i="39"/>
  <c r="ER1" i="39"/>
  <c r="ES1" i="39"/>
  <c r="ET1" i="39"/>
  <c r="EU1" i="39"/>
  <c r="EV1" i="39"/>
  <c r="EW1" i="39"/>
  <c r="EX1" i="39"/>
  <c r="EY1" i="39"/>
  <c r="EZ1" i="39"/>
  <c r="FA1" i="39"/>
  <c r="FB1" i="39"/>
  <c r="FC1" i="39"/>
  <c r="FD1" i="39"/>
  <c r="FE1" i="39"/>
  <c r="FF1" i="39"/>
  <c r="EJ1" i="21"/>
  <c r="EK1" i="21"/>
  <c r="EL1" i="21"/>
  <c r="EM1" i="21"/>
  <c r="EN1" i="21"/>
  <c r="EO1" i="21"/>
  <c r="EP1" i="21"/>
  <c r="EQ1" i="21"/>
  <c r="ER1" i="21"/>
  <c r="ES1" i="21"/>
  <c r="ET1" i="21"/>
  <c r="EU1" i="21"/>
  <c r="EV1" i="21"/>
  <c r="EW1" i="21"/>
  <c r="EX1" i="21"/>
  <c r="EY1" i="21"/>
  <c r="EZ1" i="21"/>
  <c r="FA1" i="21"/>
  <c r="FB1" i="21"/>
  <c r="FC1" i="21"/>
  <c r="FD1" i="21"/>
  <c r="FE1" i="21"/>
  <c r="FF1" i="21"/>
  <c r="EJ1" i="22"/>
  <c r="EK1" i="22"/>
  <c r="EL1" i="22"/>
  <c r="EM1" i="22"/>
  <c r="EN1" i="22"/>
  <c r="EO1" i="22"/>
  <c r="EP1" i="22"/>
  <c r="EQ1" i="22"/>
  <c r="ER1" i="22"/>
  <c r="ES1" i="22"/>
  <c r="ET1" i="22"/>
  <c r="EU1" i="22"/>
  <c r="EV1" i="22"/>
  <c r="EW1" i="22"/>
  <c r="EX1" i="22"/>
  <c r="EY1" i="22"/>
  <c r="EZ1" i="22"/>
  <c r="FA1" i="22"/>
  <c r="FB1" i="22"/>
  <c r="FC1" i="22"/>
  <c r="FD1" i="22"/>
  <c r="FE1" i="22"/>
  <c r="FF1" i="22"/>
  <c r="EJ1" i="31"/>
  <c r="EK1" i="31"/>
  <c r="EL1" i="31"/>
  <c r="EM1" i="31"/>
  <c r="EN1" i="31"/>
  <c r="EO1" i="31"/>
  <c r="EP1" i="31"/>
  <c r="EQ1" i="31"/>
  <c r="ER1" i="31"/>
  <c r="ES1" i="31"/>
  <c r="ET1" i="31"/>
  <c r="EU1" i="31"/>
  <c r="EV1" i="31"/>
  <c r="EW1" i="31"/>
  <c r="EX1" i="31"/>
  <c r="EY1" i="31"/>
  <c r="EZ1" i="31"/>
  <c r="FA1" i="31"/>
  <c r="FB1" i="31"/>
  <c r="FC1" i="31"/>
  <c r="FD1" i="31"/>
  <c r="FE1" i="31"/>
  <c r="FF1" i="31"/>
  <c r="EJ1" i="32"/>
  <c r="EK1" i="32"/>
  <c r="EL1" i="32"/>
  <c r="EM1" i="32"/>
  <c r="EN1" i="32"/>
  <c r="EO1" i="32"/>
  <c r="EP1" i="32"/>
  <c r="EQ1" i="32"/>
  <c r="ER1" i="32"/>
  <c r="ES1" i="32"/>
  <c r="ET1" i="32"/>
  <c r="EU1" i="32"/>
  <c r="EV1" i="32"/>
  <c r="EW1" i="32"/>
  <c r="EX1" i="32"/>
  <c r="EY1" i="32"/>
  <c r="EZ1" i="32"/>
  <c r="FA1" i="32"/>
  <c r="FB1" i="32"/>
  <c r="FC1" i="32"/>
  <c r="FD1" i="32"/>
  <c r="FE1" i="32"/>
  <c r="FF1" i="32"/>
  <c r="EJ1" i="33"/>
  <c r="EK1" i="33"/>
  <c r="EL1" i="33"/>
  <c r="EM1" i="33"/>
  <c r="EN1" i="33"/>
  <c r="EO1" i="33"/>
  <c r="EP1" i="33"/>
  <c r="EQ1" i="33"/>
  <c r="ER1" i="33"/>
  <c r="ES1" i="33"/>
  <c r="ET1" i="33"/>
  <c r="EU1" i="33"/>
  <c r="EV1" i="33"/>
  <c r="EW1" i="33"/>
  <c r="EX1" i="33"/>
  <c r="EY1" i="33"/>
  <c r="EZ1" i="33"/>
  <c r="FA1" i="33"/>
  <c r="FB1" i="33"/>
  <c r="FC1" i="33"/>
  <c r="FD1" i="33"/>
  <c r="FE1" i="33"/>
  <c r="FF1" i="33"/>
  <c r="EJ1" i="34"/>
  <c r="EK1" i="34"/>
  <c r="EL1" i="34"/>
  <c r="EM1" i="34"/>
  <c r="EN1" i="34"/>
  <c r="EO1" i="34"/>
  <c r="EP1" i="34"/>
  <c r="EQ1" i="34"/>
  <c r="ER1" i="34"/>
  <c r="ES1" i="34"/>
  <c r="ET1" i="34"/>
  <c r="EU1" i="34"/>
  <c r="EV1" i="34"/>
  <c r="EW1" i="34"/>
  <c r="EX1" i="34"/>
  <c r="EY1" i="34"/>
  <c r="EZ1" i="34"/>
  <c r="FA1" i="34"/>
  <c r="FB1" i="34"/>
  <c r="FC1" i="34"/>
  <c r="FD1" i="34"/>
  <c r="FE1" i="34"/>
  <c r="FF1" i="34"/>
  <c r="EJ1" i="35"/>
  <c r="EK1" i="35"/>
  <c r="EL1" i="35"/>
  <c r="EM1" i="35"/>
  <c r="EN1" i="35"/>
  <c r="EO1" i="35"/>
  <c r="EP1" i="35"/>
  <c r="EQ1" i="35"/>
  <c r="ER1" i="35"/>
  <c r="ES1" i="35"/>
  <c r="ET1" i="35"/>
  <c r="EU1" i="35"/>
  <c r="EV1" i="35"/>
  <c r="EW1" i="35"/>
  <c r="EX1" i="35"/>
  <c r="EY1" i="35"/>
  <c r="EZ1" i="35"/>
  <c r="FA1" i="35"/>
  <c r="FB1" i="35"/>
  <c r="FC1" i="35"/>
  <c r="FD1" i="35"/>
  <c r="FE1" i="35"/>
  <c r="FF1" i="35"/>
  <c r="EJ1" i="19"/>
  <c r="EK1" i="19"/>
  <c r="EL1" i="19"/>
  <c r="EM1" i="19"/>
  <c r="EN1" i="19"/>
  <c r="EO1" i="19"/>
  <c r="EP1" i="19"/>
  <c r="EQ1" i="19"/>
  <c r="ER1" i="19"/>
  <c r="ES1" i="19"/>
  <c r="ET1" i="19"/>
  <c r="EU1" i="19"/>
  <c r="EV1" i="19"/>
  <c r="EW1" i="19"/>
  <c r="EX1" i="19"/>
  <c r="EY1" i="19"/>
  <c r="EZ1" i="19"/>
  <c r="FA1" i="19"/>
  <c r="FB1" i="19"/>
  <c r="FC1" i="19"/>
  <c r="FD1" i="19"/>
  <c r="FE1" i="19"/>
  <c r="FF1" i="19"/>
  <c r="Z30" i="31"/>
  <c r="Z29" i="31"/>
  <c r="NM49" i="21"/>
  <c r="NN49" i="21"/>
  <c r="NO49" i="21"/>
  <c r="NP49" i="21"/>
  <c r="NQ49" i="21"/>
  <c r="NR49" i="21"/>
  <c r="NS49" i="21"/>
  <c r="KT49" i="21"/>
  <c r="CO49" i="21"/>
  <c r="KQ49" i="21"/>
  <c r="CN49" i="21"/>
  <c r="KP49" i="21"/>
  <c r="CM49" i="21"/>
  <c r="KO49" i="21"/>
  <c r="CL49" i="21"/>
  <c r="KN49" i="21"/>
  <c r="CJ49" i="21"/>
  <c r="KL49" i="21"/>
  <c r="CH49" i="21"/>
  <c r="KJ49" i="21"/>
  <c r="CE49" i="21"/>
  <c r="KG49" i="21"/>
  <c r="CD49" i="21"/>
  <c r="KF49" i="21"/>
  <c r="KB49" i="21"/>
  <c r="KA49" i="21"/>
  <c r="JZ49" i="21"/>
  <c r="JY49" i="21"/>
  <c r="JX49" i="21"/>
  <c r="JW49" i="21"/>
  <c r="JV49" i="21"/>
  <c r="JU49" i="21"/>
  <c r="JT49" i="21"/>
  <c r="JS49" i="21"/>
  <c r="JR49" i="21"/>
  <c r="JQ49" i="21"/>
  <c r="JP49" i="21"/>
  <c r="BG49" i="21"/>
  <c r="IP49" i="21"/>
  <c r="IO49" i="21"/>
  <c r="GO49" i="21"/>
  <c r="JB49" i="21"/>
  <c r="HW49" i="21"/>
  <c r="HZ49" i="21"/>
  <c r="HY49" i="21"/>
  <c r="BH49" i="21"/>
  <c r="BI49" i="21"/>
  <c r="HD49" i="21"/>
  <c r="HF49" i="21"/>
  <c r="IX49" i="21"/>
  <c r="W49" i="21"/>
  <c r="IU49" i="21"/>
  <c r="AB49" i="21"/>
  <c r="IY49" i="21"/>
  <c r="IT49" i="21"/>
  <c r="IX48" i="21"/>
  <c r="BH48" i="21"/>
  <c r="BI48" i="21"/>
  <c r="HD48" i="21"/>
  <c r="HF48" i="21"/>
  <c r="BG48" i="21"/>
  <c r="IP48" i="21"/>
  <c r="IO48" i="21"/>
  <c r="GO48" i="21"/>
  <c r="HV59" i="21"/>
  <c r="HV57" i="21"/>
  <c r="GU49" i="21"/>
  <c r="EH49" i="21"/>
  <c r="EG49" i="21"/>
  <c r="DW49" i="21"/>
  <c r="DX49" i="21"/>
  <c r="DY49" i="21"/>
  <c r="DZ49" i="21"/>
  <c r="EA49" i="21"/>
  <c r="DV49" i="21"/>
  <c r="AF49" i="21"/>
  <c r="BE49" i="21"/>
  <c r="AJ49" i="21"/>
  <c r="I49" i="21"/>
  <c r="K49" i="21"/>
  <c r="M49" i="21"/>
  <c r="O49" i="21"/>
  <c r="Q49" i="21"/>
  <c r="S49" i="21"/>
  <c r="U49" i="21"/>
  <c r="BF49" i="21"/>
  <c r="BJ49" i="21"/>
  <c r="H49" i="21"/>
  <c r="L49" i="21"/>
  <c r="P49" i="21"/>
  <c r="T49" i="21"/>
  <c r="X49" i="21"/>
  <c r="AC49" i="21"/>
  <c r="GP49" i="21"/>
  <c r="GQ49" i="21"/>
  <c r="GR49" i="21"/>
  <c r="GS49" i="21"/>
  <c r="BB48" i="21"/>
  <c r="PG48" i="21"/>
  <c r="NM48" i="21"/>
  <c r="NN48" i="21"/>
  <c r="NO48" i="21"/>
  <c r="NP48" i="21"/>
  <c r="NQ48" i="21"/>
  <c r="NR48" i="21"/>
  <c r="NS48" i="21"/>
  <c r="KT48" i="21"/>
  <c r="CO48" i="21"/>
  <c r="KQ48" i="21"/>
  <c r="CN48" i="21"/>
  <c r="KP48" i="21"/>
  <c r="CM48" i="21"/>
  <c r="KO48" i="21"/>
  <c r="CL48" i="21"/>
  <c r="KN48" i="21"/>
  <c r="CJ48" i="21"/>
  <c r="KL48" i="21"/>
  <c r="CH48" i="21"/>
  <c r="KJ48" i="21"/>
  <c r="CE48" i="21"/>
  <c r="KG48" i="21"/>
  <c r="CD48" i="21"/>
  <c r="KF48" i="21"/>
  <c r="KB48" i="21"/>
  <c r="KA48" i="21"/>
  <c r="JZ48" i="21"/>
  <c r="JY48" i="21"/>
  <c r="JX48" i="21"/>
  <c r="JW48" i="21"/>
  <c r="JV48" i="21"/>
  <c r="JU48" i="21"/>
  <c r="JT48" i="21"/>
  <c r="JS48" i="21"/>
  <c r="JR48" i="21"/>
  <c r="JQ48" i="21"/>
  <c r="JP48" i="21"/>
  <c r="JB48" i="21"/>
  <c r="HW48" i="21"/>
  <c r="HV48" i="21"/>
  <c r="W48" i="21"/>
  <c r="Y48" i="21"/>
  <c r="AB48" i="21"/>
  <c r="IY48" i="21"/>
  <c r="IT48" i="21"/>
  <c r="GU48" i="21"/>
  <c r="GP48" i="21"/>
  <c r="GQ48" i="21"/>
  <c r="GR48" i="21"/>
  <c r="GS48" i="21"/>
  <c r="EH48" i="21"/>
  <c r="EG48" i="21"/>
  <c r="DW48" i="21"/>
  <c r="DX48" i="21"/>
  <c r="DY48" i="21"/>
  <c r="DZ48" i="21"/>
  <c r="EA48" i="21"/>
  <c r="DV48" i="21"/>
  <c r="BF48" i="21"/>
  <c r="BJ48" i="21"/>
  <c r="AF48" i="21"/>
  <c r="BE48" i="21"/>
  <c r="AJ48" i="21"/>
  <c r="AC48" i="21"/>
  <c r="X48" i="21"/>
  <c r="S48" i="21"/>
  <c r="U48" i="21"/>
  <c r="T48" i="21"/>
  <c r="O48" i="21"/>
  <c r="Q48" i="21"/>
  <c r="P48" i="21"/>
  <c r="K48" i="21"/>
  <c r="M48" i="21"/>
  <c r="L48" i="21"/>
  <c r="I48" i="21"/>
  <c r="H48" i="21"/>
  <c r="BB47" i="21"/>
  <c r="PG47" i="21"/>
  <c r="NM47" i="21"/>
  <c r="NN47" i="21"/>
  <c r="NO47" i="21"/>
  <c r="NP47" i="21"/>
  <c r="NQ47" i="21"/>
  <c r="NR47" i="21"/>
  <c r="NS47" i="21"/>
  <c r="KT47" i="21"/>
  <c r="CO47" i="21"/>
  <c r="KQ47" i="21"/>
  <c r="CN47" i="21"/>
  <c r="KP47" i="21"/>
  <c r="CM47" i="21"/>
  <c r="KO47" i="21"/>
  <c r="CL47" i="21"/>
  <c r="KN47" i="21"/>
  <c r="CJ47" i="21"/>
  <c r="KL47" i="21"/>
  <c r="CH47" i="21"/>
  <c r="KJ47" i="21"/>
  <c r="CE47" i="21"/>
  <c r="KG47" i="21"/>
  <c r="CD47" i="21"/>
  <c r="KB47" i="21"/>
  <c r="KA47" i="21"/>
  <c r="JZ47" i="21"/>
  <c r="JY47" i="21"/>
  <c r="JX47" i="21"/>
  <c r="JW47" i="21"/>
  <c r="JV47" i="21"/>
  <c r="JU47" i="21"/>
  <c r="JT47" i="21"/>
  <c r="JS47" i="21"/>
  <c r="JR47" i="21"/>
  <c r="JQ47" i="21"/>
  <c r="JP47" i="21"/>
  <c r="BG47" i="21"/>
  <c r="IP47" i="21"/>
  <c r="IO47" i="21"/>
  <c r="GO47" i="21"/>
  <c r="JB47" i="21"/>
  <c r="HW47" i="21"/>
  <c r="HX47" i="21"/>
  <c r="BH47" i="21"/>
  <c r="BI47" i="21"/>
  <c r="HD47" i="21"/>
  <c r="HF47" i="21"/>
  <c r="IX47" i="21"/>
  <c r="W47" i="21"/>
  <c r="IU47" i="21"/>
  <c r="AB47" i="21"/>
  <c r="IY47" i="21"/>
  <c r="IT47" i="21"/>
  <c r="GU47" i="21"/>
  <c r="GP47" i="21"/>
  <c r="GQ47" i="21"/>
  <c r="GR47" i="21"/>
  <c r="GS47" i="21"/>
  <c r="EH47" i="21"/>
  <c r="EG47" i="21"/>
  <c r="DW47" i="21"/>
  <c r="DX47" i="21"/>
  <c r="DY47" i="21"/>
  <c r="DZ47" i="21"/>
  <c r="EA47" i="21"/>
  <c r="DV47" i="21"/>
  <c r="BF47" i="21"/>
  <c r="BJ47" i="21"/>
  <c r="AF47" i="21"/>
  <c r="BE47" i="21"/>
  <c r="AJ47" i="21"/>
  <c r="AC47" i="21"/>
  <c r="X47" i="21"/>
  <c r="S47" i="21"/>
  <c r="U47" i="21"/>
  <c r="T47" i="21"/>
  <c r="O47" i="21"/>
  <c r="Q47" i="21"/>
  <c r="P47" i="21"/>
  <c r="K47" i="21"/>
  <c r="M47" i="21"/>
  <c r="L47" i="21"/>
  <c r="I47" i="21"/>
  <c r="H47" i="21"/>
  <c r="BB46" i="21"/>
  <c r="PG46" i="21"/>
  <c r="NM46" i="21"/>
  <c r="NN46" i="21"/>
  <c r="NO46" i="21"/>
  <c r="NP46" i="21"/>
  <c r="NQ46" i="21"/>
  <c r="NR46" i="21"/>
  <c r="NS46" i="21"/>
  <c r="KT46" i="21"/>
  <c r="CO46" i="21"/>
  <c r="KQ46" i="21"/>
  <c r="CN46" i="21"/>
  <c r="KP46" i="21"/>
  <c r="CM46" i="21"/>
  <c r="KO46" i="21"/>
  <c r="CL46" i="21"/>
  <c r="KN46" i="21"/>
  <c r="CJ46" i="21"/>
  <c r="KL46" i="21"/>
  <c r="CH46" i="21"/>
  <c r="KJ46" i="21"/>
  <c r="CE46" i="21"/>
  <c r="CD46" i="21"/>
  <c r="KF46" i="21"/>
  <c r="KB46" i="21"/>
  <c r="KA46" i="21"/>
  <c r="JZ46" i="21"/>
  <c r="JY46" i="21"/>
  <c r="JX46" i="21"/>
  <c r="JW46" i="21"/>
  <c r="JV46" i="21"/>
  <c r="JU46" i="21"/>
  <c r="JT46" i="21"/>
  <c r="JS46" i="21"/>
  <c r="JR46" i="21"/>
  <c r="JQ46" i="21"/>
  <c r="JP46" i="21"/>
  <c r="BG46" i="21"/>
  <c r="IP46" i="21"/>
  <c r="GO46" i="21"/>
  <c r="JB46" i="21"/>
  <c r="HW46" i="21"/>
  <c r="HZ46" i="21"/>
  <c r="IA46" i="21"/>
  <c r="BH46" i="21"/>
  <c r="BI46" i="21"/>
  <c r="HD46" i="21"/>
  <c r="HF46" i="21"/>
  <c r="IX46" i="21"/>
  <c r="W46" i="21"/>
  <c r="Y46" i="21"/>
  <c r="AB46" i="21"/>
  <c r="AD46" i="21"/>
  <c r="IT46" i="21"/>
  <c r="GU46" i="21"/>
  <c r="GP46" i="21"/>
  <c r="GQ46" i="21"/>
  <c r="GR46" i="21"/>
  <c r="GS46" i="21"/>
  <c r="EH46" i="21"/>
  <c r="EG46" i="21"/>
  <c r="DW46" i="21"/>
  <c r="DX46" i="21"/>
  <c r="DY46" i="21"/>
  <c r="DZ46" i="21"/>
  <c r="EA46" i="21"/>
  <c r="DV46" i="21"/>
  <c r="BF46" i="21"/>
  <c r="BJ46" i="21"/>
  <c r="AF46" i="21"/>
  <c r="BE46" i="21"/>
  <c r="AJ46" i="21"/>
  <c r="AC46" i="21"/>
  <c r="X46" i="21"/>
  <c r="S46" i="21"/>
  <c r="U46" i="21"/>
  <c r="T46" i="21"/>
  <c r="O46" i="21"/>
  <c r="Q46" i="21"/>
  <c r="P46" i="21"/>
  <c r="K46" i="21"/>
  <c r="M46" i="21"/>
  <c r="L46" i="21"/>
  <c r="I46" i="21"/>
  <c r="H46" i="21"/>
  <c r="Z47" i="35"/>
  <c r="Z45" i="35"/>
  <c r="Z15" i="32"/>
  <c r="Z41" i="39"/>
  <c r="Z40" i="39"/>
  <c r="Z37" i="39"/>
  <c r="Z36" i="39"/>
  <c r="Z33" i="39"/>
  <c r="Z17" i="39"/>
  <c r="Z37" i="19"/>
  <c r="NZ67" i="39"/>
  <c r="NZ65" i="39"/>
  <c r="NZ58" i="39"/>
  <c r="AN70" i="35"/>
  <c r="OZ64" i="35"/>
  <c r="OZ63" i="35"/>
  <c r="OZ62" i="35"/>
  <c r="OZ61" i="35"/>
  <c r="OZ60" i="35"/>
  <c r="OZ59" i="35"/>
  <c r="OZ58" i="35"/>
  <c r="OZ57" i="35"/>
  <c r="OZ56" i="35"/>
  <c r="OZ55" i="35"/>
  <c r="OZ54" i="35"/>
  <c r="OZ53" i="35"/>
  <c r="OZ52" i="35"/>
  <c r="OZ51" i="35"/>
  <c r="OZ50" i="35"/>
  <c r="OZ49" i="35"/>
  <c r="OZ48" i="35"/>
  <c r="OZ47" i="35"/>
  <c r="OZ46" i="35"/>
  <c r="OZ45" i="35"/>
  <c r="OZ44" i="35"/>
  <c r="OZ43" i="35"/>
  <c r="OZ42" i="35"/>
  <c r="OZ41" i="35"/>
  <c r="OZ40" i="35"/>
  <c r="OZ39" i="35"/>
  <c r="OZ38" i="35"/>
  <c r="OZ37" i="35"/>
  <c r="OZ36" i="35"/>
  <c r="OZ35" i="35"/>
  <c r="OZ34" i="35"/>
  <c r="OZ33" i="35"/>
  <c r="OZ32" i="35"/>
  <c r="OZ31" i="35"/>
  <c r="OZ30" i="35"/>
  <c r="OZ29" i="35"/>
  <c r="OZ28" i="35"/>
  <c r="OZ27" i="35"/>
  <c r="OZ26" i="35"/>
  <c r="OZ25" i="35"/>
  <c r="OZ24" i="35"/>
  <c r="OZ23" i="35"/>
  <c r="OZ22" i="35"/>
  <c r="OZ21" i="35"/>
  <c r="OZ20" i="35"/>
  <c r="OZ19" i="35"/>
  <c r="OZ18" i="35"/>
  <c r="OZ17" i="35"/>
  <c r="OZ16" i="35"/>
  <c r="OZ15" i="35"/>
  <c r="OZ14" i="35"/>
  <c r="OZ13" i="35"/>
  <c r="OZ12" i="35"/>
  <c r="OZ11" i="35"/>
  <c r="OZ10" i="35"/>
  <c r="OZ9" i="35"/>
  <c r="BB12" i="33"/>
  <c r="PG12" i="33"/>
  <c r="PC13" i="33"/>
  <c r="PB13" i="33"/>
  <c r="PA13" i="33"/>
  <c r="OZ12" i="33"/>
  <c r="OZ10" i="33"/>
  <c r="OZ9" i="33"/>
  <c r="AN57" i="21"/>
  <c r="OZ57" i="21"/>
  <c r="OZ42" i="21"/>
  <c r="OZ41" i="21"/>
  <c r="OZ40" i="21"/>
  <c r="OZ39" i="21"/>
  <c r="OZ38" i="21"/>
  <c r="OZ37" i="21"/>
  <c r="OZ36" i="21"/>
  <c r="OZ35" i="21"/>
  <c r="OZ34" i="21"/>
  <c r="OZ33" i="21"/>
  <c r="OZ32" i="21"/>
  <c r="OZ31" i="21"/>
  <c r="OZ30" i="21"/>
  <c r="OZ29" i="21"/>
  <c r="OZ28" i="21"/>
  <c r="OZ27" i="21"/>
  <c r="OZ26" i="21"/>
  <c r="OZ25" i="21"/>
  <c r="OZ24" i="21"/>
  <c r="OZ23" i="21"/>
  <c r="OZ22" i="21"/>
  <c r="OZ21" i="21"/>
  <c r="OZ20" i="21"/>
  <c r="OZ19" i="21"/>
  <c r="OZ18" i="21"/>
  <c r="OZ17" i="21"/>
  <c r="OZ16" i="21"/>
  <c r="OZ15" i="21"/>
  <c r="OZ14" i="21"/>
  <c r="OZ13" i="21"/>
  <c r="OZ12" i="21"/>
  <c r="OZ11" i="21"/>
  <c r="OZ10" i="21"/>
  <c r="OZ9" i="21"/>
  <c r="BB61" i="35"/>
  <c r="G26" i="35"/>
  <c r="BB64" i="35"/>
  <c r="BB62" i="35"/>
  <c r="BB63" i="35"/>
  <c r="JC63" i="35"/>
  <c r="PC70" i="35"/>
  <c r="PB70" i="35"/>
  <c r="PA70" i="35"/>
  <c r="G9" i="35"/>
  <c r="G19" i="34"/>
  <c r="BB19" i="34"/>
  <c r="G20" i="34"/>
  <c r="I20" i="34"/>
  <c r="BB20" i="34"/>
  <c r="JC20" i="34"/>
  <c r="BB59" i="34"/>
  <c r="BB57" i="34"/>
  <c r="PK57" i="34"/>
  <c r="BB58" i="34"/>
  <c r="PG58" i="34"/>
  <c r="G50" i="34"/>
  <c r="G51" i="34"/>
  <c r="BB51" i="34"/>
  <c r="G53" i="34"/>
  <c r="BB53" i="34"/>
  <c r="BB60" i="34"/>
  <c r="PK60" i="34"/>
  <c r="BB61" i="34"/>
  <c r="PG61" i="34"/>
  <c r="BB54" i="34"/>
  <c r="JC54" i="34"/>
  <c r="BB55" i="34"/>
  <c r="JC55" i="34"/>
  <c r="G21" i="32"/>
  <c r="PC36" i="32"/>
  <c r="PB36" i="32"/>
  <c r="PA36" i="32"/>
  <c r="PB60" i="31"/>
  <c r="PC60" i="31"/>
  <c r="BB35" i="31"/>
  <c r="PG35" i="31"/>
  <c r="BB39" i="31"/>
  <c r="PG39" i="31"/>
  <c r="BB40" i="31"/>
  <c r="PG40" i="31"/>
  <c r="BB41" i="31"/>
  <c r="PG41" i="31"/>
  <c r="BB42" i="31"/>
  <c r="PG42" i="31"/>
  <c r="BB43" i="31"/>
  <c r="BB37" i="31"/>
  <c r="PK37" i="31"/>
  <c r="G31" i="31"/>
  <c r="BB33" i="31"/>
  <c r="BB34" i="31"/>
  <c r="BB36" i="31"/>
  <c r="BB59" i="31"/>
  <c r="PA60" i="31"/>
  <c r="BB15" i="22"/>
  <c r="BB28" i="22"/>
  <c r="PC29" i="22"/>
  <c r="PB29" i="22"/>
  <c r="PA29" i="22"/>
  <c r="PB57" i="21"/>
  <c r="PA57" i="21"/>
  <c r="G26" i="21"/>
  <c r="PC108" i="39"/>
  <c r="PB108" i="39"/>
  <c r="PA108" i="39"/>
  <c r="G9" i="39"/>
  <c r="BB9" i="39"/>
  <c r="PG9" i="39"/>
  <c r="BB112" i="19"/>
  <c r="PG112" i="19"/>
  <c r="BB111" i="19"/>
  <c r="BB107" i="19"/>
  <c r="JC107" i="19"/>
  <c r="BB106" i="19"/>
  <c r="JC106" i="19"/>
  <c r="BB105" i="19"/>
  <c r="JC105" i="19"/>
  <c r="BB104" i="19"/>
  <c r="JC104" i="19"/>
  <c r="BB103" i="19"/>
  <c r="JC103" i="19"/>
  <c r="BB102" i="19"/>
  <c r="BB101" i="19"/>
  <c r="BB100" i="19"/>
  <c r="BB123" i="19"/>
  <c r="PG123" i="19"/>
  <c r="BB99" i="19"/>
  <c r="JC99" i="19"/>
  <c r="PN9" i="19"/>
  <c r="Z40" i="35"/>
  <c r="Z33" i="35"/>
  <c r="Z32" i="34"/>
  <c r="Z31" i="34"/>
  <c r="Z64" i="39"/>
  <c r="Z38" i="39"/>
  <c r="Z25" i="21"/>
  <c r="Z24" i="21"/>
  <c r="Z73" i="39"/>
  <c r="Z72" i="39"/>
  <c r="Z67" i="39"/>
  <c r="Z65" i="39"/>
  <c r="Z58" i="39"/>
  <c r="Z35" i="39"/>
  <c r="Z23" i="39"/>
  <c r="Z15" i="39"/>
  <c r="G59" i="35"/>
  <c r="I59" i="35"/>
  <c r="G58" i="35"/>
  <c r="G57" i="35"/>
  <c r="I57" i="35"/>
  <c r="G55" i="35"/>
  <c r="I55" i="35"/>
  <c r="G54" i="35"/>
  <c r="G53" i="35"/>
  <c r="I53" i="35"/>
  <c r="G52" i="35"/>
  <c r="I52" i="35"/>
  <c r="G50" i="35"/>
  <c r="I50" i="35"/>
  <c r="G49" i="35"/>
  <c r="I49" i="35"/>
  <c r="G48" i="35"/>
  <c r="I48" i="35"/>
  <c r="G47" i="35"/>
  <c r="I47" i="35"/>
  <c r="G46" i="35"/>
  <c r="G45" i="35"/>
  <c r="I45" i="35"/>
  <c r="G44" i="35"/>
  <c r="I44" i="35"/>
  <c r="G43" i="35"/>
  <c r="I43" i="35"/>
  <c r="G42" i="35"/>
  <c r="I42" i="35"/>
  <c r="G40" i="35"/>
  <c r="I40" i="35"/>
  <c r="G39" i="35"/>
  <c r="I39" i="35"/>
  <c r="G38" i="35"/>
  <c r="I38" i="35"/>
  <c r="G37" i="35"/>
  <c r="I37" i="35"/>
  <c r="G36" i="35"/>
  <c r="I36" i="35"/>
  <c r="G35" i="35"/>
  <c r="I35" i="35"/>
  <c r="G34" i="35"/>
  <c r="I34" i="35"/>
  <c r="G33" i="35"/>
  <c r="G32" i="35"/>
  <c r="I32" i="35"/>
  <c r="G31" i="35"/>
  <c r="I31" i="35"/>
  <c r="G30" i="35"/>
  <c r="I30" i="35"/>
  <c r="G29" i="35"/>
  <c r="G28" i="35"/>
  <c r="G27" i="35"/>
  <c r="I27" i="35"/>
  <c r="G25" i="35"/>
  <c r="I25" i="35"/>
  <c r="G24" i="35"/>
  <c r="I24" i="35"/>
  <c r="G23" i="35"/>
  <c r="I23" i="35"/>
  <c r="G22" i="35"/>
  <c r="I22" i="35"/>
  <c r="G21" i="35"/>
  <c r="I21" i="35"/>
  <c r="G20" i="35"/>
  <c r="G19" i="35"/>
  <c r="G18" i="35"/>
  <c r="I18" i="35"/>
  <c r="G17" i="35"/>
  <c r="I17" i="35"/>
  <c r="G16" i="35"/>
  <c r="G15" i="35"/>
  <c r="I15" i="35"/>
  <c r="G14" i="35"/>
  <c r="I14" i="35"/>
  <c r="G13" i="35"/>
  <c r="G12" i="35"/>
  <c r="G11" i="35"/>
  <c r="G10" i="35"/>
  <c r="G55" i="34"/>
  <c r="I55" i="34"/>
  <c r="G54" i="34"/>
  <c r="I54" i="34"/>
  <c r="G49" i="34"/>
  <c r="I49" i="34"/>
  <c r="G48" i="34"/>
  <c r="G47" i="34"/>
  <c r="I47" i="34"/>
  <c r="G46" i="34"/>
  <c r="I46" i="34"/>
  <c r="G45" i="34"/>
  <c r="I45" i="34"/>
  <c r="G44" i="34"/>
  <c r="I44" i="34"/>
  <c r="G43" i="34"/>
  <c r="I43" i="34"/>
  <c r="G42" i="34"/>
  <c r="I42" i="34"/>
  <c r="G41" i="34"/>
  <c r="I41" i="34"/>
  <c r="G40" i="34"/>
  <c r="G39" i="34"/>
  <c r="G38" i="34"/>
  <c r="I38" i="34"/>
  <c r="G37" i="34"/>
  <c r="G36" i="34"/>
  <c r="I36" i="34"/>
  <c r="G35" i="34"/>
  <c r="I35" i="34"/>
  <c r="G34" i="34"/>
  <c r="I34" i="34"/>
  <c r="G33" i="34"/>
  <c r="G32" i="34"/>
  <c r="G31" i="34"/>
  <c r="I31" i="34"/>
  <c r="G30" i="34"/>
  <c r="G29" i="34"/>
  <c r="I29" i="34"/>
  <c r="G28" i="34"/>
  <c r="I28" i="34"/>
  <c r="G27" i="34"/>
  <c r="I27" i="34"/>
  <c r="G26" i="34"/>
  <c r="I26" i="34"/>
  <c r="G25" i="34"/>
  <c r="G24" i="34"/>
  <c r="I24" i="34"/>
  <c r="G23" i="34"/>
  <c r="G22" i="34"/>
  <c r="I22" i="34"/>
  <c r="G21" i="34"/>
  <c r="I21" i="34"/>
  <c r="G18" i="34"/>
  <c r="I18" i="34"/>
  <c r="G17" i="34"/>
  <c r="I17" i="34"/>
  <c r="G16" i="34"/>
  <c r="I16" i="34"/>
  <c r="G15" i="34"/>
  <c r="G14" i="34"/>
  <c r="I14" i="34"/>
  <c r="G13" i="34"/>
  <c r="I13" i="34"/>
  <c r="G12" i="34"/>
  <c r="I12" i="34"/>
  <c r="G11" i="34"/>
  <c r="I11" i="34"/>
  <c r="G10" i="34"/>
  <c r="I10" i="34"/>
  <c r="G9" i="34"/>
  <c r="G10" i="33"/>
  <c r="I10" i="33"/>
  <c r="G9" i="33"/>
  <c r="G31" i="32"/>
  <c r="G30" i="32"/>
  <c r="G27" i="32"/>
  <c r="G26" i="32"/>
  <c r="I26" i="32"/>
  <c r="G25" i="32"/>
  <c r="I25" i="32"/>
  <c r="G24" i="32"/>
  <c r="I24" i="32"/>
  <c r="G23" i="32"/>
  <c r="I23" i="32"/>
  <c r="G22" i="32"/>
  <c r="I22" i="32"/>
  <c r="G20" i="32"/>
  <c r="I20" i="32"/>
  <c r="G19" i="32"/>
  <c r="G18" i="32"/>
  <c r="I18" i="32"/>
  <c r="G17" i="32"/>
  <c r="I17" i="32"/>
  <c r="G16" i="32"/>
  <c r="I16" i="32"/>
  <c r="G15" i="32"/>
  <c r="I15" i="32"/>
  <c r="G14" i="32"/>
  <c r="I14" i="32"/>
  <c r="G13" i="32"/>
  <c r="I13" i="32"/>
  <c r="G12" i="32"/>
  <c r="G11" i="32"/>
  <c r="G10" i="32"/>
  <c r="I10" i="32"/>
  <c r="G9" i="32"/>
  <c r="I9" i="32"/>
  <c r="G32" i="31"/>
  <c r="G30" i="31"/>
  <c r="I30" i="31"/>
  <c r="G29" i="31"/>
  <c r="I29" i="31"/>
  <c r="G28" i="31"/>
  <c r="I28" i="31"/>
  <c r="G27" i="31"/>
  <c r="I27" i="31"/>
  <c r="G26" i="31"/>
  <c r="I26" i="31"/>
  <c r="G25" i="31"/>
  <c r="G24" i="31"/>
  <c r="I24" i="31"/>
  <c r="G23" i="31"/>
  <c r="I23" i="31"/>
  <c r="G21" i="31"/>
  <c r="I21" i="31"/>
  <c r="G20" i="31"/>
  <c r="I20" i="31"/>
  <c r="G19" i="31"/>
  <c r="I19" i="31"/>
  <c r="G18" i="31"/>
  <c r="I18" i="31"/>
  <c r="G17" i="31"/>
  <c r="G16" i="31"/>
  <c r="G15" i="31"/>
  <c r="G14" i="31"/>
  <c r="G13" i="31"/>
  <c r="I13" i="31"/>
  <c r="G12" i="31"/>
  <c r="I12" i="31"/>
  <c r="G11" i="31"/>
  <c r="I11" i="31"/>
  <c r="G10" i="31"/>
  <c r="I10" i="31"/>
  <c r="G9" i="31"/>
  <c r="I9" i="31"/>
  <c r="G14" i="22"/>
  <c r="I14" i="22"/>
  <c r="G13" i="22"/>
  <c r="G12" i="22"/>
  <c r="I12" i="22"/>
  <c r="G11" i="22"/>
  <c r="I11" i="22"/>
  <c r="G10" i="22"/>
  <c r="G9" i="22"/>
  <c r="G42" i="21"/>
  <c r="I42" i="21"/>
  <c r="G41" i="21"/>
  <c r="DV41" i="21"/>
  <c r="G40" i="21"/>
  <c r="I40" i="21"/>
  <c r="G39" i="21"/>
  <c r="I39" i="21"/>
  <c r="G38" i="21"/>
  <c r="I38" i="21"/>
  <c r="G37" i="21"/>
  <c r="G36" i="21"/>
  <c r="I36" i="21"/>
  <c r="G35" i="21"/>
  <c r="I35" i="21"/>
  <c r="G34" i="21"/>
  <c r="I34" i="21"/>
  <c r="G33" i="21"/>
  <c r="I33" i="21"/>
  <c r="G32" i="21"/>
  <c r="I32" i="21"/>
  <c r="G31" i="21"/>
  <c r="I31" i="21"/>
  <c r="G30" i="21"/>
  <c r="I30" i="21"/>
  <c r="G29" i="21"/>
  <c r="G28" i="21"/>
  <c r="I28" i="21"/>
  <c r="G27" i="21"/>
  <c r="I27" i="21"/>
  <c r="G25" i="21"/>
  <c r="G24" i="21"/>
  <c r="I24" i="21"/>
  <c r="G23" i="21"/>
  <c r="I23" i="21"/>
  <c r="G22" i="21"/>
  <c r="I22" i="21"/>
  <c r="G21" i="21"/>
  <c r="I21" i="21"/>
  <c r="G20" i="21"/>
  <c r="G19" i="21"/>
  <c r="I19" i="21"/>
  <c r="G18" i="21"/>
  <c r="I18" i="21"/>
  <c r="G17" i="21"/>
  <c r="I17" i="21"/>
  <c r="G16" i="21"/>
  <c r="I16" i="21"/>
  <c r="G15" i="21"/>
  <c r="I15" i="21"/>
  <c r="G14" i="21"/>
  <c r="G13" i="21"/>
  <c r="I13" i="21"/>
  <c r="G12" i="21"/>
  <c r="G11" i="21"/>
  <c r="I11" i="21"/>
  <c r="G10" i="21"/>
  <c r="I10" i="21"/>
  <c r="G9" i="21"/>
  <c r="G86" i="39"/>
  <c r="I86" i="39"/>
  <c r="G85" i="39"/>
  <c r="I85" i="39"/>
  <c r="G84" i="39"/>
  <c r="I84" i="39"/>
  <c r="G83" i="39"/>
  <c r="I83" i="39"/>
  <c r="G82" i="39"/>
  <c r="I82" i="39"/>
  <c r="G81" i="39"/>
  <c r="I81" i="39"/>
  <c r="DZ81" i="39"/>
  <c r="G80" i="39"/>
  <c r="G79" i="39"/>
  <c r="I79" i="39"/>
  <c r="G78" i="39"/>
  <c r="I78" i="39"/>
  <c r="G77" i="39"/>
  <c r="I77" i="39"/>
  <c r="G76" i="39"/>
  <c r="I76" i="39"/>
  <c r="G75" i="39"/>
  <c r="I75" i="39"/>
  <c r="G74" i="39"/>
  <c r="I74" i="39"/>
  <c r="G73" i="39"/>
  <c r="I73" i="39"/>
  <c r="G72" i="39"/>
  <c r="G71" i="39"/>
  <c r="I71" i="39"/>
  <c r="G70" i="39"/>
  <c r="G69" i="39"/>
  <c r="G68" i="39"/>
  <c r="I68" i="39"/>
  <c r="G67" i="39"/>
  <c r="I67" i="39"/>
  <c r="G66" i="39"/>
  <c r="I66" i="39"/>
  <c r="G65" i="39"/>
  <c r="I65" i="39"/>
  <c r="G64" i="39"/>
  <c r="G63" i="39"/>
  <c r="I63" i="39"/>
  <c r="G62" i="39"/>
  <c r="G61" i="39"/>
  <c r="I61" i="39"/>
  <c r="G60" i="39"/>
  <c r="I60" i="39"/>
  <c r="G59" i="39"/>
  <c r="I59" i="39"/>
  <c r="G58" i="39"/>
  <c r="I58" i="39"/>
  <c r="G57" i="39"/>
  <c r="I57" i="39"/>
  <c r="G56" i="39"/>
  <c r="G55" i="39"/>
  <c r="I55" i="39"/>
  <c r="G54" i="39"/>
  <c r="G53" i="39"/>
  <c r="I53" i="39"/>
  <c r="G52" i="39"/>
  <c r="I52" i="39"/>
  <c r="G51" i="39"/>
  <c r="I51" i="39"/>
  <c r="G50" i="39"/>
  <c r="I50" i="39"/>
  <c r="G49" i="39"/>
  <c r="I49" i="39"/>
  <c r="G48" i="39"/>
  <c r="G47" i="39"/>
  <c r="I47" i="39"/>
  <c r="G46" i="39"/>
  <c r="G45" i="39"/>
  <c r="G44" i="39"/>
  <c r="I44" i="39"/>
  <c r="G42" i="39"/>
  <c r="I42" i="39"/>
  <c r="G41" i="39"/>
  <c r="I41" i="39"/>
  <c r="G40" i="39"/>
  <c r="I40" i="39"/>
  <c r="G39" i="39"/>
  <c r="G38" i="39"/>
  <c r="I38" i="39"/>
  <c r="G37" i="39"/>
  <c r="G36" i="39"/>
  <c r="I36" i="39"/>
  <c r="G35" i="39"/>
  <c r="I35" i="39"/>
  <c r="G34" i="39"/>
  <c r="I34" i="39"/>
  <c r="G33" i="39"/>
  <c r="I33" i="39"/>
  <c r="G32" i="39"/>
  <c r="I32" i="39"/>
  <c r="G31" i="39"/>
  <c r="G30" i="39"/>
  <c r="I30" i="39"/>
  <c r="G29" i="39"/>
  <c r="G28" i="39"/>
  <c r="I28" i="39"/>
  <c r="G27" i="39"/>
  <c r="I27" i="39"/>
  <c r="G26" i="39"/>
  <c r="I26" i="39"/>
  <c r="G25" i="39"/>
  <c r="I25" i="39"/>
  <c r="G24" i="39"/>
  <c r="I24" i="39"/>
  <c r="G23" i="39"/>
  <c r="G22" i="39"/>
  <c r="I22" i="39"/>
  <c r="G21" i="39"/>
  <c r="G20" i="39"/>
  <c r="I20" i="39"/>
  <c r="G19" i="39"/>
  <c r="I19" i="39"/>
  <c r="G18" i="39"/>
  <c r="I18" i="39"/>
  <c r="G17" i="39"/>
  <c r="I17" i="39"/>
  <c r="G16" i="39"/>
  <c r="G15" i="39"/>
  <c r="G14" i="39"/>
  <c r="I14" i="39"/>
  <c r="G13" i="39"/>
  <c r="G12" i="39"/>
  <c r="I12" i="39"/>
  <c r="G10" i="39"/>
  <c r="I10" i="39"/>
  <c r="G11" i="39"/>
  <c r="I11" i="39"/>
  <c r="G41" i="19"/>
  <c r="I41" i="19"/>
  <c r="G40" i="19"/>
  <c r="I40" i="19"/>
  <c r="G39" i="19"/>
  <c r="I39" i="19"/>
  <c r="G38" i="19"/>
  <c r="G37" i="19"/>
  <c r="G36" i="19"/>
  <c r="I36" i="19"/>
  <c r="G35" i="19"/>
  <c r="G34" i="19"/>
  <c r="G33" i="19"/>
  <c r="I33" i="19"/>
  <c r="G32" i="19"/>
  <c r="I32" i="19"/>
  <c r="G31" i="19"/>
  <c r="I31" i="19"/>
  <c r="G30" i="19"/>
  <c r="G29" i="19"/>
  <c r="G28" i="19"/>
  <c r="I28" i="19"/>
  <c r="G27" i="19"/>
  <c r="I27" i="19"/>
  <c r="G26" i="19"/>
  <c r="I26" i="19"/>
  <c r="G25" i="19"/>
  <c r="I25" i="19"/>
  <c r="G24" i="19"/>
  <c r="I24" i="19"/>
  <c r="G23" i="19"/>
  <c r="I23" i="19"/>
  <c r="G22" i="19"/>
  <c r="G21" i="19"/>
  <c r="G20" i="19"/>
  <c r="I20" i="19"/>
  <c r="G19" i="19"/>
  <c r="G18" i="19"/>
  <c r="I18" i="19"/>
  <c r="G17" i="19"/>
  <c r="I17" i="19"/>
  <c r="G16" i="19"/>
  <c r="I16" i="19"/>
  <c r="G15" i="19"/>
  <c r="I15" i="19"/>
  <c r="G14" i="19"/>
  <c r="G13" i="19"/>
  <c r="G12" i="19"/>
  <c r="G11" i="19"/>
  <c r="I11" i="19"/>
  <c r="G10" i="19"/>
  <c r="G107" i="19"/>
  <c r="I107" i="19"/>
  <c r="G106" i="19"/>
  <c r="I106" i="19"/>
  <c r="G105" i="19"/>
  <c r="I105" i="19"/>
  <c r="G104" i="19"/>
  <c r="G103" i="19"/>
  <c r="I103" i="19"/>
  <c r="G102" i="19"/>
  <c r="I102" i="19"/>
  <c r="G101" i="19"/>
  <c r="I101" i="19"/>
  <c r="G100" i="19"/>
  <c r="I100" i="19"/>
  <c r="G99" i="19"/>
  <c r="I99" i="19"/>
  <c r="G98" i="19"/>
  <c r="I98" i="19"/>
  <c r="G97" i="19"/>
  <c r="I97" i="19"/>
  <c r="G96" i="19"/>
  <c r="G95" i="19"/>
  <c r="G94" i="19"/>
  <c r="I94" i="19"/>
  <c r="G93" i="19"/>
  <c r="I93" i="19"/>
  <c r="G92" i="19"/>
  <c r="I92" i="19"/>
  <c r="G91" i="19"/>
  <c r="I91" i="19"/>
  <c r="G90" i="19"/>
  <c r="I90" i="19"/>
  <c r="G89" i="19"/>
  <c r="I89" i="19"/>
  <c r="G88" i="19"/>
  <c r="G87" i="19"/>
  <c r="G86" i="19"/>
  <c r="G85" i="19"/>
  <c r="I85" i="19"/>
  <c r="G84" i="19"/>
  <c r="I84" i="19"/>
  <c r="G83" i="19"/>
  <c r="I83" i="19"/>
  <c r="G82" i="19"/>
  <c r="I82" i="19"/>
  <c r="G81" i="19"/>
  <c r="I81" i="19"/>
  <c r="G80" i="19"/>
  <c r="I80" i="19"/>
  <c r="G79" i="19"/>
  <c r="G78" i="19"/>
  <c r="G77" i="19"/>
  <c r="I77" i="19"/>
  <c r="G76" i="19"/>
  <c r="I76" i="19"/>
  <c r="G75" i="19"/>
  <c r="G74" i="19"/>
  <c r="I74" i="19"/>
  <c r="G73" i="19"/>
  <c r="I73" i="19"/>
  <c r="G72" i="19"/>
  <c r="I72" i="19"/>
  <c r="G71" i="19"/>
  <c r="G70" i="19"/>
  <c r="G69" i="19"/>
  <c r="I69" i="19"/>
  <c r="G68" i="19"/>
  <c r="I68" i="19"/>
  <c r="G67" i="19"/>
  <c r="I67" i="19"/>
  <c r="G66" i="19"/>
  <c r="I66" i="19"/>
  <c r="G65" i="19"/>
  <c r="I65" i="19"/>
  <c r="G64" i="19"/>
  <c r="I64" i="19"/>
  <c r="G63" i="19"/>
  <c r="G62" i="19"/>
  <c r="G61" i="19"/>
  <c r="I61" i="19"/>
  <c r="G60" i="19"/>
  <c r="I60" i="19"/>
  <c r="G59" i="19"/>
  <c r="I59" i="19"/>
  <c r="G58" i="19"/>
  <c r="I58" i="19"/>
  <c r="G57" i="19"/>
  <c r="I57" i="19"/>
  <c r="G56" i="19"/>
  <c r="I56" i="19"/>
  <c r="G55" i="19"/>
  <c r="G54" i="19"/>
  <c r="I54" i="19"/>
  <c r="G53" i="19"/>
  <c r="I53" i="19"/>
  <c r="G52" i="19"/>
  <c r="I52" i="19"/>
  <c r="G51" i="19"/>
  <c r="I51" i="19"/>
  <c r="G50" i="19"/>
  <c r="I50" i="19"/>
  <c r="G49" i="19"/>
  <c r="I49" i="19"/>
  <c r="G48" i="19"/>
  <c r="I48" i="19"/>
  <c r="G47" i="19"/>
  <c r="G46" i="19"/>
  <c r="I46" i="19"/>
  <c r="G45" i="19"/>
  <c r="I45" i="19"/>
  <c r="G44" i="19"/>
  <c r="I44" i="19"/>
  <c r="G43" i="19"/>
  <c r="I43" i="19"/>
  <c r="CB60" i="31"/>
  <c r="AG75" i="35"/>
  <c r="AG74" i="35"/>
  <c r="AG73" i="35"/>
  <c r="AG72" i="35"/>
  <c r="AG61" i="21"/>
  <c r="AG113" i="39"/>
  <c r="AG112" i="39"/>
  <c r="AG62" i="21"/>
  <c r="AG60" i="21"/>
  <c r="AG111" i="39"/>
  <c r="AG110" i="39"/>
  <c r="AG59" i="21"/>
  <c r="Z43" i="19"/>
  <c r="Z32" i="19"/>
  <c r="Z19" i="19"/>
  <c r="Z81" i="19"/>
  <c r="Z20" i="19"/>
  <c r="Z74" i="39"/>
  <c r="Z25" i="39"/>
  <c r="Z24" i="39"/>
  <c r="Z21" i="39"/>
  <c r="Z20" i="39"/>
  <c r="O9" i="35"/>
  <c r="OG9" i="35"/>
  <c r="BH9" i="35"/>
  <c r="BI9" i="35"/>
  <c r="HD9" i="35"/>
  <c r="S21" i="35"/>
  <c r="BH21" i="35"/>
  <c r="HC21" i="35"/>
  <c r="HD21" i="35"/>
  <c r="O21" i="35"/>
  <c r="OG21" i="35"/>
  <c r="OQ21" i="35"/>
  <c r="OT21" i="35"/>
  <c r="S22" i="35"/>
  <c r="BH22" i="35"/>
  <c r="HC22" i="35"/>
  <c r="HD22" i="35"/>
  <c r="O22" i="35"/>
  <c r="OG22" i="35"/>
  <c r="OQ22" i="35"/>
  <c r="OT22" i="35"/>
  <c r="S23" i="35"/>
  <c r="BH23" i="35"/>
  <c r="HD23" i="35"/>
  <c r="O23" i="35"/>
  <c r="OG23" i="35"/>
  <c r="OQ23" i="35"/>
  <c r="OT23" i="35"/>
  <c r="S24" i="35"/>
  <c r="BH24" i="35"/>
  <c r="HC24" i="35"/>
  <c r="HD24" i="35"/>
  <c r="O24" i="35"/>
  <c r="OP24" i="35"/>
  <c r="OG24" i="35"/>
  <c r="OG10" i="35"/>
  <c r="BH10" i="35"/>
  <c r="BI10" i="35"/>
  <c r="HD10" i="35"/>
  <c r="O10" i="35"/>
  <c r="OG11" i="35"/>
  <c r="BH11" i="35"/>
  <c r="BI11" i="35"/>
  <c r="HD11" i="35"/>
  <c r="O11" i="35"/>
  <c r="OG12" i="35"/>
  <c r="BH12" i="35"/>
  <c r="BI12" i="35"/>
  <c r="HD12" i="35"/>
  <c r="O12" i="35"/>
  <c r="OG13" i="35"/>
  <c r="OJ13" i="35"/>
  <c r="BH13" i="35"/>
  <c r="BI13" i="35"/>
  <c r="HD13" i="35"/>
  <c r="O13" i="35"/>
  <c r="OG14" i="35"/>
  <c r="OJ14" i="35"/>
  <c r="BH14" i="35"/>
  <c r="BI14" i="35"/>
  <c r="HD14" i="35"/>
  <c r="O14" i="35"/>
  <c r="OG15" i="35"/>
  <c r="OJ15" i="35"/>
  <c r="BH15" i="35"/>
  <c r="BI15" i="35"/>
  <c r="HD15" i="35"/>
  <c r="O15" i="35"/>
  <c r="OG16" i="35"/>
  <c r="BH16" i="35"/>
  <c r="BI16" i="35"/>
  <c r="HD16" i="35"/>
  <c r="O16" i="35"/>
  <c r="OP16" i="35"/>
  <c r="OG17" i="35"/>
  <c r="OQ17" i="35"/>
  <c r="OT17" i="35"/>
  <c r="BH17" i="35"/>
  <c r="BI17" i="35"/>
  <c r="HD17" i="35"/>
  <c r="O17" i="35"/>
  <c r="OP17" i="35"/>
  <c r="OG18" i="35"/>
  <c r="BH18" i="35"/>
  <c r="BI18" i="35"/>
  <c r="HD18" i="35"/>
  <c r="O18" i="35"/>
  <c r="OG19" i="35"/>
  <c r="OQ19" i="35"/>
  <c r="OT19" i="35"/>
  <c r="BH19" i="35"/>
  <c r="BI19" i="35"/>
  <c r="HD19" i="35"/>
  <c r="O19" i="35"/>
  <c r="OG20" i="35"/>
  <c r="OQ20" i="35"/>
  <c r="OT20" i="35"/>
  <c r="BH20" i="35"/>
  <c r="BI20" i="35"/>
  <c r="HD20" i="35"/>
  <c r="O20" i="35"/>
  <c r="OP20" i="35"/>
  <c r="OG28" i="35"/>
  <c r="BH28" i="35"/>
  <c r="BI28" i="35"/>
  <c r="HD28" i="35"/>
  <c r="O28" i="35"/>
  <c r="OG29" i="35"/>
  <c r="BH29" i="35"/>
  <c r="BI29" i="35"/>
  <c r="HD29" i="35"/>
  <c r="O29" i="35"/>
  <c r="OG30" i="35"/>
  <c r="BH30" i="35"/>
  <c r="BI30" i="35"/>
  <c r="HD30" i="35"/>
  <c r="O30" i="35"/>
  <c r="OP30" i="35"/>
  <c r="OG31" i="35"/>
  <c r="BH31" i="35"/>
  <c r="BI31" i="35"/>
  <c r="HD31" i="35"/>
  <c r="O31" i="35"/>
  <c r="OG32" i="35"/>
  <c r="OJ32" i="35"/>
  <c r="BH32" i="35"/>
  <c r="BI32" i="35"/>
  <c r="HD32" i="35"/>
  <c r="O32" i="35"/>
  <c r="OG35" i="35"/>
  <c r="BH35" i="35"/>
  <c r="BI35" i="35"/>
  <c r="HD35" i="35"/>
  <c r="O35" i="35"/>
  <c r="OP35" i="35"/>
  <c r="OG36" i="35"/>
  <c r="BH36" i="35"/>
  <c r="BI36" i="35"/>
  <c r="HD36" i="35"/>
  <c r="O36" i="35"/>
  <c r="OP36" i="35"/>
  <c r="OG39" i="35"/>
  <c r="OJ39" i="35"/>
  <c r="BH39" i="35"/>
  <c r="BI39" i="35"/>
  <c r="HD39" i="35"/>
  <c r="O39" i="35"/>
  <c r="OP39" i="35"/>
  <c r="OG43" i="35"/>
  <c r="BH43" i="35"/>
  <c r="BI43" i="35"/>
  <c r="HD43" i="35"/>
  <c r="O43" i="35"/>
  <c r="OP43" i="35"/>
  <c r="OG44" i="35"/>
  <c r="BH44" i="35"/>
  <c r="BI44" i="35"/>
  <c r="HD44" i="35"/>
  <c r="O44" i="35"/>
  <c r="OG46" i="35"/>
  <c r="OQ46" i="35"/>
  <c r="BH46" i="35"/>
  <c r="BI46" i="35"/>
  <c r="HD46" i="35"/>
  <c r="O46" i="35"/>
  <c r="OG48" i="35"/>
  <c r="BH48" i="35"/>
  <c r="BI48" i="35"/>
  <c r="HD48" i="35"/>
  <c r="O48" i="35"/>
  <c r="OP48" i="35"/>
  <c r="OG49" i="35"/>
  <c r="OJ49" i="35"/>
  <c r="BH49" i="35"/>
  <c r="BI49" i="35"/>
  <c r="HD49" i="35"/>
  <c r="O49" i="35"/>
  <c r="OP49" i="35"/>
  <c r="OG50" i="35"/>
  <c r="OJ50" i="35"/>
  <c r="BH50" i="35"/>
  <c r="BI50" i="35"/>
  <c r="HD50" i="35"/>
  <c r="O50" i="35"/>
  <c r="OP50" i="35"/>
  <c r="OG52" i="35"/>
  <c r="OQ52" i="35"/>
  <c r="OT52" i="35"/>
  <c r="BH52" i="35"/>
  <c r="BI52" i="35"/>
  <c r="HD52" i="35"/>
  <c r="O52" i="35"/>
  <c r="OG54" i="35"/>
  <c r="BH54" i="35"/>
  <c r="BI54" i="35"/>
  <c r="HD54" i="35"/>
  <c r="O54" i="35"/>
  <c r="OP54" i="35"/>
  <c r="OG55" i="35"/>
  <c r="OJ55" i="35"/>
  <c r="BH55" i="35"/>
  <c r="BI55" i="35"/>
  <c r="HD55" i="35"/>
  <c r="O55" i="35"/>
  <c r="OP55" i="35"/>
  <c r="OG58" i="35"/>
  <c r="OQ58" i="35"/>
  <c r="OT58" i="35"/>
  <c r="BH58" i="35"/>
  <c r="BI58" i="35"/>
  <c r="HD58" i="35"/>
  <c r="O58" i="35"/>
  <c r="OG59" i="35"/>
  <c r="OJ59" i="35"/>
  <c r="BH59" i="35"/>
  <c r="BI59" i="35"/>
  <c r="HD59" i="35"/>
  <c r="O59" i="35"/>
  <c r="BH33" i="35"/>
  <c r="BI33" i="35"/>
  <c r="HD33" i="35"/>
  <c r="O33" i="35"/>
  <c r="OG33" i="35"/>
  <c r="BH40" i="35"/>
  <c r="BI40" i="35"/>
  <c r="HD40" i="35"/>
  <c r="OG40" i="35"/>
  <c r="O40" i="35"/>
  <c r="O26" i="35"/>
  <c r="OG26" i="35"/>
  <c r="OQ26" i="35"/>
  <c r="BH26" i="35"/>
  <c r="BI26" i="35"/>
  <c r="HD26" i="35"/>
  <c r="BH45" i="35"/>
  <c r="BI45" i="35"/>
  <c r="HD45" i="35"/>
  <c r="O45" i="35"/>
  <c r="OG45" i="35"/>
  <c r="BH47" i="35"/>
  <c r="BI47" i="35"/>
  <c r="HD47" i="35"/>
  <c r="O47" i="35"/>
  <c r="OG47" i="35"/>
  <c r="OG25" i="35"/>
  <c r="BH25" i="35"/>
  <c r="BI25" i="35"/>
  <c r="HD25" i="35"/>
  <c r="O25" i="35"/>
  <c r="OG27" i="35"/>
  <c r="OQ27" i="35"/>
  <c r="OT27" i="35"/>
  <c r="BH27" i="35"/>
  <c r="BF27" i="35"/>
  <c r="BG27" i="35"/>
  <c r="IP27" i="35"/>
  <c r="BI27" i="35"/>
  <c r="BJ27" i="35"/>
  <c r="BF9" i="35"/>
  <c r="BG9" i="35"/>
  <c r="IP9" i="35"/>
  <c r="IO9" i="35"/>
  <c r="BJ9" i="35"/>
  <c r="BF10" i="35"/>
  <c r="BG10" i="35"/>
  <c r="BJ10" i="35"/>
  <c r="BF11" i="35"/>
  <c r="BG11" i="35"/>
  <c r="BJ11" i="35"/>
  <c r="BF12" i="35"/>
  <c r="BG12" i="35"/>
  <c r="IP12" i="35"/>
  <c r="BJ12" i="35"/>
  <c r="BF13" i="35"/>
  <c r="BG13" i="35"/>
  <c r="BJ13" i="35"/>
  <c r="BF14" i="35"/>
  <c r="BG14" i="35"/>
  <c r="IP14" i="35"/>
  <c r="IQ14" i="35"/>
  <c r="BJ14" i="35"/>
  <c r="BF15" i="35"/>
  <c r="BG15" i="35"/>
  <c r="BJ15" i="35"/>
  <c r="BF16" i="35"/>
  <c r="BG16" i="35"/>
  <c r="IP16" i="35"/>
  <c r="BJ16" i="35"/>
  <c r="BF17" i="35"/>
  <c r="BG17" i="35"/>
  <c r="BJ17" i="35"/>
  <c r="BF18" i="35"/>
  <c r="BG18" i="35"/>
  <c r="BJ18" i="35"/>
  <c r="BF19" i="35"/>
  <c r="BG19" i="35"/>
  <c r="BJ19" i="35"/>
  <c r="BF20" i="35"/>
  <c r="BG20" i="35"/>
  <c r="IP20" i="35"/>
  <c r="IQ20" i="35"/>
  <c r="BJ20" i="35"/>
  <c r="BF21" i="35"/>
  <c r="BG21" i="35"/>
  <c r="IP21" i="35"/>
  <c r="IQ21" i="35"/>
  <c r="BI21" i="35"/>
  <c r="BJ21" i="35"/>
  <c r="BF22" i="35"/>
  <c r="BG22" i="35"/>
  <c r="IP22" i="35"/>
  <c r="BI22" i="35"/>
  <c r="BJ22" i="35"/>
  <c r="BF23" i="35"/>
  <c r="BG23" i="35"/>
  <c r="BI23" i="35"/>
  <c r="BJ23" i="35"/>
  <c r="BF24" i="35"/>
  <c r="BG24" i="35"/>
  <c r="BI24" i="35"/>
  <c r="BJ24" i="35"/>
  <c r="BF25" i="35"/>
  <c r="BG25" i="35"/>
  <c r="IP25" i="35"/>
  <c r="IQ25" i="35"/>
  <c r="BJ25" i="35"/>
  <c r="BF26" i="35"/>
  <c r="BG26" i="35"/>
  <c r="BJ26" i="35"/>
  <c r="BF28" i="35"/>
  <c r="BG28" i="35"/>
  <c r="BJ28" i="35"/>
  <c r="BF29" i="35"/>
  <c r="BG29" i="35"/>
  <c r="IP29" i="35"/>
  <c r="BJ29" i="35"/>
  <c r="BF30" i="35"/>
  <c r="BG30" i="35"/>
  <c r="BJ30" i="35"/>
  <c r="BF31" i="35"/>
  <c r="BG31" i="35"/>
  <c r="BJ31" i="35"/>
  <c r="BF32" i="35"/>
  <c r="BG32" i="35"/>
  <c r="IP32" i="35"/>
  <c r="BJ32" i="35"/>
  <c r="BF33" i="35"/>
  <c r="BG33" i="35"/>
  <c r="IP33" i="35"/>
  <c r="IQ33" i="35"/>
  <c r="BJ33" i="35"/>
  <c r="BF34" i="35"/>
  <c r="BG34" i="35"/>
  <c r="BH34" i="35"/>
  <c r="BI34" i="35"/>
  <c r="BJ34" i="35"/>
  <c r="BF35" i="35"/>
  <c r="BG35" i="35"/>
  <c r="IP35" i="35"/>
  <c r="IQ35" i="35"/>
  <c r="BJ35" i="35"/>
  <c r="BF36" i="35"/>
  <c r="BG36" i="35"/>
  <c r="BJ36" i="35"/>
  <c r="BF37" i="35"/>
  <c r="BG37" i="35"/>
  <c r="IP37" i="35"/>
  <c r="IQ37" i="35"/>
  <c r="BH37" i="35"/>
  <c r="BI37" i="35"/>
  <c r="BJ37" i="35"/>
  <c r="BF38" i="35"/>
  <c r="BG38" i="35"/>
  <c r="BH38" i="35"/>
  <c r="BI38" i="35"/>
  <c r="BJ38" i="35"/>
  <c r="BF39" i="35"/>
  <c r="BG39" i="35"/>
  <c r="IP39" i="35"/>
  <c r="BJ39" i="35"/>
  <c r="BF40" i="35"/>
  <c r="BG40" i="35"/>
  <c r="BJ40" i="35"/>
  <c r="BF42" i="35"/>
  <c r="BG42" i="35"/>
  <c r="IP42" i="35"/>
  <c r="IO42" i="35"/>
  <c r="BH42" i="35"/>
  <c r="BI42" i="35"/>
  <c r="BJ42" i="35"/>
  <c r="BF43" i="35"/>
  <c r="BG43" i="35"/>
  <c r="IP43" i="35"/>
  <c r="BJ43" i="35"/>
  <c r="BF44" i="35"/>
  <c r="BG44" i="35"/>
  <c r="IP44" i="35"/>
  <c r="IQ44" i="35"/>
  <c r="BJ44" i="35"/>
  <c r="BF45" i="35"/>
  <c r="BG45" i="35"/>
  <c r="IP45" i="35"/>
  <c r="BJ45" i="35"/>
  <c r="BF46" i="35"/>
  <c r="BG46" i="35"/>
  <c r="IP46" i="35"/>
  <c r="BJ46" i="35"/>
  <c r="BF47" i="35"/>
  <c r="BG47" i="35"/>
  <c r="BJ47" i="35"/>
  <c r="BF48" i="35"/>
  <c r="BG48" i="35"/>
  <c r="IP48" i="35"/>
  <c r="BJ48" i="35"/>
  <c r="BF49" i="35"/>
  <c r="BG49" i="35"/>
  <c r="IP49" i="35"/>
  <c r="BJ49" i="35"/>
  <c r="BF50" i="35"/>
  <c r="BG50" i="35"/>
  <c r="BJ50" i="35"/>
  <c r="BF52" i="35"/>
  <c r="BG52" i="35"/>
  <c r="BJ52" i="35"/>
  <c r="BF53" i="35"/>
  <c r="BG53" i="35"/>
  <c r="BH53" i="35"/>
  <c r="BI53" i="35"/>
  <c r="BJ53" i="35"/>
  <c r="BF54" i="35"/>
  <c r="BG54" i="35"/>
  <c r="BJ54" i="35"/>
  <c r="BF55" i="35"/>
  <c r="BG55" i="35"/>
  <c r="IP55" i="35"/>
  <c r="BJ55" i="35"/>
  <c r="BF57" i="35"/>
  <c r="BG57" i="35"/>
  <c r="IP57" i="35"/>
  <c r="IQ57" i="35"/>
  <c r="BH57" i="35"/>
  <c r="BI57" i="35"/>
  <c r="BJ57" i="35"/>
  <c r="BF58" i="35"/>
  <c r="BG58" i="35"/>
  <c r="IP58" i="35"/>
  <c r="BJ58" i="35"/>
  <c r="BF59" i="35"/>
  <c r="BG59" i="35"/>
  <c r="IP59" i="35"/>
  <c r="BJ59" i="35"/>
  <c r="BF61" i="35"/>
  <c r="BG61" i="35"/>
  <c r="IP61" i="35"/>
  <c r="IO61" i="35"/>
  <c r="BH61" i="35"/>
  <c r="BI61" i="35"/>
  <c r="BJ61" i="35"/>
  <c r="BF62" i="35"/>
  <c r="BG62" i="35"/>
  <c r="IP62" i="35"/>
  <c r="IQ62" i="35"/>
  <c r="BH62" i="35"/>
  <c r="BI62" i="35"/>
  <c r="BJ62" i="35"/>
  <c r="BF63" i="35"/>
  <c r="BG63" i="35"/>
  <c r="IP63" i="35"/>
  <c r="BH63" i="35"/>
  <c r="BI63" i="35"/>
  <c r="BJ63" i="35"/>
  <c r="BF64" i="35"/>
  <c r="BG64" i="35"/>
  <c r="IP64" i="35"/>
  <c r="BH64" i="35"/>
  <c r="BI64" i="35"/>
  <c r="BJ64" i="35"/>
  <c r="HD27" i="35"/>
  <c r="O27" i="35"/>
  <c r="OG34" i="35"/>
  <c r="HD34" i="35"/>
  <c r="O34" i="35"/>
  <c r="OP34" i="35"/>
  <c r="OG37" i="35"/>
  <c r="HD37" i="35"/>
  <c r="O37" i="35"/>
  <c r="OP37" i="35"/>
  <c r="OG38" i="35"/>
  <c r="HD38" i="35"/>
  <c r="O38" i="35"/>
  <c r="OP38" i="35"/>
  <c r="OG41" i="35"/>
  <c r="OH41" i="35"/>
  <c r="OR41" i="35"/>
  <c r="OU41" i="35"/>
  <c r="OP41" i="35"/>
  <c r="OG42" i="35"/>
  <c r="OQ42" i="35"/>
  <c r="OT42" i="35"/>
  <c r="HD42" i="35"/>
  <c r="O42" i="35"/>
  <c r="OP42" i="35"/>
  <c r="OG51" i="35"/>
  <c r="OH51" i="35"/>
  <c r="OK51" i="35"/>
  <c r="OP51" i="35"/>
  <c r="OG53" i="35"/>
  <c r="HD53" i="35"/>
  <c r="O53" i="35"/>
  <c r="OG56" i="35"/>
  <c r="OQ56" i="35"/>
  <c r="OH56" i="35"/>
  <c r="OP56" i="35"/>
  <c r="OG57" i="35"/>
  <c r="HD57" i="35"/>
  <c r="O57" i="35"/>
  <c r="OP57" i="35"/>
  <c r="OI9" i="35"/>
  <c r="OS9" i="35"/>
  <c r="OI10" i="35"/>
  <c r="OS10" i="35"/>
  <c r="OI11" i="35"/>
  <c r="OI12" i="35"/>
  <c r="OS12" i="35"/>
  <c r="OI13" i="35"/>
  <c r="OS13" i="35"/>
  <c r="OI14" i="35"/>
  <c r="OS14" i="35"/>
  <c r="OI15" i="35"/>
  <c r="OS15" i="35"/>
  <c r="OI16" i="35"/>
  <c r="OS16" i="35"/>
  <c r="OI17" i="35"/>
  <c r="OS17" i="35"/>
  <c r="OI18" i="35"/>
  <c r="OS18" i="35"/>
  <c r="OI19" i="35"/>
  <c r="OS19" i="35"/>
  <c r="OI20" i="35"/>
  <c r="OS20" i="35"/>
  <c r="OI21" i="35"/>
  <c r="OS21" i="35"/>
  <c r="OI22" i="35"/>
  <c r="OS22" i="35"/>
  <c r="OI23" i="35"/>
  <c r="OS23" i="35"/>
  <c r="OI24" i="35"/>
  <c r="OS24" i="35"/>
  <c r="OI25" i="35"/>
  <c r="OS25" i="35"/>
  <c r="OI26" i="35"/>
  <c r="OS26" i="35"/>
  <c r="OI27" i="35"/>
  <c r="OS27" i="35"/>
  <c r="OI28" i="35"/>
  <c r="OS28" i="35"/>
  <c r="OI29" i="35"/>
  <c r="OS29" i="35"/>
  <c r="OI30" i="35"/>
  <c r="OS30" i="35"/>
  <c r="OI31" i="35"/>
  <c r="OS31" i="35"/>
  <c r="OI32" i="35"/>
  <c r="OS32" i="35"/>
  <c r="OI33" i="35"/>
  <c r="OS33" i="35"/>
  <c r="OI34" i="35"/>
  <c r="OS34" i="35"/>
  <c r="OI35" i="35"/>
  <c r="OS35" i="35"/>
  <c r="OI36" i="35"/>
  <c r="OS36" i="35"/>
  <c r="OI37" i="35"/>
  <c r="OS37" i="35"/>
  <c r="OI38" i="35"/>
  <c r="OS38" i="35"/>
  <c r="OI39" i="35"/>
  <c r="OS39" i="35"/>
  <c r="OI40" i="35"/>
  <c r="OS40" i="35"/>
  <c r="OI41" i="35"/>
  <c r="OS41" i="35"/>
  <c r="OI42" i="35"/>
  <c r="OS42" i="35"/>
  <c r="OI43" i="35"/>
  <c r="OS43" i="35"/>
  <c r="OI44" i="35"/>
  <c r="OS44" i="35"/>
  <c r="OI45" i="35"/>
  <c r="OS45" i="35"/>
  <c r="OI46" i="35"/>
  <c r="OS46" i="35"/>
  <c r="OI47" i="35"/>
  <c r="OS47" i="35"/>
  <c r="OI48" i="35"/>
  <c r="OS48" i="35"/>
  <c r="OI49" i="35"/>
  <c r="OS49" i="35"/>
  <c r="OI50" i="35"/>
  <c r="OS50" i="35"/>
  <c r="OI51" i="35"/>
  <c r="OS51" i="35"/>
  <c r="OI52" i="35"/>
  <c r="OS52" i="35"/>
  <c r="OI53" i="35"/>
  <c r="OS53" i="35"/>
  <c r="OI54" i="35"/>
  <c r="OS54" i="35"/>
  <c r="OI55" i="35"/>
  <c r="OS55" i="35"/>
  <c r="OI56" i="35"/>
  <c r="OS56" i="35"/>
  <c r="OI57" i="35"/>
  <c r="OS57" i="35"/>
  <c r="OI58" i="35"/>
  <c r="OS58" i="35"/>
  <c r="OI59" i="35"/>
  <c r="OS59" i="35"/>
  <c r="K10" i="35"/>
  <c r="M10" i="35"/>
  <c r="K11" i="35"/>
  <c r="K12" i="35"/>
  <c r="OO12" i="35"/>
  <c r="K13" i="35"/>
  <c r="OO13" i="35"/>
  <c r="K14" i="35"/>
  <c r="OO14" i="35"/>
  <c r="K15" i="35"/>
  <c r="OO15" i="35"/>
  <c r="K16" i="35"/>
  <c r="OO16" i="35"/>
  <c r="K17" i="35"/>
  <c r="OO17" i="35"/>
  <c r="K18" i="35"/>
  <c r="OO18" i="35"/>
  <c r="K19" i="35"/>
  <c r="K20" i="35"/>
  <c r="OO20" i="35"/>
  <c r="K28" i="35"/>
  <c r="K29" i="35"/>
  <c r="OO29" i="35"/>
  <c r="K30" i="35"/>
  <c r="K31" i="35"/>
  <c r="OO31" i="35"/>
  <c r="K32" i="35"/>
  <c r="OO32" i="35"/>
  <c r="K35" i="35"/>
  <c r="M35" i="35"/>
  <c r="K36" i="35"/>
  <c r="K39" i="35"/>
  <c r="OO39" i="35"/>
  <c r="K43" i="35"/>
  <c r="OO43" i="35"/>
  <c r="K44" i="35"/>
  <c r="K46" i="35"/>
  <c r="OO46" i="35"/>
  <c r="K48" i="35"/>
  <c r="OO48" i="35"/>
  <c r="K49" i="35"/>
  <c r="OO49" i="35"/>
  <c r="K50" i="35"/>
  <c r="M50" i="35"/>
  <c r="K52" i="35"/>
  <c r="K54" i="35"/>
  <c r="K55" i="35"/>
  <c r="OO55" i="35"/>
  <c r="K58" i="35"/>
  <c r="OO58" i="35"/>
  <c r="K59" i="35"/>
  <c r="OO59" i="35"/>
  <c r="K33" i="35"/>
  <c r="OO33" i="35"/>
  <c r="K26" i="35"/>
  <c r="OO26" i="35"/>
  <c r="K47" i="35"/>
  <c r="K45" i="35"/>
  <c r="K9" i="35"/>
  <c r="M9" i="35"/>
  <c r="K21" i="35"/>
  <c r="K22" i="35"/>
  <c r="K23" i="35"/>
  <c r="K24" i="35"/>
  <c r="OO24" i="35"/>
  <c r="K25" i="35"/>
  <c r="OO25" i="35"/>
  <c r="K27" i="35"/>
  <c r="K34" i="35"/>
  <c r="K37" i="35"/>
  <c r="OO37" i="35"/>
  <c r="K38" i="35"/>
  <c r="K40" i="35"/>
  <c r="OO40" i="35"/>
  <c r="OO41" i="35"/>
  <c r="K42" i="35"/>
  <c r="OO42" i="35"/>
  <c r="OO51" i="35"/>
  <c r="K53" i="35"/>
  <c r="OO56" i="35"/>
  <c r="K57" i="35"/>
  <c r="OF9" i="35"/>
  <c r="OF21" i="35"/>
  <c r="OF22" i="35"/>
  <c r="OF23" i="35"/>
  <c r="OF24" i="35"/>
  <c r="OF10" i="35"/>
  <c r="OF11" i="35"/>
  <c r="OF12" i="35"/>
  <c r="OF13" i="35"/>
  <c r="OF14" i="35"/>
  <c r="OF15" i="35"/>
  <c r="OF16" i="35"/>
  <c r="OF17" i="35"/>
  <c r="OF18" i="35"/>
  <c r="OF19" i="35"/>
  <c r="OF20" i="35"/>
  <c r="OF28" i="35"/>
  <c r="OF29" i="35"/>
  <c r="OF30" i="35"/>
  <c r="OF31" i="35"/>
  <c r="OF32" i="35"/>
  <c r="OF35" i="35"/>
  <c r="OF36" i="35"/>
  <c r="OF39" i="35"/>
  <c r="OF43" i="35"/>
  <c r="OF44" i="35"/>
  <c r="OF46" i="35"/>
  <c r="OF48" i="35"/>
  <c r="OF49" i="35"/>
  <c r="OF50" i="35"/>
  <c r="OF52" i="35"/>
  <c r="OF54" i="35"/>
  <c r="OF55" i="35"/>
  <c r="OF58" i="35"/>
  <c r="OF59" i="35"/>
  <c r="OF33" i="35"/>
  <c r="OF40" i="35"/>
  <c r="OF26" i="35"/>
  <c r="OF45" i="35"/>
  <c r="OF47" i="35"/>
  <c r="OF25" i="35"/>
  <c r="OF27" i="35"/>
  <c r="OF34" i="35"/>
  <c r="OF37" i="35"/>
  <c r="OF38" i="35"/>
  <c r="OF41" i="35"/>
  <c r="OF42" i="35"/>
  <c r="OF51" i="35"/>
  <c r="OF53" i="35"/>
  <c r="OF56" i="35"/>
  <c r="OF57" i="35"/>
  <c r="OE9" i="35"/>
  <c r="OE10" i="35"/>
  <c r="OE11" i="35"/>
  <c r="OE12" i="35"/>
  <c r="OE13" i="35"/>
  <c r="OE14" i="35"/>
  <c r="OE15" i="35"/>
  <c r="OE16" i="35"/>
  <c r="OE17" i="35"/>
  <c r="OE18" i="35"/>
  <c r="OE19" i="35"/>
  <c r="OE20" i="35"/>
  <c r="OE21" i="35"/>
  <c r="OE22" i="35"/>
  <c r="OE23" i="35"/>
  <c r="OE24" i="35"/>
  <c r="OE25" i="35"/>
  <c r="OE26" i="35"/>
  <c r="OE27" i="35"/>
  <c r="OE28" i="35"/>
  <c r="OE29" i="35"/>
  <c r="OE30" i="35"/>
  <c r="OE31" i="35"/>
  <c r="OE32" i="35"/>
  <c r="OE33" i="35"/>
  <c r="OE34" i="35"/>
  <c r="OE35" i="35"/>
  <c r="OE36" i="35"/>
  <c r="OE37" i="35"/>
  <c r="OE38" i="35"/>
  <c r="OE39" i="35"/>
  <c r="OE40" i="35"/>
  <c r="OE41" i="35"/>
  <c r="OE42" i="35"/>
  <c r="OE43" i="35"/>
  <c r="OE44" i="35"/>
  <c r="OE45" i="35"/>
  <c r="OE46" i="35"/>
  <c r="OE47" i="35"/>
  <c r="OE48" i="35"/>
  <c r="OE49" i="35"/>
  <c r="OE50" i="35"/>
  <c r="OE51" i="35"/>
  <c r="OE52" i="35"/>
  <c r="OE53" i="35"/>
  <c r="OE54" i="35"/>
  <c r="OE55" i="35"/>
  <c r="OE56" i="35"/>
  <c r="OE57" i="35"/>
  <c r="OE58" i="35"/>
  <c r="OE59" i="35"/>
  <c r="OG9" i="33"/>
  <c r="S9" i="33"/>
  <c r="HD9" i="33"/>
  <c r="O9" i="33"/>
  <c r="OP9" i="33"/>
  <c r="OG10" i="33"/>
  <c r="S10" i="33"/>
  <c r="HD10" i="33"/>
  <c r="O10" i="33"/>
  <c r="OP10" i="33"/>
  <c r="OI9" i="33"/>
  <c r="OS9" i="33"/>
  <c r="OI10" i="33"/>
  <c r="OS10" i="33"/>
  <c r="K9" i="33"/>
  <c r="OO9" i="33"/>
  <c r="K10" i="33"/>
  <c r="OO10" i="33"/>
  <c r="OF9" i="33"/>
  <c r="OF10" i="33"/>
  <c r="OE9" i="33"/>
  <c r="OE10" i="33"/>
  <c r="OG9" i="22"/>
  <c r="BH9" i="22"/>
  <c r="BI9" i="22"/>
  <c r="HD9" i="22"/>
  <c r="O9" i="22"/>
  <c r="Q9" i="22"/>
  <c r="OG10" i="22"/>
  <c r="OQ10" i="22"/>
  <c r="OT10" i="22"/>
  <c r="BH10" i="22"/>
  <c r="BI10" i="22"/>
  <c r="HD10" i="22"/>
  <c r="O10" i="22"/>
  <c r="Q10" i="22"/>
  <c r="OG11" i="22"/>
  <c r="OQ11" i="22"/>
  <c r="OT11" i="22"/>
  <c r="BH11" i="22"/>
  <c r="BI11" i="22"/>
  <c r="HD11" i="22"/>
  <c r="O11" i="22"/>
  <c r="OG12" i="22"/>
  <c r="BH12" i="22"/>
  <c r="BI12" i="22"/>
  <c r="HD12" i="22"/>
  <c r="O12" i="22"/>
  <c r="OG13" i="22"/>
  <c r="OJ13" i="22"/>
  <c r="BH13" i="22"/>
  <c r="BI13" i="22"/>
  <c r="HD13" i="22"/>
  <c r="O13" i="22"/>
  <c r="OG14" i="22"/>
  <c r="OQ14" i="22"/>
  <c r="OT14" i="22"/>
  <c r="BH14" i="22"/>
  <c r="BI14" i="22"/>
  <c r="HD14" i="22"/>
  <c r="O14" i="22"/>
  <c r="OP14" i="22"/>
  <c r="OI9" i="22"/>
  <c r="OS9" i="22"/>
  <c r="OI10" i="22"/>
  <c r="OS10" i="22"/>
  <c r="OI11" i="22"/>
  <c r="OS11" i="22"/>
  <c r="OI12" i="22"/>
  <c r="OS12" i="22"/>
  <c r="OI13" i="22"/>
  <c r="OS13" i="22"/>
  <c r="OI14" i="22"/>
  <c r="OS14" i="22"/>
  <c r="K9" i="22"/>
  <c r="OO9" i="22"/>
  <c r="K10" i="22"/>
  <c r="OO10" i="22"/>
  <c r="K11" i="22"/>
  <c r="OO11" i="22"/>
  <c r="K12" i="22"/>
  <c r="K13" i="22"/>
  <c r="OO13" i="22"/>
  <c r="K14" i="22"/>
  <c r="OO14" i="22"/>
  <c r="OF9" i="22"/>
  <c r="OF10" i="22"/>
  <c r="OF11" i="22"/>
  <c r="OF12" i="22"/>
  <c r="OF13" i="22"/>
  <c r="OF14" i="22"/>
  <c r="OE9" i="22"/>
  <c r="OE10" i="22"/>
  <c r="OE11" i="22"/>
  <c r="OE12" i="22"/>
  <c r="OE13" i="22"/>
  <c r="OE14" i="22"/>
  <c r="BH32" i="19"/>
  <c r="BI32" i="19"/>
  <c r="HD32" i="19"/>
  <c r="OG32" i="19"/>
  <c r="O32" i="19"/>
  <c r="BH43" i="19"/>
  <c r="BI43" i="19"/>
  <c r="HD43" i="19"/>
  <c r="OG43" i="19"/>
  <c r="O43" i="19"/>
  <c r="Q43" i="19"/>
  <c r="BH81" i="19"/>
  <c r="BI81" i="19"/>
  <c r="HD81" i="19"/>
  <c r="OG81" i="19"/>
  <c r="O81" i="19"/>
  <c r="BH37" i="19"/>
  <c r="BI37" i="19"/>
  <c r="HD37" i="19"/>
  <c r="O37" i="19"/>
  <c r="OP37" i="19"/>
  <c r="OG37" i="19"/>
  <c r="OQ37" i="19"/>
  <c r="OT37" i="19"/>
  <c r="BH38" i="19"/>
  <c r="S38" i="19"/>
  <c r="BI38" i="19"/>
  <c r="HD38" i="19"/>
  <c r="O38" i="19"/>
  <c r="OG38" i="19"/>
  <c r="OG35" i="19"/>
  <c r="BH35" i="19"/>
  <c r="BI35" i="19"/>
  <c r="HD35" i="19"/>
  <c r="O35" i="19"/>
  <c r="OP35" i="19"/>
  <c r="OG44" i="19"/>
  <c r="OJ44" i="19"/>
  <c r="BH44" i="19"/>
  <c r="BI44" i="19"/>
  <c r="HD44" i="19"/>
  <c r="O44" i="19"/>
  <c r="OG52" i="19"/>
  <c r="OQ52" i="19"/>
  <c r="OT52" i="19"/>
  <c r="BH52" i="19"/>
  <c r="BI52" i="19"/>
  <c r="HD52" i="19"/>
  <c r="O52" i="19"/>
  <c r="OP52" i="19"/>
  <c r="OG53" i="19"/>
  <c r="BH53" i="19"/>
  <c r="BI53" i="19"/>
  <c r="HD53" i="19"/>
  <c r="O53" i="19"/>
  <c r="Q53" i="19"/>
  <c r="OG56" i="19"/>
  <c r="BH56" i="19"/>
  <c r="BI56" i="19"/>
  <c r="HD56" i="19"/>
  <c r="O56" i="19"/>
  <c r="OG57" i="19"/>
  <c r="BH57" i="19"/>
  <c r="BI57" i="19"/>
  <c r="HD57" i="19"/>
  <c r="O57" i="19"/>
  <c r="OG58" i="19"/>
  <c r="OJ58" i="19"/>
  <c r="BH58" i="19"/>
  <c r="BI58" i="19"/>
  <c r="HD58" i="19"/>
  <c r="O58" i="19"/>
  <c r="OP58" i="19"/>
  <c r="OG62" i="19"/>
  <c r="OJ62" i="19"/>
  <c r="BH62" i="19"/>
  <c r="BI62" i="19"/>
  <c r="HD62" i="19"/>
  <c r="O62" i="19"/>
  <c r="OG69" i="19"/>
  <c r="BH69" i="19"/>
  <c r="BI69" i="19"/>
  <c r="HD69" i="19"/>
  <c r="O69" i="19"/>
  <c r="OG80" i="19"/>
  <c r="OJ80" i="19"/>
  <c r="BH80" i="19"/>
  <c r="BI80" i="19"/>
  <c r="HD80" i="19"/>
  <c r="O80" i="19"/>
  <c r="OG84" i="19"/>
  <c r="BH84" i="19"/>
  <c r="BI84" i="19"/>
  <c r="HD84" i="19"/>
  <c r="O84" i="19"/>
  <c r="OG85" i="19"/>
  <c r="BH85" i="19"/>
  <c r="BI85" i="19"/>
  <c r="HD85" i="19"/>
  <c r="O85" i="19"/>
  <c r="OG86" i="19"/>
  <c r="OJ86" i="19"/>
  <c r="BH86" i="19"/>
  <c r="BI86" i="19"/>
  <c r="HD86" i="19"/>
  <c r="O86" i="19"/>
  <c r="OG87" i="19"/>
  <c r="OJ87" i="19"/>
  <c r="BH87" i="19"/>
  <c r="BI87" i="19"/>
  <c r="HD87" i="19"/>
  <c r="O87" i="19"/>
  <c r="Q87" i="19"/>
  <c r="OG91" i="19"/>
  <c r="BH91" i="19"/>
  <c r="BI91" i="19"/>
  <c r="HD91" i="19"/>
  <c r="O91" i="19"/>
  <c r="OG92" i="19"/>
  <c r="BH92" i="19"/>
  <c r="BI92" i="19"/>
  <c r="HD92" i="19"/>
  <c r="O92" i="19"/>
  <c r="OP92" i="19"/>
  <c r="OG96" i="19"/>
  <c r="BH96" i="19"/>
  <c r="BI96" i="19"/>
  <c r="HD96" i="19"/>
  <c r="O96" i="19"/>
  <c r="OG101" i="19"/>
  <c r="OJ101" i="19"/>
  <c r="BH101" i="19"/>
  <c r="BI101" i="19"/>
  <c r="HD101" i="19"/>
  <c r="O101" i="19"/>
  <c r="OG102" i="19"/>
  <c r="OQ102" i="19"/>
  <c r="OT102" i="19"/>
  <c r="BH102" i="19"/>
  <c r="BI102" i="19"/>
  <c r="HD102" i="19"/>
  <c r="O102" i="19"/>
  <c r="OG103" i="19"/>
  <c r="BH103" i="19"/>
  <c r="BI103" i="19"/>
  <c r="HD103" i="19"/>
  <c r="O103" i="19"/>
  <c r="OG104" i="19"/>
  <c r="OQ104" i="19"/>
  <c r="OT104" i="19"/>
  <c r="BH104" i="19"/>
  <c r="BI104" i="19"/>
  <c r="HD104" i="19"/>
  <c r="O104" i="19"/>
  <c r="OG105" i="19"/>
  <c r="OQ105" i="19"/>
  <c r="OT105" i="19"/>
  <c r="BH105" i="19"/>
  <c r="BI105" i="19"/>
  <c r="HD105" i="19"/>
  <c r="O105" i="19"/>
  <c r="OP105" i="19"/>
  <c r="OG106" i="19"/>
  <c r="OQ106" i="19"/>
  <c r="BH106" i="19"/>
  <c r="BI106" i="19"/>
  <c r="HD106" i="19"/>
  <c r="O106" i="19"/>
  <c r="OP106" i="19"/>
  <c r="OG107" i="19"/>
  <c r="OQ107" i="19"/>
  <c r="OT107" i="19"/>
  <c r="BH107" i="19"/>
  <c r="BI107" i="19"/>
  <c r="HD107" i="19"/>
  <c r="O107" i="19"/>
  <c r="OG93" i="19"/>
  <c r="OJ93" i="19"/>
  <c r="BH93" i="19"/>
  <c r="BI93" i="19"/>
  <c r="HD93" i="19"/>
  <c r="O93" i="19"/>
  <c r="OG33" i="19"/>
  <c r="OJ33" i="19"/>
  <c r="BH33" i="19"/>
  <c r="BI33" i="19"/>
  <c r="HD33" i="19"/>
  <c r="O33" i="19"/>
  <c r="OG34" i="19"/>
  <c r="OQ34" i="19"/>
  <c r="OT34" i="19"/>
  <c r="BH34" i="19"/>
  <c r="BI34" i="19"/>
  <c r="HD34" i="19"/>
  <c r="O34" i="19"/>
  <c r="OG36" i="19"/>
  <c r="BH36" i="19"/>
  <c r="BI36" i="19"/>
  <c r="HD36" i="19"/>
  <c r="O36" i="19"/>
  <c r="OP36" i="19"/>
  <c r="OG39" i="19"/>
  <c r="BH39" i="19"/>
  <c r="BI39" i="19"/>
  <c r="HD39" i="19"/>
  <c r="O39" i="19"/>
  <c r="OG40" i="19"/>
  <c r="OJ40" i="19"/>
  <c r="BH40" i="19"/>
  <c r="BI40" i="19"/>
  <c r="HD40" i="19"/>
  <c r="O40" i="19"/>
  <c r="Q40" i="19"/>
  <c r="OG41" i="19"/>
  <c r="BH41" i="19"/>
  <c r="HC41" i="19"/>
  <c r="BI41" i="19"/>
  <c r="HD41" i="19"/>
  <c r="O41" i="19"/>
  <c r="OP41" i="19"/>
  <c r="OG42" i="19"/>
  <c r="OH42" i="19"/>
  <c r="OP42" i="19"/>
  <c r="OG45" i="19"/>
  <c r="BH45" i="19"/>
  <c r="BI45" i="19"/>
  <c r="S45" i="19"/>
  <c r="U45" i="19"/>
  <c r="HD45" i="19"/>
  <c r="O45" i="19"/>
  <c r="O46" i="19"/>
  <c r="OP46" i="19"/>
  <c r="O47" i="19"/>
  <c r="OP47" i="19"/>
  <c r="O48" i="19"/>
  <c r="O49" i="19"/>
  <c r="O50" i="19"/>
  <c r="O51" i="19"/>
  <c r="O54" i="19"/>
  <c r="O55" i="19"/>
  <c r="OP55" i="19"/>
  <c r="O59" i="19"/>
  <c r="OP59" i="19"/>
  <c r="O60" i="19"/>
  <c r="O61" i="19"/>
  <c r="O63" i="19"/>
  <c r="O64" i="19"/>
  <c r="OP64" i="19"/>
  <c r="O65" i="19"/>
  <c r="Q65" i="19"/>
  <c r="O66" i="19"/>
  <c r="O67" i="19"/>
  <c r="O68" i="19"/>
  <c r="OP68" i="19"/>
  <c r="O70" i="19"/>
  <c r="OP70" i="19"/>
  <c r="O71" i="19"/>
  <c r="Q71" i="19"/>
  <c r="O72" i="19"/>
  <c r="OP72" i="19"/>
  <c r="O73" i="19"/>
  <c r="O74" i="19"/>
  <c r="O75" i="19"/>
  <c r="O76" i="19"/>
  <c r="OP76" i="19"/>
  <c r="O77" i="19"/>
  <c r="O78" i="19"/>
  <c r="O79" i="19"/>
  <c r="O82" i="19"/>
  <c r="O83" i="19"/>
  <c r="O88" i="19"/>
  <c r="O89" i="19"/>
  <c r="OP89" i="19"/>
  <c r="O90" i="19"/>
  <c r="O94" i="19"/>
  <c r="OP94" i="19"/>
  <c r="O95" i="19"/>
  <c r="O97" i="19"/>
  <c r="O98" i="19"/>
  <c r="O99" i="19"/>
  <c r="OP99" i="19"/>
  <c r="O100" i="19"/>
  <c r="OG46" i="19"/>
  <c r="OJ46" i="19"/>
  <c r="BH46" i="19"/>
  <c r="BI46" i="19"/>
  <c r="HD46" i="19"/>
  <c r="OG47" i="19"/>
  <c r="BH47" i="19"/>
  <c r="BI47" i="19"/>
  <c r="HD47" i="19"/>
  <c r="OG48" i="19"/>
  <c r="OJ48" i="19"/>
  <c r="BH48" i="19"/>
  <c r="BI48" i="19"/>
  <c r="HD48" i="19"/>
  <c r="OG49" i="19"/>
  <c r="OQ49" i="19"/>
  <c r="BH49" i="19"/>
  <c r="BI49" i="19"/>
  <c r="HD49" i="19"/>
  <c r="OG50" i="19"/>
  <c r="BH50" i="19"/>
  <c r="BI50" i="19"/>
  <c r="HD50" i="19"/>
  <c r="OG51" i="19"/>
  <c r="OQ51" i="19"/>
  <c r="BH51" i="19"/>
  <c r="BI51" i="19"/>
  <c r="HD51" i="19"/>
  <c r="OG54" i="19"/>
  <c r="OQ54" i="19"/>
  <c r="OT54" i="19"/>
  <c r="BH54" i="19"/>
  <c r="BI54" i="19"/>
  <c r="HD54" i="19"/>
  <c r="OG55" i="19"/>
  <c r="OQ55" i="19"/>
  <c r="OT55" i="19"/>
  <c r="BH55" i="19"/>
  <c r="BI55" i="19"/>
  <c r="HD55" i="19"/>
  <c r="OG59" i="19"/>
  <c r="OQ59" i="19"/>
  <c r="OT59" i="19"/>
  <c r="BH59" i="19"/>
  <c r="S59" i="19"/>
  <c r="HD59" i="19"/>
  <c r="OG60" i="19"/>
  <c r="OQ60" i="19"/>
  <c r="OT60" i="19"/>
  <c r="BH60" i="19"/>
  <c r="S60" i="19"/>
  <c r="BI60" i="19"/>
  <c r="HD60" i="19"/>
  <c r="OG61" i="19"/>
  <c r="OJ61" i="19"/>
  <c r="BH61" i="19"/>
  <c r="S61" i="19"/>
  <c r="BI61" i="19"/>
  <c r="HD61" i="19"/>
  <c r="OG63" i="19"/>
  <c r="BH63" i="19"/>
  <c r="S63" i="19"/>
  <c r="BI63" i="19"/>
  <c r="HD63" i="19"/>
  <c r="OG64" i="19"/>
  <c r="OJ64" i="19"/>
  <c r="BH64" i="19"/>
  <c r="S64" i="19"/>
  <c r="BI64" i="19"/>
  <c r="HD64" i="19"/>
  <c r="OG65" i="19"/>
  <c r="OJ65" i="19"/>
  <c r="BH65" i="19"/>
  <c r="S65" i="19"/>
  <c r="U65" i="19"/>
  <c r="HD65" i="19"/>
  <c r="OG66" i="19"/>
  <c r="OQ66" i="19"/>
  <c r="OT66" i="19"/>
  <c r="BH66" i="19"/>
  <c r="S66" i="19"/>
  <c r="HD66" i="19"/>
  <c r="OG67" i="19"/>
  <c r="OQ67" i="19"/>
  <c r="OT67" i="19"/>
  <c r="BH67" i="19"/>
  <c r="S67" i="19"/>
  <c r="HD67" i="19"/>
  <c r="OG68" i="19"/>
  <c r="OJ68" i="19"/>
  <c r="BH68" i="19"/>
  <c r="BI68" i="19"/>
  <c r="HD68" i="19"/>
  <c r="OG70" i="19"/>
  <c r="OJ70" i="19"/>
  <c r="BH70" i="19"/>
  <c r="BI70" i="19"/>
  <c r="HD70" i="19"/>
  <c r="OG71" i="19"/>
  <c r="OJ71" i="19"/>
  <c r="BH71" i="19"/>
  <c r="BI71" i="19"/>
  <c r="HD71" i="19"/>
  <c r="OG72" i="19"/>
  <c r="OJ72" i="19"/>
  <c r="BH72" i="19"/>
  <c r="BI72" i="19"/>
  <c r="HD72" i="19"/>
  <c r="OG73" i="19"/>
  <c r="OJ73" i="19"/>
  <c r="BH73" i="19"/>
  <c r="BI73" i="19"/>
  <c r="HD73" i="19"/>
  <c r="OG74" i="19"/>
  <c r="OJ74" i="19"/>
  <c r="BH74" i="19"/>
  <c r="BI74" i="19"/>
  <c r="HD74" i="19"/>
  <c r="OG75" i="19"/>
  <c r="BH75" i="19"/>
  <c r="BI75" i="19"/>
  <c r="HD75" i="19"/>
  <c r="OG76" i="19"/>
  <c r="OQ76" i="19"/>
  <c r="OT76" i="19"/>
  <c r="BH76" i="19"/>
  <c r="BI76" i="19"/>
  <c r="HD76" i="19"/>
  <c r="OG77" i="19"/>
  <c r="OQ77" i="19"/>
  <c r="OT77" i="19"/>
  <c r="BH77" i="19"/>
  <c r="BI77" i="19"/>
  <c r="HD77" i="19"/>
  <c r="OG78" i="19"/>
  <c r="OQ78" i="19"/>
  <c r="OT78" i="19"/>
  <c r="BH78" i="19"/>
  <c r="BI78" i="19"/>
  <c r="HD78" i="19"/>
  <c r="OG79" i="19"/>
  <c r="OJ79" i="19"/>
  <c r="BH79" i="19"/>
  <c r="BI79" i="19"/>
  <c r="HD79" i="19"/>
  <c r="OG82" i="19"/>
  <c r="OJ82" i="19"/>
  <c r="BH82" i="19"/>
  <c r="BI82" i="19"/>
  <c r="HD82" i="19"/>
  <c r="OG83" i="19"/>
  <c r="OQ83" i="19"/>
  <c r="OT83" i="19"/>
  <c r="BH83" i="19"/>
  <c r="BI83" i="19"/>
  <c r="HD83" i="19"/>
  <c r="OG88" i="19"/>
  <c r="BH88" i="19"/>
  <c r="BI88" i="19"/>
  <c r="HD88" i="19"/>
  <c r="OG89" i="19"/>
  <c r="BH89" i="19"/>
  <c r="BI89" i="19"/>
  <c r="HD89" i="19"/>
  <c r="OG90" i="19"/>
  <c r="OQ90" i="19"/>
  <c r="OT90" i="19"/>
  <c r="BH90" i="19"/>
  <c r="BI90" i="19"/>
  <c r="HD90" i="19"/>
  <c r="OG94" i="19"/>
  <c r="OJ94" i="19"/>
  <c r="BH94" i="19"/>
  <c r="BI94" i="19"/>
  <c r="HD94" i="19"/>
  <c r="OG95" i="19"/>
  <c r="OQ95" i="19"/>
  <c r="OT95" i="19"/>
  <c r="BH95" i="19"/>
  <c r="BI95" i="19"/>
  <c r="HD95" i="19"/>
  <c r="OG97" i="19"/>
  <c r="OQ97" i="19"/>
  <c r="OT97" i="19"/>
  <c r="BH97" i="19"/>
  <c r="BI97" i="19"/>
  <c r="HD97" i="19"/>
  <c r="OG98" i="19"/>
  <c r="BH98" i="19"/>
  <c r="BI98" i="19"/>
  <c r="HD98" i="19"/>
  <c r="OG99" i="19"/>
  <c r="OJ99" i="19"/>
  <c r="BH99" i="19"/>
  <c r="BI99" i="19"/>
  <c r="HD99" i="19"/>
  <c r="OG100" i="19"/>
  <c r="OQ100" i="19"/>
  <c r="OT100" i="19"/>
  <c r="BH100" i="19"/>
  <c r="BI100" i="19"/>
  <c r="HD100" i="19"/>
  <c r="OI32" i="19"/>
  <c r="OI33" i="19"/>
  <c r="OS33" i="19"/>
  <c r="OI34" i="19"/>
  <c r="OS34" i="19"/>
  <c r="OI35" i="19"/>
  <c r="OS35" i="19"/>
  <c r="OI36" i="19"/>
  <c r="OS36" i="19"/>
  <c r="OI37" i="19"/>
  <c r="OS37" i="19"/>
  <c r="OI38" i="19"/>
  <c r="OS38" i="19"/>
  <c r="OI39" i="19"/>
  <c r="OS39" i="19"/>
  <c r="OI40" i="19"/>
  <c r="OS40" i="19"/>
  <c r="OI41" i="19"/>
  <c r="OS41" i="19"/>
  <c r="OI42" i="19"/>
  <c r="OS42" i="19"/>
  <c r="OI43" i="19"/>
  <c r="OS43" i="19"/>
  <c r="OI44" i="19"/>
  <c r="OS44" i="19"/>
  <c r="OI45" i="19"/>
  <c r="OS45" i="19"/>
  <c r="OI46" i="19"/>
  <c r="OS46" i="19"/>
  <c r="OI47" i="19"/>
  <c r="OS47" i="19"/>
  <c r="OI48" i="19"/>
  <c r="OS48" i="19"/>
  <c r="OI49" i="19"/>
  <c r="OS49" i="19"/>
  <c r="OI50" i="19"/>
  <c r="OS50" i="19"/>
  <c r="OI51" i="19"/>
  <c r="OS51" i="19"/>
  <c r="OI52" i="19"/>
  <c r="OS52" i="19"/>
  <c r="OI53" i="19"/>
  <c r="OS53" i="19"/>
  <c r="OI54" i="19"/>
  <c r="OS54" i="19"/>
  <c r="OI55" i="19"/>
  <c r="OS55" i="19"/>
  <c r="OI56" i="19"/>
  <c r="OS56" i="19"/>
  <c r="OI57" i="19"/>
  <c r="OS57" i="19"/>
  <c r="OI58" i="19"/>
  <c r="OS58" i="19"/>
  <c r="OI59" i="19"/>
  <c r="OS59" i="19"/>
  <c r="OI60" i="19"/>
  <c r="OS60" i="19"/>
  <c r="OI61" i="19"/>
  <c r="OS61" i="19"/>
  <c r="OI62" i="19"/>
  <c r="OS62" i="19"/>
  <c r="OI63" i="19"/>
  <c r="OS63" i="19"/>
  <c r="OI64" i="19"/>
  <c r="OS64" i="19"/>
  <c r="OI65" i="19"/>
  <c r="OS65" i="19"/>
  <c r="OI66" i="19"/>
  <c r="OS66" i="19"/>
  <c r="OI67" i="19"/>
  <c r="OS67" i="19"/>
  <c r="OI68" i="19"/>
  <c r="OS68" i="19"/>
  <c r="OI69" i="19"/>
  <c r="OS69" i="19"/>
  <c r="OI70" i="19"/>
  <c r="OS70" i="19"/>
  <c r="OI71" i="19"/>
  <c r="OS71" i="19"/>
  <c r="OI72" i="19"/>
  <c r="OS72" i="19"/>
  <c r="OI73" i="19"/>
  <c r="OS73" i="19"/>
  <c r="OI74" i="19"/>
  <c r="OS74" i="19"/>
  <c r="OI75" i="19"/>
  <c r="OS75" i="19"/>
  <c r="OI76" i="19"/>
  <c r="OS76" i="19"/>
  <c r="OI77" i="19"/>
  <c r="OS77" i="19"/>
  <c r="OI78" i="19"/>
  <c r="OS78" i="19"/>
  <c r="OI79" i="19"/>
  <c r="OS79" i="19"/>
  <c r="OI80" i="19"/>
  <c r="OS80" i="19"/>
  <c r="OI81" i="19"/>
  <c r="OS81" i="19"/>
  <c r="OI82" i="19"/>
  <c r="OS82" i="19"/>
  <c r="OI83" i="19"/>
  <c r="OS83" i="19"/>
  <c r="OI84" i="19"/>
  <c r="OS84" i="19"/>
  <c r="OI85" i="19"/>
  <c r="OS85" i="19"/>
  <c r="OI86" i="19"/>
  <c r="OS86" i="19"/>
  <c r="OI87" i="19"/>
  <c r="OS87" i="19"/>
  <c r="OI88" i="19"/>
  <c r="OS88" i="19"/>
  <c r="OI89" i="19"/>
  <c r="OS89" i="19"/>
  <c r="OI90" i="19"/>
  <c r="OS90" i="19"/>
  <c r="OI91" i="19"/>
  <c r="OS91" i="19"/>
  <c r="OI92" i="19"/>
  <c r="OS92" i="19"/>
  <c r="OI93" i="19"/>
  <c r="OS93" i="19"/>
  <c r="OI94" i="19"/>
  <c r="OS94" i="19"/>
  <c r="OI95" i="19"/>
  <c r="OS95" i="19"/>
  <c r="OI96" i="19"/>
  <c r="OS96" i="19"/>
  <c r="OI97" i="19"/>
  <c r="OS97" i="19"/>
  <c r="OI98" i="19"/>
  <c r="OS98" i="19"/>
  <c r="OI99" i="19"/>
  <c r="OS99" i="19"/>
  <c r="OI100" i="19"/>
  <c r="OS100" i="19"/>
  <c r="OI101" i="19"/>
  <c r="OS101" i="19"/>
  <c r="OI102" i="19"/>
  <c r="OS102" i="19"/>
  <c r="OI103" i="19"/>
  <c r="OS103" i="19"/>
  <c r="OI104" i="19"/>
  <c r="OS104" i="19"/>
  <c r="OI105" i="19"/>
  <c r="OS105" i="19"/>
  <c r="OI106" i="19"/>
  <c r="OS106" i="19"/>
  <c r="OI107" i="19"/>
  <c r="OS107" i="19"/>
  <c r="K35" i="19"/>
  <c r="K44" i="19"/>
  <c r="OO44" i="19"/>
  <c r="K52" i="19"/>
  <c r="OO52" i="19"/>
  <c r="K53" i="19"/>
  <c r="K56" i="19"/>
  <c r="OO56" i="19"/>
  <c r="K57" i="19"/>
  <c r="OO57" i="19"/>
  <c r="K58" i="19"/>
  <c r="OO58" i="19"/>
  <c r="K62" i="19"/>
  <c r="OO62" i="19"/>
  <c r="K69" i="19"/>
  <c r="OO69" i="19"/>
  <c r="K80" i="19"/>
  <c r="K84" i="19"/>
  <c r="OO84" i="19"/>
  <c r="K85" i="19"/>
  <c r="K86" i="19"/>
  <c r="OO86" i="19"/>
  <c r="K87" i="19"/>
  <c r="OO87" i="19"/>
  <c r="K91" i="19"/>
  <c r="OO91" i="19"/>
  <c r="K92" i="19"/>
  <c r="K96" i="19"/>
  <c r="K101" i="19"/>
  <c r="K102" i="19"/>
  <c r="OO102" i="19"/>
  <c r="K103" i="19"/>
  <c r="K104" i="19"/>
  <c r="M104" i="19"/>
  <c r="K105" i="19"/>
  <c r="K106" i="19"/>
  <c r="K107" i="19"/>
  <c r="K93" i="19"/>
  <c r="OO93" i="19"/>
  <c r="K37" i="19"/>
  <c r="K32" i="19"/>
  <c r="OO32" i="19"/>
  <c r="K33" i="19"/>
  <c r="K34" i="19"/>
  <c r="K36" i="19"/>
  <c r="OO36" i="19"/>
  <c r="K38" i="19"/>
  <c r="K39" i="19"/>
  <c r="K40" i="19"/>
  <c r="K41" i="19"/>
  <c r="OO41" i="19"/>
  <c r="OO42" i="19"/>
  <c r="K43" i="19"/>
  <c r="K45" i="19"/>
  <c r="OO45" i="19"/>
  <c r="K46" i="19"/>
  <c r="OO46" i="19"/>
  <c r="K47" i="19"/>
  <c r="OO47" i="19"/>
  <c r="K48" i="19"/>
  <c r="K49" i="19"/>
  <c r="K50" i="19"/>
  <c r="OO50" i="19"/>
  <c r="K51" i="19"/>
  <c r="K54" i="19"/>
  <c r="K55" i="19"/>
  <c r="OO55" i="19"/>
  <c r="K59" i="19"/>
  <c r="OO59" i="19"/>
  <c r="K60" i="19"/>
  <c r="OO60" i="19"/>
  <c r="K61" i="19"/>
  <c r="OO61" i="19"/>
  <c r="K63" i="19"/>
  <c r="OO63" i="19"/>
  <c r="K64" i="19"/>
  <c r="K65" i="19"/>
  <c r="M65" i="19"/>
  <c r="K66" i="19"/>
  <c r="K67" i="19"/>
  <c r="OO67" i="19"/>
  <c r="K68" i="19"/>
  <c r="K70" i="19"/>
  <c r="K71" i="19"/>
  <c r="K72" i="19"/>
  <c r="K73" i="19"/>
  <c r="K74" i="19"/>
  <c r="OO74" i="19"/>
  <c r="K75" i="19"/>
  <c r="K76" i="19"/>
  <c r="K77" i="19"/>
  <c r="K78" i="19"/>
  <c r="OO78" i="19"/>
  <c r="K79" i="19"/>
  <c r="K81" i="19"/>
  <c r="K82" i="19"/>
  <c r="OO82" i="19"/>
  <c r="K83" i="19"/>
  <c r="K88" i="19"/>
  <c r="K89" i="19"/>
  <c r="K90" i="19"/>
  <c r="K94" i="19"/>
  <c r="OO94" i="19"/>
  <c r="K95" i="19"/>
  <c r="K97" i="19"/>
  <c r="OO97" i="19"/>
  <c r="K98" i="19"/>
  <c r="K99" i="19"/>
  <c r="OO99" i="19"/>
  <c r="K100" i="19"/>
  <c r="OF32" i="19"/>
  <c r="OF43" i="19"/>
  <c r="OF81" i="19"/>
  <c r="OF37" i="19"/>
  <c r="OF38" i="19"/>
  <c r="OF35" i="19"/>
  <c r="OF44" i="19"/>
  <c r="OF52" i="19"/>
  <c r="OF53" i="19"/>
  <c r="OF56" i="19"/>
  <c r="OF57" i="19"/>
  <c r="OF58" i="19"/>
  <c r="OF62" i="19"/>
  <c r="OF69" i="19"/>
  <c r="OF80" i="19"/>
  <c r="OF84" i="19"/>
  <c r="OF85" i="19"/>
  <c r="OF86" i="19"/>
  <c r="OF87" i="19"/>
  <c r="OF91" i="19"/>
  <c r="OF92" i="19"/>
  <c r="OF96" i="19"/>
  <c r="OF101" i="19"/>
  <c r="OF102" i="19"/>
  <c r="OF103" i="19"/>
  <c r="OF104" i="19"/>
  <c r="OF105" i="19"/>
  <c r="OF106" i="19"/>
  <c r="OF107" i="19"/>
  <c r="OF93" i="19"/>
  <c r="OF33" i="19"/>
  <c r="OF34" i="19"/>
  <c r="OF36" i="19"/>
  <c r="OF39" i="19"/>
  <c r="OF40" i="19"/>
  <c r="OF41" i="19"/>
  <c r="OF42" i="19"/>
  <c r="OF45" i="19"/>
  <c r="OF46" i="19"/>
  <c r="OF47" i="19"/>
  <c r="OF48" i="19"/>
  <c r="OF49" i="19"/>
  <c r="OF50" i="19"/>
  <c r="OF51" i="19"/>
  <c r="OF54" i="19"/>
  <c r="OF55" i="19"/>
  <c r="OF59" i="19"/>
  <c r="OF60" i="19"/>
  <c r="OF61" i="19"/>
  <c r="OF63" i="19"/>
  <c r="OF64" i="19"/>
  <c r="OF65" i="19"/>
  <c r="OF66" i="19"/>
  <c r="OF67" i="19"/>
  <c r="OF68" i="19"/>
  <c r="OF70" i="19"/>
  <c r="OF71" i="19"/>
  <c r="OF72" i="19"/>
  <c r="OF73" i="19"/>
  <c r="OF74" i="19"/>
  <c r="OF75" i="19"/>
  <c r="OF76" i="19"/>
  <c r="OF77" i="19"/>
  <c r="OF78" i="19"/>
  <c r="OF79" i="19"/>
  <c r="OF82" i="19"/>
  <c r="OF83" i="19"/>
  <c r="OF88" i="19"/>
  <c r="OF89" i="19"/>
  <c r="OF90" i="19"/>
  <c r="OF94" i="19"/>
  <c r="OF95" i="19"/>
  <c r="OF97" i="19"/>
  <c r="OF98" i="19"/>
  <c r="OF99" i="19"/>
  <c r="OF100" i="19"/>
  <c r="OE32" i="19"/>
  <c r="OE33" i="19"/>
  <c r="OE34" i="19"/>
  <c r="OE35" i="19"/>
  <c r="OE36" i="19"/>
  <c r="OE37" i="19"/>
  <c r="OE38" i="19"/>
  <c r="OE39" i="19"/>
  <c r="OE40" i="19"/>
  <c r="OE41" i="19"/>
  <c r="OE42" i="19"/>
  <c r="OE43" i="19"/>
  <c r="OE44" i="19"/>
  <c r="OE45" i="19"/>
  <c r="OE46" i="19"/>
  <c r="OE47" i="19"/>
  <c r="OE48" i="19"/>
  <c r="OE49" i="19"/>
  <c r="OE50" i="19"/>
  <c r="OE51" i="19"/>
  <c r="OE52" i="19"/>
  <c r="OE53" i="19"/>
  <c r="OE54" i="19"/>
  <c r="OE55" i="19"/>
  <c r="OE56" i="19"/>
  <c r="OE57" i="19"/>
  <c r="OE58" i="19"/>
  <c r="OE59" i="19"/>
  <c r="OE60" i="19"/>
  <c r="OE61" i="19"/>
  <c r="OE62" i="19"/>
  <c r="OE63" i="19"/>
  <c r="OE64" i="19"/>
  <c r="OE65" i="19"/>
  <c r="OE66" i="19"/>
  <c r="OE67" i="19"/>
  <c r="OE68" i="19"/>
  <c r="OE69" i="19"/>
  <c r="OE70" i="19"/>
  <c r="OE71" i="19"/>
  <c r="OE72" i="19"/>
  <c r="OE73" i="19"/>
  <c r="OE74" i="19"/>
  <c r="OE75" i="19"/>
  <c r="OE76" i="19"/>
  <c r="OE77" i="19"/>
  <c r="OE78" i="19"/>
  <c r="OE79" i="19"/>
  <c r="OE80" i="19"/>
  <c r="OE81" i="19"/>
  <c r="OE82" i="19"/>
  <c r="OE83" i="19"/>
  <c r="OE84" i="19"/>
  <c r="OE85" i="19"/>
  <c r="OE86" i="19"/>
  <c r="OE87" i="19"/>
  <c r="OE88" i="19"/>
  <c r="OE89" i="19"/>
  <c r="OE90" i="19"/>
  <c r="OE91" i="19"/>
  <c r="OE92" i="19"/>
  <c r="OE93" i="19"/>
  <c r="OE94" i="19"/>
  <c r="OE95" i="19"/>
  <c r="OE96" i="19"/>
  <c r="OE97" i="19"/>
  <c r="OE98" i="19"/>
  <c r="OE99" i="19"/>
  <c r="OE100" i="19"/>
  <c r="OE101" i="19"/>
  <c r="OE102" i="19"/>
  <c r="OE103" i="19"/>
  <c r="OE104" i="19"/>
  <c r="OE105" i="19"/>
  <c r="OE106" i="19"/>
  <c r="OE107" i="19"/>
  <c r="OE10" i="19"/>
  <c r="OF10" i="19"/>
  <c r="OG10" i="19"/>
  <c r="BH10" i="19"/>
  <c r="BI10" i="19"/>
  <c r="HD10" i="19"/>
  <c r="OI10" i="19"/>
  <c r="OS10" i="19"/>
  <c r="K10" i="19"/>
  <c r="O10" i="19"/>
  <c r="OE11" i="19"/>
  <c r="OF11" i="19"/>
  <c r="OG11" i="19"/>
  <c r="BH11" i="19"/>
  <c r="BI11" i="19"/>
  <c r="HD11" i="19"/>
  <c r="OI11" i="19"/>
  <c r="OS11" i="19"/>
  <c r="K11" i="19"/>
  <c r="OO11" i="19"/>
  <c r="O11" i="19"/>
  <c r="OP11" i="19"/>
  <c r="OE12" i="19"/>
  <c r="OF12" i="19"/>
  <c r="OG12" i="19"/>
  <c r="OQ12" i="19"/>
  <c r="OT12" i="19"/>
  <c r="BH12" i="19"/>
  <c r="BI12" i="19"/>
  <c r="HD12" i="19"/>
  <c r="OI12" i="19"/>
  <c r="OS12" i="19"/>
  <c r="K12" i="19"/>
  <c r="O12" i="19"/>
  <c r="OP12" i="19"/>
  <c r="OE13" i="19"/>
  <c r="OF13" i="19"/>
  <c r="OG13" i="19"/>
  <c r="OJ13" i="19"/>
  <c r="BH13" i="19"/>
  <c r="BI13" i="19"/>
  <c r="HD13" i="19"/>
  <c r="OI13" i="19"/>
  <c r="OS13" i="19"/>
  <c r="K13" i="19"/>
  <c r="OO13" i="19"/>
  <c r="O13" i="19"/>
  <c r="OE14" i="19"/>
  <c r="OF14" i="19"/>
  <c r="OG14" i="19"/>
  <c r="OJ14" i="19"/>
  <c r="BH14" i="19"/>
  <c r="BI14" i="19"/>
  <c r="HD14" i="19"/>
  <c r="OI14" i="19"/>
  <c r="OS14" i="19"/>
  <c r="K14" i="19"/>
  <c r="O14" i="19"/>
  <c r="OP14" i="19"/>
  <c r="OE15" i="19"/>
  <c r="OF15" i="19"/>
  <c r="OG15" i="19"/>
  <c r="OJ15" i="19"/>
  <c r="BH15" i="19"/>
  <c r="BI15" i="19"/>
  <c r="HD15" i="19"/>
  <c r="OI15" i="19"/>
  <c r="OS15" i="19"/>
  <c r="K15" i="19"/>
  <c r="OO15" i="19"/>
  <c r="O15" i="19"/>
  <c r="OE16" i="19"/>
  <c r="OF16" i="19"/>
  <c r="OG16" i="19"/>
  <c r="BH16" i="19"/>
  <c r="BI16" i="19"/>
  <c r="HC16" i="19"/>
  <c r="HE16" i="19"/>
  <c r="HD16" i="19"/>
  <c r="OI16" i="19"/>
  <c r="OS16" i="19"/>
  <c r="K16" i="19"/>
  <c r="O16" i="19"/>
  <c r="OE17" i="19"/>
  <c r="OF17" i="19"/>
  <c r="OG17" i="19"/>
  <c r="BH17" i="19"/>
  <c r="HC17" i="19"/>
  <c r="HE17" i="19"/>
  <c r="HG17" i="19"/>
  <c r="BI17" i="19"/>
  <c r="HD17" i="19"/>
  <c r="OI17" i="19"/>
  <c r="OS17" i="19"/>
  <c r="K17" i="19"/>
  <c r="OO17" i="19"/>
  <c r="O17" i="19"/>
  <c r="OE18" i="19"/>
  <c r="OF18" i="19"/>
  <c r="OG18" i="19"/>
  <c r="BH18" i="19"/>
  <c r="BI18" i="19"/>
  <c r="HD18" i="19"/>
  <c r="OI18" i="19"/>
  <c r="OS18" i="19"/>
  <c r="K18" i="19"/>
  <c r="O18" i="19"/>
  <c r="Q18" i="19"/>
  <c r="OE19" i="19"/>
  <c r="OF19" i="19"/>
  <c r="OG19" i="19"/>
  <c r="BH19" i="19"/>
  <c r="BI19" i="19"/>
  <c r="HD19" i="19"/>
  <c r="OI19" i="19"/>
  <c r="OS19" i="19"/>
  <c r="K19" i="19"/>
  <c r="O19" i="19"/>
  <c r="OE20" i="19"/>
  <c r="OF20" i="19"/>
  <c r="OG20" i="19"/>
  <c r="OQ20" i="19"/>
  <c r="OT20" i="19"/>
  <c r="BH20" i="19"/>
  <c r="BI20" i="19"/>
  <c r="HD20" i="19"/>
  <c r="OI20" i="19"/>
  <c r="OS20" i="19"/>
  <c r="K20" i="19"/>
  <c r="OO20" i="19"/>
  <c r="O20" i="19"/>
  <c r="OP20" i="19"/>
  <c r="OE21" i="19"/>
  <c r="OF21" i="19"/>
  <c r="OG21" i="19"/>
  <c r="BH21" i="19"/>
  <c r="BI21" i="19"/>
  <c r="HD21" i="19"/>
  <c r="OI21" i="19"/>
  <c r="OS21" i="19"/>
  <c r="K21" i="19"/>
  <c r="O21" i="19"/>
  <c r="OE22" i="19"/>
  <c r="OF22" i="19"/>
  <c r="OG22" i="19"/>
  <c r="OJ22" i="19"/>
  <c r="BH22" i="19"/>
  <c r="BI22" i="19"/>
  <c r="HD22" i="19"/>
  <c r="OI22" i="19"/>
  <c r="OS22" i="19"/>
  <c r="K22" i="19"/>
  <c r="O22" i="19"/>
  <c r="OE23" i="19"/>
  <c r="OF23" i="19"/>
  <c r="OG23" i="19"/>
  <c r="OQ23" i="19"/>
  <c r="BH23" i="19"/>
  <c r="BI23" i="19"/>
  <c r="HD23" i="19"/>
  <c r="OI23" i="19"/>
  <c r="OS23" i="19"/>
  <c r="K23" i="19"/>
  <c r="OO23" i="19"/>
  <c r="O23" i="19"/>
  <c r="OP23" i="19"/>
  <c r="OE24" i="19"/>
  <c r="OF24" i="19"/>
  <c r="OG24" i="19"/>
  <c r="OQ24" i="19"/>
  <c r="OT24" i="19"/>
  <c r="BH24" i="19"/>
  <c r="BI24" i="19"/>
  <c r="HC24" i="19"/>
  <c r="HE24" i="19"/>
  <c r="HD24" i="19"/>
  <c r="OI24" i="19"/>
  <c r="OS24" i="19"/>
  <c r="K24" i="19"/>
  <c r="M24" i="19"/>
  <c r="O24" i="19"/>
  <c r="OP24" i="19"/>
  <c r="OE25" i="19"/>
  <c r="OF25" i="19"/>
  <c r="OG25" i="19"/>
  <c r="BH25" i="19"/>
  <c r="BI25" i="19"/>
  <c r="HD25" i="19"/>
  <c r="OI25" i="19"/>
  <c r="OS25" i="19"/>
  <c r="K25" i="19"/>
  <c r="M25" i="19"/>
  <c r="O25" i="19"/>
  <c r="OE26" i="19"/>
  <c r="OF26" i="19"/>
  <c r="OG26" i="19"/>
  <c r="OQ26" i="19"/>
  <c r="OT26" i="19"/>
  <c r="BH26" i="19"/>
  <c r="BI26" i="19"/>
  <c r="HD26" i="19"/>
  <c r="OI26" i="19"/>
  <c r="OS26" i="19"/>
  <c r="K26" i="19"/>
  <c r="O26" i="19"/>
  <c r="OP26" i="19"/>
  <c r="OE27" i="19"/>
  <c r="OF27" i="19"/>
  <c r="OG27" i="19"/>
  <c r="BH27" i="19"/>
  <c r="BI27" i="19"/>
  <c r="HD27" i="19"/>
  <c r="OI27" i="19"/>
  <c r="OS27" i="19"/>
  <c r="K27" i="19"/>
  <c r="OO27" i="19"/>
  <c r="O27" i="19"/>
  <c r="OP27" i="19"/>
  <c r="OE28" i="19"/>
  <c r="OF28" i="19"/>
  <c r="OG28" i="19"/>
  <c r="OJ28" i="19"/>
  <c r="BH28" i="19"/>
  <c r="BI28" i="19"/>
  <c r="HD28" i="19"/>
  <c r="OI28" i="19"/>
  <c r="OS28" i="19"/>
  <c r="K28" i="19"/>
  <c r="O28" i="19"/>
  <c r="OP28" i="19"/>
  <c r="OE29" i="19"/>
  <c r="OF29" i="19"/>
  <c r="OG29" i="19"/>
  <c r="BH29" i="19"/>
  <c r="BI29" i="19"/>
  <c r="HD29" i="19"/>
  <c r="OI29" i="19"/>
  <c r="OS29" i="19"/>
  <c r="K29" i="19"/>
  <c r="OO29" i="19"/>
  <c r="O29" i="19"/>
  <c r="OE30" i="19"/>
  <c r="OF30" i="19"/>
  <c r="OG30" i="19"/>
  <c r="OJ30" i="19"/>
  <c r="BH30" i="19"/>
  <c r="BI30" i="19"/>
  <c r="HD30" i="19"/>
  <c r="OI30" i="19"/>
  <c r="OS30" i="19"/>
  <c r="K30" i="19"/>
  <c r="O30" i="19"/>
  <c r="OE31" i="19"/>
  <c r="OF31" i="19"/>
  <c r="OG31" i="19"/>
  <c r="BH31" i="19"/>
  <c r="BI31" i="19"/>
  <c r="HD31" i="19"/>
  <c r="OI31" i="19"/>
  <c r="OS31" i="19"/>
  <c r="K31" i="19"/>
  <c r="OO31" i="19"/>
  <c r="O31" i="19"/>
  <c r="OG9" i="19"/>
  <c r="OJ9" i="19"/>
  <c r="OH9" i="19"/>
  <c r="OR9" i="19"/>
  <c r="OU9" i="19"/>
  <c r="OP9" i="19"/>
  <c r="OI9" i="19"/>
  <c r="OS9" i="19"/>
  <c r="OO9" i="19"/>
  <c r="OF9" i="19"/>
  <c r="OE9" i="19"/>
  <c r="A10" i="35"/>
  <c r="A11" i="35"/>
  <c r="A12" i="35"/>
  <c r="A13" i="35"/>
  <c r="A14" i="35"/>
  <c r="A15" i="35"/>
  <c r="A16" i="35"/>
  <c r="A17" i="35"/>
  <c r="A18" i="35"/>
  <c r="A19" i="35"/>
  <c r="A20" i="35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A40" i="35"/>
  <c r="A42" i="35"/>
  <c r="A43" i="35"/>
  <c r="A44" i="35"/>
  <c r="A45" i="35"/>
  <c r="A46" i="35"/>
  <c r="A47" i="35"/>
  <c r="A48" i="35"/>
  <c r="A49" i="35"/>
  <c r="A50" i="35"/>
  <c r="A52" i="35"/>
  <c r="A53" i="35"/>
  <c r="A54" i="35"/>
  <c r="A55" i="35"/>
  <c r="A57" i="35"/>
  <c r="A58" i="35"/>
  <c r="A59" i="35"/>
  <c r="A61" i="35"/>
  <c r="GY4" i="35"/>
  <c r="GY5" i="35"/>
  <c r="GY6" i="35"/>
  <c r="GY7" i="35"/>
  <c r="GY8" i="35"/>
  <c r="GY76" i="35"/>
  <c r="HK76" i="35"/>
  <c r="HI8" i="35"/>
  <c r="NM64" i="35"/>
  <c r="NN64" i="35"/>
  <c r="NO64" i="35"/>
  <c r="NP64" i="35"/>
  <c r="NQ64" i="35"/>
  <c r="NR64" i="35"/>
  <c r="NS64" i="35"/>
  <c r="KT64" i="35"/>
  <c r="CO64" i="35"/>
  <c r="KQ64" i="35"/>
  <c r="CN64" i="35"/>
  <c r="KP64" i="35"/>
  <c r="CM64" i="35"/>
  <c r="KO64" i="35"/>
  <c r="CL64" i="35"/>
  <c r="KN64" i="35"/>
  <c r="CJ64" i="35"/>
  <c r="KL64" i="35"/>
  <c r="CH64" i="35"/>
  <c r="KJ64" i="35"/>
  <c r="CD64" i="35"/>
  <c r="KF64" i="35"/>
  <c r="CE64" i="35"/>
  <c r="KB64" i="35"/>
  <c r="KA64" i="35"/>
  <c r="JZ64" i="35"/>
  <c r="JY64" i="35"/>
  <c r="JX64" i="35"/>
  <c r="JW64" i="35"/>
  <c r="JV64" i="35"/>
  <c r="JO64" i="35"/>
  <c r="JU64" i="35"/>
  <c r="JT64" i="35"/>
  <c r="JS64" i="35"/>
  <c r="JR64" i="35"/>
  <c r="JQ64" i="35"/>
  <c r="JP64" i="35"/>
  <c r="GO64" i="35"/>
  <c r="JB64" i="35"/>
  <c r="HW64" i="35"/>
  <c r="HX64" i="35"/>
  <c r="IX64" i="35"/>
  <c r="HD64" i="35"/>
  <c r="HF64" i="35"/>
  <c r="W64" i="35"/>
  <c r="AB64" i="35"/>
  <c r="IY64" i="35"/>
  <c r="IT64" i="35"/>
  <c r="GU64" i="35"/>
  <c r="GP64" i="35"/>
  <c r="GT64" i="35"/>
  <c r="GQ64" i="35"/>
  <c r="GR64" i="35"/>
  <c r="GS64" i="35"/>
  <c r="EH64" i="35"/>
  <c r="EG64" i="35"/>
  <c r="DW64" i="35"/>
  <c r="DX64" i="35"/>
  <c r="DY64" i="35"/>
  <c r="DZ64" i="35"/>
  <c r="EA64" i="35"/>
  <c r="DV64" i="35"/>
  <c r="AF64" i="35"/>
  <c r="BE64" i="35"/>
  <c r="AJ64" i="35"/>
  <c r="AC64" i="35"/>
  <c r="X64" i="35"/>
  <c r="S64" i="35"/>
  <c r="U64" i="35"/>
  <c r="T64" i="35"/>
  <c r="O64" i="35"/>
  <c r="P64" i="35"/>
  <c r="K64" i="35"/>
  <c r="L64" i="35"/>
  <c r="I64" i="35"/>
  <c r="H64" i="35"/>
  <c r="NM63" i="35"/>
  <c r="NT63" i="35"/>
  <c r="NU63" i="35"/>
  <c r="NN63" i="35"/>
  <c r="NO63" i="35"/>
  <c r="NP63" i="35"/>
  <c r="NQ63" i="35"/>
  <c r="NR63" i="35"/>
  <c r="NS63" i="35"/>
  <c r="KT63" i="35"/>
  <c r="CO63" i="35"/>
  <c r="KQ63" i="35"/>
  <c r="CN63" i="35"/>
  <c r="KP63" i="35"/>
  <c r="CM63" i="35"/>
  <c r="KO63" i="35"/>
  <c r="CL63" i="35"/>
  <c r="KN63" i="35"/>
  <c r="CJ63" i="35"/>
  <c r="KL63" i="35"/>
  <c r="CH63" i="35"/>
  <c r="KJ63" i="35"/>
  <c r="CD63" i="35"/>
  <c r="KF63" i="35"/>
  <c r="CE63" i="35"/>
  <c r="KB63" i="35"/>
  <c r="KA63" i="35"/>
  <c r="JZ63" i="35"/>
  <c r="JY63" i="35"/>
  <c r="JX63" i="35"/>
  <c r="JW63" i="35"/>
  <c r="JV63" i="35"/>
  <c r="JU63" i="35"/>
  <c r="JT63" i="35"/>
  <c r="JS63" i="35"/>
  <c r="JR63" i="35"/>
  <c r="JQ63" i="35"/>
  <c r="JP63" i="35"/>
  <c r="GO63" i="35"/>
  <c r="JB63" i="35"/>
  <c r="HW63" i="35"/>
  <c r="HV63" i="35"/>
  <c r="IX63" i="35"/>
  <c r="HD63" i="35"/>
  <c r="HF63" i="35"/>
  <c r="W63" i="35"/>
  <c r="Y63" i="35"/>
  <c r="AB63" i="35"/>
  <c r="IT63" i="35"/>
  <c r="GU63" i="35"/>
  <c r="GP63" i="35"/>
  <c r="GQ63" i="35"/>
  <c r="GR63" i="35"/>
  <c r="GS63" i="35"/>
  <c r="EH63" i="35"/>
  <c r="EG63" i="35"/>
  <c r="DW63" i="35"/>
  <c r="DX63" i="35"/>
  <c r="DY63" i="35"/>
  <c r="DZ63" i="35"/>
  <c r="EA63" i="35"/>
  <c r="DV63" i="35"/>
  <c r="AF63" i="35"/>
  <c r="BE63" i="35"/>
  <c r="AJ63" i="35"/>
  <c r="AC63" i="35"/>
  <c r="X63" i="35"/>
  <c r="S63" i="35"/>
  <c r="U63" i="35"/>
  <c r="T63" i="35"/>
  <c r="O63" i="35"/>
  <c r="P63" i="35"/>
  <c r="K63" i="35"/>
  <c r="L63" i="35"/>
  <c r="I63" i="35"/>
  <c r="H63" i="35"/>
  <c r="NM62" i="35"/>
  <c r="NN62" i="35"/>
  <c r="NO62" i="35"/>
  <c r="NT62" i="35"/>
  <c r="NU62" i="35"/>
  <c r="NP62" i="35"/>
  <c r="NQ62" i="35"/>
  <c r="NR62" i="35"/>
  <c r="NS62" i="35"/>
  <c r="KT62" i="35"/>
  <c r="CO62" i="35"/>
  <c r="KQ62" i="35"/>
  <c r="CN62" i="35"/>
  <c r="KP62" i="35"/>
  <c r="CM62" i="35"/>
  <c r="KO62" i="35"/>
  <c r="CL62" i="35"/>
  <c r="KN62" i="35"/>
  <c r="CJ62" i="35"/>
  <c r="KL62" i="35"/>
  <c r="CH62" i="35"/>
  <c r="KJ62" i="35"/>
  <c r="CD62" i="35"/>
  <c r="KF62" i="35"/>
  <c r="CE62" i="35"/>
  <c r="KB62" i="35"/>
  <c r="KA62" i="35"/>
  <c r="JZ62" i="35"/>
  <c r="JY62" i="35"/>
  <c r="JX62" i="35"/>
  <c r="JW62" i="35"/>
  <c r="JV62" i="35"/>
  <c r="JU62" i="35"/>
  <c r="JT62" i="35"/>
  <c r="JS62" i="35"/>
  <c r="JR62" i="35"/>
  <c r="JO62" i="35"/>
  <c r="JQ62" i="35"/>
  <c r="JP62" i="35"/>
  <c r="GO62" i="35"/>
  <c r="JB62" i="35"/>
  <c r="HW62" i="35"/>
  <c r="HZ62" i="35"/>
  <c r="IX62" i="35"/>
  <c r="HD62" i="35"/>
  <c r="HF62" i="35"/>
  <c r="W62" i="35"/>
  <c r="Y62" i="35"/>
  <c r="AB62" i="35"/>
  <c r="IT62" i="35"/>
  <c r="GU62" i="35"/>
  <c r="GP62" i="35"/>
  <c r="GQ62" i="35"/>
  <c r="GR62" i="35"/>
  <c r="GS62" i="35"/>
  <c r="EH62" i="35"/>
  <c r="EG62" i="35"/>
  <c r="DW62" i="35"/>
  <c r="DX62" i="35"/>
  <c r="DY62" i="35"/>
  <c r="DZ62" i="35"/>
  <c r="EA62" i="35"/>
  <c r="DV62" i="35"/>
  <c r="AF62" i="35"/>
  <c r="BE62" i="35"/>
  <c r="AJ62" i="35"/>
  <c r="AC62" i="35"/>
  <c r="X62" i="35"/>
  <c r="S62" i="35"/>
  <c r="U62" i="35"/>
  <c r="T62" i="35"/>
  <c r="O62" i="35"/>
  <c r="P62" i="35"/>
  <c r="K62" i="35"/>
  <c r="L62" i="35"/>
  <c r="I62" i="35"/>
  <c r="H62" i="35"/>
  <c r="NM61" i="35"/>
  <c r="NN61" i="35"/>
  <c r="NO61" i="35"/>
  <c r="NP61" i="35"/>
  <c r="NQ61" i="35"/>
  <c r="NT61" i="35"/>
  <c r="NU61" i="35"/>
  <c r="NR61" i="35"/>
  <c r="NS61" i="35"/>
  <c r="KT61" i="35"/>
  <c r="CO61" i="35"/>
  <c r="KQ61" i="35"/>
  <c r="CN61" i="35"/>
  <c r="KP61" i="35"/>
  <c r="CM61" i="35"/>
  <c r="KO61" i="35"/>
  <c r="CL61" i="35"/>
  <c r="KN61" i="35"/>
  <c r="CJ61" i="35"/>
  <c r="KL61" i="35"/>
  <c r="CH61" i="35"/>
  <c r="KJ61" i="35"/>
  <c r="CD61" i="35"/>
  <c r="KF61" i="35"/>
  <c r="CE61" i="35"/>
  <c r="KG61" i="35"/>
  <c r="KB61" i="35"/>
  <c r="KA61" i="35"/>
  <c r="JZ61" i="35"/>
  <c r="JY61" i="35"/>
  <c r="JX61" i="35"/>
  <c r="JW61" i="35"/>
  <c r="JV61" i="35"/>
  <c r="JU61" i="35"/>
  <c r="JT61" i="35"/>
  <c r="JS61" i="35"/>
  <c r="JR61" i="35"/>
  <c r="JQ61" i="35"/>
  <c r="JP61" i="35"/>
  <c r="GO61" i="35"/>
  <c r="JB61" i="35"/>
  <c r="HW61" i="35"/>
  <c r="HZ61" i="35"/>
  <c r="IX61" i="35"/>
  <c r="HD61" i="35"/>
  <c r="HF61" i="35"/>
  <c r="W61" i="35"/>
  <c r="IU61" i="35"/>
  <c r="AB61" i="35"/>
  <c r="IY61" i="35"/>
  <c r="IT61" i="35"/>
  <c r="GU61" i="35"/>
  <c r="GP61" i="35"/>
  <c r="GQ61" i="35"/>
  <c r="GR61" i="35"/>
  <c r="GS61" i="35"/>
  <c r="EH61" i="35"/>
  <c r="EG61" i="35"/>
  <c r="DW61" i="35"/>
  <c r="DX61" i="35"/>
  <c r="DY61" i="35"/>
  <c r="DZ61" i="35"/>
  <c r="EA61" i="35"/>
  <c r="DV61" i="35"/>
  <c r="AF61" i="35"/>
  <c r="BE61" i="35"/>
  <c r="AJ61" i="35"/>
  <c r="AC61" i="35"/>
  <c r="X61" i="35"/>
  <c r="S61" i="35"/>
  <c r="U61" i="35"/>
  <c r="T61" i="35"/>
  <c r="O61" i="35"/>
  <c r="P61" i="35"/>
  <c r="K61" i="35"/>
  <c r="L61" i="35"/>
  <c r="I61" i="35"/>
  <c r="H61" i="35"/>
  <c r="GY4" i="34"/>
  <c r="GY5" i="34"/>
  <c r="GY6" i="34"/>
  <c r="GY7" i="34"/>
  <c r="GY8" i="34"/>
  <c r="HI8" i="34"/>
  <c r="O61" i="34"/>
  <c r="Q61" i="34"/>
  <c r="BH61" i="34"/>
  <c r="BI61" i="34"/>
  <c r="HD61" i="34"/>
  <c r="K61" i="34"/>
  <c r="NY61" i="34"/>
  <c r="NM61" i="34"/>
  <c r="NN61" i="34"/>
  <c r="NO61" i="34"/>
  <c r="NP61" i="34"/>
  <c r="NQ61" i="34"/>
  <c r="NR61" i="34"/>
  <c r="NS61" i="34"/>
  <c r="KT61" i="34"/>
  <c r="CO61" i="34"/>
  <c r="KQ61" i="34"/>
  <c r="CN61" i="34"/>
  <c r="KP61" i="34"/>
  <c r="CM61" i="34"/>
  <c r="KO61" i="34"/>
  <c r="CL61" i="34"/>
  <c r="KN61" i="34"/>
  <c r="CJ61" i="34"/>
  <c r="KL61" i="34"/>
  <c r="CH61" i="34"/>
  <c r="KJ61" i="34"/>
  <c r="CD61" i="34"/>
  <c r="KF61" i="34"/>
  <c r="CE61" i="34"/>
  <c r="KB61" i="34"/>
  <c r="KA61" i="34"/>
  <c r="JZ61" i="34"/>
  <c r="JY61" i="34"/>
  <c r="JX61" i="34"/>
  <c r="JW61" i="34"/>
  <c r="JV61" i="34"/>
  <c r="JU61" i="34"/>
  <c r="JT61" i="34"/>
  <c r="JS61" i="34"/>
  <c r="JR61" i="34"/>
  <c r="JQ61" i="34"/>
  <c r="JP61" i="34"/>
  <c r="BG61" i="34"/>
  <c r="GO61" i="34"/>
  <c r="JB61" i="34"/>
  <c r="HW61" i="34"/>
  <c r="HZ61" i="34"/>
  <c r="HF61" i="34"/>
  <c r="IX61" i="34"/>
  <c r="W61" i="34"/>
  <c r="IU61" i="34"/>
  <c r="AB61" i="34"/>
  <c r="AD61" i="34"/>
  <c r="IT61" i="34"/>
  <c r="GU61" i="34"/>
  <c r="GP61" i="34"/>
  <c r="GQ61" i="34"/>
  <c r="GR61" i="34"/>
  <c r="GS61" i="34"/>
  <c r="EH61" i="34"/>
  <c r="EG61" i="34"/>
  <c r="DW61" i="34"/>
  <c r="DX61" i="34"/>
  <c r="DY61" i="34"/>
  <c r="DZ61" i="34"/>
  <c r="EA61" i="34"/>
  <c r="DV61" i="34"/>
  <c r="BF61" i="34"/>
  <c r="BJ61" i="34"/>
  <c r="AF61" i="34"/>
  <c r="BE61" i="34"/>
  <c r="O60" i="34"/>
  <c r="Q60" i="34"/>
  <c r="BH60" i="34"/>
  <c r="BI60" i="34"/>
  <c r="HD60" i="34"/>
  <c r="K60" i="34"/>
  <c r="M60" i="34"/>
  <c r="NY60" i="34"/>
  <c r="NM60" i="34"/>
  <c r="NN60" i="34"/>
  <c r="NO60" i="34"/>
  <c r="NP60" i="34"/>
  <c r="NQ60" i="34"/>
  <c r="NR60" i="34"/>
  <c r="NS60" i="34"/>
  <c r="KT60" i="34"/>
  <c r="CO60" i="34"/>
  <c r="KQ60" i="34"/>
  <c r="CN60" i="34"/>
  <c r="KP60" i="34"/>
  <c r="CM60" i="34"/>
  <c r="KO60" i="34"/>
  <c r="CL60" i="34"/>
  <c r="KN60" i="34"/>
  <c r="CJ60" i="34"/>
  <c r="KL60" i="34"/>
  <c r="CH60" i="34"/>
  <c r="KJ60" i="34"/>
  <c r="CD60" i="34"/>
  <c r="KF60" i="34"/>
  <c r="CE60" i="34"/>
  <c r="CQ60" i="34"/>
  <c r="KB60" i="34"/>
  <c r="KA60" i="34"/>
  <c r="JZ60" i="34"/>
  <c r="JY60" i="34"/>
  <c r="JX60" i="34"/>
  <c r="JW60" i="34"/>
  <c r="JV60" i="34"/>
  <c r="JU60" i="34"/>
  <c r="JT60" i="34"/>
  <c r="JS60" i="34"/>
  <c r="JR60" i="34"/>
  <c r="JQ60" i="34"/>
  <c r="JP60" i="34"/>
  <c r="BG60" i="34"/>
  <c r="IP60" i="34"/>
  <c r="IQ60" i="34"/>
  <c r="GO60" i="34"/>
  <c r="JB60" i="34"/>
  <c r="HW60" i="34"/>
  <c r="HV60" i="34"/>
  <c r="HF60" i="34"/>
  <c r="IX60" i="34"/>
  <c r="W60" i="34"/>
  <c r="AB60" i="34"/>
  <c r="IY60" i="34"/>
  <c r="IT60" i="34"/>
  <c r="GU60" i="34"/>
  <c r="GP60" i="34"/>
  <c r="GQ60" i="34"/>
  <c r="GR60" i="34"/>
  <c r="GS60" i="34"/>
  <c r="EH60" i="34"/>
  <c r="EG60" i="34"/>
  <c r="DW60" i="34"/>
  <c r="DX60" i="34"/>
  <c r="DY60" i="34"/>
  <c r="DZ60" i="34"/>
  <c r="EA60" i="34"/>
  <c r="DV60" i="34"/>
  <c r="BF60" i="34"/>
  <c r="BJ60" i="34"/>
  <c r="AF60" i="34"/>
  <c r="BE60" i="34"/>
  <c r="O59" i="34"/>
  <c r="Q59" i="34"/>
  <c r="BH59" i="34"/>
  <c r="BI59" i="34"/>
  <c r="BK59" i="34"/>
  <c r="HD59" i="34"/>
  <c r="K59" i="34"/>
  <c r="M59" i="34"/>
  <c r="NY59" i="34"/>
  <c r="NM59" i="34"/>
  <c r="NN59" i="34"/>
  <c r="NO59" i="34"/>
  <c r="NP59" i="34"/>
  <c r="NQ59" i="34"/>
  <c r="NR59" i="34"/>
  <c r="NS59" i="34"/>
  <c r="KT59" i="34"/>
  <c r="CO59" i="34"/>
  <c r="KQ59" i="34"/>
  <c r="CN59" i="34"/>
  <c r="KP59" i="34"/>
  <c r="CM59" i="34"/>
  <c r="KO59" i="34"/>
  <c r="CL59" i="34"/>
  <c r="KN59" i="34"/>
  <c r="CJ59" i="34"/>
  <c r="CH59" i="34"/>
  <c r="KJ59" i="34"/>
  <c r="CD59" i="34"/>
  <c r="KF59" i="34"/>
  <c r="CE59" i="34"/>
  <c r="KB59" i="34"/>
  <c r="KA59" i="34"/>
  <c r="JZ59" i="34"/>
  <c r="JY59" i="34"/>
  <c r="JX59" i="34"/>
  <c r="JW59" i="34"/>
  <c r="JV59" i="34"/>
  <c r="JU59" i="34"/>
  <c r="JT59" i="34"/>
  <c r="JS59" i="34"/>
  <c r="JR59" i="34"/>
  <c r="JQ59" i="34"/>
  <c r="JP59" i="34"/>
  <c r="BG59" i="34"/>
  <c r="IP59" i="34"/>
  <c r="IO59" i="34"/>
  <c r="GO59" i="34"/>
  <c r="JB59" i="34"/>
  <c r="HW59" i="34"/>
  <c r="HX59" i="34"/>
  <c r="HF59" i="34"/>
  <c r="IX59" i="34"/>
  <c r="W59" i="34"/>
  <c r="IU59" i="34"/>
  <c r="AB59" i="34"/>
  <c r="IY59" i="34"/>
  <c r="IT59" i="34"/>
  <c r="GU59" i="34"/>
  <c r="GP59" i="34"/>
  <c r="GQ59" i="34"/>
  <c r="GR59" i="34"/>
  <c r="GS59" i="34"/>
  <c r="EH59" i="34"/>
  <c r="EG59" i="34"/>
  <c r="DW59" i="34"/>
  <c r="DX59" i="34"/>
  <c r="DY59" i="34"/>
  <c r="DZ59" i="34"/>
  <c r="EA59" i="34"/>
  <c r="DV59" i="34"/>
  <c r="BF59" i="34"/>
  <c r="BJ59" i="34"/>
  <c r="AF59" i="34"/>
  <c r="BE59" i="34"/>
  <c r="O58" i="34"/>
  <c r="Q58" i="34"/>
  <c r="BH58" i="34"/>
  <c r="BI58" i="34"/>
  <c r="HD58" i="34"/>
  <c r="K58" i="34"/>
  <c r="M58" i="34"/>
  <c r="NY58" i="34"/>
  <c r="NM58" i="34"/>
  <c r="NN58" i="34"/>
  <c r="NO58" i="34"/>
  <c r="NP58" i="34"/>
  <c r="NQ58" i="34"/>
  <c r="NR58" i="34"/>
  <c r="NS58" i="34"/>
  <c r="KT58" i="34"/>
  <c r="CO58" i="34"/>
  <c r="KQ58" i="34"/>
  <c r="CN58" i="34"/>
  <c r="KP58" i="34"/>
  <c r="CM58" i="34"/>
  <c r="KO58" i="34"/>
  <c r="CL58" i="34"/>
  <c r="KN58" i="34"/>
  <c r="CJ58" i="34"/>
  <c r="CH58" i="34"/>
  <c r="KJ58" i="34"/>
  <c r="CD58" i="34"/>
  <c r="KF58" i="34"/>
  <c r="CE58" i="34"/>
  <c r="KG58" i="34"/>
  <c r="KB58" i="34"/>
  <c r="KA58" i="34"/>
  <c r="JZ58" i="34"/>
  <c r="JY58" i="34"/>
  <c r="JX58" i="34"/>
  <c r="JW58" i="34"/>
  <c r="JV58" i="34"/>
  <c r="JU58" i="34"/>
  <c r="JT58" i="34"/>
  <c r="JS58" i="34"/>
  <c r="JR58" i="34"/>
  <c r="JQ58" i="34"/>
  <c r="JP58" i="34"/>
  <c r="BG58" i="34"/>
  <c r="IP58" i="34"/>
  <c r="GO58" i="34"/>
  <c r="JB58" i="34"/>
  <c r="HW58" i="34"/>
  <c r="HF58" i="34"/>
  <c r="IX58" i="34"/>
  <c r="W58" i="34"/>
  <c r="AB58" i="34"/>
  <c r="AD58" i="34"/>
  <c r="IT58" i="34"/>
  <c r="GU58" i="34"/>
  <c r="GP58" i="34"/>
  <c r="GQ58" i="34"/>
  <c r="GR58" i="34"/>
  <c r="GS58" i="34"/>
  <c r="GT58" i="34"/>
  <c r="EH58" i="34"/>
  <c r="EG58" i="34"/>
  <c r="DW58" i="34"/>
  <c r="DX58" i="34"/>
  <c r="DY58" i="34"/>
  <c r="DZ58" i="34"/>
  <c r="EA58" i="34"/>
  <c r="DV58" i="34"/>
  <c r="BF58" i="34"/>
  <c r="BJ58" i="34"/>
  <c r="AF58" i="34"/>
  <c r="BE58" i="34"/>
  <c r="O57" i="34"/>
  <c r="Q57" i="34"/>
  <c r="BH57" i="34"/>
  <c r="BI57" i="34"/>
  <c r="HD57" i="34"/>
  <c r="K57" i="34"/>
  <c r="M57" i="34"/>
  <c r="NY57" i="34"/>
  <c r="NM57" i="34"/>
  <c r="NN57" i="34"/>
  <c r="NO57" i="34"/>
  <c r="NP57" i="34"/>
  <c r="NQ57" i="34"/>
  <c r="NR57" i="34"/>
  <c r="NS57" i="34"/>
  <c r="KT57" i="34"/>
  <c r="CO57" i="34"/>
  <c r="KQ57" i="34"/>
  <c r="CN57" i="34"/>
  <c r="KP57" i="34"/>
  <c r="CM57" i="34"/>
  <c r="KO57" i="34"/>
  <c r="CL57" i="34"/>
  <c r="KN57" i="34"/>
  <c r="CJ57" i="34"/>
  <c r="KL57" i="34"/>
  <c r="CH57" i="34"/>
  <c r="KJ57" i="34"/>
  <c r="CD57" i="34"/>
  <c r="KF57" i="34"/>
  <c r="CE57" i="34"/>
  <c r="KB57" i="34"/>
  <c r="KA57" i="34"/>
  <c r="JZ57" i="34"/>
  <c r="JY57" i="34"/>
  <c r="JX57" i="34"/>
  <c r="JW57" i="34"/>
  <c r="JV57" i="34"/>
  <c r="JO57" i="34"/>
  <c r="JU57" i="34"/>
  <c r="JT57" i="34"/>
  <c r="JS57" i="34"/>
  <c r="JR57" i="34"/>
  <c r="JQ57" i="34"/>
  <c r="JP57" i="34"/>
  <c r="BG57" i="34"/>
  <c r="GO57" i="34"/>
  <c r="JB57" i="34"/>
  <c r="HW57" i="34"/>
  <c r="HF57" i="34"/>
  <c r="IX57" i="34"/>
  <c r="W57" i="34"/>
  <c r="AB57" i="34"/>
  <c r="IT57" i="34"/>
  <c r="GU57" i="34"/>
  <c r="GP57" i="34"/>
  <c r="GQ57" i="34"/>
  <c r="GR57" i="34"/>
  <c r="GS57" i="34"/>
  <c r="EH57" i="34"/>
  <c r="EG57" i="34"/>
  <c r="DW57" i="34"/>
  <c r="DX57" i="34"/>
  <c r="DY57" i="34"/>
  <c r="DZ57" i="34"/>
  <c r="EA57" i="34"/>
  <c r="DV57" i="34"/>
  <c r="BF57" i="34"/>
  <c r="BJ57" i="34"/>
  <c r="AF57" i="34"/>
  <c r="BE57" i="34"/>
  <c r="AJ61" i="34"/>
  <c r="AJ60" i="34"/>
  <c r="AJ59" i="34"/>
  <c r="AJ58" i="34"/>
  <c r="AJ57" i="34"/>
  <c r="AF55" i="34"/>
  <c r="BE55" i="34"/>
  <c r="AF54" i="34"/>
  <c r="BE54" i="34"/>
  <c r="AC61" i="34"/>
  <c r="X61" i="34"/>
  <c r="S61" i="34"/>
  <c r="U61" i="34"/>
  <c r="T61" i="34"/>
  <c r="P61" i="34"/>
  <c r="L61" i="34"/>
  <c r="I61" i="34"/>
  <c r="H61" i="34"/>
  <c r="AC60" i="34"/>
  <c r="X60" i="34"/>
  <c r="S60" i="34"/>
  <c r="U60" i="34"/>
  <c r="T60" i="34"/>
  <c r="P60" i="34"/>
  <c r="L60" i="34"/>
  <c r="I60" i="34"/>
  <c r="H60" i="34"/>
  <c r="AC59" i="34"/>
  <c r="X59" i="34"/>
  <c r="S59" i="34"/>
  <c r="U59" i="34"/>
  <c r="T59" i="34"/>
  <c r="P59" i="34"/>
  <c r="L59" i="34"/>
  <c r="I59" i="34"/>
  <c r="H59" i="34"/>
  <c r="AC58" i="34"/>
  <c r="X58" i="34"/>
  <c r="S58" i="34"/>
  <c r="U58" i="34"/>
  <c r="T58" i="34"/>
  <c r="P58" i="34"/>
  <c r="L58" i="34"/>
  <c r="I58" i="34"/>
  <c r="H58" i="34"/>
  <c r="AC57" i="34"/>
  <c r="X57" i="34"/>
  <c r="S57" i="34"/>
  <c r="U57" i="34"/>
  <c r="T57" i="34"/>
  <c r="P57" i="34"/>
  <c r="L57" i="34"/>
  <c r="I57" i="34"/>
  <c r="H57" i="34"/>
  <c r="A10" i="34"/>
  <c r="A11" i="34"/>
  <c r="A12" i="34"/>
  <c r="A13" i="34"/>
  <c r="A14" i="34"/>
  <c r="A15" i="34"/>
  <c r="A16" i="34"/>
  <c r="A17" i="34"/>
  <c r="A18" i="34"/>
  <c r="A19" i="34"/>
  <c r="A20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7" i="34"/>
  <c r="NM12" i="33"/>
  <c r="NN12" i="33"/>
  <c r="NO12" i="33"/>
  <c r="NP12" i="33"/>
  <c r="NQ12" i="33"/>
  <c r="NR12" i="33"/>
  <c r="NS12" i="33"/>
  <c r="KT12" i="33"/>
  <c r="CO12" i="33"/>
  <c r="KQ12" i="33"/>
  <c r="CN12" i="33"/>
  <c r="KP12" i="33"/>
  <c r="CM12" i="33"/>
  <c r="KO12" i="33"/>
  <c r="CL12" i="33"/>
  <c r="KN12" i="33"/>
  <c r="CJ12" i="33"/>
  <c r="KL12" i="33"/>
  <c r="CH12" i="33"/>
  <c r="KJ12" i="33"/>
  <c r="CE12" i="33"/>
  <c r="KG12" i="33"/>
  <c r="CD12" i="33"/>
  <c r="KF12" i="33"/>
  <c r="KB12" i="33"/>
  <c r="KA12" i="33"/>
  <c r="JZ12" i="33"/>
  <c r="JY12" i="33"/>
  <c r="JX12" i="33"/>
  <c r="JW12" i="33"/>
  <c r="JV12" i="33"/>
  <c r="JU12" i="33"/>
  <c r="JT12" i="33"/>
  <c r="JS12" i="33"/>
  <c r="JR12" i="33"/>
  <c r="JQ12" i="33"/>
  <c r="JP12" i="33"/>
  <c r="BG12" i="33"/>
  <c r="IP12" i="33"/>
  <c r="IQ12" i="33"/>
  <c r="GO12" i="33"/>
  <c r="JB12" i="33"/>
  <c r="HW12" i="33"/>
  <c r="HX12" i="33"/>
  <c r="IX12" i="33"/>
  <c r="S12" i="33"/>
  <c r="BH12" i="33"/>
  <c r="BI12" i="33"/>
  <c r="HC12" i="33"/>
  <c r="HD12" i="33"/>
  <c r="HF12" i="33"/>
  <c r="W12" i="33"/>
  <c r="Y12" i="33"/>
  <c r="AB12" i="33"/>
  <c r="IT12" i="33"/>
  <c r="GU12" i="33"/>
  <c r="GY4" i="33"/>
  <c r="GY5" i="33"/>
  <c r="GY6" i="33"/>
  <c r="GY7" i="33"/>
  <c r="GY8" i="33"/>
  <c r="HI8" i="33"/>
  <c r="GP12" i="33"/>
  <c r="GQ12" i="33"/>
  <c r="GT12" i="33"/>
  <c r="GR12" i="33"/>
  <c r="GS12" i="33"/>
  <c r="EH12" i="33"/>
  <c r="EG12" i="33"/>
  <c r="DW12" i="33"/>
  <c r="DX12" i="33"/>
  <c r="DY12" i="33"/>
  <c r="DZ12" i="33"/>
  <c r="EB12" i="33"/>
  <c r="EA12" i="33"/>
  <c r="DV12" i="33"/>
  <c r="BF12" i="33"/>
  <c r="BJ12" i="33"/>
  <c r="AF12" i="33"/>
  <c r="BE12" i="33"/>
  <c r="AJ12" i="33"/>
  <c r="AC12" i="33"/>
  <c r="X12" i="33"/>
  <c r="T12" i="33"/>
  <c r="O12" i="33"/>
  <c r="Q12" i="33"/>
  <c r="P12" i="33"/>
  <c r="K12" i="33"/>
  <c r="M12" i="33"/>
  <c r="L12" i="33"/>
  <c r="H12" i="33"/>
  <c r="A10" i="33"/>
  <c r="A11" i="33"/>
  <c r="A12" i="33"/>
  <c r="GY4" i="32"/>
  <c r="GY41" i="32"/>
  <c r="HK41" i="32"/>
  <c r="GY5" i="32"/>
  <c r="GY6" i="32"/>
  <c r="O59" i="31"/>
  <c r="Q59" i="31"/>
  <c r="BH59" i="31"/>
  <c r="BI59" i="31"/>
  <c r="HD59" i="31"/>
  <c r="K59" i="31"/>
  <c r="M59" i="31"/>
  <c r="NY59" i="31"/>
  <c r="NM59" i="31"/>
  <c r="NN59" i="31"/>
  <c r="NO59" i="31"/>
  <c r="NP59" i="31"/>
  <c r="NQ59" i="31"/>
  <c r="NR59" i="31"/>
  <c r="NS59" i="31"/>
  <c r="KT59" i="31"/>
  <c r="CO59" i="31"/>
  <c r="KQ59" i="31"/>
  <c r="CN59" i="31"/>
  <c r="KP59" i="31"/>
  <c r="CM59" i="31"/>
  <c r="CL59" i="31"/>
  <c r="KN59" i="31"/>
  <c r="CJ59" i="31"/>
  <c r="KL59" i="31"/>
  <c r="CH59" i="31"/>
  <c r="KJ59" i="31"/>
  <c r="CE59" i="31"/>
  <c r="FZ59" i="31"/>
  <c r="CD59" i="31"/>
  <c r="KF59" i="31"/>
  <c r="KB59" i="31"/>
  <c r="KA59" i="31"/>
  <c r="JZ59" i="31"/>
  <c r="JY59" i="31"/>
  <c r="JX59" i="31"/>
  <c r="JW59" i="31"/>
  <c r="JV59" i="31"/>
  <c r="JU59" i="31"/>
  <c r="JT59" i="31"/>
  <c r="JS59" i="31"/>
  <c r="JR59" i="31"/>
  <c r="JQ59" i="31"/>
  <c r="JP59" i="31"/>
  <c r="BG59" i="31"/>
  <c r="IP59" i="31"/>
  <c r="GO59" i="31"/>
  <c r="JB59" i="31"/>
  <c r="HW59" i="31"/>
  <c r="HF59" i="31"/>
  <c r="GU59" i="31"/>
  <c r="IX59" i="31"/>
  <c r="W59" i="31"/>
  <c r="IU59" i="31"/>
  <c r="AB59" i="31"/>
  <c r="AD59" i="31"/>
  <c r="IT59" i="31"/>
  <c r="GY4" i="31"/>
  <c r="GY5" i="31"/>
  <c r="IK62" i="31"/>
  <c r="IK60" i="31"/>
  <c r="GY6" i="31"/>
  <c r="GY7" i="31"/>
  <c r="GY8" i="31"/>
  <c r="HI8" i="31"/>
  <c r="GP59" i="31"/>
  <c r="GQ59" i="31"/>
  <c r="GR59" i="31"/>
  <c r="GS59" i="31"/>
  <c r="EH59" i="31"/>
  <c r="EG59" i="31"/>
  <c r="DW59" i="31"/>
  <c r="DX59" i="31"/>
  <c r="DY59" i="31"/>
  <c r="DZ59" i="31"/>
  <c r="EA59" i="31"/>
  <c r="DV59" i="31"/>
  <c r="BF59" i="31"/>
  <c r="BJ59" i="31"/>
  <c r="AF59" i="31"/>
  <c r="BE59" i="31"/>
  <c r="O37" i="31"/>
  <c r="Q37" i="31"/>
  <c r="BH37" i="31"/>
  <c r="BI37" i="31"/>
  <c r="HD37" i="31"/>
  <c r="K37" i="31"/>
  <c r="M37" i="31"/>
  <c r="NY37" i="31"/>
  <c r="NM37" i="31"/>
  <c r="NN37" i="31"/>
  <c r="NO37" i="31"/>
  <c r="NP37" i="31"/>
  <c r="NQ37" i="31"/>
  <c r="NR37" i="31"/>
  <c r="NS37" i="31"/>
  <c r="KT37" i="31"/>
  <c r="CO37" i="31"/>
  <c r="KQ37" i="31"/>
  <c r="CN37" i="31"/>
  <c r="KP37" i="31"/>
  <c r="CM37" i="31"/>
  <c r="KO37" i="31"/>
  <c r="CL37" i="31"/>
  <c r="KN37" i="31"/>
  <c r="CJ37" i="31"/>
  <c r="KL37" i="31"/>
  <c r="CH37" i="31"/>
  <c r="KJ37" i="31"/>
  <c r="CE37" i="31"/>
  <c r="CD37" i="31"/>
  <c r="KF37" i="31"/>
  <c r="KB37" i="31"/>
  <c r="KA37" i="31"/>
  <c r="JZ37" i="31"/>
  <c r="JY37" i="31"/>
  <c r="JX37" i="31"/>
  <c r="JW37" i="31"/>
  <c r="JV37" i="31"/>
  <c r="JU37" i="31"/>
  <c r="JT37" i="31"/>
  <c r="JS37" i="31"/>
  <c r="JR37" i="31"/>
  <c r="JQ37" i="31"/>
  <c r="JP37" i="31"/>
  <c r="BG37" i="31"/>
  <c r="GO37" i="31"/>
  <c r="JB37" i="31"/>
  <c r="HW37" i="31"/>
  <c r="HF37" i="31"/>
  <c r="GU37" i="31"/>
  <c r="IX37" i="31"/>
  <c r="W37" i="31"/>
  <c r="AB37" i="31"/>
  <c r="IT37" i="31"/>
  <c r="GP37" i="31"/>
  <c r="GQ37" i="31"/>
  <c r="GR37" i="31"/>
  <c r="GS37" i="31"/>
  <c r="EH37" i="31"/>
  <c r="EG37" i="31"/>
  <c r="DW37" i="31"/>
  <c r="DX37" i="31"/>
  <c r="DY37" i="31"/>
  <c r="DZ37" i="31"/>
  <c r="EA37" i="31"/>
  <c r="DV37" i="31"/>
  <c r="BF37" i="31"/>
  <c r="BJ37" i="31"/>
  <c r="AF37" i="31"/>
  <c r="BE37" i="31"/>
  <c r="O43" i="31"/>
  <c r="Q43" i="31"/>
  <c r="BH43" i="31"/>
  <c r="BI43" i="31"/>
  <c r="HD43" i="31"/>
  <c r="K43" i="31"/>
  <c r="M43" i="31"/>
  <c r="NY43" i="31"/>
  <c r="NM43" i="31"/>
  <c r="NN43" i="31"/>
  <c r="NO43" i="31"/>
  <c r="NP43" i="31"/>
  <c r="NQ43" i="31"/>
  <c r="NR43" i="31"/>
  <c r="NS43" i="31"/>
  <c r="KT43" i="31"/>
  <c r="CO43" i="31"/>
  <c r="KQ43" i="31"/>
  <c r="CN43" i="31"/>
  <c r="KP43" i="31"/>
  <c r="CM43" i="31"/>
  <c r="KO43" i="31"/>
  <c r="CL43" i="31"/>
  <c r="KN43" i="31"/>
  <c r="CJ43" i="31"/>
  <c r="KL43" i="31"/>
  <c r="CH43" i="31"/>
  <c r="KJ43" i="31"/>
  <c r="CE43" i="31"/>
  <c r="CD43" i="31"/>
  <c r="KF43" i="31"/>
  <c r="KB43" i="31"/>
  <c r="KA43" i="31"/>
  <c r="JZ43" i="31"/>
  <c r="JY43" i="31"/>
  <c r="JX43" i="31"/>
  <c r="JW43" i="31"/>
  <c r="JV43" i="31"/>
  <c r="JU43" i="31"/>
  <c r="JT43" i="31"/>
  <c r="JS43" i="31"/>
  <c r="JR43" i="31"/>
  <c r="JQ43" i="31"/>
  <c r="JP43" i="31"/>
  <c r="BG43" i="31"/>
  <c r="IP43" i="31"/>
  <c r="GO43" i="31"/>
  <c r="JB43" i="31"/>
  <c r="HW43" i="31"/>
  <c r="HV43" i="31"/>
  <c r="HF43" i="31"/>
  <c r="GU43" i="31"/>
  <c r="IX43" i="31"/>
  <c r="W43" i="31"/>
  <c r="IU43" i="31"/>
  <c r="AB43" i="31"/>
  <c r="IY43" i="31"/>
  <c r="IT43" i="31"/>
  <c r="GP43" i="31"/>
  <c r="GQ43" i="31"/>
  <c r="GR43" i="31"/>
  <c r="GS43" i="31"/>
  <c r="EH43" i="31"/>
  <c r="EG43" i="31"/>
  <c r="DW43" i="31"/>
  <c r="DX43" i="31"/>
  <c r="DY43" i="31"/>
  <c r="DZ43" i="31"/>
  <c r="EA43" i="31"/>
  <c r="DV43" i="31"/>
  <c r="BF43" i="31"/>
  <c r="BJ43" i="31"/>
  <c r="AF43" i="31"/>
  <c r="BE43" i="31"/>
  <c r="O42" i="31"/>
  <c r="Q42" i="31"/>
  <c r="BH42" i="31"/>
  <c r="BI42" i="31"/>
  <c r="HD42" i="31"/>
  <c r="NY42" i="31"/>
  <c r="NM42" i="31"/>
  <c r="NN42" i="31"/>
  <c r="NO42" i="31"/>
  <c r="NP42" i="31"/>
  <c r="NQ42" i="31"/>
  <c r="NR42" i="31"/>
  <c r="NS42" i="31"/>
  <c r="KT42" i="31"/>
  <c r="CO42" i="31"/>
  <c r="KQ42" i="31"/>
  <c r="CN42" i="31"/>
  <c r="KP42" i="31"/>
  <c r="CM42" i="31"/>
  <c r="KO42" i="31"/>
  <c r="CL42" i="31"/>
  <c r="KN42" i="31"/>
  <c r="CJ42" i="31"/>
  <c r="KL42" i="31"/>
  <c r="CH42" i="31"/>
  <c r="KJ42" i="31"/>
  <c r="CE42" i="31"/>
  <c r="CD42" i="31"/>
  <c r="KF42" i="31"/>
  <c r="KB42" i="31"/>
  <c r="KA42" i="31"/>
  <c r="JZ42" i="31"/>
  <c r="JY42" i="31"/>
  <c r="JX42" i="31"/>
  <c r="JW42" i="31"/>
  <c r="JV42" i="31"/>
  <c r="JU42" i="31"/>
  <c r="JT42" i="31"/>
  <c r="JS42" i="31"/>
  <c r="JR42" i="31"/>
  <c r="JQ42" i="31"/>
  <c r="JP42" i="31"/>
  <c r="BG42" i="31"/>
  <c r="IP42" i="31"/>
  <c r="IO42" i="31"/>
  <c r="GO42" i="31"/>
  <c r="JB42" i="31"/>
  <c r="HW42" i="31"/>
  <c r="HX42" i="31"/>
  <c r="HF42" i="31"/>
  <c r="GU42" i="31"/>
  <c r="IX42" i="31"/>
  <c r="W42" i="31"/>
  <c r="IU42" i="31"/>
  <c r="AB42" i="31"/>
  <c r="IT42" i="31"/>
  <c r="GP42" i="31"/>
  <c r="GQ42" i="31"/>
  <c r="GR42" i="31"/>
  <c r="GS42" i="31"/>
  <c r="EH42" i="31"/>
  <c r="EG42" i="31"/>
  <c r="DW42" i="31"/>
  <c r="DX42" i="31"/>
  <c r="DY42" i="31"/>
  <c r="DZ42" i="31"/>
  <c r="EA42" i="31"/>
  <c r="DV42" i="31"/>
  <c r="BF42" i="31"/>
  <c r="BJ42" i="31"/>
  <c r="AF42" i="31"/>
  <c r="BE42" i="31"/>
  <c r="O41" i="31"/>
  <c r="Q41" i="31"/>
  <c r="BH41" i="31"/>
  <c r="BI41" i="31"/>
  <c r="HD41" i="31"/>
  <c r="NY41" i="31"/>
  <c r="NM41" i="31"/>
  <c r="NN41" i="31"/>
  <c r="NO41" i="31"/>
  <c r="NP41" i="31"/>
  <c r="NQ41" i="31"/>
  <c r="NR41" i="31"/>
  <c r="NS41" i="31"/>
  <c r="KT41" i="31"/>
  <c r="CO41" i="31"/>
  <c r="KQ41" i="31"/>
  <c r="CN41" i="31"/>
  <c r="KP41" i="31"/>
  <c r="CM41" i="31"/>
  <c r="KO41" i="31"/>
  <c r="CL41" i="31"/>
  <c r="KN41" i="31"/>
  <c r="CJ41" i="31"/>
  <c r="KL41" i="31"/>
  <c r="CH41" i="31"/>
  <c r="KJ41" i="31"/>
  <c r="CE41" i="31"/>
  <c r="CD41" i="31"/>
  <c r="KF41" i="31"/>
  <c r="KB41" i="31"/>
  <c r="KA41" i="31"/>
  <c r="JZ41" i="31"/>
  <c r="JY41" i="31"/>
  <c r="JX41" i="31"/>
  <c r="JW41" i="31"/>
  <c r="JV41" i="31"/>
  <c r="JU41" i="31"/>
  <c r="JT41" i="31"/>
  <c r="JS41" i="31"/>
  <c r="JR41" i="31"/>
  <c r="JQ41" i="31"/>
  <c r="JP41" i="31"/>
  <c r="BG41" i="31"/>
  <c r="IP41" i="31"/>
  <c r="GO41" i="31"/>
  <c r="JB41" i="31"/>
  <c r="HW41" i="31"/>
  <c r="HX41" i="31"/>
  <c r="HF41" i="31"/>
  <c r="GU41" i="31"/>
  <c r="IX41" i="31"/>
  <c r="W41" i="31"/>
  <c r="AB41" i="31"/>
  <c r="IT41" i="31"/>
  <c r="GP41" i="31"/>
  <c r="GQ41" i="31"/>
  <c r="GR41" i="31"/>
  <c r="GS41" i="31"/>
  <c r="EH41" i="31"/>
  <c r="EG41" i="31"/>
  <c r="DW41" i="31"/>
  <c r="DX41" i="31"/>
  <c r="DY41" i="31"/>
  <c r="DZ41" i="31"/>
  <c r="EA41" i="31"/>
  <c r="DV41" i="31"/>
  <c r="BF41" i="31"/>
  <c r="BJ41" i="31"/>
  <c r="AF41" i="31"/>
  <c r="BE41" i="31"/>
  <c r="O40" i="31"/>
  <c r="Q40" i="31"/>
  <c r="BH40" i="31"/>
  <c r="BI40" i="31"/>
  <c r="HD40" i="31"/>
  <c r="NY40" i="31"/>
  <c r="NM40" i="31"/>
  <c r="NN40" i="31"/>
  <c r="NO40" i="31"/>
  <c r="NP40" i="31"/>
  <c r="NQ40" i="31"/>
  <c r="NR40" i="31"/>
  <c r="NS40" i="31"/>
  <c r="KT40" i="31"/>
  <c r="CO40" i="31"/>
  <c r="KQ40" i="31"/>
  <c r="CN40" i="31"/>
  <c r="KP40" i="31"/>
  <c r="CM40" i="31"/>
  <c r="KO40" i="31"/>
  <c r="CL40" i="31"/>
  <c r="KN40" i="31"/>
  <c r="CJ40" i="31"/>
  <c r="KL40" i="31"/>
  <c r="CH40" i="31"/>
  <c r="KJ40" i="31"/>
  <c r="CE40" i="31"/>
  <c r="FZ40" i="31"/>
  <c r="CD40" i="31"/>
  <c r="KF40" i="31"/>
  <c r="KB40" i="31"/>
  <c r="KA40" i="31"/>
  <c r="JZ40" i="31"/>
  <c r="JY40" i="31"/>
  <c r="JX40" i="31"/>
  <c r="JW40" i="31"/>
  <c r="JV40" i="31"/>
  <c r="JU40" i="31"/>
  <c r="JT40" i="31"/>
  <c r="JS40" i="31"/>
  <c r="JR40" i="31"/>
  <c r="JQ40" i="31"/>
  <c r="JP40" i="31"/>
  <c r="BG40" i="31"/>
  <c r="IP40" i="31"/>
  <c r="GO40" i="31"/>
  <c r="JB40" i="31"/>
  <c r="HW40" i="31"/>
  <c r="HF40" i="31"/>
  <c r="GU40" i="31"/>
  <c r="IX40" i="31"/>
  <c r="W40" i="31"/>
  <c r="AB40" i="31"/>
  <c r="AD40" i="31"/>
  <c r="IT40" i="31"/>
  <c r="GP40" i="31"/>
  <c r="GQ40" i="31"/>
  <c r="GR40" i="31"/>
  <c r="GS40" i="31"/>
  <c r="EH40" i="31"/>
  <c r="EG40" i="31"/>
  <c r="DW40" i="31"/>
  <c r="DX40" i="31"/>
  <c r="DY40" i="31"/>
  <c r="DZ40" i="31"/>
  <c r="EA40" i="31"/>
  <c r="DV40" i="31"/>
  <c r="BF40" i="31"/>
  <c r="BJ40" i="31"/>
  <c r="AF40" i="31"/>
  <c r="BE40" i="31"/>
  <c r="O39" i="31"/>
  <c r="Q39" i="31"/>
  <c r="BH39" i="31"/>
  <c r="BI39" i="31"/>
  <c r="HD39" i="31"/>
  <c r="NY39" i="31"/>
  <c r="NM39" i="31"/>
  <c r="NN39" i="31"/>
  <c r="NO39" i="31"/>
  <c r="NP39" i="31"/>
  <c r="NQ39" i="31"/>
  <c r="NR39" i="31"/>
  <c r="NS39" i="31"/>
  <c r="KT39" i="31"/>
  <c r="CO39" i="31"/>
  <c r="KQ39" i="31"/>
  <c r="CN39" i="31"/>
  <c r="KP39" i="31"/>
  <c r="CM39" i="31"/>
  <c r="KO39" i="31"/>
  <c r="CL39" i="31"/>
  <c r="KN39" i="31"/>
  <c r="CJ39" i="31"/>
  <c r="KL39" i="31"/>
  <c r="CH39" i="31"/>
  <c r="KJ39" i="31"/>
  <c r="CE39" i="31"/>
  <c r="KG39" i="31"/>
  <c r="CD39" i="31"/>
  <c r="KF39" i="31"/>
  <c r="KB39" i="31"/>
  <c r="KA39" i="31"/>
  <c r="JZ39" i="31"/>
  <c r="JY39" i="31"/>
  <c r="JX39" i="31"/>
  <c r="JW39" i="31"/>
  <c r="JV39" i="31"/>
  <c r="JU39" i="31"/>
  <c r="JT39" i="31"/>
  <c r="JS39" i="31"/>
  <c r="JR39" i="31"/>
  <c r="JQ39" i="31"/>
  <c r="JP39" i="31"/>
  <c r="BG39" i="31"/>
  <c r="IP39" i="31"/>
  <c r="GO39" i="31"/>
  <c r="JB39" i="31"/>
  <c r="HW39" i="31"/>
  <c r="HX39" i="31"/>
  <c r="HF39" i="31"/>
  <c r="GU39" i="31"/>
  <c r="IX39" i="31"/>
  <c r="W39" i="31"/>
  <c r="AB39" i="31"/>
  <c r="AD39" i="31"/>
  <c r="IT39" i="31"/>
  <c r="GP39" i="31"/>
  <c r="GQ39" i="31"/>
  <c r="GR39" i="31"/>
  <c r="GS39" i="31"/>
  <c r="EH39" i="31"/>
  <c r="EG39" i="31"/>
  <c r="DW39" i="31"/>
  <c r="DX39" i="31"/>
  <c r="DY39" i="31"/>
  <c r="DZ39" i="31"/>
  <c r="EA39" i="31"/>
  <c r="DV39" i="31"/>
  <c r="BF39" i="31"/>
  <c r="BJ39" i="31"/>
  <c r="AF39" i="31"/>
  <c r="BE39" i="31"/>
  <c r="O36" i="31"/>
  <c r="Q36" i="31"/>
  <c r="BH36" i="31"/>
  <c r="BI36" i="31"/>
  <c r="HD36" i="31"/>
  <c r="K36" i="31"/>
  <c r="M36" i="31"/>
  <c r="NY36" i="31"/>
  <c r="NM36" i="31"/>
  <c r="NN36" i="31"/>
  <c r="NO36" i="31"/>
  <c r="NP36" i="31"/>
  <c r="NQ36" i="31"/>
  <c r="NR36" i="31"/>
  <c r="NS36" i="31"/>
  <c r="KT36" i="31"/>
  <c r="CO36" i="31"/>
  <c r="KQ36" i="31"/>
  <c r="CN36" i="31"/>
  <c r="KP36" i="31"/>
  <c r="CM36" i="31"/>
  <c r="KO36" i="31"/>
  <c r="CL36" i="31"/>
  <c r="KN36" i="31"/>
  <c r="CJ36" i="31"/>
  <c r="KL36" i="31"/>
  <c r="CH36" i="31"/>
  <c r="KJ36" i="31"/>
  <c r="CE36" i="31"/>
  <c r="KG36" i="31"/>
  <c r="CD36" i="31"/>
  <c r="KF36" i="31"/>
  <c r="KB36" i="31"/>
  <c r="KA36" i="31"/>
  <c r="JZ36" i="31"/>
  <c r="JY36" i="31"/>
  <c r="JX36" i="31"/>
  <c r="JW36" i="31"/>
  <c r="JV36" i="31"/>
  <c r="JU36" i="31"/>
  <c r="JT36" i="31"/>
  <c r="JS36" i="31"/>
  <c r="JR36" i="31"/>
  <c r="JQ36" i="31"/>
  <c r="JP36" i="31"/>
  <c r="BG36" i="31"/>
  <c r="IP36" i="31"/>
  <c r="IQ36" i="31"/>
  <c r="GO36" i="31"/>
  <c r="JB36" i="31"/>
  <c r="HW36" i="31"/>
  <c r="HF36" i="31"/>
  <c r="GU36" i="31"/>
  <c r="IX36" i="31"/>
  <c r="W36" i="31"/>
  <c r="Y36" i="31"/>
  <c r="AB36" i="31"/>
  <c r="IT36" i="31"/>
  <c r="GP36" i="31"/>
  <c r="GQ36" i="31"/>
  <c r="GR36" i="31"/>
  <c r="GS36" i="31"/>
  <c r="EH36" i="31"/>
  <c r="EG36" i="31"/>
  <c r="DW36" i="31"/>
  <c r="DX36" i="31"/>
  <c r="DY36" i="31"/>
  <c r="DZ36" i="31"/>
  <c r="EA36" i="31"/>
  <c r="DV36" i="31"/>
  <c r="BF36" i="31"/>
  <c r="BJ36" i="31"/>
  <c r="AF36" i="31"/>
  <c r="BE36" i="31"/>
  <c r="O35" i="31"/>
  <c r="Q35" i="31"/>
  <c r="BH35" i="31"/>
  <c r="BI35" i="31"/>
  <c r="HD35" i="31"/>
  <c r="K35" i="31"/>
  <c r="M35" i="31"/>
  <c r="NY35" i="31"/>
  <c r="NM35" i="31"/>
  <c r="NN35" i="31"/>
  <c r="NO35" i="31"/>
  <c r="NP35" i="31"/>
  <c r="NQ35" i="31"/>
  <c r="NR35" i="31"/>
  <c r="NS35" i="31"/>
  <c r="KT35" i="31"/>
  <c r="CO35" i="31"/>
  <c r="KQ35" i="31"/>
  <c r="CN35" i="31"/>
  <c r="KP35" i="31"/>
  <c r="CM35" i="31"/>
  <c r="KO35" i="31"/>
  <c r="CL35" i="31"/>
  <c r="KN35" i="31"/>
  <c r="CJ35" i="31"/>
  <c r="KL35" i="31"/>
  <c r="CH35" i="31"/>
  <c r="KJ35" i="31"/>
  <c r="CE35" i="31"/>
  <c r="KG35" i="31"/>
  <c r="CD35" i="31"/>
  <c r="KF35" i="31"/>
  <c r="KB35" i="31"/>
  <c r="KA35" i="31"/>
  <c r="JZ35" i="31"/>
  <c r="JY35" i="31"/>
  <c r="JX35" i="31"/>
  <c r="JW35" i="31"/>
  <c r="JV35" i="31"/>
  <c r="JU35" i="31"/>
  <c r="JT35" i="31"/>
  <c r="JS35" i="31"/>
  <c r="JR35" i="31"/>
  <c r="JQ35" i="31"/>
  <c r="JP35" i="31"/>
  <c r="BG35" i="31"/>
  <c r="IP35" i="31"/>
  <c r="GO35" i="31"/>
  <c r="JB35" i="31"/>
  <c r="HW35" i="31"/>
  <c r="HF35" i="31"/>
  <c r="GU35" i="31"/>
  <c r="IX35" i="31"/>
  <c r="W35" i="31"/>
  <c r="AB35" i="31"/>
  <c r="IT35" i="31"/>
  <c r="GP35" i="31"/>
  <c r="GQ35" i="31"/>
  <c r="GR35" i="31"/>
  <c r="GS35" i="31"/>
  <c r="EH35" i="31"/>
  <c r="EG35" i="31"/>
  <c r="DW35" i="31"/>
  <c r="DX35" i="31"/>
  <c r="DY35" i="31"/>
  <c r="DZ35" i="31"/>
  <c r="EA35" i="31"/>
  <c r="DV35" i="31"/>
  <c r="BF35" i="31"/>
  <c r="BJ35" i="31"/>
  <c r="AF35" i="31"/>
  <c r="BE35" i="31"/>
  <c r="O34" i="31"/>
  <c r="Q34" i="31"/>
  <c r="BH34" i="31"/>
  <c r="BI34" i="31"/>
  <c r="HD34" i="31"/>
  <c r="K34" i="31"/>
  <c r="M34" i="31"/>
  <c r="NY34" i="31"/>
  <c r="NM34" i="31"/>
  <c r="NN34" i="31"/>
  <c r="NO34" i="31"/>
  <c r="NP34" i="31"/>
  <c r="NQ34" i="31"/>
  <c r="NR34" i="31"/>
  <c r="NS34" i="31"/>
  <c r="KT34" i="31"/>
  <c r="CO34" i="31"/>
  <c r="KQ34" i="31"/>
  <c r="CN34" i="31"/>
  <c r="KP34" i="31"/>
  <c r="CM34" i="31"/>
  <c r="KO34" i="31"/>
  <c r="CL34" i="31"/>
  <c r="KN34" i="31"/>
  <c r="CJ34" i="31"/>
  <c r="KL34" i="31"/>
  <c r="CH34" i="31"/>
  <c r="KJ34" i="31"/>
  <c r="CE34" i="31"/>
  <c r="CD34" i="31"/>
  <c r="KF34" i="31"/>
  <c r="KB34" i="31"/>
  <c r="KA34" i="31"/>
  <c r="JZ34" i="31"/>
  <c r="JY34" i="31"/>
  <c r="JX34" i="31"/>
  <c r="JW34" i="31"/>
  <c r="JV34" i="31"/>
  <c r="JU34" i="31"/>
  <c r="JT34" i="31"/>
  <c r="JS34" i="31"/>
  <c r="JR34" i="31"/>
  <c r="JQ34" i="31"/>
  <c r="JP34" i="31"/>
  <c r="BG34" i="31"/>
  <c r="IP34" i="31"/>
  <c r="IQ34" i="31"/>
  <c r="GO34" i="31"/>
  <c r="JB34" i="31"/>
  <c r="HF34" i="31"/>
  <c r="GU34" i="31"/>
  <c r="IX34" i="31"/>
  <c r="W34" i="31"/>
  <c r="IU34" i="31"/>
  <c r="AB34" i="31"/>
  <c r="AD34" i="31"/>
  <c r="IT34" i="31"/>
  <c r="GP34" i="31"/>
  <c r="GQ34" i="31"/>
  <c r="GR34" i="31"/>
  <c r="GS34" i="31"/>
  <c r="EH34" i="31"/>
  <c r="EG34" i="31"/>
  <c r="DW34" i="31"/>
  <c r="DX34" i="31"/>
  <c r="DY34" i="31"/>
  <c r="DZ34" i="31"/>
  <c r="EA34" i="31"/>
  <c r="DV34" i="31"/>
  <c r="BF34" i="31"/>
  <c r="BJ34" i="31"/>
  <c r="AF34" i="31"/>
  <c r="BE34" i="31"/>
  <c r="O33" i="31"/>
  <c r="Q33" i="31"/>
  <c r="BH33" i="31"/>
  <c r="BI33" i="31"/>
  <c r="HD33" i="31"/>
  <c r="K33" i="31"/>
  <c r="M33" i="31"/>
  <c r="NY33" i="31"/>
  <c r="NM33" i="31"/>
  <c r="NN33" i="31"/>
  <c r="NO33" i="31"/>
  <c r="NP33" i="31"/>
  <c r="NQ33" i="31"/>
  <c r="NR33" i="31"/>
  <c r="NS33" i="31"/>
  <c r="CO33" i="31"/>
  <c r="KQ33" i="31"/>
  <c r="CN33" i="31"/>
  <c r="KP33" i="31"/>
  <c r="CM33" i="31"/>
  <c r="KO33" i="31"/>
  <c r="CL33" i="31"/>
  <c r="KN33" i="31"/>
  <c r="CJ33" i="31"/>
  <c r="KL33" i="31"/>
  <c r="CH33" i="31"/>
  <c r="KJ33" i="31"/>
  <c r="CE33" i="31"/>
  <c r="FZ33" i="31"/>
  <c r="CD33" i="31"/>
  <c r="KF33" i="31"/>
  <c r="KB33" i="31"/>
  <c r="KA33" i="31"/>
  <c r="JZ33" i="31"/>
  <c r="JY33" i="31"/>
  <c r="JX33" i="31"/>
  <c r="JW33" i="31"/>
  <c r="JV33" i="31"/>
  <c r="JU33" i="31"/>
  <c r="JT33" i="31"/>
  <c r="JS33" i="31"/>
  <c r="JR33" i="31"/>
  <c r="JQ33" i="31"/>
  <c r="JP33" i="31"/>
  <c r="BG33" i="31"/>
  <c r="IP33" i="31"/>
  <c r="IO33" i="31"/>
  <c r="GO33" i="31"/>
  <c r="JB33" i="31"/>
  <c r="HW33" i="31"/>
  <c r="HF33" i="31"/>
  <c r="GU33" i="31"/>
  <c r="IX33" i="31"/>
  <c r="W33" i="31"/>
  <c r="Y33" i="31"/>
  <c r="AB33" i="31"/>
  <c r="IT33" i="31"/>
  <c r="GP33" i="31"/>
  <c r="GQ33" i="31"/>
  <c r="GR33" i="31"/>
  <c r="GS33" i="31"/>
  <c r="EH33" i="31"/>
  <c r="EG33" i="31"/>
  <c r="DW33" i="31"/>
  <c r="DX33" i="31"/>
  <c r="DY33" i="31"/>
  <c r="DZ33" i="31"/>
  <c r="EA33" i="31"/>
  <c r="DV33" i="31"/>
  <c r="BF33" i="31"/>
  <c r="BJ33" i="31"/>
  <c r="AF33" i="31"/>
  <c r="BE33" i="31"/>
  <c r="AJ59" i="31"/>
  <c r="AJ37" i="31"/>
  <c r="AJ43" i="31"/>
  <c r="AJ42" i="31"/>
  <c r="AJ41" i="31"/>
  <c r="AJ40" i="31"/>
  <c r="AJ39" i="31"/>
  <c r="AJ36" i="31"/>
  <c r="AJ35" i="31"/>
  <c r="AJ34" i="31"/>
  <c r="AJ33" i="31"/>
  <c r="AC59" i="31"/>
  <c r="X59" i="31"/>
  <c r="S59" i="31"/>
  <c r="U59" i="31"/>
  <c r="T59" i="31"/>
  <c r="P59" i="31"/>
  <c r="L59" i="31"/>
  <c r="I59" i="31"/>
  <c r="H59" i="31"/>
  <c r="AC37" i="31"/>
  <c r="X37" i="31"/>
  <c r="S37" i="31"/>
  <c r="U37" i="31"/>
  <c r="T37" i="31"/>
  <c r="P37" i="31"/>
  <c r="L37" i="31"/>
  <c r="I37" i="31"/>
  <c r="H37" i="31"/>
  <c r="AC43" i="31"/>
  <c r="X43" i="31"/>
  <c r="S43" i="31"/>
  <c r="U43" i="31"/>
  <c r="T43" i="31"/>
  <c r="P43" i="31"/>
  <c r="L43" i="31"/>
  <c r="I43" i="31"/>
  <c r="H43" i="31"/>
  <c r="AC42" i="31"/>
  <c r="X42" i="31"/>
  <c r="S42" i="31"/>
  <c r="U42" i="31"/>
  <c r="T42" i="31"/>
  <c r="P42" i="31"/>
  <c r="I42" i="31"/>
  <c r="H42" i="31"/>
  <c r="AC41" i="31"/>
  <c r="X41" i="31"/>
  <c r="S41" i="31"/>
  <c r="U41" i="31"/>
  <c r="T41" i="31"/>
  <c r="P41" i="31"/>
  <c r="I41" i="31"/>
  <c r="H41" i="31"/>
  <c r="AC40" i="31"/>
  <c r="X40" i="31"/>
  <c r="S40" i="31"/>
  <c r="U40" i="31"/>
  <c r="T40" i="31"/>
  <c r="P40" i="31"/>
  <c r="I40" i="31"/>
  <c r="H40" i="31"/>
  <c r="AC39" i="31"/>
  <c r="X39" i="31"/>
  <c r="S39" i="31"/>
  <c r="U39" i="31"/>
  <c r="T39" i="31"/>
  <c r="P39" i="31"/>
  <c r="I39" i="31"/>
  <c r="H39" i="31"/>
  <c r="AC36" i="31"/>
  <c r="X36" i="31"/>
  <c r="S36" i="31"/>
  <c r="U36" i="31"/>
  <c r="T36" i="31"/>
  <c r="P36" i="31"/>
  <c r="L36" i="31"/>
  <c r="I36" i="31"/>
  <c r="H36" i="31"/>
  <c r="AC35" i="31"/>
  <c r="X35" i="31"/>
  <c r="S35" i="31"/>
  <c r="U35" i="31"/>
  <c r="T35" i="31"/>
  <c r="P35" i="31"/>
  <c r="L35" i="31"/>
  <c r="I35" i="31"/>
  <c r="H35" i="31"/>
  <c r="AC34" i="31"/>
  <c r="X34" i="31"/>
  <c r="S34" i="31"/>
  <c r="U34" i="31"/>
  <c r="T34" i="31"/>
  <c r="P34" i="31"/>
  <c r="L34" i="31"/>
  <c r="I34" i="31"/>
  <c r="H34" i="31"/>
  <c r="AC33" i="31"/>
  <c r="X33" i="31"/>
  <c r="S33" i="31"/>
  <c r="U33" i="31"/>
  <c r="T33" i="31"/>
  <c r="P33" i="31"/>
  <c r="L33" i="31"/>
  <c r="I33" i="31"/>
  <c r="H33" i="31"/>
  <c r="D60" i="31"/>
  <c r="A10" i="31"/>
  <c r="A11" i="31"/>
  <c r="A12" i="31"/>
  <c r="A13" i="31"/>
  <c r="A14" i="31"/>
  <c r="A15" i="31"/>
  <c r="A16" i="31"/>
  <c r="A17" i="31"/>
  <c r="A18" i="31"/>
  <c r="A19" i="31"/>
  <c r="A20" i="31"/>
  <c r="A21" i="31"/>
  <c r="A22" i="31"/>
  <c r="A23" i="31"/>
  <c r="A24" i="31"/>
  <c r="A25" i="31"/>
  <c r="A26" i="31"/>
  <c r="A27" i="31"/>
  <c r="A28" i="31"/>
  <c r="A29" i="31"/>
  <c r="A30" i="31"/>
  <c r="A31" i="31"/>
  <c r="A32" i="31"/>
  <c r="A33" i="31"/>
  <c r="A34" i="31"/>
  <c r="A35" i="31"/>
  <c r="A36" i="31"/>
  <c r="A37" i="31"/>
  <c r="A38" i="31"/>
  <c r="A39" i="31"/>
  <c r="A40" i="31"/>
  <c r="A41" i="31"/>
  <c r="A42" i="31"/>
  <c r="A43" i="31"/>
  <c r="A44" i="31"/>
  <c r="A45" i="31"/>
  <c r="A46" i="31"/>
  <c r="A47" i="31"/>
  <c r="A48" i="31"/>
  <c r="A49" i="31"/>
  <c r="A50" i="31"/>
  <c r="A51" i="31"/>
  <c r="A52" i="31"/>
  <c r="A53" i="31"/>
  <c r="A54" i="31"/>
  <c r="A55" i="31"/>
  <c r="A56" i="31"/>
  <c r="A57" i="31"/>
  <c r="A58" i="31"/>
  <c r="A59" i="31"/>
  <c r="I15" i="22"/>
  <c r="NM28" i="22"/>
  <c r="NN28" i="22"/>
  <c r="NO28" i="22"/>
  <c r="NP28" i="22"/>
  <c r="NQ28" i="22"/>
  <c r="NR28" i="22"/>
  <c r="NS28" i="22"/>
  <c r="KT28" i="22"/>
  <c r="CO28" i="22"/>
  <c r="KQ28" i="22"/>
  <c r="CN28" i="22"/>
  <c r="KP28" i="22"/>
  <c r="CM28" i="22"/>
  <c r="KO28" i="22"/>
  <c r="CL28" i="22"/>
  <c r="KN28" i="22"/>
  <c r="CJ28" i="22"/>
  <c r="KL28" i="22"/>
  <c r="CH28" i="22"/>
  <c r="KJ28" i="22"/>
  <c r="CE28" i="22"/>
  <c r="CD28" i="22"/>
  <c r="KF28" i="22"/>
  <c r="KB28" i="22"/>
  <c r="KA28" i="22"/>
  <c r="JZ28" i="22"/>
  <c r="JY28" i="22"/>
  <c r="JX28" i="22"/>
  <c r="JW28" i="22"/>
  <c r="JV28" i="22"/>
  <c r="JU28" i="22"/>
  <c r="JT28" i="22"/>
  <c r="JS28" i="22"/>
  <c r="JR28" i="22"/>
  <c r="JQ28" i="22"/>
  <c r="JP28" i="22"/>
  <c r="BG28" i="22"/>
  <c r="IP28" i="22"/>
  <c r="GO28" i="22"/>
  <c r="JB28" i="22"/>
  <c r="HW28" i="22"/>
  <c r="HV28" i="22"/>
  <c r="IX28" i="22"/>
  <c r="BH28" i="22"/>
  <c r="BI28" i="22"/>
  <c r="HD28" i="22"/>
  <c r="HF28" i="22"/>
  <c r="W28" i="22"/>
  <c r="IU28" i="22"/>
  <c r="AB28" i="22"/>
  <c r="IT28" i="22"/>
  <c r="GU28" i="22"/>
  <c r="GY4" i="22"/>
  <c r="GY5" i="22"/>
  <c r="GY6" i="22"/>
  <c r="GY7" i="22"/>
  <c r="GY8" i="22"/>
  <c r="HI8" i="22"/>
  <c r="GP28" i="22"/>
  <c r="GQ28" i="22"/>
  <c r="GR28" i="22"/>
  <c r="GS28" i="22"/>
  <c r="EH28" i="22"/>
  <c r="EG28" i="22"/>
  <c r="DW28" i="22"/>
  <c r="DX28" i="22"/>
  <c r="DY28" i="22"/>
  <c r="DZ28" i="22"/>
  <c r="EA28" i="22"/>
  <c r="DV28" i="22"/>
  <c r="BF28" i="22"/>
  <c r="BJ28" i="22"/>
  <c r="AF28" i="22"/>
  <c r="BE28" i="22"/>
  <c r="AW28" i="22"/>
  <c r="BA28" i="22"/>
  <c r="AU28" i="22"/>
  <c r="AV28" i="22"/>
  <c r="S28" i="22"/>
  <c r="U28" i="22"/>
  <c r="AS28" i="22"/>
  <c r="AT28" i="22"/>
  <c r="K28" i="22"/>
  <c r="M28" i="22"/>
  <c r="AQ28" i="22"/>
  <c r="AR28" i="22"/>
  <c r="O28" i="22"/>
  <c r="Q28" i="22"/>
  <c r="AO28" i="22"/>
  <c r="AP28" i="22"/>
  <c r="AC28" i="22"/>
  <c r="X28" i="22"/>
  <c r="T28" i="22"/>
  <c r="P28" i="22"/>
  <c r="L28" i="22"/>
  <c r="I28" i="22"/>
  <c r="H28" i="22"/>
  <c r="NM15" i="22"/>
  <c r="NN15" i="22"/>
  <c r="NO15" i="22"/>
  <c r="NP15" i="22"/>
  <c r="NQ15" i="22"/>
  <c r="NR15" i="22"/>
  <c r="NS15" i="22"/>
  <c r="KT15" i="22"/>
  <c r="CO15" i="22"/>
  <c r="KQ15" i="22"/>
  <c r="CN15" i="22"/>
  <c r="KP15" i="22"/>
  <c r="CM15" i="22"/>
  <c r="KO15" i="22"/>
  <c r="CL15" i="22"/>
  <c r="KN15" i="22"/>
  <c r="CJ15" i="22"/>
  <c r="KL15" i="22"/>
  <c r="CH15" i="22"/>
  <c r="KJ15" i="22"/>
  <c r="CE15" i="22"/>
  <c r="FZ15" i="22"/>
  <c r="CD15" i="22"/>
  <c r="KF15" i="22"/>
  <c r="KB15" i="22"/>
  <c r="KA15" i="22"/>
  <c r="JZ15" i="22"/>
  <c r="JY15" i="22"/>
  <c r="JX15" i="22"/>
  <c r="JW15" i="22"/>
  <c r="JV15" i="22"/>
  <c r="JU15" i="22"/>
  <c r="JT15" i="22"/>
  <c r="JS15" i="22"/>
  <c r="JR15" i="22"/>
  <c r="JQ15" i="22"/>
  <c r="JP15" i="22"/>
  <c r="BG15" i="22"/>
  <c r="IP15" i="22"/>
  <c r="GO15" i="22"/>
  <c r="GP15" i="22"/>
  <c r="GQ15" i="22"/>
  <c r="GR15" i="22"/>
  <c r="GS15" i="22"/>
  <c r="JB15" i="22"/>
  <c r="HW15" i="22"/>
  <c r="IX15" i="22"/>
  <c r="BH15" i="22"/>
  <c r="BI15" i="22"/>
  <c r="HD15" i="22"/>
  <c r="HF15" i="22"/>
  <c r="W15" i="22"/>
  <c r="IU15" i="22"/>
  <c r="AB15" i="22"/>
  <c r="IT15" i="22"/>
  <c r="GU15" i="22"/>
  <c r="EH15" i="22"/>
  <c r="EG15" i="22"/>
  <c r="DW15" i="22"/>
  <c r="DX15" i="22"/>
  <c r="DY15" i="22"/>
  <c r="DZ15" i="22"/>
  <c r="EA15" i="22"/>
  <c r="DV15" i="22"/>
  <c r="BF15" i="22"/>
  <c r="BJ15" i="22"/>
  <c r="AF15" i="22"/>
  <c r="BE15" i="22"/>
  <c r="AW15" i="22"/>
  <c r="AU15" i="22"/>
  <c r="S15" i="22"/>
  <c r="U15" i="22"/>
  <c r="AS15" i="22"/>
  <c r="AT15" i="22"/>
  <c r="K15" i="22"/>
  <c r="M15" i="22"/>
  <c r="AQ15" i="22"/>
  <c r="AR15" i="22"/>
  <c r="O15" i="22"/>
  <c r="Q15" i="22"/>
  <c r="AO15" i="22"/>
  <c r="AP15" i="22"/>
  <c r="AC15" i="22"/>
  <c r="X15" i="22"/>
  <c r="T15" i="22"/>
  <c r="P15" i="22"/>
  <c r="L15" i="22"/>
  <c r="H15" i="22"/>
  <c r="A10" i="22"/>
  <c r="A11" i="22"/>
  <c r="A12" i="22"/>
  <c r="GY4" i="39"/>
  <c r="GY5" i="39"/>
  <c r="GY6" i="39"/>
  <c r="GY7" i="39"/>
  <c r="GY8" i="39"/>
  <c r="HI8" i="39"/>
  <c r="Z107" i="19"/>
  <c r="H111" i="19"/>
  <c r="K111" i="19"/>
  <c r="L111" i="19"/>
  <c r="O111" i="19"/>
  <c r="Q111" i="19"/>
  <c r="P111" i="19"/>
  <c r="S111" i="19"/>
  <c r="U111" i="19"/>
  <c r="T111" i="19"/>
  <c r="W111" i="19"/>
  <c r="X111" i="19"/>
  <c r="AC111" i="19"/>
  <c r="AF111" i="19"/>
  <c r="BE111" i="19"/>
  <c r="AO111" i="19"/>
  <c r="AP111" i="19"/>
  <c r="AQ111" i="19"/>
  <c r="AR111" i="19"/>
  <c r="AS111" i="19"/>
  <c r="AU111" i="19"/>
  <c r="AV111" i="19"/>
  <c r="AW111" i="19"/>
  <c r="BA111" i="19"/>
  <c r="BF111" i="19"/>
  <c r="BG111" i="19"/>
  <c r="IP111" i="19"/>
  <c r="BH111" i="19"/>
  <c r="BI111" i="19"/>
  <c r="BJ111" i="19"/>
  <c r="CD111" i="19"/>
  <c r="KF111" i="19"/>
  <c r="CE111" i="19"/>
  <c r="FZ111" i="19"/>
  <c r="CH111" i="19"/>
  <c r="KJ111" i="19"/>
  <c r="CJ111" i="19"/>
  <c r="KL111" i="19"/>
  <c r="CL111" i="19"/>
  <c r="KN111" i="19"/>
  <c r="CM111" i="19"/>
  <c r="KO111" i="19"/>
  <c r="CN111" i="19"/>
  <c r="KP111" i="19"/>
  <c r="CO111" i="19"/>
  <c r="KQ111" i="19"/>
  <c r="DV111" i="19"/>
  <c r="DW111" i="19"/>
  <c r="EB111" i="19"/>
  <c r="DX111" i="19"/>
  <c r="DY111" i="19"/>
  <c r="DZ111" i="19"/>
  <c r="EA111" i="19"/>
  <c r="EG111" i="19"/>
  <c r="EH111" i="19"/>
  <c r="GP111" i="19"/>
  <c r="GQ111" i="19"/>
  <c r="GV111" i="19"/>
  <c r="GX111" i="19"/>
  <c r="GY111" i="19"/>
  <c r="GR111" i="19"/>
  <c r="GS111" i="19"/>
  <c r="GU111" i="19"/>
  <c r="HD111" i="19"/>
  <c r="HF111" i="19"/>
  <c r="IX111" i="19"/>
  <c r="JB111" i="19"/>
  <c r="HW111" i="19"/>
  <c r="IT111" i="19"/>
  <c r="IY111" i="19"/>
  <c r="JQ111" i="19"/>
  <c r="JR111" i="19"/>
  <c r="JS111" i="19"/>
  <c r="JT111" i="19"/>
  <c r="JU111" i="19"/>
  <c r="JV111" i="19"/>
  <c r="JW111" i="19"/>
  <c r="JX111" i="19"/>
  <c r="JY111" i="19"/>
  <c r="JZ111" i="19"/>
  <c r="KA111" i="19"/>
  <c r="KB111" i="19"/>
  <c r="JP111" i="19"/>
  <c r="KT111" i="19"/>
  <c r="NM111" i="19"/>
  <c r="NT111" i="19"/>
  <c r="NU111" i="19"/>
  <c r="NN111" i="19"/>
  <c r="NO111" i="19"/>
  <c r="NP111" i="19"/>
  <c r="NQ111" i="19"/>
  <c r="NR111" i="19"/>
  <c r="NS111" i="19"/>
  <c r="H112" i="19"/>
  <c r="L112" i="19"/>
  <c r="O112" i="19"/>
  <c r="Q112" i="19"/>
  <c r="P112" i="19"/>
  <c r="S112" i="19"/>
  <c r="U112" i="19"/>
  <c r="T112" i="19"/>
  <c r="W112" i="19"/>
  <c r="Y112" i="19"/>
  <c r="X112" i="19"/>
  <c r="AC112" i="19"/>
  <c r="AF112" i="19"/>
  <c r="BE112" i="19"/>
  <c r="BD112" i="19"/>
  <c r="AO112" i="19"/>
  <c r="AP112" i="19"/>
  <c r="AQ112" i="19"/>
  <c r="AS112" i="19"/>
  <c r="AT112" i="19"/>
  <c r="AU112" i="19"/>
  <c r="AW112" i="19"/>
  <c r="BF112" i="19"/>
  <c r="BG112" i="19"/>
  <c r="IP112" i="19"/>
  <c r="IQ112" i="19"/>
  <c r="BH112" i="19"/>
  <c r="HC112" i="19"/>
  <c r="HE112" i="19"/>
  <c r="HG112" i="19"/>
  <c r="BI112" i="19"/>
  <c r="HD112" i="19"/>
  <c r="HF112" i="19"/>
  <c r="BJ112" i="19"/>
  <c r="CD112" i="19"/>
  <c r="KF112" i="19"/>
  <c r="CE112" i="19"/>
  <c r="FZ112" i="19"/>
  <c r="CH112" i="19"/>
  <c r="KJ112" i="19"/>
  <c r="CJ112" i="19"/>
  <c r="KL112" i="19"/>
  <c r="CL112" i="19"/>
  <c r="KN112" i="19"/>
  <c r="CM112" i="19"/>
  <c r="KO112" i="19"/>
  <c r="CN112" i="19"/>
  <c r="KP112" i="19"/>
  <c r="CO112" i="19"/>
  <c r="KQ112" i="19"/>
  <c r="DV112" i="19"/>
  <c r="DW112" i="19"/>
  <c r="DX112" i="19"/>
  <c r="DY112" i="19"/>
  <c r="DZ112" i="19"/>
  <c r="EA112" i="19"/>
  <c r="EG112" i="19"/>
  <c r="EH112" i="19"/>
  <c r="GP112" i="19"/>
  <c r="GQ112" i="19"/>
  <c r="GR112" i="19"/>
  <c r="GS112" i="19"/>
  <c r="GU112" i="19"/>
  <c r="IX112" i="19"/>
  <c r="JB112" i="19"/>
  <c r="HW112" i="19"/>
  <c r="IT112" i="19"/>
  <c r="IY112" i="19"/>
  <c r="JQ112" i="19"/>
  <c r="JR112" i="19"/>
  <c r="JS112" i="19"/>
  <c r="JT112" i="19"/>
  <c r="JU112" i="19"/>
  <c r="JV112" i="19"/>
  <c r="JW112" i="19"/>
  <c r="JX112" i="19"/>
  <c r="JY112" i="19"/>
  <c r="JZ112" i="19"/>
  <c r="KA112" i="19"/>
  <c r="KB112" i="19"/>
  <c r="JP112" i="19"/>
  <c r="KT112" i="19"/>
  <c r="NM112" i="19"/>
  <c r="NN112" i="19"/>
  <c r="NO112" i="19"/>
  <c r="NP112" i="19"/>
  <c r="NQ112" i="19"/>
  <c r="NR112" i="19"/>
  <c r="NS112" i="19"/>
  <c r="H123" i="19"/>
  <c r="K123" i="19"/>
  <c r="L123" i="19"/>
  <c r="O123" i="19"/>
  <c r="P123" i="19"/>
  <c r="S123" i="19"/>
  <c r="U123" i="19"/>
  <c r="T123" i="19"/>
  <c r="W123" i="19"/>
  <c r="X123" i="19"/>
  <c r="AC123" i="19"/>
  <c r="AF123" i="19"/>
  <c r="BE123" i="19"/>
  <c r="AO123" i="19"/>
  <c r="AP123" i="19"/>
  <c r="AQ123" i="19"/>
  <c r="AR123" i="19"/>
  <c r="AS123" i="19"/>
  <c r="AT123" i="19"/>
  <c r="AU123" i="19"/>
  <c r="AW123" i="19"/>
  <c r="BF123" i="19"/>
  <c r="BG123" i="19"/>
  <c r="BH123" i="19"/>
  <c r="BI123" i="19"/>
  <c r="BJ123" i="19"/>
  <c r="CD123" i="19"/>
  <c r="KF123" i="19"/>
  <c r="CE123" i="19"/>
  <c r="KG123" i="19"/>
  <c r="CH123" i="19"/>
  <c r="KJ123" i="19"/>
  <c r="CJ123" i="19"/>
  <c r="KL123" i="19"/>
  <c r="CL123" i="19"/>
  <c r="KN123" i="19"/>
  <c r="CM123" i="19"/>
  <c r="KO123" i="19"/>
  <c r="CN123" i="19"/>
  <c r="KP123" i="19"/>
  <c r="CO123" i="19"/>
  <c r="KQ123" i="19"/>
  <c r="DV123" i="19"/>
  <c r="DW123" i="19"/>
  <c r="DX123" i="19"/>
  <c r="DY123" i="19"/>
  <c r="DZ123" i="19"/>
  <c r="EA123" i="19"/>
  <c r="EG123" i="19"/>
  <c r="EH123" i="19"/>
  <c r="GP123" i="19"/>
  <c r="GQ123" i="19"/>
  <c r="GR123" i="19"/>
  <c r="GS123" i="19"/>
  <c r="GU123" i="19"/>
  <c r="HD123" i="19"/>
  <c r="HF123" i="19"/>
  <c r="IX123" i="19"/>
  <c r="JB123" i="19"/>
  <c r="HW123" i="19"/>
  <c r="HV123" i="19"/>
  <c r="IT123" i="19"/>
  <c r="IY123" i="19"/>
  <c r="JQ123" i="19"/>
  <c r="JR123" i="19"/>
  <c r="JS123" i="19"/>
  <c r="JT123" i="19"/>
  <c r="JU123" i="19"/>
  <c r="JV123" i="19"/>
  <c r="JW123" i="19"/>
  <c r="JX123" i="19"/>
  <c r="JY123" i="19"/>
  <c r="JZ123" i="19"/>
  <c r="KA123" i="19"/>
  <c r="KB123" i="19"/>
  <c r="JP123" i="19"/>
  <c r="KT123" i="19"/>
  <c r="NM123" i="19"/>
  <c r="NN123" i="19"/>
  <c r="NO123" i="19"/>
  <c r="NP123" i="19"/>
  <c r="NQ123" i="19"/>
  <c r="NR123" i="19"/>
  <c r="NS123" i="19"/>
  <c r="KT107" i="19"/>
  <c r="Z21" i="31"/>
  <c r="Z19" i="31"/>
  <c r="NZ85" i="39"/>
  <c r="NZ86" i="39"/>
  <c r="NZ84" i="39"/>
  <c r="NZ83" i="39"/>
  <c r="NZ82" i="39"/>
  <c r="NZ76" i="39"/>
  <c r="NZ75" i="39"/>
  <c r="NZ71" i="39"/>
  <c r="NZ70" i="39"/>
  <c r="NZ69" i="39"/>
  <c r="NZ68" i="39"/>
  <c r="NZ66" i="39"/>
  <c r="NZ63" i="39"/>
  <c r="NZ62" i="39"/>
  <c r="NZ59" i="39"/>
  <c r="NZ57" i="39"/>
  <c r="NZ55" i="39"/>
  <c r="NZ54" i="39"/>
  <c r="NZ53" i="39"/>
  <c r="NZ51" i="39"/>
  <c r="NZ50" i="39"/>
  <c r="NZ49" i="39"/>
  <c r="NZ48" i="39"/>
  <c r="NZ47" i="39"/>
  <c r="NZ46" i="39"/>
  <c r="NZ39" i="39"/>
  <c r="NZ34" i="39"/>
  <c r="NZ32" i="39"/>
  <c r="NZ31" i="39"/>
  <c r="NZ30" i="39"/>
  <c r="NZ29" i="39"/>
  <c r="NZ28" i="39"/>
  <c r="NZ27" i="39"/>
  <c r="NZ26" i="39"/>
  <c r="NZ22" i="39"/>
  <c r="NZ14" i="39"/>
  <c r="NZ93" i="19"/>
  <c r="NZ89" i="19"/>
  <c r="NZ107" i="19"/>
  <c r="NZ106" i="19"/>
  <c r="NZ105" i="19"/>
  <c r="NZ104" i="19"/>
  <c r="NZ103" i="19"/>
  <c r="NZ102" i="19"/>
  <c r="NZ101" i="19"/>
  <c r="Z11" i="19"/>
  <c r="OI55" i="34"/>
  <c r="OS55" i="34"/>
  <c r="BH55" i="34"/>
  <c r="BI55" i="34"/>
  <c r="HD55" i="34"/>
  <c r="OG55" i="34"/>
  <c r="OQ55" i="34"/>
  <c r="OT55" i="34"/>
  <c r="O55" i="34"/>
  <c r="K55" i="34"/>
  <c r="OO55" i="34"/>
  <c r="OG54" i="34"/>
  <c r="BH54" i="34"/>
  <c r="BI54" i="34"/>
  <c r="HD54" i="34"/>
  <c r="O54" i="34"/>
  <c r="OI54" i="34"/>
  <c r="OS54" i="34"/>
  <c r="K54" i="34"/>
  <c r="BH53" i="34"/>
  <c r="BI53" i="34"/>
  <c r="HC53" i="34"/>
  <c r="HE53" i="34"/>
  <c r="HD53" i="34"/>
  <c r="OI53" i="34"/>
  <c r="OS53" i="34"/>
  <c r="OG53" i="34"/>
  <c r="O53" i="34"/>
  <c r="OP53" i="34"/>
  <c r="K53" i="34"/>
  <c r="OO53" i="34"/>
  <c r="BH51" i="34"/>
  <c r="BI51" i="34"/>
  <c r="HD51" i="34"/>
  <c r="OI51" i="34"/>
  <c r="OS51" i="34"/>
  <c r="OG51" i="34"/>
  <c r="OQ51" i="34"/>
  <c r="OT51" i="34"/>
  <c r="O51" i="34"/>
  <c r="K51" i="34"/>
  <c r="OI50" i="34"/>
  <c r="OS50" i="34"/>
  <c r="BH50" i="34"/>
  <c r="BI50" i="34"/>
  <c r="HD50" i="34"/>
  <c r="OG50" i="34"/>
  <c r="OQ50" i="34"/>
  <c r="O50" i="34"/>
  <c r="K50" i="34"/>
  <c r="BH49" i="34"/>
  <c r="BI49" i="34"/>
  <c r="HD49" i="34"/>
  <c r="OI49" i="34"/>
  <c r="OS49" i="34"/>
  <c r="OG49" i="34"/>
  <c r="O49" i="34"/>
  <c r="K49" i="34"/>
  <c r="OO49" i="34"/>
  <c r="OI48" i="34"/>
  <c r="OS48" i="34"/>
  <c r="BH48" i="34"/>
  <c r="BI48" i="34"/>
  <c r="HD48" i="34"/>
  <c r="OG48" i="34"/>
  <c r="OJ48" i="34"/>
  <c r="O48" i="34"/>
  <c r="K48" i="34"/>
  <c r="OO48" i="34"/>
  <c r="BH47" i="34"/>
  <c r="BI47" i="34"/>
  <c r="HD47" i="34"/>
  <c r="OI47" i="34"/>
  <c r="OS47" i="34"/>
  <c r="OG47" i="34"/>
  <c r="O47" i="34"/>
  <c r="OP47" i="34"/>
  <c r="K47" i="34"/>
  <c r="OI46" i="34"/>
  <c r="OS46" i="34"/>
  <c r="BH46" i="34"/>
  <c r="BI46" i="34"/>
  <c r="HD46" i="34"/>
  <c r="OG46" i="34"/>
  <c r="OQ46" i="34"/>
  <c r="O46" i="34"/>
  <c r="OP46" i="34"/>
  <c r="K46" i="34"/>
  <c r="OI45" i="34"/>
  <c r="OS45" i="34"/>
  <c r="BH45" i="34"/>
  <c r="BI45" i="34"/>
  <c r="HD45" i="34"/>
  <c r="OG45" i="34"/>
  <c r="OQ45" i="34"/>
  <c r="OT45" i="34"/>
  <c r="O45" i="34"/>
  <c r="OP45" i="34"/>
  <c r="K45" i="34"/>
  <c r="OI44" i="34"/>
  <c r="OS44" i="34"/>
  <c r="BH44" i="34"/>
  <c r="BI44" i="34"/>
  <c r="HD44" i="34"/>
  <c r="OG44" i="34"/>
  <c r="OQ44" i="34"/>
  <c r="OT44" i="34"/>
  <c r="O44" i="34"/>
  <c r="OP44" i="34"/>
  <c r="K44" i="34"/>
  <c r="OO44" i="34"/>
  <c r="BH43" i="34"/>
  <c r="BI43" i="34"/>
  <c r="HD43" i="34"/>
  <c r="OI43" i="34"/>
  <c r="OS43" i="34"/>
  <c r="OG43" i="34"/>
  <c r="O43" i="34"/>
  <c r="OP43" i="34"/>
  <c r="K43" i="34"/>
  <c r="OO43" i="34"/>
  <c r="OI42" i="34"/>
  <c r="OS42" i="34"/>
  <c r="BH42" i="34"/>
  <c r="HC42" i="34"/>
  <c r="BI42" i="34"/>
  <c r="HD42" i="34"/>
  <c r="OG42" i="34"/>
  <c r="OQ42" i="34"/>
  <c r="OT42" i="34"/>
  <c r="O42" i="34"/>
  <c r="Q42" i="34"/>
  <c r="K42" i="34"/>
  <c r="OI41" i="34"/>
  <c r="OS41" i="34"/>
  <c r="BH41" i="34"/>
  <c r="BI41" i="34"/>
  <c r="HD41" i="34"/>
  <c r="OG41" i="34"/>
  <c r="OJ41" i="34"/>
  <c r="O41" i="34"/>
  <c r="Q41" i="34"/>
  <c r="K41" i="34"/>
  <c r="OI40" i="34"/>
  <c r="OS40" i="34"/>
  <c r="BH40" i="34"/>
  <c r="BI40" i="34"/>
  <c r="HD40" i="34"/>
  <c r="OG40" i="34"/>
  <c r="O40" i="34"/>
  <c r="OP40" i="34"/>
  <c r="K40" i="34"/>
  <c r="OI39" i="34"/>
  <c r="OS39" i="34"/>
  <c r="BH39" i="34"/>
  <c r="BI39" i="34"/>
  <c r="HD39" i="34"/>
  <c r="OG39" i="34"/>
  <c r="O39" i="34"/>
  <c r="OP39" i="34"/>
  <c r="K39" i="34"/>
  <c r="OI38" i="34"/>
  <c r="OS38" i="34"/>
  <c r="BH38" i="34"/>
  <c r="BI38" i="34"/>
  <c r="HD38" i="34"/>
  <c r="OG38" i="34"/>
  <c r="O38" i="34"/>
  <c r="K38" i="34"/>
  <c r="OO38" i="34"/>
  <c r="OI37" i="34"/>
  <c r="OS37" i="34"/>
  <c r="BH37" i="34"/>
  <c r="BI37" i="34"/>
  <c r="HD37" i="34"/>
  <c r="OG37" i="34"/>
  <c r="O37" i="34"/>
  <c r="OP37" i="34"/>
  <c r="K37" i="34"/>
  <c r="OG36" i="34"/>
  <c r="OQ36" i="34"/>
  <c r="OT36" i="34"/>
  <c r="BH36" i="34"/>
  <c r="HC36" i="34"/>
  <c r="HE36" i="34"/>
  <c r="BI36" i="34"/>
  <c r="HD36" i="34"/>
  <c r="O36" i="34"/>
  <c r="OI36" i="34"/>
  <c r="OS36" i="34"/>
  <c r="K36" i="34"/>
  <c r="OO36" i="34"/>
  <c r="BH35" i="34"/>
  <c r="BI35" i="34"/>
  <c r="HD35" i="34"/>
  <c r="OI35" i="34"/>
  <c r="OS35" i="34"/>
  <c r="OG35" i="34"/>
  <c r="OQ35" i="34"/>
  <c r="OT35" i="34"/>
  <c r="O35" i="34"/>
  <c r="OP35" i="34"/>
  <c r="K35" i="34"/>
  <c r="OO35" i="34"/>
  <c r="OI34" i="34"/>
  <c r="OS34" i="34"/>
  <c r="BH34" i="34"/>
  <c r="HC34" i="34"/>
  <c r="BI34" i="34"/>
  <c r="HD34" i="34"/>
  <c r="OG34" i="34"/>
  <c r="O34" i="34"/>
  <c r="K34" i="34"/>
  <c r="OO34" i="34"/>
  <c r="OI33" i="34"/>
  <c r="OS33" i="34"/>
  <c r="BH33" i="34"/>
  <c r="BI33" i="34"/>
  <c r="HD33" i="34"/>
  <c r="OG33" i="34"/>
  <c r="OQ33" i="34"/>
  <c r="OT33" i="34"/>
  <c r="O33" i="34"/>
  <c r="K33" i="34"/>
  <c r="OI32" i="34"/>
  <c r="OS32" i="34"/>
  <c r="BH32" i="34"/>
  <c r="BI32" i="34"/>
  <c r="HD32" i="34"/>
  <c r="OG32" i="34"/>
  <c r="OQ32" i="34"/>
  <c r="O32" i="34"/>
  <c r="OP32" i="34"/>
  <c r="K32" i="34"/>
  <c r="OI31" i="34"/>
  <c r="OS31" i="34"/>
  <c r="BH31" i="34"/>
  <c r="BI31" i="34"/>
  <c r="HD31" i="34"/>
  <c r="OG31" i="34"/>
  <c r="O31" i="34"/>
  <c r="OP31" i="34"/>
  <c r="K31" i="34"/>
  <c r="OO31" i="34"/>
  <c r="OI30" i="34"/>
  <c r="OS30" i="34"/>
  <c r="BH30" i="34"/>
  <c r="BI30" i="34"/>
  <c r="HD30" i="34"/>
  <c r="OG30" i="34"/>
  <c r="OQ30" i="34"/>
  <c r="OT30" i="34"/>
  <c r="O30" i="34"/>
  <c r="K30" i="34"/>
  <c r="OI29" i="34"/>
  <c r="OS29" i="34"/>
  <c r="BH29" i="34"/>
  <c r="BI29" i="34"/>
  <c r="HD29" i="34"/>
  <c r="OG29" i="34"/>
  <c r="O29" i="34"/>
  <c r="OP29" i="34"/>
  <c r="K29" i="34"/>
  <c r="OI28" i="34"/>
  <c r="OS28" i="34"/>
  <c r="BH28" i="34"/>
  <c r="BI28" i="34"/>
  <c r="HD28" i="34"/>
  <c r="OG28" i="34"/>
  <c r="O28" i="34"/>
  <c r="K28" i="34"/>
  <c r="OO28" i="34"/>
  <c r="BH27" i="34"/>
  <c r="BI27" i="34"/>
  <c r="HD27" i="34"/>
  <c r="OI27" i="34"/>
  <c r="OS27" i="34"/>
  <c r="OG27" i="34"/>
  <c r="OQ27" i="34"/>
  <c r="OT27" i="34"/>
  <c r="O27" i="34"/>
  <c r="K27" i="34"/>
  <c r="OO27" i="34"/>
  <c r="OI26" i="34"/>
  <c r="OS26" i="34"/>
  <c r="BH26" i="34"/>
  <c r="HC26" i="34"/>
  <c r="BI26" i="34"/>
  <c r="HD26" i="34"/>
  <c r="OG26" i="34"/>
  <c r="OQ26" i="34"/>
  <c r="OT26" i="34"/>
  <c r="O26" i="34"/>
  <c r="OP26" i="34"/>
  <c r="K26" i="34"/>
  <c r="OO26" i="34"/>
  <c r="OI25" i="34"/>
  <c r="OS25" i="34"/>
  <c r="BH25" i="34"/>
  <c r="BI25" i="34"/>
  <c r="HD25" i="34"/>
  <c r="OG25" i="34"/>
  <c r="O25" i="34"/>
  <c r="OP25" i="34"/>
  <c r="K25" i="34"/>
  <c r="OO25" i="34"/>
  <c r="OG24" i="34"/>
  <c r="OQ24" i="34"/>
  <c r="OT24" i="34"/>
  <c r="BH24" i="34"/>
  <c r="BI24" i="34"/>
  <c r="HD24" i="34"/>
  <c r="O24" i="34"/>
  <c r="OI24" i="34"/>
  <c r="OS24" i="34"/>
  <c r="K24" i="34"/>
  <c r="M24" i="34"/>
  <c r="BH23" i="34"/>
  <c r="BI23" i="34"/>
  <c r="HD23" i="34"/>
  <c r="OI23" i="34"/>
  <c r="OS23" i="34"/>
  <c r="OG23" i="34"/>
  <c r="O23" i="34"/>
  <c r="K23" i="34"/>
  <c r="OI22" i="34"/>
  <c r="OS22" i="34"/>
  <c r="BH22" i="34"/>
  <c r="BI22" i="34"/>
  <c r="HD22" i="34"/>
  <c r="OG22" i="34"/>
  <c r="OQ22" i="34"/>
  <c r="OT22" i="34"/>
  <c r="O22" i="34"/>
  <c r="K22" i="34"/>
  <c r="OI21" i="34"/>
  <c r="OS21" i="34"/>
  <c r="BH21" i="34"/>
  <c r="BI21" i="34"/>
  <c r="HD21" i="34"/>
  <c r="OG21" i="34"/>
  <c r="O21" i="34"/>
  <c r="OP21" i="34"/>
  <c r="K21" i="34"/>
  <c r="OI20" i="34"/>
  <c r="OS20" i="34"/>
  <c r="BH20" i="34"/>
  <c r="BI20" i="34"/>
  <c r="HD20" i="34"/>
  <c r="OG20" i="34"/>
  <c r="O20" i="34"/>
  <c r="K20" i="34"/>
  <c r="OO20" i="34"/>
  <c r="BH19" i="34"/>
  <c r="BI19" i="34"/>
  <c r="HD19" i="34"/>
  <c r="OI19" i="34"/>
  <c r="OS19" i="34"/>
  <c r="OG19" i="34"/>
  <c r="O19" i="34"/>
  <c r="K19" i="34"/>
  <c r="OO19" i="34"/>
  <c r="OI18" i="34"/>
  <c r="OS18" i="34"/>
  <c r="BH18" i="34"/>
  <c r="BI18" i="34"/>
  <c r="HD18" i="34"/>
  <c r="OG18" i="34"/>
  <c r="OQ18" i="34"/>
  <c r="OT18" i="34"/>
  <c r="O18" i="34"/>
  <c r="K18" i="34"/>
  <c r="OO18" i="34"/>
  <c r="OI17" i="34"/>
  <c r="OS17" i="34"/>
  <c r="BH17" i="34"/>
  <c r="BI17" i="34"/>
  <c r="HD17" i="34"/>
  <c r="OG17" i="34"/>
  <c r="OQ17" i="34"/>
  <c r="OT17" i="34"/>
  <c r="O17" i="34"/>
  <c r="OP17" i="34"/>
  <c r="K17" i="34"/>
  <c r="OO17" i="34"/>
  <c r="OG16" i="34"/>
  <c r="OJ16" i="34"/>
  <c r="OI16" i="34"/>
  <c r="BH16" i="34"/>
  <c r="BI16" i="34"/>
  <c r="HD16" i="34"/>
  <c r="O16" i="34"/>
  <c r="OP16" i="34"/>
  <c r="K16" i="34"/>
  <c r="OO16" i="34"/>
  <c r="BH15" i="34"/>
  <c r="BI15" i="34"/>
  <c r="HD15" i="34"/>
  <c r="OI15" i="34"/>
  <c r="OG15" i="34"/>
  <c r="O15" i="34"/>
  <c r="OP15" i="34"/>
  <c r="K15" i="34"/>
  <c r="M15" i="34"/>
  <c r="OI14" i="34"/>
  <c r="OS14" i="34"/>
  <c r="BH14" i="34"/>
  <c r="BI14" i="34"/>
  <c r="HD14" i="34"/>
  <c r="OG14" i="34"/>
  <c r="OJ14" i="34"/>
  <c r="O14" i="34"/>
  <c r="OP14" i="34"/>
  <c r="K14" i="34"/>
  <c r="OO14" i="34"/>
  <c r="OI13" i="34"/>
  <c r="OS13" i="34"/>
  <c r="BH13" i="34"/>
  <c r="BI13" i="34"/>
  <c r="HD13" i="34"/>
  <c r="OG13" i="34"/>
  <c r="OQ13" i="34"/>
  <c r="OT13" i="34"/>
  <c r="O13" i="34"/>
  <c r="OP13" i="34"/>
  <c r="K13" i="34"/>
  <c r="OI12" i="34"/>
  <c r="OS12" i="34"/>
  <c r="S12" i="34"/>
  <c r="BH12" i="34"/>
  <c r="HD12" i="34"/>
  <c r="O12" i="34"/>
  <c r="OG12" i="34"/>
  <c r="OQ12" i="34"/>
  <c r="OT12" i="34"/>
  <c r="K12" i="34"/>
  <c r="OO12" i="34"/>
  <c r="OI11" i="34"/>
  <c r="OS11" i="34"/>
  <c r="S11" i="34"/>
  <c r="BH11" i="34"/>
  <c r="HC11" i="34"/>
  <c r="HE11" i="34"/>
  <c r="HD11" i="34"/>
  <c r="O11" i="34"/>
  <c r="OP11" i="34"/>
  <c r="OG11" i="34"/>
  <c r="K11" i="34"/>
  <c r="OO11" i="34"/>
  <c r="OI10" i="34"/>
  <c r="OS10" i="34"/>
  <c r="S10" i="34"/>
  <c r="BH10" i="34"/>
  <c r="HC10" i="34"/>
  <c r="HD10" i="34"/>
  <c r="O10" i="34"/>
  <c r="OP10" i="34"/>
  <c r="OG10" i="34"/>
  <c r="OJ10" i="34"/>
  <c r="K10" i="34"/>
  <c r="OO10" i="34"/>
  <c r="OI9" i="34"/>
  <c r="OS9" i="34"/>
  <c r="S9" i="34"/>
  <c r="U9" i="34"/>
  <c r="HD9" i="34"/>
  <c r="OG9" i="34"/>
  <c r="OJ9" i="34"/>
  <c r="O9" i="34"/>
  <c r="Q9" i="34"/>
  <c r="K9" i="34"/>
  <c r="OO9" i="34"/>
  <c r="OI31" i="32"/>
  <c r="OS31" i="32"/>
  <c r="BH31" i="32"/>
  <c r="BI31" i="32"/>
  <c r="HD31" i="32"/>
  <c r="OG31" i="32"/>
  <c r="O31" i="32"/>
  <c r="Q31" i="32"/>
  <c r="K31" i="32"/>
  <c r="OO31" i="32"/>
  <c r="OG30" i="32"/>
  <c r="BH30" i="32"/>
  <c r="BI30" i="32"/>
  <c r="HD30" i="32"/>
  <c r="O30" i="32"/>
  <c r="OI30" i="32"/>
  <c r="OS30" i="32"/>
  <c r="K30" i="32"/>
  <c r="OI27" i="32"/>
  <c r="OS27" i="32"/>
  <c r="BH27" i="32"/>
  <c r="HD27" i="32"/>
  <c r="O27" i="32"/>
  <c r="OG27" i="32"/>
  <c r="OJ27" i="32"/>
  <c r="K27" i="32"/>
  <c r="OO27" i="32"/>
  <c r="OG26" i="32"/>
  <c r="OQ26" i="32"/>
  <c r="OT26" i="32"/>
  <c r="OI26" i="32"/>
  <c r="OS26" i="32"/>
  <c r="BH26" i="32"/>
  <c r="BI26" i="32"/>
  <c r="HD26" i="32"/>
  <c r="O26" i="32"/>
  <c r="K26" i="32"/>
  <c r="M26" i="32"/>
  <c r="BH25" i="32"/>
  <c r="BI25" i="32"/>
  <c r="HD25" i="32"/>
  <c r="OI25" i="32"/>
  <c r="OG25" i="32"/>
  <c r="O25" i="32"/>
  <c r="K25" i="32"/>
  <c r="OI24" i="32"/>
  <c r="OS24" i="32"/>
  <c r="BH24" i="32"/>
  <c r="BI24" i="32"/>
  <c r="HD24" i="32"/>
  <c r="OG24" i="32"/>
  <c r="O24" i="32"/>
  <c r="K24" i="32"/>
  <c r="OI23" i="32"/>
  <c r="OS23" i="32"/>
  <c r="BH23" i="32"/>
  <c r="BI23" i="32"/>
  <c r="HD23" i="32"/>
  <c r="OG23" i="32"/>
  <c r="OQ23" i="32"/>
  <c r="O23" i="32"/>
  <c r="K23" i="32"/>
  <c r="M23" i="32"/>
  <c r="OG22" i="32"/>
  <c r="BH22" i="32"/>
  <c r="BI22" i="32"/>
  <c r="HD22" i="32"/>
  <c r="O22" i="32"/>
  <c r="OI22" i="32"/>
  <c r="OS22" i="32"/>
  <c r="K22" i="32"/>
  <c r="BH21" i="32"/>
  <c r="BI21" i="32"/>
  <c r="HD21" i="32"/>
  <c r="OI21" i="32"/>
  <c r="OS21" i="32"/>
  <c r="OG21" i="32"/>
  <c r="O21" i="32"/>
  <c r="K21" i="32"/>
  <c r="OI20" i="32"/>
  <c r="OS20" i="32"/>
  <c r="BH20" i="32"/>
  <c r="BI20" i="32"/>
  <c r="HD20" i="32"/>
  <c r="OG20" i="32"/>
  <c r="OQ20" i="32"/>
  <c r="OT20" i="32"/>
  <c r="O20" i="32"/>
  <c r="K20" i="32"/>
  <c r="OO20" i="32"/>
  <c r="OI19" i="32"/>
  <c r="OS19" i="32"/>
  <c r="BH19" i="32"/>
  <c r="BI19" i="32"/>
  <c r="HD19" i="32"/>
  <c r="OG19" i="32"/>
  <c r="OJ19" i="32"/>
  <c r="O19" i="32"/>
  <c r="K19" i="32"/>
  <c r="OO19" i="32"/>
  <c r="OG18" i="32"/>
  <c r="OJ18" i="32"/>
  <c r="OI18" i="32"/>
  <c r="OS18" i="32"/>
  <c r="BH18" i="32"/>
  <c r="BI18" i="32"/>
  <c r="HD18" i="32"/>
  <c r="O18" i="32"/>
  <c r="K18" i="32"/>
  <c r="M18" i="32"/>
  <c r="BH17" i="32"/>
  <c r="BI17" i="32"/>
  <c r="HD17" i="32"/>
  <c r="OI17" i="32"/>
  <c r="OG17" i="32"/>
  <c r="O17" i="32"/>
  <c r="K17" i="32"/>
  <c r="OO17" i="32"/>
  <c r="OI16" i="32"/>
  <c r="OS16" i="32"/>
  <c r="BH16" i="32"/>
  <c r="BI16" i="32"/>
  <c r="HD16" i="32"/>
  <c r="OG16" i="32"/>
  <c r="O16" i="32"/>
  <c r="K16" i="32"/>
  <c r="OI15" i="32"/>
  <c r="OS15" i="32"/>
  <c r="BH15" i="32"/>
  <c r="BI15" i="32"/>
  <c r="HD15" i="32"/>
  <c r="OG15" i="32"/>
  <c r="OQ15" i="32"/>
  <c r="OT15" i="32"/>
  <c r="O15" i="32"/>
  <c r="K15" i="32"/>
  <c r="OG14" i="32"/>
  <c r="BH14" i="32"/>
  <c r="BI14" i="32"/>
  <c r="HD14" i="32"/>
  <c r="O14" i="32"/>
  <c r="OI14" i="32"/>
  <c r="OS14" i="32"/>
  <c r="K14" i="32"/>
  <c r="M14" i="32"/>
  <c r="BH13" i="32"/>
  <c r="BI13" i="32"/>
  <c r="HD13" i="32"/>
  <c r="OI13" i="32"/>
  <c r="OS13" i="32"/>
  <c r="OG13" i="32"/>
  <c r="OQ13" i="32"/>
  <c r="O13" i="32"/>
  <c r="Q13" i="32"/>
  <c r="K13" i="32"/>
  <c r="OI12" i="32"/>
  <c r="OS12" i="32"/>
  <c r="BH12" i="32"/>
  <c r="BI12" i="32"/>
  <c r="HD12" i="32"/>
  <c r="OG12" i="32"/>
  <c r="OQ12" i="32"/>
  <c r="OT12" i="32"/>
  <c r="O12" i="32"/>
  <c r="OP12" i="32"/>
  <c r="K12" i="32"/>
  <c r="OI11" i="32"/>
  <c r="OS11" i="32"/>
  <c r="BH11" i="32"/>
  <c r="BI11" i="32"/>
  <c r="HD11" i="32"/>
  <c r="OG11" i="32"/>
  <c r="OQ11" i="32"/>
  <c r="O11" i="32"/>
  <c r="Q11" i="32"/>
  <c r="K11" i="32"/>
  <c r="OG10" i="32"/>
  <c r="OI10" i="32"/>
  <c r="OS10" i="32"/>
  <c r="OI9" i="32"/>
  <c r="OS9" i="32"/>
  <c r="BH10" i="32"/>
  <c r="BI10" i="32"/>
  <c r="HD10" i="32"/>
  <c r="O10" i="32"/>
  <c r="K10" i="32"/>
  <c r="K9" i="32"/>
  <c r="OO9" i="32"/>
  <c r="OG9" i="32"/>
  <c r="OQ9" i="32"/>
  <c r="OT9" i="32"/>
  <c r="O9" i="32"/>
  <c r="BH9" i="32"/>
  <c r="BI9" i="32"/>
  <c r="HD9" i="32"/>
  <c r="OG32" i="31"/>
  <c r="OI32" i="31"/>
  <c r="OS32" i="31"/>
  <c r="BH32" i="31"/>
  <c r="BI32" i="31"/>
  <c r="HD32" i="31"/>
  <c r="O32" i="31"/>
  <c r="Q32" i="31"/>
  <c r="K32" i="31"/>
  <c r="OO32" i="31"/>
  <c r="BH31" i="31"/>
  <c r="BI31" i="31"/>
  <c r="HD31" i="31"/>
  <c r="OI31" i="31"/>
  <c r="OS31" i="31"/>
  <c r="OG31" i="31"/>
  <c r="O31" i="31"/>
  <c r="K31" i="31"/>
  <c r="OI30" i="31"/>
  <c r="OS30" i="31"/>
  <c r="BH30" i="31"/>
  <c r="BI30" i="31"/>
  <c r="HD30" i="31"/>
  <c r="OG30" i="31"/>
  <c r="O30" i="31"/>
  <c r="K30" i="31"/>
  <c r="OI29" i="31"/>
  <c r="OS29" i="31"/>
  <c r="BH29" i="31"/>
  <c r="BI29" i="31"/>
  <c r="HD29" i="31"/>
  <c r="OG29" i="31"/>
  <c r="O29" i="31"/>
  <c r="Q29" i="31"/>
  <c r="K29" i="31"/>
  <c r="OO29" i="31"/>
  <c r="OG28" i="31"/>
  <c r="OI28" i="31"/>
  <c r="OS28" i="31"/>
  <c r="BH28" i="31"/>
  <c r="BI28" i="31"/>
  <c r="HD28" i="31"/>
  <c r="O28" i="31"/>
  <c r="OP28" i="31"/>
  <c r="K28" i="31"/>
  <c r="BH27" i="31"/>
  <c r="BI27" i="31"/>
  <c r="HD27" i="31"/>
  <c r="OI27" i="31"/>
  <c r="OS27" i="31"/>
  <c r="OG27" i="31"/>
  <c r="O27" i="31"/>
  <c r="K27" i="31"/>
  <c r="OI26" i="31"/>
  <c r="OS26" i="31"/>
  <c r="BH26" i="31"/>
  <c r="BI26" i="31"/>
  <c r="HD26" i="31"/>
  <c r="OG26" i="31"/>
  <c r="O26" i="31"/>
  <c r="Q26" i="31"/>
  <c r="K26" i="31"/>
  <c r="M26" i="31"/>
  <c r="OI25" i="31"/>
  <c r="OS25" i="31"/>
  <c r="BH25" i="31"/>
  <c r="BI25" i="31"/>
  <c r="HD25" i="31"/>
  <c r="OG25" i="31"/>
  <c r="O25" i="31"/>
  <c r="K25" i="31"/>
  <c r="OO25" i="31"/>
  <c r="OG24" i="31"/>
  <c r="OI24" i="31"/>
  <c r="OS24" i="31"/>
  <c r="BH24" i="31"/>
  <c r="BI24" i="31"/>
  <c r="HD24" i="31"/>
  <c r="O24" i="31"/>
  <c r="K24" i="31"/>
  <c r="M24" i="31"/>
  <c r="BH23" i="31"/>
  <c r="BI23" i="31"/>
  <c r="HD23" i="31"/>
  <c r="OI23" i="31"/>
  <c r="OS23" i="31"/>
  <c r="OG23" i="31"/>
  <c r="O23" i="31"/>
  <c r="K23" i="31"/>
  <c r="BH21" i="31"/>
  <c r="BI21" i="31"/>
  <c r="HD21" i="31"/>
  <c r="OI21" i="31"/>
  <c r="OS21" i="31"/>
  <c r="OG21" i="31"/>
  <c r="OQ21" i="31"/>
  <c r="O21" i="31"/>
  <c r="OP21" i="31"/>
  <c r="K21" i="31"/>
  <c r="M21" i="31"/>
  <c r="OG20" i="31"/>
  <c r="OI20" i="31"/>
  <c r="OS20" i="31"/>
  <c r="BH20" i="31"/>
  <c r="BI20" i="31"/>
  <c r="HD20" i="31"/>
  <c r="O20" i="31"/>
  <c r="K20" i="31"/>
  <c r="BH19" i="31"/>
  <c r="BI19" i="31"/>
  <c r="HD19" i="31"/>
  <c r="OI19" i="31"/>
  <c r="OS19" i="31"/>
  <c r="OG19" i="31"/>
  <c r="O19" i="31"/>
  <c r="Q19" i="31"/>
  <c r="K19" i="31"/>
  <c r="M19" i="31"/>
  <c r="OG18" i="31"/>
  <c r="OI18" i="31"/>
  <c r="OS18" i="31"/>
  <c r="BH18" i="31"/>
  <c r="BI18" i="31"/>
  <c r="HD18" i="31"/>
  <c r="O18" i="31"/>
  <c r="Q18" i="31"/>
  <c r="K18" i="31"/>
  <c r="BH17" i="31"/>
  <c r="BI17" i="31"/>
  <c r="HD17" i="31"/>
  <c r="OI17" i="31"/>
  <c r="OS17" i="31"/>
  <c r="OG17" i="31"/>
  <c r="O17" i="31"/>
  <c r="K17" i="31"/>
  <c r="OG16" i="31"/>
  <c r="OI16" i="31"/>
  <c r="OS16" i="31"/>
  <c r="BH16" i="31"/>
  <c r="BI16" i="31"/>
  <c r="HD16" i="31"/>
  <c r="O16" i="31"/>
  <c r="K16" i="31"/>
  <c r="OO16" i="31"/>
  <c r="BH15" i="31"/>
  <c r="BI15" i="31"/>
  <c r="HD15" i="31"/>
  <c r="OI15" i="31"/>
  <c r="OS15" i="31"/>
  <c r="OG15" i="31"/>
  <c r="O15" i="31"/>
  <c r="K15" i="31"/>
  <c r="OG14" i="31"/>
  <c r="OI14" i="31"/>
  <c r="OS14" i="31"/>
  <c r="BH14" i="31"/>
  <c r="BI14" i="31"/>
  <c r="HD14" i="31"/>
  <c r="O14" i="31"/>
  <c r="Q14" i="31"/>
  <c r="K14" i="31"/>
  <c r="BH13" i="31"/>
  <c r="BI13" i="31"/>
  <c r="HD13" i="31"/>
  <c r="OI13" i="31"/>
  <c r="OG13" i="31"/>
  <c r="O13" i="31"/>
  <c r="OP13" i="31"/>
  <c r="K13" i="31"/>
  <c r="OG12" i="31"/>
  <c r="OI12" i="31"/>
  <c r="OS12" i="31"/>
  <c r="BH12" i="31"/>
  <c r="BI12" i="31"/>
  <c r="HD12" i="31"/>
  <c r="O12" i="31"/>
  <c r="K12" i="31"/>
  <c r="M12" i="31"/>
  <c r="BH11" i="31"/>
  <c r="BI11" i="31"/>
  <c r="HD11" i="31"/>
  <c r="OI11" i="31"/>
  <c r="OS11" i="31"/>
  <c r="OG11" i="31"/>
  <c r="O11" i="31"/>
  <c r="OP11" i="31"/>
  <c r="K11" i="31"/>
  <c r="OO11" i="31"/>
  <c r="OG10" i="31"/>
  <c r="OQ10" i="31"/>
  <c r="OT10" i="31"/>
  <c r="OI10" i="31"/>
  <c r="OS10" i="31"/>
  <c r="BH10" i="31"/>
  <c r="BI10" i="31"/>
  <c r="HD10" i="31"/>
  <c r="O10" i="31"/>
  <c r="O9" i="31"/>
  <c r="K10" i="31"/>
  <c r="OI9" i="31"/>
  <c r="OS9" i="31"/>
  <c r="K9" i="31"/>
  <c r="OG9" i="31"/>
  <c r="OQ9" i="31"/>
  <c r="BH9" i="31"/>
  <c r="BI9" i="31"/>
  <c r="HC9" i="31"/>
  <c r="HE9" i="31"/>
  <c r="OH9" i="31"/>
  <c r="HD9" i="31"/>
  <c r="S12" i="21"/>
  <c r="U12" i="21"/>
  <c r="S11" i="21"/>
  <c r="U11" i="21"/>
  <c r="S10" i="21"/>
  <c r="U10" i="21"/>
  <c r="S9" i="21"/>
  <c r="U9" i="21"/>
  <c r="OI86" i="39"/>
  <c r="OS86" i="39"/>
  <c r="BH86" i="39"/>
  <c r="BI86" i="39"/>
  <c r="HD86" i="39"/>
  <c r="OG86" i="39"/>
  <c r="OQ86" i="39"/>
  <c r="OT86" i="39"/>
  <c r="O86" i="39"/>
  <c r="OP86" i="39"/>
  <c r="K86" i="39"/>
  <c r="OG85" i="39"/>
  <c r="OJ85" i="39"/>
  <c r="BH85" i="39"/>
  <c r="BI85" i="39"/>
  <c r="HD85" i="39"/>
  <c r="O85" i="39"/>
  <c r="OI85" i="39"/>
  <c r="OS85" i="39"/>
  <c r="K85" i="39"/>
  <c r="OO85" i="39"/>
  <c r="BH84" i="39"/>
  <c r="BI84" i="39"/>
  <c r="HD84" i="39"/>
  <c r="OI84" i="39"/>
  <c r="OS84" i="39"/>
  <c r="OG84" i="39"/>
  <c r="OQ84" i="39"/>
  <c r="OT84" i="39"/>
  <c r="O84" i="39"/>
  <c r="Q84" i="39"/>
  <c r="K84" i="39"/>
  <c r="M84" i="39"/>
  <c r="OI83" i="39"/>
  <c r="OS83" i="39"/>
  <c r="BH83" i="39"/>
  <c r="BI83" i="39"/>
  <c r="HD83" i="39"/>
  <c r="O83" i="39"/>
  <c r="OP83" i="39"/>
  <c r="OG83" i="39"/>
  <c r="K83" i="39"/>
  <c r="OI82" i="39"/>
  <c r="OS82" i="39"/>
  <c r="BH82" i="39"/>
  <c r="BI82" i="39"/>
  <c r="HD82" i="39"/>
  <c r="OG82" i="39"/>
  <c r="O82" i="39"/>
  <c r="K82" i="39"/>
  <c r="M82" i="39"/>
  <c r="OG81" i="39"/>
  <c r="OI81" i="39"/>
  <c r="OS81" i="39"/>
  <c r="BH81" i="39"/>
  <c r="BI81" i="39"/>
  <c r="HD81" i="39"/>
  <c r="O81" i="39"/>
  <c r="K81" i="39"/>
  <c r="BH80" i="39"/>
  <c r="S80" i="39"/>
  <c r="U80" i="39"/>
  <c r="HD80" i="39"/>
  <c r="O80" i="39"/>
  <c r="Q80" i="39"/>
  <c r="OI80" i="39"/>
  <c r="OS80" i="39"/>
  <c r="OG80" i="39"/>
  <c r="OJ80" i="39"/>
  <c r="K80" i="39"/>
  <c r="OI79" i="39"/>
  <c r="OS79" i="39"/>
  <c r="S79" i="39"/>
  <c r="U79" i="39"/>
  <c r="BH79" i="39"/>
  <c r="BI79" i="39"/>
  <c r="HD79" i="39"/>
  <c r="OG79" i="39"/>
  <c r="O79" i="39"/>
  <c r="Q79" i="39"/>
  <c r="K79" i="39"/>
  <c r="OI78" i="39"/>
  <c r="OS78" i="39"/>
  <c r="S78" i="39"/>
  <c r="U78" i="39"/>
  <c r="BI78" i="39"/>
  <c r="BH78" i="39"/>
  <c r="HD78" i="39"/>
  <c r="OG78" i="39"/>
  <c r="O78" i="39"/>
  <c r="K78" i="39"/>
  <c r="OG77" i="39"/>
  <c r="OI77" i="39"/>
  <c r="OS77" i="39"/>
  <c r="S77" i="39"/>
  <c r="U77" i="39"/>
  <c r="BH77" i="39"/>
  <c r="BI77" i="39"/>
  <c r="HD77" i="39"/>
  <c r="O77" i="39"/>
  <c r="K77" i="39"/>
  <c r="BH76" i="39"/>
  <c r="BI76" i="39"/>
  <c r="HD76" i="39"/>
  <c r="OI76" i="39"/>
  <c r="OS76" i="39"/>
  <c r="OG76" i="39"/>
  <c r="O76" i="39"/>
  <c r="OP76" i="39"/>
  <c r="K76" i="39"/>
  <c r="OI75" i="39"/>
  <c r="OS75" i="39"/>
  <c r="BH75" i="39"/>
  <c r="BI75" i="39"/>
  <c r="HD75" i="39"/>
  <c r="OG75" i="39"/>
  <c r="OQ75" i="39"/>
  <c r="O75" i="39"/>
  <c r="K75" i="39"/>
  <c r="OI74" i="39"/>
  <c r="OS74" i="39"/>
  <c r="BH74" i="39"/>
  <c r="BI74" i="39"/>
  <c r="HD74" i="39"/>
  <c r="OG74" i="39"/>
  <c r="OJ74" i="39"/>
  <c r="O74" i="39"/>
  <c r="OP74" i="39"/>
  <c r="K74" i="39"/>
  <c r="OG73" i="39"/>
  <c r="OI73" i="39"/>
  <c r="OS73" i="39"/>
  <c r="BH73" i="39"/>
  <c r="BI73" i="39"/>
  <c r="HD73" i="39"/>
  <c r="O73" i="39"/>
  <c r="OP73" i="39"/>
  <c r="K73" i="39"/>
  <c r="BH72" i="39"/>
  <c r="BI72" i="39"/>
  <c r="HD72" i="39"/>
  <c r="OI72" i="39"/>
  <c r="OS72" i="39"/>
  <c r="OG72" i="39"/>
  <c r="O72" i="39"/>
  <c r="K72" i="39"/>
  <c r="OO72" i="39"/>
  <c r="OI71" i="39"/>
  <c r="OS71" i="39"/>
  <c r="BH71" i="39"/>
  <c r="BI71" i="39"/>
  <c r="HD71" i="39"/>
  <c r="OG71" i="39"/>
  <c r="O71" i="39"/>
  <c r="K71" i="39"/>
  <c r="OI70" i="39"/>
  <c r="OS70" i="39"/>
  <c r="BH70" i="39"/>
  <c r="BI70" i="39"/>
  <c r="HD70" i="39"/>
  <c r="OG70" i="39"/>
  <c r="O70" i="39"/>
  <c r="OP70" i="39"/>
  <c r="K70" i="39"/>
  <c r="OO70" i="39"/>
  <c r="OG69" i="39"/>
  <c r="OI69" i="39"/>
  <c r="OS69" i="39"/>
  <c r="BH69" i="39"/>
  <c r="BI69" i="39"/>
  <c r="HD69" i="39"/>
  <c r="O69" i="39"/>
  <c r="K69" i="39"/>
  <c r="OO69" i="39"/>
  <c r="BH68" i="39"/>
  <c r="BI68" i="39"/>
  <c r="HD68" i="39"/>
  <c r="OI68" i="39"/>
  <c r="OS68" i="39"/>
  <c r="OG68" i="39"/>
  <c r="OQ68" i="39"/>
  <c r="O68" i="39"/>
  <c r="K68" i="39"/>
  <c r="M68" i="39"/>
  <c r="BH67" i="39"/>
  <c r="BI67" i="39"/>
  <c r="HD67" i="39"/>
  <c r="OI67" i="39"/>
  <c r="OS67" i="39"/>
  <c r="OG67" i="39"/>
  <c r="OQ67" i="39"/>
  <c r="OT67" i="39"/>
  <c r="O67" i="39"/>
  <c r="K67" i="39"/>
  <c r="M67" i="39"/>
  <c r="OI66" i="39"/>
  <c r="OS66" i="39"/>
  <c r="BH66" i="39"/>
  <c r="BI66" i="39"/>
  <c r="HD66" i="39"/>
  <c r="OG66" i="39"/>
  <c r="O66" i="39"/>
  <c r="OP66" i="39"/>
  <c r="K66" i="39"/>
  <c r="M66" i="39"/>
  <c r="OG65" i="39"/>
  <c r="OQ65" i="39"/>
  <c r="OT65" i="39"/>
  <c r="OI65" i="39"/>
  <c r="OS65" i="39"/>
  <c r="BH65" i="39"/>
  <c r="BI65" i="39"/>
  <c r="HD65" i="39"/>
  <c r="O65" i="39"/>
  <c r="Q65" i="39"/>
  <c r="K65" i="39"/>
  <c r="OO65" i="39"/>
  <c r="BH64" i="39"/>
  <c r="BI64" i="39"/>
  <c r="HD64" i="39"/>
  <c r="OI64" i="39"/>
  <c r="OS64" i="39"/>
  <c r="OG64" i="39"/>
  <c r="O64" i="39"/>
  <c r="K64" i="39"/>
  <c r="OI63" i="39"/>
  <c r="OS63" i="39"/>
  <c r="BH63" i="39"/>
  <c r="BI63" i="39"/>
  <c r="HD63" i="39"/>
  <c r="OG63" i="39"/>
  <c r="O63" i="39"/>
  <c r="K63" i="39"/>
  <c r="OO63" i="39"/>
  <c r="OI62" i="39"/>
  <c r="OS62" i="39"/>
  <c r="BH62" i="39"/>
  <c r="BI62" i="39"/>
  <c r="HD62" i="39"/>
  <c r="OG62" i="39"/>
  <c r="OQ62" i="39"/>
  <c r="OT62" i="39"/>
  <c r="O62" i="39"/>
  <c r="K62" i="39"/>
  <c r="OG61" i="39"/>
  <c r="BI61" i="39"/>
  <c r="HD61" i="39"/>
  <c r="O61" i="39"/>
  <c r="OP61" i="39"/>
  <c r="OI61" i="39"/>
  <c r="OS61" i="39"/>
  <c r="K61" i="39"/>
  <c r="OO61" i="39"/>
  <c r="BI60" i="39"/>
  <c r="HD60" i="39"/>
  <c r="OI60" i="39"/>
  <c r="OS60" i="39"/>
  <c r="OG60" i="39"/>
  <c r="O60" i="39"/>
  <c r="OP60" i="39"/>
  <c r="K60" i="39"/>
  <c r="OI59" i="39"/>
  <c r="OS59" i="39"/>
  <c r="BH59" i="39"/>
  <c r="BI59" i="39"/>
  <c r="HD59" i="39"/>
  <c r="OG59" i="39"/>
  <c r="OQ59" i="39"/>
  <c r="OT59" i="39"/>
  <c r="O59" i="39"/>
  <c r="K59" i="39"/>
  <c r="OO59" i="39"/>
  <c r="OI58" i="39"/>
  <c r="OS58" i="39"/>
  <c r="BH58" i="39"/>
  <c r="BI58" i="39"/>
  <c r="HD58" i="39"/>
  <c r="OG58" i="39"/>
  <c r="O58" i="39"/>
  <c r="OP58" i="39"/>
  <c r="K58" i="39"/>
  <c r="OG57" i="39"/>
  <c r="OQ57" i="39"/>
  <c r="OT57" i="39"/>
  <c r="OI57" i="39"/>
  <c r="OS57" i="39"/>
  <c r="BH57" i="39"/>
  <c r="BI57" i="39"/>
  <c r="HD57" i="39"/>
  <c r="O57" i="39"/>
  <c r="K57" i="39"/>
  <c r="OI56" i="39"/>
  <c r="OS56" i="39"/>
  <c r="BH56" i="39"/>
  <c r="S56" i="39"/>
  <c r="BI56" i="39"/>
  <c r="HD56" i="39"/>
  <c r="OG56" i="39"/>
  <c r="O56" i="39"/>
  <c r="OP56" i="39"/>
  <c r="K56" i="39"/>
  <c r="OI55" i="39"/>
  <c r="OS55" i="39"/>
  <c r="BH55" i="39"/>
  <c r="BI55" i="39"/>
  <c r="HD55" i="39"/>
  <c r="OG55" i="39"/>
  <c r="OQ55" i="39"/>
  <c r="O55" i="39"/>
  <c r="OP55" i="39"/>
  <c r="K55" i="39"/>
  <c r="OI54" i="39"/>
  <c r="OS54" i="39"/>
  <c r="BH54" i="39"/>
  <c r="BI54" i="39"/>
  <c r="HD54" i="39"/>
  <c r="OG54" i="39"/>
  <c r="O54" i="39"/>
  <c r="K54" i="39"/>
  <c r="M54" i="39"/>
  <c r="OG53" i="39"/>
  <c r="BH53" i="39"/>
  <c r="BI53" i="39"/>
  <c r="HD53" i="39"/>
  <c r="O53" i="39"/>
  <c r="OP53" i="39"/>
  <c r="OI53" i="39"/>
  <c r="OS53" i="39"/>
  <c r="K53" i="39"/>
  <c r="OO53" i="39"/>
  <c r="BH52" i="39"/>
  <c r="BI52" i="39"/>
  <c r="HD52" i="39"/>
  <c r="OI52" i="39"/>
  <c r="OS52" i="39"/>
  <c r="OG52" i="39"/>
  <c r="O52" i="39"/>
  <c r="OP52" i="39"/>
  <c r="K52" i="39"/>
  <c r="OO52" i="39"/>
  <c r="OI51" i="39"/>
  <c r="OS51" i="39"/>
  <c r="BH51" i="39"/>
  <c r="BI51" i="39"/>
  <c r="HD51" i="39"/>
  <c r="OG51" i="39"/>
  <c r="O51" i="39"/>
  <c r="K51" i="39"/>
  <c r="OO51" i="39"/>
  <c r="OI50" i="39"/>
  <c r="OS50" i="39"/>
  <c r="BH50" i="39"/>
  <c r="BI50" i="39"/>
  <c r="HD50" i="39"/>
  <c r="OG50" i="39"/>
  <c r="O50" i="39"/>
  <c r="K50" i="39"/>
  <c r="OG49" i="39"/>
  <c r="OQ49" i="39"/>
  <c r="OT49" i="39"/>
  <c r="OI49" i="39"/>
  <c r="OS49" i="39"/>
  <c r="BH49" i="39"/>
  <c r="BI49" i="39"/>
  <c r="HD49" i="39"/>
  <c r="O49" i="39"/>
  <c r="K49" i="39"/>
  <c r="BH48" i="39"/>
  <c r="BI48" i="39"/>
  <c r="HD48" i="39"/>
  <c r="OI48" i="39"/>
  <c r="OS48" i="39"/>
  <c r="OG48" i="39"/>
  <c r="O48" i="39"/>
  <c r="K48" i="39"/>
  <c r="OI47" i="39"/>
  <c r="OS47" i="39"/>
  <c r="BH47" i="39"/>
  <c r="BI47" i="39"/>
  <c r="HD47" i="39"/>
  <c r="OG47" i="39"/>
  <c r="O47" i="39"/>
  <c r="Q47" i="39"/>
  <c r="K47" i="39"/>
  <c r="OI46" i="39"/>
  <c r="OS46" i="39"/>
  <c r="BH46" i="39"/>
  <c r="HC46" i="39"/>
  <c r="HE46" i="39"/>
  <c r="BI46" i="39"/>
  <c r="HD46" i="39"/>
  <c r="OG46" i="39"/>
  <c r="OJ46" i="39"/>
  <c r="O46" i="39"/>
  <c r="OP46" i="39"/>
  <c r="K46" i="39"/>
  <c r="OO46" i="39"/>
  <c r="OG45" i="39"/>
  <c r="BH45" i="39"/>
  <c r="BI45" i="39"/>
  <c r="HD45" i="39"/>
  <c r="O45" i="39"/>
  <c r="OI45" i="39"/>
  <c r="OS45" i="39"/>
  <c r="K45" i="39"/>
  <c r="OO45" i="39"/>
  <c r="BH44" i="39"/>
  <c r="BI44" i="39"/>
  <c r="HD44" i="39"/>
  <c r="OI44" i="39"/>
  <c r="OS44" i="39"/>
  <c r="OG44" i="39"/>
  <c r="OJ44" i="39"/>
  <c r="O44" i="39"/>
  <c r="OP44" i="39"/>
  <c r="K44" i="39"/>
  <c r="OI43" i="39"/>
  <c r="OS43" i="39"/>
  <c r="OH43" i="39"/>
  <c r="OG43" i="39"/>
  <c r="OJ43" i="39"/>
  <c r="OP43" i="39"/>
  <c r="OO43" i="39"/>
  <c r="OI42" i="39"/>
  <c r="OS42" i="39"/>
  <c r="BH42" i="39"/>
  <c r="BI42" i="39"/>
  <c r="HD42" i="39"/>
  <c r="OG42" i="39"/>
  <c r="O42" i="39"/>
  <c r="K42" i="39"/>
  <c r="OG41" i="39"/>
  <c r="OI41" i="39"/>
  <c r="OS41" i="39"/>
  <c r="BH41" i="39"/>
  <c r="BI41" i="39"/>
  <c r="HD41" i="39"/>
  <c r="O41" i="39"/>
  <c r="K41" i="39"/>
  <c r="BH40" i="39"/>
  <c r="BI40" i="39"/>
  <c r="HD40" i="39"/>
  <c r="OI40" i="39"/>
  <c r="OS40" i="39"/>
  <c r="OG40" i="39"/>
  <c r="O40" i="39"/>
  <c r="OP40" i="39"/>
  <c r="K40" i="39"/>
  <c r="BH39" i="39"/>
  <c r="BI39" i="39"/>
  <c r="HD39" i="39"/>
  <c r="OI39" i="39"/>
  <c r="OS39" i="39"/>
  <c r="OG39" i="39"/>
  <c r="OQ39" i="39"/>
  <c r="OT39" i="39"/>
  <c r="O39" i="39"/>
  <c r="K39" i="39"/>
  <c r="OO39" i="39"/>
  <c r="OI38" i="39"/>
  <c r="OS38" i="39"/>
  <c r="BH38" i="39"/>
  <c r="BI38" i="39"/>
  <c r="HD38" i="39"/>
  <c r="OG38" i="39"/>
  <c r="O38" i="39"/>
  <c r="OP38" i="39"/>
  <c r="K38" i="39"/>
  <c r="OG37" i="39"/>
  <c r="OQ37" i="39"/>
  <c r="BH37" i="39"/>
  <c r="BI37" i="39"/>
  <c r="HD37" i="39"/>
  <c r="O37" i="39"/>
  <c r="OI37" i="39"/>
  <c r="OS37" i="39"/>
  <c r="K37" i="39"/>
  <c r="OO37" i="39"/>
  <c r="BH36" i="39"/>
  <c r="BI36" i="39"/>
  <c r="HD36" i="39"/>
  <c r="OG36" i="39"/>
  <c r="O36" i="39"/>
  <c r="OI36" i="39"/>
  <c r="OS36" i="39"/>
  <c r="K36" i="39"/>
  <c r="M36" i="39"/>
  <c r="BH35" i="39"/>
  <c r="BI35" i="39"/>
  <c r="HD35" i="39"/>
  <c r="OI35" i="39"/>
  <c r="OS35" i="39"/>
  <c r="OG35" i="39"/>
  <c r="O35" i="39"/>
  <c r="Q35" i="39"/>
  <c r="K35" i="39"/>
  <c r="OI34" i="39"/>
  <c r="OS34" i="39"/>
  <c r="BH34" i="39"/>
  <c r="BI34" i="39"/>
  <c r="HD34" i="39"/>
  <c r="OG34" i="39"/>
  <c r="OQ34" i="39"/>
  <c r="OT34" i="39"/>
  <c r="O34" i="39"/>
  <c r="K34" i="39"/>
  <c r="OG33" i="39"/>
  <c r="OI33" i="39"/>
  <c r="OS33" i="39"/>
  <c r="BH33" i="39"/>
  <c r="BI33" i="39"/>
  <c r="HD33" i="39"/>
  <c r="HF33" i="39"/>
  <c r="O33" i="39"/>
  <c r="K33" i="39"/>
  <c r="BH32" i="39"/>
  <c r="BI32" i="39"/>
  <c r="HD32" i="39"/>
  <c r="OG32" i="39"/>
  <c r="OQ32" i="39"/>
  <c r="OT32" i="39"/>
  <c r="OG9" i="39"/>
  <c r="OQ9" i="39"/>
  <c r="O9" i="39"/>
  <c r="OP9" i="39"/>
  <c r="OG10" i="39"/>
  <c r="OG11" i="39"/>
  <c r="OG12" i="39"/>
  <c r="OJ12" i="39"/>
  <c r="OG13" i="39"/>
  <c r="OG14" i="39"/>
  <c r="OJ14" i="39"/>
  <c r="OG15" i="39"/>
  <c r="OG16" i="39"/>
  <c r="OG17" i="39"/>
  <c r="OG18" i="39"/>
  <c r="OG19" i="39"/>
  <c r="OG20" i="39"/>
  <c r="OG21" i="39"/>
  <c r="OQ21" i="39"/>
  <c r="OT21" i="39"/>
  <c r="OG22" i="39"/>
  <c r="OQ22" i="39"/>
  <c r="OT22" i="39"/>
  <c r="OG23" i="39"/>
  <c r="OG24" i="39"/>
  <c r="OG25" i="39"/>
  <c r="OG26" i="39"/>
  <c r="OG27" i="39"/>
  <c r="OG28" i="39"/>
  <c r="OG29" i="39"/>
  <c r="OQ29" i="39"/>
  <c r="OT29" i="39"/>
  <c r="OG30" i="39"/>
  <c r="OG31" i="39"/>
  <c r="O32" i="39"/>
  <c r="OP32" i="39"/>
  <c r="O10" i="39"/>
  <c r="OP10" i="39"/>
  <c r="O11" i="39"/>
  <c r="O12" i="39"/>
  <c r="O13" i="39"/>
  <c r="O14" i="39"/>
  <c r="O15" i="39"/>
  <c r="O16" i="39"/>
  <c r="OP16" i="39"/>
  <c r="O17" i="39"/>
  <c r="O18" i="39"/>
  <c r="O19" i="39"/>
  <c r="O20" i="39"/>
  <c r="O21" i="39"/>
  <c r="O22" i="39"/>
  <c r="Q22" i="39"/>
  <c r="O23" i="39"/>
  <c r="Q23" i="39"/>
  <c r="O24" i="39"/>
  <c r="OP24" i="39"/>
  <c r="O25" i="39"/>
  <c r="O26" i="39"/>
  <c r="OP26" i="39"/>
  <c r="O27" i="39"/>
  <c r="O28" i="39"/>
  <c r="OP28" i="39"/>
  <c r="O29" i="39"/>
  <c r="OP29" i="39"/>
  <c r="O30" i="39"/>
  <c r="OP30" i="39"/>
  <c r="O31" i="39"/>
  <c r="OI32" i="39"/>
  <c r="OS32" i="39"/>
  <c r="K32" i="39"/>
  <c r="OO32" i="39"/>
  <c r="K9" i="39"/>
  <c r="K10" i="39"/>
  <c r="M10" i="39"/>
  <c r="K11" i="39"/>
  <c r="K12" i="39"/>
  <c r="OO12" i="39"/>
  <c r="K13" i="39"/>
  <c r="K14" i="39"/>
  <c r="OO14" i="39"/>
  <c r="K15" i="39"/>
  <c r="OO15" i="39"/>
  <c r="K16" i="39"/>
  <c r="K17" i="39"/>
  <c r="K18" i="39"/>
  <c r="K19" i="39"/>
  <c r="K20" i="39"/>
  <c r="K21" i="39"/>
  <c r="OO21" i="39"/>
  <c r="K22" i="39"/>
  <c r="OO22" i="39"/>
  <c r="K23" i="39"/>
  <c r="OO23" i="39"/>
  <c r="K24" i="39"/>
  <c r="K25" i="39"/>
  <c r="OO25" i="39"/>
  <c r="K26" i="39"/>
  <c r="K27" i="39"/>
  <c r="K28" i="39"/>
  <c r="OO28" i="39"/>
  <c r="K29" i="39"/>
  <c r="K30" i="39"/>
  <c r="M30" i="39"/>
  <c r="K31" i="39"/>
  <c r="BH31" i="39"/>
  <c r="BI31" i="39"/>
  <c r="HD31" i="39"/>
  <c r="OI31" i="39"/>
  <c r="OS31" i="39"/>
  <c r="OI30" i="39"/>
  <c r="OS30" i="39"/>
  <c r="BH30" i="39"/>
  <c r="BI30" i="39"/>
  <c r="HD30" i="39"/>
  <c r="OI29" i="39"/>
  <c r="OS29" i="39"/>
  <c r="BH29" i="39"/>
  <c r="BI29" i="39"/>
  <c r="HD29" i="39"/>
  <c r="BH28" i="39"/>
  <c r="BI28" i="39"/>
  <c r="HD28" i="39"/>
  <c r="OI28" i="39"/>
  <c r="OS28" i="39"/>
  <c r="BH27" i="39"/>
  <c r="BI27" i="39"/>
  <c r="HD27" i="39"/>
  <c r="OI27" i="39"/>
  <c r="OS27" i="39"/>
  <c r="OI26" i="39"/>
  <c r="OS26" i="39"/>
  <c r="BH26" i="39"/>
  <c r="BI26" i="39"/>
  <c r="HD26" i="39"/>
  <c r="OI25" i="39"/>
  <c r="OS25" i="39"/>
  <c r="BH25" i="39"/>
  <c r="BI25" i="39"/>
  <c r="HD25" i="39"/>
  <c r="BH24" i="39"/>
  <c r="BI24" i="39"/>
  <c r="HD24" i="39"/>
  <c r="OI24" i="39"/>
  <c r="OS24" i="39"/>
  <c r="BH23" i="39"/>
  <c r="BI23" i="39"/>
  <c r="HD23" i="39"/>
  <c r="OI23" i="39"/>
  <c r="OS23" i="39"/>
  <c r="OI22" i="39"/>
  <c r="OS22" i="39"/>
  <c r="BH22" i="39"/>
  <c r="BI22" i="39"/>
  <c r="HD22" i="39"/>
  <c r="OI21" i="39"/>
  <c r="OS21" i="39"/>
  <c r="BH21" i="39"/>
  <c r="BI21" i="39"/>
  <c r="HD21" i="39"/>
  <c r="BH20" i="39"/>
  <c r="BI20" i="39"/>
  <c r="HD20" i="39"/>
  <c r="OI20" i="39"/>
  <c r="OS20" i="39"/>
  <c r="BH19" i="39"/>
  <c r="BI19" i="39"/>
  <c r="HD19" i="39"/>
  <c r="OI19" i="39"/>
  <c r="OS19" i="39"/>
  <c r="OI18" i="39"/>
  <c r="OS18" i="39"/>
  <c r="BH18" i="39"/>
  <c r="BI18" i="39"/>
  <c r="HD18" i="39"/>
  <c r="OI17" i="39"/>
  <c r="OS17" i="39"/>
  <c r="BH17" i="39"/>
  <c r="BI17" i="39"/>
  <c r="HD17" i="39"/>
  <c r="BH16" i="39"/>
  <c r="BI16" i="39"/>
  <c r="HD16" i="39"/>
  <c r="OI16" i="39"/>
  <c r="OS16" i="39"/>
  <c r="BH15" i="39"/>
  <c r="BI15" i="39"/>
  <c r="HD15" i="39"/>
  <c r="OI15" i="39"/>
  <c r="OS15" i="39"/>
  <c r="OI14" i="39"/>
  <c r="OS14" i="39"/>
  <c r="BH14" i="39"/>
  <c r="BI14" i="39"/>
  <c r="HD14" i="39"/>
  <c r="OI13" i="39"/>
  <c r="OS13" i="39"/>
  <c r="S13" i="39"/>
  <c r="BI13" i="39"/>
  <c r="HD13" i="39"/>
  <c r="BH12" i="39"/>
  <c r="BI12" i="39"/>
  <c r="HD12" i="39"/>
  <c r="OI12" i="39"/>
  <c r="OS12" i="39"/>
  <c r="BH11" i="39"/>
  <c r="BI11" i="39"/>
  <c r="HD11" i="39"/>
  <c r="OI11" i="39"/>
  <c r="OI10" i="39"/>
  <c r="OS10" i="39"/>
  <c r="BH10" i="39"/>
  <c r="BI10" i="39"/>
  <c r="HD10" i="39"/>
  <c r="OI9" i="39"/>
  <c r="OS9" i="39"/>
  <c r="BH9" i="39"/>
  <c r="BI9" i="39"/>
  <c r="HD9" i="39"/>
  <c r="OF26" i="34"/>
  <c r="OF9" i="34"/>
  <c r="OF10" i="34"/>
  <c r="OF11" i="34"/>
  <c r="OF12" i="34"/>
  <c r="OF13" i="34"/>
  <c r="OF14" i="34"/>
  <c r="OF15" i="34"/>
  <c r="OF16" i="34"/>
  <c r="OF17" i="34"/>
  <c r="OF18" i="34"/>
  <c r="OF19" i="34"/>
  <c r="OF20" i="34"/>
  <c r="OF21" i="34"/>
  <c r="OF22" i="34"/>
  <c r="OF23" i="34"/>
  <c r="OF24" i="34"/>
  <c r="OF25" i="34"/>
  <c r="OF27" i="34"/>
  <c r="OF28" i="34"/>
  <c r="OF29" i="34"/>
  <c r="OF30" i="34"/>
  <c r="OF31" i="34"/>
  <c r="OF32" i="34"/>
  <c r="OF33" i="34"/>
  <c r="OF34" i="34"/>
  <c r="OF35" i="34"/>
  <c r="OF36" i="34"/>
  <c r="OF37" i="34"/>
  <c r="OF38" i="34"/>
  <c r="OF39" i="34"/>
  <c r="OF40" i="34"/>
  <c r="OF41" i="34"/>
  <c r="OF42" i="34"/>
  <c r="OF43" i="34"/>
  <c r="OF44" i="34"/>
  <c r="OF45" i="34"/>
  <c r="OF46" i="34"/>
  <c r="OF47" i="34"/>
  <c r="OF48" i="34"/>
  <c r="OF49" i="34"/>
  <c r="OF50" i="34"/>
  <c r="OF51" i="34"/>
  <c r="OF53" i="34"/>
  <c r="OF54" i="34"/>
  <c r="OF55" i="34"/>
  <c r="OE10" i="34"/>
  <c r="OE11" i="34"/>
  <c r="OE12" i="34"/>
  <c r="OE13" i="34"/>
  <c r="OE14" i="34"/>
  <c r="OE15" i="34"/>
  <c r="OE16" i="34"/>
  <c r="OE17" i="34"/>
  <c r="OE18" i="34"/>
  <c r="OE19" i="34"/>
  <c r="OE20" i="34"/>
  <c r="OE21" i="34"/>
  <c r="OE22" i="34"/>
  <c r="OE23" i="34"/>
  <c r="OE24" i="34"/>
  <c r="OE25" i="34"/>
  <c r="OE26" i="34"/>
  <c r="OE27" i="34"/>
  <c r="OE28" i="34"/>
  <c r="OE29" i="34"/>
  <c r="OE30" i="34"/>
  <c r="OE31" i="34"/>
  <c r="OE32" i="34"/>
  <c r="OE33" i="34"/>
  <c r="OE34" i="34"/>
  <c r="OE35" i="34"/>
  <c r="OE36" i="34"/>
  <c r="OE37" i="34"/>
  <c r="OE38" i="34"/>
  <c r="OE39" i="34"/>
  <c r="OE40" i="34"/>
  <c r="OE41" i="34"/>
  <c r="OE42" i="34"/>
  <c r="OE43" i="34"/>
  <c r="OE44" i="34"/>
  <c r="OE45" i="34"/>
  <c r="OE46" i="34"/>
  <c r="OE47" i="34"/>
  <c r="OE48" i="34"/>
  <c r="OE49" i="34"/>
  <c r="OE50" i="34"/>
  <c r="OE51" i="34"/>
  <c r="OE53" i="34"/>
  <c r="OE54" i="34"/>
  <c r="OE55" i="34"/>
  <c r="OE9" i="34"/>
  <c r="OF27" i="32"/>
  <c r="OF9" i="32"/>
  <c r="OF10" i="32"/>
  <c r="OF11" i="32"/>
  <c r="OF12" i="32"/>
  <c r="OF13" i="32"/>
  <c r="OF14" i="32"/>
  <c r="OF15" i="32"/>
  <c r="OF16" i="32"/>
  <c r="OF17" i="32"/>
  <c r="OF18" i="32"/>
  <c r="OF19" i="32"/>
  <c r="OF20" i="32"/>
  <c r="OF21" i="32"/>
  <c r="OF22" i="32"/>
  <c r="OF23" i="32"/>
  <c r="OF24" i="32"/>
  <c r="OF25" i="32"/>
  <c r="OF26" i="32"/>
  <c r="OF30" i="32"/>
  <c r="OF31" i="32"/>
  <c r="OE10" i="32"/>
  <c r="OE11" i="32"/>
  <c r="OE12" i="32"/>
  <c r="OE13" i="32"/>
  <c r="OE14" i="32"/>
  <c r="OE15" i="32"/>
  <c r="OE16" i="32"/>
  <c r="OE17" i="32"/>
  <c r="OE18" i="32"/>
  <c r="OE19" i="32"/>
  <c r="OE20" i="32"/>
  <c r="OE21" i="32"/>
  <c r="OE22" i="32"/>
  <c r="OE23" i="32"/>
  <c r="OE24" i="32"/>
  <c r="OE25" i="32"/>
  <c r="OE26" i="32"/>
  <c r="OE27" i="32"/>
  <c r="OE30" i="32"/>
  <c r="OE31" i="32"/>
  <c r="OE9" i="32"/>
  <c r="OF9" i="31"/>
  <c r="OF10" i="31"/>
  <c r="OF11" i="31"/>
  <c r="OF12" i="31"/>
  <c r="OF13" i="31"/>
  <c r="OF14" i="31"/>
  <c r="OF15" i="31"/>
  <c r="OF16" i="31"/>
  <c r="OF17" i="31"/>
  <c r="OF18" i="31"/>
  <c r="OF19" i="31"/>
  <c r="OF20" i="31"/>
  <c r="OF21" i="31"/>
  <c r="OF23" i="31"/>
  <c r="OF24" i="31"/>
  <c r="OF25" i="31"/>
  <c r="OF26" i="31"/>
  <c r="OF27" i="31"/>
  <c r="OF28" i="31"/>
  <c r="OF29" i="31"/>
  <c r="OF30" i="31"/>
  <c r="OF31" i="31"/>
  <c r="OF32" i="31"/>
  <c r="OE10" i="31"/>
  <c r="OE11" i="31"/>
  <c r="OE12" i="31"/>
  <c r="OE13" i="31"/>
  <c r="OE14" i="31"/>
  <c r="OE15" i="31"/>
  <c r="OE16" i="31"/>
  <c r="OE17" i="31"/>
  <c r="OE18" i="31"/>
  <c r="OE19" i="31"/>
  <c r="OE20" i="31"/>
  <c r="OE21" i="31"/>
  <c r="OE23" i="31"/>
  <c r="OE24" i="31"/>
  <c r="OE25" i="31"/>
  <c r="OE26" i="31"/>
  <c r="OE27" i="31"/>
  <c r="OE28" i="31"/>
  <c r="OE29" i="31"/>
  <c r="OE30" i="31"/>
  <c r="OE31" i="31"/>
  <c r="OE32" i="31"/>
  <c r="OE9" i="31"/>
  <c r="OF56" i="39"/>
  <c r="OF57" i="39"/>
  <c r="OF83" i="39"/>
  <c r="OF9" i="39"/>
  <c r="OF10" i="39"/>
  <c r="OF11" i="39"/>
  <c r="OF12" i="39"/>
  <c r="OF13" i="39"/>
  <c r="OF14" i="39"/>
  <c r="OF15" i="39"/>
  <c r="OF16" i="39"/>
  <c r="OF17" i="39"/>
  <c r="OF18" i="39"/>
  <c r="OF19" i="39"/>
  <c r="OF20" i="39"/>
  <c r="OF21" i="39"/>
  <c r="OF22" i="39"/>
  <c r="OF23" i="39"/>
  <c r="OF24" i="39"/>
  <c r="OF25" i="39"/>
  <c r="OF26" i="39"/>
  <c r="OF27" i="39"/>
  <c r="OF28" i="39"/>
  <c r="OF29" i="39"/>
  <c r="OF30" i="39"/>
  <c r="OF31" i="39"/>
  <c r="OF32" i="39"/>
  <c r="OF33" i="39"/>
  <c r="OF34" i="39"/>
  <c r="OF35" i="39"/>
  <c r="OF36" i="39"/>
  <c r="OF37" i="39"/>
  <c r="OF38" i="39"/>
  <c r="OF39" i="39"/>
  <c r="OF40" i="39"/>
  <c r="OF41" i="39"/>
  <c r="OF42" i="39"/>
  <c r="OF43" i="39"/>
  <c r="OF44" i="39"/>
  <c r="OF45" i="39"/>
  <c r="OF46" i="39"/>
  <c r="OF47" i="39"/>
  <c r="OF48" i="39"/>
  <c r="OF49" i="39"/>
  <c r="OF50" i="39"/>
  <c r="OF51" i="39"/>
  <c r="OF52" i="39"/>
  <c r="OF53" i="39"/>
  <c r="OF54" i="39"/>
  <c r="OF55" i="39"/>
  <c r="OF58" i="39"/>
  <c r="OF59" i="39"/>
  <c r="OF60" i="39"/>
  <c r="OF61" i="39"/>
  <c r="OF62" i="39"/>
  <c r="OF63" i="39"/>
  <c r="OF64" i="39"/>
  <c r="OF65" i="39"/>
  <c r="OF66" i="39"/>
  <c r="OF67" i="39"/>
  <c r="OF68" i="39"/>
  <c r="OF69" i="39"/>
  <c r="OF70" i="39"/>
  <c r="OF71" i="39"/>
  <c r="OF72" i="39"/>
  <c r="OF73" i="39"/>
  <c r="OF74" i="39"/>
  <c r="OF75" i="39"/>
  <c r="OF76" i="39"/>
  <c r="OF77" i="39"/>
  <c r="OF78" i="39"/>
  <c r="OF79" i="39"/>
  <c r="OF80" i="39"/>
  <c r="OF81" i="39"/>
  <c r="OF82" i="39"/>
  <c r="OF84" i="39"/>
  <c r="OF85" i="39"/>
  <c r="OF86" i="39"/>
  <c r="OE10" i="39"/>
  <c r="OE11" i="39"/>
  <c r="OE12" i="39"/>
  <c r="OE13" i="39"/>
  <c r="OE14" i="39"/>
  <c r="OE15" i="39"/>
  <c r="OE16" i="39"/>
  <c r="OE17" i="39"/>
  <c r="OE18" i="39"/>
  <c r="OE19" i="39"/>
  <c r="OE20" i="39"/>
  <c r="OE21" i="39"/>
  <c r="OE22" i="39"/>
  <c r="OE23" i="39"/>
  <c r="OE24" i="39"/>
  <c r="OE25" i="39"/>
  <c r="OE26" i="39"/>
  <c r="OE27" i="39"/>
  <c r="OE28" i="39"/>
  <c r="OE29" i="39"/>
  <c r="OE30" i="39"/>
  <c r="OE31" i="39"/>
  <c r="OE32" i="39"/>
  <c r="OE33" i="39"/>
  <c r="OE34" i="39"/>
  <c r="OE35" i="39"/>
  <c r="OE36" i="39"/>
  <c r="OE37" i="39"/>
  <c r="OE38" i="39"/>
  <c r="OE39" i="39"/>
  <c r="OE40" i="39"/>
  <c r="OE41" i="39"/>
  <c r="OE42" i="39"/>
  <c r="OE43" i="39"/>
  <c r="OE44" i="39"/>
  <c r="OE45" i="39"/>
  <c r="OE46" i="39"/>
  <c r="OE47" i="39"/>
  <c r="OE48" i="39"/>
  <c r="OE49" i="39"/>
  <c r="OE50" i="39"/>
  <c r="OE51" i="39"/>
  <c r="OE52" i="39"/>
  <c r="OE53" i="39"/>
  <c r="OE54" i="39"/>
  <c r="OE55" i="39"/>
  <c r="OE56" i="39"/>
  <c r="OE57" i="39"/>
  <c r="OE58" i="39"/>
  <c r="OE59" i="39"/>
  <c r="OE60" i="39"/>
  <c r="OE61" i="39"/>
  <c r="OE62" i="39"/>
  <c r="OE63" i="39"/>
  <c r="OE64" i="39"/>
  <c r="OE65" i="39"/>
  <c r="OE66" i="39"/>
  <c r="OE67" i="39"/>
  <c r="OE68" i="39"/>
  <c r="OE69" i="39"/>
  <c r="OE70" i="39"/>
  <c r="OE71" i="39"/>
  <c r="OE72" i="39"/>
  <c r="OE73" i="39"/>
  <c r="OE74" i="39"/>
  <c r="OE75" i="39"/>
  <c r="OE76" i="39"/>
  <c r="OE77" i="39"/>
  <c r="OE78" i="39"/>
  <c r="OE79" i="39"/>
  <c r="OE80" i="39"/>
  <c r="OE81" i="39"/>
  <c r="OE82" i="39"/>
  <c r="OE83" i="39"/>
  <c r="OE84" i="39"/>
  <c r="OE85" i="39"/>
  <c r="OE86" i="39"/>
  <c r="OE9" i="39"/>
  <c r="D36" i="32"/>
  <c r="R36" i="32"/>
  <c r="AN36" i="32"/>
  <c r="CB36" i="32"/>
  <c r="BC31" i="32"/>
  <c r="BC30" i="32"/>
  <c r="BC27" i="32"/>
  <c r="BC26" i="32"/>
  <c r="BC25" i="32"/>
  <c r="BC24" i="32"/>
  <c r="BC23" i="32"/>
  <c r="BC22" i="32"/>
  <c r="BC21" i="32"/>
  <c r="BC20" i="32"/>
  <c r="BC19" i="32"/>
  <c r="BC18" i="32"/>
  <c r="BC17" i="32"/>
  <c r="BC16" i="32"/>
  <c r="BC15" i="32"/>
  <c r="BC14" i="32"/>
  <c r="BC13" i="32"/>
  <c r="BC12" i="32"/>
  <c r="BC11" i="32"/>
  <c r="BC10" i="32"/>
  <c r="BC9" i="32"/>
  <c r="Z93" i="19"/>
  <c r="Z105" i="19"/>
  <c r="Z103" i="19"/>
  <c r="Z104" i="19"/>
  <c r="Z10" i="19"/>
  <c r="Z12" i="19"/>
  <c r="Z13" i="19"/>
  <c r="Z14" i="19"/>
  <c r="Z15" i="19"/>
  <c r="Z16" i="19"/>
  <c r="Z17" i="19"/>
  <c r="Z18" i="19"/>
  <c r="Z21" i="19"/>
  <c r="Z22" i="19"/>
  <c r="Z23" i="19"/>
  <c r="Z24" i="19"/>
  <c r="BA24" i="19"/>
  <c r="Z25" i="19"/>
  <c r="Z26" i="19"/>
  <c r="Z27" i="19"/>
  <c r="Z28" i="19"/>
  <c r="Z29" i="19"/>
  <c r="Z30" i="19"/>
  <c r="Z31" i="19"/>
  <c r="Z33" i="19"/>
  <c r="Z34" i="19"/>
  <c r="Z35" i="19"/>
  <c r="Z36" i="19"/>
  <c r="Z39" i="19"/>
  <c r="Z40" i="19"/>
  <c r="Z41" i="19"/>
  <c r="Z44" i="19"/>
  <c r="Z46" i="19"/>
  <c r="Z47" i="19"/>
  <c r="Z48" i="19"/>
  <c r="Z49" i="19"/>
  <c r="Z50" i="19"/>
  <c r="Z51" i="19"/>
  <c r="Z52" i="19"/>
  <c r="Z53" i="19"/>
  <c r="Z54" i="19"/>
  <c r="Z56" i="19"/>
  <c r="Z57" i="19"/>
  <c r="Z58" i="19"/>
  <c r="Z62" i="19"/>
  <c r="Z69" i="19"/>
  <c r="Z70" i="19"/>
  <c r="Z73" i="19"/>
  <c r="Z74" i="19"/>
  <c r="Z75" i="19"/>
  <c r="Z76" i="19"/>
  <c r="Z77" i="19"/>
  <c r="Z78" i="19"/>
  <c r="Z79" i="19"/>
  <c r="Z80" i="19"/>
  <c r="Z82" i="19"/>
  <c r="Z83" i="19"/>
  <c r="Z84" i="19"/>
  <c r="Z85" i="19"/>
  <c r="Z86" i="19"/>
  <c r="Z87" i="19"/>
  <c r="Z88" i="19"/>
  <c r="Z90" i="19"/>
  <c r="Z91" i="19"/>
  <c r="Z92" i="19"/>
  <c r="Z94" i="19"/>
  <c r="Z95" i="19"/>
  <c r="Z96" i="19"/>
  <c r="Z97" i="19"/>
  <c r="Z98" i="19"/>
  <c r="Z99" i="19"/>
  <c r="Z100" i="19"/>
  <c r="Z101" i="19"/>
  <c r="Z102" i="19"/>
  <c r="Z106" i="19"/>
  <c r="W86" i="39"/>
  <c r="IU86" i="39"/>
  <c r="W85" i="39"/>
  <c r="IU85" i="39"/>
  <c r="AF75" i="39"/>
  <c r="BE75" i="39"/>
  <c r="W20" i="21"/>
  <c r="IU20" i="21"/>
  <c r="Z26" i="34"/>
  <c r="Z86" i="39"/>
  <c r="Z85" i="39"/>
  <c r="Z84" i="39"/>
  <c r="Z83" i="39"/>
  <c r="Z82" i="39"/>
  <c r="Z75" i="39"/>
  <c r="Z71" i="39"/>
  <c r="Z70" i="39"/>
  <c r="Z69" i="39"/>
  <c r="Z66" i="39"/>
  <c r="Z63" i="39"/>
  <c r="Z62" i="39"/>
  <c r="Z59" i="39"/>
  <c r="Z57" i="39"/>
  <c r="Z55" i="39"/>
  <c r="Z54" i="39"/>
  <c r="Z53" i="39"/>
  <c r="Z51" i="39"/>
  <c r="Z50" i="39"/>
  <c r="Z48" i="39"/>
  <c r="Z46" i="39"/>
  <c r="Z45" i="39"/>
  <c r="Z32" i="39"/>
  <c r="Z27" i="39"/>
  <c r="Z26" i="39"/>
  <c r="Z22" i="39"/>
  <c r="Z20" i="21"/>
  <c r="Z12" i="39"/>
  <c r="Z11" i="39"/>
  <c r="Z10" i="39"/>
  <c r="Z68" i="39"/>
  <c r="Z49" i="39"/>
  <c r="Z47" i="39"/>
  <c r="Z44" i="39"/>
  <c r="Z39" i="39"/>
  <c r="Z34" i="39"/>
  <c r="Z31" i="39"/>
  <c r="Z30" i="39"/>
  <c r="Z29" i="39"/>
  <c r="Z28" i="39"/>
  <c r="Z14" i="39"/>
  <c r="OB70" i="35"/>
  <c r="OA70" i="35"/>
  <c r="NZ70" i="35"/>
  <c r="OB13" i="33"/>
  <c r="OA13" i="33"/>
  <c r="NZ13" i="33"/>
  <c r="OB36" i="32"/>
  <c r="OA36" i="32"/>
  <c r="NZ36" i="32"/>
  <c r="OB60" i="31"/>
  <c r="OA60" i="31"/>
  <c r="NZ60" i="31"/>
  <c r="OB29" i="22"/>
  <c r="OA29" i="22"/>
  <c r="NZ29" i="22"/>
  <c r="OB57" i="21"/>
  <c r="OA57" i="21"/>
  <c r="NZ57" i="21"/>
  <c r="EG84" i="39"/>
  <c r="EH84" i="39"/>
  <c r="EG85" i="39"/>
  <c r="EH85" i="39"/>
  <c r="EG86" i="39"/>
  <c r="EH86" i="39"/>
  <c r="BF84" i="39"/>
  <c r="BG84" i="39"/>
  <c r="BJ84" i="39"/>
  <c r="HF84" i="39"/>
  <c r="BF85" i="39"/>
  <c r="BG85" i="39"/>
  <c r="IP85" i="39"/>
  <c r="BJ85" i="39"/>
  <c r="BF86" i="39"/>
  <c r="BK86" i="39"/>
  <c r="BG86" i="39"/>
  <c r="IP86" i="39"/>
  <c r="IQ86" i="39"/>
  <c r="BJ86" i="39"/>
  <c r="NY10" i="35"/>
  <c r="NY11" i="35"/>
  <c r="NY12" i="35"/>
  <c r="NY13" i="35"/>
  <c r="NY14" i="35"/>
  <c r="NY15" i="35"/>
  <c r="NY16" i="35"/>
  <c r="NY17" i="35"/>
  <c r="NY18" i="35"/>
  <c r="NY19" i="35"/>
  <c r="NY20" i="35"/>
  <c r="NY21" i="35"/>
  <c r="NY22" i="35"/>
  <c r="NY23" i="35"/>
  <c r="NY24" i="35"/>
  <c r="NY25" i="35"/>
  <c r="NY26" i="35"/>
  <c r="NY27" i="35"/>
  <c r="NY28" i="35"/>
  <c r="NY29" i="35"/>
  <c r="NY30" i="35"/>
  <c r="NY31" i="35"/>
  <c r="NY32" i="35"/>
  <c r="NY33" i="35"/>
  <c r="NY34" i="35"/>
  <c r="NY35" i="35"/>
  <c r="NY36" i="35"/>
  <c r="NY37" i="35"/>
  <c r="NY38" i="35"/>
  <c r="NY39" i="35"/>
  <c r="NY40" i="35"/>
  <c r="NY41" i="35"/>
  <c r="NY42" i="35"/>
  <c r="NY43" i="35"/>
  <c r="NY44" i="35"/>
  <c r="NY45" i="35"/>
  <c r="NY46" i="35"/>
  <c r="NY47" i="35"/>
  <c r="NY48" i="35"/>
  <c r="NY49" i="35"/>
  <c r="NY50" i="35"/>
  <c r="NY51" i="35"/>
  <c r="NY52" i="35"/>
  <c r="NY53" i="35"/>
  <c r="NY54" i="35"/>
  <c r="NY55" i="35"/>
  <c r="NY57" i="35"/>
  <c r="NY58" i="35"/>
  <c r="NY59" i="35"/>
  <c r="NY9" i="35"/>
  <c r="NY10" i="34"/>
  <c r="NY11" i="34"/>
  <c r="NY12" i="34"/>
  <c r="NY13" i="34"/>
  <c r="NY14" i="34"/>
  <c r="NY15" i="34"/>
  <c r="NY16" i="34"/>
  <c r="NY17" i="34"/>
  <c r="NY18" i="34"/>
  <c r="NY19" i="34"/>
  <c r="NY20" i="34"/>
  <c r="NY21" i="34"/>
  <c r="NY22" i="34"/>
  <c r="NY23" i="34"/>
  <c r="NY24" i="34"/>
  <c r="NY25" i="34"/>
  <c r="NY26" i="34"/>
  <c r="NY27" i="34"/>
  <c r="NY28" i="34"/>
  <c r="NY29" i="34"/>
  <c r="NY30" i="34"/>
  <c r="NY31" i="34"/>
  <c r="NY32" i="34"/>
  <c r="NY33" i="34"/>
  <c r="NY34" i="34"/>
  <c r="NY35" i="34"/>
  <c r="NY36" i="34"/>
  <c r="NY37" i="34"/>
  <c r="NY38" i="34"/>
  <c r="NY39" i="34"/>
  <c r="NY40" i="34"/>
  <c r="NY41" i="34"/>
  <c r="NY42" i="34"/>
  <c r="NY43" i="34"/>
  <c r="NY44" i="34"/>
  <c r="NY45" i="34"/>
  <c r="NY46" i="34"/>
  <c r="NY47" i="34"/>
  <c r="NY48" i="34"/>
  <c r="NY49" i="34"/>
  <c r="NY50" i="34"/>
  <c r="NY51" i="34"/>
  <c r="NY53" i="34"/>
  <c r="NY54" i="34"/>
  <c r="NY55" i="34"/>
  <c r="NY9" i="34"/>
  <c r="NY10" i="33"/>
  <c r="NY9" i="33"/>
  <c r="NY10" i="32"/>
  <c r="NY11" i="32"/>
  <c r="NY12" i="32"/>
  <c r="NY13" i="32"/>
  <c r="NY14" i="32"/>
  <c r="NY15" i="32"/>
  <c r="NY16" i="32"/>
  <c r="NY17" i="32"/>
  <c r="NY18" i="32"/>
  <c r="NY19" i="32"/>
  <c r="NY20" i="32"/>
  <c r="NY21" i="32"/>
  <c r="NY22" i="32"/>
  <c r="NY23" i="32"/>
  <c r="NY24" i="32"/>
  <c r="NY25" i="32"/>
  <c r="NY26" i="32"/>
  <c r="NY27" i="32"/>
  <c r="NY30" i="32"/>
  <c r="NY31" i="32"/>
  <c r="NY9" i="32"/>
  <c r="NY10" i="21"/>
  <c r="NY11" i="21"/>
  <c r="NY12" i="21"/>
  <c r="NY13" i="21"/>
  <c r="NY14" i="21"/>
  <c r="NY15" i="21"/>
  <c r="NY16" i="21"/>
  <c r="NY17" i="21"/>
  <c r="NY18" i="21"/>
  <c r="NY19" i="21"/>
  <c r="NY20" i="21"/>
  <c r="NY21" i="21"/>
  <c r="NY22" i="21"/>
  <c r="NY23" i="21"/>
  <c r="NY24" i="21"/>
  <c r="NY25" i="21"/>
  <c r="NY26" i="21"/>
  <c r="NY27" i="21"/>
  <c r="NY28" i="21"/>
  <c r="NY29" i="21"/>
  <c r="NY30" i="21"/>
  <c r="NY31" i="21"/>
  <c r="NY32" i="21"/>
  <c r="NY33" i="21"/>
  <c r="NY34" i="21"/>
  <c r="NY35" i="21"/>
  <c r="NY36" i="21"/>
  <c r="NY37" i="21"/>
  <c r="NY38" i="21"/>
  <c r="NY39" i="21"/>
  <c r="NY40" i="21"/>
  <c r="NY41" i="21"/>
  <c r="NY42" i="21"/>
  <c r="NY9" i="21"/>
  <c r="NY10" i="31"/>
  <c r="NY11" i="31"/>
  <c r="NY12" i="31"/>
  <c r="NY13" i="31"/>
  <c r="NY14" i="31"/>
  <c r="NY15" i="31"/>
  <c r="NY16" i="31"/>
  <c r="NY17" i="31"/>
  <c r="NY18" i="31"/>
  <c r="NY19" i="31"/>
  <c r="NY20" i="31"/>
  <c r="NY21" i="31"/>
  <c r="NY23" i="31"/>
  <c r="NY24" i="31"/>
  <c r="NY25" i="31"/>
  <c r="NY26" i="31"/>
  <c r="NY27" i="31"/>
  <c r="NY28" i="31"/>
  <c r="NY29" i="31"/>
  <c r="NY30" i="31"/>
  <c r="NY31" i="31"/>
  <c r="NY32" i="31"/>
  <c r="NY9" i="31"/>
  <c r="NY10" i="22"/>
  <c r="NY11" i="22"/>
  <c r="NY12" i="22"/>
  <c r="NY13" i="22"/>
  <c r="NY14" i="22"/>
  <c r="NY9" i="22"/>
  <c r="KT9" i="39"/>
  <c r="NM9" i="39"/>
  <c r="NN9" i="39"/>
  <c r="NO9" i="39"/>
  <c r="NP9" i="39"/>
  <c r="NQ9" i="39"/>
  <c r="NR9" i="39"/>
  <c r="NS9" i="39"/>
  <c r="NM10" i="39"/>
  <c r="NN10" i="39"/>
  <c r="NO10" i="39"/>
  <c r="NP10" i="39"/>
  <c r="NQ10" i="39"/>
  <c r="NR10" i="39"/>
  <c r="NS10" i="39"/>
  <c r="KT10" i="39"/>
  <c r="NM11" i="39"/>
  <c r="NN11" i="39"/>
  <c r="NO11" i="39"/>
  <c r="NP11" i="39"/>
  <c r="NQ11" i="39"/>
  <c r="NR11" i="39"/>
  <c r="NS11" i="39"/>
  <c r="KT11" i="39"/>
  <c r="NM12" i="39"/>
  <c r="NN12" i="39"/>
  <c r="NO12" i="39"/>
  <c r="NP12" i="39"/>
  <c r="NQ12" i="39"/>
  <c r="NR12" i="39"/>
  <c r="NS12" i="39"/>
  <c r="KT12" i="39"/>
  <c r="NM13" i="39"/>
  <c r="NN13" i="39"/>
  <c r="NO13" i="39"/>
  <c r="NP13" i="39"/>
  <c r="NQ13" i="39"/>
  <c r="NR13" i="39"/>
  <c r="NS13" i="39"/>
  <c r="KT13" i="39"/>
  <c r="NM14" i="39"/>
  <c r="NN14" i="39"/>
  <c r="NO14" i="39"/>
  <c r="NP14" i="39"/>
  <c r="NQ14" i="39"/>
  <c r="NR14" i="39"/>
  <c r="NS14" i="39"/>
  <c r="KT14" i="39"/>
  <c r="NM15" i="39"/>
  <c r="NN15" i="39"/>
  <c r="NO15" i="39"/>
  <c r="NP15" i="39"/>
  <c r="NQ15" i="39"/>
  <c r="NR15" i="39"/>
  <c r="NS15" i="39"/>
  <c r="KT15" i="39"/>
  <c r="NM16" i="39"/>
  <c r="NN16" i="39"/>
  <c r="NO16" i="39"/>
  <c r="NP16" i="39"/>
  <c r="NQ16" i="39"/>
  <c r="NR16" i="39"/>
  <c r="NS16" i="39"/>
  <c r="KT16" i="39"/>
  <c r="NM17" i="39"/>
  <c r="NN17" i="39"/>
  <c r="NO17" i="39"/>
  <c r="NP17" i="39"/>
  <c r="NQ17" i="39"/>
  <c r="NR17" i="39"/>
  <c r="NS17" i="39"/>
  <c r="KT17" i="39"/>
  <c r="NM18" i="39"/>
  <c r="NN18" i="39"/>
  <c r="NO18" i="39"/>
  <c r="NP18" i="39"/>
  <c r="NQ18" i="39"/>
  <c r="NR18" i="39"/>
  <c r="NS18" i="39"/>
  <c r="KT18" i="39"/>
  <c r="NM19" i="39"/>
  <c r="NN19" i="39"/>
  <c r="NO19" i="39"/>
  <c r="NP19" i="39"/>
  <c r="NQ19" i="39"/>
  <c r="NR19" i="39"/>
  <c r="NS19" i="39"/>
  <c r="KT19" i="39"/>
  <c r="NM20" i="39"/>
  <c r="NN20" i="39"/>
  <c r="NO20" i="39"/>
  <c r="NP20" i="39"/>
  <c r="NQ20" i="39"/>
  <c r="NR20" i="39"/>
  <c r="NS20" i="39"/>
  <c r="KT20" i="39"/>
  <c r="NM21" i="39"/>
  <c r="NN21" i="39"/>
  <c r="NO21" i="39"/>
  <c r="NP21" i="39"/>
  <c r="NQ21" i="39"/>
  <c r="NR21" i="39"/>
  <c r="NS21" i="39"/>
  <c r="KT21" i="39"/>
  <c r="NM22" i="39"/>
  <c r="NN22" i="39"/>
  <c r="NO22" i="39"/>
  <c r="NP22" i="39"/>
  <c r="NQ22" i="39"/>
  <c r="NR22" i="39"/>
  <c r="NS22" i="39"/>
  <c r="KT22" i="39"/>
  <c r="NM23" i="39"/>
  <c r="NN23" i="39"/>
  <c r="NO23" i="39"/>
  <c r="NP23" i="39"/>
  <c r="NQ23" i="39"/>
  <c r="NR23" i="39"/>
  <c r="NS23" i="39"/>
  <c r="KT23" i="39"/>
  <c r="NM24" i="39"/>
  <c r="NN24" i="39"/>
  <c r="NO24" i="39"/>
  <c r="NP24" i="39"/>
  <c r="NQ24" i="39"/>
  <c r="NR24" i="39"/>
  <c r="NS24" i="39"/>
  <c r="KT24" i="39"/>
  <c r="NM25" i="39"/>
  <c r="NN25" i="39"/>
  <c r="NO25" i="39"/>
  <c r="NP25" i="39"/>
  <c r="NQ25" i="39"/>
  <c r="NR25" i="39"/>
  <c r="NS25" i="39"/>
  <c r="KT25" i="39"/>
  <c r="NM26" i="39"/>
  <c r="NN26" i="39"/>
  <c r="NO26" i="39"/>
  <c r="NP26" i="39"/>
  <c r="NQ26" i="39"/>
  <c r="NR26" i="39"/>
  <c r="NS26" i="39"/>
  <c r="KT26" i="39"/>
  <c r="NM27" i="39"/>
  <c r="NN27" i="39"/>
  <c r="NO27" i="39"/>
  <c r="NP27" i="39"/>
  <c r="NQ27" i="39"/>
  <c r="NR27" i="39"/>
  <c r="NS27" i="39"/>
  <c r="KT27" i="39"/>
  <c r="NM28" i="39"/>
  <c r="NN28" i="39"/>
  <c r="NO28" i="39"/>
  <c r="NP28" i="39"/>
  <c r="NQ28" i="39"/>
  <c r="NR28" i="39"/>
  <c r="NS28" i="39"/>
  <c r="KT28" i="39"/>
  <c r="NM29" i="39"/>
  <c r="NN29" i="39"/>
  <c r="NO29" i="39"/>
  <c r="NP29" i="39"/>
  <c r="NQ29" i="39"/>
  <c r="NR29" i="39"/>
  <c r="NS29" i="39"/>
  <c r="KT29" i="39"/>
  <c r="NM30" i="39"/>
  <c r="NN30" i="39"/>
  <c r="NO30" i="39"/>
  <c r="NP30" i="39"/>
  <c r="NQ30" i="39"/>
  <c r="NR30" i="39"/>
  <c r="NS30" i="39"/>
  <c r="KT30" i="39"/>
  <c r="NM31" i="39"/>
  <c r="NN31" i="39"/>
  <c r="NO31" i="39"/>
  <c r="NP31" i="39"/>
  <c r="NQ31" i="39"/>
  <c r="NR31" i="39"/>
  <c r="NS31" i="39"/>
  <c r="KT31" i="39"/>
  <c r="NM32" i="39"/>
  <c r="NN32" i="39"/>
  <c r="NO32" i="39"/>
  <c r="NP32" i="39"/>
  <c r="NQ32" i="39"/>
  <c r="NR32" i="39"/>
  <c r="NS32" i="39"/>
  <c r="KT32" i="39"/>
  <c r="NM33" i="39"/>
  <c r="NN33" i="39"/>
  <c r="NO33" i="39"/>
  <c r="NP33" i="39"/>
  <c r="NQ33" i="39"/>
  <c r="NR33" i="39"/>
  <c r="NS33" i="39"/>
  <c r="KT33" i="39"/>
  <c r="NM34" i="39"/>
  <c r="NN34" i="39"/>
  <c r="NO34" i="39"/>
  <c r="NP34" i="39"/>
  <c r="NQ34" i="39"/>
  <c r="NR34" i="39"/>
  <c r="NS34" i="39"/>
  <c r="KT34" i="39"/>
  <c r="NM35" i="39"/>
  <c r="NN35" i="39"/>
  <c r="NO35" i="39"/>
  <c r="NP35" i="39"/>
  <c r="NQ35" i="39"/>
  <c r="NR35" i="39"/>
  <c r="NS35" i="39"/>
  <c r="KT35" i="39"/>
  <c r="NM36" i="39"/>
  <c r="NN36" i="39"/>
  <c r="NO36" i="39"/>
  <c r="NP36" i="39"/>
  <c r="NQ36" i="39"/>
  <c r="NR36" i="39"/>
  <c r="NS36" i="39"/>
  <c r="KT36" i="39"/>
  <c r="NM37" i="39"/>
  <c r="NN37" i="39"/>
  <c r="NO37" i="39"/>
  <c r="NP37" i="39"/>
  <c r="NQ37" i="39"/>
  <c r="NR37" i="39"/>
  <c r="NS37" i="39"/>
  <c r="KT37" i="39"/>
  <c r="NM38" i="39"/>
  <c r="NN38" i="39"/>
  <c r="NO38" i="39"/>
  <c r="NP38" i="39"/>
  <c r="NQ38" i="39"/>
  <c r="NR38" i="39"/>
  <c r="NS38" i="39"/>
  <c r="KT38" i="39"/>
  <c r="NM39" i="39"/>
  <c r="NN39" i="39"/>
  <c r="NO39" i="39"/>
  <c r="NP39" i="39"/>
  <c r="NQ39" i="39"/>
  <c r="NR39" i="39"/>
  <c r="NS39" i="39"/>
  <c r="KT39" i="39"/>
  <c r="NM40" i="39"/>
  <c r="NN40" i="39"/>
  <c r="NO40" i="39"/>
  <c r="NP40" i="39"/>
  <c r="NQ40" i="39"/>
  <c r="NR40" i="39"/>
  <c r="NS40" i="39"/>
  <c r="KT40" i="39"/>
  <c r="NM41" i="39"/>
  <c r="NN41" i="39"/>
  <c r="NO41" i="39"/>
  <c r="NP41" i="39"/>
  <c r="NQ41" i="39"/>
  <c r="NR41" i="39"/>
  <c r="NS41" i="39"/>
  <c r="KT41" i="39"/>
  <c r="NM42" i="39"/>
  <c r="NN42" i="39"/>
  <c r="NO42" i="39"/>
  <c r="NP42" i="39"/>
  <c r="NQ42" i="39"/>
  <c r="NR42" i="39"/>
  <c r="NS42" i="39"/>
  <c r="KT42" i="39"/>
  <c r="NM44" i="39"/>
  <c r="NN44" i="39"/>
  <c r="NO44" i="39"/>
  <c r="NP44" i="39"/>
  <c r="NQ44" i="39"/>
  <c r="NR44" i="39"/>
  <c r="NS44" i="39"/>
  <c r="KT44" i="39"/>
  <c r="NM45" i="39"/>
  <c r="NN45" i="39"/>
  <c r="NO45" i="39"/>
  <c r="NP45" i="39"/>
  <c r="NQ45" i="39"/>
  <c r="NR45" i="39"/>
  <c r="NS45" i="39"/>
  <c r="KT45" i="39"/>
  <c r="NM46" i="39"/>
  <c r="NN46" i="39"/>
  <c r="NO46" i="39"/>
  <c r="NP46" i="39"/>
  <c r="NQ46" i="39"/>
  <c r="NR46" i="39"/>
  <c r="NS46" i="39"/>
  <c r="KT46" i="39"/>
  <c r="NM47" i="39"/>
  <c r="NN47" i="39"/>
  <c r="NO47" i="39"/>
  <c r="NP47" i="39"/>
  <c r="NQ47" i="39"/>
  <c r="NR47" i="39"/>
  <c r="NS47" i="39"/>
  <c r="KT47" i="39"/>
  <c r="NM48" i="39"/>
  <c r="NN48" i="39"/>
  <c r="NO48" i="39"/>
  <c r="NP48" i="39"/>
  <c r="NQ48" i="39"/>
  <c r="NR48" i="39"/>
  <c r="NS48" i="39"/>
  <c r="KT48" i="39"/>
  <c r="NM49" i="39"/>
  <c r="NN49" i="39"/>
  <c r="NO49" i="39"/>
  <c r="NP49" i="39"/>
  <c r="NQ49" i="39"/>
  <c r="NR49" i="39"/>
  <c r="NS49" i="39"/>
  <c r="KT49" i="39"/>
  <c r="NM50" i="39"/>
  <c r="NN50" i="39"/>
  <c r="NO50" i="39"/>
  <c r="NP50" i="39"/>
  <c r="NQ50" i="39"/>
  <c r="NR50" i="39"/>
  <c r="NS50" i="39"/>
  <c r="KT50" i="39"/>
  <c r="NM51" i="39"/>
  <c r="NN51" i="39"/>
  <c r="NO51" i="39"/>
  <c r="NP51" i="39"/>
  <c r="NQ51" i="39"/>
  <c r="NR51" i="39"/>
  <c r="NS51" i="39"/>
  <c r="KT51" i="39"/>
  <c r="NM52" i="39"/>
  <c r="NN52" i="39"/>
  <c r="NO52" i="39"/>
  <c r="NP52" i="39"/>
  <c r="NQ52" i="39"/>
  <c r="NR52" i="39"/>
  <c r="NS52" i="39"/>
  <c r="KT52" i="39"/>
  <c r="NM53" i="39"/>
  <c r="NN53" i="39"/>
  <c r="NO53" i="39"/>
  <c r="NP53" i="39"/>
  <c r="NQ53" i="39"/>
  <c r="NR53" i="39"/>
  <c r="NS53" i="39"/>
  <c r="KT53" i="39"/>
  <c r="NM54" i="39"/>
  <c r="NN54" i="39"/>
  <c r="NO54" i="39"/>
  <c r="NP54" i="39"/>
  <c r="NQ54" i="39"/>
  <c r="NR54" i="39"/>
  <c r="NS54" i="39"/>
  <c r="KT54" i="39"/>
  <c r="NM55" i="39"/>
  <c r="NN55" i="39"/>
  <c r="NO55" i="39"/>
  <c r="NP55" i="39"/>
  <c r="NQ55" i="39"/>
  <c r="NR55" i="39"/>
  <c r="NS55" i="39"/>
  <c r="KT55" i="39"/>
  <c r="NM56" i="39"/>
  <c r="NN56" i="39"/>
  <c r="NO56" i="39"/>
  <c r="NP56" i="39"/>
  <c r="NQ56" i="39"/>
  <c r="NR56" i="39"/>
  <c r="NS56" i="39"/>
  <c r="KT56" i="39"/>
  <c r="NM57" i="39"/>
  <c r="NN57" i="39"/>
  <c r="NO57" i="39"/>
  <c r="NP57" i="39"/>
  <c r="NQ57" i="39"/>
  <c r="NR57" i="39"/>
  <c r="NS57" i="39"/>
  <c r="KT57" i="39"/>
  <c r="NM58" i="39"/>
  <c r="NN58" i="39"/>
  <c r="NO58" i="39"/>
  <c r="NP58" i="39"/>
  <c r="NQ58" i="39"/>
  <c r="NR58" i="39"/>
  <c r="NS58" i="39"/>
  <c r="KT58" i="39"/>
  <c r="NM59" i="39"/>
  <c r="NN59" i="39"/>
  <c r="NO59" i="39"/>
  <c r="NP59" i="39"/>
  <c r="NQ59" i="39"/>
  <c r="NR59" i="39"/>
  <c r="NS59" i="39"/>
  <c r="KT59" i="39"/>
  <c r="NM60" i="39"/>
  <c r="NN60" i="39"/>
  <c r="NO60" i="39"/>
  <c r="NP60" i="39"/>
  <c r="NQ60" i="39"/>
  <c r="NR60" i="39"/>
  <c r="NS60" i="39"/>
  <c r="KT60" i="39"/>
  <c r="NM61" i="39"/>
  <c r="NN61" i="39"/>
  <c r="NO61" i="39"/>
  <c r="NP61" i="39"/>
  <c r="NQ61" i="39"/>
  <c r="NR61" i="39"/>
  <c r="NS61" i="39"/>
  <c r="KT61" i="39"/>
  <c r="NM62" i="39"/>
  <c r="NN62" i="39"/>
  <c r="NO62" i="39"/>
  <c r="NP62" i="39"/>
  <c r="NQ62" i="39"/>
  <c r="NR62" i="39"/>
  <c r="NS62" i="39"/>
  <c r="KT62" i="39"/>
  <c r="NM63" i="39"/>
  <c r="NN63" i="39"/>
  <c r="NO63" i="39"/>
  <c r="NP63" i="39"/>
  <c r="NQ63" i="39"/>
  <c r="NR63" i="39"/>
  <c r="NS63" i="39"/>
  <c r="KT63" i="39"/>
  <c r="NM64" i="39"/>
  <c r="NN64" i="39"/>
  <c r="NO64" i="39"/>
  <c r="NP64" i="39"/>
  <c r="NQ64" i="39"/>
  <c r="NR64" i="39"/>
  <c r="NS64" i="39"/>
  <c r="KT64" i="39"/>
  <c r="NM65" i="39"/>
  <c r="NN65" i="39"/>
  <c r="NO65" i="39"/>
  <c r="NP65" i="39"/>
  <c r="NQ65" i="39"/>
  <c r="NR65" i="39"/>
  <c r="NS65" i="39"/>
  <c r="KT65" i="39"/>
  <c r="NM66" i="39"/>
  <c r="NN66" i="39"/>
  <c r="NO66" i="39"/>
  <c r="NP66" i="39"/>
  <c r="NQ66" i="39"/>
  <c r="NR66" i="39"/>
  <c r="NS66" i="39"/>
  <c r="KT66" i="39"/>
  <c r="NM67" i="39"/>
  <c r="NN67" i="39"/>
  <c r="NO67" i="39"/>
  <c r="NP67" i="39"/>
  <c r="NQ67" i="39"/>
  <c r="NR67" i="39"/>
  <c r="NS67" i="39"/>
  <c r="KT67" i="39"/>
  <c r="NM68" i="39"/>
  <c r="NN68" i="39"/>
  <c r="NO68" i="39"/>
  <c r="NP68" i="39"/>
  <c r="NQ68" i="39"/>
  <c r="NR68" i="39"/>
  <c r="NS68" i="39"/>
  <c r="KT68" i="39"/>
  <c r="NM69" i="39"/>
  <c r="NN69" i="39"/>
  <c r="NO69" i="39"/>
  <c r="NP69" i="39"/>
  <c r="NQ69" i="39"/>
  <c r="NR69" i="39"/>
  <c r="NS69" i="39"/>
  <c r="KT69" i="39"/>
  <c r="NM70" i="39"/>
  <c r="NN70" i="39"/>
  <c r="NO70" i="39"/>
  <c r="NP70" i="39"/>
  <c r="NQ70" i="39"/>
  <c r="NR70" i="39"/>
  <c r="NS70" i="39"/>
  <c r="KT70" i="39"/>
  <c r="NM71" i="39"/>
  <c r="NN71" i="39"/>
  <c r="NO71" i="39"/>
  <c r="NP71" i="39"/>
  <c r="NQ71" i="39"/>
  <c r="NR71" i="39"/>
  <c r="NS71" i="39"/>
  <c r="KT71" i="39"/>
  <c r="NM72" i="39"/>
  <c r="NN72" i="39"/>
  <c r="NO72" i="39"/>
  <c r="NP72" i="39"/>
  <c r="NQ72" i="39"/>
  <c r="NR72" i="39"/>
  <c r="NS72" i="39"/>
  <c r="KT72" i="39"/>
  <c r="NM73" i="39"/>
  <c r="NN73" i="39"/>
  <c r="NO73" i="39"/>
  <c r="NP73" i="39"/>
  <c r="NQ73" i="39"/>
  <c r="NR73" i="39"/>
  <c r="NS73" i="39"/>
  <c r="KT73" i="39"/>
  <c r="NM74" i="39"/>
  <c r="NN74" i="39"/>
  <c r="NO74" i="39"/>
  <c r="NP74" i="39"/>
  <c r="NQ74" i="39"/>
  <c r="NR74" i="39"/>
  <c r="NS74" i="39"/>
  <c r="KT74" i="39"/>
  <c r="NM75" i="39"/>
  <c r="NN75" i="39"/>
  <c r="NO75" i="39"/>
  <c r="NP75" i="39"/>
  <c r="NQ75" i="39"/>
  <c r="NR75" i="39"/>
  <c r="NS75" i="39"/>
  <c r="KT75" i="39"/>
  <c r="NM76" i="39"/>
  <c r="NN76" i="39"/>
  <c r="NO76" i="39"/>
  <c r="NP76" i="39"/>
  <c r="NQ76" i="39"/>
  <c r="NR76" i="39"/>
  <c r="NS76" i="39"/>
  <c r="KT76" i="39"/>
  <c r="NM77" i="39"/>
  <c r="NN77" i="39"/>
  <c r="NO77" i="39"/>
  <c r="NP77" i="39"/>
  <c r="NQ77" i="39"/>
  <c r="NR77" i="39"/>
  <c r="NS77" i="39"/>
  <c r="KT77" i="39"/>
  <c r="NM78" i="39"/>
  <c r="NN78" i="39"/>
  <c r="NO78" i="39"/>
  <c r="NP78" i="39"/>
  <c r="NQ78" i="39"/>
  <c r="NR78" i="39"/>
  <c r="NS78" i="39"/>
  <c r="KT78" i="39"/>
  <c r="NM79" i="39"/>
  <c r="NN79" i="39"/>
  <c r="NO79" i="39"/>
  <c r="NP79" i="39"/>
  <c r="NQ79" i="39"/>
  <c r="NR79" i="39"/>
  <c r="NS79" i="39"/>
  <c r="KT79" i="39"/>
  <c r="NM80" i="39"/>
  <c r="NN80" i="39"/>
  <c r="NO80" i="39"/>
  <c r="NP80" i="39"/>
  <c r="NQ80" i="39"/>
  <c r="NR80" i="39"/>
  <c r="NS80" i="39"/>
  <c r="KT80" i="39"/>
  <c r="NM81" i="39"/>
  <c r="NN81" i="39"/>
  <c r="NO81" i="39"/>
  <c r="NP81" i="39"/>
  <c r="NQ81" i="39"/>
  <c r="NR81" i="39"/>
  <c r="NS81" i="39"/>
  <c r="KT81" i="39"/>
  <c r="NM82" i="39"/>
  <c r="NN82" i="39"/>
  <c r="NO82" i="39"/>
  <c r="NP82" i="39"/>
  <c r="NQ82" i="39"/>
  <c r="NR82" i="39"/>
  <c r="NS82" i="39"/>
  <c r="KT82" i="39"/>
  <c r="NM83" i="39"/>
  <c r="NN83" i="39"/>
  <c r="NO83" i="39"/>
  <c r="NP83" i="39"/>
  <c r="NQ83" i="39"/>
  <c r="NR83" i="39"/>
  <c r="NS83" i="39"/>
  <c r="KT83" i="39"/>
  <c r="NM84" i="39"/>
  <c r="NN84" i="39"/>
  <c r="NO84" i="39"/>
  <c r="NP84" i="39"/>
  <c r="NQ84" i="39"/>
  <c r="NR84" i="39"/>
  <c r="NS84" i="39"/>
  <c r="KT84" i="39"/>
  <c r="NM85" i="39"/>
  <c r="NN85" i="39"/>
  <c r="NO85" i="39"/>
  <c r="NP85" i="39"/>
  <c r="NQ85" i="39"/>
  <c r="NR85" i="39"/>
  <c r="NS85" i="39"/>
  <c r="KT85" i="39"/>
  <c r="NM86" i="39"/>
  <c r="NN86" i="39"/>
  <c r="NO86" i="39"/>
  <c r="NP86" i="39"/>
  <c r="NQ86" i="39"/>
  <c r="NR86" i="39"/>
  <c r="NS86" i="39"/>
  <c r="KT86" i="39"/>
  <c r="NK108" i="39"/>
  <c r="NJ108" i="39"/>
  <c r="NI108" i="39"/>
  <c r="NH108" i="39"/>
  <c r="NG108" i="39"/>
  <c r="NF108" i="39"/>
  <c r="NE108" i="39"/>
  <c r="ND108" i="39"/>
  <c r="NC108" i="39"/>
  <c r="NB108" i="39"/>
  <c r="NA108" i="39"/>
  <c r="MZ108" i="39"/>
  <c r="MY108" i="39"/>
  <c r="MX108" i="39"/>
  <c r="MW108" i="39"/>
  <c r="MV108" i="39"/>
  <c r="MU108" i="39"/>
  <c r="MT108" i="39"/>
  <c r="MS108" i="39"/>
  <c r="MR108" i="39"/>
  <c r="MQ108" i="39"/>
  <c r="MP108" i="39"/>
  <c r="MO108" i="39"/>
  <c r="MN108" i="39"/>
  <c r="MM108" i="39"/>
  <c r="ML108" i="39"/>
  <c r="MK108" i="39"/>
  <c r="MJ108" i="39"/>
  <c r="MI108" i="39"/>
  <c r="MH108" i="39"/>
  <c r="MG108" i="39"/>
  <c r="MF108" i="39"/>
  <c r="ME108" i="39"/>
  <c r="MD108" i="39"/>
  <c r="MC108" i="39"/>
  <c r="MB108" i="39"/>
  <c r="MA108" i="39"/>
  <c r="LZ108" i="39"/>
  <c r="LY108" i="39"/>
  <c r="LX108" i="39"/>
  <c r="LW108" i="39"/>
  <c r="LV108" i="39"/>
  <c r="LU108" i="39"/>
  <c r="LT108" i="39"/>
  <c r="LS108" i="39"/>
  <c r="LR108" i="39"/>
  <c r="LQ108" i="39"/>
  <c r="LP108" i="39"/>
  <c r="LO108" i="39"/>
  <c r="LN108" i="39"/>
  <c r="LM108" i="39"/>
  <c r="LL108" i="39"/>
  <c r="LK108" i="39"/>
  <c r="LJ108" i="39"/>
  <c r="LI108" i="39"/>
  <c r="LH108" i="39"/>
  <c r="LG108" i="39"/>
  <c r="LF108" i="39"/>
  <c r="LE108" i="39"/>
  <c r="LD108" i="39"/>
  <c r="LC108" i="39"/>
  <c r="LB108" i="39"/>
  <c r="LA108" i="39"/>
  <c r="KZ108" i="39"/>
  <c r="KY108" i="39"/>
  <c r="KX108" i="39"/>
  <c r="KW108" i="39"/>
  <c r="KV108" i="39"/>
  <c r="KU108" i="39"/>
  <c r="NY10" i="39"/>
  <c r="NY11" i="39"/>
  <c r="NY12" i="39"/>
  <c r="NY13" i="39"/>
  <c r="NY14" i="39"/>
  <c r="NY15" i="39"/>
  <c r="NY16" i="39"/>
  <c r="NY17" i="39"/>
  <c r="NY18" i="39"/>
  <c r="NY19" i="39"/>
  <c r="NY20" i="39"/>
  <c r="NY21" i="39"/>
  <c r="NY22" i="39"/>
  <c r="NY23" i="39"/>
  <c r="NY24" i="39"/>
  <c r="NY25" i="39"/>
  <c r="NY26" i="39"/>
  <c r="NY27" i="39"/>
  <c r="NY28" i="39"/>
  <c r="NY29" i="39"/>
  <c r="NY30" i="39"/>
  <c r="NY31" i="39"/>
  <c r="NY32" i="39"/>
  <c r="NY33" i="39"/>
  <c r="NY34" i="39"/>
  <c r="NY35" i="39"/>
  <c r="NY36" i="39"/>
  <c r="NY37" i="39"/>
  <c r="NY38" i="39"/>
  <c r="NY39" i="39"/>
  <c r="NY40" i="39"/>
  <c r="NY41" i="39"/>
  <c r="NY42" i="39"/>
  <c r="NY43" i="39"/>
  <c r="NY44" i="39"/>
  <c r="NY45" i="39"/>
  <c r="NY46" i="39"/>
  <c r="NY47" i="39"/>
  <c r="NY48" i="39"/>
  <c r="NY49" i="39"/>
  <c r="NY50" i="39"/>
  <c r="NY51" i="39"/>
  <c r="NY52" i="39"/>
  <c r="NY53" i="39"/>
  <c r="NY54" i="39"/>
  <c r="NY55" i="39"/>
  <c r="NY56" i="39"/>
  <c r="NY57" i="39"/>
  <c r="NY58" i="39"/>
  <c r="NY59" i="39"/>
  <c r="NY60" i="39"/>
  <c r="NY61" i="39"/>
  <c r="NY62" i="39"/>
  <c r="NY63" i="39"/>
  <c r="NY64" i="39"/>
  <c r="NY65" i="39"/>
  <c r="NY66" i="39"/>
  <c r="NY67" i="39"/>
  <c r="NY68" i="39"/>
  <c r="NY69" i="39"/>
  <c r="NY70" i="39"/>
  <c r="NY71" i="39"/>
  <c r="NY72" i="39"/>
  <c r="NY73" i="39"/>
  <c r="NY74" i="39"/>
  <c r="NY75" i="39"/>
  <c r="NY76" i="39"/>
  <c r="NY77" i="39"/>
  <c r="NY78" i="39"/>
  <c r="NY79" i="39"/>
  <c r="NY80" i="39"/>
  <c r="NY81" i="39"/>
  <c r="NY82" i="39"/>
  <c r="NY83" i="39"/>
  <c r="NY84" i="39"/>
  <c r="NY85" i="39"/>
  <c r="NY86" i="39"/>
  <c r="NY9" i="39"/>
  <c r="NY11" i="19"/>
  <c r="NY12" i="19"/>
  <c r="NY13" i="19"/>
  <c r="NY14" i="19"/>
  <c r="NY15" i="19"/>
  <c r="NY16" i="19"/>
  <c r="NY17" i="19"/>
  <c r="NY18" i="19"/>
  <c r="NY19" i="19"/>
  <c r="NY20" i="19"/>
  <c r="NY21" i="19"/>
  <c r="NY22" i="19"/>
  <c r="NY23" i="19"/>
  <c r="NY24" i="19"/>
  <c r="NY25" i="19"/>
  <c r="NY26" i="19"/>
  <c r="NY27" i="19"/>
  <c r="NY28" i="19"/>
  <c r="NY29" i="19"/>
  <c r="NY30" i="19"/>
  <c r="NY31" i="19"/>
  <c r="NY32" i="19"/>
  <c r="NY33" i="19"/>
  <c r="NY34" i="19"/>
  <c r="NY35" i="19"/>
  <c r="NY36" i="19"/>
  <c r="NY37" i="19"/>
  <c r="NY38" i="19"/>
  <c r="NY39" i="19"/>
  <c r="NY40" i="19"/>
  <c r="NY41" i="19"/>
  <c r="NY42" i="19"/>
  <c r="NY43" i="19"/>
  <c r="NY44" i="19"/>
  <c r="NY45" i="19"/>
  <c r="NY46" i="19"/>
  <c r="NY47" i="19"/>
  <c r="NY48" i="19"/>
  <c r="NY49" i="19"/>
  <c r="NY50" i="19"/>
  <c r="NY51" i="19"/>
  <c r="NY52" i="19"/>
  <c r="NY53" i="19"/>
  <c r="NY54" i="19"/>
  <c r="NY55" i="19"/>
  <c r="NY56" i="19"/>
  <c r="NY57" i="19"/>
  <c r="NY58" i="19"/>
  <c r="NY59" i="19"/>
  <c r="NY60" i="19"/>
  <c r="NY61" i="19"/>
  <c r="NY62" i="19"/>
  <c r="NY63" i="19"/>
  <c r="NY64" i="19"/>
  <c r="NY65" i="19"/>
  <c r="NY66" i="19"/>
  <c r="NY67" i="19"/>
  <c r="NY68" i="19"/>
  <c r="NY69" i="19"/>
  <c r="NY70" i="19"/>
  <c r="NY71" i="19"/>
  <c r="NY72" i="19"/>
  <c r="NY73" i="19"/>
  <c r="NY74" i="19"/>
  <c r="NY75" i="19"/>
  <c r="NY76" i="19"/>
  <c r="NY77" i="19"/>
  <c r="NY78" i="19"/>
  <c r="NY79" i="19"/>
  <c r="NY80" i="19"/>
  <c r="NY81" i="19"/>
  <c r="NY82" i="19"/>
  <c r="NY83" i="19"/>
  <c r="NY84" i="19"/>
  <c r="NY85" i="19"/>
  <c r="NY86" i="19"/>
  <c r="NY87" i="19"/>
  <c r="NY88" i="19"/>
  <c r="NY89" i="19"/>
  <c r="NY90" i="19"/>
  <c r="NY91" i="19"/>
  <c r="NY92" i="19"/>
  <c r="NY93" i="19"/>
  <c r="NY94" i="19"/>
  <c r="NY95" i="19"/>
  <c r="NY96" i="19"/>
  <c r="NY97" i="19"/>
  <c r="NY98" i="19"/>
  <c r="NY99" i="19"/>
  <c r="NY100" i="19"/>
  <c r="NY101" i="19"/>
  <c r="NY102" i="19"/>
  <c r="NY103" i="19"/>
  <c r="NY104" i="19"/>
  <c r="NY105" i="19"/>
  <c r="NY106" i="19"/>
  <c r="NY107" i="19"/>
  <c r="NY10" i="19"/>
  <c r="Z19" i="39"/>
  <c r="CD15" i="39"/>
  <c r="KG9" i="39"/>
  <c r="CD10" i="39"/>
  <c r="CE10" i="39"/>
  <c r="CD11" i="39"/>
  <c r="CE12" i="39"/>
  <c r="CE13" i="39"/>
  <c r="CE14" i="39"/>
  <c r="KG14" i="39"/>
  <c r="CD16" i="39"/>
  <c r="CE17" i="39"/>
  <c r="CE18" i="39"/>
  <c r="CE19" i="39"/>
  <c r="FZ19" i="39"/>
  <c r="CE20" i="39"/>
  <c r="CE21" i="39"/>
  <c r="KG21" i="39"/>
  <c r="CD22" i="39"/>
  <c r="CE22" i="39"/>
  <c r="CE23" i="39"/>
  <c r="KG23" i="39"/>
  <c r="CE24" i="39"/>
  <c r="KG24" i="39"/>
  <c r="CE25" i="39"/>
  <c r="CE26" i="39"/>
  <c r="CD27" i="39"/>
  <c r="KF27" i="39"/>
  <c r="CD28" i="39"/>
  <c r="CE29" i="39"/>
  <c r="FZ29" i="39"/>
  <c r="CD30" i="39"/>
  <c r="CD31" i="39"/>
  <c r="CE31" i="39"/>
  <c r="CD32" i="39"/>
  <c r="CE33" i="39"/>
  <c r="CD34" i="39"/>
  <c r="CE35" i="39"/>
  <c r="CE36" i="39"/>
  <c r="CE37" i="39"/>
  <c r="KG37" i="39"/>
  <c r="CE38" i="39"/>
  <c r="CE39" i="39"/>
  <c r="KG39" i="39"/>
  <c r="CE40" i="39"/>
  <c r="FZ40" i="39"/>
  <c r="CE41" i="39"/>
  <c r="CD42" i="39"/>
  <c r="CD44" i="39"/>
  <c r="CD45" i="39"/>
  <c r="CE46" i="39"/>
  <c r="CE47" i="39"/>
  <c r="CD48" i="39"/>
  <c r="KF48" i="39"/>
  <c r="CE49" i="39"/>
  <c r="CE50" i="39"/>
  <c r="CD51" i="39"/>
  <c r="CD52" i="39"/>
  <c r="CD53" i="39"/>
  <c r="KF53" i="39"/>
  <c r="CD54" i="39"/>
  <c r="CE56" i="39"/>
  <c r="CE57" i="39"/>
  <c r="CD58" i="39"/>
  <c r="KF58" i="39"/>
  <c r="CD59" i="39"/>
  <c r="CE60" i="39"/>
  <c r="CE61" i="39"/>
  <c r="CE62" i="39"/>
  <c r="KG62" i="39"/>
  <c r="CD63" i="39"/>
  <c r="KF63" i="39"/>
  <c r="CE63" i="39"/>
  <c r="FZ63" i="39"/>
  <c r="CE64" i="39"/>
  <c r="KG64" i="39"/>
  <c r="CE65" i="39"/>
  <c r="CD66" i="39"/>
  <c r="CD67" i="39"/>
  <c r="CD68" i="39"/>
  <c r="CE68" i="39"/>
  <c r="CD69" i="39"/>
  <c r="CD70" i="39"/>
  <c r="CE70" i="39"/>
  <c r="CD71" i="39"/>
  <c r="CE71" i="39"/>
  <c r="KG71" i="39"/>
  <c r="CE72" i="39"/>
  <c r="CD73" i="39"/>
  <c r="CE77" i="39"/>
  <c r="KG77" i="39"/>
  <c r="CD78" i="39"/>
  <c r="CD79" i="39"/>
  <c r="CD80" i="39"/>
  <c r="CD81" i="39"/>
  <c r="KF81" i="39"/>
  <c r="CE82" i="39"/>
  <c r="FZ82" i="39"/>
  <c r="CE83" i="39"/>
  <c r="KG83" i="39"/>
  <c r="CD84" i="39"/>
  <c r="CD85" i="39"/>
  <c r="CD86" i="39"/>
  <c r="CE86" i="39"/>
  <c r="FZ86" i="39"/>
  <c r="CH15" i="39"/>
  <c r="KJ15" i="39"/>
  <c r="CH9" i="39"/>
  <c r="KJ9" i="39"/>
  <c r="CH10" i="39"/>
  <c r="CH11" i="39"/>
  <c r="KJ11" i="39"/>
  <c r="CH12" i="39"/>
  <c r="KJ12" i="39"/>
  <c r="CH13" i="39"/>
  <c r="KJ13" i="39"/>
  <c r="CH14" i="39"/>
  <c r="KJ14" i="39"/>
  <c r="CH16" i="39"/>
  <c r="KJ16" i="39"/>
  <c r="CH17" i="39"/>
  <c r="KJ17" i="39"/>
  <c r="CH18" i="39"/>
  <c r="KJ18" i="39"/>
  <c r="CH19" i="39"/>
  <c r="KJ19" i="39"/>
  <c r="CH20" i="39"/>
  <c r="KJ20" i="39"/>
  <c r="CH21" i="39"/>
  <c r="KJ21" i="39"/>
  <c r="CH22" i="39"/>
  <c r="KJ22" i="39"/>
  <c r="CH23" i="39"/>
  <c r="KJ23" i="39"/>
  <c r="CH24" i="39"/>
  <c r="KJ24" i="39"/>
  <c r="CH25" i="39"/>
  <c r="KJ25" i="39"/>
  <c r="CH26" i="39"/>
  <c r="KJ26" i="39"/>
  <c r="CH27" i="39"/>
  <c r="KJ27" i="39"/>
  <c r="CH28" i="39"/>
  <c r="KJ28" i="39"/>
  <c r="CH29" i="39"/>
  <c r="KJ29" i="39"/>
  <c r="CH30" i="39"/>
  <c r="KJ30" i="39"/>
  <c r="CH31" i="39"/>
  <c r="KJ31" i="39"/>
  <c r="CH32" i="39"/>
  <c r="KJ32" i="39"/>
  <c r="CH33" i="39"/>
  <c r="KJ33" i="39"/>
  <c r="CH34" i="39"/>
  <c r="KJ34" i="39"/>
  <c r="CH35" i="39"/>
  <c r="KJ35" i="39"/>
  <c r="CH36" i="39"/>
  <c r="KJ36" i="39"/>
  <c r="CH37" i="39"/>
  <c r="KJ37" i="39"/>
  <c r="CH38" i="39"/>
  <c r="KJ38" i="39"/>
  <c r="CH39" i="39"/>
  <c r="KJ39" i="39"/>
  <c r="CH40" i="39"/>
  <c r="KJ40" i="39"/>
  <c r="CH41" i="39"/>
  <c r="KJ41" i="39"/>
  <c r="CH42" i="39"/>
  <c r="KJ42" i="39"/>
  <c r="CH44" i="39"/>
  <c r="KJ44" i="39"/>
  <c r="CH45" i="39"/>
  <c r="KJ45" i="39"/>
  <c r="CH46" i="39"/>
  <c r="KJ46" i="39"/>
  <c r="CH47" i="39"/>
  <c r="KJ47" i="39"/>
  <c r="CH48" i="39"/>
  <c r="KJ48" i="39"/>
  <c r="CH49" i="39"/>
  <c r="KJ49" i="39"/>
  <c r="CH50" i="39"/>
  <c r="KJ50" i="39"/>
  <c r="CH51" i="39"/>
  <c r="KJ51" i="39"/>
  <c r="CH52" i="39"/>
  <c r="KJ52" i="39"/>
  <c r="CH53" i="39"/>
  <c r="KJ53" i="39"/>
  <c r="CH54" i="39"/>
  <c r="KJ54" i="39"/>
  <c r="CH56" i="39"/>
  <c r="KJ56" i="39"/>
  <c r="CH57" i="39"/>
  <c r="KJ57" i="39"/>
  <c r="CH58" i="39"/>
  <c r="KJ58" i="39"/>
  <c r="CH59" i="39"/>
  <c r="KJ59" i="39"/>
  <c r="CH60" i="39"/>
  <c r="KJ60" i="39"/>
  <c r="CH61" i="39"/>
  <c r="KJ61" i="39"/>
  <c r="CH62" i="39"/>
  <c r="KJ62" i="39"/>
  <c r="CH63" i="39"/>
  <c r="KJ63" i="39"/>
  <c r="CH64" i="39"/>
  <c r="KJ64" i="39"/>
  <c r="CH65" i="39"/>
  <c r="KJ65" i="39"/>
  <c r="CH66" i="39"/>
  <c r="KJ66" i="39"/>
  <c r="CH67" i="39"/>
  <c r="KJ67" i="39"/>
  <c r="CH68" i="39"/>
  <c r="KJ68" i="39"/>
  <c r="CH69" i="39"/>
  <c r="KJ69" i="39"/>
  <c r="CH70" i="39"/>
  <c r="KJ70" i="39"/>
  <c r="CH71" i="39"/>
  <c r="KJ71" i="39"/>
  <c r="CH72" i="39"/>
  <c r="KJ72" i="39"/>
  <c r="CH73" i="39"/>
  <c r="KJ73" i="39"/>
  <c r="CH74" i="39"/>
  <c r="KJ74" i="39"/>
  <c r="CH75" i="39"/>
  <c r="KJ75" i="39"/>
  <c r="CH76" i="39"/>
  <c r="KJ76" i="39"/>
  <c r="CH77" i="39"/>
  <c r="KJ77" i="39"/>
  <c r="CH78" i="39"/>
  <c r="KJ78" i="39"/>
  <c r="CH79" i="39"/>
  <c r="KJ79" i="39"/>
  <c r="CH80" i="39"/>
  <c r="KJ80" i="39"/>
  <c r="CH81" i="39"/>
  <c r="KJ81" i="39"/>
  <c r="CH82" i="39"/>
  <c r="KJ82" i="39"/>
  <c r="CH83" i="39"/>
  <c r="KJ83" i="39"/>
  <c r="CH84" i="39"/>
  <c r="KJ84" i="39"/>
  <c r="CH85" i="39"/>
  <c r="KJ85" i="39"/>
  <c r="CH86" i="39"/>
  <c r="KJ86" i="39"/>
  <c r="CJ15" i="39"/>
  <c r="KL15" i="39"/>
  <c r="CJ9" i="39"/>
  <c r="KL9" i="39"/>
  <c r="CJ10" i="39"/>
  <c r="KL10" i="39"/>
  <c r="CJ11" i="39"/>
  <c r="KL11" i="39"/>
  <c r="CJ12" i="39"/>
  <c r="KL12" i="39"/>
  <c r="CJ13" i="39"/>
  <c r="KL13" i="39"/>
  <c r="CJ14" i="39"/>
  <c r="KL14" i="39"/>
  <c r="CJ16" i="39"/>
  <c r="KL16" i="39"/>
  <c r="CJ17" i="39"/>
  <c r="KL17" i="39"/>
  <c r="CJ18" i="39"/>
  <c r="KL18" i="39"/>
  <c r="CJ19" i="39"/>
  <c r="KL19" i="39"/>
  <c r="CJ20" i="39"/>
  <c r="KL20" i="39"/>
  <c r="CJ21" i="39"/>
  <c r="KL21" i="39"/>
  <c r="CJ22" i="39"/>
  <c r="KL22" i="39"/>
  <c r="CJ23" i="39"/>
  <c r="KL23" i="39"/>
  <c r="CJ24" i="39"/>
  <c r="KL24" i="39"/>
  <c r="CJ25" i="39"/>
  <c r="KL25" i="39"/>
  <c r="CJ26" i="39"/>
  <c r="KL26" i="39"/>
  <c r="CJ27" i="39"/>
  <c r="KL27" i="39"/>
  <c r="CJ28" i="39"/>
  <c r="KL28" i="39"/>
  <c r="CJ29" i="39"/>
  <c r="KL29" i="39"/>
  <c r="CJ30" i="39"/>
  <c r="KL30" i="39"/>
  <c r="CJ31" i="39"/>
  <c r="KL31" i="39"/>
  <c r="CJ32" i="39"/>
  <c r="KL32" i="39"/>
  <c r="CJ33" i="39"/>
  <c r="KL33" i="39"/>
  <c r="CJ34" i="39"/>
  <c r="KL34" i="39"/>
  <c r="CJ35" i="39"/>
  <c r="KL35" i="39"/>
  <c r="CJ36" i="39"/>
  <c r="KL36" i="39"/>
  <c r="CJ37" i="39"/>
  <c r="KL37" i="39"/>
  <c r="CJ38" i="39"/>
  <c r="KL38" i="39"/>
  <c r="CJ39" i="39"/>
  <c r="KL39" i="39"/>
  <c r="CJ40" i="39"/>
  <c r="KL40" i="39"/>
  <c r="CJ41" i="39"/>
  <c r="KL41" i="39"/>
  <c r="CJ42" i="39"/>
  <c r="KL42" i="39"/>
  <c r="CJ44" i="39"/>
  <c r="KL44" i="39"/>
  <c r="CJ45" i="39"/>
  <c r="KL45" i="39"/>
  <c r="CJ46" i="39"/>
  <c r="KL46" i="39"/>
  <c r="CJ47" i="39"/>
  <c r="KL47" i="39"/>
  <c r="CJ48" i="39"/>
  <c r="KL48" i="39"/>
  <c r="CJ49" i="39"/>
  <c r="KL49" i="39"/>
  <c r="CJ50" i="39"/>
  <c r="KL50" i="39"/>
  <c r="CJ51" i="39"/>
  <c r="KL51" i="39"/>
  <c r="CJ52" i="39"/>
  <c r="KL52" i="39"/>
  <c r="CJ53" i="39"/>
  <c r="KL53" i="39"/>
  <c r="CJ54" i="39"/>
  <c r="KL54" i="39"/>
  <c r="CJ56" i="39"/>
  <c r="KL56" i="39"/>
  <c r="CJ57" i="39"/>
  <c r="KL57" i="39"/>
  <c r="CJ58" i="39"/>
  <c r="KL58" i="39"/>
  <c r="CJ59" i="39"/>
  <c r="KL59" i="39"/>
  <c r="CJ60" i="39"/>
  <c r="KL60" i="39"/>
  <c r="CJ61" i="39"/>
  <c r="KL61" i="39"/>
  <c r="CJ62" i="39"/>
  <c r="KL62" i="39"/>
  <c r="CJ63" i="39"/>
  <c r="KL63" i="39"/>
  <c r="CJ64" i="39"/>
  <c r="KL64" i="39"/>
  <c r="CJ65" i="39"/>
  <c r="KL65" i="39"/>
  <c r="CJ66" i="39"/>
  <c r="KL66" i="39"/>
  <c r="CJ67" i="39"/>
  <c r="KL67" i="39"/>
  <c r="CJ68" i="39"/>
  <c r="KL68" i="39"/>
  <c r="CJ69" i="39"/>
  <c r="KL69" i="39"/>
  <c r="CJ70" i="39"/>
  <c r="KL70" i="39"/>
  <c r="CJ71" i="39"/>
  <c r="KL71" i="39"/>
  <c r="CJ72" i="39"/>
  <c r="KL72" i="39"/>
  <c r="CJ73" i="39"/>
  <c r="KL73" i="39"/>
  <c r="CJ74" i="39"/>
  <c r="KL74" i="39"/>
  <c r="CJ75" i="39"/>
  <c r="KL75" i="39"/>
  <c r="CJ76" i="39"/>
  <c r="KL76" i="39"/>
  <c r="CJ77" i="39"/>
  <c r="KL77" i="39"/>
  <c r="CJ78" i="39"/>
  <c r="KL78" i="39"/>
  <c r="CJ79" i="39"/>
  <c r="KL79" i="39"/>
  <c r="CJ80" i="39"/>
  <c r="KL80" i="39"/>
  <c r="CJ81" i="39"/>
  <c r="KL81" i="39"/>
  <c r="CJ82" i="39"/>
  <c r="KL82" i="39"/>
  <c r="CJ83" i="39"/>
  <c r="KL83" i="39"/>
  <c r="CJ84" i="39"/>
  <c r="KL84" i="39"/>
  <c r="CJ85" i="39"/>
  <c r="KL85" i="39"/>
  <c r="CJ86" i="39"/>
  <c r="KL86" i="39"/>
  <c r="KM49" i="39"/>
  <c r="CL15" i="39"/>
  <c r="KN15" i="39"/>
  <c r="CL9" i="39"/>
  <c r="KN9" i="39"/>
  <c r="CL10" i="39"/>
  <c r="KN10" i="39"/>
  <c r="CL11" i="39"/>
  <c r="KN11" i="39"/>
  <c r="CL12" i="39"/>
  <c r="KN12" i="39"/>
  <c r="CL13" i="39"/>
  <c r="KN13" i="39"/>
  <c r="CL14" i="39"/>
  <c r="KN14" i="39"/>
  <c r="CL16" i="39"/>
  <c r="KN16" i="39"/>
  <c r="CL17" i="39"/>
  <c r="KN17" i="39"/>
  <c r="CL18" i="39"/>
  <c r="KN18" i="39"/>
  <c r="CL19" i="39"/>
  <c r="KN19" i="39"/>
  <c r="CL20" i="39"/>
  <c r="KN20" i="39"/>
  <c r="CL21" i="39"/>
  <c r="KN21" i="39"/>
  <c r="CL22" i="39"/>
  <c r="KN22" i="39"/>
  <c r="CL23" i="39"/>
  <c r="KN23" i="39"/>
  <c r="CL24" i="39"/>
  <c r="KN24" i="39"/>
  <c r="CL25" i="39"/>
  <c r="KN25" i="39"/>
  <c r="CL26" i="39"/>
  <c r="KN26" i="39"/>
  <c r="CL27" i="39"/>
  <c r="KN27" i="39"/>
  <c r="CL28" i="39"/>
  <c r="KN28" i="39"/>
  <c r="CL29" i="39"/>
  <c r="KN29" i="39"/>
  <c r="CL30" i="39"/>
  <c r="KN30" i="39"/>
  <c r="CL31" i="39"/>
  <c r="KN31" i="39"/>
  <c r="CL32" i="39"/>
  <c r="KN32" i="39"/>
  <c r="CL33" i="39"/>
  <c r="KN33" i="39"/>
  <c r="CL34" i="39"/>
  <c r="KN34" i="39"/>
  <c r="CL35" i="39"/>
  <c r="KN35" i="39"/>
  <c r="CL36" i="39"/>
  <c r="KN36" i="39"/>
  <c r="CL37" i="39"/>
  <c r="KN37" i="39"/>
  <c r="CL38" i="39"/>
  <c r="KN38" i="39"/>
  <c r="CL39" i="39"/>
  <c r="KN39" i="39"/>
  <c r="CL40" i="39"/>
  <c r="KN40" i="39"/>
  <c r="CL41" i="39"/>
  <c r="KN41" i="39"/>
  <c r="CL42" i="39"/>
  <c r="KN42" i="39"/>
  <c r="CL44" i="39"/>
  <c r="KN44" i="39"/>
  <c r="CL45" i="39"/>
  <c r="KN45" i="39"/>
  <c r="CL46" i="39"/>
  <c r="KN46" i="39"/>
  <c r="CL47" i="39"/>
  <c r="KN47" i="39"/>
  <c r="CL48" i="39"/>
  <c r="KN48" i="39"/>
  <c r="CL49" i="39"/>
  <c r="KN49" i="39"/>
  <c r="CL50" i="39"/>
  <c r="KN50" i="39"/>
  <c r="CL51" i="39"/>
  <c r="KN51" i="39"/>
  <c r="CL52" i="39"/>
  <c r="KN52" i="39"/>
  <c r="CL53" i="39"/>
  <c r="KN53" i="39"/>
  <c r="CL54" i="39"/>
  <c r="KN54" i="39"/>
  <c r="CL56" i="39"/>
  <c r="KN56" i="39"/>
  <c r="CL57" i="39"/>
  <c r="KN57" i="39"/>
  <c r="CL58" i="39"/>
  <c r="KN58" i="39"/>
  <c r="CL59" i="39"/>
  <c r="KN59" i="39"/>
  <c r="CL60" i="39"/>
  <c r="KN60" i="39"/>
  <c r="CL61" i="39"/>
  <c r="KN61" i="39"/>
  <c r="CL62" i="39"/>
  <c r="KN62" i="39"/>
  <c r="CL63" i="39"/>
  <c r="KN63" i="39"/>
  <c r="CL64" i="39"/>
  <c r="KN64" i="39"/>
  <c r="CL65" i="39"/>
  <c r="KN65" i="39"/>
  <c r="CL66" i="39"/>
  <c r="KN66" i="39"/>
  <c r="CL67" i="39"/>
  <c r="KN67" i="39"/>
  <c r="CL68" i="39"/>
  <c r="KN68" i="39"/>
  <c r="CL69" i="39"/>
  <c r="KN69" i="39"/>
  <c r="CL70" i="39"/>
  <c r="KN70" i="39"/>
  <c r="CL71" i="39"/>
  <c r="KN71" i="39"/>
  <c r="CL72" i="39"/>
  <c r="KN72" i="39"/>
  <c r="CL73" i="39"/>
  <c r="KN73" i="39"/>
  <c r="CL74" i="39"/>
  <c r="KN74" i="39"/>
  <c r="CL75" i="39"/>
  <c r="KN75" i="39"/>
  <c r="CL76" i="39"/>
  <c r="KN76" i="39"/>
  <c r="CL77" i="39"/>
  <c r="KN77" i="39"/>
  <c r="CL78" i="39"/>
  <c r="KN78" i="39"/>
  <c r="CL79" i="39"/>
  <c r="KN79" i="39"/>
  <c r="CL80" i="39"/>
  <c r="KN80" i="39"/>
  <c r="CL81" i="39"/>
  <c r="KN81" i="39"/>
  <c r="CL82" i="39"/>
  <c r="KN82" i="39"/>
  <c r="CL83" i="39"/>
  <c r="KN83" i="39"/>
  <c r="CL84" i="39"/>
  <c r="KN84" i="39"/>
  <c r="CL85" i="39"/>
  <c r="KN85" i="39"/>
  <c r="CL86" i="39"/>
  <c r="KN86" i="39"/>
  <c r="CM15" i="39"/>
  <c r="KO15" i="39"/>
  <c r="CM9" i="39"/>
  <c r="KO9" i="39"/>
  <c r="CM10" i="39"/>
  <c r="CM11" i="39"/>
  <c r="KO11" i="39"/>
  <c r="CM12" i="39"/>
  <c r="KO12" i="39"/>
  <c r="CM13" i="39"/>
  <c r="KO13" i="39"/>
  <c r="CM14" i="39"/>
  <c r="KO14" i="39"/>
  <c r="CM16" i="39"/>
  <c r="KO16" i="39"/>
  <c r="CM17" i="39"/>
  <c r="KO17" i="39"/>
  <c r="CM18" i="39"/>
  <c r="CM19" i="39"/>
  <c r="KO19" i="39"/>
  <c r="CM20" i="39"/>
  <c r="KO20" i="39"/>
  <c r="CM21" i="39"/>
  <c r="KO21" i="39"/>
  <c r="CM22" i="39"/>
  <c r="KO22" i="39"/>
  <c r="CM23" i="39"/>
  <c r="KO23" i="39"/>
  <c r="CM24" i="39"/>
  <c r="KO24" i="39"/>
  <c r="CM25" i="39"/>
  <c r="KO25" i="39"/>
  <c r="CM26" i="39"/>
  <c r="KO26" i="39"/>
  <c r="CM27" i="39"/>
  <c r="KO27" i="39"/>
  <c r="CM28" i="39"/>
  <c r="KO28" i="39"/>
  <c r="CM29" i="39"/>
  <c r="KO29" i="39"/>
  <c r="CM30" i="39"/>
  <c r="KO30" i="39"/>
  <c r="CM31" i="39"/>
  <c r="KO31" i="39"/>
  <c r="CM32" i="39"/>
  <c r="KO32" i="39"/>
  <c r="CM33" i="39"/>
  <c r="KO33" i="39"/>
  <c r="CM34" i="39"/>
  <c r="KO34" i="39"/>
  <c r="CM35" i="39"/>
  <c r="KO35" i="39"/>
  <c r="CM36" i="39"/>
  <c r="KO36" i="39"/>
  <c r="CM37" i="39"/>
  <c r="KO37" i="39"/>
  <c r="CM38" i="39"/>
  <c r="KO38" i="39"/>
  <c r="CM39" i="39"/>
  <c r="KO39" i="39"/>
  <c r="CM40" i="39"/>
  <c r="KO40" i="39"/>
  <c r="CM41" i="39"/>
  <c r="KO41" i="39"/>
  <c r="CM42" i="39"/>
  <c r="KO42" i="39"/>
  <c r="CM44" i="39"/>
  <c r="KO44" i="39"/>
  <c r="CM45" i="39"/>
  <c r="KO45" i="39"/>
  <c r="CM46" i="39"/>
  <c r="KO46" i="39"/>
  <c r="CM47" i="39"/>
  <c r="KO47" i="39"/>
  <c r="CM48" i="39"/>
  <c r="KO48" i="39"/>
  <c r="CM49" i="39"/>
  <c r="KO49" i="39"/>
  <c r="CM50" i="39"/>
  <c r="KO50" i="39"/>
  <c r="CM51" i="39"/>
  <c r="KO51" i="39"/>
  <c r="CM52" i="39"/>
  <c r="KO52" i="39"/>
  <c r="CM53" i="39"/>
  <c r="KO53" i="39"/>
  <c r="CM54" i="39"/>
  <c r="KO54" i="39"/>
  <c r="CM56" i="39"/>
  <c r="KO56" i="39"/>
  <c r="CM57" i="39"/>
  <c r="KO57" i="39"/>
  <c r="CM58" i="39"/>
  <c r="KO58" i="39"/>
  <c r="CM59" i="39"/>
  <c r="KO59" i="39"/>
  <c r="CM60" i="39"/>
  <c r="KO60" i="39"/>
  <c r="CM61" i="39"/>
  <c r="KO61" i="39"/>
  <c r="CM62" i="39"/>
  <c r="KO62" i="39"/>
  <c r="CM63" i="39"/>
  <c r="KO63" i="39"/>
  <c r="CM64" i="39"/>
  <c r="KO64" i="39"/>
  <c r="CM65" i="39"/>
  <c r="KO65" i="39"/>
  <c r="CM66" i="39"/>
  <c r="KO66" i="39"/>
  <c r="CM67" i="39"/>
  <c r="KO67" i="39"/>
  <c r="CM68" i="39"/>
  <c r="KO68" i="39"/>
  <c r="CM69" i="39"/>
  <c r="KO69" i="39"/>
  <c r="CM70" i="39"/>
  <c r="KO70" i="39"/>
  <c r="CM71" i="39"/>
  <c r="KO71" i="39"/>
  <c r="CM72" i="39"/>
  <c r="KO72" i="39"/>
  <c r="CM73" i="39"/>
  <c r="KO73" i="39"/>
  <c r="CM74" i="39"/>
  <c r="KO74" i="39"/>
  <c r="CM75" i="39"/>
  <c r="KO75" i="39"/>
  <c r="CM76" i="39"/>
  <c r="KO76" i="39"/>
  <c r="CM77" i="39"/>
  <c r="KO77" i="39"/>
  <c r="CM78" i="39"/>
  <c r="KO78" i="39"/>
  <c r="CM79" i="39"/>
  <c r="KO79" i="39"/>
  <c r="CM80" i="39"/>
  <c r="KO80" i="39"/>
  <c r="CM81" i="39"/>
  <c r="KO81" i="39"/>
  <c r="CM82" i="39"/>
  <c r="KO82" i="39"/>
  <c r="CM83" i="39"/>
  <c r="KO83" i="39"/>
  <c r="CM84" i="39"/>
  <c r="KO84" i="39"/>
  <c r="CM85" i="39"/>
  <c r="KO85" i="39"/>
  <c r="CM86" i="39"/>
  <c r="KO86" i="39"/>
  <c r="CN15" i="39"/>
  <c r="KP15" i="39"/>
  <c r="CN9" i="39"/>
  <c r="KP9" i="39"/>
  <c r="CN10" i="39"/>
  <c r="KP10" i="39"/>
  <c r="CN11" i="39"/>
  <c r="KP11" i="39"/>
  <c r="CN12" i="39"/>
  <c r="KP12" i="39"/>
  <c r="CN13" i="39"/>
  <c r="KP13" i="39"/>
  <c r="CN14" i="39"/>
  <c r="KP14" i="39"/>
  <c r="CN16" i="39"/>
  <c r="KP16" i="39"/>
  <c r="CN17" i="39"/>
  <c r="KP17" i="39"/>
  <c r="CN18" i="39"/>
  <c r="KP18" i="39"/>
  <c r="CN19" i="39"/>
  <c r="KP19" i="39"/>
  <c r="CN20" i="39"/>
  <c r="KP20" i="39"/>
  <c r="CN21" i="39"/>
  <c r="KP21" i="39"/>
  <c r="CN22" i="39"/>
  <c r="KP22" i="39"/>
  <c r="CN23" i="39"/>
  <c r="KP23" i="39"/>
  <c r="CN24" i="39"/>
  <c r="KP24" i="39"/>
  <c r="CN25" i="39"/>
  <c r="KP25" i="39"/>
  <c r="CN26" i="39"/>
  <c r="KP26" i="39"/>
  <c r="CN27" i="39"/>
  <c r="KP27" i="39"/>
  <c r="CN28" i="39"/>
  <c r="KP28" i="39"/>
  <c r="CN29" i="39"/>
  <c r="KP29" i="39"/>
  <c r="CN30" i="39"/>
  <c r="KP30" i="39"/>
  <c r="CN31" i="39"/>
  <c r="KP31" i="39"/>
  <c r="CN32" i="39"/>
  <c r="KP32" i="39"/>
  <c r="CN33" i="39"/>
  <c r="KP33" i="39"/>
  <c r="CN34" i="39"/>
  <c r="KP34" i="39"/>
  <c r="CN35" i="39"/>
  <c r="KP35" i="39"/>
  <c r="CN36" i="39"/>
  <c r="KP36" i="39"/>
  <c r="CN37" i="39"/>
  <c r="KP37" i="39"/>
  <c r="CN38" i="39"/>
  <c r="KP38" i="39"/>
  <c r="CN39" i="39"/>
  <c r="KP39" i="39"/>
  <c r="CN40" i="39"/>
  <c r="KP40" i="39"/>
  <c r="CN41" i="39"/>
  <c r="KP41" i="39"/>
  <c r="CN42" i="39"/>
  <c r="KP42" i="39"/>
  <c r="CN44" i="39"/>
  <c r="KP44" i="39"/>
  <c r="CN45" i="39"/>
  <c r="KP45" i="39"/>
  <c r="CN46" i="39"/>
  <c r="KP46" i="39"/>
  <c r="CN47" i="39"/>
  <c r="KP47" i="39"/>
  <c r="CN48" i="39"/>
  <c r="KP48" i="39"/>
  <c r="CN49" i="39"/>
  <c r="KP49" i="39"/>
  <c r="CN50" i="39"/>
  <c r="KP50" i="39"/>
  <c r="CN51" i="39"/>
  <c r="KP51" i="39"/>
  <c r="CN52" i="39"/>
  <c r="KP52" i="39"/>
  <c r="CN53" i="39"/>
  <c r="KP53" i="39"/>
  <c r="CN54" i="39"/>
  <c r="KP54" i="39"/>
  <c r="CN56" i="39"/>
  <c r="KP56" i="39"/>
  <c r="CN57" i="39"/>
  <c r="KP57" i="39"/>
  <c r="CN58" i="39"/>
  <c r="KP58" i="39"/>
  <c r="CN59" i="39"/>
  <c r="KP59" i="39"/>
  <c r="CN60" i="39"/>
  <c r="KP60" i="39"/>
  <c r="CN61" i="39"/>
  <c r="KP61" i="39"/>
  <c r="CN62" i="39"/>
  <c r="KP62" i="39"/>
  <c r="CN63" i="39"/>
  <c r="KP63" i="39"/>
  <c r="CN64" i="39"/>
  <c r="KP64" i="39"/>
  <c r="CN65" i="39"/>
  <c r="KP65" i="39"/>
  <c r="CN66" i="39"/>
  <c r="KP66" i="39"/>
  <c r="CN67" i="39"/>
  <c r="KP67" i="39"/>
  <c r="CN68" i="39"/>
  <c r="KP68" i="39"/>
  <c r="CN69" i="39"/>
  <c r="KP69" i="39"/>
  <c r="CN70" i="39"/>
  <c r="KP70" i="39"/>
  <c r="CN71" i="39"/>
  <c r="KP71" i="39"/>
  <c r="CN72" i="39"/>
  <c r="KP72" i="39"/>
  <c r="CN73" i="39"/>
  <c r="KP73" i="39"/>
  <c r="CN74" i="39"/>
  <c r="KP74" i="39"/>
  <c r="CN75" i="39"/>
  <c r="KP75" i="39"/>
  <c r="CN76" i="39"/>
  <c r="KP76" i="39"/>
  <c r="CN77" i="39"/>
  <c r="KP77" i="39"/>
  <c r="CN78" i="39"/>
  <c r="KP78" i="39"/>
  <c r="CN79" i="39"/>
  <c r="KP79" i="39"/>
  <c r="CN80" i="39"/>
  <c r="KP80" i="39"/>
  <c r="CN81" i="39"/>
  <c r="KP81" i="39"/>
  <c r="CN82" i="39"/>
  <c r="KP82" i="39"/>
  <c r="CN83" i="39"/>
  <c r="KP83" i="39"/>
  <c r="CN84" i="39"/>
  <c r="KP84" i="39"/>
  <c r="CN85" i="39"/>
  <c r="CN86" i="39"/>
  <c r="KP86" i="39"/>
  <c r="CO15" i="39"/>
  <c r="CO9" i="39"/>
  <c r="CO10" i="39"/>
  <c r="KQ10" i="39"/>
  <c r="CO11" i="39"/>
  <c r="KQ11" i="39"/>
  <c r="CO12" i="39"/>
  <c r="KQ12" i="39"/>
  <c r="CO13" i="39"/>
  <c r="KQ13" i="39"/>
  <c r="CO14" i="39"/>
  <c r="KQ14" i="39"/>
  <c r="CO16" i="39"/>
  <c r="KQ16" i="39"/>
  <c r="CO17" i="39"/>
  <c r="KQ17" i="39"/>
  <c r="CO18" i="39"/>
  <c r="KQ18" i="39"/>
  <c r="CO19" i="39"/>
  <c r="KQ19" i="39"/>
  <c r="CO20" i="39"/>
  <c r="KQ20" i="39"/>
  <c r="CO21" i="39"/>
  <c r="KQ21" i="39"/>
  <c r="CO22" i="39"/>
  <c r="KQ22" i="39"/>
  <c r="CO23" i="39"/>
  <c r="KQ23" i="39"/>
  <c r="CO24" i="39"/>
  <c r="KQ24" i="39"/>
  <c r="CO25" i="39"/>
  <c r="KQ25" i="39"/>
  <c r="CO26" i="39"/>
  <c r="KQ26" i="39"/>
  <c r="CO27" i="39"/>
  <c r="KQ27" i="39"/>
  <c r="CO28" i="39"/>
  <c r="KQ28" i="39"/>
  <c r="CO29" i="39"/>
  <c r="KQ29" i="39"/>
  <c r="CO30" i="39"/>
  <c r="KQ30" i="39"/>
  <c r="CO31" i="39"/>
  <c r="KQ31" i="39"/>
  <c r="CO32" i="39"/>
  <c r="KQ32" i="39"/>
  <c r="CO33" i="39"/>
  <c r="KQ33" i="39"/>
  <c r="CO34" i="39"/>
  <c r="KQ34" i="39"/>
  <c r="CO35" i="39"/>
  <c r="KQ35" i="39"/>
  <c r="CO36" i="39"/>
  <c r="KQ36" i="39"/>
  <c r="CO37" i="39"/>
  <c r="KQ37" i="39"/>
  <c r="CO38" i="39"/>
  <c r="KQ38" i="39"/>
  <c r="CO39" i="39"/>
  <c r="KQ39" i="39"/>
  <c r="CO40" i="39"/>
  <c r="KQ40" i="39"/>
  <c r="CO41" i="39"/>
  <c r="KQ41" i="39"/>
  <c r="CO42" i="39"/>
  <c r="KQ42" i="39"/>
  <c r="CO44" i="39"/>
  <c r="KQ44" i="39"/>
  <c r="CO45" i="39"/>
  <c r="KQ45" i="39"/>
  <c r="CO46" i="39"/>
  <c r="KQ46" i="39"/>
  <c r="CO47" i="39"/>
  <c r="KQ47" i="39"/>
  <c r="CO48" i="39"/>
  <c r="KQ48" i="39"/>
  <c r="CO49" i="39"/>
  <c r="KQ49" i="39"/>
  <c r="CO50" i="39"/>
  <c r="KQ50" i="39"/>
  <c r="CO51" i="39"/>
  <c r="KQ51" i="39"/>
  <c r="CO52" i="39"/>
  <c r="KQ52" i="39"/>
  <c r="CO53" i="39"/>
  <c r="KQ53" i="39"/>
  <c r="CO54" i="39"/>
  <c r="KQ54" i="39"/>
  <c r="CO56" i="39"/>
  <c r="KQ56" i="39"/>
  <c r="CO57" i="39"/>
  <c r="KQ57" i="39"/>
  <c r="CO58" i="39"/>
  <c r="KQ58" i="39"/>
  <c r="CO59" i="39"/>
  <c r="KQ59" i="39"/>
  <c r="CO60" i="39"/>
  <c r="KQ60" i="39"/>
  <c r="CO61" i="39"/>
  <c r="KQ61" i="39"/>
  <c r="CO62" i="39"/>
  <c r="KQ62" i="39"/>
  <c r="CO63" i="39"/>
  <c r="KQ63" i="39"/>
  <c r="CO64" i="39"/>
  <c r="KQ64" i="39"/>
  <c r="CO65" i="39"/>
  <c r="KQ65" i="39"/>
  <c r="CO66" i="39"/>
  <c r="KQ66" i="39"/>
  <c r="CO67" i="39"/>
  <c r="KQ67" i="39"/>
  <c r="CO68" i="39"/>
  <c r="KQ68" i="39"/>
  <c r="CO69" i="39"/>
  <c r="KQ69" i="39"/>
  <c r="CO70" i="39"/>
  <c r="KQ70" i="39"/>
  <c r="CO71" i="39"/>
  <c r="KQ71" i="39"/>
  <c r="CO72" i="39"/>
  <c r="KQ72" i="39"/>
  <c r="CO73" i="39"/>
  <c r="KQ73" i="39"/>
  <c r="CO74" i="39"/>
  <c r="KQ74" i="39"/>
  <c r="CO75" i="39"/>
  <c r="KQ75" i="39"/>
  <c r="CO76" i="39"/>
  <c r="KQ76" i="39"/>
  <c r="CO77" i="39"/>
  <c r="KQ77" i="39"/>
  <c r="CO78" i="39"/>
  <c r="KQ78" i="39"/>
  <c r="CO79" i="39"/>
  <c r="KQ79" i="39"/>
  <c r="CO80" i="39"/>
  <c r="KQ80" i="39"/>
  <c r="CO81" i="39"/>
  <c r="KQ81" i="39"/>
  <c r="CO82" i="39"/>
  <c r="KQ82" i="39"/>
  <c r="CO83" i="39"/>
  <c r="KQ83" i="39"/>
  <c r="CO84" i="39"/>
  <c r="KQ84" i="39"/>
  <c r="CO85" i="39"/>
  <c r="KQ85" i="39"/>
  <c r="CO86" i="39"/>
  <c r="KQ86" i="39"/>
  <c r="KR14" i="39"/>
  <c r="KF9" i="39"/>
  <c r="CD12" i="39"/>
  <c r="KF12" i="39"/>
  <c r="CD13" i="39"/>
  <c r="KF13" i="39"/>
  <c r="CD14" i="39"/>
  <c r="KF14" i="39"/>
  <c r="CD17" i="39"/>
  <c r="CD18" i="39"/>
  <c r="KF18" i="39"/>
  <c r="CD19" i="39"/>
  <c r="KF19" i="39"/>
  <c r="CD20" i="39"/>
  <c r="KF20" i="39"/>
  <c r="CD21" i="39"/>
  <c r="KF21" i="39"/>
  <c r="CD23" i="39"/>
  <c r="KF23" i="39"/>
  <c r="CD24" i="39"/>
  <c r="KF24" i="39"/>
  <c r="CD25" i="39"/>
  <c r="KF25" i="39"/>
  <c r="CD26" i="39"/>
  <c r="KF26" i="39"/>
  <c r="CD29" i="39"/>
  <c r="KF29" i="39"/>
  <c r="CD33" i="39"/>
  <c r="KF33" i="39"/>
  <c r="CD35" i="39"/>
  <c r="KF35" i="39"/>
  <c r="CD36" i="39"/>
  <c r="KF36" i="39"/>
  <c r="CD37" i="39"/>
  <c r="KF37" i="39"/>
  <c r="CD38" i="39"/>
  <c r="KF38" i="39"/>
  <c r="CD39" i="39"/>
  <c r="KF39" i="39"/>
  <c r="CD40" i="39"/>
  <c r="KF40" i="39"/>
  <c r="CD41" i="39"/>
  <c r="KF41" i="39"/>
  <c r="CD46" i="39"/>
  <c r="KF46" i="39"/>
  <c r="CD47" i="39"/>
  <c r="KF47" i="39"/>
  <c r="CD49" i="39"/>
  <c r="KF49" i="39"/>
  <c r="CD50" i="39"/>
  <c r="KF50" i="39"/>
  <c r="CD56" i="39"/>
  <c r="KF56" i="39"/>
  <c r="CD57" i="39"/>
  <c r="KF57" i="39"/>
  <c r="CD60" i="39"/>
  <c r="KF60" i="39"/>
  <c r="CD61" i="39"/>
  <c r="KF61" i="39"/>
  <c r="CD62" i="39"/>
  <c r="KF62" i="39"/>
  <c r="CD64" i="39"/>
  <c r="KF64" i="39"/>
  <c r="CD65" i="39"/>
  <c r="KF65" i="39"/>
  <c r="CD72" i="39"/>
  <c r="KF72" i="39"/>
  <c r="CD76" i="39"/>
  <c r="KF76" i="39"/>
  <c r="CD77" i="39"/>
  <c r="KF77" i="39"/>
  <c r="CD82" i="39"/>
  <c r="KF82" i="39"/>
  <c r="CD83" i="39"/>
  <c r="KF83" i="39"/>
  <c r="JR9" i="39"/>
  <c r="JR10" i="39"/>
  <c r="JR11" i="39"/>
  <c r="JR12" i="39"/>
  <c r="JR13" i="39"/>
  <c r="JR14" i="39"/>
  <c r="JR15" i="39"/>
  <c r="JR16" i="39"/>
  <c r="JR17" i="39"/>
  <c r="JR18" i="39"/>
  <c r="JR19" i="39"/>
  <c r="JR20" i="39"/>
  <c r="JR21" i="39"/>
  <c r="JR22" i="39"/>
  <c r="JR23" i="39"/>
  <c r="JR24" i="39"/>
  <c r="JR25" i="39"/>
  <c r="JR26" i="39"/>
  <c r="JR27" i="39"/>
  <c r="JR28" i="39"/>
  <c r="JR29" i="39"/>
  <c r="JR30" i="39"/>
  <c r="JR31" i="39"/>
  <c r="JR32" i="39"/>
  <c r="JR33" i="39"/>
  <c r="JR34" i="39"/>
  <c r="JR35" i="39"/>
  <c r="JR36" i="39"/>
  <c r="JR37" i="39"/>
  <c r="JR38" i="39"/>
  <c r="JR39" i="39"/>
  <c r="JR40" i="39"/>
  <c r="JR41" i="39"/>
  <c r="JR42" i="39"/>
  <c r="JR44" i="39"/>
  <c r="JR45" i="39"/>
  <c r="JR46" i="39"/>
  <c r="JR47" i="39"/>
  <c r="JR48" i="39"/>
  <c r="JR49" i="39"/>
  <c r="JR50" i="39"/>
  <c r="JR51" i="39"/>
  <c r="JR52" i="39"/>
  <c r="JR53" i="39"/>
  <c r="JR54" i="39"/>
  <c r="JR55" i="39"/>
  <c r="JR56" i="39"/>
  <c r="JR57" i="39"/>
  <c r="JR58" i="39"/>
  <c r="JR59" i="39"/>
  <c r="JR60" i="39"/>
  <c r="JR61" i="39"/>
  <c r="JR62" i="39"/>
  <c r="JR63" i="39"/>
  <c r="JR64" i="39"/>
  <c r="JR65" i="39"/>
  <c r="JR66" i="39"/>
  <c r="JR67" i="39"/>
  <c r="JR68" i="39"/>
  <c r="JR69" i="39"/>
  <c r="JR70" i="39"/>
  <c r="JR71" i="39"/>
  <c r="JR72" i="39"/>
  <c r="JR73" i="39"/>
  <c r="JR74" i="39"/>
  <c r="JR75" i="39"/>
  <c r="JR76" i="39"/>
  <c r="JR77" i="39"/>
  <c r="JR78" i="39"/>
  <c r="JR79" i="39"/>
  <c r="JR80" i="39"/>
  <c r="JR81" i="39"/>
  <c r="JR82" i="39"/>
  <c r="JR83" i="39"/>
  <c r="JR84" i="39"/>
  <c r="JR85" i="39"/>
  <c r="JR86" i="39"/>
  <c r="JS9" i="39"/>
  <c r="JS10" i="39"/>
  <c r="JS11" i="39"/>
  <c r="JS12" i="39"/>
  <c r="JS13" i="39"/>
  <c r="JS14" i="39"/>
  <c r="JS15" i="39"/>
  <c r="JS16" i="39"/>
  <c r="JS17" i="39"/>
  <c r="JS18" i="39"/>
  <c r="JS19" i="39"/>
  <c r="JS20" i="39"/>
  <c r="JS21" i="39"/>
  <c r="JS22" i="39"/>
  <c r="JS23" i="39"/>
  <c r="JS24" i="39"/>
  <c r="JS25" i="39"/>
  <c r="JS26" i="39"/>
  <c r="JS27" i="39"/>
  <c r="JS28" i="39"/>
  <c r="JS29" i="39"/>
  <c r="JS30" i="39"/>
  <c r="JS31" i="39"/>
  <c r="JS32" i="39"/>
  <c r="JS33" i="39"/>
  <c r="JS34" i="39"/>
  <c r="JS35" i="39"/>
  <c r="JS36" i="39"/>
  <c r="JS37" i="39"/>
  <c r="JS38" i="39"/>
  <c r="JS39" i="39"/>
  <c r="JS40" i="39"/>
  <c r="JS41" i="39"/>
  <c r="JS42" i="39"/>
  <c r="JS44" i="39"/>
  <c r="JS45" i="39"/>
  <c r="JS46" i="39"/>
  <c r="JS47" i="39"/>
  <c r="JS48" i="39"/>
  <c r="JS49" i="39"/>
  <c r="JS50" i="39"/>
  <c r="JS51" i="39"/>
  <c r="JS52" i="39"/>
  <c r="JS53" i="39"/>
  <c r="JS54" i="39"/>
  <c r="JS55" i="39"/>
  <c r="JS56" i="39"/>
  <c r="JS57" i="39"/>
  <c r="JS58" i="39"/>
  <c r="JS59" i="39"/>
  <c r="JS60" i="39"/>
  <c r="JS61" i="39"/>
  <c r="JS62" i="39"/>
  <c r="JS63" i="39"/>
  <c r="JS64" i="39"/>
  <c r="JS65" i="39"/>
  <c r="JS66" i="39"/>
  <c r="JS67" i="39"/>
  <c r="JS68" i="39"/>
  <c r="JS69" i="39"/>
  <c r="JS70" i="39"/>
  <c r="JS71" i="39"/>
  <c r="JS72" i="39"/>
  <c r="JS73" i="39"/>
  <c r="JS74" i="39"/>
  <c r="JS75" i="39"/>
  <c r="JS76" i="39"/>
  <c r="JS77" i="39"/>
  <c r="JS78" i="39"/>
  <c r="JS79" i="39"/>
  <c r="JS80" i="39"/>
  <c r="JS81" i="39"/>
  <c r="JS82" i="39"/>
  <c r="JS83" i="39"/>
  <c r="JS84" i="39"/>
  <c r="JS85" i="39"/>
  <c r="JS86" i="39"/>
  <c r="JT9" i="39"/>
  <c r="JT10" i="39"/>
  <c r="JT11" i="39"/>
  <c r="JT12" i="39"/>
  <c r="JT13" i="39"/>
  <c r="JT14" i="39"/>
  <c r="JT15" i="39"/>
  <c r="JT16" i="39"/>
  <c r="JT17" i="39"/>
  <c r="JT18" i="39"/>
  <c r="JT19" i="39"/>
  <c r="JT20" i="39"/>
  <c r="JT21" i="39"/>
  <c r="JT22" i="39"/>
  <c r="JT23" i="39"/>
  <c r="JT24" i="39"/>
  <c r="JT25" i="39"/>
  <c r="JT26" i="39"/>
  <c r="JT27" i="39"/>
  <c r="JT28" i="39"/>
  <c r="JT29" i="39"/>
  <c r="JT30" i="39"/>
  <c r="JT31" i="39"/>
  <c r="JT32" i="39"/>
  <c r="JQ32" i="39"/>
  <c r="JU32" i="39"/>
  <c r="JV32" i="39"/>
  <c r="JW32" i="39"/>
  <c r="JX32" i="39"/>
  <c r="JY32" i="39"/>
  <c r="JZ32" i="39"/>
  <c r="KA32" i="39"/>
  <c r="KB32" i="39"/>
  <c r="JT33" i="39"/>
  <c r="JT34" i="39"/>
  <c r="JT35" i="39"/>
  <c r="JT36" i="39"/>
  <c r="JT37" i="39"/>
  <c r="JT38" i="39"/>
  <c r="JT39" i="39"/>
  <c r="JT40" i="39"/>
  <c r="JT41" i="39"/>
  <c r="JT42" i="39"/>
  <c r="JT44" i="39"/>
  <c r="JT45" i="39"/>
  <c r="JT46" i="39"/>
  <c r="JT47" i="39"/>
  <c r="JT48" i="39"/>
  <c r="JT49" i="39"/>
  <c r="JT50" i="39"/>
  <c r="JT51" i="39"/>
  <c r="JT52" i="39"/>
  <c r="JT53" i="39"/>
  <c r="JT54" i="39"/>
  <c r="JT55" i="39"/>
  <c r="JT56" i="39"/>
  <c r="JT57" i="39"/>
  <c r="JT58" i="39"/>
  <c r="JT59" i="39"/>
  <c r="JT60" i="39"/>
  <c r="JT61" i="39"/>
  <c r="JT62" i="39"/>
  <c r="JT63" i="39"/>
  <c r="JT64" i="39"/>
  <c r="JT65" i="39"/>
  <c r="JT66" i="39"/>
  <c r="JT67" i="39"/>
  <c r="JT68" i="39"/>
  <c r="JT69" i="39"/>
  <c r="JT70" i="39"/>
  <c r="JT71" i="39"/>
  <c r="JT72" i="39"/>
  <c r="JT73" i="39"/>
  <c r="JT74" i="39"/>
  <c r="JT75" i="39"/>
  <c r="JT76" i="39"/>
  <c r="JT77" i="39"/>
  <c r="JT78" i="39"/>
  <c r="JT79" i="39"/>
  <c r="JT80" i="39"/>
  <c r="JT81" i="39"/>
  <c r="JQ81" i="39"/>
  <c r="JU81" i="39"/>
  <c r="JV81" i="39"/>
  <c r="JW81" i="39"/>
  <c r="JX81" i="39"/>
  <c r="JY81" i="39"/>
  <c r="JZ81" i="39"/>
  <c r="KA81" i="39"/>
  <c r="KB81" i="39"/>
  <c r="JT82" i="39"/>
  <c r="JT83" i="39"/>
  <c r="JT84" i="39"/>
  <c r="JT85" i="39"/>
  <c r="JT86" i="39"/>
  <c r="JU9" i="39"/>
  <c r="JU10" i="39"/>
  <c r="JU11" i="39"/>
  <c r="JU12" i="39"/>
  <c r="JU13" i="39"/>
  <c r="JU14" i="39"/>
  <c r="JU15" i="39"/>
  <c r="JU16" i="39"/>
  <c r="JU17" i="39"/>
  <c r="JU18" i="39"/>
  <c r="JU19" i="39"/>
  <c r="JU20" i="39"/>
  <c r="JU21" i="39"/>
  <c r="JU22" i="39"/>
  <c r="JU23" i="39"/>
  <c r="JU24" i="39"/>
  <c r="JU25" i="39"/>
  <c r="JU26" i="39"/>
  <c r="JU27" i="39"/>
  <c r="JU28" i="39"/>
  <c r="JU29" i="39"/>
  <c r="JU30" i="39"/>
  <c r="JU31" i="39"/>
  <c r="JU33" i="39"/>
  <c r="JU34" i="39"/>
  <c r="JU35" i="39"/>
  <c r="JU36" i="39"/>
  <c r="JU37" i="39"/>
  <c r="JU38" i="39"/>
  <c r="JU39" i="39"/>
  <c r="JU40" i="39"/>
  <c r="JU41" i="39"/>
  <c r="JU42" i="39"/>
  <c r="JU44" i="39"/>
  <c r="JU45" i="39"/>
  <c r="JU46" i="39"/>
  <c r="JU47" i="39"/>
  <c r="JU48" i="39"/>
  <c r="JU49" i="39"/>
  <c r="JU50" i="39"/>
  <c r="JU51" i="39"/>
  <c r="JU52" i="39"/>
  <c r="JU53" i="39"/>
  <c r="JU54" i="39"/>
  <c r="JU55" i="39"/>
  <c r="JU56" i="39"/>
  <c r="JU57" i="39"/>
  <c r="JU58" i="39"/>
  <c r="JU59" i="39"/>
  <c r="JU60" i="39"/>
  <c r="JU61" i="39"/>
  <c r="JU62" i="39"/>
  <c r="JU63" i="39"/>
  <c r="JU64" i="39"/>
  <c r="JU65" i="39"/>
  <c r="JU66" i="39"/>
  <c r="JU67" i="39"/>
  <c r="JU68" i="39"/>
  <c r="JU69" i="39"/>
  <c r="JU70" i="39"/>
  <c r="JU71" i="39"/>
  <c r="JU72" i="39"/>
  <c r="JU73" i="39"/>
  <c r="JU74" i="39"/>
  <c r="JU75" i="39"/>
  <c r="JU76" i="39"/>
  <c r="JU77" i="39"/>
  <c r="JU78" i="39"/>
  <c r="JU79" i="39"/>
  <c r="JU80" i="39"/>
  <c r="JU82" i="39"/>
  <c r="JU83" i="39"/>
  <c r="JU84" i="39"/>
  <c r="JU85" i="39"/>
  <c r="JU86" i="39"/>
  <c r="JV9" i="39"/>
  <c r="JV10" i="39"/>
  <c r="JV11" i="39"/>
  <c r="JV12" i="39"/>
  <c r="JV13" i="39"/>
  <c r="JV14" i="39"/>
  <c r="JV15" i="39"/>
  <c r="JV16" i="39"/>
  <c r="JV17" i="39"/>
  <c r="JV18" i="39"/>
  <c r="JV19" i="39"/>
  <c r="JV20" i="39"/>
  <c r="JV21" i="39"/>
  <c r="JV22" i="39"/>
  <c r="JV23" i="39"/>
  <c r="JV24" i="39"/>
  <c r="JV25" i="39"/>
  <c r="JV26" i="39"/>
  <c r="JV27" i="39"/>
  <c r="JV28" i="39"/>
  <c r="JV29" i="39"/>
  <c r="JV30" i="39"/>
  <c r="JV31" i="39"/>
  <c r="JV33" i="39"/>
  <c r="JV34" i="39"/>
  <c r="JV35" i="39"/>
  <c r="JV36" i="39"/>
  <c r="JV37" i="39"/>
  <c r="JV38" i="39"/>
  <c r="JV39" i="39"/>
  <c r="JV40" i="39"/>
  <c r="JV41" i="39"/>
  <c r="JV42" i="39"/>
  <c r="JV44" i="39"/>
  <c r="JV45" i="39"/>
  <c r="JV46" i="39"/>
  <c r="JV47" i="39"/>
  <c r="JV48" i="39"/>
  <c r="JV49" i="39"/>
  <c r="JV50" i="39"/>
  <c r="JV51" i="39"/>
  <c r="JV52" i="39"/>
  <c r="JV53" i="39"/>
  <c r="JV54" i="39"/>
  <c r="JV55" i="39"/>
  <c r="JV56" i="39"/>
  <c r="JV57" i="39"/>
  <c r="JV58" i="39"/>
  <c r="JV59" i="39"/>
  <c r="JV60" i="39"/>
  <c r="JV61" i="39"/>
  <c r="JV62" i="39"/>
  <c r="JV63" i="39"/>
  <c r="JV64" i="39"/>
  <c r="JV65" i="39"/>
  <c r="JV66" i="39"/>
  <c r="JV67" i="39"/>
  <c r="JV68" i="39"/>
  <c r="JV69" i="39"/>
  <c r="JV70" i="39"/>
  <c r="JV71" i="39"/>
  <c r="JV72" i="39"/>
  <c r="JV73" i="39"/>
  <c r="JV74" i="39"/>
  <c r="JV75" i="39"/>
  <c r="JV76" i="39"/>
  <c r="JV77" i="39"/>
  <c r="JV78" i="39"/>
  <c r="JV79" i="39"/>
  <c r="JV80" i="39"/>
  <c r="JV82" i="39"/>
  <c r="JV83" i="39"/>
  <c r="JV84" i="39"/>
  <c r="JV85" i="39"/>
  <c r="JV86" i="39"/>
  <c r="JW9" i="39"/>
  <c r="JW10" i="39"/>
  <c r="JW11" i="39"/>
  <c r="JW12" i="39"/>
  <c r="JW13" i="39"/>
  <c r="JW14" i="39"/>
  <c r="JW15" i="39"/>
  <c r="JW16" i="39"/>
  <c r="JW17" i="39"/>
  <c r="JW18" i="39"/>
  <c r="JW19" i="39"/>
  <c r="JW20" i="39"/>
  <c r="JW21" i="39"/>
  <c r="JW22" i="39"/>
  <c r="JW23" i="39"/>
  <c r="JW24" i="39"/>
  <c r="JW25" i="39"/>
  <c r="JW26" i="39"/>
  <c r="JW27" i="39"/>
  <c r="JW28" i="39"/>
  <c r="JW29" i="39"/>
  <c r="JW30" i="39"/>
  <c r="JW31" i="39"/>
  <c r="JW33" i="39"/>
  <c r="JW34" i="39"/>
  <c r="JW35" i="39"/>
  <c r="JW36" i="39"/>
  <c r="JW37" i="39"/>
  <c r="JW38" i="39"/>
  <c r="JW39" i="39"/>
  <c r="JW40" i="39"/>
  <c r="JW41" i="39"/>
  <c r="JW42" i="39"/>
  <c r="JW44" i="39"/>
  <c r="JW45" i="39"/>
  <c r="JW46" i="39"/>
  <c r="JW47" i="39"/>
  <c r="JW48" i="39"/>
  <c r="JW49" i="39"/>
  <c r="JW50" i="39"/>
  <c r="JW51" i="39"/>
  <c r="JW52" i="39"/>
  <c r="JW53" i="39"/>
  <c r="JW54" i="39"/>
  <c r="JW55" i="39"/>
  <c r="JW56" i="39"/>
  <c r="JW57" i="39"/>
  <c r="JW58" i="39"/>
  <c r="JW59" i="39"/>
  <c r="JW60" i="39"/>
  <c r="JW61" i="39"/>
  <c r="JW62" i="39"/>
  <c r="JW63" i="39"/>
  <c r="JW64" i="39"/>
  <c r="JW65" i="39"/>
  <c r="JW66" i="39"/>
  <c r="JW67" i="39"/>
  <c r="JW68" i="39"/>
  <c r="JW69" i="39"/>
  <c r="JW70" i="39"/>
  <c r="JW71" i="39"/>
  <c r="JW72" i="39"/>
  <c r="JW73" i="39"/>
  <c r="JW74" i="39"/>
  <c r="JW75" i="39"/>
  <c r="JW76" i="39"/>
  <c r="JW77" i="39"/>
  <c r="JW78" i="39"/>
  <c r="JW79" i="39"/>
  <c r="JW80" i="39"/>
  <c r="JW82" i="39"/>
  <c r="JW83" i="39"/>
  <c r="JW84" i="39"/>
  <c r="JW85" i="39"/>
  <c r="JW86" i="39"/>
  <c r="JX9" i="39"/>
  <c r="JX10" i="39"/>
  <c r="JX11" i="39"/>
  <c r="JX12" i="39"/>
  <c r="JX13" i="39"/>
  <c r="JX14" i="39"/>
  <c r="JX15" i="39"/>
  <c r="JX16" i="39"/>
  <c r="JX17" i="39"/>
  <c r="JX18" i="39"/>
  <c r="JX19" i="39"/>
  <c r="JX20" i="39"/>
  <c r="JX21" i="39"/>
  <c r="JX22" i="39"/>
  <c r="JX23" i="39"/>
  <c r="JX24" i="39"/>
  <c r="JX25" i="39"/>
  <c r="JX26" i="39"/>
  <c r="JX27" i="39"/>
  <c r="JX28" i="39"/>
  <c r="JX29" i="39"/>
  <c r="JX30" i="39"/>
  <c r="JX31" i="39"/>
  <c r="JX33" i="39"/>
  <c r="JX34" i="39"/>
  <c r="JX35" i="39"/>
  <c r="JX36" i="39"/>
  <c r="JX37" i="39"/>
  <c r="JX38" i="39"/>
  <c r="JX39" i="39"/>
  <c r="JX40" i="39"/>
  <c r="JX41" i="39"/>
  <c r="JX42" i="39"/>
  <c r="JX44" i="39"/>
  <c r="JX45" i="39"/>
  <c r="JX46" i="39"/>
  <c r="JX47" i="39"/>
  <c r="JX48" i="39"/>
  <c r="JX49" i="39"/>
  <c r="JX50" i="39"/>
  <c r="JX51" i="39"/>
  <c r="JX52" i="39"/>
  <c r="JX53" i="39"/>
  <c r="JX54" i="39"/>
  <c r="JX55" i="39"/>
  <c r="JX56" i="39"/>
  <c r="JX57" i="39"/>
  <c r="JX58" i="39"/>
  <c r="JX59" i="39"/>
  <c r="JX60" i="39"/>
  <c r="JX61" i="39"/>
  <c r="JX62" i="39"/>
  <c r="JX63" i="39"/>
  <c r="JX64" i="39"/>
  <c r="JX65" i="39"/>
  <c r="JX66" i="39"/>
  <c r="JX67" i="39"/>
  <c r="JX68" i="39"/>
  <c r="JX69" i="39"/>
  <c r="JX70" i="39"/>
  <c r="JX71" i="39"/>
  <c r="JX72" i="39"/>
  <c r="JX73" i="39"/>
  <c r="JX74" i="39"/>
  <c r="JX75" i="39"/>
  <c r="JX76" i="39"/>
  <c r="JX77" i="39"/>
  <c r="JX78" i="39"/>
  <c r="JX79" i="39"/>
  <c r="JX80" i="39"/>
  <c r="JX82" i="39"/>
  <c r="JX83" i="39"/>
  <c r="JX84" i="39"/>
  <c r="JX85" i="39"/>
  <c r="JX86" i="39"/>
  <c r="JY9" i="39"/>
  <c r="JY10" i="39"/>
  <c r="JY11" i="39"/>
  <c r="JY12" i="39"/>
  <c r="JY13" i="39"/>
  <c r="JY14" i="39"/>
  <c r="JY15" i="39"/>
  <c r="JY16" i="39"/>
  <c r="JY17" i="39"/>
  <c r="JY18" i="39"/>
  <c r="JY19" i="39"/>
  <c r="JY20" i="39"/>
  <c r="JY21" i="39"/>
  <c r="JY22" i="39"/>
  <c r="JY23" i="39"/>
  <c r="JY24" i="39"/>
  <c r="JY25" i="39"/>
  <c r="JY26" i="39"/>
  <c r="JY27" i="39"/>
  <c r="JY28" i="39"/>
  <c r="JY29" i="39"/>
  <c r="JY30" i="39"/>
  <c r="JY31" i="39"/>
  <c r="JY33" i="39"/>
  <c r="JY34" i="39"/>
  <c r="JY35" i="39"/>
  <c r="JY36" i="39"/>
  <c r="JY37" i="39"/>
  <c r="JY38" i="39"/>
  <c r="JY39" i="39"/>
  <c r="JY40" i="39"/>
  <c r="JY41" i="39"/>
  <c r="JY42" i="39"/>
  <c r="JY44" i="39"/>
  <c r="JY45" i="39"/>
  <c r="JY46" i="39"/>
  <c r="JY47" i="39"/>
  <c r="JY48" i="39"/>
  <c r="JY49" i="39"/>
  <c r="JY50" i="39"/>
  <c r="JY51" i="39"/>
  <c r="JY52" i="39"/>
  <c r="JY53" i="39"/>
  <c r="JY54" i="39"/>
  <c r="JY55" i="39"/>
  <c r="JY56" i="39"/>
  <c r="JY57" i="39"/>
  <c r="JY58" i="39"/>
  <c r="JY59" i="39"/>
  <c r="JY60" i="39"/>
  <c r="JY61" i="39"/>
  <c r="JY62" i="39"/>
  <c r="JY63" i="39"/>
  <c r="JY64" i="39"/>
  <c r="JY65" i="39"/>
  <c r="JY66" i="39"/>
  <c r="JY67" i="39"/>
  <c r="JY68" i="39"/>
  <c r="JY69" i="39"/>
  <c r="JY70" i="39"/>
  <c r="JY71" i="39"/>
  <c r="JY72" i="39"/>
  <c r="JY73" i="39"/>
  <c r="JY74" i="39"/>
  <c r="JY75" i="39"/>
  <c r="JY76" i="39"/>
  <c r="JY77" i="39"/>
  <c r="JY78" i="39"/>
  <c r="JY79" i="39"/>
  <c r="JY80" i="39"/>
  <c r="JY82" i="39"/>
  <c r="JY83" i="39"/>
  <c r="JY84" i="39"/>
  <c r="JY85" i="39"/>
  <c r="JY86" i="39"/>
  <c r="JZ9" i="39"/>
  <c r="JZ10" i="39"/>
  <c r="JZ11" i="39"/>
  <c r="JZ12" i="39"/>
  <c r="JZ13" i="39"/>
  <c r="JZ14" i="39"/>
  <c r="JZ15" i="39"/>
  <c r="JZ16" i="39"/>
  <c r="JZ17" i="39"/>
  <c r="JZ18" i="39"/>
  <c r="JZ19" i="39"/>
  <c r="JZ20" i="39"/>
  <c r="JZ21" i="39"/>
  <c r="JZ22" i="39"/>
  <c r="JZ23" i="39"/>
  <c r="JZ24" i="39"/>
  <c r="JZ25" i="39"/>
  <c r="JZ26" i="39"/>
  <c r="JZ27" i="39"/>
  <c r="JZ28" i="39"/>
  <c r="JZ29" i="39"/>
  <c r="JZ30" i="39"/>
  <c r="JZ31" i="39"/>
  <c r="JZ33" i="39"/>
  <c r="JZ34" i="39"/>
  <c r="JZ35" i="39"/>
  <c r="JZ36" i="39"/>
  <c r="JZ37" i="39"/>
  <c r="JZ38" i="39"/>
  <c r="JZ39" i="39"/>
  <c r="JZ40" i="39"/>
  <c r="JZ41" i="39"/>
  <c r="JZ42" i="39"/>
  <c r="JZ44" i="39"/>
  <c r="JZ45" i="39"/>
  <c r="JZ46" i="39"/>
  <c r="JZ47" i="39"/>
  <c r="JZ48" i="39"/>
  <c r="JZ49" i="39"/>
  <c r="JZ50" i="39"/>
  <c r="JZ51" i="39"/>
  <c r="JZ52" i="39"/>
  <c r="JZ53" i="39"/>
  <c r="JZ54" i="39"/>
  <c r="JZ55" i="39"/>
  <c r="JZ56" i="39"/>
  <c r="JZ57" i="39"/>
  <c r="JZ58" i="39"/>
  <c r="JZ59" i="39"/>
  <c r="JZ60" i="39"/>
  <c r="JZ61" i="39"/>
  <c r="JZ62" i="39"/>
  <c r="JZ63" i="39"/>
  <c r="JZ64" i="39"/>
  <c r="JZ65" i="39"/>
  <c r="JZ66" i="39"/>
  <c r="JZ67" i="39"/>
  <c r="JZ68" i="39"/>
  <c r="JZ69" i="39"/>
  <c r="JZ70" i="39"/>
  <c r="JZ71" i="39"/>
  <c r="JZ72" i="39"/>
  <c r="JZ73" i="39"/>
  <c r="JZ74" i="39"/>
  <c r="JZ75" i="39"/>
  <c r="JZ76" i="39"/>
  <c r="JZ77" i="39"/>
  <c r="JZ78" i="39"/>
  <c r="JZ79" i="39"/>
  <c r="JZ80" i="39"/>
  <c r="JZ82" i="39"/>
  <c r="JZ83" i="39"/>
  <c r="JZ84" i="39"/>
  <c r="JZ85" i="39"/>
  <c r="JZ86" i="39"/>
  <c r="KA9" i="39"/>
  <c r="KA10" i="39"/>
  <c r="KA11" i="39"/>
  <c r="KA12" i="39"/>
  <c r="KA13" i="39"/>
  <c r="KA14" i="39"/>
  <c r="KA15" i="39"/>
  <c r="KA16" i="39"/>
  <c r="KA17" i="39"/>
  <c r="KA18" i="39"/>
  <c r="KA19" i="39"/>
  <c r="KA20" i="39"/>
  <c r="KA21" i="39"/>
  <c r="KA22" i="39"/>
  <c r="KA23" i="39"/>
  <c r="KA24" i="39"/>
  <c r="KA25" i="39"/>
  <c r="KA26" i="39"/>
  <c r="KA27" i="39"/>
  <c r="KA28" i="39"/>
  <c r="KA29" i="39"/>
  <c r="KA30" i="39"/>
  <c r="KA31" i="39"/>
  <c r="KA33" i="39"/>
  <c r="KA34" i="39"/>
  <c r="KA35" i="39"/>
  <c r="KA36" i="39"/>
  <c r="KA37" i="39"/>
  <c r="KA38" i="39"/>
  <c r="KA39" i="39"/>
  <c r="KA40" i="39"/>
  <c r="KA41" i="39"/>
  <c r="KA42" i="39"/>
  <c r="KA44" i="39"/>
  <c r="KA45" i="39"/>
  <c r="KA46" i="39"/>
  <c r="KA47" i="39"/>
  <c r="KA48" i="39"/>
  <c r="KA49" i="39"/>
  <c r="KA50" i="39"/>
  <c r="KA51" i="39"/>
  <c r="KA52" i="39"/>
  <c r="KA53" i="39"/>
  <c r="KA54" i="39"/>
  <c r="KA55" i="39"/>
  <c r="KA56" i="39"/>
  <c r="KA57" i="39"/>
  <c r="KA58" i="39"/>
  <c r="KA59" i="39"/>
  <c r="KA60" i="39"/>
  <c r="KA61" i="39"/>
  <c r="KA62" i="39"/>
  <c r="KA63" i="39"/>
  <c r="KA64" i="39"/>
  <c r="KA65" i="39"/>
  <c r="KA66" i="39"/>
  <c r="KA67" i="39"/>
  <c r="KA68" i="39"/>
  <c r="KA69" i="39"/>
  <c r="KA70" i="39"/>
  <c r="KA71" i="39"/>
  <c r="KA72" i="39"/>
  <c r="KA73" i="39"/>
  <c r="KA74" i="39"/>
  <c r="KA75" i="39"/>
  <c r="KA76" i="39"/>
  <c r="KA77" i="39"/>
  <c r="KA78" i="39"/>
  <c r="KA79" i="39"/>
  <c r="KA80" i="39"/>
  <c r="KA82" i="39"/>
  <c r="KA83" i="39"/>
  <c r="KA84" i="39"/>
  <c r="KA85" i="39"/>
  <c r="KA86" i="39"/>
  <c r="KB9" i="39"/>
  <c r="KB10" i="39"/>
  <c r="KB11" i="39"/>
  <c r="KB12" i="39"/>
  <c r="KB13" i="39"/>
  <c r="KB14" i="39"/>
  <c r="KB15" i="39"/>
  <c r="KB16" i="39"/>
  <c r="KB17" i="39"/>
  <c r="KB18" i="39"/>
  <c r="KB19" i="39"/>
  <c r="KB20" i="39"/>
  <c r="KB21" i="39"/>
  <c r="KB22" i="39"/>
  <c r="KB23" i="39"/>
  <c r="KB24" i="39"/>
  <c r="KB25" i="39"/>
  <c r="KB26" i="39"/>
  <c r="KB27" i="39"/>
  <c r="KB28" i="39"/>
  <c r="KB29" i="39"/>
  <c r="KB30" i="39"/>
  <c r="KB31" i="39"/>
  <c r="KB33" i="39"/>
  <c r="KB34" i="39"/>
  <c r="KB35" i="39"/>
  <c r="KB36" i="39"/>
  <c r="KB37" i="39"/>
  <c r="KB38" i="39"/>
  <c r="KB39" i="39"/>
  <c r="KB40" i="39"/>
  <c r="KB41" i="39"/>
  <c r="KB42" i="39"/>
  <c r="KB44" i="39"/>
  <c r="KB45" i="39"/>
  <c r="KB46" i="39"/>
  <c r="KB47" i="39"/>
  <c r="KB48" i="39"/>
  <c r="KB49" i="39"/>
  <c r="KB50" i="39"/>
  <c r="KB51" i="39"/>
  <c r="KB52" i="39"/>
  <c r="KB53" i="39"/>
  <c r="KB54" i="39"/>
  <c r="KB55" i="39"/>
  <c r="KB56" i="39"/>
  <c r="KB57" i="39"/>
  <c r="KB58" i="39"/>
  <c r="KB59" i="39"/>
  <c r="KB60" i="39"/>
  <c r="KB61" i="39"/>
  <c r="KB62" i="39"/>
  <c r="KB63" i="39"/>
  <c r="KB64" i="39"/>
  <c r="KB65" i="39"/>
  <c r="KB66" i="39"/>
  <c r="KB67" i="39"/>
  <c r="KB68" i="39"/>
  <c r="KB69" i="39"/>
  <c r="KB70" i="39"/>
  <c r="KB71" i="39"/>
  <c r="KB72" i="39"/>
  <c r="KB73" i="39"/>
  <c r="KB74" i="39"/>
  <c r="KB75" i="39"/>
  <c r="KB76" i="39"/>
  <c r="KB77" i="39"/>
  <c r="KB78" i="39"/>
  <c r="KB79" i="39"/>
  <c r="KB80" i="39"/>
  <c r="KB82" i="39"/>
  <c r="KB83" i="39"/>
  <c r="KB84" i="39"/>
  <c r="KB85" i="39"/>
  <c r="KB86" i="39"/>
  <c r="JQ9" i="39"/>
  <c r="JQ10" i="39"/>
  <c r="JQ11" i="39"/>
  <c r="JQ12" i="39"/>
  <c r="JQ13" i="39"/>
  <c r="JQ14" i="39"/>
  <c r="JQ15" i="39"/>
  <c r="JQ16" i="39"/>
  <c r="JQ17" i="39"/>
  <c r="JQ18" i="39"/>
  <c r="JQ19" i="39"/>
  <c r="JQ20" i="39"/>
  <c r="JQ21" i="39"/>
  <c r="JQ22" i="39"/>
  <c r="JQ23" i="39"/>
  <c r="JQ24" i="39"/>
  <c r="JQ25" i="39"/>
  <c r="JQ26" i="39"/>
  <c r="JQ27" i="39"/>
  <c r="JQ28" i="39"/>
  <c r="JQ29" i="39"/>
  <c r="JQ30" i="39"/>
  <c r="JQ31" i="39"/>
  <c r="JQ33" i="39"/>
  <c r="JQ34" i="39"/>
  <c r="JQ35" i="39"/>
  <c r="JQ36" i="39"/>
  <c r="JQ37" i="39"/>
  <c r="JQ38" i="39"/>
  <c r="JQ39" i="39"/>
  <c r="JQ40" i="39"/>
  <c r="JQ41" i="39"/>
  <c r="JQ42" i="39"/>
  <c r="JQ44" i="39"/>
  <c r="JQ45" i="39"/>
  <c r="JQ46" i="39"/>
  <c r="JQ47" i="39"/>
  <c r="JQ48" i="39"/>
  <c r="JQ49" i="39"/>
  <c r="JQ50" i="39"/>
  <c r="JQ51" i="39"/>
  <c r="JQ52" i="39"/>
  <c r="JQ53" i="39"/>
  <c r="JQ54" i="39"/>
  <c r="JQ55" i="39"/>
  <c r="JQ56" i="39"/>
  <c r="JQ57" i="39"/>
  <c r="JQ58" i="39"/>
  <c r="JQ59" i="39"/>
  <c r="JQ60" i="39"/>
  <c r="JQ61" i="39"/>
  <c r="JQ62" i="39"/>
  <c r="JQ63" i="39"/>
  <c r="JQ64" i="39"/>
  <c r="JQ65" i="39"/>
  <c r="JQ66" i="39"/>
  <c r="JQ67" i="39"/>
  <c r="JQ68" i="39"/>
  <c r="JQ69" i="39"/>
  <c r="JQ70" i="39"/>
  <c r="JQ71" i="39"/>
  <c r="JQ72" i="39"/>
  <c r="JQ73" i="39"/>
  <c r="JQ74" i="39"/>
  <c r="JQ75" i="39"/>
  <c r="JQ76" i="39"/>
  <c r="JQ77" i="39"/>
  <c r="JQ78" i="39"/>
  <c r="JQ79" i="39"/>
  <c r="JQ80" i="39"/>
  <c r="JQ82" i="39"/>
  <c r="JQ84" i="39"/>
  <c r="JQ85" i="39"/>
  <c r="JQ86" i="39"/>
  <c r="JQ83" i="39"/>
  <c r="JP84" i="39"/>
  <c r="JP85" i="39"/>
  <c r="JP86" i="39"/>
  <c r="JB84" i="39"/>
  <c r="JB10" i="39"/>
  <c r="JB11" i="39"/>
  <c r="JB12" i="39"/>
  <c r="JB13" i="39"/>
  <c r="JB14" i="39"/>
  <c r="JB15" i="39"/>
  <c r="JB16" i="39"/>
  <c r="JB17" i="39"/>
  <c r="JB18" i="39"/>
  <c r="JB19" i="39"/>
  <c r="JB20" i="39"/>
  <c r="JB21" i="39"/>
  <c r="JB22" i="39"/>
  <c r="JB23" i="39"/>
  <c r="JB24" i="39"/>
  <c r="JB25" i="39"/>
  <c r="JB26" i="39"/>
  <c r="JB27" i="39"/>
  <c r="JB28" i="39"/>
  <c r="JB29" i="39"/>
  <c r="JB30" i="39"/>
  <c r="JB31" i="39"/>
  <c r="JB32" i="39"/>
  <c r="JB33" i="39"/>
  <c r="JB34" i="39"/>
  <c r="JB35" i="39"/>
  <c r="JB36" i="39"/>
  <c r="JB37" i="39"/>
  <c r="JB38" i="39"/>
  <c r="JB39" i="39"/>
  <c r="JB40" i="39"/>
  <c r="JB41" i="39"/>
  <c r="JB42" i="39"/>
  <c r="JB44" i="39"/>
  <c r="JB45" i="39"/>
  <c r="JB46" i="39"/>
  <c r="JB47" i="39"/>
  <c r="JB48" i="39"/>
  <c r="JB49" i="39"/>
  <c r="JB50" i="39"/>
  <c r="JB51" i="39"/>
  <c r="JB52" i="39"/>
  <c r="JB53" i="39"/>
  <c r="JB54" i="39"/>
  <c r="JB55" i="39"/>
  <c r="JB56" i="39"/>
  <c r="JB57" i="39"/>
  <c r="JB58" i="39"/>
  <c r="JB59" i="39"/>
  <c r="JB60" i="39"/>
  <c r="IX60" i="39"/>
  <c r="HQ60" i="39"/>
  <c r="JB61" i="39"/>
  <c r="JB62" i="39"/>
  <c r="JB63" i="39"/>
  <c r="JB64" i="39"/>
  <c r="JB65" i="39"/>
  <c r="JB66" i="39"/>
  <c r="JB67" i="39"/>
  <c r="JB68" i="39"/>
  <c r="JB69" i="39"/>
  <c r="JB70" i="39"/>
  <c r="JB71" i="39"/>
  <c r="JB72" i="39"/>
  <c r="JB73" i="39"/>
  <c r="JB74" i="39"/>
  <c r="JB75" i="39"/>
  <c r="JB76" i="39"/>
  <c r="JB77" i="39"/>
  <c r="JB78" i="39"/>
  <c r="JB79" i="39"/>
  <c r="JB80" i="39"/>
  <c r="JB81" i="39"/>
  <c r="JB82" i="39"/>
  <c r="JB85" i="39"/>
  <c r="JB86" i="39"/>
  <c r="JB9" i="39"/>
  <c r="JB83" i="39"/>
  <c r="AB57" i="39"/>
  <c r="AD57" i="39"/>
  <c r="AB83" i="39"/>
  <c r="AD83" i="39"/>
  <c r="AB9" i="39"/>
  <c r="AD9" i="39"/>
  <c r="AB10" i="39"/>
  <c r="PQ10" i="39"/>
  <c r="AB11" i="39"/>
  <c r="AB12" i="39"/>
  <c r="AB13" i="39"/>
  <c r="IY13" i="39"/>
  <c r="AB14" i="39"/>
  <c r="AB15" i="39"/>
  <c r="AB16" i="39"/>
  <c r="PQ16" i="39"/>
  <c r="AB17" i="39"/>
  <c r="AB18" i="39"/>
  <c r="PQ18" i="39"/>
  <c r="AB19" i="39"/>
  <c r="AB20" i="39"/>
  <c r="AB21" i="39"/>
  <c r="AB22" i="39"/>
  <c r="AB23" i="39"/>
  <c r="AB24" i="39"/>
  <c r="AB25" i="39"/>
  <c r="AB26" i="39"/>
  <c r="IY26" i="39"/>
  <c r="AB27" i="39"/>
  <c r="IY27" i="39"/>
  <c r="AB28" i="39"/>
  <c r="IY28" i="39"/>
  <c r="AB29" i="39"/>
  <c r="AD29" i="39"/>
  <c r="AB30" i="39"/>
  <c r="AB31" i="39"/>
  <c r="AB32" i="39"/>
  <c r="AB33" i="39"/>
  <c r="IY33" i="39"/>
  <c r="AB34" i="39"/>
  <c r="IY34" i="39"/>
  <c r="AB35" i="39"/>
  <c r="AD35" i="39"/>
  <c r="AB36" i="39"/>
  <c r="AB37" i="39"/>
  <c r="IY37" i="39"/>
  <c r="AB38" i="39"/>
  <c r="AB39" i="39"/>
  <c r="AB40" i="39"/>
  <c r="AB41" i="39"/>
  <c r="IY41" i="39"/>
  <c r="AB42" i="39"/>
  <c r="PQ42" i="39"/>
  <c r="AB44" i="39"/>
  <c r="AB45" i="39"/>
  <c r="AB46" i="39"/>
  <c r="AB47" i="39"/>
  <c r="AB48" i="39"/>
  <c r="AB49" i="39"/>
  <c r="AB50" i="39"/>
  <c r="IY50" i="39"/>
  <c r="AB51" i="39"/>
  <c r="AB52" i="39"/>
  <c r="AD52" i="39"/>
  <c r="AB53" i="39"/>
  <c r="AB54" i="39"/>
  <c r="IY54" i="39"/>
  <c r="AB55" i="39"/>
  <c r="AB58" i="39"/>
  <c r="AB59" i="39"/>
  <c r="AB61" i="39"/>
  <c r="IY61" i="39"/>
  <c r="AB62" i="39"/>
  <c r="AB63" i="39"/>
  <c r="AB64" i="39"/>
  <c r="AB65" i="39"/>
  <c r="AD65" i="39"/>
  <c r="AB66" i="39"/>
  <c r="AB67" i="39"/>
  <c r="AB68" i="39"/>
  <c r="AB69" i="39"/>
  <c r="AB70" i="39"/>
  <c r="AB71" i="39"/>
  <c r="IY71" i="39"/>
  <c r="AB72" i="39"/>
  <c r="AB73" i="39"/>
  <c r="AB74" i="39"/>
  <c r="AD74" i="39"/>
  <c r="AB75" i="39"/>
  <c r="AB76" i="39"/>
  <c r="IY76" i="39"/>
  <c r="AB77" i="39"/>
  <c r="IY77" i="39"/>
  <c r="AB78" i="39"/>
  <c r="IY78" i="39"/>
  <c r="AB79" i="39"/>
  <c r="AD79" i="39"/>
  <c r="AB80" i="39"/>
  <c r="AB81" i="39"/>
  <c r="AB82" i="39"/>
  <c r="IY82" i="39"/>
  <c r="AB84" i="39"/>
  <c r="IY84" i="39"/>
  <c r="IY85" i="39"/>
  <c r="IY86" i="39"/>
  <c r="IX9" i="39"/>
  <c r="IX10" i="39"/>
  <c r="IX11" i="39"/>
  <c r="IX12" i="39"/>
  <c r="IX13" i="39"/>
  <c r="IX14" i="39"/>
  <c r="IX15" i="39"/>
  <c r="IX16" i="39"/>
  <c r="IX17" i="39"/>
  <c r="IX18" i="39"/>
  <c r="IX19" i="39"/>
  <c r="IX20" i="39"/>
  <c r="IX21" i="39"/>
  <c r="IX22" i="39"/>
  <c r="IX23" i="39"/>
  <c r="IX24" i="39"/>
  <c r="IX25" i="39"/>
  <c r="IX26" i="39"/>
  <c r="IX27" i="39"/>
  <c r="IX28" i="39"/>
  <c r="IX29" i="39"/>
  <c r="IX30" i="39"/>
  <c r="IX31" i="39"/>
  <c r="IX32" i="39"/>
  <c r="IX33" i="39"/>
  <c r="IX34" i="39"/>
  <c r="IX35" i="39"/>
  <c r="IX36" i="39"/>
  <c r="IX37" i="39"/>
  <c r="IX38" i="39"/>
  <c r="IX39" i="39"/>
  <c r="IX40" i="39"/>
  <c r="IX41" i="39"/>
  <c r="IX42" i="39"/>
  <c r="IX44" i="39"/>
  <c r="IX45" i="39"/>
  <c r="IX46" i="39"/>
  <c r="IX47" i="39"/>
  <c r="IX48" i="39"/>
  <c r="IX49" i="39"/>
  <c r="IX50" i="39"/>
  <c r="IX51" i="39"/>
  <c r="IX52" i="39"/>
  <c r="IX53" i="39"/>
  <c r="IX54" i="39"/>
  <c r="IX55" i="39"/>
  <c r="IX56" i="39"/>
  <c r="HQ56" i="39"/>
  <c r="IX57" i="39"/>
  <c r="IX58" i="39"/>
  <c r="IX59" i="39"/>
  <c r="IX61" i="39"/>
  <c r="IX62" i="39"/>
  <c r="IX63" i="39"/>
  <c r="IX64" i="39"/>
  <c r="IX65" i="39"/>
  <c r="IX66" i="39"/>
  <c r="IX67" i="39"/>
  <c r="IX68" i="39"/>
  <c r="IX69" i="39"/>
  <c r="IX70" i="39"/>
  <c r="IX71" i="39"/>
  <c r="IX72" i="39"/>
  <c r="IX73" i="39"/>
  <c r="IX74" i="39"/>
  <c r="IX75" i="39"/>
  <c r="IX76" i="39"/>
  <c r="IX77" i="39"/>
  <c r="IX78" i="39"/>
  <c r="IX79" i="39"/>
  <c r="IX80" i="39"/>
  <c r="IX81" i="39"/>
  <c r="IX82" i="39"/>
  <c r="IX83" i="39"/>
  <c r="IX84" i="39"/>
  <c r="IX85" i="39"/>
  <c r="IX86" i="39"/>
  <c r="IT84" i="39"/>
  <c r="IT85" i="39"/>
  <c r="IT86" i="39"/>
  <c r="HF9" i="39"/>
  <c r="HF85" i="39"/>
  <c r="HF86" i="39"/>
  <c r="HF10" i="39"/>
  <c r="HF11" i="39"/>
  <c r="HF12" i="39"/>
  <c r="HF13" i="39"/>
  <c r="HF14" i="39"/>
  <c r="HF15" i="39"/>
  <c r="HF16" i="39"/>
  <c r="HF17" i="39"/>
  <c r="HF18" i="39"/>
  <c r="HF19" i="39"/>
  <c r="HF20" i="39"/>
  <c r="HF21" i="39"/>
  <c r="HF22" i="39"/>
  <c r="HF23" i="39"/>
  <c r="HF24" i="39"/>
  <c r="HF25" i="39"/>
  <c r="HF26" i="39"/>
  <c r="HF27" i="39"/>
  <c r="HF28" i="39"/>
  <c r="HF29" i="39"/>
  <c r="HF30" i="39"/>
  <c r="HF31" i="39"/>
  <c r="HF32" i="39"/>
  <c r="HF34" i="39"/>
  <c r="HF35" i="39"/>
  <c r="HF36" i="39"/>
  <c r="HF37" i="39"/>
  <c r="HF38" i="39"/>
  <c r="HF39" i="39"/>
  <c r="HF40" i="39"/>
  <c r="HF41" i="39"/>
  <c r="HF42" i="39"/>
  <c r="HF44" i="39"/>
  <c r="HF45" i="39"/>
  <c r="HF46" i="39"/>
  <c r="HF47" i="39"/>
  <c r="HF48" i="39"/>
  <c r="HF49" i="39"/>
  <c r="HF50" i="39"/>
  <c r="HF51" i="39"/>
  <c r="HF52" i="39"/>
  <c r="HF53" i="39"/>
  <c r="HF54" i="39"/>
  <c r="HF55" i="39"/>
  <c r="HF56" i="39"/>
  <c r="HF57" i="39"/>
  <c r="HF58" i="39"/>
  <c r="HF59" i="39"/>
  <c r="HF60" i="39"/>
  <c r="HF61" i="39"/>
  <c r="HF62" i="39"/>
  <c r="HF63" i="39"/>
  <c r="HF64" i="39"/>
  <c r="HF65" i="39"/>
  <c r="HF66" i="39"/>
  <c r="HF67" i="39"/>
  <c r="HF68" i="39"/>
  <c r="HF69" i="39"/>
  <c r="HF70" i="39"/>
  <c r="HF71" i="39"/>
  <c r="HF72" i="39"/>
  <c r="HF73" i="39"/>
  <c r="HF74" i="39"/>
  <c r="HF75" i="39"/>
  <c r="HF76" i="39"/>
  <c r="HF77" i="39"/>
  <c r="HF78" i="39"/>
  <c r="HF79" i="39"/>
  <c r="HF80" i="39"/>
  <c r="HF81" i="39"/>
  <c r="HF82" i="39"/>
  <c r="HF83" i="39"/>
  <c r="GU84" i="39"/>
  <c r="GU85" i="39"/>
  <c r="GU86" i="39"/>
  <c r="GU10" i="39"/>
  <c r="GU11" i="39"/>
  <c r="GU12" i="39"/>
  <c r="GU13" i="39"/>
  <c r="GU14" i="39"/>
  <c r="GU15" i="39"/>
  <c r="GU16" i="39"/>
  <c r="GU17" i="39"/>
  <c r="GU18" i="39"/>
  <c r="GU19" i="39"/>
  <c r="GU20" i="39"/>
  <c r="GU21" i="39"/>
  <c r="GU22" i="39"/>
  <c r="GU23" i="39"/>
  <c r="GU24" i="39"/>
  <c r="GU25" i="39"/>
  <c r="GU26" i="39"/>
  <c r="GU27" i="39"/>
  <c r="GU28" i="39"/>
  <c r="GU29" i="39"/>
  <c r="GU30" i="39"/>
  <c r="GU31" i="39"/>
  <c r="GU32" i="39"/>
  <c r="GU33" i="39"/>
  <c r="GU34" i="39"/>
  <c r="GU35" i="39"/>
  <c r="GU36" i="39"/>
  <c r="GU37" i="39"/>
  <c r="GU38" i="39"/>
  <c r="GU39" i="39"/>
  <c r="GU40" i="39"/>
  <c r="GU41" i="39"/>
  <c r="GU42" i="39"/>
  <c r="GU44" i="39"/>
  <c r="GU45" i="39"/>
  <c r="GU46" i="39"/>
  <c r="GU47" i="39"/>
  <c r="GU48" i="39"/>
  <c r="GU49" i="39"/>
  <c r="GU50" i="39"/>
  <c r="GU51" i="39"/>
  <c r="GU52" i="39"/>
  <c r="GU53" i="39"/>
  <c r="GU54" i="39"/>
  <c r="GU55" i="39"/>
  <c r="GU56" i="39"/>
  <c r="GU57" i="39"/>
  <c r="GU58" i="39"/>
  <c r="GU59" i="39"/>
  <c r="GU60" i="39"/>
  <c r="GU61" i="39"/>
  <c r="GU62" i="39"/>
  <c r="GU63" i="39"/>
  <c r="GU64" i="39"/>
  <c r="GU65" i="39"/>
  <c r="GU66" i="39"/>
  <c r="GU67" i="39"/>
  <c r="GU68" i="39"/>
  <c r="GU69" i="39"/>
  <c r="GU70" i="39"/>
  <c r="GU71" i="39"/>
  <c r="GU72" i="39"/>
  <c r="GU73" i="39"/>
  <c r="GU74" i="39"/>
  <c r="GU75" i="39"/>
  <c r="GU76" i="39"/>
  <c r="GU77" i="39"/>
  <c r="GU78" i="39"/>
  <c r="GU79" i="39"/>
  <c r="GU80" i="39"/>
  <c r="GU81" i="39"/>
  <c r="GU82" i="39"/>
  <c r="GU83" i="39"/>
  <c r="GU9" i="39"/>
  <c r="GH108" i="39"/>
  <c r="FZ9" i="39"/>
  <c r="GG108" i="39"/>
  <c r="FI108" i="39"/>
  <c r="FJ108" i="39"/>
  <c r="FK108" i="39"/>
  <c r="FL108" i="39"/>
  <c r="FM108" i="39"/>
  <c r="FN108" i="39"/>
  <c r="FO108" i="39"/>
  <c r="FP108" i="39"/>
  <c r="FQ108" i="39"/>
  <c r="FR108" i="39"/>
  <c r="FS108" i="39"/>
  <c r="FT108" i="39"/>
  <c r="FU108" i="39"/>
  <c r="FV108" i="39"/>
  <c r="FH108" i="39"/>
  <c r="EJ108" i="39"/>
  <c r="EK108" i="39"/>
  <c r="EL108" i="39"/>
  <c r="EM108" i="39"/>
  <c r="EN108" i="39"/>
  <c r="EO108" i="39"/>
  <c r="EP108" i="39"/>
  <c r="EQ108" i="39"/>
  <c r="ER108" i="39"/>
  <c r="ES108" i="39"/>
  <c r="ET108" i="39"/>
  <c r="EU108" i="39"/>
  <c r="EV108" i="39"/>
  <c r="EW108" i="39"/>
  <c r="EX108" i="39"/>
  <c r="EY108" i="39"/>
  <c r="EZ108" i="39"/>
  <c r="FA108" i="39"/>
  <c r="FB108" i="39"/>
  <c r="FD108" i="39"/>
  <c r="FE108" i="39"/>
  <c r="EI108" i="39"/>
  <c r="DV85" i="39"/>
  <c r="DV86" i="39"/>
  <c r="DV84" i="39"/>
  <c r="CB108" i="39"/>
  <c r="BP108" i="39"/>
  <c r="BQ108" i="39"/>
  <c r="BR108" i="39"/>
  <c r="BS108" i="39"/>
  <c r="BT108" i="39"/>
  <c r="BU108" i="39"/>
  <c r="BV108" i="39"/>
  <c r="BW108" i="39"/>
  <c r="BX108" i="39"/>
  <c r="BY108" i="39"/>
  <c r="BZ108" i="39"/>
  <c r="BO108" i="39"/>
  <c r="BN108" i="39"/>
  <c r="AN108" i="39"/>
  <c r="AM108" i="39"/>
  <c r="AL108" i="39"/>
  <c r="AJ86" i="39"/>
  <c r="AJ56" i="39"/>
  <c r="AJ57" i="39"/>
  <c r="AJ83" i="39"/>
  <c r="AJ9" i="39"/>
  <c r="AJ10" i="39"/>
  <c r="AJ11" i="39"/>
  <c r="AJ12" i="39"/>
  <c r="AJ13" i="39"/>
  <c r="AJ14" i="39"/>
  <c r="AJ15" i="39"/>
  <c r="AJ16" i="39"/>
  <c r="AJ17" i="39"/>
  <c r="AJ18" i="39"/>
  <c r="AJ19" i="39"/>
  <c r="AJ20" i="39"/>
  <c r="AJ21" i="39"/>
  <c r="AJ22" i="39"/>
  <c r="AJ23" i="39"/>
  <c r="AJ24" i="39"/>
  <c r="AJ25" i="39"/>
  <c r="AJ26" i="39"/>
  <c r="AJ27" i="39"/>
  <c r="AJ28" i="39"/>
  <c r="AJ29" i="39"/>
  <c r="AJ30" i="39"/>
  <c r="AJ31" i="39"/>
  <c r="AJ32" i="39"/>
  <c r="AJ33" i="39"/>
  <c r="AJ34" i="39"/>
  <c r="AJ35" i="39"/>
  <c r="AJ36" i="39"/>
  <c r="AJ37" i="39"/>
  <c r="AJ38" i="39"/>
  <c r="AJ39" i="39"/>
  <c r="AJ40" i="39"/>
  <c r="AJ41" i="39"/>
  <c r="AJ42" i="39"/>
  <c r="AJ44" i="39"/>
  <c r="AJ45" i="39"/>
  <c r="AJ46" i="39"/>
  <c r="AJ47" i="39"/>
  <c r="AJ48" i="39"/>
  <c r="AJ49" i="39"/>
  <c r="AJ50" i="39"/>
  <c r="AJ51" i="39"/>
  <c r="AJ52" i="39"/>
  <c r="AJ53" i="39"/>
  <c r="AJ54" i="39"/>
  <c r="AJ58" i="39"/>
  <c r="AJ60" i="39"/>
  <c r="AJ61" i="39"/>
  <c r="AJ62" i="39"/>
  <c r="AJ63" i="39"/>
  <c r="AJ64" i="39"/>
  <c r="AJ65" i="39"/>
  <c r="AJ66" i="39"/>
  <c r="AJ67" i="39"/>
  <c r="AJ68" i="39"/>
  <c r="AJ69" i="39"/>
  <c r="AJ70" i="39"/>
  <c r="AJ71" i="39"/>
  <c r="AJ72" i="39"/>
  <c r="AJ73" i="39"/>
  <c r="AJ76" i="39"/>
  <c r="AJ77" i="39"/>
  <c r="AJ78" i="39"/>
  <c r="AJ79" i="39"/>
  <c r="AJ80" i="39"/>
  <c r="AJ81" i="39"/>
  <c r="AJ82" i="39"/>
  <c r="AJ59" i="39"/>
  <c r="AJ84" i="39"/>
  <c r="AJ85" i="39"/>
  <c r="AI108" i="39"/>
  <c r="AA108" i="39"/>
  <c r="D108" i="39"/>
  <c r="Z16" i="39"/>
  <c r="Z18" i="39"/>
  <c r="Z42" i="39"/>
  <c r="V108" i="39"/>
  <c r="E108" i="39"/>
  <c r="AG108" i="39"/>
  <c r="R108" i="39"/>
  <c r="S86" i="39"/>
  <c r="U86" i="39"/>
  <c r="S57" i="39"/>
  <c r="U57" i="39"/>
  <c r="S83" i="39"/>
  <c r="U83" i="39"/>
  <c r="S10" i="39"/>
  <c r="U10" i="39"/>
  <c r="S11" i="39"/>
  <c r="U11" i="39"/>
  <c r="S12" i="39"/>
  <c r="S14" i="39"/>
  <c r="U14" i="39"/>
  <c r="S15" i="39"/>
  <c r="U15" i="39"/>
  <c r="S16" i="39"/>
  <c r="U16" i="39"/>
  <c r="S17" i="39"/>
  <c r="U17" i="39"/>
  <c r="S18" i="39"/>
  <c r="U18" i="39"/>
  <c r="S19" i="39"/>
  <c r="U19" i="39"/>
  <c r="S20" i="39"/>
  <c r="U20" i="39"/>
  <c r="S21" i="39"/>
  <c r="U21" i="39"/>
  <c r="S22" i="39"/>
  <c r="U22" i="39"/>
  <c r="S23" i="39"/>
  <c r="U23" i="39"/>
  <c r="S24" i="39"/>
  <c r="U24" i="39"/>
  <c r="S25" i="39"/>
  <c r="U25" i="39"/>
  <c r="S26" i="39"/>
  <c r="U26" i="39"/>
  <c r="S27" i="39"/>
  <c r="U27" i="39"/>
  <c r="S28" i="39"/>
  <c r="U28" i="39"/>
  <c r="S29" i="39"/>
  <c r="U29" i="39"/>
  <c r="S30" i="39"/>
  <c r="U30" i="39"/>
  <c r="S31" i="39"/>
  <c r="U31" i="39"/>
  <c r="S32" i="39"/>
  <c r="U32" i="39"/>
  <c r="S33" i="39"/>
  <c r="U33" i="39"/>
  <c r="S34" i="39"/>
  <c r="U34" i="39"/>
  <c r="S35" i="39"/>
  <c r="U35" i="39"/>
  <c r="S36" i="39"/>
  <c r="U36" i="39"/>
  <c r="S37" i="39"/>
  <c r="U37" i="39"/>
  <c r="S38" i="39"/>
  <c r="U38" i="39"/>
  <c r="S39" i="39"/>
  <c r="U39" i="39"/>
  <c r="S40" i="39"/>
  <c r="U40" i="39"/>
  <c r="S41" i="39"/>
  <c r="U41" i="39"/>
  <c r="S42" i="39"/>
  <c r="U42" i="39"/>
  <c r="S44" i="39"/>
  <c r="U44" i="39"/>
  <c r="S45" i="39"/>
  <c r="U45" i="39"/>
  <c r="S46" i="39"/>
  <c r="U46" i="39"/>
  <c r="S47" i="39"/>
  <c r="U47" i="39"/>
  <c r="S48" i="39"/>
  <c r="S49" i="39"/>
  <c r="U49" i="39"/>
  <c r="S50" i="39"/>
  <c r="U50" i="39"/>
  <c r="S51" i="39"/>
  <c r="U51" i="39"/>
  <c r="S52" i="39"/>
  <c r="U52" i="39"/>
  <c r="S53" i="39"/>
  <c r="U53" i="39"/>
  <c r="S54" i="39"/>
  <c r="U54" i="39"/>
  <c r="S55" i="39"/>
  <c r="U55" i="39"/>
  <c r="S58" i="39"/>
  <c r="U58" i="39"/>
  <c r="S59" i="39"/>
  <c r="U59" i="39"/>
  <c r="S60" i="39"/>
  <c r="S61" i="39"/>
  <c r="U61" i="39"/>
  <c r="BH61" i="39"/>
  <c r="S62" i="39"/>
  <c r="U62" i="39"/>
  <c r="S63" i="39"/>
  <c r="U63" i="39"/>
  <c r="S64" i="39"/>
  <c r="U64" i="39"/>
  <c r="S65" i="39"/>
  <c r="U65" i="39"/>
  <c r="S66" i="39"/>
  <c r="U66" i="39"/>
  <c r="S67" i="39"/>
  <c r="U67" i="39"/>
  <c r="S68" i="39"/>
  <c r="U68" i="39"/>
  <c r="S69" i="39"/>
  <c r="U69" i="39"/>
  <c r="S70" i="39"/>
  <c r="U70" i="39"/>
  <c r="S71" i="39"/>
  <c r="U71" i="39"/>
  <c r="S72" i="39"/>
  <c r="U72" i="39"/>
  <c r="S73" i="39"/>
  <c r="U73" i="39"/>
  <c r="S74" i="39"/>
  <c r="U74" i="39"/>
  <c r="S75" i="39"/>
  <c r="U75" i="39"/>
  <c r="S76" i="39"/>
  <c r="U76" i="39"/>
  <c r="S81" i="39"/>
  <c r="U81" i="39"/>
  <c r="S82" i="39"/>
  <c r="U82" i="39"/>
  <c r="S84" i="39"/>
  <c r="U84" i="39"/>
  <c r="S85" i="39"/>
  <c r="U85" i="39"/>
  <c r="T86" i="39"/>
  <c r="AF86" i="39"/>
  <c r="BE86" i="39"/>
  <c r="GR86" i="39"/>
  <c r="GS86" i="39"/>
  <c r="GO86" i="39"/>
  <c r="GP86" i="39"/>
  <c r="GQ86" i="39"/>
  <c r="GR10" i="39"/>
  <c r="GR11" i="39"/>
  <c r="GR12" i="39"/>
  <c r="GR13" i="39"/>
  <c r="GR14" i="39"/>
  <c r="GR15" i="39"/>
  <c r="GR16" i="39"/>
  <c r="GR17" i="39"/>
  <c r="GR18" i="39"/>
  <c r="GR19" i="39"/>
  <c r="GR20" i="39"/>
  <c r="GR21" i="39"/>
  <c r="GR22" i="39"/>
  <c r="GR23" i="39"/>
  <c r="GR24" i="39"/>
  <c r="GR25" i="39"/>
  <c r="GR26" i="39"/>
  <c r="GR27" i="39"/>
  <c r="GR28" i="39"/>
  <c r="GR29" i="39"/>
  <c r="GR30" i="39"/>
  <c r="GR31" i="39"/>
  <c r="GR32" i="39"/>
  <c r="GR33" i="39"/>
  <c r="GR34" i="39"/>
  <c r="GR35" i="39"/>
  <c r="GO35" i="39"/>
  <c r="GP35" i="39"/>
  <c r="GQ35" i="39"/>
  <c r="GS35" i="39"/>
  <c r="GR36" i="39"/>
  <c r="GR37" i="39"/>
  <c r="GR38" i="39"/>
  <c r="GR39" i="39"/>
  <c r="GR40" i="39"/>
  <c r="GR41" i="39"/>
  <c r="GR42" i="39"/>
  <c r="GR44" i="39"/>
  <c r="GR45" i="39"/>
  <c r="GR46" i="39"/>
  <c r="GR47" i="39"/>
  <c r="GR48" i="39"/>
  <c r="GR49" i="39"/>
  <c r="GR50" i="39"/>
  <c r="GR51" i="39"/>
  <c r="GR52" i="39"/>
  <c r="GR53" i="39"/>
  <c r="GR54" i="39"/>
  <c r="GR55" i="39"/>
  <c r="GR56" i="39"/>
  <c r="GR57" i="39"/>
  <c r="GR58" i="39"/>
  <c r="GR59" i="39"/>
  <c r="GR60" i="39"/>
  <c r="GR61" i="39"/>
  <c r="GR62" i="39"/>
  <c r="GR63" i="39"/>
  <c r="GR64" i="39"/>
  <c r="GR65" i="39"/>
  <c r="GR66" i="39"/>
  <c r="GR67" i="39"/>
  <c r="GR68" i="39"/>
  <c r="GR69" i="39"/>
  <c r="GR70" i="39"/>
  <c r="GR71" i="39"/>
  <c r="GR72" i="39"/>
  <c r="GR73" i="39"/>
  <c r="GR74" i="39"/>
  <c r="GR75" i="39"/>
  <c r="GR76" i="39"/>
  <c r="GR77" i="39"/>
  <c r="GR78" i="39"/>
  <c r="GR79" i="39"/>
  <c r="GR80" i="39"/>
  <c r="GR81" i="39"/>
  <c r="GR82" i="39"/>
  <c r="GR9" i="39"/>
  <c r="GR83" i="39"/>
  <c r="GR84" i="39"/>
  <c r="GR85" i="39"/>
  <c r="T85" i="39"/>
  <c r="AF85" i="39"/>
  <c r="BE85" i="39"/>
  <c r="GS85" i="39"/>
  <c r="GO85" i="39"/>
  <c r="GP85" i="39"/>
  <c r="GQ85" i="39"/>
  <c r="T84" i="39"/>
  <c r="AF84" i="39"/>
  <c r="BE84" i="39"/>
  <c r="GS84" i="39"/>
  <c r="GO84" i="39"/>
  <c r="GP84" i="39"/>
  <c r="GQ84" i="39"/>
  <c r="N108" i="39"/>
  <c r="P86" i="39"/>
  <c r="P85" i="39"/>
  <c r="P84" i="39"/>
  <c r="J108" i="39"/>
  <c r="L86" i="39"/>
  <c r="L85" i="39"/>
  <c r="L84" i="39"/>
  <c r="BB86" i="39"/>
  <c r="JC86" i="39"/>
  <c r="BB83" i="39"/>
  <c r="JC83" i="39"/>
  <c r="BB56" i="39"/>
  <c r="JC56" i="39"/>
  <c r="BB57" i="39"/>
  <c r="JC57" i="39"/>
  <c r="W57" i="39"/>
  <c r="BG57" i="39"/>
  <c r="IP57" i="39"/>
  <c r="IQ57" i="39"/>
  <c r="GO57" i="39"/>
  <c r="GP57" i="39"/>
  <c r="GQ57" i="39"/>
  <c r="GS57" i="39"/>
  <c r="BB10" i="39"/>
  <c r="BB11" i="39"/>
  <c r="JC11" i="39"/>
  <c r="BB12" i="39"/>
  <c r="JC12" i="39"/>
  <c r="W12" i="39"/>
  <c r="BG12" i="39"/>
  <c r="IP12" i="39"/>
  <c r="GO12" i="39"/>
  <c r="GP12" i="39"/>
  <c r="GQ12" i="39"/>
  <c r="GS12" i="39"/>
  <c r="BB13" i="39"/>
  <c r="JC13" i="39"/>
  <c r="BB14" i="39"/>
  <c r="JC14" i="39"/>
  <c r="BB15" i="39"/>
  <c r="JC15" i="39"/>
  <c r="BB16" i="39"/>
  <c r="JC16" i="39"/>
  <c r="W16" i="39"/>
  <c r="BG16" i="39"/>
  <c r="IP16" i="39"/>
  <c r="GO16" i="39"/>
  <c r="GP16" i="39"/>
  <c r="GQ16" i="39"/>
  <c r="GS16" i="39"/>
  <c r="BB17" i="39"/>
  <c r="JC17" i="39"/>
  <c r="BB18" i="39"/>
  <c r="JC18" i="39"/>
  <c r="BB19" i="39"/>
  <c r="JC19" i="39"/>
  <c r="BB20" i="39"/>
  <c r="JC20" i="39"/>
  <c r="W20" i="39"/>
  <c r="BG20" i="39"/>
  <c r="GO20" i="39"/>
  <c r="GP20" i="39"/>
  <c r="GQ20" i="39"/>
  <c r="GS20" i="39"/>
  <c r="BB21" i="39"/>
  <c r="JC21" i="39"/>
  <c r="BB22" i="39"/>
  <c r="JC22" i="39"/>
  <c r="BB23" i="39"/>
  <c r="JC23" i="39"/>
  <c r="BB24" i="39"/>
  <c r="JC24" i="39"/>
  <c r="W24" i="39"/>
  <c r="IU24" i="39"/>
  <c r="BG24" i="39"/>
  <c r="IP24" i="39"/>
  <c r="IQ24" i="39"/>
  <c r="GO24" i="39"/>
  <c r="GP24" i="39"/>
  <c r="GQ24" i="39"/>
  <c r="GS24" i="39"/>
  <c r="BB25" i="39"/>
  <c r="JC25" i="39"/>
  <c r="BB26" i="39"/>
  <c r="JC26" i="39"/>
  <c r="BB27" i="39"/>
  <c r="JC27" i="39"/>
  <c r="BB28" i="39"/>
  <c r="JC28" i="39"/>
  <c r="W28" i="39"/>
  <c r="BG28" i="39"/>
  <c r="GO28" i="39"/>
  <c r="GP28" i="39"/>
  <c r="GQ28" i="39"/>
  <c r="GS28" i="39"/>
  <c r="BB29" i="39"/>
  <c r="JC29" i="39"/>
  <c r="BB30" i="39"/>
  <c r="JC30" i="39"/>
  <c r="BB31" i="39"/>
  <c r="JC31" i="39"/>
  <c r="BB32" i="39"/>
  <c r="JC32" i="39"/>
  <c r="BB33" i="39"/>
  <c r="JC33" i="39"/>
  <c r="BB34" i="39"/>
  <c r="JC34" i="39"/>
  <c r="BB35" i="39"/>
  <c r="JC35" i="39"/>
  <c r="BB36" i="39"/>
  <c r="JC36" i="39"/>
  <c r="BB37" i="39"/>
  <c r="JC37" i="39"/>
  <c r="BB38" i="39"/>
  <c r="JC38" i="39"/>
  <c r="BB39" i="39"/>
  <c r="JC39" i="39"/>
  <c r="BB40" i="39"/>
  <c r="JC40" i="39"/>
  <c r="BB41" i="39"/>
  <c r="JC41" i="39"/>
  <c r="BB42" i="39"/>
  <c r="JC42" i="39"/>
  <c r="BB44" i="39"/>
  <c r="JC44" i="39"/>
  <c r="BB45" i="39"/>
  <c r="JC45" i="39"/>
  <c r="BB46" i="39"/>
  <c r="JC46" i="39"/>
  <c r="BB47" i="39"/>
  <c r="JC47" i="39"/>
  <c r="BB48" i="39"/>
  <c r="JC48" i="39"/>
  <c r="BB49" i="39"/>
  <c r="JC49" i="39"/>
  <c r="BB50" i="39"/>
  <c r="JC50" i="39"/>
  <c r="BB51" i="39"/>
  <c r="JC51" i="39"/>
  <c r="BB52" i="39"/>
  <c r="JC52" i="39"/>
  <c r="BB53" i="39"/>
  <c r="JC53" i="39"/>
  <c r="BB54" i="39"/>
  <c r="JC54" i="39"/>
  <c r="BB55" i="39"/>
  <c r="JC55" i="39"/>
  <c r="BB58" i="39"/>
  <c r="JC58" i="39"/>
  <c r="BB59" i="39"/>
  <c r="JC59" i="39"/>
  <c r="BB60" i="39"/>
  <c r="JC60" i="39"/>
  <c r="BB61" i="39"/>
  <c r="JC61" i="39"/>
  <c r="BB62" i="39"/>
  <c r="JC62" i="39"/>
  <c r="BB63" i="39"/>
  <c r="JC63" i="39"/>
  <c r="BB64" i="39"/>
  <c r="JC64" i="39"/>
  <c r="BB65" i="39"/>
  <c r="JC65" i="39"/>
  <c r="BB66" i="39"/>
  <c r="JC66" i="39"/>
  <c r="BB67" i="39"/>
  <c r="JC67" i="39"/>
  <c r="BB68" i="39"/>
  <c r="JC68" i="39"/>
  <c r="BB69" i="39"/>
  <c r="JC69" i="39"/>
  <c r="BB70" i="39"/>
  <c r="JC70" i="39"/>
  <c r="BB71" i="39"/>
  <c r="JC71" i="39"/>
  <c r="BB72" i="39"/>
  <c r="JC72" i="39"/>
  <c r="BB73" i="39"/>
  <c r="JC73" i="39"/>
  <c r="BB74" i="39"/>
  <c r="JC74" i="39"/>
  <c r="BB75" i="39"/>
  <c r="JC75" i="39"/>
  <c r="BB76" i="39"/>
  <c r="JC76" i="39"/>
  <c r="BB77" i="39"/>
  <c r="JC77" i="39"/>
  <c r="BB78" i="39"/>
  <c r="JC78" i="39"/>
  <c r="BB79" i="39"/>
  <c r="JC79" i="39"/>
  <c r="BB80" i="39"/>
  <c r="JC80" i="39"/>
  <c r="BB81" i="39"/>
  <c r="JC81" i="39"/>
  <c r="BB82" i="39"/>
  <c r="JC82" i="39"/>
  <c r="BB84" i="39"/>
  <c r="JC84" i="39"/>
  <c r="BB85" i="39"/>
  <c r="JC85" i="39"/>
  <c r="W36" i="39"/>
  <c r="GS36" i="39"/>
  <c r="GO36" i="39"/>
  <c r="GP36" i="39"/>
  <c r="GQ36" i="39"/>
  <c r="BG36" i="39"/>
  <c r="W40" i="39"/>
  <c r="GS40" i="39"/>
  <c r="GO40" i="39"/>
  <c r="GP40" i="39"/>
  <c r="GQ40" i="39"/>
  <c r="BG40" i="39"/>
  <c r="W45" i="39"/>
  <c r="IU45" i="39"/>
  <c r="BG45" i="39"/>
  <c r="IP45" i="39"/>
  <c r="GO45" i="39"/>
  <c r="GP45" i="39"/>
  <c r="GQ45" i="39"/>
  <c r="GS45" i="39"/>
  <c r="W49" i="39"/>
  <c r="IU49" i="39"/>
  <c r="BG49" i="39"/>
  <c r="IP49" i="39"/>
  <c r="IQ49" i="39"/>
  <c r="GO49" i="39"/>
  <c r="GP49" i="39"/>
  <c r="GQ49" i="39"/>
  <c r="GS49" i="39"/>
  <c r="W53" i="39"/>
  <c r="BG53" i="39"/>
  <c r="IP53" i="39"/>
  <c r="GO53" i="39"/>
  <c r="GP53" i="39"/>
  <c r="GQ53" i="39"/>
  <c r="GS53" i="39"/>
  <c r="W60" i="39"/>
  <c r="BG60" i="39"/>
  <c r="IP60" i="39"/>
  <c r="GO60" i="39"/>
  <c r="GP60" i="39"/>
  <c r="GQ60" i="39"/>
  <c r="GS60" i="39"/>
  <c r="W63" i="39"/>
  <c r="IU63" i="39"/>
  <c r="BG63" i="39"/>
  <c r="IP63" i="39"/>
  <c r="GO63" i="39"/>
  <c r="GP63" i="39"/>
  <c r="GQ63" i="39"/>
  <c r="GS63" i="39"/>
  <c r="W64" i="39"/>
  <c r="IU64" i="39"/>
  <c r="GS64" i="39"/>
  <c r="GO64" i="39"/>
  <c r="GP64" i="39"/>
  <c r="GQ64" i="39"/>
  <c r="BG64" i="39"/>
  <c r="IP64" i="39"/>
  <c r="IQ64" i="39"/>
  <c r="W67" i="39"/>
  <c r="GS67" i="39"/>
  <c r="GO67" i="39"/>
  <c r="GP67" i="39"/>
  <c r="GQ67" i="39"/>
  <c r="BG67" i="39"/>
  <c r="IP67" i="39"/>
  <c r="W68" i="39"/>
  <c r="BG68" i="39"/>
  <c r="IP68" i="39"/>
  <c r="IQ68" i="39"/>
  <c r="GO68" i="39"/>
  <c r="GP68" i="39"/>
  <c r="GQ68" i="39"/>
  <c r="GS68" i="39"/>
  <c r="W71" i="39"/>
  <c r="BG71" i="39"/>
  <c r="IP71" i="39"/>
  <c r="GO71" i="39"/>
  <c r="GP71" i="39"/>
  <c r="GQ71" i="39"/>
  <c r="GS71" i="39"/>
  <c r="W72" i="39"/>
  <c r="IU72" i="39"/>
  <c r="GS72" i="39"/>
  <c r="GO72" i="39"/>
  <c r="GP72" i="39"/>
  <c r="GQ72" i="39"/>
  <c r="BG72" i="39"/>
  <c r="IP72" i="39"/>
  <c r="W75" i="39"/>
  <c r="BG75" i="39"/>
  <c r="IP75" i="39"/>
  <c r="GO75" i="39"/>
  <c r="GP75" i="39"/>
  <c r="GQ75" i="39"/>
  <c r="GS75" i="39"/>
  <c r="W76" i="39"/>
  <c r="BG76" i="39"/>
  <c r="GO76" i="39"/>
  <c r="GP76" i="39"/>
  <c r="GQ76" i="39"/>
  <c r="GS76" i="39"/>
  <c r="GO79" i="39"/>
  <c r="GP79" i="39"/>
  <c r="GQ79" i="39"/>
  <c r="GS79" i="39"/>
  <c r="BG79" i="39"/>
  <c r="IP79" i="39"/>
  <c r="GO80" i="39"/>
  <c r="GP80" i="39"/>
  <c r="GQ80" i="39"/>
  <c r="BG80" i="39"/>
  <c r="IP80" i="39"/>
  <c r="IQ80" i="39"/>
  <c r="W59" i="39"/>
  <c r="IU59" i="39"/>
  <c r="BG59" i="39"/>
  <c r="IP59" i="39"/>
  <c r="IQ59" i="39"/>
  <c r="GO59" i="39"/>
  <c r="GP59" i="39"/>
  <c r="GQ59" i="39"/>
  <c r="GS59" i="39"/>
  <c r="W84" i="39"/>
  <c r="W83" i="39"/>
  <c r="Y83" i="39"/>
  <c r="BG83" i="39"/>
  <c r="GO83" i="39"/>
  <c r="GP83" i="39"/>
  <c r="GQ83" i="39"/>
  <c r="GS83" i="39"/>
  <c r="W56" i="39"/>
  <c r="GO56" i="39"/>
  <c r="GP56" i="39"/>
  <c r="GQ56" i="39"/>
  <c r="GS56" i="39"/>
  <c r="BG56" i="39"/>
  <c r="IP56" i="39"/>
  <c r="IQ56" i="39"/>
  <c r="W9" i="39"/>
  <c r="IU9" i="39"/>
  <c r="GO9" i="39"/>
  <c r="GP9" i="39"/>
  <c r="GQ9" i="39"/>
  <c r="BG9" i="39"/>
  <c r="IP9" i="39"/>
  <c r="IO9" i="39"/>
  <c r="W10" i="39"/>
  <c r="IU10" i="39"/>
  <c r="BG10" i="39"/>
  <c r="IP10" i="39"/>
  <c r="IO10" i="39"/>
  <c r="GO10" i="39"/>
  <c r="GP10" i="39"/>
  <c r="GQ10" i="39"/>
  <c r="GS10" i="39"/>
  <c r="W11" i="39"/>
  <c r="IU11" i="39"/>
  <c r="BG11" i="39"/>
  <c r="IP11" i="39"/>
  <c r="IQ11" i="39"/>
  <c r="GO11" i="39"/>
  <c r="GP11" i="39"/>
  <c r="GQ11" i="39"/>
  <c r="GS11" i="39"/>
  <c r="W15" i="39"/>
  <c r="GS15" i="39"/>
  <c r="GO15" i="39"/>
  <c r="GP15" i="39"/>
  <c r="GQ15" i="39"/>
  <c r="BG15" i="39"/>
  <c r="IP15" i="39"/>
  <c r="W18" i="39"/>
  <c r="BG18" i="39"/>
  <c r="GO18" i="39"/>
  <c r="GP18" i="39"/>
  <c r="GQ18" i="39"/>
  <c r="GS18" i="39"/>
  <c r="W19" i="39"/>
  <c r="BG19" i="39"/>
  <c r="IP19" i="39"/>
  <c r="GO19" i="39"/>
  <c r="GP19" i="39"/>
  <c r="GQ19" i="39"/>
  <c r="GS19" i="39"/>
  <c r="W22" i="39"/>
  <c r="IU22" i="39"/>
  <c r="BG22" i="39"/>
  <c r="IP22" i="39"/>
  <c r="IQ22" i="39"/>
  <c r="GO22" i="39"/>
  <c r="GP22" i="39"/>
  <c r="GQ22" i="39"/>
  <c r="GS22" i="39"/>
  <c r="W23" i="39"/>
  <c r="GS23" i="39"/>
  <c r="GO23" i="39"/>
  <c r="GP23" i="39"/>
  <c r="GQ23" i="39"/>
  <c r="BG23" i="39"/>
  <c r="IP23" i="39"/>
  <c r="W26" i="39"/>
  <c r="BG26" i="39"/>
  <c r="IP26" i="39"/>
  <c r="IQ26" i="39"/>
  <c r="GO26" i="39"/>
  <c r="GP26" i="39"/>
  <c r="GQ26" i="39"/>
  <c r="GS26" i="39"/>
  <c r="W27" i="39"/>
  <c r="Y27" i="39"/>
  <c r="BG27" i="39"/>
  <c r="IP27" i="39"/>
  <c r="GO27" i="39"/>
  <c r="GP27" i="39"/>
  <c r="GQ27" i="39"/>
  <c r="GS27" i="39"/>
  <c r="W30" i="39"/>
  <c r="IU30" i="39"/>
  <c r="BG30" i="39"/>
  <c r="IP30" i="39"/>
  <c r="IQ30" i="39"/>
  <c r="GO30" i="39"/>
  <c r="GP30" i="39"/>
  <c r="GQ30" i="39"/>
  <c r="GS30" i="39"/>
  <c r="W31" i="39"/>
  <c r="BG31" i="39"/>
  <c r="GO31" i="39"/>
  <c r="GP31" i="39"/>
  <c r="GQ31" i="39"/>
  <c r="GS31" i="39"/>
  <c r="W35" i="39"/>
  <c r="BG35" i="39"/>
  <c r="IP35" i="39"/>
  <c r="W39" i="39"/>
  <c r="BG39" i="39"/>
  <c r="IP39" i="39"/>
  <c r="GO39" i="39"/>
  <c r="GP39" i="39"/>
  <c r="GQ39" i="39"/>
  <c r="GS39" i="39"/>
  <c r="GT39" i="39"/>
  <c r="GV39" i="39"/>
  <c r="W48" i="39"/>
  <c r="BG48" i="39"/>
  <c r="IP48" i="39"/>
  <c r="GO48" i="39"/>
  <c r="GP48" i="39"/>
  <c r="GQ48" i="39"/>
  <c r="GS48" i="39"/>
  <c r="W58" i="39"/>
  <c r="GS58" i="39"/>
  <c r="GO58" i="39"/>
  <c r="GP58" i="39"/>
  <c r="GQ58" i="39"/>
  <c r="BG58" i="39"/>
  <c r="W62" i="39"/>
  <c r="IU62" i="39"/>
  <c r="BG62" i="39"/>
  <c r="IP62" i="39"/>
  <c r="GO62" i="39"/>
  <c r="GP62" i="39"/>
  <c r="GQ62" i="39"/>
  <c r="GS62" i="39"/>
  <c r="W65" i="39"/>
  <c r="GS65" i="39"/>
  <c r="GO65" i="39"/>
  <c r="GP65" i="39"/>
  <c r="GQ65" i="39"/>
  <c r="BG65" i="39"/>
  <c r="IP65" i="39"/>
  <c r="W66" i="39"/>
  <c r="IU66" i="39"/>
  <c r="BG66" i="39"/>
  <c r="IP66" i="39"/>
  <c r="GO66" i="39"/>
  <c r="GP66" i="39"/>
  <c r="GQ66" i="39"/>
  <c r="GS66" i="39"/>
  <c r="W69" i="39"/>
  <c r="BG69" i="39"/>
  <c r="GO69" i="39"/>
  <c r="GP69" i="39"/>
  <c r="GQ69" i="39"/>
  <c r="GS69" i="39"/>
  <c r="W73" i="39"/>
  <c r="IU73" i="39"/>
  <c r="GS73" i="39"/>
  <c r="GO73" i="39"/>
  <c r="GP73" i="39"/>
  <c r="GQ73" i="39"/>
  <c r="BG73" i="39"/>
  <c r="IP73" i="39"/>
  <c r="W74" i="39"/>
  <c r="BG74" i="39"/>
  <c r="IP74" i="39"/>
  <c r="GO74" i="39"/>
  <c r="GP74" i="39"/>
  <c r="GQ74" i="39"/>
  <c r="GS74" i="39"/>
  <c r="GO77" i="39"/>
  <c r="GP77" i="39"/>
  <c r="GQ77" i="39"/>
  <c r="GS77" i="39"/>
  <c r="BG77" i="39"/>
  <c r="IP77" i="39"/>
  <c r="IQ77" i="39"/>
  <c r="GO78" i="39"/>
  <c r="GP78" i="39"/>
  <c r="GQ78" i="39"/>
  <c r="GS78" i="39"/>
  <c r="BG78" i="39"/>
  <c r="IP78" i="39"/>
  <c r="W82" i="39"/>
  <c r="BG82" i="39"/>
  <c r="IP82" i="39"/>
  <c r="GO82" i="39"/>
  <c r="GP82" i="39"/>
  <c r="GQ82" i="39"/>
  <c r="GS82" i="39"/>
  <c r="DW86" i="39"/>
  <c r="DX86" i="39"/>
  <c r="DY86" i="39"/>
  <c r="DZ86" i="39"/>
  <c r="EA86" i="39"/>
  <c r="DW85" i="39"/>
  <c r="DX85" i="39"/>
  <c r="DY85" i="39"/>
  <c r="DZ85" i="39"/>
  <c r="EA85" i="39"/>
  <c r="DW84" i="39"/>
  <c r="DX84" i="39"/>
  <c r="DY84" i="39"/>
  <c r="DZ84" i="39"/>
  <c r="EA84" i="39"/>
  <c r="F108" i="39"/>
  <c r="H86" i="39"/>
  <c r="GO13" i="39"/>
  <c r="GO14" i="39"/>
  <c r="GO17" i="39"/>
  <c r="GO21" i="39"/>
  <c r="GO25" i="39"/>
  <c r="GO29" i="39"/>
  <c r="GO32" i="39"/>
  <c r="GO33" i="39"/>
  <c r="GO34" i="39"/>
  <c r="GO37" i="39"/>
  <c r="GO38" i="39"/>
  <c r="GO41" i="39"/>
  <c r="GO42" i="39"/>
  <c r="GO44" i="39"/>
  <c r="GO46" i="39"/>
  <c r="GO47" i="39"/>
  <c r="GO50" i="39"/>
  <c r="GO51" i="39"/>
  <c r="GO52" i="39"/>
  <c r="GO54" i="39"/>
  <c r="GO55" i="39"/>
  <c r="GP55" i="39"/>
  <c r="GQ55" i="39"/>
  <c r="GS55" i="39"/>
  <c r="GO61" i="39"/>
  <c r="GO70" i="39"/>
  <c r="GO81" i="39"/>
  <c r="H85" i="39"/>
  <c r="H84" i="39"/>
  <c r="X86" i="39"/>
  <c r="AC86" i="39"/>
  <c r="X85" i="39"/>
  <c r="AC85" i="39"/>
  <c r="X84" i="39"/>
  <c r="AC84" i="39"/>
  <c r="A10" i="39"/>
  <c r="A11" i="39"/>
  <c r="A12" i="39"/>
  <c r="A13" i="39"/>
  <c r="A14" i="39"/>
  <c r="A15" i="39"/>
  <c r="A16" i="39"/>
  <c r="A17" i="39"/>
  <c r="A18" i="39"/>
  <c r="A19" i="39"/>
  <c r="A20" i="39"/>
  <c r="A21" i="39"/>
  <c r="A22" i="39"/>
  <c r="A23" i="39"/>
  <c r="A24" i="39"/>
  <c r="A25" i="39"/>
  <c r="A26" i="39"/>
  <c r="A27" i="39"/>
  <c r="A28" i="39"/>
  <c r="A29" i="39"/>
  <c r="A30" i="39"/>
  <c r="A31" i="39"/>
  <c r="A32" i="39"/>
  <c r="A33" i="39"/>
  <c r="A34" i="39"/>
  <c r="A35" i="39"/>
  <c r="A36" i="39"/>
  <c r="A37" i="39"/>
  <c r="A38" i="39"/>
  <c r="A39" i="39"/>
  <c r="A40" i="39"/>
  <c r="A41" i="39"/>
  <c r="A42" i="39"/>
  <c r="A44" i="39"/>
  <c r="A45" i="39"/>
  <c r="A46" i="39"/>
  <c r="A47" i="39"/>
  <c r="A48" i="39"/>
  <c r="A49" i="39"/>
  <c r="A50" i="39"/>
  <c r="A51" i="39"/>
  <c r="A52" i="39"/>
  <c r="A53" i="39"/>
  <c r="A54" i="39"/>
  <c r="A55" i="39"/>
  <c r="A56" i="39"/>
  <c r="A57" i="39"/>
  <c r="A58" i="39"/>
  <c r="A59" i="39"/>
  <c r="A60" i="39"/>
  <c r="A61" i="39"/>
  <c r="A62" i="39"/>
  <c r="A63" i="39"/>
  <c r="A64" i="39"/>
  <c r="A65" i="39"/>
  <c r="A66" i="39"/>
  <c r="A67" i="39"/>
  <c r="A68" i="39"/>
  <c r="A69" i="39"/>
  <c r="A70" i="39"/>
  <c r="A71" i="39"/>
  <c r="A72" i="39"/>
  <c r="A73" i="39"/>
  <c r="A74" i="39"/>
  <c r="A75" i="39"/>
  <c r="A76" i="39"/>
  <c r="A77" i="39"/>
  <c r="A78" i="39"/>
  <c r="A79" i="39"/>
  <c r="A80" i="39"/>
  <c r="A81" i="39"/>
  <c r="A82" i="39"/>
  <c r="A83" i="39"/>
  <c r="A84" i="39"/>
  <c r="A85" i="39"/>
  <c r="A86" i="39"/>
  <c r="A87" i="39"/>
  <c r="A88" i="39"/>
  <c r="A89" i="39"/>
  <c r="A90" i="39"/>
  <c r="A91" i="39"/>
  <c r="A92" i="39"/>
  <c r="A93" i="39"/>
  <c r="A94" i="39"/>
  <c r="A95" i="39"/>
  <c r="A96" i="39"/>
  <c r="A97" i="39"/>
  <c r="A98" i="39"/>
  <c r="AF79" i="39"/>
  <c r="BE79" i="39"/>
  <c r="Z48" i="34"/>
  <c r="Z54" i="35"/>
  <c r="Z53" i="35"/>
  <c r="Z46" i="35"/>
  <c r="Z35" i="35"/>
  <c r="EH81" i="39"/>
  <c r="CE15" i="34"/>
  <c r="CH15" i="34"/>
  <c r="KJ15" i="34"/>
  <c r="CJ15" i="34"/>
  <c r="KL15" i="34"/>
  <c r="CL15" i="34"/>
  <c r="KN15" i="34"/>
  <c r="CM15" i="34"/>
  <c r="KO15" i="34"/>
  <c r="CN15" i="34"/>
  <c r="KP15" i="34"/>
  <c r="CO15" i="34"/>
  <c r="KQ15" i="34"/>
  <c r="CE14" i="34"/>
  <c r="CH14" i="34"/>
  <c r="KJ14" i="34"/>
  <c r="CJ14" i="34"/>
  <c r="CL14" i="34"/>
  <c r="KN14" i="34"/>
  <c r="CM14" i="34"/>
  <c r="KO14" i="34"/>
  <c r="CN14" i="34"/>
  <c r="KP14" i="34"/>
  <c r="CO14" i="34"/>
  <c r="KQ14" i="34"/>
  <c r="CE11" i="21"/>
  <c r="FZ11" i="21"/>
  <c r="CH11" i="21"/>
  <c r="KJ11" i="21"/>
  <c r="CJ11" i="21"/>
  <c r="KL11" i="21"/>
  <c r="CL11" i="21"/>
  <c r="KN11" i="21"/>
  <c r="CM11" i="21"/>
  <c r="KO11" i="21"/>
  <c r="CN11" i="21"/>
  <c r="KP11" i="21"/>
  <c r="CO11" i="21"/>
  <c r="Z59" i="35"/>
  <c r="Z58" i="35"/>
  <c r="Z57" i="35"/>
  <c r="Z55" i="35"/>
  <c r="Z52" i="35"/>
  <c r="Z50" i="35"/>
  <c r="Z48" i="35"/>
  <c r="Z44" i="35"/>
  <c r="Z43" i="35"/>
  <c r="Z42" i="35"/>
  <c r="Z39" i="35"/>
  <c r="Z38" i="35"/>
  <c r="Z37" i="35"/>
  <c r="Z36" i="35"/>
  <c r="Z34" i="35"/>
  <c r="Z32" i="35"/>
  <c r="Z31" i="35"/>
  <c r="Z30" i="35"/>
  <c r="Z29" i="35"/>
  <c r="Z28" i="35"/>
  <c r="Z25" i="35"/>
  <c r="Z20" i="35"/>
  <c r="Z19" i="35"/>
  <c r="Z15" i="35"/>
  <c r="Z16" i="35"/>
  <c r="Z17" i="35"/>
  <c r="Z18" i="35"/>
  <c r="Z14" i="35"/>
  <c r="Z13" i="35"/>
  <c r="Z12" i="35"/>
  <c r="Z11" i="35"/>
  <c r="Z10" i="35"/>
  <c r="Z20" i="32"/>
  <c r="Z13" i="32"/>
  <c r="CD9" i="31"/>
  <c r="CE9" i="31"/>
  <c r="CD10" i="31"/>
  <c r="KF10" i="31"/>
  <c r="CD11" i="31"/>
  <c r="CF11" i="31"/>
  <c r="GA11" i="31"/>
  <c r="CD12" i="31"/>
  <c r="KF12" i="31"/>
  <c r="CD13" i="31"/>
  <c r="KF13" i="31"/>
  <c r="CD14" i="31"/>
  <c r="KF14" i="31"/>
  <c r="CD15" i="31"/>
  <c r="CF15" i="31"/>
  <c r="CD16" i="31"/>
  <c r="CF16" i="31"/>
  <c r="CD17" i="31"/>
  <c r="CE17" i="31"/>
  <c r="FZ17" i="31"/>
  <c r="CD18" i="31"/>
  <c r="KF18" i="31"/>
  <c r="CD19" i="31"/>
  <c r="KF19" i="31"/>
  <c r="CD20" i="31"/>
  <c r="KF20" i="31"/>
  <c r="CD21" i="31"/>
  <c r="KF21" i="31"/>
  <c r="CD23" i="31"/>
  <c r="CE23" i="31"/>
  <c r="FZ23" i="31"/>
  <c r="CD24" i="31"/>
  <c r="CD25" i="31"/>
  <c r="KF25" i="31"/>
  <c r="CD26" i="31"/>
  <c r="CE26" i="31"/>
  <c r="FZ26" i="31"/>
  <c r="CD27" i="31"/>
  <c r="CD28" i="31"/>
  <c r="CE28" i="31"/>
  <c r="CD29" i="31"/>
  <c r="KF29" i="31"/>
  <c r="CD30" i="31"/>
  <c r="KF30" i="31"/>
  <c r="CD31" i="31"/>
  <c r="KF31" i="31"/>
  <c r="CD32" i="31"/>
  <c r="KF32" i="31"/>
  <c r="Z22" i="21"/>
  <c r="Z21" i="21"/>
  <c r="Z19" i="21"/>
  <c r="Z18" i="21"/>
  <c r="Z17" i="21"/>
  <c r="Z16" i="21"/>
  <c r="Z15" i="21"/>
  <c r="Z14" i="21"/>
  <c r="W10" i="19"/>
  <c r="X10" i="19"/>
  <c r="W11" i="19"/>
  <c r="IU11" i="19"/>
  <c r="X11" i="19"/>
  <c r="W12" i="19"/>
  <c r="IU12" i="19"/>
  <c r="X12" i="19"/>
  <c r="W13" i="19"/>
  <c r="X13" i="19"/>
  <c r="W14" i="19"/>
  <c r="Y14" i="19"/>
  <c r="X14" i="19"/>
  <c r="W15" i="19"/>
  <c r="Y15" i="19"/>
  <c r="X15" i="19"/>
  <c r="W16" i="19"/>
  <c r="X16" i="19"/>
  <c r="W17" i="19"/>
  <c r="X17" i="19"/>
  <c r="W18" i="19"/>
  <c r="Y18" i="19"/>
  <c r="X18" i="19"/>
  <c r="W19" i="19"/>
  <c r="Y19" i="19"/>
  <c r="X19" i="19"/>
  <c r="W20" i="19"/>
  <c r="Y20" i="19"/>
  <c r="X20" i="19"/>
  <c r="W21" i="19"/>
  <c r="X21" i="19"/>
  <c r="W22" i="19"/>
  <c r="IU22" i="19"/>
  <c r="X22" i="19"/>
  <c r="W23" i="19"/>
  <c r="IU23" i="19"/>
  <c r="X23" i="19"/>
  <c r="W24" i="19"/>
  <c r="Y24" i="19"/>
  <c r="X24" i="19"/>
  <c r="W25" i="19"/>
  <c r="X25" i="19"/>
  <c r="W26" i="19"/>
  <c r="IU26" i="19"/>
  <c r="X26" i="19"/>
  <c r="W27" i="19"/>
  <c r="Y27" i="19"/>
  <c r="X27" i="19"/>
  <c r="W28" i="19"/>
  <c r="IU28" i="19"/>
  <c r="X28" i="19"/>
  <c r="W29" i="19"/>
  <c r="X29" i="19"/>
  <c r="W30" i="19"/>
  <c r="IU30" i="19"/>
  <c r="X30" i="19"/>
  <c r="W31" i="19"/>
  <c r="Y31" i="19"/>
  <c r="X31" i="19"/>
  <c r="W32" i="19"/>
  <c r="X32" i="19"/>
  <c r="W33" i="19"/>
  <c r="X33" i="19"/>
  <c r="W34" i="19"/>
  <c r="IU34" i="19"/>
  <c r="X34" i="19"/>
  <c r="W35" i="19"/>
  <c r="X35" i="19"/>
  <c r="W36" i="19"/>
  <c r="X36" i="19"/>
  <c r="W37" i="19"/>
  <c r="X37" i="19"/>
  <c r="W38" i="19"/>
  <c r="Y38" i="19"/>
  <c r="X38" i="19"/>
  <c r="W39" i="19"/>
  <c r="Y39" i="19"/>
  <c r="X39" i="19"/>
  <c r="W40" i="19"/>
  <c r="IU40" i="19"/>
  <c r="X40" i="19"/>
  <c r="W41" i="19"/>
  <c r="X41" i="19"/>
  <c r="W43" i="19"/>
  <c r="Y43" i="19"/>
  <c r="X43" i="19"/>
  <c r="W44" i="19"/>
  <c r="Y44" i="19"/>
  <c r="X44" i="19"/>
  <c r="W45" i="19"/>
  <c r="Y45" i="19"/>
  <c r="X45" i="19"/>
  <c r="W46" i="19"/>
  <c r="X46" i="19"/>
  <c r="W47" i="19"/>
  <c r="Y47" i="19"/>
  <c r="X47" i="19"/>
  <c r="W48" i="19"/>
  <c r="Y48" i="19"/>
  <c r="X48" i="19"/>
  <c r="W49" i="19"/>
  <c r="IU49" i="19"/>
  <c r="X49" i="19"/>
  <c r="W50" i="19"/>
  <c r="X50" i="19"/>
  <c r="W51" i="19"/>
  <c r="X51" i="19"/>
  <c r="W52" i="19"/>
  <c r="Y52" i="19"/>
  <c r="X52" i="19"/>
  <c r="W53" i="19"/>
  <c r="Y53" i="19"/>
  <c r="X53" i="19"/>
  <c r="W54" i="19"/>
  <c r="X54" i="19"/>
  <c r="W55" i="19"/>
  <c r="Y55" i="19"/>
  <c r="X55" i="19"/>
  <c r="W56" i="19"/>
  <c r="IU56" i="19"/>
  <c r="X56" i="19"/>
  <c r="W57" i="19"/>
  <c r="Y57" i="19"/>
  <c r="X57" i="19"/>
  <c r="W58" i="19"/>
  <c r="Y58" i="19"/>
  <c r="X58" i="19"/>
  <c r="W59" i="19"/>
  <c r="X59" i="19"/>
  <c r="W60" i="19"/>
  <c r="X60" i="19"/>
  <c r="W61" i="19"/>
  <c r="X61" i="19"/>
  <c r="W62" i="19"/>
  <c r="X62" i="19"/>
  <c r="W63" i="19"/>
  <c r="Y63" i="19"/>
  <c r="X63" i="19"/>
  <c r="W64" i="19"/>
  <c r="X64" i="19"/>
  <c r="W65" i="19"/>
  <c r="IU65" i="19"/>
  <c r="X65" i="19"/>
  <c r="W66" i="19"/>
  <c r="X66" i="19"/>
  <c r="W67" i="19"/>
  <c r="X67" i="19"/>
  <c r="W68" i="19"/>
  <c r="IU68" i="19"/>
  <c r="X68" i="19"/>
  <c r="W69" i="19"/>
  <c r="IU69" i="19"/>
  <c r="X69" i="19"/>
  <c r="W70" i="19"/>
  <c r="X70" i="19"/>
  <c r="W71" i="19"/>
  <c r="X71" i="19"/>
  <c r="W72" i="19"/>
  <c r="X72" i="19"/>
  <c r="W73" i="19"/>
  <c r="Y73" i="19"/>
  <c r="X73" i="19"/>
  <c r="W74" i="19"/>
  <c r="Y74" i="19"/>
  <c r="X74" i="19"/>
  <c r="W75" i="19"/>
  <c r="Y75" i="19"/>
  <c r="X75" i="19"/>
  <c r="W76" i="19"/>
  <c r="Y76" i="19"/>
  <c r="X76" i="19"/>
  <c r="W77" i="19"/>
  <c r="X77" i="19"/>
  <c r="W78" i="19"/>
  <c r="IU78" i="19"/>
  <c r="X78" i="19"/>
  <c r="W79" i="19"/>
  <c r="IU79" i="19"/>
  <c r="X79" i="19"/>
  <c r="W80" i="19"/>
  <c r="X80" i="19"/>
  <c r="W81" i="19"/>
  <c r="X81" i="19"/>
  <c r="W82" i="19"/>
  <c r="X82" i="19"/>
  <c r="W83" i="19"/>
  <c r="IU83" i="19"/>
  <c r="X83" i="19"/>
  <c r="W84" i="19"/>
  <c r="IU84" i="19"/>
  <c r="X84" i="19"/>
  <c r="W85" i="19"/>
  <c r="X85" i="19"/>
  <c r="W86" i="19"/>
  <c r="Y86" i="19"/>
  <c r="X86" i="19"/>
  <c r="W87" i="19"/>
  <c r="Y87" i="19"/>
  <c r="X87" i="19"/>
  <c r="W88" i="19"/>
  <c r="IU88" i="19"/>
  <c r="X88" i="19"/>
  <c r="W89" i="19"/>
  <c r="X89" i="19"/>
  <c r="W90" i="19"/>
  <c r="X90" i="19"/>
  <c r="W91" i="19"/>
  <c r="Y91" i="19"/>
  <c r="X91" i="19"/>
  <c r="W92" i="19"/>
  <c r="X92" i="19"/>
  <c r="W93" i="19"/>
  <c r="Y93" i="19"/>
  <c r="X93" i="19"/>
  <c r="W94" i="19"/>
  <c r="X94" i="19"/>
  <c r="W95" i="19"/>
  <c r="Y95" i="19"/>
  <c r="X95" i="19"/>
  <c r="W96" i="19"/>
  <c r="Y96" i="19"/>
  <c r="X96" i="19"/>
  <c r="W97" i="19"/>
  <c r="X97" i="19"/>
  <c r="W98" i="19"/>
  <c r="X98" i="19"/>
  <c r="W99" i="19"/>
  <c r="IU99" i="19"/>
  <c r="X99" i="19"/>
  <c r="W100" i="19"/>
  <c r="X100" i="19"/>
  <c r="W101" i="19"/>
  <c r="X101" i="19"/>
  <c r="W102" i="19"/>
  <c r="X102" i="19"/>
  <c r="W103" i="19"/>
  <c r="X103" i="19"/>
  <c r="W104" i="19"/>
  <c r="IU104" i="19"/>
  <c r="X104" i="19"/>
  <c r="W105" i="19"/>
  <c r="IU105" i="19"/>
  <c r="X105" i="19"/>
  <c r="W106" i="19"/>
  <c r="X106" i="19"/>
  <c r="W107" i="19"/>
  <c r="Y107" i="19"/>
  <c r="X107" i="19"/>
  <c r="NS59" i="35"/>
  <c r="NR59" i="35"/>
  <c r="NQ59" i="35"/>
  <c r="NP59" i="35"/>
  <c r="NO59" i="35"/>
  <c r="NN59" i="35"/>
  <c r="NM59" i="35"/>
  <c r="NS58" i="35"/>
  <c r="NR58" i="35"/>
  <c r="NQ58" i="35"/>
  <c r="NP58" i="35"/>
  <c r="NO58" i="35"/>
  <c r="NT58" i="35"/>
  <c r="NU58" i="35"/>
  <c r="NN58" i="35"/>
  <c r="NM58" i="35"/>
  <c r="KT58" i="35"/>
  <c r="NS57" i="35"/>
  <c r="NR57" i="35"/>
  <c r="NQ57" i="35"/>
  <c r="NP57" i="35"/>
  <c r="NO57" i="35"/>
  <c r="NN57" i="35"/>
  <c r="NM57" i="35"/>
  <c r="NS55" i="35"/>
  <c r="NR55" i="35"/>
  <c r="NQ55" i="35"/>
  <c r="NP55" i="35"/>
  <c r="NO55" i="35"/>
  <c r="NN55" i="35"/>
  <c r="NM55" i="35"/>
  <c r="NS54" i="35"/>
  <c r="NR54" i="35"/>
  <c r="NQ54" i="35"/>
  <c r="NP54" i="35"/>
  <c r="NO54" i="35"/>
  <c r="NN54" i="35"/>
  <c r="NM54" i="35"/>
  <c r="NS53" i="35"/>
  <c r="NR53" i="35"/>
  <c r="NQ53" i="35"/>
  <c r="NP53" i="35"/>
  <c r="NO53" i="35"/>
  <c r="NN53" i="35"/>
  <c r="NM53" i="35"/>
  <c r="NS52" i="35"/>
  <c r="NT52" i="35"/>
  <c r="NU52" i="35"/>
  <c r="NR52" i="35"/>
  <c r="NQ52" i="35"/>
  <c r="NP52" i="35"/>
  <c r="NO52" i="35"/>
  <c r="NN52" i="35"/>
  <c r="NM52" i="35"/>
  <c r="NS50" i="35"/>
  <c r="NR50" i="35"/>
  <c r="NT50" i="35"/>
  <c r="NU50" i="35"/>
  <c r="NQ50" i="35"/>
  <c r="NP50" i="35"/>
  <c r="NO50" i="35"/>
  <c r="NN50" i="35"/>
  <c r="NM50" i="35"/>
  <c r="KT50" i="35"/>
  <c r="NS49" i="35"/>
  <c r="NR49" i="35"/>
  <c r="NQ49" i="35"/>
  <c r="NP49" i="35"/>
  <c r="NO49" i="35"/>
  <c r="NN49" i="35"/>
  <c r="NM49" i="35"/>
  <c r="NS48" i="35"/>
  <c r="NR48" i="35"/>
  <c r="NQ48" i="35"/>
  <c r="NP48" i="35"/>
  <c r="NO48" i="35"/>
  <c r="NN48" i="35"/>
  <c r="NM48" i="35"/>
  <c r="NS47" i="35"/>
  <c r="NR47" i="35"/>
  <c r="NQ47" i="35"/>
  <c r="NP47" i="35"/>
  <c r="NO47" i="35"/>
  <c r="NN47" i="35"/>
  <c r="NM47" i="35"/>
  <c r="NS46" i="35"/>
  <c r="NR46" i="35"/>
  <c r="NQ46" i="35"/>
  <c r="NP46" i="35"/>
  <c r="NO46" i="35"/>
  <c r="NT46" i="35"/>
  <c r="NU46" i="35"/>
  <c r="NM46" i="35"/>
  <c r="NN46" i="35"/>
  <c r="NS45" i="35"/>
  <c r="NR45" i="35"/>
  <c r="NQ45" i="35"/>
  <c r="NP45" i="35"/>
  <c r="NO45" i="35"/>
  <c r="NN45" i="35"/>
  <c r="NM45" i="35"/>
  <c r="NS44" i="35"/>
  <c r="NR44" i="35"/>
  <c r="NQ44" i="35"/>
  <c r="NP44" i="35"/>
  <c r="NO44" i="35"/>
  <c r="NN44" i="35"/>
  <c r="NM44" i="35"/>
  <c r="NS43" i="35"/>
  <c r="NR43" i="35"/>
  <c r="NQ43" i="35"/>
  <c r="NP43" i="35"/>
  <c r="NO43" i="35"/>
  <c r="NN43" i="35"/>
  <c r="NM43" i="35"/>
  <c r="KT43" i="35"/>
  <c r="NS42" i="35"/>
  <c r="NR42" i="35"/>
  <c r="NQ42" i="35"/>
  <c r="NP42" i="35"/>
  <c r="NO42" i="35"/>
  <c r="NN42" i="35"/>
  <c r="NM42" i="35"/>
  <c r="KT42" i="35"/>
  <c r="NS40" i="35"/>
  <c r="NR40" i="35"/>
  <c r="NQ40" i="35"/>
  <c r="NP40" i="35"/>
  <c r="NO40" i="35"/>
  <c r="NN40" i="35"/>
  <c r="NM40" i="35"/>
  <c r="NS39" i="35"/>
  <c r="NR39" i="35"/>
  <c r="NQ39" i="35"/>
  <c r="NP39" i="35"/>
  <c r="NO39" i="35"/>
  <c r="NN39" i="35"/>
  <c r="NM39" i="35"/>
  <c r="KT39" i="35"/>
  <c r="NS38" i="35"/>
  <c r="NR38" i="35"/>
  <c r="NQ38" i="35"/>
  <c r="NP38" i="35"/>
  <c r="NO38" i="35"/>
  <c r="NN38" i="35"/>
  <c r="NM38" i="35"/>
  <c r="NS37" i="35"/>
  <c r="NR37" i="35"/>
  <c r="NT37" i="35"/>
  <c r="NQ37" i="35"/>
  <c r="NP37" i="35"/>
  <c r="NO37" i="35"/>
  <c r="NN37" i="35"/>
  <c r="NM37" i="35"/>
  <c r="NS36" i="35"/>
  <c r="NR36" i="35"/>
  <c r="NQ36" i="35"/>
  <c r="NP36" i="35"/>
  <c r="NO36" i="35"/>
  <c r="NN36" i="35"/>
  <c r="NM36" i="35"/>
  <c r="NS35" i="35"/>
  <c r="NR35" i="35"/>
  <c r="NQ35" i="35"/>
  <c r="NP35" i="35"/>
  <c r="NO35" i="35"/>
  <c r="NM35" i="35"/>
  <c r="NN35" i="35"/>
  <c r="NS34" i="35"/>
  <c r="NR34" i="35"/>
  <c r="NQ34" i="35"/>
  <c r="NP34" i="35"/>
  <c r="NO34" i="35"/>
  <c r="NN34" i="35"/>
  <c r="NM34" i="35"/>
  <c r="KT34" i="35"/>
  <c r="NS33" i="35"/>
  <c r="NR33" i="35"/>
  <c r="NQ33" i="35"/>
  <c r="NP33" i="35"/>
  <c r="NO33" i="35"/>
  <c r="NN33" i="35"/>
  <c r="NM33" i="35"/>
  <c r="KT33" i="35"/>
  <c r="NS32" i="35"/>
  <c r="NR32" i="35"/>
  <c r="NQ32" i="35"/>
  <c r="NP32" i="35"/>
  <c r="NO32" i="35"/>
  <c r="NN32" i="35"/>
  <c r="NM32" i="35"/>
  <c r="NS31" i="35"/>
  <c r="NR31" i="35"/>
  <c r="NQ31" i="35"/>
  <c r="NP31" i="35"/>
  <c r="NO31" i="35"/>
  <c r="NN31" i="35"/>
  <c r="NM31" i="35"/>
  <c r="NS30" i="35"/>
  <c r="NR30" i="35"/>
  <c r="NQ30" i="35"/>
  <c r="NP30" i="35"/>
  <c r="NO30" i="35"/>
  <c r="NN30" i="35"/>
  <c r="NM30" i="35"/>
  <c r="NS29" i="35"/>
  <c r="NR29" i="35"/>
  <c r="NQ29" i="35"/>
  <c r="NP29" i="35"/>
  <c r="NM29" i="35"/>
  <c r="NN29" i="35"/>
  <c r="NO29" i="35"/>
  <c r="KT29" i="35"/>
  <c r="NS28" i="35"/>
  <c r="NR28" i="35"/>
  <c r="NQ28" i="35"/>
  <c r="NP28" i="35"/>
  <c r="NM28" i="35"/>
  <c r="NN28" i="35"/>
  <c r="NO28" i="35"/>
  <c r="KT28" i="35"/>
  <c r="NS27" i="35"/>
  <c r="NR27" i="35"/>
  <c r="NQ27" i="35"/>
  <c r="NP27" i="35"/>
  <c r="NO27" i="35"/>
  <c r="NM27" i="35"/>
  <c r="NN27" i="35"/>
  <c r="NS26" i="35"/>
  <c r="NR26" i="35"/>
  <c r="NQ26" i="35"/>
  <c r="NP26" i="35"/>
  <c r="NO26" i="35"/>
  <c r="NN26" i="35"/>
  <c r="NM26" i="35"/>
  <c r="NS25" i="35"/>
  <c r="NR25" i="35"/>
  <c r="NT25" i="35"/>
  <c r="NQ25" i="35"/>
  <c r="NP25" i="35"/>
  <c r="NO25" i="35"/>
  <c r="NN25" i="35"/>
  <c r="NM25" i="35"/>
  <c r="NS24" i="35"/>
  <c r="NR24" i="35"/>
  <c r="NQ24" i="35"/>
  <c r="NP24" i="35"/>
  <c r="NO24" i="35"/>
  <c r="NN24" i="35"/>
  <c r="NM24" i="35"/>
  <c r="NS23" i="35"/>
  <c r="NR23" i="35"/>
  <c r="NQ23" i="35"/>
  <c r="NP23" i="35"/>
  <c r="NT23" i="35"/>
  <c r="NU23" i="35"/>
  <c r="NO23" i="35"/>
  <c r="NN23" i="35"/>
  <c r="NM23" i="35"/>
  <c r="NS22" i="35"/>
  <c r="NR22" i="35"/>
  <c r="NQ22" i="35"/>
  <c r="NP22" i="35"/>
  <c r="NO22" i="35"/>
  <c r="NN22" i="35"/>
  <c r="NM22" i="35"/>
  <c r="NS21" i="35"/>
  <c r="NR21" i="35"/>
  <c r="NQ21" i="35"/>
  <c r="NP21" i="35"/>
  <c r="NO21" i="35"/>
  <c r="NM21" i="35"/>
  <c r="NN21" i="35"/>
  <c r="KT21" i="35"/>
  <c r="NS20" i="35"/>
  <c r="NR20" i="35"/>
  <c r="NQ20" i="35"/>
  <c r="NP20" i="35"/>
  <c r="NO20" i="35"/>
  <c r="NM20" i="35"/>
  <c r="NN20" i="35"/>
  <c r="NS19" i="35"/>
  <c r="NR19" i="35"/>
  <c r="NQ19" i="35"/>
  <c r="NP19" i="35"/>
  <c r="NO19" i="35"/>
  <c r="NM19" i="35"/>
  <c r="NN19" i="35"/>
  <c r="NT19" i="35"/>
  <c r="NS18" i="35"/>
  <c r="NR18" i="35"/>
  <c r="NQ18" i="35"/>
  <c r="NP18" i="35"/>
  <c r="NO18" i="35"/>
  <c r="NN18" i="35"/>
  <c r="NM18" i="35"/>
  <c r="NS17" i="35"/>
  <c r="NS70" i="35"/>
  <c r="NR17" i="35"/>
  <c r="NQ17" i="35"/>
  <c r="NP17" i="35"/>
  <c r="NO17" i="35"/>
  <c r="NN17" i="35"/>
  <c r="NM17" i="35"/>
  <c r="NS16" i="35"/>
  <c r="NR16" i="35"/>
  <c r="NQ16" i="35"/>
  <c r="NP16" i="35"/>
  <c r="NO16" i="35"/>
  <c r="NN16" i="35"/>
  <c r="NM16" i="35"/>
  <c r="NS15" i="35"/>
  <c r="NR15" i="35"/>
  <c r="NQ15" i="35"/>
  <c r="NT15" i="35"/>
  <c r="NU15" i="35"/>
  <c r="NP15" i="35"/>
  <c r="NO15" i="35"/>
  <c r="NN15" i="35"/>
  <c r="NM15" i="35"/>
  <c r="NS14" i="35"/>
  <c r="NR14" i="35"/>
  <c r="NQ14" i="35"/>
  <c r="NP14" i="35"/>
  <c r="NO14" i="35"/>
  <c r="NN14" i="35"/>
  <c r="NM14" i="35"/>
  <c r="NS13" i="35"/>
  <c r="NR13" i="35"/>
  <c r="NQ13" i="35"/>
  <c r="NP13" i="35"/>
  <c r="NO13" i="35"/>
  <c r="NN13" i="35"/>
  <c r="NM13" i="35"/>
  <c r="NS12" i="35"/>
  <c r="NR12" i="35"/>
  <c r="NQ12" i="35"/>
  <c r="NP12" i="35"/>
  <c r="NO12" i="35"/>
  <c r="NN12" i="35"/>
  <c r="NN70" i="35"/>
  <c r="NM12" i="35"/>
  <c r="NS11" i="35"/>
  <c r="NR11" i="35"/>
  <c r="NQ11" i="35"/>
  <c r="NP11" i="35"/>
  <c r="NO11" i="35"/>
  <c r="NN11" i="35"/>
  <c r="NM11" i="35"/>
  <c r="NS10" i="35"/>
  <c r="NR10" i="35"/>
  <c r="NQ10" i="35"/>
  <c r="NP10" i="35"/>
  <c r="NO10" i="35"/>
  <c r="NN10" i="35"/>
  <c r="NM10" i="35"/>
  <c r="NS55" i="34"/>
  <c r="NT55" i="34"/>
  <c r="NR55" i="34"/>
  <c r="NQ55" i="34"/>
  <c r="NP55" i="34"/>
  <c r="NM55" i="34"/>
  <c r="NN55" i="34"/>
  <c r="NO55" i="34"/>
  <c r="NS54" i="34"/>
  <c r="NR54" i="34"/>
  <c r="NQ54" i="34"/>
  <c r="NP54" i="34"/>
  <c r="NO54" i="34"/>
  <c r="NN54" i="34"/>
  <c r="NM54" i="34"/>
  <c r="NS53" i="34"/>
  <c r="NR53" i="34"/>
  <c r="NQ53" i="34"/>
  <c r="NT53" i="34"/>
  <c r="NU53" i="34"/>
  <c r="NP53" i="34"/>
  <c r="NP50" i="34"/>
  <c r="NP51" i="34"/>
  <c r="NP10" i="34"/>
  <c r="NP11" i="34"/>
  <c r="NP12" i="34"/>
  <c r="NP13" i="34"/>
  <c r="NP14" i="34"/>
  <c r="NT14" i="34"/>
  <c r="NP15" i="34"/>
  <c r="NP16" i="34"/>
  <c r="NP17" i="34"/>
  <c r="NP18" i="34"/>
  <c r="NP19" i="34"/>
  <c r="NP20" i="34"/>
  <c r="NP9" i="34"/>
  <c r="NP21" i="34"/>
  <c r="NP22" i="34"/>
  <c r="NP23" i="34"/>
  <c r="NP24" i="34"/>
  <c r="NP25" i="34"/>
  <c r="NP26" i="34"/>
  <c r="NP27" i="34"/>
  <c r="NP28" i="34"/>
  <c r="NP29" i="34"/>
  <c r="NP30" i="34"/>
  <c r="NP31" i="34"/>
  <c r="NP32" i="34"/>
  <c r="NP33" i="34"/>
  <c r="NP34" i="34"/>
  <c r="NP35" i="34"/>
  <c r="NP36" i="34"/>
  <c r="NP37" i="34"/>
  <c r="NP38" i="34"/>
  <c r="NP39" i="34"/>
  <c r="NP40" i="34"/>
  <c r="NP41" i="34"/>
  <c r="NP42" i="34"/>
  <c r="NP43" i="34"/>
  <c r="NP44" i="34"/>
  <c r="NP45" i="34"/>
  <c r="NT45" i="34"/>
  <c r="NU45" i="34"/>
  <c r="NP46" i="34"/>
  <c r="NP47" i="34"/>
  <c r="NP48" i="34"/>
  <c r="NP49" i="34"/>
  <c r="NO53" i="34"/>
  <c r="NN53" i="34"/>
  <c r="NM53" i="34"/>
  <c r="NS51" i="34"/>
  <c r="NT51" i="34"/>
  <c r="NU51" i="34"/>
  <c r="NS50" i="34"/>
  <c r="NS10" i="34"/>
  <c r="NS11" i="34"/>
  <c r="NS12" i="34"/>
  <c r="NS13" i="34"/>
  <c r="NS14" i="34"/>
  <c r="NS15" i="34"/>
  <c r="NS16" i="34"/>
  <c r="NS17" i="34"/>
  <c r="NS18" i="34"/>
  <c r="NS19" i="34"/>
  <c r="NS9" i="34"/>
  <c r="NS20" i="34"/>
  <c r="NS21" i="34"/>
  <c r="NS22" i="34"/>
  <c r="NS23" i="34"/>
  <c r="NT23" i="34"/>
  <c r="NS24" i="34"/>
  <c r="NS25" i="34"/>
  <c r="NS26" i="34"/>
  <c r="NS27" i="34"/>
  <c r="NS28" i="34"/>
  <c r="NS29" i="34"/>
  <c r="NS30" i="34"/>
  <c r="NS31" i="34"/>
  <c r="NS32" i="34"/>
  <c r="NS33" i="34"/>
  <c r="NS34" i="34"/>
  <c r="NS35" i="34"/>
  <c r="NS36" i="34"/>
  <c r="NS37" i="34"/>
  <c r="NS38" i="34"/>
  <c r="NS39" i="34"/>
  <c r="NS40" i="34"/>
  <c r="NS41" i="34"/>
  <c r="NS42" i="34"/>
  <c r="NS43" i="34"/>
  <c r="NS44" i="34"/>
  <c r="NS45" i="34"/>
  <c r="NS46" i="34"/>
  <c r="NS47" i="34"/>
  <c r="NT47" i="34"/>
  <c r="NS48" i="34"/>
  <c r="NS49" i="34"/>
  <c r="NR51" i="34"/>
  <c r="NQ51" i="34"/>
  <c r="NO51" i="34"/>
  <c r="NN51" i="34"/>
  <c r="NM51" i="34"/>
  <c r="NR50" i="34"/>
  <c r="NR10" i="34"/>
  <c r="NR11" i="34"/>
  <c r="NR12" i="34"/>
  <c r="NR13" i="34"/>
  <c r="NR14" i="34"/>
  <c r="NR15" i="34"/>
  <c r="NR16" i="34"/>
  <c r="NR17" i="34"/>
  <c r="NR18" i="34"/>
  <c r="NR19" i="34"/>
  <c r="NR20" i="34"/>
  <c r="NR21" i="34"/>
  <c r="NR22" i="34"/>
  <c r="NR23" i="34"/>
  <c r="NR24" i="34"/>
  <c r="NR25" i="34"/>
  <c r="NR26" i="34"/>
  <c r="NR27" i="34"/>
  <c r="NR28" i="34"/>
  <c r="NR29" i="34"/>
  <c r="NR30" i="34"/>
  <c r="NR31" i="34"/>
  <c r="NR32" i="34"/>
  <c r="NR33" i="34"/>
  <c r="NR34" i="34"/>
  <c r="NR35" i="34"/>
  <c r="NR36" i="34"/>
  <c r="NR37" i="34"/>
  <c r="NR38" i="34"/>
  <c r="NR39" i="34"/>
  <c r="NR40" i="34"/>
  <c r="NR41" i="34"/>
  <c r="NR42" i="34"/>
  <c r="NR43" i="34"/>
  <c r="NR44" i="34"/>
  <c r="NR45" i="34"/>
  <c r="NR46" i="34"/>
  <c r="NR47" i="34"/>
  <c r="NR48" i="34"/>
  <c r="NR49" i="34"/>
  <c r="NR9" i="34"/>
  <c r="NQ50" i="34"/>
  <c r="NO50" i="34"/>
  <c r="NN50" i="34"/>
  <c r="NN10" i="34"/>
  <c r="NN11" i="34"/>
  <c r="NN12" i="34"/>
  <c r="NN13" i="34"/>
  <c r="NN14" i="34"/>
  <c r="NN15" i="34"/>
  <c r="NN16" i="34"/>
  <c r="NN17" i="34"/>
  <c r="NN18" i="34"/>
  <c r="NN19" i="34"/>
  <c r="NN20" i="34"/>
  <c r="NN9" i="34"/>
  <c r="NN21" i="34"/>
  <c r="NN22" i="34"/>
  <c r="NN23" i="34"/>
  <c r="NN24" i="34"/>
  <c r="NN25" i="34"/>
  <c r="NN26" i="34"/>
  <c r="NN27" i="34"/>
  <c r="NN28" i="34"/>
  <c r="NT28" i="34"/>
  <c r="NU28" i="34"/>
  <c r="NN29" i="34"/>
  <c r="NN30" i="34"/>
  <c r="NN31" i="34"/>
  <c r="NN32" i="34"/>
  <c r="NN33" i="34"/>
  <c r="NN34" i="34"/>
  <c r="NN35" i="34"/>
  <c r="NN36" i="34"/>
  <c r="NN37" i="34"/>
  <c r="NN38" i="34"/>
  <c r="NN39" i="34"/>
  <c r="NN40" i="34"/>
  <c r="NN41" i="34"/>
  <c r="NN42" i="34"/>
  <c r="NN43" i="34"/>
  <c r="NN44" i="34"/>
  <c r="NN45" i="34"/>
  <c r="NN46" i="34"/>
  <c r="NN47" i="34"/>
  <c r="NN48" i="34"/>
  <c r="NN49" i="34"/>
  <c r="NM50" i="34"/>
  <c r="NQ49" i="34"/>
  <c r="NO49" i="34"/>
  <c r="NM49" i="34"/>
  <c r="NQ48" i="34"/>
  <c r="NO48" i="34"/>
  <c r="NM48" i="34"/>
  <c r="NQ47" i="34"/>
  <c r="NO47" i="34"/>
  <c r="NM47" i="34"/>
  <c r="KT47" i="34"/>
  <c r="NQ46" i="34"/>
  <c r="NO46" i="34"/>
  <c r="NM46" i="34"/>
  <c r="NQ45" i="34"/>
  <c r="NO45" i="34"/>
  <c r="NM45" i="34"/>
  <c r="KT45" i="34"/>
  <c r="NQ44" i="34"/>
  <c r="NO44" i="34"/>
  <c r="NM44" i="34"/>
  <c r="NQ43" i="34"/>
  <c r="NO43" i="34"/>
  <c r="NM43" i="34"/>
  <c r="NQ42" i="34"/>
  <c r="NO42" i="34"/>
  <c r="NM42" i="34"/>
  <c r="NT42" i="34"/>
  <c r="NU42" i="34"/>
  <c r="NQ41" i="34"/>
  <c r="NO41" i="34"/>
  <c r="NM41" i="34"/>
  <c r="NQ40" i="34"/>
  <c r="NO40" i="34"/>
  <c r="NM40" i="34"/>
  <c r="NQ39" i="34"/>
  <c r="NO39" i="34"/>
  <c r="NM39" i="34"/>
  <c r="KT39" i="34"/>
  <c r="NQ38" i="34"/>
  <c r="NO38" i="34"/>
  <c r="NM38" i="34"/>
  <c r="NT38" i="34"/>
  <c r="NQ37" i="34"/>
  <c r="NO37" i="34"/>
  <c r="NM37" i="34"/>
  <c r="NQ36" i="34"/>
  <c r="NO36" i="34"/>
  <c r="NM36" i="34"/>
  <c r="NQ35" i="34"/>
  <c r="NO35" i="34"/>
  <c r="NM35" i="34"/>
  <c r="KT35" i="34"/>
  <c r="NQ34" i="34"/>
  <c r="NT34" i="34"/>
  <c r="NU34" i="34"/>
  <c r="NO34" i="34"/>
  <c r="NM34" i="34"/>
  <c r="KT34" i="34"/>
  <c r="NQ33" i="34"/>
  <c r="NO33" i="34"/>
  <c r="NM33" i="34"/>
  <c r="NQ32" i="34"/>
  <c r="NO32" i="34"/>
  <c r="NM32" i="34"/>
  <c r="NQ31" i="34"/>
  <c r="NO31" i="34"/>
  <c r="NM31" i="34"/>
  <c r="NQ30" i="34"/>
  <c r="NO30" i="34"/>
  <c r="NM30" i="34"/>
  <c r="NQ29" i="34"/>
  <c r="NO29" i="34"/>
  <c r="NM29" i="34"/>
  <c r="NQ28" i="34"/>
  <c r="NO28" i="34"/>
  <c r="NM28" i="34"/>
  <c r="NQ27" i="34"/>
  <c r="NO27" i="34"/>
  <c r="NM27" i="34"/>
  <c r="NT27" i="34"/>
  <c r="NU27" i="34"/>
  <c r="NQ26" i="34"/>
  <c r="NO26" i="34"/>
  <c r="NM26" i="34"/>
  <c r="KT26" i="34"/>
  <c r="NQ25" i="34"/>
  <c r="NO25" i="34"/>
  <c r="NM25" i="34"/>
  <c r="NQ24" i="34"/>
  <c r="NO24" i="34"/>
  <c r="NM24" i="34"/>
  <c r="NQ23" i="34"/>
  <c r="NO23" i="34"/>
  <c r="NM23" i="34"/>
  <c r="NQ22" i="34"/>
  <c r="NO22" i="34"/>
  <c r="NM22" i="34"/>
  <c r="NM67" i="34"/>
  <c r="NQ21" i="34"/>
  <c r="NO21" i="34"/>
  <c r="NM21" i="34"/>
  <c r="KT21" i="34"/>
  <c r="NQ20" i="34"/>
  <c r="NM20" i="34"/>
  <c r="NO20" i="34"/>
  <c r="KT20" i="34"/>
  <c r="NQ19" i="34"/>
  <c r="NQ9" i="34"/>
  <c r="NQ10" i="34"/>
  <c r="NQ11" i="34"/>
  <c r="NQ12" i="34"/>
  <c r="NQ13" i="34"/>
  <c r="NQ14" i="34"/>
  <c r="NQ15" i="34"/>
  <c r="NT15" i="34"/>
  <c r="NU15" i="34"/>
  <c r="NQ16" i="34"/>
  <c r="NQ17" i="34"/>
  <c r="NQ18" i="34"/>
  <c r="NO19" i="34"/>
  <c r="NM19" i="34"/>
  <c r="NO18" i="34"/>
  <c r="NM18" i="34"/>
  <c r="NO17" i="34"/>
  <c r="NM17" i="34"/>
  <c r="NO16" i="34"/>
  <c r="NM16" i="34"/>
  <c r="NO15" i="34"/>
  <c r="NM15" i="34"/>
  <c r="NO14" i="34"/>
  <c r="NM14" i="34"/>
  <c r="NO13" i="34"/>
  <c r="NM13" i="34"/>
  <c r="NO12" i="34"/>
  <c r="NM12" i="34"/>
  <c r="NO11" i="34"/>
  <c r="NM11" i="34"/>
  <c r="NO10" i="34"/>
  <c r="NM10" i="34"/>
  <c r="NS10" i="33"/>
  <c r="NS13" i="33"/>
  <c r="NR10" i="33"/>
  <c r="NQ10" i="33"/>
  <c r="NP10" i="33"/>
  <c r="NO10" i="33"/>
  <c r="NN10" i="33"/>
  <c r="NN9" i="33"/>
  <c r="NM10" i="33"/>
  <c r="NS31" i="32"/>
  <c r="NR31" i="32"/>
  <c r="NQ31" i="32"/>
  <c r="NM31" i="32"/>
  <c r="NN31" i="32"/>
  <c r="NO31" i="32"/>
  <c r="NP31" i="32"/>
  <c r="KT31" i="32"/>
  <c r="NS30" i="32"/>
  <c r="NR30" i="32"/>
  <c r="NQ30" i="32"/>
  <c r="NP30" i="32"/>
  <c r="NO30" i="32"/>
  <c r="NN30" i="32"/>
  <c r="NM30" i="32"/>
  <c r="NS27" i="32"/>
  <c r="NR27" i="32"/>
  <c r="NQ27" i="32"/>
  <c r="NP27" i="32"/>
  <c r="NO27" i="32"/>
  <c r="NN27" i="32"/>
  <c r="NM27" i="32"/>
  <c r="KT27" i="32"/>
  <c r="NS26" i="32"/>
  <c r="NR26" i="32"/>
  <c r="NQ26" i="32"/>
  <c r="NP26" i="32"/>
  <c r="NO26" i="32"/>
  <c r="NN26" i="32"/>
  <c r="NM26" i="32"/>
  <c r="NS25" i="32"/>
  <c r="NR25" i="32"/>
  <c r="NQ25" i="32"/>
  <c r="NP25" i="32"/>
  <c r="NO25" i="32"/>
  <c r="NN25" i="32"/>
  <c r="NM25" i="32"/>
  <c r="NS24" i="32"/>
  <c r="NR24" i="32"/>
  <c r="NQ24" i="32"/>
  <c r="NP24" i="32"/>
  <c r="NO24" i="32"/>
  <c r="NN24" i="32"/>
  <c r="NM24" i="32"/>
  <c r="NS23" i="32"/>
  <c r="NR23" i="32"/>
  <c r="NQ23" i="32"/>
  <c r="NP23" i="32"/>
  <c r="NO23" i="32"/>
  <c r="NM23" i="32"/>
  <c r="NN23" i="32"/>
  <c r="KT23" i="32"/>
  <c r="NS22" i="32"/>
  <c r="NR22" i="32"/>
  <c r="NQ22" i="32"/>
  <c r="NP22" i="32"/>
  <c r="NO22" i="32"/>
  <c r="NN22" i="32"/>
  <c r="NM22" i="32"/>
  <c r="KT22" i="32"/>
  <c r="NS21" i="32"/>
  <c r="NR21" i="32"/>
  <c r="NQ21" i="32"/>
  <c r="NP21" i="32"/>
  <c r="NO21" i="32"/>
  <c r="NN21" i="32"/>
  <c r="NM21" i="32"/>
  <c r="KT21" i="32"/>
  <c r="NS20" i="32"/>
  <c r="NR20" i="32"/>
  <c r="NQ20" i="32"/>
  <c r="NP20" i="32"/>
  <c r="NO20" i="32"/>
  <c r="NO9" i="32"/>
  <c r="NO10" i="32"/>
  <c r="NO11" i="32"/>
  <c r="NO12" i="32"/>
  <c r="NO13" i="32"/>
  <c r="NO14" i="32"/>
  <c r="NO15" i="32"/>
  <c r="NO16" i="32"/>
  <c r="NO17" i="32"/>
  <c r="NO18" i="32"/>
  <c r="NO19" i="32"/>
  <c r="NN20" i="32"/>
  <c r="NM20" i="32"/>
  <c r="NS19" i="32"/>
  <c r="NR19" i="32"/>
  <c r="NQ19" i="32"/>
  <c r="NP19" i="32"/>
  <c r="NN19" i="32"/>
  <c r="NM19" i="32"/>
  <c r="NS18" i="32"/>
  <c r="NR18" i="32"/>
  <c r="NQ18" i="32"/>
  <c r="NP18" i="32"/>
  <c r="NN18" i="32"/>
  <c r="NM18" i="32"/>
  <c r="NS17" i="32"/>
  <c r="NR17" i="32"/>
  <c r="NQ17" i="32"/>
  <c r="NP17" i="32"/>
  <c r="NN17" i="32"/>
  <c r="NM17" i="32"/>
  <c r="NS16" i="32"/>
  <c r="NR16" i="32"/>
  <c r="NQ16" i="32"/>
  <c r="NP16" i="32"/>
  <c r="NN16" i="32"/>
  <c r="NM16" i="32"/>
  <c r="NS15" i="32"/>
  <c r="NR15" i="32"/>
  <c r="NQ15" i="32"/>
  <c r="NP15" i="32"/>
  <c r="NN15" i="32"/>
  <c r="NM15" i="32"/>
  <c r="NS14" i="32"/>
  <c r="NR14" i="32"/>
  <c r="NQ14" i="32"/>
  <c r="NP14" i="32"/>
  <c r="NN14" i="32"/>
  <c r="NT14" i="32"/>
  <c r="NM14" i="32"/>
  <c r="NS13" i="32"/>
  <c r="NR13" i="32"/>
  <c r="NQ13" i="32"/>
  <c r="NP13" i="32"/>
  <c r="NN13" i="32"/>
  <c r="NM13" i="32"/>
  <c r="NS12" i="32"/>
  <c r="NS10" i="32"/>
  <c r="NS11" i="32"/>
  <c r="NS9" i="32"/>
  <c r="NR12" i="32"/>
  <c r="NQ12" i="32"/>
  <c r="NP12" i="32"/>
  <c r="NN12" i="32"/>
  <c r="NM12" i="32"/>
  <c r="NT12" i="32"/>
  <c r="NU12" i="32"/>
  <c r="NR11" i="32"/>
  <c r="NQ11" i="32"/>
  <c r="NP11" i="32"/>
  <c r="NN11" i="32"/>
  <c r="NM11" i="32"/>
  <c r="NR10" i="32"/>
  <c r="NQ10" i="32"/>
  <c r="NP10" i="32"/>
  <c r="NT10" i="32"/>
  <c r="NN10" i="32"/>
  <c r="NM10" i="32"/>
  <c r="NS32" i="31"/>
  <c r="NR32" i="31"/>
  <c r="NQ32" i="31"/>
  <c r="NP32" i="31"/>
  <c r="NO32" i="31"/>
  <c r="NN32" i="31"/>
  <c r="NT32" i="31"/>
  <c r="NM32" i="31"/>
  <c r="NS31" i="31"/>
  <c r="NR31" i="31"/>
  <c r="NQ31" i="31"/>
  <c r="NP31" i="31"/>
  <c r="NM31" i="31"/>
  <c r="NN31" i="31"/>
  <c r="NO31" i="31"/>
  <c r="KT31" i="31"/>
  <c r="NM30" i="31"/>
  <c r="NN30" i="31"/>
  <c r="NO30" i="31"/>
  <c r="NP30" i="31"/>
  <c r="NQ30" i="31"/>
  <c r="NR30" i="31"/>
  <c r="NS30" i="31"/>
  <c r="KT30" i="31"/>
  <c r="NS29" i="31"/>
  <c r="NR29" i="31"/>
  <c r="NQ29" i="31"/>
  <c r="NP29" i="31"/>
  <c r="NO29" i="31"/>
  <c r="NN29" i="31"/>
  <c r="NM29" i="31"/>
  <c r="NS28" i="31"/>
  <c r="NR28" i="31"/>
  <c r="NQ28" i="31"/>
  <c r="NP28" i="31"/>
  <c r="NO28" i="31"/>
  <c r="NN28" i="31"/>
  <c r="NM28" i="31"/>
  <c r="NS27" i="31"/>
  <c r="NR27" i="31"/>
  <c r="NQ27" i="31"/>
  <c r="NP27" i="31"/>
  <c r="NO27" i="31"/>
  <c r="NN27" i="31"/>
  <c r="NM27" i="31"/>
  <c r="NS26" i="31"/>
  <c r="NR26" i="31"/>
  <c r="NQ26" i="31"/>
  <c r="NP26" i="31"/>
  <c r="NM26" i="31"/>
  <c r="NN26" i="31"/>
  <c r="NO26" i="31"/>
  <c r="NS25" i="31"/>
  <c r="NR25" i="31"/>
  <c r="NQ25" i="31"/>
  <c r="NP25" i="31"/>
  <c r="NO25" i="31"/>
  <c r="NN25" i="31"/>
  <c r="NM25" i="31"/>
  <c r="KT25" i="31"/>
  <c r="NS24" i="31"/>
  <c r="NR24" i="31"/>
  <c r="NQ24" i="31"/>
  <c r="NP24" i="31"/>
  <c r="NO24" i="31"/>
  <c r="NN24" i="31"/>
  <c r="NM24" i="31"/>
  <c r="NS23" i="31"/>
  <c r="NR23" i="31"/>
  <c r="NQ23" i="31"/>
  <c r="NP23" i="31"/>
  <c r="NM23" i="31"/>
  <c r="NN23" i="31"/>
  <c r="NO23" i="31"/>
  <c r="KT23" i="31"/>
  <c r="NS21" i="31"/>
  <c r="NR21" i="31"/>
  <c r="NQ21" i="31"/>
  <c r="NP21" i="31"/>
  <c r="NO21" i="31"/>
  <c r="NN21" i="31"/>
  <c r="NM21" i="31"/>
  <c r="KT21" i="31"/>
  <c r="NS20" i="31"/>
  <c r="NR20" i="31"/>
  <c r="NQ20" i="31"/>
  <c r="NP20" i="31"/>
  <c r="NO20" i="31"/>
  <c r="NN20" i="31"/>
  <c r="NM20" i="31"/>
  <c r="NS19" i="31"/>
  <c r="NR19" i="31"/>
  <c r="NQ19" i="31"/>
  <c r="NP19" i="31"/>
  <c r="NO19" i="31"/>
  <c r="NN19" i="31"/>
  <c r="NM19" i="31"/>
  <c r="KT19" i="31"/>
  <c r="NS18" i="31"/>
  <c r="NR18" i="31"/>
  <c r="NQ18" i="31"/>
  <c r="NP18" i="31"/>
  <c r="NO18" i="31"/>
  <c r="NN18" i="31"/>
  <c r="NM18" i="31"/>
  <c r="NS17" i="31"/>
  <c r="NR17" i="31"/>
  <c r="NQ17" i="31"/>
  <c r="NP17" i="31"/>
  <c r="NO17" i="31"/>
  <c r="NN17" i="31"/>
  <c r="NM17" i="31"/>
  <c r="NS16" i="31"/>
  <c r="NR16" i="31"/>
  <c r="NQ16" i="31"/>
  <c r="NP16" i="31"/>
  <c r="NO16" i="31"/>
  <c r="NN16" i="31"/>
  <c r="NM16" i="31"/>
  <c r="NS15" i="31"/>
  <c r="NR15" i="31"/>
  <c r="NQ15" i="31"/>
  <c r="NP15" i="31"/>
  <c r="NO15" i="31"/>
  <c r="NN15" i="31"/>
  <c r="NM15" i="31"/>
  <c r="NS14" i="31"/>
  <c r="NR14" i="31"/>
  <c r="NQ14" i="31"/>
  <c r="NP14" i="31"/>
  <c r="NO14" i="31"/>
  <c r="NN14" i="31"/>
  <c r="NM14" i="31"/>
  <c r="NS13" i="31"/>
  <c r="NR13" i="31"/>
  <c r="NQ13" i="31"/>
  <c r="NP13" i="31"/>
  <c r="NO13" i="31"/>
  <c r="NN13" i="31"/>
  <c r="NM13" i="31"/>
  <c r="NS12" i="31"/>
  <c r="NR12" i="31"/>
  <c r="NQ12" i="31"/>
  <c r="NP12" i="31"/>
  <c r="NO12" i="31"/>
  <c r="NN12" i="31"/>
  <c r="NM12" i="31"/>
  <c r="NS11" i="31"/>
  <c r="NR11" i="31"/>
  <c r="NQ11" i="31"/>
  <c r="NP11" i="31"/>
  <c r="NO11" i="31"/>
  <c r="NN11" i="31"/>
  <c r="NM11" i="31"/>
  <c r="KT11" i="31"/>
  <c r="NS10" i="31"/>
  <c r="NR10" i="31"/>
  <c r="NQ10" i="31"/>
  <c r="NP10" i="31"/>
  <c r="NO10" i="31"/>
  <c r="NN10" i="31"/>
  <c r="NM10" i="31"/>
  <c r="NS14" i="22"/>
  <c r="NR14" i="22"/>
  <c r="NQ14" i="22"/>
  <c r="NP14" i="22"/>
  <c r="NO14" i="22"/>
  <c r="NN14" i="22"/>
  <c r="NM14" i="22"/>
  <c r="NS13" i="22"/>
  <c r="NR13" i="22"/>
  <c r="NQ13" i="22"/>
  <c r="NP13" i="22"/>
  <c r="NO13" i="22"/>
  <c r="NN13" i="22"/>
  <c r="NT13" i="22"/>
  <c r="NU13" i="22"/>
  <c r="NM13" i="22"/>
  <c r="NS12" i="22"/>
  <c r="NR12" i="22"/>
  <c r="NQ12" i="22"/>
  <c r="NP12" i="22"/>
  <c r="NO12" i="22"/>
  <c r="NN12" i="22"/>
  <c r="NM12" i="22"/>
  <c r="NS11" i="22"/>
  <c r="NR11" i="22"/>
  <c r="NQ11" i="22"/>
  <c r="NP11" i="22"/>
  <c r="NO11" i="22"/>
  <c r="NN11" i="22"/>
  <c r="NM11" i="22"/>
  <c r="NS10" i="22"/>
  <c r="NR10" i="22"/>
  <c r="NQ10" i="22"/>
  <c r="NP10" i="22"/>
  <c r="NO10" i="22"/>
  <c r="NN10" i="22"/>
  <c r="NM10" i="22"/>
  <c r="NS42" i="21"/>
  <c r="NR42" i="21"/>
  <c r="NQ42" i="21"/>
  <c r="NP42" i="21"/>
  <c r="NO42" i="21"/>
  <c r="NN42" i="21"/>
  <c r="NM42" i="21"/>
  <c r="NS41" i="21"/>
  <c r="NR41" i="21"/>
  <c r="NQ41" i="21"/>
  <c r="NP41" i="21"/>
  <c r="NO41" i="21"/>
  <c r="NN41" i="21"/>
  <c r="NM41" i="21"/>
  <c r="NS40" i="21"/>
  <c r="NR40" i="21"/>
  <c r="NQ40" i="21"/>
  <c r="NP40" i="21"/>
  <c r="NT40" i="21"/>
  <c r="NU40" i="21"/>
  <c r="NO40" i="21"/>
  <c r="NN40" i="21"/>
  <c r="NM40" i="21"/>
  <c r="NS39" i="21"/>
  <c r="NR39" i="21"/>
  <c r="NQ39" i="21"/>
  <c r="NP39" i="21"/>
  <c r="NO39" i="21"/>
  <c r="NN39" i="21"/>
  <c r="NM39" i="21"/>
  <c r="NS38" i="21"/>
  <c r="NR38" i="21"/>
  <c r="NQ38" i="21"/>
  <c r="NP38" i="21"/>
  <c r="NO38" i="21"/>
  <c r="NN38" i="21"/>
  <c r="NM38" i="21"/>
  <c r="NS37" i="21"/>
  <c r="NR37" i="21"/>
  <c r="NQ37" i="21"/>
  <c r="NP37" i="21"/>
  <c r="NO37" i="21"/>
  <c r="NN37" i="21"/>
  <c r="NM37" i="21"/>
  <c r="NS36" i="21"/>
  <c r="NR36" i="21"/>
  <c r="NQ36" i="21"/>
  <c r="NP36" i="21"/>
  <c r="NO36" i="21"/>
  <c r="NN36" i="21"/>
  <c r="NM36" i="21"/>
  <c r="NS35" i="21"/>
  <c r="NR35" i="21"/>
  <c r="NQ35" i="21"/>
  <c r="NP35" i="21"/>
  <c r="NO35" i="21"/>
  <c r="NN35" i="21"/>
  <c r="NM35" i="21"/>
  <c r="NS34" i="21"/>
  <c r="NR34" i="21"/>
  <c r="NT34" i="21"/>
  <c r="NU34" i="21"/>
  <c r="NQ34" i="21"/>
  <c r="NP34" i="21"/>
  <c r="NM34" i="21"/>
  <c r="NN34" i="21"/>
  <c r="NO34" i="21"/>
  <c r="NS33" i="21"/>
  <c r="NR33" i="21"/>
  <c r="NQ33" i="21"/>
  <c r="NP33" i="21"/>
  <c r="NO33" i="21"/>
  <c r="NN33" i="21"/>
  <c r="NM33" i="21"/>
  <c r="NS32" i="21"/>
  <c r="NR32" i="21"/>
  <c r="NQ32" i="21"/>
  <c r="NP32" i="21"/>
  <c r="NO32" i="21"/>
  <c r="NN32" i="21"/>
  <c r="NM32" i="21"/>
  <c r="NS31" i="21"/>
  <c r="NR31" i="21"/>
  <c r="NQ31" i="21"/>
  <c r="NP31" i="21"/>
  <c r="NO31" i="21"/>
  <c r="NN31" i="21"/>
  <c r="NM31" i="21"/>
  <c r="NS30" i="21"/>
  <c r="NR30" i="21"/>
  <c r="NQ30" i="21"/>
  <c r="NP30" i="21"/>
  <c r="NO30" i="21"/>
  <c r="NN30" i="21"/>
  <c r="NM30" i="21"/>
  <c r="NS29" i="21"/>
  <c r="NR29" i="21"/>
  <c r="NQ29" i="21"/>
  <c r="NP29" i="21"/>
  <c r="NO29" i="21"/>
  <c r="NN29" i="21"/>
  <c r="NM29" i="21"/>
  <c r="NS28" i="21"/>
  <c r="NR28" i="21"/>
  <c r="NQ28" i="21"/>
  <c r="NP28" i="21"/>
  <c r="NO28" i="21"/>
  <c r="NN28" i="21"/>
  <c r="NM28" i="21"/>
  <c r="NS27" i="21"/>
  <c r="NR27" i="21"/>
  <c r="NQ27" i="21"/>
  <c r="NP27" i="21"/>
  <c r="NO27" i="21"/>
  <c r="NN27" i="21"/>
  <c r="NM27" i="21"/>
  <c r="NS26" i="21"/>
  <c r="NR26" i="21"/>
  <c r="NT26" i="21"/>
  <c r="NU26" i="21"/>
  <c r="NQ26" i="21"/>
  <c r="NP26" i="21"/>
  <c r="NO26" i="21"/>
  <c r="NN26" i="21"/>
  <c r="NM26" i="21"/>
  <c r="NS25" i="21"/>
  <c r="NR25" i="21"/>
  <c r="NQ25" i="21"/>
  <c r="NP25" i="21"/>
  <c r="NO25" i="21"/>
  <c r="NN25" i="21"/>
  <c r="NM25" i="21"/>
  <c r="NS24" i="21"/>
  <c r="NR24" i="21"/>
  <c r="NQ24" i="21"/>
  <c r="NP24" i="21"/>
  <c r="NO24" i="21"/>
  <c r="NN24" i="21"/>
  <c r="NM24" i="21"/>
  <c r="NS23" i="21"/>
  <c r="NR23" i="21"/>
  <c r="NQ23" i="21"/>
  <c r="NP23" i="21"/>
  <c r="NO23" i="21"/>
  <c r="NN23" i="21"/>
  <c r="NM23" i="21"/>
  <c r="KT23" i="21"/>
  <c r="NS22" i="21"/>
  <c r="NR22" i="21"/>
  <c r="NQ22" i="21"/>
  <c r="NP22" i="21"/>
  <c r="NO22" i="21"/>
  <c r="NT22" i="21"/>
  <c r="NU22" i="21"/>
  <c r="NN22" i="21"/>
  <c r="NM22" i="21"/>
  <c r="NS21" i="21"/>
  <c r="NR21" i="21"/>
  <c r="NQ21" i="21"/>
  <c r="NP21" i="21"/>
  <c r="NO21" i="21"/>
  <c r="NN21" i="21"/>
  <c r="NM21" i="21"/>
  <c r="NS20" i="21"/>
  <c r="NR20" i="21"/>
  <c r="NQ20" i="21"/>
  <c r="NP20" i="21"/>
  <c r="NO20" i="21"/>
  <c r="NN20" i="21"/>
  <c r="NM20" i="21"/>
  <c r="NS19" i="21"/>
  <c r="NR19" i="21"/>
  <c r="NQ19" i="21"/>
  <c r="NP19" i="21"/>
  <c r="NO19" i="21"/>
  <c r="NN19" i="21"/>
  <c r="NM19" i="21"/>
  <c r="NS18" i="21"/>
  <c r="NR18" i="21"/>
  <c r="NQ18" i="21"/>
  <c r="NP18" i="21"/>
  <c r="NO18" i="21"/>
  <c r="NN18" i="21"/>
  <c r="NM18" i="21"/>
  <c r="NS17" i="21"/>
  <c r="NR17" i="21"/>
  <c r="NR57" i="21"/>
  <c r="NQ17" i="21"/>
  <c r="NP17" i="21"/>
  <c r="NO17" i="21"/>
  <c r="NN17" i="21"/>
  <c r="NM17" i="21"/>
  <c r="NS16" i="21"/>
  <c r="NR16" i="21"/>
  <c r="NQ16" i="21"/>
  <c r="NP16" i="21"/>
  <c r="NO16" i="21"/>
  <c r="NN16" i="21"/>
  <c r="NM16" i="21"/>
  <c r="NS15" i="21"/>
  <c r="NR15" i="21"/>
  <c r="NQ15" i="21"/>
  <c r="NP15" i="21"/>
  <c r="NO15" i="21"/>
  <c r="NN15" i="21"/>
  <c r="NM15" i="21"/>
  <c r="NS14" i="21"/>
  <c r="NR14" i="21"/>
  <c r="NQ14" i="21"/>
  <c r="NP14" i="21"/>
  <c r="NO14" i="21"/>
  <c r="NN14" i="21"/>
  <c r="NM14" i="21"/>
  <c r="NS13" i="21"/>
  <c r="NR13" i="21"/>
  <c r="NQ13" i="21"/>
  <c r="NP13" i="21"/>
  <c r="NO13" i="21"/>
  <c r="NN13" i="21"/>
  <c r="NM13" i="21"/>
  <c r="NS12" i="21"/>
  <c r="NR12" i="21"/>
  <c r="NQ12" i="21"/>
  <c r="NP12" i="21"/>
  <c r="NO12" i="21"/>
  <c r="NN12" i="21"/>
  <c r="NM12" i="21"/>
  <c r="NT12" i="21"/>
  <c r="NS11" i="21"/>
  <c r="NR11" i="21"/>
  <c r="NQ11" i="21"/>
  <c r="NP11" i="21"/>
  <c r="NO11" i="21"/>
  <c r="NN11" i="21"/>
  <c r="NM11" i="21"/>
  <c r="NS10" i="21"/>
  <c r="NT10" i="21"/>
  <c r="NU10" i="21"/>
  <c r="NR10" i="21"/>
  <c r="NQ10" i="21"/>
  <c r="NP10" i="21"/>
  <c r="NO10" i="21"/>
  <c r="NN10" i="21"/>
  <c r="NM10" i="21"/>
  <c r="NS107" i="19"/>
  <c r="NR107" i="19"/>
  <c r="NQ107" i="19"/>
  <c r="NP107" i="19"/>
  <c r="NO107" i="19"/>
  <c r="NM107" i="19"/>
  <c r="NN107" i="19"/>
  <c r="NS106" i="19"/>
  <c r="NR106" i="19"/>
  <c r="NQ106" i="19"/>
  <c r="NP106" i="19"/>
  <c r="NO106" i="19"/>
  <c r="NN106" i="19"/>
  <c r="NM106" i="19"/>
  <c r="NS105" i="19"/>
  <c r="NR105" i="19"/>
  <c r="NQ105" i="19"/>
  <c r="NP105" i="19"/>
  <c r="NO105" i="19"/>
  <c r="NN105" i="19"/>
  <c r="NM105" i="19"/>
  <c r="NS104" i="19"/>
  <c r="NR104" i="19"/>
  <c r="NQ104" i="19"/>
  <c r="NP104" i="19"/>
  <c r="NO104" i="19"/>
  <c r="NN104" i="19"/>
  <c r="NM104" i="19"/>
  <c r="NS103" i="19"/>
  <c r="NR103" i="19"/>
  <c r="NQ103" i="19"/>
  <c r="NP103" i="19"/>
  <c r="NO103" i="19"/>
  <c r="NM103" i="19"/>
  <c r="NN103" i="19"/>
  <c r="KT103" i="19"/>
  <c r="NS102" i="19"/>
  <c r="NR102" i="19"/>
  <c r="NQ102" i="19"/>
  <c r="NP102" i="19"/>
  <c r="NO102" i="19"/>
  <c r="NN102" i="19"/>
  <c r="NM102" i="19"/>
  <c r="NS101" i="19"/>
  <c r="NR101" i="19"/>
  <c r="NQ101" i="19"/>
  <c r="NP101" i="19"/>
  <c r="NO101" i="19"/>
  <c r="NN101" i="19"/>
  <c r="NM101" i="19"/>
  <c r="NS100" i="19"/>
  <c r="NR100" i="19"/>
  <c r="NQ100" i="19"/>
  <c r="NP100" i="19"/>
  <c r="NO100" i="19"/>
  <c r="NN100" i="19"/>
  <c r="NM100" i="19"/>
  <c r="NS99" i="19"/>
  <c r="NR99" i="19"/>
  <c r="NQ99" i="19"/>
  <c r="NP99" i="19"/>
  <c r="NO99" i="19"/>
  <c r="NM99" i="19"/>
  <c r="NN99" i="19"/>
  <c r="NS98" i="19"/>
  <c r="NR98" i="19"/>
  <c r="NQ98" i="19"/>
  <c r="NP98" i="19"/>
  <c r="NO98" i="19"/>
  <c r="NN98" i="19"/>
  <c r="NM98" i="19"/>
  <c r="NS97" i="19"/>
  <c r="NR97" i="19"/>
  <c r="NQ97" i="19"/>
  <c r="NP97" i="19"/>
  <c r="NO97" i="19"/>
  <c r="NN97" i="19"/>
  <c r="NM97" i="19"/>
  <c r="NS96" i="19"/>
  <c r="NR96" i="19"/>
  <c r="NQ96" i="19"/>
  <c r="NP96" i="19"/>
  <c r="NO96" i="19"/>
  <c r="NM96" i="19"/>
  <c r="NN96" i="19"/>
  <c r="NS95" i="19"/>
  <c r="NR95" i="19"/>
  <c r="NQ95" i="19"/>
  <c r="NP95" i="19"/>
  <c r="NO95" i="19"/>
  <c r="NN95" i="19"/>
  <c r="NM95" i="19"/>
  <c r="NS94" i="19"/>
  <c r="NR94" i="19"/>
  <c r="NQ94" i="19"/>
  <c r="NP94" i="19"/>
  <c r="NO94" i="19"/>
  <c r="NM94" i="19"/>
  <c r="NN94" i="19"/>
  <c r="NS93" i="19"/>
  <c r="NR93" i="19"/>
  <c r="NQ93" i="19"/>
  <c r="NP93" i="19"/>
  <c r="NO93" i="19"/>
  <c r="NN93" i="19"/>
  <c r="NM93" i="19"/>
  <c r="KT93" i="19"/>
  <c r="NS92" i="19"/>
  <c r="NR92" i="19"/>
  <c r="NQ92" i="19"/>
  <c r="NP92" i="19"/>
  <c r="NO92" i="19"/>
  <c r="NN92" i="19"/>
  <c r="NM92" i="19"/>
  <c r="NS91" i="19"/>
  <c r="NR91" i="19"/>
  <c r="NQ91" i="19"/>
  <c r="NP91" i="19"/>
  <c r="NO91" i="19"/>
  <c r="NN91" i="19"/>
  <c r="NM91" i="19"/>
  <c r="NS90" i="19"/>
  <c r="NR90" i="19"/>
  <c r="NQ90" i="19"/>
  <c r="NP90" i="19"/>
  <c r="NO90" i="19"/>
  <c r="NM90" i="19"/>
  <c r="NN90" i="19"/>
  <c r="NS89" i="19"/>
  <c r="NR89" i="19"/>
  <c r="NQ89" i="19"/>
  <c r="NP89" i="19"/>
  <c r="NM89" i="19"/>
  <c r="NN89" i="19"/>
  <c r="NO89" i="19"/>
  <c r="NS88" i="19"/>
  <c r="NR88" i="19"/>
  <c r="NQ88" i="19"/>
  <c r="NP88" i="19"/>
  <c r="NO88" i="19"/>
  <c r="NN88" i="19"/>
  <c r="NM88" i="19"/>
  <c r="NS87" i="19"/>
  <c r="NR87" i="19"/>
  <c r="NQ87" i="19"/>
  <c r="NP87" i="19"/>
  <c r="NO87" i="19"/>
  <c r="NN87" i="19"/>
  <c r="NM87" i="19"/>
  <c r="NS86" i="19"/>
  <c r="NR86" i="19"/>
  <c r="NQ86" i="19"/>
  <c r="NP86" i="19"/>
  <c r="NO86" i="19"/>
  <c r="NN86" i="19"/>
  <c r="NM86" i="19"/>
  <c r="NS85" i="19"/>
  <c r="NR85" i="19"/>
  <c r="NQ85" i="19"/>
  <c r="NP85" i="19"/>
  <c r="NO85" i="19"/>
  <c r="NN85" i="19"/>
  <c r="NM85" i="19"/>
  <c r="NS84" i="19"/>
  <c r="NR84" i="19"/>
  <c r="NQ84" i="19"/>
  <c r="NP84" i="19"/>
  <c r="NO84" i="19"/>
  <c r="NN84" i="19"/>
  <c r="NM84" i="19"/>
  <c r="NS83" i="19"/>
  <c r="NR83" i="19"/>
  <c r="NQ83" i="19"/>
  <c r="NP83" i="19"/>
  <c r="NO83" i="19"/>
  <c r="NM83" i="19"/>
  <c r="NN83" i="19"/>
  <c r="KT83" i="19"/>
  <c r="NS82" i="19"/>
  <c r="NR82" i="19"/>
  <c r="NQ82" i="19"/>
  <c r="NP82" i="19"/>
  <c r="NO82" i="19"/>
  <c r="NN82" i="19"/>
  <c r="NM82" i="19"/>
  <c r="NS81" i="19"/>
  <c r="NR81" i="19"/>
  <c r="NQ81" i="19"/>
  <c r="NP81" i="19"/>
  <c r="NO81" i="19"/>
  <c r="NN81" i="19"/>
  <c r="NM81" i="19"/>
  <c r="NS80" i="19"/>
  <c r="NR80" i="19"/>
  <c r="NQ80" i="19"/>
  <c r="NP80" i="19"/>
  <c r="NO80" i="19"/>
  <c r="NM80" i="19"/>
  <c r="NN80" i="19"/>
  <c r="NS79" i="19"/>
  <c r="NR79" i="19"/>
  <c r="NQ79" i="19"/>
  <c r="NP79" i="19"/>
  <c r="NO79" i="19"/>
  <c r="NN79" i="19"/>
  <c r="NM79" i="19"/>
  <c r="NS78" i="19"/>
  <c r="NR78" i="19"/>
  <c r="NQ78" i="19"/>
  <c r="NP78" i="19"/>
  <c r="NO78" i="19"/>
  <c r="NM78" i="19"/>
  <c r="NN78" i="19"/>
  <c r="NS77" i="19"/>
  <c r="NR77" i="19"/>
  <c r="NQ77" i="19"/>
  <c r="NP77" i="19"/>
  <c r="NM77" i="19"/>
  <c r="NN77" i="19"/>
  <c r="NO77" i="19"/>
  <c r="NS76" i="19"/>
  <c r="NR76" i="19"/>
  <c r="NQ76" i="19"/>
  <c r="NP76" i="19"/>
  <c r="NO76" i="19"/>
  <c r="NN76" i="19"/>
  <c r="NM76" i="19"/>
  <c r="NS75" i="19"/>
  <c r="NR75" i="19"/>
  <c r="NQ75" i="19"/>
  <c r="NP75" i="19"/>
  <c r="NO75" i="19"/>
  <c r="NN75" i="19"/>
  <c r="NM75" i="19"/>
  <c r="NS74" i="19"/>
  <c r="NR74" i="19"/>
  <c r="NQ74" i="19"/>
  <c r="NP74" i="19"/>
  <c r="NO74" i="19"/>
  <c r="NM74" i="19"/>
  <c r="NN74" i="19"/>
  <c r="NS73" i="19"/>
  <c r="NR73" i="19"/>
  <c r="NQ73" i="19"/>
  <c r="NP73" i="19"/>
  <c r="NO73" i="19"/>
  <c r="NN73" i="19"/>
  <c r="NM73" i="19"/>
  <c r="KT73" i="19"/>
  <c r="NS72" i="19"/>
  <c r="NR72" i="19"/>
  <c r="NQ72" i="19"/>
  <c r="NP72" i="19"/>
  <c r="NO72" i="19"/>
  <c r="NN72" i="19"/>
  <c r="NM72" i="19"/>
  <c r="NS71" i="19"/>
  <c r="NR71" i="19"/>
  <c r="NQ71" i="19"/>
  <c r="NP71" i="19"/>
  <c r="NO71" i="19"/>
  <c r="NN71" i="19"/>
  <c r="NM71" i="19"/>
  <c r="NS70" i="19"/>
  <c r="NR70" i="19"/>
  <c r="NQ70" i="19"/>
  <c r="NP70" i="19"/>
  <c r="NO70" i="19"/>
  <c r="NN70" i="19"/>
  <c r="NM70" i="19"/>
  <c r="NS69" i="19"/>
  <c r="NR69" i="19"/>
  <c r="NQ69" i="19"/>
  <c r="NP69" i="19"/>
  <c r="NO69" i="19"/>
  <c r="NN69" i="19"/>
  <c r="NM69" i="19"/>
  <c r="NS68" i="19"/>
  <c r="NR68" i="19"/>
  <c r="NQ68" i="19"/>
  <c r="NP68" i="19"/>
  <c r="NO68" i="19"/>
  <c r="NN68" i="19"/>
  <c r="NM68" i="19"/>
  <c r="NS67" i="19"/>
  <c r="NR67" i="19"/>
  <c r="NQ67" i="19"/>
  <c r="NP67" i="19"/>
  <c r="NO67" i="19"/>
  <c r="NM67" i="19"/>
  <c r="NN67" i="19"/>
  <c r="NS66" i="19"/>
  <c r="NR66" i="19"/>
  <c r="NQ66" i="19"/>
  <c r="NP66" i="19"/>
  <c r="NO66" i="19"/>
  <c r="NN66" i="19"/>
  <c r="NM66" i="19"/>
  <c r="NS65" i="19"/>
  <c r="NR65" i="19"/>
  <c r="NQ65" i="19"/>
  <c r="NP65" i="19"/>
  <c r="NO65" i="19"/>
  <c r="NN65" i="19"/>
  <c r="NM65" i="19"/>
  <c r="NS64" i="19"/>
  <c r="NR64" i="19"/>
  <c r="NQ64" i="19"/>
  <c r="NP64" i="19"/>
  <c r="NO64" i="19"/>
  <c r="NM64" i="19"/>
  <c r="NN64" i="19"/>
  <c r="NS63" i="19"/>
  <c r="NR63" i="19"/>
  <c r="NQ63" i="19"/>
  <c r="NP63" i="19"/>
  <c r="NO63" i="19"/>
  <c r="NN63" i="19"/>
  <c r="NM63" i="19"/>
  <c r="NS62" i="19"/>
  <c r="NR62" i="19"/>
  <c r="NQ62" i="19"/>
  <c r="NP62" i="19"/>
  <c r="NO62" i="19"/>
  <c r="NM62" i="19"/>
  <c r="NN62" i="19"/>
  <c r="NS61" i="19"/>
  <c r="NR61" i="19"/>
  <c r="NQ61" i="19"/>
  <c r="NP61" i="19"/>
  <c r="NO61" i="19"/>
  <c r="NN61" i="19"/>
  <c r="NM61" i="19"/>
  <c r="KT61" i="19"/>
  <c r="NS60" i="19"/>
  <c r="NR60" i="19"/>
  <c r="NQ60" i="19"/>
  <c r="NP60" i="19"/>
  <c r="NO60" i="19"/>
  <c r="NN60" i="19"/>
  <c r="NM60" i="19"/>
  <c r="NS59" i="19"/>
  <c r="NR59" i="19"/>
  <c r="NQ59" i="19"/>
  <c r="NP59" i="19"/>
  <c r="NO59" i="19"/>
  <c r="NN59" i="19"/>
  <c r="NM59" i="19"/>
  <c r="NS58" i="19"/>
  <c r="NR58" i="19"/>
  <c r="NQ58" i="19"/>
  <c r="NP58" i="19"/>
  <c r="NO58" i="19"/>
  <c r="NM58" i="19"/>
  <c r="NN58" i="19"/>
  <c r="NS57" i="19"/>
  <c r="NR57" i="19"/>
  <c r="NQ57" i="19"/>
  <c r="NP57" i="19"/>
  <c r="NM57" i="19"/>
  <c r="NN57" i="19"/>
  <c r="NO57" i="19"/>
  <c r="NS56" i="19"/>
  <c r="NR56" i="19"/>
  <c r="NQ56" i="19"/>
  <c r="NP56" i="19"/>
  <c r="NO56" i="19"/>
  <c r="NN56" i="19"/>
  <c r="NM56" i="19"/>
  <c r="NS55" i="19"/>
  <c r="NR55" i="19"/>
  <c r="NQ55" i="19"/>
  <c r="NP55" i="19"/>
  <c r="NO55" i="19"/>
  <c r="NN55" i="19"/>
  <c r="NM55" i="19"/>
  <c r="NS54" i="19"/>
  <c r="NR54" i="19"/>
  <c r="NQ54" i="19"/>
  <c r="NP54" i="19"/>
  <c r="NO54" i="19"/>
  <c r="NM54" i="19"/>
  <c r="NN54" i="19"/>
  <c r="NS53" i="19"/>
  <c r="NR53" i="19"/>
  <c r="NQ53" i="19"/>
  <c r="NP53" i="19"/>
  <c r="NM53" i="19"/>
  <c r="NN53" i="19"/>
  <c r="NO53" i="19"/>
  <c r="NS52" i="19"/>
  <c r="NR52" i="19"/>
  <c r="NQ52" i="19"/>
  <c r="NP52" i="19"/>
  <c r="NO52" i="19"/>
  <c r="NN52" i="19"/>
  <c r="NM52" i="19"/>
  <c r="NS51" i="19"/>
  <c r="NR51" i="19"/>
  <c r="NQ51" i="19"/>
  <c r="NP51" i="19"/>
  <c r="NO51" i="19"/>
  <c r="NN51" i="19"/>
  <c r="NM51" i="19"/>
  <c r="NS50" i="19"/>
  <c r="NR50" i="19"/>
  <c r="NQ50" i="19"/>
  <c r="NP50" i="19"/>
  <c r="NO50" i="19"/>
  <c r="NM50" i="19"/>
  <c r="NN50" i="19"/>
  <c r="NS49" i="19"/>
  <c r="NR49" i="19"/>
  <c r="NQ49" i="19"/>
  <c r="NP49" i="19"/>
  <c r="NM49" i="19"/>
  <c r="NN49" i="19"/>
  <c r="NO49" i="19"/>
  <c r="NS48" i="19"/>
  <c r="NR48" i="19"/>
  <c r="NQ48" i="19"/>
  <c r="NP48" i="19"/>
  <c r="NO48" i="19"/>
  <c r="NN48" i="19"/>
  <c r="NM48" i="19"/>
  <c r="NS47" i="19"/>
  <c r="NR47" i="19"/>
  <c r="NQ47" i="19"/>
  <c r="NP47" i="19"/>
  <c r="NO47" i="19"/>
  <c r="NN47" i="19"/>
  <c r="NM47" i="19"/>
  <c r="NS46" i="19"/>
  <c r="NR46" i="19"/>
  <c r="NQ46" i="19"/>
  <c r="NP46" i="19"/>
  <c r="NO46" i="19"/>
  <c r="NM46" i="19"/>
  <c r="NN46" i="19"/>
  <c r="NS45" i="19"/>
  <c r="NR45" i="19"/>
  <c r="NQ45" i="19"/>
  <c r="NP45" i="19"/>
  <c r="NO45" i="19"/>
  <c r="NN45" i="19"/>
  <c r="NM45" i="19"/>
  <c r="KT45" i="19"/>
  <c r="NS44" i="19"/>
  <c r="NR44" i="19"/>
  <c r="NQ44" i="19"/>
  <c r="NP44" i="19"/>
  <c r="NO44" i="19"/>
  <c r="NN44" i="19"/>
  <c r="NM44" i="19"/>
  <c r="NS43" i="19"/>
  <c r="NR43" i="19"/>
  <c r="NQ43" i="19"/>
  <c r="NP43" i="19"/>
  <c r="NO43" i="19"/>
  <c r="NN43" i="19"/>
  <c r="NM43" i="19"/>
  <c r="NS41" i="19"/>
  <c r="NR41" i="19"/>
  <c r="NQ41" i="19"/>
  <c r="NP41" i="19"/>
  <c r="NO41" i="19"/>
  <c r="NN41" i="19"/>
  <c r="NM41" i="19"/>
  <c r="KT41" i="19"/>
  <c r="NS40" i="19"/>
  <c r="NR40" i="19"/>
  <c r="NQ40" i="19"/>
  <c r="NP40" i="19"/>
  <c r="NO40" i="19"/>
  <c r="NN40" i="19"/>
  <c r="NM40" i="19"/>
  <c r="KT40" i="19"/>
  <c r="NS39" i="19"/>
  <c r="NR39" i="19"/>
  <c r="NQ39" i="19"/>
  <c r="NP39" i="19"/>
  <c r="NO39" i="19"/>
  <c r="NN39" i="19"/>
  <c r="NM39" i="19"/>
  <c r="NS38" i="19"/>
  <c r="NR38" i="19"/>
  <c r="NQ38" i="19"/>
  <c r="NP38" i="19"/>
  <c r="NO38" i="19"/>
  <c r="NN38" i="19"/>
  <c r="NM38" i="19"/>
  <c r="NS37" i="19"/>
  <c r="NR37" i="19"/>
  <c r="NQ37" i="19"/>
  <c r="NP37" i="19"/>
  <c r="NO37" i="19"/>
  <c r="NN37" i="19"/>
  <c r="NM37" i="19"/>
  <c r="NS36" i="19"/>
  <c r="NR36" i="19"/>
  <c r="NQ36" i="19"/>
  <c r="NP36" i="19"/>
  <c r="NO36" i="19"/>
  <c r="NN36" i="19"/>
  <c r="NM36" i="19"/>
  <c r="NS35" i="19"/>
  <c r="NR35" i="19"/>
  <c r="NQ35" i="19"/>
  <c r="NP35" i="19"/>
  <c r="NO35" i="19"/>
  <c r="NN35" i="19"/>
  <c r="NM35" i="19"/>
  <c r="NS34" i="19"/>
  <c r="NR34" i="19"/>
  <c r="NQ34" i="19"/>
  <c r="NP34" i="19"/>
  <c r="NO34" i="19"/>
  <c r="NN34" i="19"/>
  <c r="NM34" i="19"/>
  <c r="NS33" i="19"/>
  <c r="NR33" i="19"/>
  <c r="NQ33" i="19"/>
  <c r="NP33" i="19"/>
  <c r="NO33" i="19"/>
  <c r="NN33" i="19"/>
  <c r="NM33" i="19"/>
  <c r="NS32" i="19"/>
  <c r="NR32" i="19"/>
  <c r="NQ32" i="19"/>
  <c r="NP32" i="19"/>
  <c r="NO32" i="19"/>
  <c r="NN32" i="19"/>
  <c r="NM32" i="19"/>
  <c r="NS31" i="19"/>
  <c r="NR31" i="19"/>
  <c r="NQ31" i="19"/>
  <c r="NP31" i="19"/>
  <c r="NO31" i="19"/>
  <c r="NN31" i="19"/>
  <c r="NM31" i="19"/>
  <c r="KT31" i="19"/>
  <c r="NS30" i="19"/>
  <c r="NR30" i="19"/>
  <c r="NQ30" i="19"/>
  <c r="NP30" i="19"/>
  <c r="NO30" i="19"/>
  <c r="NN30" i="19"/>
  <c r="NM30" i="19"/>
  <c r="KT30" i="19"/>
  <c r="NS29" i="19"/>
  <c r="NR29" i="19"/>
  <c r="NQ29" i="19"/>
  <c r="NP29" i="19"/>
  <c r="NO29" i="19"/>
  <c r="NN29" i="19"/>
  <c r="NM29" i="19"/>
  <c r="KT29" i="19"/>
  <c r="NS28" i="19"/>
  <c r="NR28" i="19"/>
  <c r="NQ28" i="19"/>
  <c r="NP28" i="19"/>
  <c r="NO28" i="19"/>
  <c r="NN28" i="19"/>
  <c r="NM28" i="19"/>
  <c r="KT28" i="19"/>
  <c r="NS27" i="19"/>
  <c r="NR27" i="19"/>
  <c r="NQ27" i="19"/>
  <c r="NP27" i="19"/>
  <c r="NO27" i="19"/>
  <c r="NN27" i="19"/>
  <c r="NM27" i="19"/>
  <c r="KT27" i="19"/>
  <c r="NS26" i="19"/>
  <c r="NR26" i="19"/>
  <c r="NQ26" i="19"/>
  <c r="NP26" i="19"/>
  <c r="NO26" i="19"/>
  <c r="NN26" i="19"/>
  <c r="NM26" i="19"/>
  <c r="KT26" i="19"/>
  <c r="NS25" i="19"/>
  <c r="NR25" i="19"/>
  <c r="NQ25" i="19"/>
  <c r="NP25" i="19"/>
  <c r="NO25" i="19"/>
  <c r="NN25" i="19"/>
  <c r="NM25" i="19"/>
  <c r="KT25" i="19"/>
  <c r="NS24" i="19"/>
  <c r="NR24" i="19"/>
  <c r="NQ24" i="19"/>
  <c r="NP24" i="19"/>
  <c r="NO24" i="19"/>
  <c r="NN24" i="19"/>
  <c r="NM24" i="19"/>
  <c r="KT24" i="19"/>
  <c r="NS23" i="19"/>
  <c r="NR23" i="19"/>
  <c r="NQ23" i="19"/>
  <c r="NP23" i="19"/>
  <c r="NO23" i="19"/>
  <c r="NN23" i="19"/>
  <c r="NM23" i="19"/>
  <c r="KT23" i="19"/>
  <c r="NS22" i="19"/>
  <c r="NR22" i="19"/>
  <c r="NQ22" i="19"/>
  <c r="NP22" i="19"/>
  <c r="NO22" i="19"/>
  <c r="NN22" i="19"/>
  <c r="NM22" i="19"/>
  <c r="KT22" i="19"/>
  <c r="NS21" i="19"/>
  <c r="NR21" i="19"/>
  <c r="NQ21" i="19"/>
  <c r="NP21" i="19"/>
  <c r="NO21" i="19"/>
  <c r="NN21" i="19"/>
  <c r="NM21" i="19"/>
  <c r="KT21" i="19"/>
  <c r="NS20" i="19"/>
  <c r="NR20" i="19"/>
  <c r="NQ20" i="19"/>
  <c r="NP20" i="19"/>
  <c r="NO20" i="19"/>
  <c r="NN20" i="19"/>
  <c r="NM20" i="19"/>
  <c r="KT20" i="19"/>
  <c r="NS19" i="19"/>
  <c r="NR19" i="19"/>
  <c r="NQ19" i="19"/>
  <c r="NP19" i="19"/>
  <c r="NO19" i="19"/>
  <c r="NN19" i="19"/>
  <c r="NM19" i="19"/>
  <c r="KT19" i="19"/>
  <c r="NS18" i="19"/>
  <c r="NR18" i="19"/>
  <c r="NQ18" i="19"/>
  <c r="NP18" i="19"/>
  <c r="NO18" i="19"/>
  <c r="NN18" i="19"/>
  <c r="NM18" i="19"/>
  <c r="KT18" i="19"/>
  <c r="NS17" i="19"/>
  <c r="NR17" i="19"/>
  <c r="NQ17" i="19"/>
  <c r="NP17" i="19"/>
  <c r="NO17" i="19"/>
  <c r="NN17" i="19"/>
  <c r="NM17" i="19"/>
  <c r="KT17" i="19"/>
  <c r="NS16" i="19"/>
  <c r="NR16" i="19"/>
  <c r="NQ16" i="19"/>
  <c r="NP16" i="19"/>
  <c r="NO16" i="19"/>
  <c r="NN16" i="19"/>
  <c r="NM16" i="19"/>
  <c r="KT16" i="19"/>
  <c r="NS15" i="19"/>
  <c r="NR15" i="19"/>
  <c r="NQ15" i="19"/>
  <c r="NP15" i="19"/>
  <c r="NO15" i="19"/>
  <c r="NN15" i="19"/>
  <c r="NM15" i="19"/>
  <c r="KT15" i="19"/>
  <c r="NS14" i="19"/>
  <c r="NR14" i="19"/>
  <c r="NQ14" i="19"/>
  <c r="NP14" i="19"/>
  <c r="NO14" i="19"/>
  <c r="NN14" i="19"/>
  <c r="NM14" i="19"/>
  <c r="KT14" i="19"/>
  <c r="NS13" i="19"/>
  <c r="NR13" i="19"/>
  <c r="NQ13" i="19"/>
  <c r="NP13" i="19"/>
  <c r="NO13" i="19"/>
  <c r="NN13" i="19"/>
  <c r="NM13" i="19"/>
  <c r="KT13" i="19"/>
  <c r="NS12" i="19"/>
  <c r="NR12" i="19"/>
  <c r="NQ12" i="19"/>
  <c r="NP12" i="19"/>
  <c r="NO12" i="19"/>
  <c r="NN12" i="19"/>
  <c r="NM12" i="19"/>
  <c r="KT12" i="19"/>
  <c r="NS11" i="19"/>
  <c r="NR11" i="19"/>
  <c r="NQ11" i="19"/>
  <c r="NP11" i="19"/>
  <c r="NO11" i="19"/>
  <c r="NN11" i="19"/>
  <c r="NM11" i="19"/>
  <c r="KT11" i="19"/>
  <c r="NS10" i="19"/>
  <c r="NR10" i="19"/>
  <c r="NQ10" i="19"/>
  <c r="NP10" i="19"/>
  <c r="NO10" i="19"/>
  <c r="NN10" i="19"/>
  <c r="NM10" i="19"/>
  <c r="KT10" i="19"/>
  <c r="NS9" i="21"/>
  <c r="NR9" i="21"/>
  <c r="NQ9" i="21"/>
  <c r="NP9" i="21"/>
  <c r="NO9" i="21"/>
  <c r="NN9" i="21"/>
  <c r="NM9" i="21"/>
  <c r="NS9" i="22"/>
  <c r="NR9" i="22"/>
  <c r="NQ9" i="22"/>
  <c r="NP9" i="22"/>
  <c r="NO9" i="22"/>
  <c r="NN9" i="22"/>
  <c r="NT9" i="22"/>
  <c r="NU9" i="22"/>
  <c r="NM9" i="22"/>
  <c r="NS9" i="31"/>
  <c r="NR9" i="31"/>
  <c r="NQ9" i="31"/>
  <c r="NP9" i="31"/>
  <c r="NO9" i="31"/>
  <c r="NN9" i="31"/>
  <c r="NM9" i="31"/>
  <c r="NR9" i="32"/>
  <c r="NQ9" i="32"/>
  <c r="NP9" i="32"/>
  <c r="NN9" i="32"/>
  <c r="NM9" i="32"/>
  <c r="NS9" i="33"/>
  <c r="NR9" i="33"/>
  <c r="NQ9" i="33"/>
  <c r="NP9" i="33"/>
  <c r="NO9" i="33"/>
  <c r="NM9" i="33"/>
  <c r="NO9" i="34"/>
  <c r="NM9" i="34"/>
  <c r="NS9" i="35"/>
  <c r="NR9" i="35"/>
  <c r="NQ9" i="35"/>
  <c r="NP9" i="35"/>
  <c r="NO9" i="35"/>
  <c r="NN9" i="35"/>
  <c r="NM9" i="35"/>
  <c r="NS9" i="19"/>
  <c r="NR9" i="19"/>
  <c r="NQ9" i="19"/>
  <c r="NP9" i="19"/>
  <c r="NP126" i="19"/>
  <c r="NO9" i="19"/>
  <c r="NN9" i="19"/>
  <c r="NM9" i="19"/>
  <c r="KT39" i="19"/>
  <c r="KT63" i="19"/>
  <c r="KT71" i="19"/>
  <c r="KT79" i="19"/>
  <c r="KT87" i="19"/>
  <c r="KT95" i="19"/>
  <c r="KT106" i="19"/>
  <c r="KT105" i="19"/>
  <c r="KT104" i="19"/>
  <c r="KT102" i="19"/>
  <c r="KT101" i="19"/>
  <c r="KT100" i="19"/>
  <c r="KT99" i="19"/>
  <c r="KT98" i="19"/>
  <c r="KT97" i="19"/>
  <c r="KT96" i="19"/>
  <c r="KT94" i="19"/>
  <c r="KT92" i="19"/>
  <c r="KT91" i="19"/>
  <c r="KT90" i="19"/>
  <c r="KT89" i="19"/>
  <c r="KT88" i="19"/>
  <c r="KT86" i="19"/>
  <c r="KT85" i="19"/>
  <c r="KT84" i="19"/>
  <c r="KT82" i="19"/>
  <c r="KT81" i="19"/>
  <c r="KT80" i="19"/>
  <c r="KT78" i="19"/>
  <c r="KT77" i="19"/>
  <c r="KT76" i="19"/>
  <c r="KT75" i="19"/>
  <c r="KT74" i="19"/>
  <c r="KT72" i="19"/>
  <c r="KT70" i="19"/>
  <c r="KT69" i="19"/>
  <c r="KT68" i="19"/>
  <c r="KT67" i="19"/>
  <c r="KT66" i="19"/>
  <c r="KT65" i="19"/>
  <c r="KT64" i="19"/>
  <c r="KT62" i="19"/>
  <c r="KT60" i="19"/>
  <c r="KT59" i="19"/>
  <c r="KT58" i="19"/>
  <c r="KT57" i="19"/>
  <c r="KT56" i="19"/>
  <c r="KT55" i="19"/>
  <c r="KT54" i="19"/>
  <c r="KT53" i="19"/>
  <c r="KT52" i="19"/>
  <c r="KT51" i="19"/>
  <c r="KT50" i="19"/>
  <c r="KT49" i="19"/>
  <c r="KT48" i="19"/>
  <c r="KT47" i="19"/>
  <c r="KT46" i="19"/>
  <c r="KT44" i="19"/>
  <c r="KT43" i="19"/>
  <c r="KT38" i="19"/>
  <c r="KT37" i="19"/>
  <c r="KT36" i="19"/>
  <c r="KT35" i="19"/>
  <c r="KT34" i="19"/>
  <c r="KT33" i="19"/>
  <c r="KT32" i="19"/>
  <c r="KT9" i="19"/>
  <c r="KT42" i="21"/>
  <c r="KT41" i="21"/>
  <c r="KT40" i="21"/>
  <c r="KT39" i="21"/>
  <c r="KT38" i="21"/>
  <c r="KT37" i="21"/>
  <c r="KT36" i="21"/>
  <c r="KT35" i="21"/>
  <c r="KT34" i="21"/>
  <c r="KT33" i="21"/>
  <c r="KT32" i="21"/>
  <c r="KT31" i="21"/>
  <c r="KT30" i="21"/>
  <c r="KT29" i="21"/>
  <c r="KT28" i="21"/>
  <c r="KT27" i="21"/>
  <c r="KT26" i="21"/>
  <c r="KT25" i="21"/>
  <c r="KT24" i="21"/>
  <c r="KT22" i="21"/>
  <c r="KT21" i="21"/>
  <c r="KT20" i="21"/>
  <c r="KT19" i="21"/>
  <c r="KT18" i="21"/>
  <c r="KT17" i="21"/>
  <c r="KT16" i="21"/>
  <c r="KT15" i="21"/>
  <c r="KT14" i="21"/>
  <c r="KT13" i="21"/>
  <c r="KT12" i="21"/>
  <c r="KT11" i="21"/>
  <c r="KT10" i="21"/>
  <c r="KT9" i="21"/>
  <c r="KT14" i="22"/>
  <c r="KT13" i="22"/>
  <c r="KT12" i="22"/>
  <c r="KT11" i="22"/>
  <c r="KT10" i="22"/>
  <c r="KT9" i="22"/>
  <c r="KT32" i="31"/>
  <c r="KT29" i="31"/>
  <c r="KT28" i="31"/>
  <c r="KT27" i="31"/>
  <c r="KT26" i="31"/>
  <c r="KT24" i="31"/>
  <c r="KT20" i="31"/>
  <c r="KT18" i="31"/>
  <c r="KT17" i="31"/>
  <c r="KT16" i="31"/>
  <c r="KT15" i="31"/>
  <c r="KT14" i="31"/>
  <c r="KT13" i="31"/>
  <c r="KT12" i="31"/>
  <c r="KT10" i="31"/>
  <c r="KT9" i="31"/>
  <c r="KT30" i="32"/>
  <c r="KT26" i="32"/>
  <c r="KT25" i="32"/>
  <c r="KT24" i="32"/>
  <c r="KT20" i="32"/>
  <c r="KT19" i="32"/>
  <c r="KT18" i="32"/>
  <c r="KT17" i="32"/>
  <c r="KT16" i="32"/>
  <c r="KT15" i="32"/>
  <c r="KT14" i="32"/>
  <c r="KT13" i="32"/>
  <c r="KT12" i="32"/>
  <c r="KT11" i="32"/>
  <c r="KT10" i="32"/>
  <c r="KT9" i="32"/>
  <c r="KT10" i="33"/>
  <c r="KT9" i="33"/>
  <c r="KT55" i="34"/>
  <c r="KT54" i="34"/>
  <c r="KT53" i="34"/>
  <c r="KT51" i="34"/>
  <c r="KT50" i="34"/>
  <c r="KT49" i="34"/>
  <c r="KT48" i="34"/>
  <c r="KT46" i="34"/>
  <c r="KT44" i="34"/>
  <c r="KT43" i="34"/>
  <c r="KT42" i="34"/>
  <c r="KT41" i="34"/>
  <c r="KT40" i="34"/>
  <c r="KT38" i="34"/>
  <c r="KT37" i="34"/>
  <c r="KT36" i="34"/>
  <c r="KT33" i="34"/>
  <c r="KT32" i="34"/>
  <c r="KT31" i="34"/>
  <c r="KT30" i="34"/>
  <c r="KT29" i="34"/>
  <c r="KT28" i="34"/>
  <c r="KT27" i="34"/>
  <c r="KT25" i="34"/>
  <c r="KT24" i="34"/>
  <c r="KT23" i="34"/>
  <c r="KT22" i="34"/>
  <c r="KT19" i="34"/>
  <c r="KT18" i="34"/>
  <c r="KT17" i="34"/>
  <c r="KT16" i="34"/>
  <c r="KT15" i="34"/>
  <c r="KT14" i="34"/>
  <c r="KT13" i="34"/>
  <c r="KT12" i="34"/>
  <c r="KT11" i="34"/>
  <c r="KT10" i="34"/>
  <c r="KT9" i="34"/>
  <c r="KT59" i="35"/>
  <c r="KT57" i="35"/>
  <c r="KT55" i="35"/>
  <c r="KT54" i="35"/>
  <c r="KT53" i="35"/>
  <c r="KT52" i="35"/>
  <c r="KT49" i="35"/>
  <c r="KT48" i="35"/>
  <c r="KT47" i="35"/>
  <c r="KT46" i="35"/>
  <c r="KT45" i="35"/>
  <c r="KT44" i="35"/>
  <c r="KT40" i="35"/>
  <c r="KT38" i="35"/>
  <c r="KT37" i="35"/>
  <c r="KT36" i="35"/>
  <c r="KT35" i="35"/>
  <c r="KT32" i="35"/>
  <c r="KT31" i="35"/>
  <c r="KT30" i="35"/>
  <c r="KT27" i="35"/>
  <c r="KT26" i="35"/>
  <c r="KT25" i="35"/>
  <c r="KT24" i="35"/>
  <c r="KT23" i="35"/>
  <c r="KT22" i="35"/>
  <c r="KT20" i="35"/>
  <c r="KT19" i="35"/>
  <c r="KT18" i="35"/>
  <c r="KT17" i="35"/>
  <c r="KT16" i="35"/>
  <c r="KT15" i="35"/>
  <c r="KT14" i="35"/>
  <c r="KT13" i="35"/>
  <c r="KT12" i="35"/>
  <c r="KT11" i="35"/>
  <c r="KT10" i="35"/>
  <c r="KT9" i="35"/>
  <c r="NK70" i="35"/>
  <c r="NJ70" i="35"/>
  <c r="NI70" i="35"/>
  <c r="NH70" i="35"/>
  <c r="NG70" i="35"/>
  <c r="NF70" i="35"/>
  <c r="NE70" i="35"/>
  <c r="ND70" i="35"/>
  <c r="NC70" i="35"/>
  <c r="NB70" i="35"/>
  <c r="MX70" i="35"/>
  <c r="MW70" i="35"/>
  <c r="MV70" i="35"/>
  <c r="MU70" i="35"/>
  <c r="MT70" i="35"/>
  <c r="MS70" i="35"/>
  <c r="MR70" i="35"/>
  <c r="MQ70" i="35"/>
  <c r="MP70" i="35"/>
  <c r="MO70" i="35"/>
  <c r="MN70" i="35"/>
  <c r="MM70" i="35"/>
  <c r="ML70" i="35"/>
  <c r="MK70" i="35"/>
  <c r="MJ70" i="35"/>
  <c r="MI70" i="35"/>
  <c r="MH70" i="35"/>
  <c r="MG70" i="35"/>
  <c r="MF70" i="35"/>
  <c r="ME70" i="35"/>
  <c r="MD70" i="35"/>
  <c r="MC70" i="35"/>
  <c r="MB70" i="35"/>
  <c r="MA70" i="35"/>
  <c r="LZ70" i="35"/>
  <c r="LY70" i="35"/>
  <c r="LX70" i="35"/>
  <c r="LW70" i="35"/>
  <c r="LV70" i="35"/>
  <c r="LU70" i="35"/>
  <c r="LT70" i="35"/>
  <c r="LS70" i="35"/>
  <c r="LR70" i="35"/>
  <c r="LQ70" i="35"/>
  <c r="LP70" i="35"/>
  <c r="LO70" i="35"/>
  <c r="LN70" i="35"/>
  <c r="LM70" i="35"/>
  <c r="LL70" i="35"/>
  <c r="LK70" i="35"/>
  <c r="LJ70" i="35"/>
  <c r="LI70" i="35"/>
  <c r="LH70" i="35"/>
  <c r="LG70" i="35"/>
  <c r="LF70" i="35"/>
  <c r="LE70" i="35"/>
  <c r="LD70" i="35"/>
  <c r="LC70" i="35"/>
  <c r="LB70" i="35"/>
  <c r="LA70" i="35"/>
  <c r="KZ70" i="35"/>
  <c r="KY70" i="35"/>
  <c r="KX70" i="35"/>
  <c r="KW70" i="35"/>
  <c r="KV70" i="35"/>
  <c r="KU70" i="35"/>
  <c r="NK13" i="33"/>
  <c r="NJ13" i="33"/>
  <c r="NI13" i="33"/>
  <c r="NH13" i="33"/>
  <c r="NG13" i="33"/>
  <c r="NF13" i="33"/>
  <c r="NE13" i="33"/>
  <c r="ND13" i="33"/>
  <c r="NC13" i="33"/>
  <c r="NB13" i="33"/>
  <c r="MX13" i="33"/>
  <c r="MW13" i="33"/>
  <c r="MV13" i="33"/>
  <c r="MU13" i="33"/>
  <c r="MT13" i="33"/>
  <c r="MS13" i="33"/>
  <c r="MR13" i="33"/>
  <c r="MQ13" i="33"/>
  <c r="MP13" i="33"/>
  <c r="MO13" i="33"/>
  <c r="MN13" i="33"/>
  <c r="MM13" i="33"/>
  <c r="ML13" i="33"/>
  <c r="MK13" i="33"/>
  <c r="MJ13" i="33"/>
  <c r="MI13" i="33"/>
  <c r="MH13" i="33"/>
  <c r="MG13" i="33"/>
  <c r="MF13" i="33"/>
  <c r="ME13" i="33"/>
  <c r="MD13" i="33"/>
  <c r="MC13" i="33"/>
  <c r="MB13" i="33"/>
  <c r="MA13" i="33"/>
  <c r="LZ13" i="33"/>
  <c r="LY13" i="33"/>
  <c r="LX13" i="33"/>
  <c r="LW13" i="33"/>
  <c r="LV13" i="33"/>
  <c r="LU13" i="33"/>
  <c r="LT13" i="33"/>
  <c r="LS13" i="33"/>
  <c r="LR13" i="33"/>
  <c r="LQ13" i="33"/>
  <c r="LP13" i="33"/>
  <c r="LO13" i="33"/>
  <c r="LN13" i="33"/>
  <c r="LM13" i="33"/>
  <c r="LL13" i="33"/>
  <c r="LK13" i="33"/>
  <c r="LJ13" i="33"/>
  <c r="LI13" i="33"/>
  <c r="LH13" i="33"/>
  <c r="LG13" i="33"/>
  <c r="LF13" i="33"/>
  <c r="LE13" i="33"/>
  <c r="LD13" i="33"/>
  <c r="LC13" i="33"/>
  <c r="LB13" i="33"/>
  <c r="LA13" i="33"/>
  <c r="KZ13" i="33"/>
  <c r="KY13" i="33"/>
  <c r="KX13" i="33"/>
  <c r="KW13" i="33"/>
  <c r="KV13" i="33"/>
  <c r="KU13" i="33"/>
  <c r="NK36" i="32"/>
  <c r="NJ36" i="32"/>
  <c r="NI36" i="32"/>
  <c r="NH36" i="32"/>
  <c r="NG36" i="32"/>
  <c r="NF36" i="32"/>
  <c r="NE36" i="32"/>
  <c r="ND36" i="32"/>
  <c r="NC36" i="32"/>
  <c r="NB36" i="32"/>
  <c r="MX36" i="32"/>
  <c r="MW36" i="32"/>
  <c r="MV36" i="32"/>
  <c r="MU36" i="32"/>
  <c r="MT36" i="32"/>
  <c r="MS36" i="32"/>
  <c r="MR36" i="32"/>
  <c r="MQ36" i="32"/>
  <c r="MP36" i="32"/>
  <c r="MO36" i="32"/>
  <c r="MN36" i="32"/>
  <c r="MM36" i="32"/>
  <c r="ML36" i="32"/>
  <c r="MK36" i="32"/>
  <c r="MJ36" i="32"/>
  <c r="MI36" i="32"/>
  <c r="MH36" i="32"/>
  <c r="MG36" i="32"/>
  <c r="MF36" i="32"/>
  <c r="ME36" i="32"/>
  <c r="MD36" i="32"/>
  <c r="MC36" i="32"/>
  <c r="MB36" i="32"/>
  <c r="MA36" i="32"/>
  <c r="LZ36" i="32"/>
  <c r="LY36" i="32"/>
  <c r="LX36" i="32"/>
  <c r="LW36" i="32"/>
  <c r="LV36" i="32"/>
  <c r="LU36" i="32"/>
  <c r="LT36" i="32"/>
  <c r="LS36" i="32"/>
  <c r="LR36" i="32"/>
  <c r="LQ36" i="32"/>
  <c r="LP36" i="32"/>
  <c r="LO36" i="32"/>
  <c r="LN36" i="32"/>
  <c r="LM36" i="32"/>
  <c r="LL36" i="32"/>
  <c r="LK36" i="32"/>
  <c r="LJ36" i="32"/>
  <c r="LI36" i="32"/>
  <c r="LH36" i="32"/>
  <c r="LG36" i="32"/>
  <c r="LF36" i="32"/>
  <c r="LE36" i="32"/>
  <c r="LD36" i="32"/>
  <c r="LC36" i="32"/>
  <c r="LB36" i="32"/>
  <c r="LA36" i="32"/>
  <c r="KZ36" i="32"/>
  <c r="KY36" i="32"/>
  <c r="KX36" i="32"/>
  <c r="KW36" i="32"/>
  <c r="KV36" i="32"/>
  <c r="KU36" i="32"/>
  <c r="NK60" i="31"/>
  <c r="NJ60" i="31"/>
  <c r="NI60" i="31"/>
  <c r="NH60" i="31"/>
  <c r="NG60" i="31"/>
  <c r="NF60" i="31"/>
  <c r="NE60" i="31"/>
  <c r="ND60" i="31"/>
  <c r="NC60" i="31"/>
  <c r="NB60" i="31"/>
  <c r="MX60" i="31"/>
  <c r="MW60" i="31"/>
  <c r="MV60" i="31"/>
  <c r="MU60" i="31"/>
  <c r="MT60" i="31"/>
  <c r="MS60" i="31"/>
  <c r="MR60" i="31"/>
  <c r="MQ60" i="31"/>
  <c r="MP60" i="31"/>
  <c r="MO60" i="31"/>
  <c r="MN60" i="31"/>
  <c r="MM60" i="31"/>
  <c r="ML60" i="31"/>
  <c r="MK60" i="31"/>
  <c r="MJ60" i="31"/>
  <c r="MI60" i="31"/>
  <c r="MH60" i="31"/>
  <c r="MG60" i="31"/>
  <c r="MF60" i="31"/>
  <c r="ME60" i="31"/>
  <c r="MD60" i="31"/>
  <c r="MC60" i="31"/>
  <c r="MB60" i="31"/>
  <c r="MA60" i="31"/>
  <c r="LZ60" i="31"/>
  <c r="LY60" i="31"/>
  <c r="LX60" i="31"/>
  <c r="LW60" i="31"/>
  <c r="LV60" i="31"/>
  <c r="LU60" i="31"/>
  <c r="LT60" i="31"/>
  <c r="LS60" i="31"/>
  <c r="LR60" i="31"/>
  <c r="LQ60" i="31"/>
  <c r="LP60" i="31"/>
  <c r="LO60" i="31"/>
  <c r="LN60" i="31"/>
  <c r="LM60" i="31"/>
  <c r="LL60" i="31"/>
  <c r="LK60" i="31"/>
  <c r="LJ60" i="31"/>
  <c r="LI60" i="31"/>
  <c r="LH60" i="31"/>
  <c r="LG60" i="31"/>
  <c r="LF60" i="31"/>
  <c r="LE60" i="31"/>
  <c r="LD60" i="31"/>
  <c r="LC60" i="31"/>
  <c r="LB60" i="31"/>
  <c r="LA60" i="31"/>
  <c r="KZ60" i="31"/>
  <c r="KY60" i="31"/>
  <c r="KX60" i="31"/>
  <c r="KW60" i="31"/>
  <c r="KV60" i="31"/>
  <c r="KU60" i="31"/>
  <c r="NK29" i="22"/>
  <c r="NJ29" i="22"/>
  <c r="NI29" i="22"/>
  <c r="NH29" i="22"/>
  <c r="NG29" i="22"/>
  <c r="NF29" i="22"/>
  <c r="NE29" i="22"/>
  <c r="ND29" i="22"/>
  <c r="NC29" i="22"/>
  <c r="NB29" i="22"/>
  <c r="MX29" i="22"/>
  <c r="MW29" i="22"/>
  <c r="MV29" i="22"/>
  <c r="MU29" i="22"/>
  <c r="MT29" i="22"/>
  <c r="MS29" i="22"/>
  <c r="MR29" i="22"/>
  <c r="MQ29" i="22"/>
  <c r="MP29" i="22"/>
  <c r="MO29" i="22"/>
  <c r="MN29" i="22"/>
  <c r="MM29" i="22"/>
  <c r="ML29" i="22"/>
  <c r="MK29" i="22"/>
  <c r="MJ29" i="22"/>
  <c r="MI29" i="22"/>
  <c r="MH29" i="22"/>
  <c r="MG29" i="22"/>
  <c r="MF29" i="22"/>
  <c r="ME29" i="22"/>
  <c r="MD29" i="22"/>
  <c r="MC29" i="22"/>
  <c r="MB29" i="22"/>
  <c r="MA29" i="22"/>
  <c r="LZ29" i="22"/>
  <c r="LY29" i="22"/>
  <c r="LX29" i="22"/>
  <c r="LW29" i="22"/>
  <c r="LV29" i="22"/>
  <c r="LU29" i="22"/>
  <c r="LT29" i="22"/>
  <c r="LS29" i="22"/>
  <c r="LR29" i="22"/>
  <c r="LQ29" i="22"/>
  <c r="LP29" i="22"/>
  <c r="LO29" i="22"/>
  <c r="LN29" i="22"/>
  <c r="LM29" i="22"/>
  <c r="LL29" i="22"/>
  <c r="LK29" i="22"/>
  <c r="LJ29" i="22"/>
  <c r="LI29" i="22"/>
  <c r="LH29" i="22"/>
  <c r="LG29" i="22"/>
  <c r="LF29" i="22"/>
  <c r="LE29" i="22"/>
  <c r="LD29" i="22"/>
  <c r="LC29" i="22"/>
  <c r="LB29" i="22"/>
  <c r="LA29" i="22"/>
  <c r="KZ29" i="22"/>
  <c r="KY29" i="22"/>
  <c r="KX29" i="22"/>
  <c r="KW29" i="22"/>
  <c r="KV29" i="22"/>
  <c r="KU29" i="22"/>
  <c r="NK57" i="21"/>
  <c r="NJ57" i="21"/>
  <c r="NI57" i="21"/>
  <c r="NH57" i="21"/>
  <c r="NG57" i="21"/>
  <c r="NF57" i="21"/>
  <c r="NE57" i="21"/>
  <c r="ND57" i="21"/>
  <c r="NC57" i="21"/>
  <c r="NB57" i="21"/>
  <c r="MX57" i="21"/>
  <c r="MW57" i="21"/>
  <c r="MV57" i="21"/>
  <c r="MU57" i="21"/>
  <c r="MT57" i="21"/>
  <c r="MS57" i="21"/>
  <c r="MR57" i="21"/>
  <c r="MQ57" i="21"/>
  <c r="MP57" i="21"/>
  <c r="MO57" i="21"/>
  <c r="MN57" i="21"/>
  <c r="MM57" i="21"/>
  <c r="ML57" i="21"/>
  <c r="MK57" i="21"/>
  <c r="MJ57" i="21"/>
  <c r="MI57" i="21"/>
  <c r="MH57" i="21"/>
  <c r="MG57" i="21"/>
  <c r="MF57" i="21"/>
  <c r="ME57" i="21"/>
  <c r="MD57" i="21"/>
  <c r="MC57" i="21"/>
  <c r="MB57" i="21"/>
  <c r="MA57" i="21"/>
  <c r="LZ57" i="21"/>
  <c r="LY57" i="21"/>
  <c r="LX57" i="21"/>
  <c r="LW57" i="21"/>
  <c r="LV57" i="21"/>
  <c r="LU57" i="21"/>
  <c r="LT57" i="21"/>
  <c r="LS57" i="21"/>
  <c r="LR57" i="21"/>
  <c r="LQ57" i="21"/>
  <c r="LP57" i="21"/>
  <c r="LO57" i="21"/>
  <c r="LN57" i="21"/>
  <c r="LM57" i="21"/>
  <c r="LL57" i="21"/>
  <c r="LK57" i="21"/>
  <c r="LJ57" i="21"/>
  <c r="LI57" i="21"/>
  <c r="LH57" i="21"/>
  <c r="LG57" i="21"/>
  <c r="LF57" i="21"/>
  <c r="LE57" i="21"/>
  <c r="LD57" i="21"/>
  <c r="LC57" i="21"/>
  <c r="LB57" i="21"/>
  <c r="LA57" i="21"/>
  <c r="KZ57" i="21"/>
  <c r="KY57" i="21"/>
  <c r="KX57" i="21"/>
  <c r="KW57" i="21"/>
  <c r="KV57" i="21"/>
  <c r="KU57" i="21"/>
  <c r="FV70" i="35"/>
  <c r="FU70" i="35"/>
  <c r="FT70" i="35"/>
  <c r="FS70" i="35"/>
  <c r="FR70" i="35"/>
  <c r="FQ70" i="35"/>
  <c r="FP70" i="35"/>
  <c r="FO70" i="35"/>
  <c r="FN70" i="35"/>
  <c r="FM70" i="35"/>
  <c r="FL70" i="35"/>
  <c r="FK70" i="35"/>
  <c r="FJ70" i="35"/>
  <c r="FI70" i="35"/>
  <c r="FH70" i="35"/>
  <c r="FE70" i="35"/>
  <c r="FD70" i="35"/>
  <c r="FB70" i="35"/>
  <c r="FA70" i="35"/>
  <c r="EZ70" i="35"/>
  <c r="EY70" i="35"/>
  <c r="EX70" i="35"/>
  <c r="EW70" i="35"/>
  <c r="EV70" i="35"/>
  <c r="EU70" i="35"/>
  <c r="ET70" i="35"/>
  <c r="ES70" i="35"/>
  <c r="ER70" i="35"/>
  <c r="EQ70" i="35"/>
  <c r="EP70" i="35"/>
  <c r="EO70" i="35"/>
  <c r="EN70" i="35"/>
  <c r="EM70" i="35"/>
  <c r="EL70" i="35"/>
  <c r="EK70" i="35"/>
  <c r="EJ70" i="35"/>
  <c r="FV13" i="33"/>
  <c r="FU13" i="33"/>
  <c r="FT13" i="33"/>
  <c r="FS13" i="33"/>
  <c r="FR13" i="33"/>
  <c r="FQ13" i="33"/>
  <c r="FP13" i="33"/>
  <c r="FO13" i="33"/>
  <c r="FN13" i="33"/>
  <c r="FM13" i="33"/>
  <c r="FL13" i="33"/>
  <c r="FK13" i="33"/>
  <c r="FJ13" i="33"/>
  <c r="FI13" i="33"/>
  <c r="FH13" i="33"/>
  <c r="FE13" i="33"/>
  <c r="FD13" i="33"/>
  <c r="FB13" i="33"/>
  <c r="FA13" i="33"/>
  <c r="EZ13" i="33"/>
  <c r="EY13" i="33"/>
  <c r="EX13" i="33"/>
  <c r="EW13" i="33"/>
  <c r="EV13" i="33"/>
  <c r="EU13" i="33"/>
  <c r="ET13" i="33"/>
  <c r="ES13" i="33"/>
  <c r="ER13" i="33"/>
  <c r="EQ13" i="33"/>
  <c r="EP13" i="33"/>
  <c r="EO13" i="33"/>
  <c r="EN13" i="33"/>
  <c r="EM13" i="33"/>
  <c r="EL13" i="33"/>
  <c r="EK13" i="33"/>
  <c r="EJ13" i="33"/>
  <c r="FV36" i="32"/>
  <c r="FU36" i="32"/>
  <c r="FT36" i="32"/>
  <c r="FS36" i="32"/>
  <c r="FR36" i="32"/>
  <c r="FQ36" i="32"/>
  <c r="FP36" i="32"/>
  <c r="FO36" i="32"/>
  <c r="FN36" i="32"/>
  <c r="FM36" i="32"/>
  <c r="FL36" i="32"/>
  <c r="FK36" i="32"/>
  <c r="FJ36" i="32"/>
  <c r="FI36" i="32"/>
  <c r="FH36" i="32"/>
  <c r="FE36" i="32"/>
  <c r="FD36" i="32"/>
  <c r="FB36" i="32"/>
  <c r="FA36" i="32"/>
  <c r="EZ36" i="32"/>
  <c r="EY36" i="32"/>
  <c r="EX36" i="32"/>
  <c r="EW36" i="32"/>
  <c r="EV36" i="32"/>
  <c r="EU36" i="32"/>
  <c r="ET36" i="32"/>
  <c r="ES36" i="32"/>
  <c r="ER36" i="32"/>
  <c r="EQ36" i="32"/>
  <c r="EP36" i="32"/>
  <c r="EO36" i="32"/>
  <c r="EN36" i="32"/>
  <c r="EM36" i="32"/>
  <c r="EL36" i="32"/>
  <c r="EK36" i="32"/>
  <c r="EJ36" i="32"/>
  <c r="FV60" i="31"/>
  <c r="FU60" i="31"/>
  <c r="FT60" i="31"/>
  <c r="FS60" i="31"/>
  <c r="FR60" i="31"/>
  <c r="FQ60" i="31"/>
  <c r="FP60" i="31"/>
  <c r="FO60" i="31"/>
  <c r="FN60" i="31"/>
  <c r="FM60" i="31"/>
  <c r="FL60" i="31"/>
  <c r="FK60" i="31"/>
  <c r="FJ60" i="31"/>
  <c r="FI60" i="31"/>
  <c r="FH60" i="31"/>
  <c r="FE60" i="31"/>
  <c r="FD60" i="31"/>
  <c r="FB60" i="31"/>
  <c r="FA60" i="31"/>
  <c r="EZ60" i="31"/>
  <c r="EY60" i="31"/>
  <c r="EX60" i="31"/>
  <c r="EW60" i="31"/>
  <c r="EV60" i="31"/>
  <c r="EU60" i="31"/>
  <c r="ET60" i="31"/>
  <c r="ES60" i="31"/>
  <c r="ER60" i="31"/>
  <c r="EQ60" i="31"/>
  <c r="EP60" i="31"/>
  <c r="EO60" i="31"/>
  <c r="EN60" i="31"/>
  <c r="EM60" i="31"/>
  <c r="EL60" i="31"/>
  <c r="EK60" i="31"/>
  <c r="EJ60" i="31"/>
  <c r="FV29" i="22"/>
  <c r="FU29" i="22"/>
  <c r="FT29" i="22"/>
  <c r="FS29" i="22"/>
  <c r="FR29" i="22"/>
  <c r="FQ29" i="22"/>
  <c r="FP29" i="22"/>
  <c r="FO29" i="22"/>
  <c r="FN29" i="22"/>
  <c r="FM29" i="22"/>
  <c r="FL29" i="22"/>
  <c r="FK29" i="22"/>
  <c r="FJ29" i="22"/>
  <c r="FI29" i="22"/>
  <c r="FH29" i="22"/>
  <c r="FE29" i="22"/>
  <c r="FD29" i="22"/>
  <c r="FB29" i="22"/>
  <c r="FA29" i="22"/>
  <c r="EZ29" i="22"/>
  <c r="EY29" i="22"/>
  <c r="EX29" i="22"/>
  <c r="EW29" i="22"/>
  <c r="EV29" i="22"/>
  <c r="EU29" i="22"/>
  <c r="ET29" i="22"/>
  <c r="ES29" i="22"/>
  <c r="ER29" i="22"/>
  <c r="EQ29" i="22"/>
  <c r="EP29" i="22"/>
  <c r="EO29" i="22"/>
  <c r="EN29" i="22"/>
  <c r="EM29" i="22"/>
  <c r="EL29" i="22"/>
  <c r="EK29" i="22"/>
  <c r="EJ29" i="22"/>
  <c r="FV57" i="21"/>
  <c r="FU57" i="21"/>
  <c r="FT57" i="21"/>
  <c r="FS57" i="21"/>
  <c r="FR57" i="21"/>
  <c r="FQ57" i="21"/>
  <c r="FP57" i="21"/>
  <c r="FO57" i="21"/>
  <c r="FN57" i="21"/>
  <c r="FM57" i="21"/>
  <c r="FL57" i="21"/>
  <c r="FK57" i="21"/>
  <c r="FJ57" i="21"/>
  <c r="FI57" i="21"/>
  <c r="FH57" i="21"/>
  <c r="FE57" i="21"/>
  <c r="FD57" i="21"/>
  <c r="FB57" i="21"/>
  <c r="FA57" i="21"/>
  <c r="EZ57" i="21"/>
  <c r="EY57" i="21"/>
  <c r="EX57" i="21"/>
  <c r="EW57" i="21"/>
  <c r="EV57" i="21"/>
  <c r="EU57" i="21"/>
  <c r="ET57" i="21"/>
  <c r="ES57" i="21"/>
  <c r="ER57" i="21"/>
  <c r="EQ57" i="21"/>
  <c r="EP57" i="21"/>
  <c r="EO57" i="21"/>
  <c r="EN57" i="21"/>
  <c r="EM57" i="21"/>
  <c r="EL57" i="21"/>
  <c r="EK57" i="21"/>
  <c r="EJ57" i="21"/>
  <c r="EH55" i="39"/>
  <c r="EG55" i="39"/>
  <c r="FH1" i="35"/>
  <c r="FI1" i="35"/>
  <c r="FJ1" i="35"/>
  <c r="FK1" i="35"/>
  <c r="FL1" i="35"/>
  <c r="FM1" i="35"/>
  <c r="FN1" i="35"/>
  <c r="FO1" i="35"/>
  <c r="FP1" i="35"/>
  <c r="FQ1" i="35"/>
  <c r="FR1" i="35"/>
  <c r="FS1" i="35"/>
  <c r="FT1" i="35"/>
  <c r="FU1" i="35"/>
  <c r="FV1" i="35"/>
  <c r="FH1" i="34"/>
  <c r="FI1" i="34"/>
  <c r="FJ1" i="34"/>
  <c r="FK1" i="34"/>
  <c r="FL1" i="34"/>
  <c r="FM1" i="34"/>
  <c r="FN1" i="34"/>
  <c r="FO1" i="34"/>
  <c r="FP1" i="34"/>
  <c r="FQ1" i="34"/>
  <c r="FR1" i="34"/>
  <c r="FS1" i="34"/>
  <c r="FT1" i="34"/>
  <c r="FU1" i="34"/>
  <c r="FV1" i="34"/>
  <c r="FH1" i="33"/>
  <c r="FI1" i="33"/>
  <c r="FJ1" i="33"/>
  <c r="FK1" i="33"/>
  <c r="FL1" i="33"/>
  <c r="FM1" i="33"/>
  <c r="FN1" i="33"/>
  <c r="FO1" i="33"/>
  <c r="FP1" i="33"/>
  <c r="FQ1" i="33"/>
  <c r="FR1" i="33"/>
  <c r="FS1" i="33"/>
  <c r="FT1" i="33"/>
  <c r="FU1" i="33"/>
  <c r="FV1" i="33"/>
  <c r="FH1" i="32"/>
  <c r="FI1" i="32"/>
  <c r="FJ1" i="32"/>
  <c r="FK1" i="32"/>
  <c r="FL1" i="32"/>
  <c r="FM1" i="32"/>
  <c r="FN1" i="32"/>
  <c r="FO1" i="32"/>
  <c r="FP1" i="32"/>
  <c r="FQ1" i="32"/>
  <c r="FR1" i="32"/>
  <c r="FS1" i="32"/>
  <c r="FT1" i="32"/>
  <c r="FU1" i="32"/>
  <c r="FV1" i="32"/>
  <c r="FH1" i="31"/>
  <c r="FI1" i="31"/>
  <c r="FJ1" i="31"/>
  <c r="FK1" i="31"/>
  <c r="FL1" i="31"/>
  <c r="FM1" i="31"/>
  <c r="FN1" i="31"/>
  <c r="FO1" i="31"/>
  <c r="FP1" i="31"/>
  <c r="FQ1" i="31"/>
  <c r="FR1" i="31"/>
  <c r="FS1" i="31"/>
  <c r="FT1" i="31"/>
  <c r="FU1" i="31"/>
  <c r="FV1" i="31"/>
  <c r="FH1" i="22"/>
  <c r="FI1" i="22"/>
  <c r="FJ1" i="22"/>
  <c r="FK1" i="22"/>
  <c r="FL1" i="22"/>
  <c r="FM1" i="22"/>
  <c r="FN1" i="22"/>
  <c r="FO1" i="22"/>
  <c r="FP1" i="22"/>
  <c r="FQ1" i="22"/>
  <c r="FR1" i="22"/>
  <c r="FS1" i="22"/>
  <c r="FT1" i="22"/>
  <c r="FU1" i="22"/>
  <c r="FV1" i="22"/>
  <c r="FH1" i="21"/>
  <c r="FI1" i="21"/>
  <c r="FJ1" i="21"/>
  <c r="FK1" i="21"/>
  <c r="FL1" i="21"/>
  <c r="FM1" i="21"/>
  <c r="FN1" i="21"/>
  <c r="FO1" i="21"/>
  <c r="FP1" i="21"/>
  <c r="FQ1" i="21"/>
  <c r="FR1" i="21"/>
  <c r="FS1" i="21"/>
  <c r="FT1" i="21"/>
  <c r="FU1" i="21"/>
  <c r="FV1" i="21"/>
  <c r="FH1" i="39"/>
  <c r="FI1" i="39"/>
  <c r="FJ1" i="39"/>
  <c r="FK1" i="39"/>
  <c r="FL1" i="39"/>
  <c r="FM1" i="39"/>
  <c r="FN1" i="39"/>
  <c r="FO1" i="39"/>
  <c r="FP1" i="39"/>
  <c r="FQ1" i="39"/>
  <c r="FR1" i="39"/>
  <c r="FS1" i="39"/>
  <c r="FT1" i="39"/>
  <c r="FU1" i="39"/>
  <c r="FV1" i="39"/>
  <c r="FH1" i="19"/>
  <c r="FI1" i="19"/>
  <c r="FJ1" i="19"/>
  <c r="FK1" i="19"/>
  <c r="FL1" i="19"/>
  <c r="FM1" i="19"/>
  <c r="FN1" i="19"/>
  <c r="FO1" i="19"/>
  <c r="FP1" i="19"/>
  <c r="FQ1" i="19"/>
  <c r="FR1" i="19"/>
  <c r="FS1" i="19"/>
  <c r="FT1" i="19"/>
  <c r="FU1" i="19"/>
  <c r="FV1" i="19"/>
  <c r="AF99" i="19"/>
  <c r="BE99" i="19"/>
  <c r="AF100" i="19"/>
  <c r="BE100" i="19"/>
  <c r="AF101" i="19"/>
  <c r="BE101" i="19"/>
  <c r="AF102" i="19"/>
  <c r="BE102" i="19"/>
  <c r="AF103" i="19"/>
  <c r="BE103" i="19"/>
  <c r="AF104" i="19"/>
  <c r="BE104" i="19"/>
  <c r="AF105" i="19"/>
  <c r="BE105" i="19"/>
  <c r="AF106" i="19"/>
  <c r="BE106" i="19"/>
  <c r="AF107" i="19"/>
  <c r="BE107" i="19"/>
  <c r="AF95" i="19"/>
  <c r="BE95" i="19"/>
  <c r="AF67" i="19"/>
  <c r="BE67" i="19"/>
  <c r="BD67" i="19"/>
  <c r="AF68" i="19"/>
  <c r="BE68" i="19"/>
  <c r="AF69" i="19"/>
  <c r="BE69" i="19"/>
  <c r="AF70" i="19"/>
  <c r="BE70" i="19"/>
  <c r="AF71" i="19"/>
  <c r="BE71" i="19"/>
  <c r="AF72" i="19"/>
  <c r="BE72" i="19"/>
  <c r="AF73" i="19"/>
  <c r="BE73" i="19"/>
  <c r="AF74" i="19"/>
  <c r="BE74" i="19"/>
  <c r="AF75" i="19"/>
  <c r="BE75" i="19"/>
  <c r="AF76" i="19"/>
  <c r="BE76" i="19"/>
  <c r="AF77" i="19"/>
  <c r="BE77" i="19"/>
  <c r="AF78" i="19"/>
  <c r="BE78" i="19"/>
  <c r="AF79" i="19"/>
  <c r="BE79" i="19"/>
  <c r="AF80" i="19"/>
  <c r="BE80" i="19"/>
  <c r="S80" i="19"/>
  <c r="U80" i="19"/>
  <c r="AF81" i="19"/>
  <c r="BE81" i="19"/>
  <c r="AF82" i="19"/>
  <c r="BE82" i="19"/>
  <c r="AF83" i="19"/>
  <c r="BE83" i="19"/>
  <c r="AF84" i="19"/>
  <c r="BE84" i="19"/>
  <c r="AF85" i="19"/>
  <c r="BE85" i="19"/>
  <c r="S85" i="19"/>
  <c r="AF86" i="19"/>
  <c r="BE86" i="19"/>
  <c r="AF87" i="19"/>
  <c r="BE87" i="19"/>
  <c r="AF88" i="19"/>
  <c r="BE88" i="19"/>
  <c r="AF89" i="19"/>
  <c r="BE89" i="19"/>
  <c r="AF90" i="19"/>
  <c r="BE90" i="19"/>
  <c r="AF91" i="19"/>
  <c r="BE91" i="19"/>
  <c r="AF92" i="19"/>
  <c r="BE92" i="19"/>
  <c r="AF93" i="19"/>
  <c r="BE93" i="19"/>
  <c r="AJ9" i="19"/>
  <c r="HH8" i="39"/>
  <c r="BG13" i="39"/>
  <c r="IP13" i="39"/>
  <c r="GP13" i="39"/>
  <c r="GQ13" i="39"/>
  <c r="GS13" i="39"/>
  <c r="BG14" i="39"/>
  <c r="IP14" i="39"/>
  <c r="IQ14" i="39"/>
  <c r="GP14" i="39"/>
  <c r="GQ14" i="39"/>
  <c r="GS14" i="39"/>
  <c r="BF15" i="39"/>
  <c r="BG17" i="39"/>
  <c r="IP17" i="39"/>
  <c r="IQ17" i="39"/>
  <c r="GP17" i="39"/>
  <c r="GQ17" i="39"/>
  <c r="GS17" i="39"/>
  <c r="BG21" i="39"/>
  <c r="IP21" i="39"/>
  <c r="GP21" i="39"/>
  <c r="GQ21" i="39"/>
  <c r="GS21" i="39"/>
  <c r="BG25" i="39"/>
  <c r="IP25" i="39"/>
  <c r="IO25" i="39"/>
  <c r="GP25" i="39"/>
  <c r="GQ25" i="39"/>
  <c r="GS25" i="39"/>
  <c r="BF26" i="39"/>
  <c r="BJ26" i="39"/>
  <c r="BG29" i="39"/>
  <c r="IP29" i="39"/>
  <c r="GP29" i="39"/>
  <c r="GQ29" i="39"/>
  <c r="GS29" i="39"/>
  <c r="BG32" i="39"/>
  <c r="IP32" i="39"/>
  <c r="GP32" i="39"/>
  <c r="GQ32" i="39"/>
  <c r="GS32" i="39"/>
  <c r="BG33" i="39"/>
  <c r="IP33" i="39"/>
  <c r="GP33" i="39"/>
  <c r="GQ33" i="39"/>
  <c r="GS33" i="39"/>
  <c r="BG34" i="39"/>
  <c r="IP34" i="39"/>
  <c r="IO34" i="39"/>
  <c r="GP34" i="39"/>
  <c r="GQ34" i="39"/>
  <c r="GS34" i="39"/>
  <c r="BG37" i="39"/>
  <c r="IP37" i="39"/>
  <c r="IO37" i="39"/>
  <c r="GP37" i="39"/>
  <c r="GQ37" i="39"/>
  <c r="GS37" i="39"/>
  <c r="BG38" i="39"/>
  <c r="IP38" i="39"/>
  <c r="GP38" i="39"/>
  <c r="GQ38" i="39"/>
  <c r="GS38" i="39"/>
  <c r="BG41" i="39"/>
  <c r="IP41" i="39"/>
  <c r="IO41" i="39"/>
  <c r="GP41" i="39"/>
  <c r="GQ41" i="39"/>
  <c r="GS41" i="39"/>
  <c r="BG42" i="39"/>
  <c r="IP42" i="39"/>
  <c r="IQ42" i="39"/>
  <c r="GP42" i="39"/>
  <c r="GQ42" i="39"/>
  <c r="GS42" i="39"/>
  <c r="BG44" i="39"/>
  <c r="IP44" i="39"/>
  <c r="IO44" i="39"/>
  <c r="GP44" i="39"/>
  <c r="GQ44" i="39"/>
  <c r="GS44" i="39"/>
  <c r="BG46" i="39"/>
  <c r="IP46" i="39"/>
  <c r="IQ46" i="39"/>
  <c r="GP46" i="39"/>
  <c r="GQ46" i="39"/>
  <c r="GS46" i="39"/>
  <c r="BG47" i="39"/>
  <c r="IP47" i="39"/>
  <c r="IQ47" i="39"/>
  <c r="GP47" i="39"/>
  <c r="GQ47" i="39"/>
  <c r="GS47" i="39"/>
  <c r="BG50" i="39"/>
  <c r="IP50" i="39"/>
  <c r="GP50" i="39"/>
  <c r="GQ50" i="39"/>
  <c r="GS50" i="39"/>
  <c r="BG51" i="39"/>
  <c r="IP51" i="39"/>
  <c r="GP51" i="39"/>
  <c r="GQ51" i="39"/>
  <c r="GS51" i="39"/>
  <c r="BG52" i="39"/>
  <c r="IP52" i="39"/>
  <c r="GP52" i="39"/>
  <c r="GQ52" i="39"/>
  <c r="GS52" i="39"/>
  <c r="BG54" i="39"/>
  <c r="IP54" i="39"/>
  <c r="GP54" i="39"/>
  <c r="GQ54" i="39"/>
  <c r="GS54" i="39"/>
  <c r="BG55" i="39"/>
  <c r="IP55" i="39"/>
  <c r="IO55" i="39"/>
  <c r="GP61" i="39"/>
  <c r="GQ61" i="39"/>
  <c r="GS61" i="39"/>
  <c r="GP70" i="39"/>
  <c r="GP81" i="39"/>
  <c r="BF55" i="39"/>
  <c r="BJ55" i="39"/>
  <c r="BG61" i="39"/>
  <c r="IP61" i="39"/>
  <c r="BG70" i="39"/>
  <c r="IP70" i="39"/>
  <c r="IQ70" i="39"/>
  <c r="GQ70" i="39"/>
  <c r="GS70" i="39"/>
  <c r="BG81" i="39"/>
  <c r="IP81" i="39"/>
  <c r="GQ81" i="39"/>
  <c r="BF83" i="39"/>
  <c r="BJ83" i="39"/>
  <c r="W13" i="39"/>
  <c r="W14" i="39"/>
  <c r="IU14" i="39"/>
  <c r="W17" i="39"/>
  <c r="W21" i="39"/>
  <c r="W25" i="39"/>
  <c r="W29" i="39"/>
  <c r="Y29" i="39"/>
  <c r="W32" i="39"/>
  <c r="Y32" i="39"/>
  <c r="W33" i="39"/>
  <c r="W34" i="39"/>
  <c r="IU34" i="39"/>
  <c r="W37" i="39"/>
  <c r="W38" i="39"/>
  <c r="W41" i="39"/>
  <c r="W42" i="39"/>
  <c r="W44" i="39"/>
  <c r="W46" i="39"/>
  <c r="W47" i="39"/>
  <c r="IU47" i="39"/>
  <c r="W50" i="39"/>
  <c r="IU50" i="39"/>
  <c r="W51" i="39"/>
  <c r="W54" i="39"/>
  <c r="W55" i="39"/>
  <c r="IU55" i="39"/>
  <c r="W61" i="39"/>
  <c r="IU61" i="39"/>
  <c r="W70" i="39"/>
  <c r="IT9" i="39"/>
  <c r="IT10" i="39"/>
  <c r="IT11" i="39"/>
  <c r="IT12" i="39"/>
  <c r="IT13" i="39"/>
  <c r="IT14" i="39"/>
  <c r="IT15" i="39"/>
  <c r="IT16" i="39"/>
  <c r="IT17" i="39"/>
  <c r="IT18" i="39"/>
  <c r="IT19" i="39"/>
  <c r="IT20" i="39"/>
  <c r="IT21" i="39"/>
  <c r="IT22" i="39"/>
  <c r="IT23" i="39"/>
  <c r="IT24" i="39"/>
  <c r="IT25" i="39"/>
  <c r="IT26" i="39"/>
  <c r="IT27" i="39"/>
  <c r="IT28" i="39"/>
  <c r="IT29" i="39"/>
  <c r="IT30" i="39"/>
  <c r="IT31" i="39"/>
  <c r="IT32" i="39"/>
  <c r="IT33" i="39"/>
  <c r="IT34" i="39"/>
  <c r="IT35" i="39"/>
  <c r="IT36" i="39"/>
  <c r="IT37" i="39"/>
  <c r="IT38" i="39"/>
  <c r="IT39" i="39"/>
  <c r="IT40" i="39"/>
  <c r="IT41" i="39"/>
  <c r="IT42" i="39"/>
  <c r="IT44" i="39"/>
  <c r="IT45" i="39"/>
  <c r="IT46" i="39"/>
  <c r="IT47" i="39"/>
  <c r="IT48" i="39"/>
  <c r="IT49" i="39"/>
  <c r="IT50" i="39"/>
  <c r="IT51" i="39"/>
  <c r="IT52" i="39"/>
  <c r="IT53" i="39"/>
  <c r="IT54" i="39"/>
  <c r="IT55" i="39"/>
  <c r="IT56" i="39"/>
  <c r="IT57" i="39"/>
  <c r="IT58" i="39"/>
  <c r="IT59" i="39"/>
  <c r="IT60" i="39"/>
  <c r="IT61" i="39"/>
  <c r="IT62" i="39"/>
  <c r="IT63" i="39"/>
  <c r="IT64" i="39"/>
  <c r="IT65" i="39"/>
  <c r="IT66" i="39"/>
  <c r="IT67" i="39"/>
  <c r="IT68" i="39"/>
  <c r="IT69" i="39"/>
  <c r="IT70" i="39"/>
  <c r="IT71" i="39"/>
  <c r="IT72" i="39"/>
  <c r="IT73" i="39"/>
  <c r="IT74" i="39"/>
  <c r="IT75" i="39"/>
  <c r="IT76" i="39"/>
  <c r="IT77" i="39"/>
  <c r="IT78" i="39"/>
  <c r="IT79" i="39"/>
  <c r="IT80" i="39"/>
  <c r="IT81" i="39"/>
  <c r="IT82" i="39"/>
  <c r="IT83" i="39"/>
  <c r="GS9" i="39"/>
  <c r="GS80" i="39"/>
  <c r="GS81" i="39"/>
  <c r="EH9" i="39"/>
  <c r="EH10" i="39"/>
  <c r="EH11" i="39"/>
  <c r="EH12" i="39"/>
  <c r="EH13" i="39"/>
  <c r="EH14" i="39"/>
  <c r="EH15" i="39"/>
  <c r="EH16" i="39"/>
  <c r="EH17" i="39"/>
  <c r="EH18" i="39"/>
  <c r="EH19" i="39"/>
  <c r="EH20" i="39"/>
  <c r="EH21" i="39"/>
  <c r="EH22" i="39"/>
  <c r="EH23" i="39"/>
  <c r="EH24" i="39"/>
  <c r="EH25" i="39"/>
  <c r="EH26" i="39"/>
  <c r="EH27" i="39"/>
  <c r="EH28" i="39"/>
  <c r="EH29" i="39"/>
  <c r="EH30" i="39"/>
  <c r="EH31" i="39"/>
  <c r="EH32" i="39"/>
  <c r="EH33" i="39"/>
  <c r="EH34" i="39"/>
  <c r="EH35" i="39"/>
  <c r="EH36" i="39"/>
  <c r="EH37" i="39"/>
  <c r="EH38" i="39"/>
  <c r="EH39" i="39"/>
  <c r="EH40" i="39"/>
  <c r="EH41" i="39"/>
  <c r="EH42" i="39"/>
  <c r="EH44" i="39"/>
  <c r="EH45" i="39"/>
  <c r="EH46" i="39"/>
  <c r="EH47" i="39"/>
  <c r="EH48" i="39"/>
  <c r="EH49" i="39"/>
  <c r="EH50" i="39"/>
  <c r="EH51" i="39"/>
  <c r="EH52" i="39"/>
  <c r="EH53" i="39"/>
  <c r="EH54" i="39"/>
  <c r="EH56" i="39"/>
  <c r="EH57" i="39"/>
  <c r="EH58" i="39"/>
  <c r="EH59" i="39"/>
  <c r="EH60" i="39"/>
  <c r="EH61" i="39"/>
  <c r="EH62" i="39"/>
  <c r="EH63" i="39"/>
  <c r="EH64" i="39"/>
  <c r="EH65" i="39"/>
  <c r="EH66" i="39"/>
  <c r="EH67" i="39"/>
  <c r="EH68" i="39"/>
  <c r="EH69" i="39"/>
  <c r="EH70" i="39"/>
  <c r="EH71" i="39"/>
  <c r="EH72" i="39"/>
  <c r="EH73" i="39"/>
  <c r="EH74" i="39"/>
  <c r="EH75" i="39"/>
  <c r="EH76" i="39"/>
  <c r="EH77" i="39"/>
  <c r="EH78" i="39"/>
  <c r="EH79" i="39"/>
  <c r="EH80" i="39"/>
  <c r="EH82" i="39"/>
  <c r="EH83" i="39"/>
  <c r="EG9" i="39"/>
  <c r="EG10" i="39"/>
  <c r="EG11" i="39"/>
  <c r="EG12" i="39"/>
  <c r="EG13" i="39"/>
  <c r="EG14" i="39"/>
  <c r="EG15" i="39"/>
  <c r="EG16" i="39"/>
  <c r="EG17" i="39"/>
  <c r="EG18" i="39"/>
  <c r="EG19" i="39"/>
  <c r="EG20" i="39"/>
  <c r="EG21" i="39"/>
  <c r="EG22" i="39"/>
  <c r="EG23" i="39"/>
  <c r="EG24" i="39"/>
  <c r="EG25" i="39"/>
  <c r="EG26" i="39"/>
  <c r="EG27" i="39"/>
  <c r="EG28" i="39"/>
  <c r="EG29" i="39"/>
  <c r="EG30" i="39"/>
  <c r="EG31" i="39"/>
  <c r="EG32" i="39"/>
  <c r="EG33" i="39"/>
  <c r="EG34" i="39"/>
  <c r="EG35" i="39"/>
  <c r="EG36" i="39"/>
  <c r="EG37" i="39"/>
  <c r="EG38" i="39"/>
  <c r="EG39" i="39"/>
  <c r="EG40" i="39"/>
  <c r="EG41" i="39"/>
  <c r="EG42" i="39"/>
  <c r="EG44" i="39"/>
  <c r="EG45" i="39"/>
  <c r="EG46" i="39"/>
  <c r="EG47" i="39"/>
  <c r="EG48" i="39"/>
  <c r="EG49" i="39"/>
  <c r="EG50" i="39"/>
  <c r="EG51" i="39"/>
  <c r="EG52" i="39"/>
  <c r="EG53" i="39"/>
  <c r="EG54" i="39"/>
  <c r="EG56" i="39"/>
  <c r="EG57" i="39"/>
  <c r="EG58" i="39"/>
  <c r="EG59" i="39"/>
  <c r="EG60" i="39"/>
  <c r="EG61" i="39"/>
  <c r="EG62" i="39"/>
  <c r="EG63" i="39"/>
  <c r="EG64" i="39"/>
  <c r="EG65" i="39"/>
  <c r="EG66" i="39"/>
  <c r="EG67" i="39"/>
  <c r="EG68" i="39"/>
  <c r="EG69" i="39"/>
  <c r="EG70" i="39"/>
  <c r="EG71" i="39"/>
  <c r="EG72" i="39"/>
  <c r="EG73" i="39"/>
  <c r="EG74" i="39"/>
  <c r="EG75" i="39"/>
  <c r="EG76" i="39"/>
  <c r="EG77" i="39"/>
  <c r="EG78" i="39"/>
  <c r="EG79" i="39"/>
  <c r="EG80" i="39"/>
  <c r="EG81" i="39"/>
  <c r="EG82" i="39"/>
  <c r="EG83" i="39"/>
  <c r="DW9" i="39"/>
  <c r="DW10" i="39"/>
  <c r="DX10" i="39"/>
  <c r="DY10" i="39"/>
  <c r="DZ10" i="39"/>
  <c r="EA10" i="39"/>
  <c r="DW11" i="39"/>
  <c r="DW12" i="39"/>
  <c r="DX12" i="39"/>
  <c r="DY12" i="39"/>
  <c r="DZ12" i="39"/>
  <c r="EB12" i="39"/>
  <c r="EA12" i="39"/>
  <c r="DW13" i="39"/>
  <c r="DX13" i="39"/>
  <c r="DY13" i="39"/>
  <c r="DZ13" i="39"/>
  <c r="EA13" i="39"/>
  <c r="DW14" i="39"/>
  <c r="DX14" i="39"/>
  <c r="DY14" i="39"/>
  <c r="DZ14" i="39"/>
  <c r="EA14" i="39"/>
  <c r="EB14" i="39"/>
  <c r="DW15" i="39"/>
  <c r="DW16" i="39"/>
  <c r="DX16" i="39"/>
  <c r="DY16" i="39"/>
  <c r="DZ16" i="39"/>
  <c r="EA16" i="39"/>
  <c r="DW17" i="39"/>
  <c r="DW18" i="39"/>
  <c r="DX18" i="39"/>
  <c r="DY18" i="39"/>
  <c r="DZ18" i="39"/>
  <c r="EA18" i="39"/>
  <c r="DW19" i="39"/>
  <c r="DW20" i="39"/>
  <c r="DW21" i="39"/>
  <c r="DX21" i="39"/>
  <c r="DY21" i="39"/>
  <c r="DZ21" i="39"/>
  <c r="EA21" i="39"/>
  <c r="DW22" i="39"/>
  <c r="DX22" i="39"/>
  <c r="DY22" i="39"/>
  <c r="DZ22" i="39"/>
  <c r="EA22" i="39"/>
  <c r="DW23" i="39"/>
  <c r="DW24" i="39"/>
  <c r="DW25" i="39"/>
  <c r="DW26" i="39"/>
  <c r="DW27" i="39"/>
  <c r="DW28" i="39"/>
  <c r="DW29" i="39"/>
  <c r="DW30" i="39"/>
  <c r="DX30" i="39"/>
  <c r="DY30" i="39"/>
  <c r="DZ30" i="39"/>
  <c r="EA30" i="39"/>
  <c r="DW31" i="39"/>
  <c r="DW32" i="39"/>
  <c r="DX32" i="39"/>
  <c r="DY32" i="39"/>
  <c r="DZ32" i="39"/>
  <c r="EA32" i="39"/>
  <c r="DX9" i="39"/>
  <c r="DY9" i="39"/>
  <c r="DZ79" i="39"/>
  <c r="EA9" i="39"/>
  <c r="DX11" i="39"/>
  <c r="DY11" i="39"/>
  <c r="DZ11" i="39"/>
  <c r="EA11" i="39"/>
  <c r="DX15" i="39"/>
  <c r="DY15" i="39"/>
  <c r="DZ15" i="39"/>
  <c r="EA15" i="39"/>
  <c r="DX17" i="39"/>
  <c r="DY17" i="39"/>
  <c r="DZ17" i="39"/>
  <c r="EA17" i="39"/>
  <c r="DX19" i="39"/>
  <c r="DY19" i="39"/>
  <c r="DZ19" i="39"/>
  <c r="EA19" i="39"/>
  <c r="DX20" i="39"/>
  <c r="DY20" i="39"/>
  <c r="DZ20" i="39"/>
  <c r="EA20" i="39"/>
  <c r="DX23" i="39"/>
  <c r="DY23" i="39"/>
  <c r="DZ23" i="39"/>
  <c r="EA23" i="39"/>
  <c r="DX24" i="39"/>
  <c r="DY24" i="39"/>
  <c r="DZ24" i="39"/>
  <c r="EA24" i="39"/>
  <c r="DX25" i="39"/>
  <c r="DY25" i="39"/>
  <c r="DZ25" i="39"/>
  <c r="EA25" i="39"/>
  <c r="DX26" i="39"/>
  <c r="DY26" i="39"/>
  <c r="DZ26" i="39"/>
  <c r="EA26" i="39"/>
  <c r="DX27" i="39"/>
  <c r="DY27" i="39"/>
  <c r="DZ27" i="39"/>
  <c r="EA27" i="39"/>
  <c r="DX28" i="39"/>
  <c r="DY28" i="39"/>
  <c r="DZ28" i="39"/>
  <c r="EA28" i="39"/>
  <c r="DX29" i="39"/>
  <c r="DY29" i="39"/>
  <c r="DZ29" i="39"/>
  <c r="EA29" i="39"/>
  <c r="DX31" i="39"/>
  <c r="DY31" i="39"/>
  <c r="DZ31" i="39"/>
  <c r="EA31" i="39"/>
  <c r="DW33" i="39"/>
  <c r="DX33" i="39"/>
  <c r="DY33" i="39"/>
  <c r="EB33" i="39"/>
  <c r="DZ33" i="39"/>
  <c r="EA33" i="39"/>
  <c r="DW34" i="39"/>
  <c r="DX34" i="39"/>
  <c r="DY34" i="39"/>
  <c r="DZ34" i="39"/>
  <c r="EA34" i="39"/>
  <c r="DW35" i="39"/>
  <c r="DX35" i="39"/>
  <c r="DY35" i="39"/>
  <c r="DZ35" i="39"/>
  <c r="EA35" i="39"/>
  <c r="DW36" i="39"/>
  <c r="DX36" i="39"/>
  <c r="DY36" i="39"/>
  <c r="DZ36" i="39"/>
  <c r="EB36" i="39"/>
  <c r="EA36" i="39"/>
  <c r="DW37" i="39"/>
  <c r="DX37" i="39"/>
  <c r="DY37" i="39"/>
  <c r="DZ37" i="39"/>
  <c r="EA37" i="39"/>
  <c r="DW38" i="39"/>
  <c r="DX38" i="39"/>
  <c r="DY38" i="39"/>
  <c r="DZ38" i="39"/>
  <c r="EA38" i="39"/>
  <c r="DW39" i="39"/>
  <c r="DX39" i="39"/>
  <c r="DY39" i="39"/>
  <c r="DZ39" i="39"/>
  <c r="EA39" i="39"/>
  <c r="DW40" i="39"/>
  <c r="DX40" i="39"/>
  <c r="DY40" i="39"/>
  <c r="DZ40" i="39"/>
  <c r="EA40" i="39"/>
  <c r="DW41" i="39"/>
  <c r="DX41" i="39"/>
  <c r="DY41" i="39"/>
  <c r="DZ41" i="39"/>
  <c r="EA41" i="39"/>
  <c r="DW42" i="39"/>
  <c r="DX42" i="39"/>
  <c r="DY42" i="39"/>
  <c r="DZ42" i="39"/>
  <c r="EA42" i="39"/>
  <c r="DW44" i="39"/>
  <c r="DX44" i="39"/>
  <c r="DY44" i="39"/>
  <c r="DZ44" i="39"/>
  <c r="EA44" i="39"/>
  <c r="DW45" i="39"/>
  <c r="DX45" i="39"/>
  <c r="DY45" i="39"/>
  <c r="DZ45" i="39"/>
  <c r="EA45" i="39"/>
  <c r="DW46" i="39"/>
  <c r="DX46" i="39"/>
  <c r="DY46" i="39"/>
  <c r="DZ46" i="39"/>
  <c r="EA46" i="39"/>
  <c r="DW47" i="39"/>
  <c r="DX47" i="39"/>
  <c r="DY47" i="39"/>
  <c r="DZ47" i="39"/>
  <c r="EA47" i="39"/>
  <c r="DW48" i="39"/>
  <c r="DX48" i="39"/>
  <c r="DY48" i="39"/>
  <c r="DZ48" i="39"/>
  <c r="EA48" i="39"/>
  <c r="DW49" i="39"/>
  <c r="DX49" i="39"/>
  <c r="DY49" i="39"/>
  <c r="DZ49" i="39"/>
  <c r="EA49" i="39"/>
  <c r="DW50" i="39"/>
  <c r="DX50" i="39"/>
  <c r="DY50" i="39"/>
  <c r="DZ50" i="39"/>
  <c r="EA50" i="39"/>
  <c r="DW51" i="39"/>
  <c r="DX51" i="39"/>
  <c r="DY51" i="39"/>
  <c r="DZ51" i="39"/>
  <c r="EA51" i="39"/>
  <c r="DW52" i="39"/>
  <c r="DX52" i="39"/>
  <c r="DY52" i="39"/>
  <c r="DZ52" i="39"/>
  <c r="EA52" i="39"/>
  <c r="DW53" i="39"/>
  <c r="DX53" i="39"/>
  <c r="DY53" i="39"/>
  <c r="DZ53" i="39"/>
  <c r="EA53" i="39"/>
  <c r="DW54" i="39"/>
  <c r="DX54" i="39"/>
  <c r="DY54" i="39"/>
  <c r="DZ54" i="39"/>
  <c r="EA54" i="39"/>
  <c r="DW55" i="39"/>
  <c r="DX55" i="39"/>
  <c r="DY55" i="39"/>
  <c r="DZ55" i="39"/>
  <c r="EA55" i="39"/>
  <c r="EB55" i="39"/>
  <c r="DW56" i="39"/>
  <c r="DX56" i="39"/>
  <c r="DY56" i="39"/>
  <c r="DZ56" i="39"/>
  <c r="EA56" i="39"/>
  <c r="DW57" i="39"/>
  <c r="DX57" i="39"/>
  <c r="DY57" i="39"/>
  <c r="DZ57" i="39"/>
  <c r="EA57" i="39"/>
  <c r="DW58" i="39"/>
  <c r="DX58" i="39"/>
  <c r="DY58" i="39"/>
  <c r="DZ58" i="39"/>
  <c r="EA58" i="39"/>
  <c r="DW59" i="39"/>
  <c r="DX59" i="39"/>
  <c r="DY59" i="39"/>
  <c r="DZ59" i="39"/>
  <c r="EA59" i="39"/>
  <c r="DW60" i="39"/>
  <c r="DX60" i="39"/>
  <c r="DY60" i="39"/>
  <c r="DZ60" i="39"/>
  <c r="EA60" i="39"/>
  <c r="DW61" i="39"/>
  <c r="DX61" i="39"/>
  <c r="DY61" i="39"/>
  <c r="DZ61" i="39"/>
  <c r="EA61" i="39"/>
  <c r="DW62" i="39"/>
  <c r="DX62" i="39"/>
  <c r="DY62" i="39"/>
  <c r="DZ62" i="39"/>
  <c r="EA62" i="39"/>
  <c r="DW63" i="39"/>
  <c r="DX63" i="39"/>
  <c r="DY63" i="39"/>
  <c r="DZ63" i="39"/>
  <c r="EA63" i="39"/>
  <c r="DW64" i="39"/>
  <c r="DX64" i="39"/>
  <c r="DY64" i="39"/>
  <c r="DZ64" i="39"/>
  <c r="EA64" i="39"/>
  <c r="DW65" i="39"/>
  <c r="DX65" i="39"/>
  <c r="DY65" i="39"/>
  <c r="DZ65" i="39"/>
  <c r="EA65" i="39"/>
  <c r="DW66" i="39"/>
  <c r="DX66" i="39"/>
  <c r="DY66" i="39"/>
  <c r="DZ66" i="39"/>
  <c r="EA66" i="39"/>
  <c r="DW67" i="39"/>
  <c r="DX67" i="39"/>
  <c r="DY67" i="39"/>
  <c r="DZ67" i="39"/>
  <c r="EA67" i="39"/>
  <c r="DW68" i="39"/>
  <c r="DX68" i="39"/>
  <c r="DY68" i="39"/>
  <c r="DZ68" i="39"/>
  <c r="EB68" i="39"/>
  <c r="EA68" i="39"/>
  <c r="DW69" i="39"/>
  <c r="DX69" i="39"/>
  <c r="DY69" i="39"/>
  <c r="DZ69" i="39"/>
  <c r="EA69" i="39"/>
  <c r="DW70" i="39"/>
  <c r="DX70" i="39"/>
  <c r="DY70" i="39"/>
  <c r="DZ70" i="39"/>
  <c r="EA70" i="39"/>
  <c r="DW71" i="39"/>
  <c r="DX71" i="39"/>
  <c r="DY71" i="39"/>
  <c r="DZ71" i="39"/>
  <c r="EA71" i="39"/>
  <c r="DW72" i="39"/>
  <c r="DX72" i="39"/>
  <c r="DY72" i="39"/>
  <c r="DZ72" i="39"/>
  <c r="EA72" i="39"/>
  <c r="DW73" i="39"/>
  <c r="DX73" i="39"/>
  <c r="DY73" i="39"/>
  <c r="DZ73" i="39"/>
  <c r="EA73" i="39"/>
  <c r="DW74" i="39"/>
  <c r="DX74" i="39"/>
  <c r="DY74" i="39"/>
  <c r="DZ74" i="39"/>
  <c r="EA74" i="39"/>
  <c r="DW75" i="39"/>
  <c r="DX75" i="39"/>
  <c r="DY75" i="39"/>
  <c r="DZ75" i="39"/>
  <c r="EA75" i="39"/>
  <c r="DW76" i="39"/>
  <c r="DX76" i="39"/>
  <c r="DY76" i="39"/>
  <c r="DZ76" i="39"/>
  <c r="EA76" i="39"/>
  <c r="DW77" i="39"/>
  <c r="DX77" i="39"/>
  <c r="DY77" i="39"/>
  <c r="DZ77" i="39"/>
  <c r="EA77" i="39"/>
  <c r="DW78" i="39"/>
  <c r="DX78" i="39"/>
  <c r="DY78" i="39"/>
  <c r="DZ78" i="39"/>
  <c r="EA78" i="39"/>
  <c r="DW79" i="39"/>
  <c r="DX79" i="39"/>
  <c r="DY79" i="39"/>
  <c r="EA79" i="39"/>
  <c r="DW80" i="39"/>
  <c r="DX80" i="39"/>
  <c r="DY80" i="39"/>
  <c r="DZ80" i="39"/>
  <c r="EA80" i="39"/>
  <c r="DW81" i="39"/>
  <c r="DX81" i="39"/>
  <c r="DY81" i="39"/>
  <c r="EA81" i="39"/>
  <c r="DW82" i="39"/>
  <c r="DX82" i="39"/>
  <c r="DY82" i="39"/>
  <c r="DZ82" i="39"/>
  <c r="EA82" i="39"/>
  <c r="DW83" i="39"/>
  <c r="DX83" i="39"/>
  <c r="DY83" i="39"/>
  <c r="DZ83" i="39"/>
  <c r="EA83" i="39"/>
  <c r="DV10" i="39"/>
  <c r="DV11" i="39"/>
  <c r="DV12" i="39"/>
  <c r="DV13" i="39"/>
  <c r="DV14" i="39"/>
  <c r="DV15" i="39"/>
  <c r="DV16" i="39"/>
  <c r="DV17" i="39"/>
  <c r="DV18" i="39"/>
  <c r="DV19" i="39"/>
  <c r="DV20" i="39"/>
  <c r="DV21" i="39"/>
  <c r="DV22" i="39"/>
  <c r="DV23" i="39"/>
  <c r="DV24" i="39"/>
  <c r="DV25" i="39"/>
  <c r="DV26" i="39"/>
  <c r="DV27" i="39"/>
  <c r="DV28" i="39"/>
  <c r="DV29" i="39"/>
  <c r="DV30" i="39"/>
  <c r="DV31" i="39"/>
  <c r="DV32" i="39"/>
  <c r="DV33" i="39"/>
  <c r="DV34" i="39"/>
  <c r="DV35" i="39"/>
  <c r="DV36" i="39"/>
  <c r="DV37" i="39"/>
  <c r="DV38" i="39"/>
  <c r="DV39" i="39"/>
  <c r="DV40" i="39"/>
  <c r="DV41" i="39"/>
  <c r="DV42" i="39"/>
  <c r="DV44" i="39"/>
  <c r="DV45" i="39"/>
  <c r="DV67" i="39"/>
  <c r="DV73" i="39"/>
  <c r="DV46" i="39"/>
  <c r="DV47" i="39"/>
  <c r="DV48" i="39"/>
  <c r="DV49" i="39"/>
  <c r="DV50" i="39"/>
  <c r="DV51" i="39"/>
  <c r="DV52" i="39"/>
  <c r="DV53" i="39"/>
  <c r="DV54" i="39"/>
  <c r="DV55" i="39"/>
  <c r="DV56" i="39"/>
  <c r="DV57" i="39"/>
  <c r="DV58" i="39"/>
  <c r="DV59" i="39"/>
  <c r="DV60" i="39"/>
  <c r="DV61" i="39"/>
  <c r="DV62" i="39"/>
  <c r="DV63" i="39"/>
  <c r="DV64" i="39"/>
  <c r="DV65" i="39"/>
  <c r="DV66" i="39"/>
  <c r="DV68" i="39"/>
  <c r="DV69" i="39"/>
  <c r="DV70" i="39"/>
  <c r="DV71" i="39"/>
  <c r="DV72" i="39"/>
  <c r="DV74" i="39"/>
  <c r="DV75" i="39"/>
  <c r="DV76" i="39"/>
  <c r="DV77" i="39"/>
  <c r="DV78" i="39"/>
  <c r="DV79" i="39"/>
  <c r="DV80" i="39"/>
  <c r="DV81" i="39"/>
  <c r="DV82" i="39"/>
  <c r="DV83" i="39"/>
  <c r="BF9" i="39"/>
  <c r="BF11" i="39"/>
  <c r="BJ11" i="39"/>
  <c r="BF12" i="39"/>
  <c r="BF13" i="39"/>
  <c r="BJ15" i="39"/>
  <c r="BF16" i="39"/>
  <c r="BF18" i="39"/>
  <c r="BF20" i="39"/>
  <c r="BF24" i="39"/>
  <c r="BF28" i="39"/>
  <c r="BJ28" i="39"/>
  <c r="BF32" i="39"/>
  <c r="BJ32" i="39"/>
  <c r="BF34" i="39"/>
  <c r="BF37" i="39"/>
  <c r="BF38" i="39"/>
  <c r="BF40" i="39"/>
  <c r="BF41" i="39"/>
  <c r="BF42" i="39"/>
  <c r="BJ42" i="39"/>
  <c r="BJ9" i="39"/>
  <c r="BJ10" i="39"/>
  <c r="BJ12" i="39"/>
  <c r="BJ13" i="39"/>
  <c r="BJ14" i="39"/>
  <c r="BJ16" i="39"/>
  <c r="BJ17" i="39"/>
  <c r="BJ18" i="39"/>
  <c r="BJ19" i="39"/>
  <c r="BJ20" i="39"/>
  <c r="BJ21" i="39"/>
  <c r="BJ22" i="39"/>
  <c r="BJ23" i="39"/>
  <c r="BJ24" i="39"/>
  <c r="BJ25" i="39"/>
  <c r="BJ27" i="39"/>
  <c r="BJ29" i="39"/>
  <c r="BJ30" i="39"/>
  <c r="BJ31" i="39"/>
  <c r="BF31" i="39"/>
  <c r="BJ33" i="39"/>
  <c r="BJ34" i="39"/>
  <c r="BJ35" i="39"/>
  <c r="BJ36" i="39"/>
  <c r="BJ37" i="39"/>
  <c r="BJ38" i="39"/>
  <c r="BJ39" i="39"/>
  <c r="BJ40" i="39"/>
  <c r="BJ41" i="39"/>
  <c r="BJ44" i="39"/>
  <c r="BJ45" i="39"/>
  <c r="BJ46" i="39"/>
  <c r="BJ47" i="39"/>
  <c r="BJ48" i="39"/>
  <c r="BJ49" i="39"/>
  <c r="BJ50" i="39"/>
  <c r="BJ51" i="39"/>
  <c r="BF51" i="39"/>
  <c r="BJ52" i="39"/>
  <c r="BF53" i="39"/>
  <c r="BJ53" i="39"/>
  <c r="BJ54" i="39"/>
  <c r="BF56" i="39"/>
  <c r="BJ56" i="39"/>
  <c r="BJ57" i="39"/>
  <c r="BJ58" i="39"/>
  <c r="BF59" i="39"/>
  <c r="BJ59" i="39"/>
  <c r="BF60" i="39"/>
  <c r="BJ60" i="39"/>
  <c r="BJ61" i="39"/>
  <c r="BJ62" i="39"/>
  <c r="BF63" i="39"/>
  <c r="BJ63" i="39"/>
  <c r="BJ64" i="39"/>
  <c r="BF65" i="39"/>
  <c r="BJ65" i="39"/>
  <c r="BJ66" i="39"/>
  <c r="BF67" i="39"/>
  <c r="BJ67" i="39"/>
  <c r="BJ68" i="39"/>
  <c r="BJ69" i="39"/>
  <c r="BJ70" i="39"/>
  <c r="BJ71" i="39"/>
  <c r="BJ72" i="39"/>
  <c r="BJ73" i="39"/>
  <c r="BJ74" i="39"/>
  <c r="BJ75" i="39"/>
  <c r="BF76" i="39"/>
  <c r="BJ76" i="39"/>
  <c r="BJ77" i="39"/>
  <c r="BF78" i="39"/>
  <c r="BJ78" i="39"/>
  <c r="BJ79" i="39"/>
  <c r="BJ80" i="39"/>
  <c r="BF81" i="39"/>
  <c r="BJ81" i="39"/>
  <c r="BJ82" i="39"/>
  <c r="AF9" i="39"/>
  <c r="AF10" i="39"/>
  <c r="BE10" i="39"/>
  <c r="AF11" i="39"/>
  <c r="BE11" i="39"/>
  <c r="AF12" i="39"/>
  <c r="BE12" i="39"/>
  <c r="AF13" i="39"/>
  <c r="AF14" i="39"/>
  <c r="BE14" i="39"/>
  <c r="AF15" i="39"/>
  <c r="BE15" i="39"/>
  <c r="AF16" i="39"/>
  <c r="BE16" i="39"/>
  <c r="AF17" i="39"/>
  <c r="BE17" i="39"/>
  <c r="AF18" i="39"/>
  <c r="BE18" i="39"/>
  <c r="AF19" i="39"/>
  <c r="BE19" i="39"/>
  <c r="AF20" i="39"/>
  <c r="BE20" i="39"/>
  <c r="AF21" i="39"/>
  <c r="BE21" i="39"/>
  <c r="AF22" i="39"/>
  <c r="BE22" i="39"/>
  <c r="AF23" i="39"/>
  <c r="BE23" i="39"/>
  <c r="AF24" i="39"/>
  <c r="BE24" i="39"/>
  <c r="AF25" i="39"/>
  <c r="BE25" i="39"/>
  <c r="AF26" i="39"/>
  <c r="BE26" i="39"/>
  <c r="AF27" i="39"/>
  <c r="BE27" i="39"/>
  <c r="AF28" i="39"/>
  <c r="BE28" i="39"/>
  <c r="AF29" i="39"/>
  <c r="BE29" i="39"/>
  <c r="AF30" i="39"/>
  <c r="BE30" i="39"/>
  <c r="AF31" i="39"/>
  <c r="BE31" i="39"/>
  <c r="AF32" i="39"/>
  <c r="BE32" i="39"/>
  <c r="AF33" i="39"/>
  <c r="BE33" i="39"/>
  <c r="AF34" i="39"/>
  <c r="BE34" i="39"/>
  <c r="AF35" i="39"/>
  <c r="BE35" i="39"/>
  <c r="AF36" i="39"/>
  <c r="BE36" i="39"/>
  <c r="AF37" i="39"/>
  <c r="BE37" i="39"/>
  <c r="AF38" i="39"/>
  <c r="BE38" i="39"/>
  <c r="AF39" i="39"/>
  <c r="BE39" i="39"/>
  <c r="AF40" i="39"/>
  <c r="BE40" i="39"/>
  <c r="AF41" i="39"/>
  <c r="BE41" i="39"/>
  <c r="AF42" i="39"/>
  <c r="BE42" i="39"/>
  <c r="AF44" i="39"/>
  <c r="BE44" i="39"/>
  <c r="AF45" i="39"/>
  <c r="BE45" i="39"/>
  <c r="AF46" i="39"/>
  <c r="BE46" i="39"/>
  <c r="AF47" i="39"/>
  <c r="BE47" i="39"/>
  <c r="AF48" i="39"/>
  <c r="BE48" i="39"/>
  <c r="AF49" i="39"/>
  <c r="BE49" i="39"/>
  <c r="AF50" i="39"/>
  <c r="BE50" i="39"/>
  <c r="AF51" i="39"/>
  <c r="BE51" i="39"/>
  <c r="AF52" i="39"/>
  <c r="BE52" i="39"/>
  <c r="AF53" i="39"/>
  <c r="BE53" i="39"/>
  <c r="AF54" i="39"/>
  <c r="BE54" i="39"/>
  <c r="AF55" i="39"/>
  <c r="BE55" i="39"/>
  <c r="AF56" i="39"/>
  <c r="AF57" i="39"/>
  <c r="BE57" i="39"/>
  <c r="AF58" i="39"/>
  <c r="BE58" i="39"/>
  <c r="AF59" i="39"/>
  <c r="BE59" i="39"/>
  <c r="AF60" i="39"/>
  <c r="AF61" i="39"/>
  <c r="BE61" i="39"/>
  <c r="AF62" i="39"/>
  <c r="BE62" i="39"/>
  <c r="AF63" i="39"/>
  <c r="BE63" i="39"/>
  <c r="AF64" i="39"/>
  <c r="AF65" i="39"/>
  <c r="BE65" i="39"/>
  <c r="AF66" i="39"/>
  <c r="BE66" i="39"/>
  <c r="AF67" i="39"/>
  <c r="BE67" i="39"/>
  <c r="AF68" i="39"/>
  <c r="BE68" i="39"/>
  <c r="AF69" i="39"/>
  <c r="BE69" i="39"/>
  <c r="AF70" i="39"/>
  <c r="BE70" i="39"/>
  <c r="AF71" i="39"/>
  <c r="BE71" i="39"/>
  <c r="AF72" i="39"/>
  <c r="BE72" i="39"/>
  <c r="AF73" i="39"/>
  <c r="BE73" i="39"/>
  <c r="AF74" i="39"/>
  <c r="BE74" i="39"/>
  <c r="AF76" i="39"/>
  <c r="BE76" i="39"/>
  <c r="AF77" i="39"/>
  <c r="BE77" i="39"/>
  <c r="AF78" i="39"/>
  <c r="BE78" i="39"/>
  <c r="AF80" i="39"/>
  <c r="BE80" i="39"/>
  <c r="AF81" i="39"/>
  <c r="BE81" i="39"/>
  <c r="AF82" i="39"/>
  <c r="BE82" i="39"/>
  <c r="AF83" i="39"/>
  <c r="BE83" i="39"/>
  <c r="AC59" i="39"/>
  <c r="X59" i="39"/>
  <c r="T59" i="39"/>
  <c r="P59" i="39"/>
  <c r="L59" i="39"/>
  <c r="H59" i="39"/>
  <c r="JQ59" i="35"/>
  <c r="JQ10" i="35"/>
  <c r="JQ11" i="35"/>
  <c r="JQ12" i="35"/>
  <c r="JQ13" i="35"/>
  <c r="JQ14" i="35"/>
  <c r="JQ15" i="35"/>
  <c r="JQ16" i="35"/>
  <c r="JQ17" i="35"/>
  <c r="JQ18" i="35"/>
  <c r="JQ19" i="35"/>
  <c r="JQ20" i="35"/>
  <c r="JQ21" i="35"/>
  <c r="JQ22" i="35"/>
  <c r="JQ23" i="35"/>
  <c r="JQ24" i="35"/>
  <c r="JQ25" i="35"/>
  <c r="JQ26" i="35"/>
  <c r="JQ27" i="35"/>
  <c r="JQ28" i="35"/>
  <c r="JQ29" i="35"/>
  <c r="JQ30" i="35"/>
  <c r="JQ31" i="35"/>
  <c r="JQ32" i="35"/>
  <c r="JQ33" i="35"/>
  <c r="JQ34" i="35"/>
  <c r="JQ35" i="35"/>
  <c r="JQ36" i="35"/>
  <c r="JQ37" i="35"/>
  <c r="JQ38" i="35"/>
  <c r="JQ39" i="35"/>
  <c r="JQ40" i="35"/>
  <c r="JQ42" i="35"/>
  <c r="JQ43" i="35"/>
  <c r="JQ44" i="35"/>
  <c r="JQ45" i="35"/>
  <c r="JQ46" i="35"/>
  <c r="JQ47" i="35"/>
  <c r="JQ48" i="35"/>
  <c r="JQ49" i="35"/>
  <c r="JQ50" i="35"/>
  <c r="JQ52" i="35"/>
  <c r="JQ53" i="35"/>
  <c r="JQ54" i="35"/>
  <c r="JQ55" i="35"/>
  <c r="JQ57" i="35"/>
  <c r="JQ58" i="35"/>
  <c r="JP10" i="35"/>
  <c r="JP11" i="35"/>
  <c r="JP12" i="35"/>
  <c r="JP13" i="35"/>
  <c r="JP14" i="35"/>
  <c r="JP15" i="35"/>
  <c r="JP16" i="35"/>
  <c r="JP17" i="35"/>
  <c r="JP18" i="35"/>
  <c r="JP19" i="35"/>
  <c r="JP20" i="35"/>
  <c r="JP21" i="35"/>
  <c r="JP22" i="35"/>
  <c r="JP23" i="35"/>
  <c r="JP24" i="35"/>
  <c r="JP25" i="35"/>
  <c r="JP26" i="35"/>
  <c r="JP27" i="35"/>
  <c r="JP28" i="35"/>
  <c r="JP29" i="35"/>
  <c r="JP30" i="35"/>
  <c r="JP31" i="35"/>
  <c r="JP32" i="35"/>
  <c r="JP33" i="35"/>
  <c r="JP34" i="35"/>
  <c r="JP35" i="35"/>
  <c r="JP36" i="35"/>
  <c r="JP37" i="35"/>
  <c r="JP38" i="35"/>
  <c r="JP39" i="35"/>
  <c r="JP40" i="35"/>
  <c r="JP42" i="35"/>
  <c r="JP43" i="35"/>
  <c r="JP44" i="35"/>
  <c r="JP45" i="35"/>
  <c r="JP46" i="35"/>
  <c r="JP47" i="35"/>
  <c r="JP48" i="35"/>
  <c r="JP49" i="35"/>
  <c r="JP50" i="35"/>
  <c r="JP52" i="35"/>
  <c r="JP53" i="35"/>
  <c r="JP54" i="35"/>
  <c r="JP55" i="35"/>
  <c r="JP57" i="35"/>
  <c r="JP58" i="35"/>
  <c r="JP59" i="35"/>
  <c r="JQ10" i="34"/>
  <c r="JQ11" i="34"/>
  <c r="JQ12" i="34"/>
  <c r="JQ13" i="34"/>
  <c r="JQ14" i="34"/>
  <c r="JQ15" i="34"/>
  <c r="JQ16" i="34"/>
  <c r="JQ17" i="34"/>
  <c r="JQ18" i="34"/>
  <c r="JQ19" i="34"/>
  <c r="JQ20" i="34"/>
  <c r="JQ21" i="34"/>
  <c r="JQ22" i="34"/>
  <c r="JQ23" i="34"/>
  <c r="JQ24" i="34"/>
  <c r="JQ25" i="34"/>
  <c r="JQ26" i="34"/>
  <c r="JQ27" i="34"/>
  <c r="JQ28" i="34"/>
  <c r="JQ29" i="34"/>
  <c r="JQ30" i="34"/>
  <c r="JQ31" i="34"/>
  <c r="JQ32" i="34"/>
  <c r="JQ33" i="34"/>
  <c r="JQ34" i="34"/>
  <c r="JQ35" i="34"/>
  <c r="JQ36" i="34"/>
  <c r="JQ37" i="34"/>
  <c r="JQ38" i="34"/>
  <c r="JQ39" i="34"/>
  <c r="JQ40" i="34"/>
  <c r="JQ41" i="34"/>
  <c r="JQ42" i="34"/>
  <c r="JQ43" i="34"/>
  <c r="JQ44" i="34"/>
  <c r="JQ45" i="34"/>
  <c r="JQ46" i="34"/>
  <c r="JQ47" i="34"/>
  <c r="JQ48" i="34"/>
  <c r="JQ49" i="34"/>
  <c r="JQ50" i="34"/>
  <c r="JQ51" i="34"/>
  <c r="JQ53" i="34"/>
  <c r="JQ54" i="34"/>
  <c r="JQ55" i="34"/>
  <c r="JP10" i="34"/>
  <c r="JP11" i="34"/>
  <c r="JP12" i="34"/>
  <c r="JP13" i="34"/>
  <c r="JP14" i="34"/>
  <c r="JP15" i="34"/>
  <c r="JP16" i="34"/>
  <c r="JP17" i="34"/>
  <c r="JP18" i="34"/>
  <c r="JP19" i="34"/>
  <c r="JP20" i="34"/>
  <c r="JP21" i="34"/>
  <c r="JP22" i="34"/>
  <c r="JP23" i="34"/>
  <c r="JP24" i="34"/>
  <c r="JP25" i="34"/>
  <c r="JP26" i="34"/>
  <c r="JP27" i="34"/>
  <c r="JP28" i="34"/>
  <c r="JP29" i="34"/>
  <c r="JP30" i="34"/>
  <c r="JP31" i="34"/>
  <c r="JP32" i="34"/>
  <c r="JP33" i="34"/>
  <c r="JP34" i="34"/>
  <c r="JP35" i="34"/>
  <c r="JP36" i="34"/>
  <c r="JP37" i="34"/>
  <c r="JP38" i="34"/>
  <c r="JP39" i="34"/>
  <c r="JP40" i="34"/>
  <c r="JP41" i="34"/>
  <c r="JP42" i="34"/>
  <c r="JP43" i="34"/>
  <c r="JP44" i="34"/>
  <c r="JP45" i="34"/>
  <c r="JP46" i="34"/>
  <c r="JP47" i="34"/>
  <c r="JP48" i="34"/>
  <c r="JP49" i="34"/>
  <c r="JP50" i="34"/>
  <c r="JP51" i="34"/>
  <c r="JP53" i="34"/>
  <c r="JP54" i="34"/>
  <c r="JP55" i="34"/>
  <c r="JQ10" i="32"/>
  <c r="JQ11" i="32"/>
  <c r="JQ12" i="32"/>
  <c r="JQ13" i="32"/>
  <c r="JQ14" i="32"/>
  <c r="JQ15" i="32"/>
  <c r="JQ16" i="32"/>
  <c r="JQ17" i="32"/>
  <c r="JQ18" i="32"/>
  <c r="JQ19" i="32"/>
  <c r="JQ20" i="32"/>
  <c r="JQ21" i="32"/>
  <c r="JQ22" i="32"/>
  <c r="JQ23" i="32"/>
  <c r="JR23" i="32"/>
  <c r="JS23" i="32"/>
  <c r="JT23" i="32"/>
  <c r="JU23" i="32"/>
  <c r="JV23" i="32"/>
  <c r="JW23" i="32"/>
  <c r="JX23" i="32"/>
  <c r="JY23" i="32"/>
  <c r="JZ23" i="32"/>
  <c r="KA23" i="32"/>
  <c r="KB23" i="32"/>
  <c r="JQ24" i="32"/>
  <c r="JQ25" i="32"/>
  <c r="JQ26" i="32"/>
  <c r="JQ27" i="32"/>
  <c r="JQ30" i="32"/>
  <c r="JR30" i="32"/>
  <c r="JS30" i="32"/>
  <c r="JT30" i="32"/>
  <c r="JU30" i="32"/>
  <c r="JV30" i="32"/>
  <c r="JW30" i="32"/>
  <c r="JX30" i="32"/>
  <c r="JY30" i="32"/>
  <c r="JZ30" i="32"/>
  <c r="KA30" i="32"/>
  <c r="KB30" i="32"/>
  <c r="JQ31" i="32"/>
  <c r="JQ9" i="32"/>
  <c r="JP10" i="32"/>
  <c r="JP11" i="32"/>
  <c r="JP12" i="32"/>
  <c r="JP13" i="32"/>
  <c r="JP14" i="32"/>
  <c r="JP15" i="32"/>
  <c r="JP16" i="32"/>
  <c r="JP17" i="32"/>
  <c r="JP18" i="32"/>
  <c r="JP19" i="32"/>
  <c r="JP20" i="32"/>
  <c r="JP21" i="32"/>
  <c r="JP22" i="32"/>
  <c r="JP23" i="32"/>
  <c r="JP24" i="32"/>
  <c r="JP25" i="32"/>
  <c r="JP26" i="32"/>
  <c r="JP27" i="32"/>
  <c r="JP30" i="32"/>
  <c r="JP31" i="32"/>
  <c r="JQ10" i="31"/>
  <c r="JQ11" i="31"/>
  <c r="JQ12" i="31"/>
  <c r="JQ13" i="31"/>
  <c r="JQ14" i="31"/>
  <c r="JQ15" i="31"/>
  <c r="JQ16" i="31"/>
  <c r="JQ17" i="31"/>
  <c r="JQ18" i="31"/>
  <c r="JQ19" i="31"/>
  <c r="JQ20" i="31"/>
  <c r="JQ21" i="31"/>
  <c r="JQ23" i="31"/>
  <c r="JQ24" i="31"/>
  <c r="JQ25" i="31"/>
  <c r="JQ26" i="31"/>
  <c r="JQ27" i="31"/>
  <c r="JQ28" i="31"/>
  <c r="JQ29" i="31"/>
  <c r="JQ30" i="31"/>
  <c r="JQ31" i="31"/>
  <c r="JQ32" i="31"/>
  <c r="JQ9" i="31"/>
  <c r="JP9" i="31"/>
  <c r="JP10" i="31"/>
  <c r="JP11" i="31"/>
  <c r="JP12" i="31"/>
  <c r="JP13" i="31"/>
  <c r="JP14" i="31"/>
  <c r="JP15" i="31"/>
  <c r="JP16" i="31"/>
  <c r="JP17" i="31"/>
  <c r="JP18" i="31"/>
  <c r="JP19" i="31"/>
  <c r="JP20" i="31"/>
  <c r="JP21" i="31"/>
  <c r="JP23" i="31"/>
  <c r="JP24" i="31"/>
  <c r="JP25" i="31"/>
  <c r="JP26" i="31"/>
  <c r="JP27" i="31"/>
  <c r="JP28" i="31"/>
  <c r="JP29" i="31"/>
  <c r="JP30" i="31"/>
  <c r="JP31" i="31"/>
  <c r="JP32" i="31"/>
  <c r="JQ10" i="21"/>
  <c r="JQ11" i="21"/>
  <c r="JQ12" i="21"/>
  <c r="JQ13" i="21"/>
  <c r="JQ14" i="21"/>
  <c r="JQ15" i="21"/>
  <c r="JQ16" i="21"/>
  <c r="JQ17" i="21"/>
  <c r="JQ18" i="21"/>
  <c r="JQ19" i="21"/>
  <c r="JQ20" i="21"/>
  <c r="JQ21" i="21"/>
  <c r="JQ22" i="21"/>
  <c r="JQ23" i="21"/>
  <c r="JQ24" i="21"/>
  <c r="JQ25" i="21"/>
  <c r="JQ26" i="21"/>
  <c r="JQ27" i="21"/>
  <c r="JQ28" i="21"/>
  <c r="JQ29" i="21"/>
  <c r="JQ30" i="21"/>
  <c r="JQ31" i="21"/>
  <c r="JQ32" i="21"/>
  <c r="JQ33" i="21"/>
  <c r="JQ34" i="21"/>
  <c r="JQ35" i="21"/>
  <c r="JQ36" i="21"/>
  <c r="JQ37" i="21"/>
  <c r="JQ38" i="21"/>
  <c r="JQ39" i="21"/>
  <c r="JQ40" i="21"/>
  <c r="JQ41" i="21"/>
  <c r="JQ42" i="21"/>
  <c r="JP10" i="21"/>
  <c r="JP11" i="21"/>
  <c r="JP12" i="21"/>
  <c r="JP13" i="21"/>
  <c r="JP14" i="21"/>
  <c r="JP15" i="21"/>
  <c r="JP16" i="21"/>
  <c r="JP17" i="21"/>
  <c r="JP18" i="21"/>
  <c r="JP19" i="21"/>
  <c r="JP20" i="21"/>
  <c r="JP21" i="21"/>
  <c r="JP22" i="21"/>
  <c r="JP23" i="21"/>
  <c r="JP24" i="21"/>
  <c r="JP25" i="21"/>
  <c r="JP26" i="21"/>
  <c r="JP27" i="21"/>
  <c r="JP28" i="21"/>
  <c r="JP29" i="21"/>
  <c r="JP30" i="21"/>
  <c r="JP31" i="21"/>
  <c r="JP32" i="21"/>
  <c r="JP33" i="21"/>
  <c r="JP34" i="21"/>
  <c r="JP35" i="21"/>
  <c r="JP36" i="21"/>
  <c r="JP37" i="21"/>
  <c r="JP38" i="21"/>
  <c r="JP39" i="21"/>
  <c r="JP40" i="21"/>
  <c r="JP41" i="21"/>
  <c r="JP42" i="21"/>
  <c r="JP10" i="39"/>
  <c r="JP11" i="39"/>
  <c r="JP12" i="39"/>
  <c r="JP13" i="39"/>
  <c r="JP14" i="39"/>
  <c r="JP15" i="39"/>
  <c r="JP16" i="39"/>
  <c r="JP17" i="39"/>
  <c r="JP18" i="39"/>
  <c r="JP19" i="39"/>
  <c r="JP20" i="39"/>
  <c r="JP21" i="39"/>
  <c r="JP22" i="39"/>
  <c r="JP23" i="39"/>
  <c r="JP24" i="39"/>
  <c r="JP25" i="39"/>
  <c r="JP26" i="39"/>
  <c r="JP27" i="39"/>
  <c r="JP28" i="39"/>
  <c r="JP29" i="39"/>
  <c r="JP30" i="39"/>
  <c r="JP31" i="39"/>
  <c r="JP32" i="39"/>
  <c r="JP33" i="39"/>
  <c r="JP34" i="39"/>
  <c r="JP35" i="39"/>
  <c r="JP36" i="39"/>
  <c r="JP37" i="39"/>
  <c r="JP38" i="39"/>
  <c r="JP39" i="39"/>
  <c r="JP40" i="39"/>
  <c r="JP41" i="39"/>
  <c r="JP42" i="39"/>
  <c r="JP44" i="39"/>
  <c r="JP45" i="39"/>
  <c r="JP46" i="39"/>
  <c r="JP47" i="39"/>
  <c r="JP48" i="39"/>
  <c r="JP49" i="39"/>
  <c r="JP50" i="39"/>
  <c r="JP51" i="39"/>
  <c r="JP52" i="39"/>
  <c r="JP53" i="39"/>
  <c r="JP54" i="39"/>
  <c r="JP55" i="39"/>
  <c r="JP56" i="39"/>
  <c r="JP57" i="39"/>
  <c r="JP58" i="39"/>
  <c r="JP59" i="39"/>
  <c r="JP60" i="39"/>
  <c r="JP61" i="39"/>
  <c r="JP62" i="39"/>
  <c r="JP63" i="39"/>
  <c r="JP64" i="39"/>
  <c r="JP65" i="39"/>
  <c r="JP66" i="39"/>
  <c r="JP67" i="39"/>
  <c r="JP68" i="39"/>
  <c r="JP69" i="39"/>
  <c r="JP70" i="39"/>
  <c r="JP71" i="39"/>
  <c r="JP72" i="39"/>
  <c r="JP73" i="39"/>
  <c r="JP74" i="39"/>
  <c r="JP75" i="39"/>
  <c r="JP76" i="39"/>
  <c r="JP77" i="39"/>
  <c r="JP78" i="39"/>
  <c r="JP79" i="39"/>
  <c r="JP80" i="39"/>
  <c r="JP81" i="39"/>
  <c r="JP82" i="39"/>
  <c r="JP83" i="39"/>
  <c r="JQ15" i="19"/>
  <c r="JQ16" i="19"/>
  <c r="JQ17" i="19"/>
  <c r="JQ18" i="19"/>
  <c r="JQ19" i="19"/>
  <c r="JQ20" i="19"/>
  <c r="JQ21" i="19"/>
  <c r="JQ22" i="19"/>
  <c r="JQ23" i="19"/>
  <c r="JQ24" i="19"/>
  <c r="JQ25" i="19"/>
  <c r="JQ26" i="19"/>
  <c r="JQ27" i="19"/>
  <c r="JQ28" i="19"/>
  <c r="JQ29" i="19"/>
  <c r="JQ30" i="19"/>
  <c r="JQ31" i="19"/>
  <c r="JQ32" i="19"/>
  <c r="JQ33" i="19"/>
  <c r="JQ34" i="19"/>
  <c r="JQ35" i="19"/>
  <c r="JQ36" i="19"/>
  <c r="JQ37" i="19"/>
  <c r="JQ38" i="19"/>
  <c r="JQ39" i="19"/>
  <c r="JQ40" i="19"/>
  <c r="JQ41" i="19"/>
  <c r="JQ43" i="19"/>
  <c r="JQ44" i="19"/>
  <c r="JQ45" i="19"/>
  <c r="JQ46" i="19"/>
  <c r="JQ47" i="19"/>
  <c r="JQ48" i="19"/>
  <c r="JQ49" i="19"/>
  <c r="JQ50" i="19"/>
  <c r="JQ51" i="19"/>
  <c r="JQ52" i="19"/>
  <c r="JQ53" i="19"/>
  <c r="JQ54" i="19"/>
  <c r="JQ55" i="19"/>
  <c r="JQ56" i="19"/>
  <c r="JQ57" i="19"/>
  <c r="JQ58" i="19"/>
  <c r="JQ59" i="19"/>
  <c r="JQ60" i="19"/>
  <c r="JQ61" i="19"/>
  <c r="JQ62" i="19"/>
  <c r="JQ63" i="19"/>
  <c r="JQ64" i="19"/>
  <c r="JQ65" i="19"/>
  <c r="JQ66" i="19"/>
  <c r="JQ67" i="19"/>
  <c r="JQ68" i="19"/>
  <c r="JQ69" i="19"/>
  <c r="JQ70" i="19"/>
  <c r="JQ71" i="19"/>
  <c r="JQ72" i="19"/>
  <c r="JQ73" i="19"/>
  <c r="JQ74" i="19"/>
  <c r="JQ75" i="19"/>
  <c r="JQ76" i="19"/>
  <c r="JQ77" i="19"/>
  <c r="JQ78" i="19"/>
  <c r="JQ79" i="19"/>
  <c r="JQ80" i="19"/>
  <c r="JQ81" i="19"/>
  <c r="JQ82" i="19"/>
  <c r="JQ83" i="19"/>
  <c r="JQ84" i="19"/>
  <c r="JQ85" i="19"/>
  <c r="JQ86" i="19"/>
  <c r="JQ87" i="19"/>
  <c r="JQ88" i="19"/>
  <c r="JQ89" i="19"/>
  <c r="JQ90" i="19"/>
  <c r="JQ91" i="19"/>
  <c r="JQ92" i="19"/>
  <c r="JQ93" i="19"/>
  <c r="JQ94" i="19"/>
  <c r="JQ95" i="19"/>
  <c r="JQ96" i="19"/>
  <c r="JQ97" i="19"/>
  <c r="JQ98" i="19"/>
  <c r="JQ99" i="19"/>
  <c r="JQ100" i="19"/>
  <c r="JQ101" i="19"/>
  <c r="JQ102" i="19"/>
  <c r="JQ103" i="19"/>
  <c r="JQ104" i="19"/>
  <c r="JQ105" i="19"/>
  <c r="JQ106" i="19"/>
  <c r="JQ107" i="19"/>
  <c r="JQ10" i="19"/>
  <c r="JQ11" i="19"/>
  <c r="JQ12" i="19"/>
  <c r="JQ13" i="19"/>
  <c r="JQ14" i="19"/>
  <c r="JP10" i="19"/>
  <c r="JP11" i="19"/>
  <c r="JP12" i="19"/>
  <c r="JP13" i="19"/>
  <c r="JP14" i="19"/>
  <c r="JP15" i="19"/>
  <c r="JP16" i="19"/>
  <c r="JP17" i="19"/>
  <c r="JP18" i="19"/>
  <c r="JP19" i="19"/>
  <c r="JP20" i="19"/>
  <c r="JP21" i="19"/>
  <c r="JP22" i="19"/>
  <c r="JP23" i="19"/>
  <c r="JP24" i="19"/>
  <c r="JP25" i="19"/>
  <c r="JP26" i="19"/>
  <c r="JP27" i="19"/>
  <c r="JP28" i="19"/>
  <c r="JP29" i="19"/>
  <c r="JP30" i="19"/>
  <c r="JP31" i="19"/>
  <c r="JP32" i="19"/>
  <c r="JP33" i="19"/>
  <c r="JP34" i="19"/>
  <c r="JP35" i="19"/>
  <c r="JP36" i="19"/>
  <c r="JP37" i="19"/>
  <c r="JP38" i="19"/>
  <c r="JP39" i="19"/>
  <c r="JP40" i="19"/>
  <c r="JP41" i="19"/>
  <c r="JP43" i="19"/>
  <c r="JP44" i="19"/>
  <c r="JP45" i="19"/>
  <c r="JP46" i="19"/>
  <c r="JP47" i="19"/>
  <c r="JP48" i="19"/>
  <c r="JP49" i="19"/>
  <c r="JP50" i="19"/>
  <c r="JP51" i="19"/>
  <c r="JP52" i="19"/>
  <c r="JP53" i="19"/>
  <c r="JP54" i="19"/>
  <c r="JP55" i="19"/>
  <c r="JP56" i="19"/>
  <c r="JP57" i="19"/>
  <c r="JP58" i="19"/>
  <c r="JP59" i="19"/>
  <c r="JP60" i="19"/>
  <c r="JP61" i="19"/>
  <c r="JP62" i="19"/>
  <c r="JP63" i="19"/>
  <c r="JP64" i="19"/>
  <c r="JP65" i="19"/>
  <c r="JP66" i="19"/>
  <c r="JP67" i="19"/>
  <c r="JP68" i="19"/>
  <c r="JP69" i="19"/>
  <c r="JP70" i="19"/>
  <c r="JP71" i="19"/>
  <c r="JP72" i="19"/>
  <c r="JP73" i="19"/>
  <c r="JP74" i="19"/>
  <c r="JP75" i="19"/>
  <c r="JP76" i="19"/>
  <c r="JP77" i="19"/>
  <c r="JP78" i="19"/>
  <c r="JP79" i="19"/>
  <c r="JP80" i="19"/>
  <c r="JP81" i="19"/>
  <c r="JP82" i="19"/>
  <c r="JP83" i="19"/>
  <c r="JP84" i="19"/>
  <c r="JP85" i="19"/>
  <c r="JP86" i="19"/>
  <c r="JP87" i="19"/>
  <c r="JP88" i="19"/>
  <c r="JP89" i="19"/>
  <c r="JP90" i="19"/>
  <c r="JP91" i="19"/>
  <c r="JP92" i="19"/>
  <c r="JP93" i="19"/>
  <c r="JP94" i="19"/>
  <c r="JP95" i="19"/>
  <c r="JP96" i="19"/>
  <c r="JP97" i="19"/>
  <c r="JP98" i="19"/>
  <c r="JP99" i="19"/>
  <c r="JP100" i="19"/>
  <c r="JP101" i="19"/>
  <c r="JP102" i="19"/>
  <c r="JP103" i="19"/>
  <c r="JP104" i="19"/>
  <c r="JP105" i="19"/>
  <c r="JP106" i="19"/>
  <c r="JP107" i="19"/>
  <c r="CD11" i="35"/>
  <c r="CD12" i="35"/>
  <c r="CD13" i="35"/>
  <c r="KF13" i="35"/>
  <c r="CD14" i="35"/>
  <c r="CD15" i="35"/>
  <c r="KF15" i="35"/>
  <c r="CD16" i="35"/>
  <c r="CD17" i="35"/>
  <c r="CE17" i="35"/>
  <c r="FZ17" i="35"/>
  <c r="CD18" i="35"/>
  <c r="CD19" i="35"/>
  <c r="CD20" i="35"/>
  <c r="KF20" i="35"/>
  <c r="CE23" i="35"/>
  <c r="KG23" i="35"/>
  <c r="CE24" i="35"/>
  <c r="CE25" i="35"/>
  <c r="KG25" i="35"/>
  <c r="CE26" i="35"/>
  <c r="KG26" i="35"/>
  <c r="CD27" i="35"/>
  <c r="KF27" i="35"/>
  <c r="CE27" i="35"/>
  <c r="FZ27" i="35"/>
  <c r="CD28" i="35"/>
  <c r="CE28" i="35"/>
  <c r="CD29" i="35"/>
  <c r="CD10" i="35"/>
  <c r="CD30" i="35"/>
  <c r="KF30" i="35"/>
  <c r="CD31" i="35"/>
  <c r="CE31" i="35"/>
  <c r="KG31" i="35"/>
  <c r="CD32" i="35"/>
  <c r="KF32" i="35"/>
  <c r="CD33" i="35"/>
  <c r="CE33" i="35"/>
  <c r="CE34" i="35"/>
  <c r="FZ34" i="35"/>
  <c r="CD35" i="35"/>
  <c r="CE35" i="35"/>
  <c r="CD36" i="35"/>
  <c r="CE36" i="35"/>
  <c r="CE37" i="35"/>
  <c r="CE38" i="35"/>
  <c r="FZ38" i="35"/>
  <c r="CD39" i="35"/>
  <c r="CE39" i="35"/>
  <c r="CE40" i="35"/>
  <c r="CE42" i="35"/>
  <c r="FZ42" i="35"/>
  <c r="CD43" i="35"/>
  <c r="CD44" i="35"/>
  <c r="CE44" i="35"/>
  <c r="CD46" i="35"/>
  <c r="CD47" i="35"/>
  <c r="CE47" i="35"/>
  <c r="KG47" i="35"/>
  <c r="CD48" i="35"/>
  <c r="CE48" i="35"/>
  <c r="FZ48" i="35"/>
  <c r="CD49" i="35"/>
  <c r="CE49" i="35"/>
  <c r="KG49" i="35"/>
  <c r="CD50" i="35"/>
  <c r="CE50" i="35"/>
  <c r="FZ50" i="35"/>
  <c r="CD52" i="35"/>
  <c r="KF52" i="35"/>
  <c r="CE53" i="35"/>
  <c r="CD54" i="35"/>
  <c r="CE54" i="35"/>
  <c r="FZ54" i="35"/>
  <c r="CD55" i="35"/>
  <c r="CE57" i="35"/>
  <c r="FZ57" i="35"/>
  <c r="CD58" i="35"/>
  <c r="CD59" i="35"/>
  <c r="CE59" i="35"/>
  <c r="FZ59" i="35"/>
  <c r="CE9" i="35"/>
  <c r="FZ9" i="35"/>
  <c r="CD23" i="35"/>
  <c r="KF23" i="35"/>
  <c r="CD24" i="35"/>
  <c r="KF24" i="35"/>
  <c r="CD25" i="35"/>
  <c r="KF25" i="35"/>
  <c r="CD26" i="35"/>
  <c r="KF26" i="35"/>
  <c r="CD34" i="35"/>
  <c r="KF34" i="35"/>
  <c r="CD37" i="35"/>
  <c r="KF37" i="35"/>
  <c r="CD38" i="35"/>
  <c r="KF38" i="35"/>
  <c r="CD40" i="35"/>
  <c r="KF40" i="35"/>
  <c r="CD42" i="35"/>
  <c r="KF42" i="35"/>
  <c r="CD45" i="35"/>
  <c r="CD53" i="35"/>
  <c r="KF53" i="35"/>
  <c r="CD57" i="35"/>
  <c r="KF57" i="35"/>
  <c r="CE10" i="34"/>
  <c r="CE11" i="34"/>
  <c r="KG11" i="34"/>
  <c r="CE12" i="34"/>
  <c r="CD13" i="34"/>
  <c r="CE16" i="34"/>
  <c r="FZ16" i="34"/>
  <c r="CE17" i="34"/>
  <c r="FZ17" i="34"/>
  <c r="CE18" i="34"/>
  <c r="FZ18" i="34"/>
  <c r="CE19" i="34"/>
  <c r="CE20" i="34"/>
  <c r="CD21" i="34"/>
  <c r="CE21" i="34"/>
  <c r="CD22" i="34"/>
  <c r="CE23" i="34"/>
  <c r="KG23" i="34"/>
  <c r="CE24" i="34"/>
  <c r="CD25" i="34"/>
  <c r="CE25" i="34"/>
  <c r="CE26" i="34"/>
  <c r="FZ26" i="34"/>
  <c r="CD27" i="34"/>
  <c r="CD28" i="34"/>
  <c r="CD29" i="34"/>
  <c r="CE29" i="34"/>
  <c r="CD30" i="34"/>
  <c r="KF30" i="34"/>
  <c r="CE31" i="34"/>
  <c r="CD32" i="34"/>
  <c r="KF32" i="34"/>
  <c r="CE33" i="34"/>
  <c r="KG33" i="34"/>
  <c r="CE34" i="34"/>
  <c r="KG34" i="34"/>
  <c r="CE35" i="34"/>
  <c r="FZ35" i="34"/>
  <c r="CD36" i="34"/>
  <c r="KF36" i="34"/>
  <c r="CE36" i="34"/>
  <c r="CE37" i="34"/>
  <c r="FZ37" i="34"/>
  <c r="CD38" i="34"/>
  <c r="CE38" i="34"/>
  <c r="KG38" i="34"/>
  <c r="CD39" i="34"/>
  <c r="CE40" i="34"/>
  <c r="KG40" i="34"/>
  <c r="CE41" i="34"/>
  <c r="FZ41" i="34"/>
  <c r="CD42" i="34"/>
  <c r="CD43" i="34"/>
  <c r="CE43" i="34"/>
  <c r="FZ43" i="34"/>
  <c r="CE44" i="34"/>
  <c r="KG44" i="34"/>
  <c r="CE45" i="34"/>
  <c r="CD46" i="34"/>
  <c r="CE46" i="34"/>
  <c r="CE47" i="34"/>
  <c r="FZ47" i="34"/>
  <c r="CD48" i="34"/>
  <c r="CD49" i="34"/>
  <c r="CE50" i="34"/>
  <c r="CE51" i="34"/>
  <c r="KG51" i="34"/>
  <c r="CE53" i="34"/>
  <c r="CE54" i="34"/>
  <c r="FZ54" i="34"/>
  <c r="CD55" i="34"/>
  <c r="KF55" i="34"/>
  <c r="CD10" i="34"/>
  <c r="KF10" i="34"/>
  <c r="CH10" i="34"/>
  <c r="KJ10" i="34"/>
  <c r="CD11" i="34"/>
  <c r="KF11" i="34"/>
  <c r="CD12" i="34"/>
  <c r="KF12" i="34"/>
  <c r="CD16" i="34"/>
  <c r="KF16" i="34"/>
  <c r="CD17" i="34"/>
  <c r="KF17" i="34"/>
  <c r="CD18" i="34"/>
  <c r="KF18" i="34"/>
  <c r="CD19" i="34"/>
  <c r="CD20" i="34"/>
  <c r="KF20" i="34"/>
  <c r="CD23" i="34"/>
  <c r="KF23" i="34"/>
  <c r="CD24" i="34"/>
  <c r="KF24" i="34"/>
  <c r="CD26" i="34"/>
  <c r="KF26" i="34"/>
  <c r="CD31" i="34"/>
  <c r="KF31" i="34"/>
  <c r="CD33" i="34"/>
  <c r="KF33" i="34"/>
  <c r="CD34" i="34"/>
  <c r="KF34" i="34"/>
  <c r="CD35" i="34"/>
  <c r="KF35" i="34"/>
  <c r="CD37" i="34"/>
  <c r="KF37" i="34"/>
  <c r="CD40" i="34"/>
  <c r="KF40" i="34"/>
  <c r="CD41" i="34"/>
  <c r="KF41" i="34"/>
  <c r="CD44" i="34"/>
  <c r="KF44" i="34"/>
  <c r="CD45" i="34"/>
  <c r="KF45" i="34"/>
  <c r="CD47" i="34"/>
  <c r="KF47" i="34"/>
  <c r="CD50" i="34"/>
  <c r="KF50" i="34"/>
  <c r="CD51" i="34"/>
  <c r="KF51" i="34"/>
  <c r="CD53" i="34"/>
  <c r="KF53" i="34"/>
  <c r="CH53" i="34"/>
  <c r="KJ53" i="34"/>
  <c r="CD54" i="34"/>
  <c r="KF54" i="34"/>
  <c r="CE10" i="32"/>
  <c r="KG10" i="32"/>
  <c r="CE11" i="32"/>
  <c r="CE12" i="32"/>
  <c r="CE13" i="32"/>
  <c r="CD14" i="32"/>
  <c r="CD15" i="32"/>
  <c r="KF15" i="32"/>
  <c r="CE16" i="32"/>
  <c r="CE17" i="32"/>
  <c r="CD18" i="32"/>
  <c r="KF18" i="32"/>
  <c r="CD19" i="32"/>
  <c r="CE20" i="32"/>
  <c r="CE21" i="32"/>
  <c r="KG21" i="32"/>
  <c r="CD22" i="32"/>
  <c r="CE23" i="32"/>
  <c r="CD24" i="32"/>
  <c r="CD25" i="32"/>
  <c r="CD26" i="32"/>
  <c r="CE27" i="32"/>
  <c r="KG27" i="32"/>
  <c r="CD30" i="32"/>
  <c r="CE31" i="32"/>
  <c r="FZ31" i="32"/>
  <c r="CD10" i="32"/>
  <c r="KF10" i="32"/>
  <c r="CD11" i="32"/>
  <c r="KF11" i="32"/>
  <c r="CD12" i="32"/>
  <c r="KF12" i="32"/>
  <c r="CD13" i="32"/>
  <c r="KF13" i="32"/>
  <c r="CD16" i="32"/>
  <c r="KF16" i="32"/>
  <c r="CD17" i="32"/>
  <c r="KF17" i="32"/>
  <c r="CD20" i="32"/>
  <c r="KF20" i="32"/>
  <c r="CD21" i="32"/>
  <c r="KF21" i="32"/>
  <c r="CD23" i="32"/>
  <c r="KF23" i="32"/>
  <c r="CD27" i="32"/>
  <c r="KF27" i="32"/>
  <c r="CD31" i="32"/>
  <c r="KF31" i="32"/>
  <c r="CE10" i="31"/>
  <c r="CE11" i="31"/>
  <c r="CE12" i="31"/>
  <c r="CE13" i="31"/>
  <c r="CE14" i="31"/>
  <c r="CE15" i="31"/>
  <c r="CE16" i="31"/>
  <c r="KG16" i="31"/>
  <c r="CE18" i="31"/>
  <c r="KG18" i="31"/>
  <c r="CE20" i="31"/>
  <c r="CE29" i="31"/>
  <c r="CE30" i="31"/>
  <c r="CE31" i="31"/>
  <c r="CE32" i="31"/>
  <c r="CD10" i="21"/>
  <c r="CE12" i="21"/>
  <c r="FZ12" i="21"/>
  <c r="CE13" i="21"/>
  <c r="KG13" i="21"/>
  <c r="CD14" i="21"/>
  <c r="CE15" i="21"/>
  <c r="CD16" i="21"/>
  <c r="KF16" i="21"/>
  <c r="CE17" i="21"/>
  <c r="CD18" i="21"/>
  <c r="KF18" i="21"/>
  <c r="CD20" i="21"/>
  <c r="CE20" i="21"/>
  <c r="FZ20" i="21"/>
  <c r="CD21" i="21"/>
  <c r="CE21" i="21"/>
  <c r="FZ21" i="21"/>
  <c r="CD22" i="21"/>
  <c r="KF22" i="21"/>
  <c r="CE23" i="21"/>
  <c r="CE24" i="21"/>
  <c r="FZ24" i="21"/>
  <c r="CE25" i="21"/>
  <c r="FZ25" i="21"/>
  <c r="FY25" i="21"/>
  <c r="CE26" i="21"/>
  <c r="KG26" i="21"/>
  <c r="CD27" i="21"/>
  <c r="CD28" i="21"/>
  <c r="CD29" i="21"/>
  <c r="CD30" i="21"/>
  <c r="CE30" i="21"/>
  <c r="FZ30" i="21"/>
  <c r="CD31" i="21"/>
  <c r="CD32" i="21"/>
  <c r="CD33" i="21"/>
  <c r="CD34" i="21"/>
  <c r="CD35" i="21"/>
  <c r="CE35" i="21"/>
  <c r="FZ35" i="21"/>
  <c r="FY35" i="21"/>
  <c r="CD36" i="21"/>
  <c r="CE36" i="21"/>
  <c r="FZ36" i="21"/>
  <c r="CD37" i="21"/>
  <c r="CD38" i="21"/>
  <c r="KF38" i="21"/>
  <c r="CD39" i="21"/>
  <c r="CD40" i="21"/>
  <c r="CE40" i="21"/>
  <c r="CE41" i="21"/>
  <c r="CE42" i="21"/>
  <c r="FZ42" i="21"/>
  <c r="CH10" i="21"/>
  <c r="KJ10" i="21"/>
  <c r="CD12" i="21"/>
  <c r="CD13" i="21"/>
  <c r="CD15" i="21"/>
  <c r="CD17" i="21"/>
  <c r="KF17" i="21"/>
  <c r="CD23" i="21"/>
  <c r="KF23" i="21"/>
  <c r="CD24" i="21"/>
  <c r="KF24" i="21"/>
  <c r="CD25" i="21"/>
  <c r="KF25" i="21"/>
  <c r="CD26" i="21"/>
  <c r="KF26" i="21"/>
  <c r="CD41" i="21"/>
  <c r="KF41" i="21"/>
  <c r="CD42" i="21"/>
  <c r="CD14" i="19"/>
  <c r="CE15" i="19"/>
  <c r="FZ15" i="19"/>
  <c r="FY15" i="19"/>
  <c r="GJ15" i="19"/>
  <c r="CD16" i="19"/>
  <c r="KF16" i="19"/>
  <c r="CD17" i="19"/>
  <c r="CD18" i="19"/>
  <c r="KF18" i="19"/>
  <c r="CD19" i="19"/>
  <c r="CE20" i="19"/>
  <c r="CD21" i="19"/>
  <c r="KF21" i="19"/>
  <c r="CD22" i="19"/>
  <c r="CE22" i="19"/>
  <c r="KG22" i="19"/>
  <c r="CD23" i="19"/>
  <c r="CE23" i="19"/>
  <c r="FZ23" i="19"/>
  <c r="CD24" i="19"/>
  <c r="CE25" i="19"/>
  <c r="CD26" i="19"/>
  <c r="CE26" i="19"/>
  <c r="KG26" i="19"/>
  <c r="CE27" i="19"/>
  <c r="KG27" i="19"/>
  <c r="CD28" i="19"/>
  <c r="KF28" i="19"/>
  <c r="CE29" i="19"/>
  <c r="CE30" i="19"/>
  <c r="FZ30" i="19"/>
  <c r="CE31" i="19"/>
  <c r="CD32" i="19"/>
  <c r="KF32" i="19"/>
  <c r="CD33" i="19"/>
  <c r="KF33" i="19"/>
  <c r="CE34" i="19"/>
  <c r="FZ34" i="19"/>
  <c r="CD35" i="19"/>
  <c r="CE36" i="19"/>
  <c r="FZ36" i="19"/>
  <c r="CD37" i="19"/>
  <c r="CE38" i="19"/>
  <c r="CE39" i="19"/>
  <c r="CE40" i="19"/>
  <c r="CE41" i="19"/>
  <c r="CE43" i="19"/>
  <c r="KG43" i="19"/>
  <c r="CD44" i="19"/>
  <c r="CD45" i="19"/>
  <c r="KF45" i="19"/>
  <c r="CE46" i="19"/>
  <c r="CE47" i="19"/>
  <c r="FZ47" i="19"/>
  <c r="CE48" i="19"/>
  <c r="FZ48" i="19"/>
  <c r="CE49" i="19"/>
  <c r="CE50" i="19"/>
  <c r="CE51" i="19"/>
  <c r="FZ51" i="19"/>
  <c r="CD52" i="19"/>
  <c r="CD53" i="19"/>
  <c r="CE54" i="19"/>
  <c r="FZ54" i="19"/>
  <c r="CE55" i="19"/>
  <c r="KG55" i="19"/>
  <c r="CD56" i="19"/>
  <c r="KF56" i="19"/>
  <c r="CD57" i="19"/>
  <c r="KF57" i="19"/>
  <c r="CD58" i="19"/>
  <c r="CD59" i="19"/>
  <c r="KF59" i="19"/>
  <c r="CE60" i="19"/>
  <c r="CD61" i="19"/>
  <c r="KF61" i="19"/>
  <c r="CD62" i="19"/>
  <c r="KF62" i="19"/>
  <c r="CE63" i="19"/>
  <c r="FZ63" i="19"/>
  <c r="CE64" i="19"/>
  <c r="CD65" i="19"/>
  <c r="CD66" i="19"/>
  <c r="KF66" i="19"/>
  <c r="CD67" i="19"/>
  <c r="CE68" i="19"/>
  <c r="CD69" i="19"/>
  <c r="KF69" i="19"/>
  <c r="CE70" i="19"/>
  <c r="KG70" i="19"/>
  <c r="CE71" i="19"/>
  <c r="FZ71" i="19"/>
  <c r="CE72" i="19"/>
  <c r="CE73" i="19"/>
  <c r="FZ73" i="19"/>
  <c r="CE74" i="19"/>
  <c r="CE75" i="19"/>
  <c r="KG75" i="19"/>
  <c r="CE76" i="19"/>
  <c r="CE77" i="19"/>
  <c r="CE78" i="19"/>
  <c r="KG78" i="19"/>
  <c r="CE79" i="19"/>
  <c r="FZ79" i="19"/>
  <c r="CD80" i="19"/>
  <c r="CE81" i="19"/>
  <c r="KG81" i="19"/>
  <c r="CE82" i="19"/>
  <c r="FZ82" i="19"/>
  <c r="CE83" i="19"/>
  <c r="CD84" i="19"/>
  <c r="CD85" i="19"/>
  <c r="CD86" i="19"/>
  <c r="CD87" i="19"/>
  <c r="KF87" i="19"/>
  <c r="CE88" i="19"/>
  <c r="CD89" i="19"/>
  <c r="CE89" i="19"/>
  <c r="KG89" i="19"/>
  <c r="CE90" i="19"/>
  <c r="KG90" i="19"/>
  <c r="CD91" i="19"/>
  <c r="CD92" i="19"/>
  <c r="CD93" i="19"/>
  <c r="KF93" i="19"/>
  <c r="CE94" i="19"/>
  <c r="KG94" i="19"/>
  <c r="CE95" i="19"/>
  <c r="FZ95" i="19"/>
  <c r="CD96" i="19"/>
  <c r="CE97" i="19"/>
  <c r="KG97" i="19"/>
  <c r="CE98" i="19"/>
  <c r="CE99" i="19"/>
  <c r="CE100" i="19"/>
  <c r="CE101" i="19"/>
  <c r="KG101" i="19"/>
  <c r="CE102" i="19"/>
  <c r="KG102" i="19"/>
  <c r="CE103" i="19"/>
  <c r="KG103" i="19"/>
  <c r="CE104" i="19"/>
  <c r="CE105" i="19"/>
  <c r="CE106" i="19"/>
  <c r="FZ106" i="19"/>
  <c r="CE107" i="19"/>
  <c r="CD12" i="19"/>
  <c r="KF12" i="19"/>
  <c r="CD13" i="19"/>
  <c r="CE10" i="19"/>
  <c r="KG10" i="19"/>
  <c r="CE11" i="19"/>
  <c r="CD10" i="19"/>
  <c r="KF10" i="19"/>
  <c r="CD11" i="19"/>
  <c r="KF11" i="19"/>
  <c r="CL11" i="19"/>
  <c r="KN11" i="19"/>
  <c r="CD15" i="19"/>
  <c r="KF15" i="19"/>
  <c r="CD20" i="19"/>
  <c r="KF20" i="19"/>
  <c r="CD25" i="19"/>
  <c r="KF25" i="19"/>
  <c r="CD27" i="19"/>
  <c r="KF27" i="19"/>
  <c r="CD29" i="19"/>
  <c r="KF29" i="19"/>
  <c r="CD30" i="19"/>
  <c r="KF30" i="19"/>
  <c r="CD31" i="19"/>
  <c r="KF31" i="19"/>
  <c r="CD34" i="19"/>
  <c r="KF34" i="19"/>
  <c r="CD36" i="19"/>
  <c r="KF36" i="19"/>
  <c r="CD9" i="19"/>
  <c r="CD38" i="19"/>
  <c r="KF38" i="19"/>
  <c r="CD39" i="19"/>
  <c r="KF39" i="19"/>
  <c r="CD40" i="19"/>
  <c r="KF40" i="19"/>
  <c r="CD41" i="19"/>
  <c r="KF41" i="19"/>
  <c r="CD43" i="19"/>
  <c r="KF43" i="19"/>
  <c r="CD46" i="19"/>
  <c r="KF46" i="19"/>
  <c r="CD47" i="19"/>
  <c r="KF47" i="19"/>
  <c r="CD48" i="19"/>
  <c r="KF48" i="19"/>
  <c r="CD49" i="19"/>
  <c r="KF49" i="19"/>
  <c r="CD50" i="19"/>
  <c r="KF50" i="19"/>
  <c r="CD51" i="19"/>
  <c r="KF51" i="19"/>
  <c r="CD54" i="19"/>
  <c r="KF54" i="19"/>
  <c r="CD55" i="19"/>
  <c r="KF55" i="19"/>
  <c r="CD60" i="19"/>
  <c r="KF60" i="19"/>
  <c r="CD63" i="19"/>
  <c r="KF63" i="19"/>
  <c r="CD64" i="19"/>
  <c r="KF64" i="19"/>
  <c r="CD68" i="19"/>
  <c r="KF68" i="19"/>
  <c r="CD70" i="19"/>
  <c r="KF70" i="19"/>
  <c r="CD71" i="19"/>
  <c r="KF71" i="19"/>
  <c r="CD72" i="19"/>
  <c r="KF72" i="19"/>
  <c r="CD73" i="19"/>
  <c r="KF73" i="19"/>
  <c r="CD74" i="19"/>
  <c r="KF74" i="19"/>
  <c r="CD75" i="19"/>
  <c r="KF75" i="19"/>
  <c r="CD76" i="19"/>
  <c r="KF76" i="19"/>
  <c r="CD77" i="19"/>
  <c r="KF77" i="19"/>
  <c r="CD78" i="19"/>
  <c r="KF78" i="19"/>
  <c r="CD79" i="19"/>
  <c r="KF79" i="19"/>
  <c r="CD81" i="19"/>
  <c r="KF81" i="19"/>
  <c r="CD82" i="19"/>
  <c r="KF82" i="19"/>
  <c r="CD83" i="19"/>
  <c r="KF83" i="19"/>
  <c r="CD88" i="19"/>
  <c r="KF88" i="19"/>
  <c r="CD90" i="19"/>
  <c r="KF90" i="19"/>
  <c r="CD94" i="19"/>
  <c r="KF94" i="19"/>
  <c r="CD95" i="19"/>
  <c r="KF95" i="19"/>
  <c r="CD97" i="19"/>
  <c r="KF97" i="19"/>
  <c r="CD99" i="19"/>
  <c r="KF99" i="19"/>
  <c r="CD100" i="19"/>
  <c r="KF100" i="19"/>
  <c r="CL71" i="19"/>
  <c r="KN71" i="19"/>
  <c r="CL73" i="19"/>
  <c r="KN73" i="19"/>
  <c r="CL78" i="19"/>
  <c r="KN78" i="19"/>
  <c r="CL79" i="19"/>
  <c r="KN79" i="19"/>
  <c r="CL82" i="19"/>
  <c r="KN82" i="19"/>
  <c r="CL103" i="19"/>
  <c r="KN103" i="19"/>
  <c r="AB10" i="19"/>
  <c r="AB11" i="19"/>
  <c r="AB12" i="19"/>
  <c r="AD12" i="19"/>
  <c r="AB13" i="19"/>
  <c r="IY13" i="19"/>
  <c r="AB14" i="19"/>
  <c r="AD14" i="19"/>
  <c r="AB15" i="19"/>
  <c r="AD15" i="19"/>
  <c r="AB16" i="19"/>
  <c r="AB17" i="19"/>
  <c r="AB18" i="19"/>
  <c r="PQ18" i="19"/>
  <c r="AB19" i="19"/>
  <c r="AD19" i="19"/>
  <c r="AB20" i="19"/>
  <c r="AB21" i="19"/>
  <c r="IY21" i="19"/>
  <c r="AB22" i="19"/>
  <c r="AD22" i="19"/>
  <c r="AB23" i="19"/>
  <c r="PQ23" i="19"/>
  <c r="AB24" i="19"/>
  <c r="AB25" i="19"/>
  <c r="AB26" i="19"/>
  <c r="AB27" i="19"/>
  <c r="IY27" i="19"/>
  <c r="AB28" i="19"/>
  <c r="IY28" i="19"/>
  <c r="AB29" i="19"/>
  <c r="IY29" i="19"/>
  <c r="AB30" i="19"/>
  <c r="PQ30" i="19"/>
  <c r="AB31" i="19"/>
  <c r="IY31" i="19"/>
  <c r="AB32" i="19"/>
  <c r="AB33" i="19"/>
  <c r="AB34" i="19"/>
  <c r="AB35" i="19"/>
  <c r="AB36" i="19"/>
  <c r="IY36" i="19"/>
  <c r="AB37" i="19"/>
  <c r="PQ37" i="19"/>
  <c r="AB38" i="19"/>
  <c r="AD38" i="19"/>
  <c r="AB39" i="19"/>
  <c r="PQ39" i="19"/>
  <c r="AB40" i="19"/>
  <c r="AD40" i="19"/>
  <c r="AB41" i="19"/>
  <c r="IY41" i="19"/>
  <c r="AB43" i="19"/>
  <c r="AB44" i="19"/>
  <c r="PQ44" i="19"/>
  <c r="AB45" i="19"/>
  <c r="AD45" i="19"/>
  <c r="AB46" i="19"/>
  <c r="AD46" i="19"/>
  <c r="AB47" i="19"/>
  <c r="PQ47" i="19"/>
  <c r="AB48" i="19"/>
  <c r="IY48" i="19"/>
  <c r="AB49" i="19"/>
  <c r="AB50" i="19"/>
  <c r="AB51" i="19"/>
  <c r="AB52" i="19"/>
  <c r="AB53" i="19"/>
  <c r="AB54" i="19"/>
  <c r="AD54" i="19"/>
  <c r="AB55" i="19"/>
  <c r="AD55" i="19"/>
  <c r="AB56" i="19"/>
  <c r="IY56" i="19"/>
  <c r="AB57" i="19"/>
  <c r="AB58" i="19"/>
  <c r="AB59" i="19"/>
  <c r="IY59" i="19"/>
  <c r="AB60" i="19"/>
  <c r="IY60" i="19"/>
  <c r="IY61" i="19"/>
  <c r="AB62" i="19"/>
  <c r="AD62" i="19"/>
  <c r="AB63" i="19"/>
  <c r="PQ63" i="19"/>
  <c r="AB64" i="19"/>
  <c r="PQ64" i="19"/>
  <c r="AB65" i="19"/>
  <c r="AD65" i="19"/>
  <c r="AB66" i="19"/>
  <c r="AD66" i="19"/>
  <c r="AB67" i="19"/>
  <c r="PQ67" i="19"/>
  <c r="AB68" i="19"/>
  <c r="AD68" i="19"/>
  <c r="AB69" i="19"/>
  <c r="AB70" i="19"/>
  <c r="AD70" i="19"/>
  <c r="AB71" i="19"/>
  <c r="IY71" i="19"/>
  <c r="AB72" i="19"/>
  <c r="PQ72" i="19"/>
  <c r="AB73" i="19"/>
  <c r="AB74" i="19"/>
  <c r="AB75" i="19"/>
  <c r="AB76" i="19"/>
  <c r="IY76" i="19"/>
  <c r="AB77" i="19"/>
  <c r="AB78" i="19"/>
  <c r="AD78" i="19"/>
  <c r="AB79" i="19"/>
  <c r="IY79" i="19"/>
  <c r="AB80" i="19"/>
  <c r="PQ80" i="19"/>
  <c r="AB81" i="19"/>
  <c r="IY81" i="19"/>
  <c r="AB82" i="19"/>
  <c r="AB83" i="19"/>
  <c r="AB84" i="19"/>
  <c r="AB85" i="19"/>
  <c r="AB86" i="19"/>
  <c r="AB87" i="19"/>
  <c r="PQ87" i="19"/>
  <c r="AB88" i="19"/>
  <c r="IY88" i="19"/>
  <c r="AB89" i="19"/>
  <c r="AB90" i="19"/>
  <c r="AD90" i="19"/>
  <c r="AB91" i="19"/>
  <c r="AD91" i="19"/>
  <c r="AB92" i="19"/>
  <c r="AB93" i="19"/>
  <c r="AB94" i="19"/>
  <c r="AD94" i="19"/>
  <c r="AB95" i="19"/>
  <c r="PQ95" i="19"/>
  <c r="AB96" i="19"/>
  <c r="IY96" i="19"/>
  <c r="AB97" i="19"/>
  <c r="AB98" i="19"/>
  <c r="IY98" i="19"/>
  <c r="AB99" i="19"/>
  <c r="IY99" i="19"/>
  <c r="AB100" i="19"/>
  <c r="AD100" i="19"/>
  <c r="AB101" i="19"/>
  <c r="IY102" i="19"/>
  <c r="IY103" i="19"/>
  <c r="IY104" i="19"/>
  <c r="IY105" i="19"/>
  <c r="IY106" i="19"/>
  <c r="IY107" i="19"/>
  <c r="S10" i="19"/>
  <c r="S11" i="19"/>
  <c r="S12" i="19"/>
  <c r="U12" i="19"/>
  <c r="S13" i="19"/>
  <c r="U13" i="19"/>
  <c r="S14" i="19"/>
  <c r="U14" i="19"/>
  <c r="S15" i="19"/>
  <c r="S16" i="19"/>
  <c r="U16" i="19"/>
  <c r="S17" i="19"/>
  <c r="U17" i="19"/>
  <c r="S18" i="19"/>
  <c r="U18" i="19"/>
  <c r="S19" i="19"/>
  <c r="U19" i="19"/>
  <c r="S20" i="19"/>
  <c r="U20" i="19"/>
  <c r="S21" i="19"/>
  <c r="U21" i="19"/>
  <c r="S22" i="19"/>
  <c r="S23" i="19"/>
  <c r="S24" i="19"/>
  <c r="S25" i="19"/>
  <c r="U25" i="19"/>
  <c r="S26" i="19"/>
  <c r="U26" i="19"/>
  <c r="S27" i="19"/>
  <c r="BF27" i="19"/>
  <c r="S28" i="19"/>
  <c r="U28" i="19"/>
  <c r="S29" i="19"/>
  <c r="S30" i="19"/>
  <c r="S31" i="19"/>
  <c r="U31" i="19"/>
  <c r="BF31" i="19"/>
  <c r="S32" i="19"/>
  <c r="U32" i="19"/>
  <c r="BG32" i="19"/>
  <c r="IP32" i="19"/>
  <c r="IQ32" i="19"/>
  <c r="S33" i="19"/>
  <c r="U33" i="19"/>
  <c r="S34" i="19"/>
  <c r="U34" i="19"/>
  <c r="S35" i="19"/>
  <c r="U35" i="19"/>
  <c r="S36" i="19"/>
  <c r="U36" i="19"/>
  <c r="S37" i="19"/>
  <c r="U37" i="19"/>
  <c r="S39" i="19"/>
  <c r="U39" i="19"/>
  <c r="AU39" i="19"/>
  <c r="S40" i="19"/>
  <c r="U40" i="19"/>
  <c r="S41" i="19"/>
  <c r="U41" i="19"/>
  <c r="S43" i="19"/>
  <c r="U43" i="19"/>
  <c r="S44" i="19"/>
  <c r="U44" i="19"/>
  <c r="S46" i="19"/>
  <c r="S47" i="19"/>
  <c r="U47" i="19"/>
  <c r="S48" i="19"/>
  <c r="BD48" i="19"/>
  <c r="AU48" i="19"/>
  <c r="BF48" i="19"/>
  <c r="S49" i="19"/>
  <c r="U49" i="19"/>
  <c r="S50" i="19"/>
  <c r="S51" i="19"/>
  <c r="S52" i="19"/>
  <c r="BF52" i="19"/>
  <c r="S53" i="19"/>
  <c r="U53" i="19"/>
  <c r="S54" i="19"/>
  <c r="U54" i="19"/>
  <c r="S55" i="19"/>
  <c r="S56" i="19"/>
  <c r="U56" i="19"/>
  <c r="S57" i="19"/>
  <c r="S58" i="19"/>
  <c r="U58" i="19"/>
  <c r="S62" i="19"/>
  <c r="U62" i="19"/>
  <c r="S68" i="19"/>
  <c r="U68" i="19"/>
  <c r="S69" i="19"/>
  <c r="U69" i="19"/>
  <c r="S70" i="19"/>
  <c r="U70" i="19"/>
  <c r="S71" i="19"/>
  <c r="S72" i="19"/>
  <c r="S73" i="19"/>
  <c r="S74" i="19"/>
  <c r="U74" i="19"/>
  <c r="S75" i="19"/>
  <c r="U75" i="19"/>
  <c r="S76" i="19"/>
  <c r="U76" i="19"/>
  <c r="S77" i="19"/>
  <c r="BD77" i="19"/>
  <c r="S78" i="19"/>
  <c r="U78" i="19"/>
  <c r="S79" i="19"/>
  <c r="U79" i="19"/>
  <c r="BF80" i="19"/>
  <c r="S81" i="19"/>
  <c r="S82" i="19"/>
  <c r="U82" i="19"/>
  <c r="S83" i="19"/>
  <c r="U83" i="19"/>
  <c r="S84" i="19"/>
  <c r="U84" i="19"/>
  <c r="S86" i="19"/>
  <c r="U86" i="19"/>
  <c r="S87" i="19"/>
  <c r="U87" i="19"/>
  <c r="S88" i="19"/>
  <c r="S89" i="19"/>
  <c r="U89" i="19"/>
  <c r="S90" i="19"/>
  <c r="S91" i="19"/>
  <c r="U91" i="19"/>
  <c r="S92" i="19"/>
  <c r="U92" i="19"/>
  <c r="S93" i="19"/>
  <c r="U93" i="19"/>
  <c r="S94" i="19"/>
  <c r="S95" i="19"/>
  <c r="U95" i="19"/>
  <c r="S96" i="19"/>
  <c r="U96" i="19"/>
  <c r="S97" i="19"/>
  <c r="U97" i="19"/>
  <c r="S98" i="19"/>
  <c r="U98" i="19"/>
  <c r="S99" i="19"/>
  <c r="U99" i="19"/>
  <c r="S100" i="19"/>
  <c r="U100" i="19"/>
  <c r="BF100" i="19"/>
  <c r="S101" i="19"/>
  <c r="U101" i="19"/>
  <c r="S102" i="19"/>
  <c r="U102" i="19"/>
  <c r="S103" i="19"/>
  <c r="U103" i="19"/>
  <c r="S104" i="19"/>
  <c r="U104" i="19"/>
  <c r="S105" i="19"/>
  <c r="S106" i="19"/>
  <c r="S107" i="19"/>
  <c r="BD107" i="19"/>
  <c r="Q76" i="19"/>
  <c r="AO49" i="19"/>
  <c r="AP49" i="19"/>
  <c r="AO107" i="19"/>
  <c r="AP107" i="19"/>
  <c r="AO106" i="19"/>
  <c r="AP106" i="19"/>
  <c r="AO105" i="19"/>
  <c r="AP105" i="19"/>
  <c r="AO104" i="19"/>
  <c r="AP104" i="19"/>
  <c r="AO103" i="19"/>
  <c r="AP103" i="19"/>
  <c r="AO102" i="19"/>
  <c r="AP102" i="19"/>
  <c r="AW107" i="19"/>
  <c r="BA107" i="19"/>
  <c r="AW106" i="19"/>
  <c r="AW105" i="19"/>
  <c r="AW104" i="19"/>
  <c r="AX104" i="19"/>
  <c r="AW103" i="19"/>
  <c r="AW102" i="19"/>
  <c r="AX102" i="19"/>
  <c r="JQ10" i="33"/>
  <c r="JR10" i="33"/>
  <c r="JS10" i="33"/>
  <c r="JT10" i="33"/>
  <c r="JU10" i="33"/>
  <c r="JV10" i="33"/>
  <c r="JW10" i="33"/>
  <c r="JW9" i="33"/>
  <c r="JX10" i="33"/>
  <c r="JX9" i="33"/>
  <c r="JY10" i="33"/>
  <c r="JZ10" i="33"/>
  <c r="KA10" i="33"/>
  <c r="KB10" i="33"/>
  <c r="KB9" i="33"/>
  <c r="JQ9" i="33"/>
  <c r="JR9" i="33"/>
  <c r="JS9" i="33"/>
  <c r="JT9" i="33"/>
  <c r="JU9" i="33"/>
  <c r="JV9" i="33"/>
  <c r="JY9" i="33"/>
  <c r="JZ9" i="33"/>
  <c r="KA9" i="33"/>
  <c r="JQ14" i="22"/>
  <c r="JR14" i="22"/>
  <c r="JS14" i="22"/>
  <c r="JT14" i="22"/>
  <c r="JU14" i="22"/>
  <c r="JV14" i="22"/>
  <c r="JW14" i="22"/>
  <c r="JX14" i="22"/>
  <c r="JY14" i="22"/>
  <c r="JZ14" i="22"/>
  <c r="KA14" i="22"/>
  <c r="KB14" i="22"/>
  <c r="JQ13" i="22"/>
  <c r="JR13" i="22"/>
  <c r="JS13" i="22"/>
  <c r="JT13" i="22"/>
  <c r="JU13" i="22"/>
  <c r="JV13" i="22"/>
  <c r="JW13" i="22"/>
  <c r="JX13" i="22"/>
  <c r="JY13" i="22"/>
  <c r="JZ13" i="22"/>
  <c r="KA13" i="22"/>
  <c r="KB13" i="22"/>
  <c r="JQ12" i="22"/>
  <c r="JR12" i="22"/>
  <c r="JS12" i="22"/>
  <c r="JT12" i="22"/>
  <c r="JU12" i="22"/>
  <c r="JV12" i="22"/>
  <c r="JW12" i="22"/>
  <c r="JX12" i="22"/>
  <c r="JY12" i="22"/>
  <c r="JZ12" i="22"/>
  <c r="KA12" i="22"/>
  <c r="KB12" i="22"/>
  <c r="JQ10" i="22"/>
  <c r="JR10" i="22"/>
  <c r="JS10" i="22"/>
  <c r="JT10" i="22"/>
  <c r="JU10" i="22"/>
  <c r="JV10" i="22"/>
  <c r="JW10" i="22"/>
  <c r="JX10" i="22"/>
  <c r="JY10" i="22"/>
  <c r="JZ10" i="22"/>
  <c r="KA10" i="22"/>
  <c r="KB10" i="22"/>
  <c r="JQ9" i="22"/>
  <c r="JQ11" i="22"/>
  <c r="JR9" i="22"/>
  <c r="JS9" i="22"/>
  <c r="JT9" i="22"/>
  <c r="JU9" i="22"/>
  <c r="JV9" i="22"/>
  <c r="JW9" i="22"/>
  <c r="JX9" i="22"/>
  <c r="JY9" i="22"/>
  <c r="JZ9" i="22"/>
  <c r="KA9" i="22"/>
  <c r="KB9" i="22"/>
  <c r="JQ9" i="19"/>
  <c r="JR9" i="19"/>
  <c r="JS9" i="19"/>
  <c r="JT9" i="19"/>
  <c r="JU9" i="19"/>
  <c r="JV9" i="19"/>
  <c r="JW9" i="19"/>
  <c r="JX9" i="19"/>
  <c r="JY9" i="19"/>
  <c r="JZ9" i="19"/>
  <c r="KA9" i="19"/>
  <c r="KB9" i="19"/>
  <c r="KB59" i="35"/>
  <c r="KA59" i="35"/>
  <c r="JZ59" i="35"/>
  <c r="JY59" i="35"/>
  <c r="JX59" i="35"/>
  <c r="JW59" i="35"/>
  <c r="JV59" i="35"/>
  <c r="JU59" i="35"/>
  <c r="JT59" i="35"/>
  <c r="JS59" i="35"/>
  <c r="JR59" i="35"/>
  <c r="KB58" i="35"/>
  <c r="KA58" i="35"/>
  <c r="JZ58" i="35"/>
  <c r="JY58" i="35"/>
  <c r="JX58" i="35"/>
  <c r="JW58" i="35"/>
  <c r="JV58" i="35"/>
  <c r="JU58" i="35"/>
  <c r="JT58" i="35"/>
  <c r="JS58" i="35"/>
  <c r="JR58" i="35"/>
  <c r="KB57" i="35"/>
  <c r="KA57" i="35"/>
  <c r="JZ57" i="35"/>
  <c r="JY57" i="35"/>
  <c r="JX57" i="35"/>
  <c r="JW57" i="35"/>
  <c r="JV57" i="35"/>
  <c r="JU57" i="35"/>
  <c r="JT57" i="35"/>
  <c r="JS57" i="35"/>
  <c r="JR57" i="35"/>
  <c r="KB55" i="35"/>
  <c r="KA55" i="35"/>
  <c r="JZ55" i="35"/>
  <c r="JY55" i="35"/>
  <c r="JX55" i="35"/>
  <c r="JW55" i="35"/>
  <c r="JV55" i="35"/>
  <c r="JU55" i="35"/>
  <c r="JT55" i="35"/>
  <c r="JS55" i="35"/>
  <c r="JR55" i="35"/>
  <c r="KB54" i="35"/>
  <c r="KA54" i="35"/>
  <c r="JZ54" i="35"/>
  <c r="JY54" i="35"/>
  <c r="JX54" i="35"/>
  <c r="JW54" i="35"/>
  <c r="JV54" i="35"/>
  <c r="JU54" i="35"/>
  <c r="JT54" i="35"/>
  <c r="JS54" i="35"/>
  <c r="JR54" i="35"/>
  <c r="KB53" i="35"/>
  <c r="KA53" i="35"/>
  <c r="JZ53" i="35"/>
  <c r="JY53" i="35"/>
  <c r="JX53" i="35"/>
  <c r="JW53" i="35"/>
  <c r="JV53" i="35"/>
  <c r="JU53" i="35"/>
  <c r="JT53" i="35"/>
  <c r="JS53" i="35"/>
  <c r="JR53" i="35"/>
  <c r="KB52" i="35"/>
  <c r="KA52" i="35"/>
  <c r="JZ52" i="35"/>
  <c r="JY52" i="35"/>
  <c r="JX52" i="35"/>
  <c r="JW52" i="35"/>
  <c r="JV52" i="35"/>
  <c r="JU52" i="35"/>
  <c r="JT52" i="35"/>
  <c r="JS52" i="35"/>
  <c r="JR52" i="35"/>
  <c r="KB50" i="35"/>
  <c r="KA50" i="35"/>
  <c r="JZ50" i="35"/>
  <c r="JY50" i="35"/>
  <c r="JX50" i="35"/>
  <c r="JW50" i="35"/>
  <c r="JV50" i="35"/>
  <c r="JU50" i="35"/>
  <c r="JT50" i="35"/>
  <c r="JS50" i="35"/>
  <c r="JR50" i="35"/>
  <c r="KB49" i="35"/>
  <c r="KA49" i="35"/>
  <c r="JZ49" i="35"/>
  <c r="JY49" i="35"/>
  <c r="JX49" i="35"/>
  <c r="JW49" i="35"/>
  <c r="JV49" i="35"/>
  <c r="JU49" i="35"/>
  <c r="JT49" i="35"/>
  <c r="JS49" i="35"/>
  <c r="JR49" i="35"/>
  <c r="KB48" i="35"/>
  <c r="KA48" i="35"/>
  <c r="JZ48" i="35"/>
  <c r="JY48" i="35"/>
  <c r="JX48" i="35"/>
  <c r="JW48" i="35"/>
  <c r="JV48" i="35"/>
  <c r="JU48" i="35"/>
  <c r="JT48" i="35"/>
  <c r="JS48" i="35"/>
  <c r="JR48" i="35"/>
  <c r="KB47" i="35"/>
  <c r="KA47" i="35"/>
  <c r="JZ47" i="35"/>
  <c r="JY47" i="35"/>
  <c r="JX47" i="35"/>
  <c r="JW47" i="35"/>
  <c r="JV47" i="35"/>
  <c r="JU47" i="35"/>
  <c r="JT47" i="35"/>
  <c r="JS47" i="35"/>
  <c r="JR47" i="35"/>
  <c r="KB46" i="35"/>
  <c r="KA46" i="35"/>
  <c r="JZ46" i="35"/>
  <c r="JY46" i="35"/>
  <c r="JX46" i="35"/>
  <c r="JW46" i="35"/>
  <c r="JV46" i="35"/>
  <c r="JU46" i="35"/>
  <c r="JT46" i="35"/>
  <c r="JS46" i="35"/>
  <c r="JR46" i="35"/>
  <c r="KB45" i="35"/>
  <c r="KA45" i="35"/>
  <c r="JZ45" i="35"/>
  <c r="JY45" i="35"/>
  <c r="JX45" i="35"/>
  <c r="JW45" i="35"/>
  <c r="JV45" i="35"/>
  <c r="JU45" i="35"/>
  <c r="JT45" i="35"/>
  <c r="JS45" i="35"/>
  <c r="JR45" i="35"/>
  <c r="KB44" i="35"/>
  <c r="KA44" i="35"/>
  <c r="JZ44" i="35"/>
  <c r="JY44" i="35"/>
  <c r="JX44" i="35"/>
  <c r="JW44" i="35"/>
  <c r="JV44" i="35"/>
  <c r="JU44" i="35"/>
  <c r="JT44" i="35"/>
  <c r="JS44" i="35"/>
  <c r="JR44" i="35"/>
  <c r="KB43" i="35"/>
  <c r="KA43" i="35"/>
  <c r="JZ43" i="35"/>
  <c r="JY43" i="35"/>
  <c r="JX43" i="35"/>
  <c r="JW43" i="35"/>
  <c r="JV43" i="35"/>
  <c r="JU43" i="35"/>
  <c r="JT43" i="35"/>
  <c r="JS43" i="35"/>
  <c r="JR43" i="35"/>
  <c r="KB42" i="35"/>
  <c r="KA42" i="35"/>
  <c r="JZ42" i="35"/>
  <c r="JY42" i="35"/>
  <c r="JX42" i="35"/>
  <c r="JW42" i="35"/>
  <c r="JV42" i="35"/>
  <c r="JU42" i="35"/>
  <c r="JT42" i="35"/>
  <c r="JS42" i="35"/>
  <c r="JR42" i="35"/>
  <c r="KB40" i="35"/>
  <c r="KA40" i="35"/>
  <c r="JZ40" i="35"/>
  <c r="JY40" i="35"/>
  <c r="JX40" i="35"/>
  <c r="JW40" i="35"/>
  <c r="JV40" i="35"/>
  <c r="JU40" i="35"/>
  <c r="JT40" i="35"/>
  <c r="JS40" i="35"/>
  <c r="JR40" i="35"/>
  <c r="KB39" i="35"/>
  <c r="KA39" i="35"/>
  <c r="JZ39" i="35"/>
  <c r="JY39" i="35"/>
  <c r="JX39" i="35"/>
  <c r="JW39" i="35"/>
  <c r="JV39" i="35"/>
  <c r="JU39" i="35"/>
  <c r="JT39" i="35"/>
  <c r="JS39" i="35"/>
  <c r="JR39" i="35"/>
  <c r="KB38" i="35"/>
  <c r="KA38" i="35"/>
  <c r="JZ38" i="35"/>
  <c r="JY38" i="35"/>
  <c r="JX38" i="35"/>
  <c r="JW38" i="35"/>
  <c r="JV38" i="35"/>
  <c r="JU38" i="35"/>
  <c r="JT38" i="35"/>
  <c r="JS38" i="35"/>
  <c r="JR38" i="35"/>
  <c r="KB37" i="35"/>
  <c r="KA37" i="35"/>
  <c r="JZ37" i="35"/>
  <c r="JY37" i="35"/>
  <c r="JX37" i="35"/>
  <c r="JW37" i="35"/>
  <c r="JV37" i="35"/>
  <c r="JU37" i="35"/>
  <c r="JT37" i="35"/>
  <c r="JS37" i="35"/>
  <c r="JR37" i="35"/>
  <c r="KB36" i="35"/>
  <c r="KA36" i="35"/>
  <c r="JZ36" i="35"/>
  <c r="JY36" i="35"/>
  <c r="JX36" i="35"/>
  <c r="JW36" i="35"/>
  <c r="JV36" i="35"/>
  <c r="JU36" i="35"/>
  <c r="JT36" i="35"/>
  <c r="JS36" i="35"/>
  <c r="JR36" i="35"/>
  <c r="KB35" i="35"/>
  <c r="KA35" i="35"/>
  <c r="JZ35" i="35"/>
  <c r="JY35" i="35"/>
  <c r="JX35" i="35"/>
  <c r="JW35" i="35"/>
  <c r="JV35" i="35"/>
  <c r="JU35" i="35"/>
  <c r="JT35" i="35"/>
  <c r="JS35" i="35"/>
  <c r="JR35" i="35"/>
  <c r="KB34" i="35"/>
  <c r="KA34" i="35"/>
  <c r="JZ34" i="35"/>
  <c r="JY34" i="35"/>
  <c r="JX34" i="35"/>
  <c r="JW34" i="35"/>
  <c r="JV34" i="35"/>
  <c r="JU34" i="35"/>
  <c r="JT34" i="35"/>
  <c r="JS34" i="35"/>
  <c r="JR34" i="35"/>
  <c r="KB33" i="35"/>
  <c r="KA33" i="35"/>
  <c r="JZ33" i="35"/>
  <c r="JY33" i="35"/>
  <c r="JX33" i="35"/>
  <c r="JW33" i="35"/>
  <c r="JV33" i="35"/>
  <c r="JU33" i="35"/>
  <c r="JT33" i="35"/>
  <c r="JS33" i="35"/>
  <c r="JR33" i="35"/>
  <c r="KB32" i="35"/>
  <c r="KA32" i="35"/>
  <c r="JZ32" i="35"/>
  <c r="JY32" i="35"/>
  <c r="JX32" i="35"/>
  <c r="JW32" i="35"/>
  <c r="JV32" i="35"/>
  <c r="JU32" i="35"/>
  <c r="JT32" i="35"/>
  <c r="JS32" i="35"/>
  <c r="JR32" i="35"/>
  <c r="KB31" i="35"/>
  <c r="KA31" i="35"/>
  <c r="JZ31" i="35"/>
  <c r="JY31" i="35"/>
  <c r="JX31" i="35"/>
  <c r="JW31" i="35"/>
  <c r="JV31" i="35"/>
  <c r="JU31" i="35"/>
  <c r="JT31" i="35"/>
  <c r="JS31" i="35"/>
  <c r="JR31" i="35"/>
  <c r="KB30" i="35"/>
  <c r="KA30" i="35"/>
  <c r="JZ30" i="35"/>
  <c r="JY30" i="35"/>
  <c r="JX30" i="35"/>
  <c r="JW30" i="35"/>
  <c r="JV30" i="35"/>
  <c r="JU30" i="35"/>
  <c r="JT30" i="35"/>
  <c r="JS30" i="35"/>
  <c r="JR30" i="35"/>
  <c r="KB29" i="35"/>
  <c r="KA29" i="35"/>
  <c r="JZ29" i="35"/>
  <c r="JY29" i="35"/>
  <c r="JX29" i="35"/>
  <c r="JW29" i="35"/>
  <c r="JV29" i="35"/>
  <c r="JU29" i="35"/>
  <c r="JT29" i="35"/>
  <c r="JS29" i="35"/>
  <c r="JR29" i="35"/>
  <c r="KB28" i="35"/>
  <c r="KA28" i="35"/>
  <c r="JZ28" i="35"/>
  <c r="JY28" i="35"/>
  <c r="JX28" i="35"/>
  <c r="JW28" i="35"/>
  <c r="JV28" i="35"/>
  <c r="JU28" i="35"/>
  <c r="JT28" i="35"/>
  <c r="JS28" i="35"/>
  <c r="JR28" i="35"/>
  <c r="KB27" i="35"/>
  <c r="KA27" i="35"/>
  <c r="JZ27" i="35"/>
  <c r="JY27" i="35"/>
  <c r="JX27" i="35"/>
  <c r="JW27" i="35"/>
  <c r="JV27" i="35"/>
  <c r="JU27" i="35"/>
  <c r="JT27" i="35"/>
  <c r="JS27" i="35"/>
  <c r="JR27" i="35"/>
  <c r="KB26" i="35"/>
  <c r="KA26" i="35"/>
  <c r="JZ26" i="35"/>
  <c r="JY26" i="35"/>
  <c r="JX26" i="35"/>
  <c r="JW26" i="35"/>
  <c r="JV26" i="35"/>
  <c r="JU26" i="35"/>
  <c r="JT26" i="35"/>
  <c r="JS26" i="35"/>
  <c r="JR26" i="35"/>
  <c r="KB25" i="35"/>
  <c r="KA25" i="35"/>
  <c r="JZ25" i="35"/>
  <c r="JY25" i="35"/>
  <c r="JX25" i="35"/>
  <c r="JW25" i="35"/>
  <c r="JV25" i="35"/>
  <c r="JU25" i="35"/>
  <c r="JT25" i="35"/>
  <c r="JS25" i="35"/>
  <c r="JR25" i="35"/>
  <c r="KB24" i="35"/>
  <c r="KA24" i="35"/>
  <c r="JZ24" i="35"/>
  <c r="JY24" i="35"/>
  <c r="JX24" i="35"/>
  <c r="JW24" i="35"/>
  <c r="JV24" i="35"/>
  <c r="JU24" i="35"/>
  <c r="JT24" i="35"/>
  <c r="JS24" i="35"/>
  <c r="JR24" i="35"/>
  <c r="KB23" i="35"/>
  <c r="KA23" i="35"/>
  <c r="JZ23" i="35"/>
  <c r="JY23" i="35"/>
  <c r="JX23" i="35"/>
  <c r="JW23" i="35"/>
  <c r="JV23" i="35"/>
  <c r="JU23" i="35"/>
  <c r="JT23" i="35"/>
  <c r="JS23" i="35"/>
  <c r="JR23" i="35"/>
  <c r="KB22" i="35"/>
  <c r="KA22" i="35"/>
  <c r="JZ22" i="35"/>
  <c r="JY22" i="35"/>
  <c r="JX22" i="35"/>
  <c r="JW22" i="35"/>
  <c r="JV22" i="35"/>
  <c r="JU22" i="35"/>
  <c r="JT22" i="35"/>
  <c r="JS22" i="35"/>
  <c r="JR22" i="35"/>
  <c r="KB21" i="35"/>
  <c r="KA21" i="35"/>
  <c r="JZ21" i="35"/>
  <c r="JY21" i="35"/>
  <c r="JX21" i="35"/>
  <c r="JW21" i="35"/>
  <c r="JV21" i="35"/>
  <c r="JU21" i="35"/>
  <c r="JT21" i="35"/>
  <c r="JS21" i="35"/>
  <c r="JR21" i="35"/>
  <c r="KB20" i="35"/>
  <c r="KA20" i="35"/>
  <c r="JZ20" i="35"/>
  <c r="JY20" i="35"/>
  <c r="JX20" i="35"/>
  <c r="JW20" i="35"/>
  <c r="JV20" i="35"/>
  <c r="JU20" i="35"/>
  <c r="JT20" i="35"/>
  <c r="JS20" i="35"/>
  <c r="JR20" i="35"/>
  <c r="KB19" i="35"/>
  <c r="KA19" i="35"/>
  <c r="JZ19" i="35"/>
  <c r="JY19" i="35"/>
  <c r="JX19" i="35"/>
  <c r="JW19" i="35"/>
  <c r="JV19" i="35"/>
  <c r="JU19" i="35"/>
  <c r="JT19" i="35"/>
  <c r="JS19" i="35"/>
  <c r="JR19" i="35"/>
  <c r="KB18" i="35"/>
  <c r="KA18" i="35"/>
  <c r="JZ18" i="35"/>
  <c r="JY18" i="35"/>
  <c r="JX18" i="35"/>
  <c r="JW18" i="35"/>
  <c r="JV18" i="35"/>
  <c r="JU18" i="35"/>
  <c r="JT18" i="35"/>
  <c r="JS18" i="35"/>
  <c r="JR18" i="35"/>
  <c r="KB17" i="35"/>
  <c r="KA17" i="35"/>
  <c r="JZ17" i="35"/>
  <c r="JY17" i="35"/>
  <c r="JX17" i="35"/>
  <c r="JW17" i="35"/>
  <c r="JV17" i="35"/>
  <c r="JU17" i="35"/>
  <c r="JT17" i="35"/>
  <c r="JS17" i="35"/>
  <c r="JR17" i="35"/>
  <c r="KB16" i="35"/>
  <c r="KA16" i="35"/>
  <c r="JZ16" i="35"/>
  <c r="JY16" i="35"/>
  <c r="JX16" i="35"/>
  <c r="JW16" i="35"/>
  <c r="JV16" i="35"/>
  <c r="JU16" i="35"/>
  <c r="JT16" i="35"/>
  <c r="JS16" i="35"/>
  <c r="JR16" i="35"/>
  <c r="KB15" i="35"/>
  <c r="KA15" i="35"/>
  <c r="JZ15" i="35"/>
  <c r="JY15" i="35"/>
  <c r="JX15" i="35"/>
  <c r="JW15" i="35"/>
  <c r="JV15" i="35"/>
  <c r="JU15" i="35"/>
  <c r="JT15" i="35"/>
  <c r="JS15" i="35"/>
  <c r="JR15" i="35"/>
  <c r="KB14" i="35"/>
  <c r="KA14" i="35"/>
  <c r="JZ14" i="35"/>
  <c r="JY14" i="35"/>
  <c r="JX14" i="35"/>
  <c r="JW14" i="35"/>
  <c r="JV14" i="35"/>
  <c r="JU14" i="35"/>
  <c r="JT14" i="35"/>
  <c r="JS14" i="35"/>
  <c r="JR14" i="35"/>
  <c r="KB13" i="35"/>
  <c r="KA13" i="35"/>
  <c r="JZ13" i="35"/>
  <c r="JY13" i="35"/>
  <c r="JX13" i="35"/>
  <c r="JW13" i="35"/>
  <c r="JV13" i="35"/>
  <c r="JU13" i="35"/>
  <c r="JT13" i="35"/>
  <c r="JS13" i="35"/>
  <c r="JR13" i="35"/>
  <c r="KB12" i="35"/>
  <c r="KA12" i="35"/>
  <c r="JZ12" i="35"/>
  <c r="JY12" i="35"/>
  <c r="JX12" i="35"/>
  <c r="JW12" i="35"/>
  <c r="JV12" i="35"/>
  <c r="JU12" i="35"/>
  <c r="JT12" i="35"/>
  <c r="JS12" i="35"/>
  <c r="JR12" i="35"/>
  <c r="KB11" i="35"/>
  <c r="KA11" i="35"/>
  <c r="JZ11" i="35"/>
  <c r="JY11" i="35"/>
  <c r="JX11" i="35"/>
  <c r="JW11" i="35"/>
  <c r="JV11" i="35"/>
  <c r="JU11" i="35"/>
  <c r="JT11" i="35"/>
  <c r="JS11" i="35"/>
  <c r="JR11" i="35"/>
  <c r="KB10" i="35"/>
  <c r="KA10" i="35"/>
  <c r="JZ10" i="35"/>
  <c r="JY10" i="35"/>
  <c r="JX10" i="35"/>
  <c r="JW10" i="35"/>
  <c r="JV10" i="35"/>
  <c r="JU10" i="35"/>
  <c r="JT10" i="35"/>
  <c r="JS10" i="35"/>
  <c r="JR10" i="35"/>
  <c r="CO9" i="35"/>
  <c r="KQ9" i="35"/>
  <c r="CN9" i="35"/>
  <c r="KP9" i="35"/>
  <c r="CM9" i="35"/>
  <c r="KO9" i="35"/>
  <c r="CL9" i="35"/>
  <c r="KN9" i="35"/>
  <c r="CJ9" i="35"/>
  <c r="KL9" i="35"/>
  <c r="CH9" i="35"/>
  <c r="CD9" i="35"/>
  <c r="KF9" i="35"/>
  <c r="KB9" i="35"/>
  <c r="KA9" i="35"/>
  <c r="JZ9" i="35"/>
  <c r="JY9" i="35"/>
  <c r="JX9" i="35"/>
  <c r="JW9" i="35"/>
  <c r="JV9" i="35"/>
  <c r="JU9" i="35"/>
  <c r="JT9" i="35"/>
  <c r="JS9" i="35"/>
  <c r="JR9" i="35"/>
  <c r="JQ9" i="35"/>
  <c r="JP9" i="35"/>
  <c r="KB55" i="34"/>
  <c r="KA55" i="34"/>
  <c r="JZ55" i="34"/>
  <c r="JY55" i="34"/>
  <c r="JX55" i="34"/>
  <c r="JW55" i="34"/>
  <c r="JV55" i="34"/>
  <c r="JU55" i="34"/>
  <c r="JT55" i="34"/>
  <c r="JS55" i="34"/>
  <c r="JR55" i="34"/>
  <c r="KB54" i="34"/>
  <c r="KA54" i="34"/>
  <c r="JZ54" i="34"/>
  <c r="JY54" i="34"/>
  <c r="JX54" i="34"/>
  <c r="JW54" i="34"/>
  <c r="JV54" i="34"/>
  <c r="JU54" i="34"/>
  <c r="JT54" i="34"/>
  <c r="JR54" i="34"/>
  <c r="JS54" i="34"/>
  <c r="KB53" i="34"/>
  <c r="KA53" i="34"/>
  <c r="JZ53" i="34"/>
  <c r="JY53" i="34"/>
  <c r="JX53" i="34"/>
  <c r="JW53" i="34"/>
  <c r="JV53" i="34"/>
  <c r="JU53" i="34"/>
  <c r="JT53" i="34"/>
  <c r="JR53" i="34"/>
  <c r="JS53" i="34"/>
  <c r="KB51" i="34"/>
  <c r="KA51" i="34"/>
  <c r="JZ51" i="34"/>
  <c r="JY51" i="34"/>
  <c r="JX51" i="34"/>
  <c r="JW51" i="34"/>
  <c r="JV51" i="34"/>
  <c r="JU51" i="34"/>
  <c r="JT51" i="34"/>
  <c r="JS51" i="34"/>
  <c r="JR51" i="34"/>
  <c r="KB50" i="34"/>
  <c r="KA50" i="34"/>
  <c r="JZ50" i="34"/>
  <c r="JY50" i="34"/>
  <c r="JX50" i="34"/>
  <c r="JW50" i="34"/>
  <c r="JV50" i="34"/>
  <c r="JU50" i="34"/>
  <c r="JT50" i="34"/>
  <c r="JS50" i="34"/>
  <c r="JR50" i="34"/>
  <c r="KB49" i="34"/>
  <c r="KA49" i="34"/>
  <c r="JZ49" i="34"/>
  <c r="JY49" i="34"/>
  <c r="JX49" i="34"/>
  <c r="JW49" i="34"/>
  <c r="JV49" i="34"/>
  <c r="JU49" i="34"/>
  <c r="JT49" i="34"/>
  <c r="JS49" i="34"/>
  <c r="JR49" i="34"/>
  <c r="KB48" i="34"/>
  <c r="KA48" i="34"/>
  <c r="JZ48" i="34"/>
  <c r="JY48" i="34"/>
  <c r="JX48" i="34"/>
  <c r="JW48" i="34"/>
  <c r="JV48" i="34"/>
  <c r="JU48" i="34"/>
  <c r="JT48" i="34"/>
  <c r="JS48" i="34"/>
  <c r="JR48" i="34"/>
  <c r="KB47" i="34"/>
  <c r="KA47" i="34"/>
  <c r="JZ47" i="34"/>
  <c r="JY47" i="34"/>
  <c r="JX47" i="34"/>
  <c r="JW47" i="34"/>
  <c r="JV47" i="34"/>
  <c r="JU47" i="34"/>
  <c r="JT47" i="34"/>
  <c r="JS47" i="34"/>
  <c r="JR47" i="34"/>
  <c r="KB46" i="34"/>
  <c r="KA46" i="34"/>
  <c r="JZ46" i="34"/>
  <c r="JY46" i="34"/>
  <c r="JX46" i="34"/>
  <c r="JW46" i="34"/>
  <c r="JV46" i="34"/>
  <c r="JU46" i="34"/>
  <c r="JT46" i="34"/>
  <c r="JS46" i="34"/>
  <c r="JR46" i="34"/>
  <c r="KB45" i="34"/>
  <c r="KA45" i="34"/>
  <c r="JZ45" i="34"/>
  <c r="JY45" i="34"/>
  <c r="JX45" i="34"/>
  <c r="JW45" i="34"/>
  <c r="JV45" i="34"/>
  <c r="JU45" i="34"/>
  <c r="JT45" i="34"/>
  <c r="JS45" i="34"/>
  <c r="JR45" i="34"/>
  <c r="KB44" i="34"/>
  <c r="KA44" i="34"/>
  <c r="JZ44" i="34"/>
  <c r="JY44" i="34"/>
  <c r="JX44" i="34"/>
  <c r="JW44" i="34"/>
  <c r="JV44" i="34"/>
  <c r="JU44" i="34"/>
  <c r="JT44" i="34"/>
  <c r="JS44" i="34"/>
  <c r="JR44" i="34"/>
  <c r="KB43" i="34"/>
  <c r="KA43" i="34"/>
  <c r="JZ43" i="34"/>
  <c r="JY43" i="34"/>
  <c r="JX43" i="34"/>
  <c r="JW43" i="34"/>
  <c r="JV43" i="34"/>
  <c r="JU43" i="34"/>
  <c r="JT43" i="34"/>
  <c r="JS43" i="34"/>
  <c r="JR43" i="34"/>
  <c r="KB42" i="34"/>
  <c r="KA42" i="34"/>
  <c r="JZ42" i="34"/>
  <c r="JY42" i="34"/>
  <c r="JX42" i="34"/>
  <c r="JW42" i="34"/>
  <c r="JV42" i="34"/>
  <c r="JU42" i="34"/>
  <c r="JT42" i="34"/>
  <c r="JS42" i="34"/>
  <c r="JR42" i="34"/>
  <c r="KB41" i="34"/>
  <c r="KA41" i="34"/>
  <c r="JZ41" i="34"/>
  <c r="JY41" i="34"/>
  <c r="JX41" i="34"/>
  <c r="JW41" i="34"/>
  <c r="JV41" i="34"/>
  <c r="JU41" i="34"/>
  <c r="JT41" i="34"/>
  <c r="JS41" i="34"/>
  <c r="JR41" i="34"/>
  <c r="KB40" i="34"/>
  <c r="KA40" i="34"/>
  <c r="JZ40" i="34"/>
  <c r="JY40" i="34"/>
  <c r="JX40" i="34"/>
  <c r="JW40" i="34"/>
  <c r="JV40" i="34"/>
  <c r="JU40" i="34"/>
  <c r="JT40" i="34"/>
  <c r="JS40" i="34"/>
  <c r="JR40" i="34"/>
  <c r="KB39" i="34"/>
  <c r="KA39" i="34"/>
  <c r="JZ39" i="34"/>
  <c r="JY39" i="34"/>
  <c r="JX39" i="34"/>
  <c r="JW39" i="34"/>
  <c r="JV39" i="34"/>
  <c r="JU39" i="34"/>
  <c r="JT39" i="34"/>
  <c r="JS39" i="34"/>
  <c r="JR39" i="34"/>
  <c r="KB38" i="34"/>
  <c r="KA38" i="34"/>
  <c r="JZ38" i="34"/>
  <c r="JY38" i="34"/>
  <c r="JX38" i="34"/>
  <c r="JW38" i="34"/>
  <c r="JV38" i="34"/>
  <c r="JU38" i="34"/>
  <c r="JT38" i="34"/>
  <c r="JS38" i="34"/>
  <c r="JR38" i="34"/>
  <c r="KB37" i="34"/>
  <c r="KA37" i="34"/>
  <c r="JZ37" i="34"/>
  <c r="JY37" i="34"/>
  <c r="JX37" i="34"/>
  <c r="JW37" i="34"/>
  <c r="JV37" i="34"/>
  <c r="JU37" i="34"/>
  <c r="JT37" i="34"/>
  <c r="JS37" i="34"/>
  <c r="JR37" i="34"/>
  <c r="KB36" i="34"/>
  <c r="KA36" i="34"/>
  <c r="JZ36" i="34"/>
  <c r="JY36" i="34"/>
  <c r="JX36" i="34"/>
  <c r="JW36" i="34"/>
  <c r="JV36" i="34"/>
  <c r="JU36" i="34"/>
  <c r="JT36" i="34"/>
  <c r="JS36" i="34"/>
  <c r="JR36" i="34"/>
  <c r="KB35" i="34"/>
  <c r="KA35" i="34"/>
  <c r="JZ35" i="34"/>
  <c r="JY35" i="34"/>
  <c r="JX35" i="34"/>
  <c r="JW35" i="34"/>
  <c r="JV35" i="34"/>
  <c r="JU35" i="34"/>
  <c r="JT35" i="34"/>
  <c r="JS35" i="34"/>
  <c r="JR35" i="34"/>
  <c r="KB34" i="34"/>
  <c r="KA34" i="34"/>
  <c r="JZ34" i="34"/>
  <c r="JY34" i="34"/>
  <c r="JX34" i="34"/>
  <c r="JW34" i="34"/>
  <c r="JV34" i="34"/>
  <c r="JU34" i="34"/>
  <c r="JT34" i="34"/>
  <c r="JS34" i="34"/>
  <c r="JR34" i="34"/>
  <c r="KB33" i="34"/>
  <c r="KA33" i="34"/>
  <c r="JZ33" i="34"/>
  <c r="JY33" i="34"/>
  <c r="JX33" i="34"/>
  <c r="JW33" i="34"/>
  <c r="JV33" i="34"/>
  <c r="JU33" i="34"/>
  <c r="JT33" i="34"/>
  <c r="JS33" i="34"/>
  <c r="JR33" i="34"/>
  <c r="KB32" i="34"/>
  <c r="KA32" i="34"/>
  <c r="JZ32" i="34"/>
  <c r="JY32" i="34"/>
  <c r="JX32" i="34"/>
  <c r="JW32" i="34"/>
  <c r="JV32" i="34"/>
  <c r="JU32" i="34"/>
  <c r="JT32" i="34"/>
  <c r="JS32" i="34"/>
  <c r="JR32" i="34"/>
  <c r="KB31" i="34"/>
  <c r="KA31" i="34"/>
  <c r="JZ31" i="34"/>
  <c r="JY31" i="34"/>
  <c r="JX31" i="34"/>
  <c r="JW31" i="34"/>
  <c r="JV31" i="34"/>
  <c r="JU31" i="34"/>
  <c r="JT31" i="34"/>
  <c r="JS31" i="34"/>
  <c r="JR31" i="34"/>
  <c r="KB30" i="34"/>
  <c r="KA30" i="34"/>
  <c r="JZ30" i="34"/>
  <c r="JY30" i="34"/>
  <c r="JX30" i="34"/>
  <c r="JW30" i="34"/>
  <c r="JV30" i="34"/>
  <c r="JU30" i="34"/>
  <c r="JT30" i="34"/>
  <c r="JS30" i="34"/>
  <c r="JR30" i="34"/>
  <c r="KB29" i="34"/>
  <c r="KA29" i="34"/>
  <c r="JZ29" i="34"/>
  <c r="JY29" i="34"/>
  <c r="JX29" i="34"/>
  <c r="JW29" i="34"/>
  <c r="JV29" i="34"/>
  <c r="JU29" i="34"/>
  <c r="JT29" i="34"/>
  <c r="JS29" i="34"/>
  <c r="JR29" i="34"/>
  <c r="KB28" i="34"/>
  <c r="KA28" i="34"/>
  <c r="JZ28" i="34"/>
  <c r="JY28" i="34"/>
  <c r="JX28" i="34"/>
  <c r="JW28" i="34"/>
  <c r="JV28" i="34"/>
  <c r="JU28" i="34"/>
  <c r="JT28" i="34"/>
  <c r="JS28" i="34"/>
  <c r="JR28" i="34"/>
  <c r="KB27" i="34"/>
  <c r="KA27" i="34"/>
  <c r="JZ27" i="34"/>
  <c r="JY27" i="34"/>
  <c r="JX27" i="34"/>
  <c r="JW27" i="34"/>
  <c r="JV27" i="34"/>
  <c r="JU27" i="34"/>
  <c r="JT27" i="34"/>
  <c r="JS27" i="34"/>
  <c r="JR27" i="34"/>
  <c r="KB26" i="34"/>
  <c r="KA26" i="34"/>
  <c r="JZ26" i="34"/>
  <c r="JY26" i="34"/>
  <c r="JX26" i="34"/>
  <c r="JW26" i="34"/>
  <c r="JV26" i="34"/>
  <c r="JU26" i="34"/>
  <c r="JT26" i="34"/>
  <c r="JS26" i="34"/>
  <c r="JR26" i="34"/>
  <c r="KB25" i="34"/>
  <c r="KA25" i="34"/>
  <c r="JZ25" i="34"/>
  <c r="JY25" i="34"/>
  <c r="JX25" i="34"/>
  <c r="JW25" i="34"/>
  <c r="JV25" i="34"/>
  <c r="JU25" i="34"/>
  <c r="JT25" i="34"/>
  <c r="JS25" i="34"/>
  <c r="JR25" i="34"/>
  <c r="KB24" i="34"/>
  <c r="KA24" i="34"/>
  <c r="JZ24" i="34"/>
  <c r="JY24" i="34"/>
  <c r="JX24" i="34"/>
  <c r="JW24" i="34"/>
  <c r="JV24" i="34"/>
  <c r="JU24" i="34"/>
  <c r="JT24" i="34"/>
  <c r="JS24" i="34"/>
  <c r="JR24" i="34"/>
  <c r="KB23" i="34"/>
  <c r="KA23" i="34"/>
  <c r="JZ23" i="34"/>
  <c r="JY23" i="34"/>
  <c r="JX23" i="34"/>
  <c r="JW23" i="34"/>
  <c r="JV23" i="34"/>
  <c r="JU23" i="34"/>
  <c r="JT23" i="34"/>
  <c r="JS23" i="34"/>
  <c r="JR23" i="34"/>
  <c r="KB22" i="34"/>
  <c r="KA22" i="34"/>
  <c r="JZ22" i="34"/>
  <c r="JY22" i="34"/>
  <c r="JX22" i="34"/>
  <c r="JW22" i="34"/>
  <c r="JV22" i="34"/>
  <c r="JU22" i="34"/>
  <c r="JT22" i="34"/>
  <c r="JS22" i="34"/>
  <c r="JR22" i="34"/>
  <c r="KB21" i="34"/>
  <c r="KA21" i="34"/>
  <c r="JZ21" i="34"/>
  <c r="JY21" i="34"/>
  <c r="JX21" i="34"/>
  <c r="JW21" i="34"/>
  <c r="JV21" i="34"/>
  <c r="JU21" i="34"/>
  <c r="JT21" i="34"/>
  <c r="JS21" i="34"/>
  <c r="JR21" i="34"/>
  <c r="KB20" i="34"/>
  <c r="KA20" i="34"/>
  <c r="JZ20" i="34"/>
  <c r="JY20" i="34"/>
  <c r="JX20" i="34"/>
  <c r="JW20" i="34"/>
  <c r="JV20" i="34"/>
  <c r="JU20" i="34"/>
  <c r="JT20" i="34"/>
  <c r="JS20" i="34"/>
  <c r="JR20" i="34"/>
  <c r="KB19" i="34"/>
  <c r="KA19" i="34"/>
  <c r="JZ19" i="34"/>
  <c r="JY19" i="34"/>
  <c r="JX19" i="34"/>
  <c r="JW19" i="34"/>
  <c r="JV19" i="34"/>
  <c r="JU19" i="34"/>
  <c r="JT19" i="34"/>
  <c r="JS19" i="34"/>
  <c r="JR19" i="34"/>
  <c r="KB18" i="34"/>
  <c r="KA18" i="34"/>
  <c r="JZ18" i="34"/>
  <c r="JY18" i="34"/>
  <c r="JX18" i="34"/>
  <c r="JW18" i="34"/>
  <c r="JV18" i="34"/>
  <c r="JU18" i="34"/>
  <c r="JT18" i="34"/>
  <c r="JS18" i="34"/>
  <c r="JR18" i="34"/>
  <c r="KB17" i="34"/>
  <c r="KA17" i="34"/>
  <c r="JZ17" i="34"/>
  <c r="JY17" i="34"/>
  <c r="JX17" i="34"/>
  <c r="JW17" i="34"/>
  <c r="JV17" i="34"/>
  <c r="JU17" i="34"/>
  <c r="JT17" i="34"/>
  <c r="JS17" i="34"/>
  <c r="JR17" i="34"/>
  <c r="KB16" i="34"/>
  <c r="KA16" i="34"/>
  <c r="JZ16" i="34"/>
  <c r="JY16" i="34"/>
  <c r="JX16" i="34"/>
  <c r="JW16" i="34"/>
  <c r="JV16" i="34"/>
  <c r="JU16" i="34"/>
  <c r="JT16" i="34"/>
  <c r="JS16" i="34"/>
  <c r="JR16" i="34"/>
  <c r="KB15" i="34"/>
  <c r="KA15" i="34"/>
  <c r="JZ15" i="34"/>
  <c r="JY15" i="34"/>
  <c r="JX15" i="34"/>
  <c r="JW15" i="34"/>
  <c r="JV15" i="34"/>
  <c r="JU15" i="34"/>
  <c r="JT15" i="34"/>
  <c r="JS15" i="34"/>
  <c r="JR15" i="34"/>
  <c r="KB14" i="34"/>
  <c r="KA14" i="34"/>
  <c r="JZ14" i="34"/>
  <c r="JY14" i="34"/>
  <c r="JX14" i="34"/>
  <c r="JW14" i="34"/>
  <c r="JV14" i="34"/>
  <c r="JU14" i="34"/>
  <c r="JT14" i="34"/>
  <c r="JS14" i="34"/>
  <c r="JR14" i="34"/>
  <c r="KB13" i="34"/>
  <c r="KA13" i="34"/>
  <c r="JZ13" i="34"/>
  <c r="JY13" i="34"/>
  <c r="JX13" i="34"/>
  <c r="JW13" i="34"/>
  <c r="JV13" i="34"/>
  <c r="JU13" i="34"/>
  <c r="JT13" i="34"/>
  <c r="JS13" i="34"/>
  <c r="JR13" i="34"/>
  <c r="KB12" i="34"/>
  <c r="KA12" i="34"/>
  <c r="JZ12" i="34"/>
  <c r="JY12" i="34"/>
  <c r="JX12" i="34"/>
  <c r="JW12" i="34"/>
  <c r="JV12" i="34"/>
  <c r="JU12" i="34"/>
  <c r="JT12" i="34"/>
  <c r="JS12" i="34"/>
  <c r="JR12" i="34"/>
  <c r="KB11" i="34"/>
  <c r="KA11" i="34"/>
  <c r="JZ11" i="34"/>
  <c r="JY11" i="34"/>
  <c r="JX11" i="34"/>
  <c r="JW11" i="34"/>
  <c r="JV11" i="34"/>
  <c r="JU11" i="34"/>
  <c r="JT11" i="34"/>
  <c r="JS11" i="34"/>
  <c r="JR11" i="34"/>
  <c r="KB10" i="34"/>
  <c r="KA10" i="34"/>
  <c r="JZ10" i="34"/>
  <c r="JY10" i="34"/>
  <c r="JX10" i="34"/>
  <c r="JW10" i="34"/>
  <c r="JV10" i="34"/>
  <c r="JU10" i="34"/>
  <c r="JT10" i="34"/>
  <c r="JS10" i="34"/>
  <c r="JR10" i="34"/>
  <c r="KB9" i="34"/>
  <c r="KA9" i="34"/>
  <c r="JZ9" i="34"/>
  <c r="JY9" i="34"/>
  <c r="JX9" i="34"/>
  <c r="JW9" i="34"/>
  <c r="JV9" i="34"/>
  <c r="JU9" i="34"/>
  <c r="JT9" i="34"/>
  <c r="JS9" i="34"/>
  <c r="JR9" i="34"/>
  <c r="JQ9" i="34"/>
  <c r="JP9" i="34"/>
  <c r="CO10" i="33"/>
  <c r="KQ10" i="33"/>
  <c r="CN10" i="33"/>
  <c r="CM10" i="33"/>
  <c r="CL10" i="33"/>
  <c r="KN10" i="33"/>
  <c r="CJ10" i="33"/>
  <c r="KL10" i="33"/>
  <c r="CH10" i="33"/>
  <c r="KJ10" i="33"/>
  <c r="CE10" i="33"/>
  <c r="CD10" i="33"/>
  <c r="JP10" i="33"/>
  <c r="JP9" i="33"/>
  <c r="KR9" i="33"/>
  <c r="CO9" i="33"/>
  <c r="KQ9" i="33"/>
  <c r="CN9" i="33"/>
  <c r="KP9" i="33"/>
  <c r="CM9" i="33"/>
  <c r="CL9" i="33"/>
  <c r="KN9" i="33"/>
  <c r="CJ9" i="33"/>
  <c r="CH9" i="33"/>
  <c r="KJ9" i="33"/>
  <c r="CE9" i="33"/>
  <c r="KG9" i="33"/>
  <c r="CD9" i="33"/>
  <c r="KF9" i="33"/>
  <c r="KB31" i="32"/>
  <c r="KA31" i="32"/>
  <c r="JZ31" i="32"/>
  <c r="JY31" i="32"/>
  <c r="JX31" i="32"/>
  <c r="JR31" i="32"/>
  <c r="JS31" i="32"/>
  <c r="JT31" i="32"/>
  <c r="JU31" i="32"/>
  <c r="JV31" i="32"/>
  <c r="JW31" i="32"/>
  <c r="KB27" i="32"/>
  <c r="KA27" i="32"/>
  <c r="JZ27" i="32"/>
  <c r="JY27" i="32"/>
  <c r="JX27" i="32"/>
  <c r="JW27" i="32"/>
  <c r="JV27" i="32"/>
  <c r="JU27" i="32"/>
  <c r="JT27" i="32"/>
  <c r="JS27" i="32"/>
  <c r="JR27" i="32"/>
  <c r="KB26" i="32"/>
  <c r="KA26" i="32"/>
  <c r="JZ26" i="32"/>
  <c r="JY26" i="32"/>
  <c r="JX26" i="32"/>
  <c r="JW26" i="32"/>
  <c r="JV26" i="32"/>
  <c r="JU26" i="32"/>
  <c r="JT26" i="32"/>
  <c r="JS26" i="32"/>
  <c r="JR26" i="32"/>
  <c r="KB25" i="32"/>
  <c r="KA25" i="32"/>
  <c r="JZ25" i="32"/>
  <c r="JY25" i="32"/>
  <c r="JX25" i="32"/>
  <c r="JW25" i="32"/>
  <c r="JV25" i="32"/>
  <c r="JU25" i="32"/>
  <c r="JT25" i="32"/>
  <c r="JS25" i="32"/>
  <c r="JR25" i="32"/>
  <c r="KB24" i="32"/>
  <c r="KA24" i="32"/>
  <c r="JZ24" i="32"/>
  <c r="JY24" i="32"/>
  <c r="JX24" i="32"/>
  <c r="JW24" i="32"/>
  <c r="JV24" i="32"/>
  <c r="JU24" i="32"/>
  <c r="JT24" i="32"/>
  <c r="JS24" i="32"/>
  <c r="JR24" i="32"/>
  <c r="KB22" i="32"/>
  <c r="KA22" i="32"/>
  <c r="JZ22" i="32"/>
  <c r="JY22" i="32"/>
  <c r="JX22" i="32"/>
  <c r="JW22" i="32"/>
  <c r="JV22" i="32"/>
  <c r="JU22" i="32"/>
  <c r="JT22" i="32"/>
  <c r="JS22" i="32"/>
  <c r="JR22" i="32"/>
  <c r="KB21" i="32"/>
  <c r="KA21" i="32"/>
  <c r="JZ21" i="32"/>
  <c r="JY21" i="32"/>
  <c r="JX21" i="32"/>
  <c r="JW21" i="32"/>
  <c r="JV21" i="32"/>
  <c r="JU21" i="32"/>
  <c r="JT21" i="32"/>
  <c r="JS21" i="32"/>
  <c r="JR21" i="32"/>
  <c r="KB20" i="32"/>
  <c r="KA20" i="32"/>
  <c r="JZ20" i="32"/>
  <c r="JY20" i="32"/>
  <c r="JX20" i="32"/>
  <c r="JW20" i="32"/>
  <c r="JV20" i="32"/>
  <c r="JU20" i="32"/>
  <c r="JT20" i="32"/>
  <c r="JS20" i="32"/>
  <c r="JR20" i="32"/>
  <c r="KB19" i="32"/>
  <c r="KA19" i="32"/>
  <c r="JZ19" i="32"/>
  <c r="JY19" i="32"/>
  <c r="JX19" i="32"/>
  <c r="JW19" i="32"/>
  <c r="JV19" i="32"/>
  <c r="JU19" i="32"/>
  <c r="JT19" i="32"/>
  <c r="JS19" i="32"/>
  <c r="JR19" i="32"/>
  <c r="KB18" i="32"/>
  <c r="KA18" i="32"/>
  <c r="JZ18" i="32"/>
  <c r="JY18" i="32"/>
  <c r="JX18" i="32"/>
  <c r="JR18" i="32"/>
  <c r="JS18" i="32"/>
  <c r="JT18" i="32"/>
  <c r="JU18" i="32"/>
  <c r="JV18" i="32"/>
  <c r="JW18" i="32"/>
  <c r="KB17" i="32"/>
  <c r="KB9" i="32"/>
  <c r="KB10" i="32"/>
  <c r="KB11" i="32"/>
  <c r="KB12" i="32"/>
  <c r="KB13" i="32"/>
  <c r="KB14" i="32"/>
  <c r="KB15" i="32"/>
  <c r="KB16" i="32"/>
  <c r="KA17" i="32"/>
  <c r="JZ17" i="32"/>
  <c r="JY17" i="32"/>
  <c r="JX17" i="32"/>
  <c r="JW17" i="32"/>
  <c r="JV17" i="32"/>
  <c r="JU17" i="32"/>
  <c r="JT17" i="32"/>
  <c r="JS17" i="32"/>
  <c r="JR17" i="32"/>
  <c r="KA16" i="32"/>
  <c r="JZ16" i="32"/>
  <c r="JY16" i="32"/>
  <c r="JX16" i="32"/>
  <c r="JW16" i="32"/>
  <c r="JV16" i="32"/>
  <c r="JU16" i="32"/>
  <c r="JT16" i="32"/>
  <c r="JS16" i="32"/>
  <c r="JR16" i="32"/>
  <c r="KA15" i="32"/>
  <c r="JZ15" i="32"/>
  <c r="JY15" i="32"/>
  <c r="JX15" i="32"/>
  <c r="JW15" i="32"/>
  <c r="JV15" i="32"/>
  <c r="JU15" i="32"/>
  <c r="JT15" i="32"/>
  <c r="JS15" i="32"/>
  <c r="JR15" i="32"/>
  <c r="KA14" i="32"/>
  <c r="JZ14" i="32"/>
  <c r="JY14" i="32"/>
  <c r="JX14" i="32"/>
  <c r="JW14" i="32"/>
  <c r="JV14" i="32"/>
  <c r="JU14" i="32"/>
  <c r="JT14" i="32"/>
  <c r="JS14" i="32"/>
  <c r="JR14" i="32"/>
  <c r="KA13" i="32"/>
  <c r="JZ13" i="32"/>
  <c r="JY13" i="32"/>
  <c r="JX13" i="32"/>
  <c r="JW13" i="32"/>
  <c r="JV13" i="32"/>
  <c r="JU13" i="32"/>
  <c r="JT13" i="32"/>
  <c r="JR13" i="32"/>
  <c r="JS13" i="32"/>
  <c r="KA12" i="32"/>
  <c r="JZ12" i="32"/>
  <c r="JY12" i="32"/>
  <c r="JX12" i="32"/>
  <c r="JW12" i="32"/>
  <c r="JV12" i="32"/>
  <c r="JU12" i="32"/>
  <c r="JT12" i="32"/>
  <c r="JS12" i="32"/>
  <c r="JR12" i="32"/>
  <c r="KA11" i="32"/>
  <c r="JZ11" i="32"/>
  <c r="JY11" i="32"/>
  <c r="JX11" i="32"/>
  <c r="JW11" i="32"/>
  <c r="JV11" i="32"/>
  <c r="JU11" i="32"/>
  <c r="JT11" i="32"/>
  <c r="JS11" i="32"/>
  <c r="JR11" i="32"/>
  <c r="KA10" i="32"/>
  <c r="JZ10" i="32"/>
  <c r="JY10" i="32"/>
  <c r="JX10" i="32"/>
  <c r="JW10" i="32"/>
  <c r="JV10" i="32"/>
  <c r="JV9" i="32"/>
  <c r="JU10" i="32"/>
  <c r="JT10" i="32"/>
  <c r="JS10" i="32"/>
  <c r="JR10" i="32"/>
  <c r="CO9" i="32"/>
  <c r="KQ9" i="32"/>
  <c r="CN9" i="32"/>
  <c r="KP9" i="32"/>
  <c r="CM9" i="32"/>
  <c r="KO9" i="32"/>
  <c r="CD9" i="32"/>
  <c r="KF9" i="32"/>
  <c r="KM9" i="32"/>
  <c r="CJ9" i="32"/>
  <c r="KL9" i="32"/>
  <c r="CH9" i="32"/>
  <c r="KJ9" i="32"/>
  <c r="KA9" i="32"/>
  <c r="JZ9" i="32"/>
  <c r="JY9" i="32"/>
  <c r="JX9" i="32"/>
  <c r="JW9" i="32"/>
  <c r="JU9" i="32"/>
  <c r="JT9" i="32"/>
  <c r="JS9" i="32"/>
  <c r="JR9" i="32"/>
  <c r="JP9" i="32"/>
  <c r="KB32" i="31"/>
  <c r="KA32" i="31"/>
  <c r="JZ32" i="31"/>
  <c r="JY32" i="31"/>
  <c r="JX32" i="31"/>
  <c r="JW32" i="31"/>
  <c r="JV32" i="31"/>
  <c r="JU32" i="31"/>
  <c r="JT32" i="31"/>
  <c r="JR32" i="31"/>
  <c r="JS32" i="31"/>
  <c r="KB31" i="31"/>
  <c r="KA31" i="31"/>
  <c r="JZ31" i="31"/>
  <c r="JY31" i="31"/>
  <c r="JX31" i="31"/>
  <c r="JW31" i="31"/>
  <c r="JV31" i="31"/>
  <c r="JU31" i="31"/>
  <c r="JT31" i="31"/>
  <c r="JS31" i="31"/>
  <c r="JR31" i="31"/>
  <c r="KB30" i="31"/>
  <c r="KA30" i="31"/>
  <c r="JZ30" i="31"/>
  <c r="JY30" i="31"/>
  <c r="JX30" i="31"/>
  <c r="JW30" i="31"/>
  <c r="JV30" i="31"/>
  <c r="JU30" i="31"/>
  <c r="JT30" i="31"/>
  <c r="JS30" i="31"/>
  <c r="JR30" i="31"/>
  <c r="KB29" i="31"/>
  <c r="KA29" i="31"/>
  <c r="JZ29" i="31"/>
  <c r="JY29" i="31"/>
  <c r="JX29" i="31"/>
  <c r="JW29" i="31"/>
  <c r="JV29" i="31"/>
  <c r="JU29" i="31"/>
  <c r="JT29" i="31"/>
  <c r="JS29" i="31"/>
  <c r="JR29" i="31"/>
  <c r="KB28" i="31"/>
  <c r="KA28" i="31"/>
  <c r="JZ28" i="31"/>
  <c r="JY28" i="31"/>
  <c r="JX28" i="31"/>
  <c r="JW28" i="31"/>
  <c r="JV28" i="31"/>
  <c r="JU28" i="31"/>
  <c r="JT28" i="31"/>
  <c r="JS28" i="31"/>
  <c r="JR28" i="31"/>
  <c r="KB27" i="31"/>
  <c r="KA27" i="31"/>
  <c r="JZ27" i="31"/>
  <c r="JY27" i="31"/>
  <c r="JX27" i="31"/>
  <c r="JW27" i="31"/>
  <c r="JV27" i="31"/>
  <c r="JU27" i="31"/>
  <c r="JT27" i="31"/>
  <c r="JS27" i="31"/>
  <c r="JR27" i="31"/>
  <c r="KB26" i="31"/>
  <c r="KA26" i="31"/>
  <c r="JZ26" i="31"/>
  <c r="JY26" i="31"/>
  <c r="JX26" i="31"/>
  <c r="JW26" i="31"/>
  <c r="JV26" i="31"/>
  <c r="JU26" i="31"/>
  <c r="JT26" i="31"/>
  <c r="JS26" i="31"/>
  <c r="JR26" i="31"/>
  <c r="KB25" i="31"/>
  <c r="KA25" i="31"/>
  <c r="JZ25" i="31"/>
  <c r="JY25" i="31"/>
  <c r="JX25" i="31"/>
  <c r="JW25" i="31"/>
  <c r="JV25" i="31"/>
  <c r="JU25" i="31"/>
  <c r="JT25" i="31"/>
  <c r="JS25" i="31"/>
  <c r="JR25" i="31"/>
  <c r="KB24" i="31"/>
  <c r="KA24" i="31"/>
  <c r="JZ24" i="31"/>
  <c r="JY24" i="31"/>
  <c r="JX24" i="31"/>
  <c r="JW24" i="31"/>
  <c r="JV24" i="31"/>
  <c r="JU24" i="31"/>
  <c r="JT24" i="31"/>
  <c r="JS24" i="31"/>
  <c r="JR24" i="31"/>
  <c r="KB23" i="31"/>
  <c r="KA23" i="31"/>
  <c r="JZ23" i="31"/>
  <c r="JY23" i="31"/>
  <c r="JX23" i="31"/>
  <c r="JW23" i="31"/>
  <c r="JV23" i="31"/>
  <c r="JU23" i="31"/>
  <c r="JT23" i="31"/>
  <c r="JS23" i="31"/>
  <c r="JR23" i="31"/>
  <c r="KB21" i="31"/>
  <c r="KA21" i="31"/>
  <c r="JZ21" i="31"/>
  <c r="JY21" i="31"/>
  <c r="JX21" i="31"/>
  <c r="JW21" i="31"/>
  <c r="JV21" i="31"/>
  <c r="JU21" i="31"/>
  <c r="JT21" i="31"/>
  <c r="JS21" i="31"/>
  <c r="JR21" i="31"/>
  <c r="KB20" i="31"/>
  <c r="KA20" i="31"/>
  <c r="JZ20" i="31"/>
  <c r="JY20" i="31"/>
  <c r="JX20" i="31"/>
  <c r="JR20" i="31"/>
  <c r="JS20" i="31"/>
  <c r="JT20" i="31"/>
  <c r="JU20" i="31"/>
  <c r="JV20" i="31"/>
  <c r="JW20" i="31"/>
  <c r="KB19" i="31"/>
  <c r="KA19" i="31"/>
  <c r="JZ19" i="31"/>
  <c r="JY19" i="31"/>
  <c r="JX19" i="31"/>
  <c r="JW19" i="31"/>
  <c r="JV19" i="31"/>
  <c r="JU19" i="31"/>
  <c r="JT19" i="31"/>
  <c r="JS19" i="31"/>
  <c r="JR19" i="31"/>
  <c r="KB18" i="31"/>
  <c r="KA18" i="31"/>
  <c r="JZ18" i="31"/>
  <c r="JY18" i="31"/>
  <c r="JX18" i="31"/>
  <c r="JW18" i="31"/>
  <c r="JV18" i="31"/>
  <c r="JU18" i="31"/>
  <c r="JT18" i="31"/>
  <c r="JS18" i="31"/>
  <c r="JR18" i="31"/>
  <c r="KB17" i="31"/>
  <c r="KA17" i="31"/>
  <c r="JZ17" i="31"/>
  <c r="JY17" i="31"/>
  <c r="JX17" i="31"/>
  <c r="JW17" i="31"/>
  <c r="JV17" i="31"/>
  <c r="JU17" i="31"/>
  <c r="JT17" i="31"/>
  <c r="JS17" i="31"/>
  <c r="JR17" i="31"/>
  <c r="KB16" i="31"/>
  <c r="KA16" i="31"/>
  <c r="JZ16" i="31"/>
  <c r="JY16" i="31"/>
  <c r="JX16" i="31"/>
  <c r="JW16" i="31"/>
  <c r="JV16" i="31"/>
  <c r="JU16" i="31"/>
  <c r="JT16" i="31"/>
  <c r="JS16" i="31"/>
  <c r="JR16" i="31"/>
  <c r="KB15" i="31"/>
  <c r="KA15" i="31"/>
  <c r="JZ15" i="31"/>
  <c r="JY15" i="31"/>
  <c r="JX15" i="31"/>
  <c r="JW15" i="31"/>
  <c r="JV15" i="31"/>
  <c r="JU15" i="31"/>
  <c r="JT15" i="31"/>
  <c r="JS15" i="31"/>
  <c r="JR15" i="31"/>
  <c r="KB14" i="31"/>
  <c r="KA14" i="31"/>
  <c r="JZ14" i="31"/>
  <c r="JY14" i="31"/>
  <c r="JX14" i="31"/>
  <c r="JW14" i="31"/>
  <c r="JV14" i="31"/>
  <c r="JU14" i="31"/>
  <c r="JT14" i="31"/>
  <c r="JS14" i="31"/>
  <c r="JR14" i="31"/>
  <c r="KB13" i="31"/>
  <c r="KA13" i="31"/>
  <c r="JZ13" i="31"/>
  <c r="JY13" i="31"/>
  <c r="JX13" i="31"/>
  <c r="JW13" i="31"/>
  <c r="JV13" i="31"/>
  <c r="JU13" i="31"/>
  <c r="JT13" i="31"/>
  <c r="JS13" i="31"/>
  <c r="JR13" i="31"/>
  <c r="KB12" i="31"/>
  <c r="KA12" i="31"/>
  <c r="JZ12" i="31"/>
  <c r="JY12" i="31"/>
  <c r="JX12" i="31"/>
  <c r="JW12" i="31"/>
  <c r="JV12" i="31"/>
  <c r="JU12" i="31"/>
  <c r="JT12" i="31"/>
  <c r="JS12" i="31"/>
  <c r="JR12" i="31"/>
  <c r="KB11" i="31"/>
  <c r="KA11" i="31"/>
  <c r="JZ11" i="31"/>
  <c r="JY11" i="31"/>
  <c r="JX11" i="31"/>
  <c r="JW11" i="31"/>
  <c r="JV11" i="31"/>
  <c r="JU11" i="31"/>
  <c r="JT11" i="31"/>
  <c r="JS11" i="31"/>
  <c r="JR11" i="31"/>
  <c r="KB10" i="31"/>
  <c r="KA10" i="31"/>
  <c r="JZ10" i="31"/>
  <c r="JY10" i="31"/>
  <c r="JX10" i="31"/>
  <c r="JW10" i="31"/>
  <c r="JV10" i="31"/>
  <c r="JU10" i="31"/>
  <c r="JT10" i="31"/>
  <c r="JS10" i="31"/>
  <c r="JR10" i="31"/>
  <c r="KB9" i="31"/>
  <c r="KA9" i="31"/>
  <c r="JZ9" i="31"/>
  <c r="JY9" i="31"/>
  <c r="JX9" i="31"/>
  <c r="JW9" i="31"/>
  <c r="JV9" i="31"/>
  <c r="JU9" i="31"/>
  <c r="JT9" i="31"/>
  <c r="JS9" i="31"/>
  <c r="JR9" i="31"/>
  <c r="CO14" i="22"/>
  <c r="KQ14" i="22"/>
  <c r="CN14" i="22"/>
  <c r="KP14" i="22"/>
  <c r="CM14" i="22"/>
  <c r="KO14" i="22"/>
  <c r="CD14" i="22"/>
  <c r="CF14" i="22"/>
  <c r="GA14" i="22"/>
  <c r="CL14" i="22"/>
  <c r="KN14" i="22"/>
  <c r="CJ14" i="22"/>
  <c r="KL14" i="22"/>
  <c r="CH14" i="22"/>
  <c r="KJ14" i="22"/>
  <c r="CE14" i="22"/>
  <c r="KG14" i="22"/>
  <c r="JP14" i="22"/>
  <c r="KR13" i="22"/>
  <c r="CO13" i="22"/>
  <c r="KQ13" i="22"/>
  <c r="CN13" i="22"/>
  <c r="CM13" i="22"/>
  <c r="KO13" i="22"/>
  <c r="CD13" i="22"/>
  <c r="CL13" i="22"/>
  <c r="KN13" i="22"/>
  <c r="CL9" i="22"/>
  <c r="CL10" i="22"/>
  <c r="KN10" i="22"/>
  <c r="CL11" i="22"/>
  <c r="KN11" i="22"/>
  <c r="CL12" i="22"/>
  <c r="KN12" i="22"/>
  <c r="CJ13" i="22"/>
  <c r="KL13" i="22"/>
  <c r="CH13" i="22"/>
  <c r="KJ13" i="22"/>
  <c r="CE13" i="22"/>
  <c r="JP13" i="22"/>
  <c r="KR12" i="22"/>
  <c r="CO12" i="22"/>
  <c r="KQ12" i="22"/>
  <c r="CN12" i="22"/>
  <c r="KP12" i="22"/>
  <c r="CM12" i="22"/>
  <c r="KO12" i="22"/>
  <c r="CD12" i="22"/>
  <c r="KF12" i="22"/>
  <c r="CJ12" i="22"/>
  <c r="KL12" i="22"/>
  <c r="CH12" i="22"/>
  <c r="KJ12" i="22"/>
  <c r="CE12" i="22"/>
  <c r="JP12" i="22"/>
  <c r="KB11" i="22"/>
  <c r="KA11" i="22"/>
  <c r="JZ11" i="22"/>
  <c r="JY11" i="22"/>
  <c r="JX11" i="22"/>
  <c r="JW11" i="22"/>
  <c r="JV11" i="22"/>
  <c r="JU11" i="22"/>
  <c r="JT11" i="22"/>
  <c r="JR11" i="22"/>
  <c r="JS11" i="22"/>
  <c r="JP11" i="22"/>
  <c r="CO10" i="22"/>
  <c r="KQ10" i="22"/>
  <c r="CD10" i="22"/>
  <c r="KF10" i="22"/>
  <c r="CN10" i="22"/>
  <c r="KP10" i="22"/>
  <c r="CM10" i="22"/>
  <c r="KO10" i="22"/>
  <c r="CJ10" i="22"/>
  <c r="KL10" i="22"/>
  <c r="CH10" i="22"/>
  <c r="KJ10" i="22"/>
  <c r="CE10" i="22"/>
  <c r="JP10" i="22"/>
  <c r="CO9" i="22"/>
  <c r="KQ9" i="22"/>
  <c r="CD9" i="22"/>
  <c r="KF9" i="22"/>
  <c r="CN9" i="22"/>
  <c r="KP9" i="22"/>
  <c r="CM9" i="22"/>
  <c r="KO9" i="22"/>
  <c r="CJ9" i="22"/>
  <c r="KL9" i="22"/>
  <c r="CH9" i="22"/>
  <c r="KJ9" i="22"/>
  <c r="CE9" i="22"/>
  <c r="KG9" i="22"/>
  <c r="JP9" i="22"/>
  <c r="KB42" i="21"/>
  <c r="KA42" i="21"/>
  <c r="JZ42" i="21"/>
  <c r="JY42" i="21"/>
  <c r="JX42" i="21"/>
  <c r="JW42" i="21"/>
  <c r="JV42" i="21"/>
  <c r="JU42" i="21"/>
  <c r="JT42" i="21"/>
  <c r="JS42" i="21"/>
  <c r="JR42" i="21"/>
  <c r="KB41" i="21"/>
  <c r="KA41" i="21"/>
  <c r="JZ41" i="21"/>
  <c r="JY41" i="21"/>
  <c r="JX41" i="21"/>
  <c r="JW41" i="21"/>
  <c r="JV41" i="21"/>
  <c r="JU41" i="21"/>
  <c r="JT41" i="21"/>
  <c r="JS41" i="21"/>
  <c r="JR41" i="21"/>
  <c r="KB40" i="21"/>
  <c r="KA40" i="21"/>
  <c r="JZ40" i="21"/>
  <c r="JY40" i="21"/>
  <c r="JX40" i="21"/>
  <c r="JW40" i="21"/>
  <c r="JV40" i="21"/>
  <c r="JU40" i="21"/>
  <c r="JT40" i="21"/>
  <c r="JS40" i="21"/>
  <c r="JR40" i="21"/>
  <c r="KB39" i="21"/>
  <c r="KA39" i="21"/>
  <c r="JZ39" i="21"/>
  <c r="JY39" i="21"/>
  <c r="JX39" i="21"/>
  <c r="JW39" i="21"/>
  <c r="JV39" i="21"/>
  <c r="JU39" i="21"/>
  <c r="JT39" i="21"/>
  <c r="JS39" i="21"/>
  <c r="JR39" i="21"/>
  <c r="KB38" i="21"/>
  <c r="KA38" i="21"/>
  <c r="JZ38" i="21"/>
  <c r="JY38" i="21"/>
  <c r="JX38" i="21"/>
  <c r="JW38" i="21"/>
  <c r="JV38" i="21"/>
  <c r="JU38" i="21"/>
  <c r="JT38" i="21"/>
  <c r="JS38" i="21"/>
  <c r="JR38" i="21"/>
  <c r="KB37" i="21"/>
  <c r="KA37" i="21"/>
  <c r="JZ37" i="21"/>
  <c r="JY37" i="21"/>
  <c r="JX37" i="21"/>
  <c r="JW37" i="21"/>
  <c r="JV37" i="21"/>
  <c r="JU37" i="21"/>
  <c r="JT37" i="21"/>
  <c r="JS37" i="21"/>
  <c r="JR37" i="21"/>
  <c r="KB36" i="21"/>
  <c r="KA36" i="21"/>
  <c r="JZ36" i="21"/>
  <c r="JY36" i="21"/>
  <c r="JX36" i="21"/>
  <c r="JW36" i="21"/>
  <c r="JV36" i="21"/>
  <c r="JU36" i="21"/>
  <c r="JT36" i="21"/>
  <c r="JS36" i="21"/>
  <c r="JR36" i="21"/>
  <c r="KB35" i="21"/>
  <c r="KA35" i="21"/>
  <c r="JZ35" i="21"/>
  <c r="JY35" i="21"/>
  <c r="JX35" i="21"/>
  <c r="JW35" i="21"/>
  <c r="JV35" i="21"/>
  <c r="JU35" i="21"/>
  <c r="JT35" i="21"/>
  <c r="JS35" i="21"/>
  <c r="JR35" i="21"/>
  <c r="KB34" i="21"/>
  <c r="KA34" i="21"/>
  <c r="JZ34" i="21"/>
  <c r="JY34" i="21"/>
  <c r="JX34" i="21"/>
  <c r="JW34" i="21"/>
  <c r="JV34" i="21"/>
  <c r="JU34" i="21"/>
  <c r="JT34" i="21"/>
  <c r="JS34" i="21"/>
  <c r="JR34" i="21"/>
  <c r="KB33" i="21"/>
  <c r="KA33" i="21"/>
  <c r="JZ33" i="21"/>
  <c r="JY33" i="21"/>
  <c r="JX33" i="21"/>
  <c r="JW33" i="21"/>
  <c r="JV33" i="21"/>
  <c r="JU33" i="21"/>
  <c r="JT33" i="21"/>
  <c r="JS33" i="21"/>
  <c r="JR33" i="21"/>
  <c r="KB32" i="21"/>
  <c r="KA32" i="21"/>
  <c r="JZ32" i="21"/>
  <c r="JY32" i="21"/>
  <c r="JX32" i="21"/>
  <c r="JW32" i="21"/>
  <c r="JV32" i="21"/>
  <c r="JU32" i="21"/>
  <c r="JT32" i="21"/>
  <c r="JS32" i="21"/>
  <c r="JR32" i="21"/>
  <c r="KB31" i="21"/>
  <c r="KA31" i="21"/>
  <c r="JZ31" i="21"/>
  <c r="JY31" i="21"/>
  <c r="JX31" i="21"/>
  <c r="JW31" i="21"/>
  <c r="JV31" i="21"/>
  <c r="JU31" i="21"/>
  <c r="JT31" i="21"/>
  <c r="JS31" i="21"/>
  <c r="JR31" i="21"/>
  <c r="KB30" i="21"/>
  <c r="KA30" i="21"/>
  <c r="JZ30" i="21"/>
  <c r="JY30" i="21"/>
  <c r="JX30" i="21"/>
  <c r="JW30" i="21"/>
  <c r="JV30" i="21"/>
  <c r="JU30" i="21"/>
  <c r="JT30" i="21"/>
  <c r="JS30" i="21"/>
  <c r="JR30" i="21"/>
  <c r="KB29" i="21"/>
  <c r="KA29" i="21"/>
  <c r="JZ29" i="21"/>
  <c r="JY29" i="21"/>
  <c r="JX29" i="21"/>
  <c r="JW29" i="21"/>
  <c r="JV29" i="21"/>
  <c r="JU29" i="21"/>
  <c r="JT29" i="21"/>
  <c r="JS29" i="21"/>
  <c r="JR29" i="21"/>
  <c r="KB28" i="21"/>
  <c r="KA28" i="21"/>
  <c r="JZ28" i="21"/>
  <c r="JY28" i="21"/>
  <c r="JX28" i="21"/>
  <c r="JW28" i="21"/>
  <c r="JV28" i="21"/>
  <c r="JU28" i="21"/>
  <c r="JT28" i="21"/>
  <c r="JS28" i="21"/>
  <c r="JR28" i="21"/>
  <c r="KB27" i="21"/>
  <c r="KA27" i="21"/>
  <c r="JZ27" i="21"/>
  <c r="JY27" i="21"/>
  <c r="JX27" i="21"/>
  <c r="JW27" i="21"/>
  <c r="JV27" i="21"/>
  <c r="JU27" i="21"/>
  <c r="JT27" i="21"/>
  <c r="JS27" i="21"/>
  <c r="JR27" i="21"/>
  <c r="KB26" i="21"/>
  <c r="KA26" i="21"/>
  <c r="JZ26" i="21"/>
  <c r="JY26" i="21"/>
  <c r="JX26" i="21"/>
  <c r="JW26" i="21"/>
  <c r="JV26" i="21"/>
  <c r="JU26" i="21"/>
  <c r="JT26" i="21"/>
  <c r="JS26" i="21"/>
  <c r="JR26" i="21"/>
  <c r="KB25" i="21"/>
  <c r="KA25" i="21"/>
  <c r="JZ25" i="21"/>
  <c r="JY25" i="21"/>
  <c r="JX25" i="21"/>
  <c r="JW25" i="21"/>
  <c r="JV25" i="21"/>
  <c r="JU25" i="21"/>
  <c r="JT25" i="21"/>
  <c r="JS25" i="21"/>
  <c r="JR25" i="21"/>
  <c r="KB24" i="21"/>
  <c r="KA24" i="21"/>
  <c r="JZ24" i="21"/>
  <c r="JY24" i="21"/>
  <c r="JX24" i="21"/>
  <c r="JW24" i="21"/>
  <c r="JV24" i="21"/>
  <c r="JU24" i="21"/>
  <c r="JT24" i="21"/>
  <c r="JS24" i="21"/>
  <c r="JR24" i="21"/>
  <c r="KB23" i="21"/>
  <c r="KA23" i="21"/>
  <c r="JZ23" i="21"/>
  <c r="JY23" i="21"/>
  <c r="JX23" i="21"/>
  <c r="JW23" i="21"/>
  <c r="JV23" i="21"/>
  <c r="JU23" i="21"/>
  <c r="JT23" i="21"/>
  <c r="JS23" i="21"/>
  <c r="JR23" i="21"/>
  <c r="KB22" i="21"/>
  <c r="KA22" i="21"/>
  <c r="JZ22" i="21"/>
  <c r="JY22" i="21"/>
  <c r="JX22" i="21"/>
  <c r="JW22" i="21"/>
  <c r="JV22" i="21"/>
  <c r="JU22" i="21"/>
  <c r="JT22" i="21"/>
  <c r="JS22" i="21"/>
  <c r="JR22" i="21"/>
  <c r="KB21" i="21"/>
  <c r="KA21" i="21"/>
  <c r="JZ21" i="21"/>
  <c r="JY21" i="21"/>
  <c r="JX21" i="21"/>
  <c r="JW21" i="21"/>
  <c r="JV21" i="21"/>
  <c r="JU21" i="21"/>
  <c r="JT21" i="21"/>
  <c r="JS21" i="21"/>
  <c r="JR21" i="21"/>
  <c r="KB20" i="21"/>
  <c r="KA20" i="21"/>
  <c r="JZ20" i="21"/>
  <c r="JY20" i="21"/>
  <c r="JX20" i="21"/>
  <c r="JW20" i="21"/>
  <c r="JV20" i="21"/>
  <c r="JU20" i="21"/>
  <c r="JT20" i="21"/>
  <c r="JS20" i="21"/>
  <c r="JR20" i="21"/>
  <c r="KB19" i="21"/>
  <c r="KA19" i="21"/>
  <c r="JZ19" i="21"/>
  <c r="JY19" i="21"/>
  <c r="JX19" i="21"/>
  <c r="JW19" i="21"/>
  <c r="JV19" i="21"/>
  <c r="JU19" i="21"/>
  <c r="JT19" i="21"/>
  <c r="JS19" i="21"/>
  <c r="JR19" i="21"/>
  <c r="KB18" i="21"/>
  <c r="KA18" i="21"/>
  <c r="JZ18" i="21"/>
  <c r="JY18" i="21"/>
  <c r="JX18" i="21"/>
  <c r="JW18" i="21"/>
  <c r="JV18" i="21"/>
  <c r="JU18" i="21"/>
  <c r="JT18" i="21"/>
  <c r="JS18" i="21"/>
  <c r="JR18" i="21"/>
  <c r="KB17" i="21"/>
  <c r="KA17" i="21"/>
  <c r="JZ17" i="21"/>
  <c r="JY17" i="21"/>
  <c r="JX17" i="21"/>
  <c r="JW17" i="21"/>
  <c r="JV17" i="21"/>
  <c r="JU17" i="21"/>
  <c r="JT17" i="21"/>
  <c r="JS17" i="21"/>
  <c r="JR17" i="21"/>
  <c r="KB16" i="21"/>
  <c r="KA16" i="21"/>
  <c r="JZ16" i="21"/>
  <c r="JY16" i="21"/>
  <c r="JX16" i="21"/>
  <c r="JW16" i="21"/>
  <c r="JV16" i="21"/>
  <c r="JU16" i="21"/>
  <c r="JT16" i="21"/>
  <c r="JS16" i="21"/>
  <c r="JR16" i="21"/>
  <c r="KB15" i="21"/>
  <c r="KA15" i="21"/>
  <c r="JZ15" i="21"/>
  <c r="JY15" i="21"/>
  <c r="JX15" i="21"/>
  <c r="JW15" i="21"/>
  <c r="JV15" i="21"/>
  <c r="JU15" i="21"/>
  <c r="JT15" i="21"/>
  <c r="JS15" i="21"/>
  <c r="JR15" i="21"/>
  <c r="KB14" i="21"/>
  <c r="KA14" i="21"/>
  <c r="JZ14" i="21"/>
  <c r="JY14" i="21"/>
  <c r="JX14" i="21"/>
  <c r="JW14" i="21"/>
  <c r="JV14" i="21"/>
  <c r="JU14" i="21"/>
  <c r="JT14" i="21"/>
  <c r="JS14" i="21"/>
  <c r="JR14" i="21"/>
  <c r="KB13" i="21"/>
  <c r="KA13" i="21"/>
  <c r="JZ13" i="21"/>
  <c r="JY13" i="21"/>
  <c r="JX13" i="21"/>
  <c r="JW13" i="21"/>
  <c r="JV13" i="21"/>
  <c r="JU13" i="21"/>
  <c r="JT13" i="21"/>
  <c r="JS13" i="21"/>
  <c r="JR13" i="21"/>
  <c r="KB12" i="21"/>
  <c r="KA12" i="21"/>
  <c r="JZ12" i="21"/>
  <c r="JY12" i="21"/>
  <c r="JX12" i="21"/>
  <c r="JW12" i="21"/>
  <c r="JV12" i="21"/>
  <c r="JU12" i="21"/>
  <c r="JT12" i="21"/>
  <c r="JS12" i="21"/>
  <c r="JR12" i="21"/>
  <c r="KB11" i="21"/>
  <c r="KA11" i="21"/>
  <c r="JZ11" i="21"/>
  <c r="JY11" i="21"/>
  <c r="JX11" i="21"/>
  <c r="JW11" i="21"/>
  <c r="JV11" i="21"/>
  <c r="JU11" i="21"/>
  <c r="JT11" i="21"/>
  <c r="JS11" i="21"/>
  <c r="JR11" i="21"/>
  <c r="KB10" i="21"/>
  <c r="KA10" i="21"/>
  <c r="JZ10" i="21"/>
  <c r="JY10" i="21"/>
  <c r="JX10" i="21"/>
  <c r="JW10" i="21"/>
  <c r="JV10" i="21"/>
  <c r="JU10" i="21"/>
  <c r="JT10" i="21"/>
  <c r="JS10" i="21"/>
  <c r="JR10" i="21"/>
  <c r="CO9" i="21"/>
  <c r="KQ9" i="21"/>
  <c r="CN9" i="21"/>
  <c r="KP9" i="21"/>
  <c r="CM9" i="21"/>
  <c r="KO9" i="21"/>
  <c r="CL9" i="21"/>
  <c r="KN9" i="21"/>
  <c r="CJ9" i="21"/>
  <c r="KL9" i="21"/>
  <c r="CH9" i="21"/>
  <c r="KJ9" i="21"/>
  <c r="CD9" i="21"/>
  <c r="KB9" i="21"/>
  <c r="KA9" i="21"/>
  <c r="JZ9" i="21"/>
  <c r="JY9" i="21"/>
  <c r="JX9" i="21"/>
  <c r="JW9" i="21"/>
  <c r="JV9" i="21"/>
  <c r="JU9" i="21"/>
  <c r="JT9" i="21"/>
  <c r="JS9" i="21"/>
  <c r="JR9" i="21"/>
  <c r="JQ9" i="21"/>
  <c r="JP9" i="21"/>
  <c r="JP9" i="39"/>
  <c r="KB107" i="19"/>
  <c r="KA107" i="19"/>
  <c r="JZ107" i="19"/>
  <c r="JY107" i="19"/>
  <c r="JX107" i="19"/>
  <c r="JW107" i="19"/>
  <c r="JV107" i="19"/>
  <c r="JU107" i="19"/>
  <c r="JT107" i="19"/>
  <c r="JS107" i="19"/>
  <c r="JR107" i="19"/>
  <c r="KB106" i="19"/>
  <c r="KA106" i="19"/>
  <c r="JZ106" i="19"/>
  <c r="JY106" i="19"/>
  <c r="JX106" i="19"/>
  <c r="JW106" i="19"/>
  <c r="JV106" i="19"/>
  <c r="JU106" i="19"/>
  <c r="JT106" i="19"/>
  <c r="JS106" i="19"/>
  <c r="JR106" i="19"/>
  <c r="KB105" i="19"/>
  <c r="KA105" i="19"/>
  <c r="JZ105" i="19"/>
  <c r="JY105" i="19"/>
  <c r="JX105" i="19"/>
  <c r="JW105" i="19"/>
  <c r="JV105" i="19"/>
  <c r="JU105" i="19"/>
  <c r="JT105" i="19"/>
  <c r="JS105" i="19"/>
  <c r="JR105" i="19"/>
  <c r="KB104" i="19"/>
  <c r="KA104" i="19"/>
  <c r="JZ104" i="19"/>
  <c r="JY104" i="19"/>
  <c r="JX104" i="19"/>
  <c r="JW104" i="19"/>
  <c r="JV104" i="19"/>
  <c r="JU104" i="19"/>
  <c r="JT104" i="19"/>
  <c r="JS104" i="19"/>
  <c r="JR104" i="19"/>
  <c r="KB103" i="19"/>
  <c r="KA103" i="19"/>
  <c r="JZ103" i="19"/>
  <c r="JY103" i="19"/>
  <c r="JX103" i="19"/>
  <c r="JW103" i="19"/>
  <c r="JV103" i="19"/>
  <c r="JU103" i="19"/>
  <c r="JT103" i="19"/>
  <c r="JS103" i="19"/>
  <c r="JR103" i="19"/>
  <c r="KB102" i="19"/>
  <c r="KA102" i="19"/>
  <c r="JZ102" i="19"/>
  <c r="JY102" i="19"/>
  <c r="JX102" i="19"/>
  <c r="JW102" i="19"/>
  <c r="JV102" i="19"/>
  <c r="JU102" i="19"/>
  <c r="JT102" i="19"/>
  <c r="JS102" i="19"/>
  <c r="JR102" i="19"/>
  <c r="KB101" i="19"/>
  <c r="KA101" i="19"/>
  <c r="JZ101" i="19"/>
  <c r="JY101" i="19"/>
  <c r="JX101" i="19"/>
  <c r="JW101" i="19"/>
  <c r="JV101" i="19"/>
  <c r="JU101" i="19"/>
  <c r="JT101" i="19"/>
  <c r="JS101" i="19"/>
  <c r="JR101" i="19"/>
  <c r="KB100" i="19"/>
  <c r="KA100" i="19"/>
  <c r="JZ100" i="19"/>
  <c r="JY100" i="19"/>
  <c r="JX100" i="19"/>
  <c r="JR100" i="19"/>
  <c r="JS100" i="19"/>
  <c r="JT100" i="19"/>
  <c r="JU100" i="19"/>
  <c r="JV100" i="19"/>
  <c r="JW100" i="19"/>
  <c r="KB99" i="19"/>
  <c r="KA99" i="19"/>
  <c r="JZ99" i="19"/>
  <c r="JY99" i="19"/>
  <c r="JX99" i="19"/>
  <c r="JW99" i="19"/>
  <c r="JV99" i="19"/>
  <c r="JU99" i="19"/>
  <c r="JT99" i="19"/>
  <c r="JS99" i="19"/>
  <c r="JR99" i="19"/>
  <c r="KB98" i="19"/>
  <c r="KA98" i="19"/>
  <c r="JZ98" i="19"/>
  <c r="JY98" i="19"/>
  <c r="JX98" i="19"/>
  <c r="JW98" i="19"/>
  <c r="JV98" i="19"/>
  <c r="JU98" i="19"/>
  <c r="JT98" i="19"/>
  <c r="JS98" i="19"/>
  <c r="JR98" i="19"/>
  <c r="KB97" i="19"/>
  <c r="KA97" i="19"/>
  <c r="JZ97" i="19"/>
  <c r="JY97" i="19"/>
  <c r="JX97" i="19"/>
  <c r="JW97" i="19"/>
  <c r="JV97" i="19"/>
  <c r="JU97" i="19"/>
  <c r="JT97" i="19"/>
  <c r="JS97" i="19"/>
  <c r="JR97" i="19"/>
  <c r="KB96" i="19"/>
  <c r="KA96" i="19"/>
  <c r="JZ96" i="19"/>
  <c r="JY96" i="19"/>
  <c r="JX96" i="19"/>
  <c r="JW96" i="19"/>
  <c r="JV96" i="19"/>
  <c r="JU96" i="19"/>
  <c r="JT96" i="19"/>
  <c r="JS96" i="19"/>
  <c r="JR96" i="19"/>
  <c r="KB95" i="19"/>
  <c r="KA95" i="19"/>
  <c r="JZ95" i="19"/>
  <c r="JY95" i="19"/>
  <c r="JX95" i="19"/>
  <c r="JW95" i="19"/>
  <c r="JV95" i="19"/>
  <c r="JU95" i="19"/>
  <c r="JT95" i="19"/>
  <c r="JS95" i="19"/>
  <c r="JR95" i="19"/>
  <c r="KB94" i="19"/>
  <c r="KA94" i="19"/>
  <c r="JZ94" i="19"/>
  <c r="JY94" i="19"/>
  <c r="JX94" i="19"/>
  <c r="JW94" i="19"/>
  <c r="JV94" i="19"/>
  <c r="JU94" i="19"/>
  <c r="JT94" i="19"/>
  <c r="JS94" i="19"/>
  <c r="JR94" i="19"/>
  <c r="KB93" i="19"/>
  <c r="KA93" i="19"/>
  <c r="JZ93" i="19"/>
  <c r="JY93" i="19"/>
  <c r="JX93" i="19"/>
  <c r="JW93" i="19"/>
  <c r="JV93" i="19"/>
  <c r="JU93" i="19"/>
  <c r="JT93" i="19"/>
  <c r="JS93" i="19"/>
  <c r="JR93" i="19"/>
  <c r="KB92" i="19"/>
  <c r="KA92" i="19"/>
  <c r="JZ92" i="19"/>
  <c r="JY92" i="19"/>
  <c r="JX92" i="19"/>
  <c r="JW92" i="19"/>
  <c r="JV92" i="19"/>
  <c r="JU92" i="19"/>
  <c r="JT92" i="19"/>
  <c r="JS92" i="19"/>
  <c r="JR92" i="19"/>
  <c r="KB91" i="19"/>
  <c r="KA91" i="19"/>
  <c r="JZ91" i="19"/>
  <c r="JY91" i="19"/>
  <c r="JX91" i="19"/>
  <c r="JW91" i="19"/>
  <c r="JV91" i="19"/>
  <c r="JU91" i="19"/>
  <c r="JT91" i="19"/>
  <c r="JS91" i="19"/>
  <c r="JR91" i="19"/>
  <c r="KB90" i="19"/>
  <c r="KA90" i="19"/>
  <c r="JZ90" i="19"/>
  <c r="JY90" i="19"/>
  <c r="JX90" i="19"/>
  <c r="JW90" i="19"/>
  <c r="JV90" i="19"/>
  <c r="JU90" i="19"/>
  <c r="JT90" i="19"/>
  <c r="JS90" i="19"/>
  <c r="JR90" i="19"/>
  <c r="KB89" i="19"/>
  <c r="KA89" i="19"/>
  <c r="JZ89" i="19"/>
  <c r="JY89" i="19"/>
  <c r="JX89" i="19"/>
  <c r="JW89" i="19"/>
  <c r="JV89" i="19"/>
  <c r="JU89" i="19"/>
  <c r="JR89" i="19"/>
  <c r="JS89" i="19"/>
  <c r="JT89" i="19"/>
  <c r="KB88" i="19"/>
  <c r="KA88" i="19"/>
  <c r="JZ88" i="19"/>
  <c r="JY88" i="19"/>
  <c r="JX88" i="19"/>
  <c r="JW88" i="19"/>
  <c r="JV88" i="19"/>
  <c r="JU88" i="19"/>
  <c r="JT88" i="19"/>
  <c r="JS88" i="19"/>
  <c r="JR88" i="19"/>
  <c r="KB87" i="19"/>
  <c r="KA87" i="19"/>
  <c r="JZ87" i="19"/>
  <c r="JY87" i="19"/>
  <c r="JX87" i="19"/>
  <c r="JW87" i="19"/>
  <c r="JV87" i="19"/>
  <c r="JU87" i="19"/>
  <c r="JT87" i="19"/>
  <c r="JR87" i="19"/>
  <c r="JS87" i="19"/>
  <c r="KB86" i="19"/>
  <c r="KA86" i="19"/>
  <c r="JZ86" i="19"/>
  <c r="JY86" i="19"/>
  <c r="JX86" i="19"/>
  <c r="JW86" i="19"/>
  <c r="JV86" i="19"/>
  <c r="JU86" i="19"/>
  <c r="JT86" i="19"/>
  <c r="JS86" i="19"/>
  <c r="JR86" i="19"/>
  <c r="KB85" i="19"/>
  <c r="KA85" i="19"/>
  <c r="JZ85" i="19"/>
  <c r="JY85" i="19"/>
  <c r="JX85" i="19"/>
  <c r="JW85" i="19"/>
  <c r="JV85" i="19"/>
  <c r="JU85" i="19"/>
  <c r="JT85" i="19"/>
  <c r="JS85" i="19"/>
  <c r="JR85" i="19"/>
  <c r="KB84" i="19"/>
  <c r="KA84" i="19"/>
  <c r="JZ84" i="19"/>
  <c r="JY84" i="19"/>
  <c r="JX84" i="19"/>
  <c r="JW84" i="19"/>
  <c r="JV84" i="19"/>
  <c r="JU84" i="19"/>
  <c r="JT84" i="19"/>
  <c r="JS84" i="19"/>
  <c r="JR84" i="19"/>
  <c r="KB83" i="19"/>
  <c r="KA83" i="19"/>
  <c r="JZ83" i="19"/>
  <c r="JY83" i="19"/>
  <c r="JX83" i="19"/>
  <c r="JW83" i="19"/>
  <c r="JV83" i="19"/>
  <c r="JU83" i="19"/>
  <c r="JT83" i="19"/>
  <c r="JS83" i="19"/>
  <c r="JR83" i="19"/>
  <c r="KB82" i="19"/>
  <c r="KA82" i="19"/>
  <c r="JZ82" i="19"/>
  <c r="JY82" i="19"/>
  <c r="JX82" i="19"/>
  <c r="JW82" i="19"/>
  <c r="JV82" i="19"/>
  <c r="JU82" i="19"/>
  <c r="JT82" i="19"/>
  <c r="JS82" i="19"/>
  <c r="JR82" i="19"/>
  <c r="KB81" i="19"/>
  <c r="KA81" i="19"/>
  <c r="JZ81" i="19"/>
  <c r="JY81" i="19"/>
  <c r="JX81" i="19"/>
  <c r="JW81" i="19"/>
  <c r="JV81" i="19"/>
  <c r="JU81" i="19"/>
  <c r="JT81" i="19"/>
  <c r="JS81" i="19"/>
  <c r="JR81" i="19"/>
  <c r="KB80" i="19"/>
  <c r="KA80" i="19"/>
  <c r="JZ80" i="19"/>
  <c r="JY80" i="19"/>
  <c r="JX80" i="19"/>
  <c r="JW80" i="19"/>
  <c r="JV80" i="19"/>
  <c r="JU80" i="19"/>
  <c r="JT80" i="19"/>
  <c r="JS80" i="19"/>
  <c r="JR80" i="19"/>
  <c r="KB79" i="19"/>
  <c r="KA79" i="19"/>
  <c r="JZ79" i="19"/>
  <c r="JY79" i="19"/>
  <c r="JX79" i="19"/>
  <c r="JW79" i="19"/>
  <c r="JV79" i="19"/>
  <c r="JU79" i="19"/>
  <c r="JT79" i="19"/>
  <c r="JS79" i="19"/>
  <c r="JR79" i="19"/>
  <c r="KB78" i="19"/>
  <c r="KA78" i="19"/>
  <c r="JZ78" i="19"/>
  <c r="JY78" i="19"/>
  <c r="JX78" i="19"/>
  <c r="JW78" i="19"/>
  <c r="JV78" i="19"/>
  <c r="JU78" i="19"/>
  <c r="JT78" i="19"/>
  <c r="JS78" i="19"/>
  <c r="JR78" i="19"/>
  <c r="KB77" i="19"/>
  <c r="KA77" i="19"/>
  <c r="JZ77" i="19"/>
  <c r="JY77" i="19"/>
  <c r="JX77" i="19"/>
  <c r="JW77" i="19"/>
  <c r="JV77" i="19"/>
  <c r="JU77" i="19"/>
  <c r="JT77" i="19"/>
  <c r="JS77" i="19"/>
  <c r="JR77" i="19"/>
  <c r="KB76" i="19"/>
  <c r="KA76" i="19"/>
  <c r="JZ76" i="19"/>
  <c r="JY76" i="19"/>
  <c r="JX76" i="19"/>
  <c r="JW76" i="19"/>
  <c r="JV76" i="19"/>
  <c r="JU76" i="19"/>
  <c r="JT76" i="19"/>
  <c r="JS76" i="19"/>
  <c r="JR76" i="19"/>
  <c r="KB75" i="19"/>
  <c r="KA75" i="19"/>
  <c r="JZ75" i="19"/>
  <c r="JY75" i="19"/>
  <c r="JX75" i="19"/>
  <c r="JW75" i="19"/>
  <c r="JV75" i="19"/>
  <c r="JU75" i="19"/>
  <c r="JT75" i="19"/>
  <c r="JS75" i="19"/>
  <c r="JR75" i="19"/>
  <c r="KB74" i="19"/>
  <c r="KA74" i="19"/>
  <c r="JZ74" i="19"/>
  <c r="JY74" i="19"/>
  <c r="JX74" i="19"/>
  <c r="JW74" i="19"/>
  <c r="JV74" i="19"/>
  <c r="JU74" i="19"/>
  <c r="JT74" i="19"/>
  <c r="JS74" i="19"/>
  <c r="JR74" i="19"/>
  <c r="KB73" i="19"/>
  <c r="KA73" i="19"/>
  <c r="JZ73" i="19"/>
  <c r="JY73" i="19"/>
  <c r="JX73" i="19"/>
  <c r="JW73" i="19"/>
  <c r="JV73" i="19"/>
  <c r="JU73" i="19"/>
  <c r="JT73" i="19"/>
  <c r="JS73" i="19"/>
  <c r="JR73" i="19"/>
  <c r="KB72" i="19"/>
  <c r="KA72" i="19"/>
  <c r="JZ72" i="19"/>
  <c r="JY72" i="19"/>
  <c r="JX72" i="19"/>
  <c r="JW72" i="19"/>
  <c r="JV72" i="19"/>
  <c r="JU72" i="19"/>
  <c r="JT72" i="19"/>
  <c r="JS72" i="19"/>
  <c r="JR72" i="19"/>
  <c r="KB71" i="19"/>
  <c r="KA71" i="19"/>
  <c r="JZ71" i="19"/>
  <c r="JY71" i="19"/>
  <c r="JX71" i="19"/>
  <c r="JW71" i="19"/>
  <c r="JV71" i="19"/>
  <c r="JU71" i="19"/>
  <c r="JT71" i="19"/>
  <c r="JS71" i="19"/>
  <c r="JR71" i="19"/>
  <c r="KB70" i="19"/>
  <c r="KA70" i="19"/>
  <c r="JZ70" i="19"/>
  <c r="JY70" i="19"/>
  <c r="JX70" i="19"/>
  <c r="JW70" i="19"/>
  <c r="JV70" i="19"/>
  <c r="JU70" i="19"/>
  <c r="JT70" i="19"/>
  <c r="JS70" i="19"/>
  <c r="JR70" i="19"/>
  <c r="KB69" i="19"/>
  <c r="KA69" i="19"/>
  <c r="JZ69" i="19"/>
  <c r="JY69" i="19"/>
  <c r="JX69" i="19"/>
  <c r="JW69" i="19"/>
  <c r="JV69" i="19"/>
  <c r="JU69" i="19"/>
  <c r="JT69" i="19"/>
  <c r="JS69" i="19"/>
  <c r="JR69" i="19"/>
  <c r="KB68" i="19"/>
  <c r="KA68" i="19"/>
  <c r="JZ68" i="19"/>
  <c r="JY68" i="19"/>
  <c r="JX68" i="19"/>
  <c r="JW68" i="19"/>
  <c r="JV68" i="19"/>
  <c r="JU68" i="19"/>
  <c r="JT68" i="19"/>
  <c r="JS68" i="19"/>
  <c r="JR68" i="19"/>
  <c r="KB67" i="19"/>
  <c r="KA67" i="19"/>
  <c r="JZ67" i="19"/>
  <c r="JY67" i="19"/>
  <c r="JX67" i="19"/>
  <c r="JW67" i="19"/>
  <c r="JV67" i="19"/>
  <c r="JU67" i="19"/>
  <c r="JT67" i="19"/>
  <c r="JS67" i="19"/>
  <c r="JR67" i="19"/>
  <c r="KB66" i="19"/>
  <c r="KA66" i="19"/>
  <c r="JZ66" i="19"/>
  <c r="JY66" i="19"/>
  <c r="JX66" i="19"/>
  <c r="JW66" i="19"/>
  <c r="JV66" i="19"/>
  <c r="JU66" i="19"/>
  <c r="JT66" i="19"/>
  <c r="JS66" i="19"/>
  <c r="JR66" i="19"/>
  <c r="KB65" i="19"/>
  <c r="KA65" i="19"/>
  <c r="JZ65" i="19"/>
  <c r="JY65" i="19"/>
  <c r="JX65" i="19"/>
  <c r="JW65" i="19"/>
  <c r="JV65" i="19"/>
  <c r="JU65" i="19"/>
  <c r="JT65" i="19"/>
  <c r="JR65" i="19"/>
  <c r="JS65" i="19"/>
  <c r="KB64" i="19"/>
  <c r="KA64" i="19"/>
  <c r="JZ64" i="19"/>
  <c r="JY64" i="19"/>
  <c r="JX64" i="19"/>
  <c r="JW64" i="19"/>
  <c r="JV64" i="19"/>
  <c r="JU64" i="19"/>
  <c r="JT64" i="19"/>
  <c r="JR64" i="19"/>
  <c r="JS64" i="19"/>
  <c r="KB63" i="19"/>
  <c r="KA63" i="19"/>
  <c r="JZ63" i="19"/>
  <c r="JY63" i="19"/>
  <c r="JX63" i="19"/>
  <c r="JW63" i="19"/>
  <c r="JV63" i="19"/>
  <c r="JU63" i="19"/>
  <c r="JT63" i="19"/>
  <c r="JS63" i="19"/>
  <c r="JR63" i="19"/>
  <c r="KB62" i="19"/>
  <c r="KA62" i="19"/>
  <c r="JZ62" i="19"/>
  <c r="JY62" i="19"/>
  <c r="JX62" i="19"/>
  <c r="JW62" i="19"/>
  <c r="JV62" i="19"/>
  <c r="JU62" i="19"/>
  <c r="JT62" i="19"/>
  <c r="JS62" i="19"/>
  <c r="JR62" i="19"/>
  <c r="KB61" i="19"/>
  <c r="KA61" i="19"/>
  <c r="JZ61" i="19"/>
  <c r="JY61" i="19"/>
  <c r="JX61" i="19"/>
  <c r="JW61" i="19"/>
  <c r="JV61" i="19"/>
  <c r="JU61" i="19"/>
  <c r="JT61" i="19"/>
  <c r="JR61" i="19"/>
  <c r="JS61" i="19"/>
  <c r="KB60" i="19"/>
  <c r="KA60" i="19"/>
  <c r="JZ60" i="19"/>
  <c r="JY60" i="19"/>
  <c r="JX60" i="19"/>
  <c r="JW60" i="19"/>
  <c r="JV60" i="19"/>
  <c r="JU60" i="19"/>
  <c r="JT60" i="19"/>
  <c r="JR60" i="19"/>
  <c r="JS60" i="19"/>
  <c r="KB59" i="19"/>
  <c r="KA59" i="19"/>
  <c r="JZ59" i="19"/>
  <c r="JY59" i="19"/>
  <c r="JX59" i="19"/>
  <c r="JW59" i="19"/>
  <c r="JV59" i="19"/>
  <c r="JU59" i="19"/>
  <c r="JT59" i="19"/>
  <c r="JS59" i="19"/>
  <c r="JR59" i="19"/>
  <c r="KB58" i="19"/>
  <c r="KA58" i="19"/>
  <c r="JZ58" i="19"/>
  <c r="JY58" i="19"/>
  <c r="JX58" i="19"/>
  <c r="JW58" i="19"/>
  <c r="JV58" i="19"/>
  <c r="JU58" i="19"/>
  <c r="JT58" i="19"/>
  <c r="JS58" i="19"/>
  <c r="JR58" i="19"/>
  <c r="KB57" i="19"/>
  <c r="KA57" i="19"/>
  <c r="JZ57" i="19"/>
  <c r="JY57" i="19"/>
  <c r="JX57" i="19"/>
  <c r="JW57" i="19"/>
  <c r="JV57" i="19"/>
  <c r="JU57" i="19"/>
  <c r="JT57" i="19"/>
  <c r="JS57" i="19"/>
  <c r="JR57" i="19"/>
  <c r="KB56" i="19"/>
  <c r="KA56" i="19"/>
  <c r="JZ56" i="19"/>
  <c r="JY56" i="19"/>
  <c r="JX56" i="19"/>
  <c r="JW56" i="19"/>
  <c r="JV56" i="19"/>
  <c r="JU56" i="19"/>
  <c r="JT56" i="19"/>
  <c r="JS56" i="19"/>
  <c r="JR56" i="19"/>
  <c r="KB55" i="19"/>
  <c r="KA55" i="19"/>
  <c r="JZ55" i="19"/>
  <c r="JY55" i="19"/>
  <c r="JX55" i="19"/>
  <c r="JW55" i="19"/>
  <c r="JV55" i="19"/>
  <c r="JU55" i="19"/>
  <c r="JT55" i="19"/>
  <c r="JS55" i="19"/>
  <c r="JR55" i="19"/>
  <c r="KB54" i="19"/>
  <c r="KA54" i="19"/>
  <c r="JZ54" i="19"/>
  <c r="JY54" i="19"/>
  <c r="JX54" i="19"/>
  <c r="JW54" i="19"/>
  <c r="JV54" i="19"/>
  <c r="JU54" i="19"/>
  <c r="JT54" i="19"/>
  <c r="JS54" i="19"/>
  <c r="JR54" i="19"/>
  <c r="KB53" i="19"/>
  <c r="KA53" i="19"/>
  <c r="JZ53" i="19"/>
  <c r="JY53" i="19"/>
  <c r="JX53" i="19"/>
  <c r="JW53" i="19"/>
  <c r="JV53" i="19"/>
  <c r="JU53" i="19"/>
  <c r="JT53" i="19"/>
  <c r="JS53" i="19"/>
  <c r="JR53" i="19"/>
  <c r="KB52" i="19"/>
  <c r="KA52" i="19"/>
  <c r="JZ52" i="19"/>
  <c r="JY52" i="19"/>
  <c r="JX52" i="19"/>
  <c r="JW52" i="19"/>
  <c r="JV52" i="19"/>
  <c r="JU52" i="19"/>
  <c r="JT52" i="19"/>
  <c r="JS52" i="19"/>
  <c r="JR52" i="19"/>
  <c r="KB51" i="19"/>
  <c r="KA51" i="19"/>
  <c r="JZ51" i="19"/>
  <c r="JY51" i="19"/>
  <c r="JX51" i="19"/>
  <c r="JW51" i="19"/>
  <c r="JV51" i="19"/>
  <c r="JU51" i="19"/>
  <c r="JT51" i="19"/>
  <c r="JS51" i="19"/>
  <c r="JR51" i="19"/>
  <c r="KB50" i="19"/>
  <c r="KA50" i="19"/>
  <c r="JZ50" i="19"/>
  <c r="JY50" i="19"/>
  <c r="JX50" i="19"/>
  <c r="JW50" i="19"/>
  <c r="JV50" i="19"/>
  <c r="JU50" i="19"/>
  <c r="JT50" i="19"/>
  <c r="JS50" i="19"/>
  <c r="JR50" i="19"/>
  <c r="KB49" i="19"/>
  <c r="KA49" i="19"/>
  <c r="JZ49" i="19"/>
  <c r="JY49" i="19"/>
  <c r="JX49" i="19"/>
  <c r="JW49" i="19"/>
  <c r="JV49" i="19"/>
  <c r="JU49" i="19"/>
  <c r="JR49" i="19"/>
  <c r="JS49" i="19"/>
  <c r="JT49" i="19"/>
  <c r="KB48" i="19"/>
  <c r="KA48" i="19"/>
  <c r="JZ48" i="19"/>
  <c r="JY48" i="19"/>
  <c r="JX48" i="19"/>
  <c r="JW48" i="19"/>
  <c r="JV48" i="19"/>
  <c r="JU48" i="19"/>
  <c r="JT48" i="19"/>
  <c r="JS48" i="19"/>
  <c r="JR48" i="19"/>
  <c r="KB47" i="19"/>
  <c r="KA47" i="19"/>
  <c r="JZ47" i="19"/>
  <c r="JY47" i="19"/>
  <c r="JX47" i="19"/>
  <c r="JW47" i="19"/>
  <c r="JV47" i="19"/>
  <c r="JU47" i="19"/>
  <c r="JT47" i="19"/>
  <c r="JR47" i="19"/>
  <c r="JS47" i="19"/>
  <c r="KB46" i="19"/>
  <c r="KA46" i="19"/>
  <c r="JZ46" i="19"/>
  <c r="JY46" i="19"/>
  <c r="JX46" i="19"/>
  <c r="JW46" i="19"/>
  <c r="JV46" i="19"/>
  <c r="JU46" i="19"/>
  <c r="JT46" i="19"/>
  <c r="JS46" i="19"/>
  <c r="JR46" i="19"/>
  <c r="KB45" i="19"/>
  <c r="KA45" i="19"/>
  <c r="JZ45" i="19"/>
  <c r="JY45" i="19"/>
  <c r="JX45" i="19"/>
  <c r="JW45" i="19"/>
  <c r="JV45" i="19"/>
  <c r="JU45" i="19"/>
  <c r="JR45" i="19"/>
  <c r="JS45" i="19"/>
  <c r="JT45" i="19"/>
  <c r="KB44" i="19"/>
  <c r="KA44" i="19"/>
  <c r="JZ44" i="19"/>
  <c r="JY44" i="19"/>
  <c r="JX44" i="19"/>
  <c r="JW44" i="19"/>
  <c r="JV44" i="19"/>
  <c r="JU44" i="19"/>
  <c r="JT44" i="19"/>
  <c r="JS44" i="19"/>
  <c r="JR44" i="19"/>
  <c r="KB43" i="19"/>
  <c r="KA43" i="19"/>
  <c r="JZ43" i="19"/>
  <c r="JY43" i="19"/>
  <c r="JX43" i="19"/>
  <c r="JW43" i="19"/>
  <c r="JV43" i="19"/>
  <c r="JU43" i="19"/>
  <c r="JT43" i="19"/>
  <c r="JS43" i="19"/>
  <c r="JR43" i="19"/>
  <c r="KB41" i="19"/>
  <c r="KA41" i="19"/>
  <c r="JZ41" i="19"/>
  <c r="JY41" i="19"/>
  <c r="JX41" i="19"/>
  <c r="JW41" i="19"/>
  <c r="JV41" i="19"/>
  <c r="JU41" i="19"/>
  <c r="JT41" i="19"/>
  <c r="JS41" i="19"/>
  <c r="JR41" i="19"/>
  <c r="KB40" i="19"/>
  <c r="KA40" i="19"/>
  <c r="JZ40" i="19"/>
  <c r="JY40" i="19"/>
  <c r="JX40" i="19"/>
  <c r="JW40" i="19"/>
  <c r="JV40" i="19"/>
  <c r="JU40" i="19"/>
  <c r="JT40" i="19"/>
  <c r="JS40" i="19"/>
  <c r="JR40" i="19"/>
  <c r="KB39" i="19"/>
  <c r="KA39" i="19"/>
  <c r="JZ39" i="19"/>
  <c r="JY39" i="19"/>
  <c r="JX39" i="19"/>
  <c r="JW39" i="19"/>
  <c r="JV39" i="19"/>
  <c r="JU39" i="19"/>
  <c r="JT39" i="19"/>
  <c r="JR39" i="19"/>
  <c r="JS39" i="19"/>
  <c r="KB38" i="19"/>
  <c r="KA38" i="19"/>
  <c r="JZ38" i="19"/>
  <c r="JY38" i="19"/>
  <c r="JX38" i="19"/>
  <c r="JW38" i="19"/>
  <c r="JV38" i="19"/>
  <c r="JU38" i="19"/>
  <c r="JT38" i="19"/>
  <c r="JS38" i="19"/>
  <c r="JR38" i="19"/>
  <c r="KB37" i="19"/>
  <c r="KA37" i="19"/>
  <c r="JZ37" i="19"/>
  <c r="JY37" i="19"/>
  <c r="JX37" i="19"/>
  <c r="JW37" i="19"/>
  <c r="JV37" i="19"/>
  <c r="JU37" i="19"/>
  <c r="JT37" i="19"/>
  <c r="JS37" i="19"/>
  <c r="JR37" i="19"/>
  <c r="KB36" i="19"/>
  <c r="KA36" i="19"/>
  <c r="JZ36" i="19"/>
  <c r="JY36" i="19"/>
  <c r="JX36" i="19"/>
  <c r="JW36" i="19"/>
  <c r="JV36" i="19"/>
  <c r="JU36" i="19"/>
  <c r="JT36" i="19"/>
  <c r="JS36" i="19"/>
  <c r="JR36" i="19"/>
  <c r="KB35" i="19"/>
  <c r="KA35" i="19"/>
  <c r="JZ35" i="19"/>
  <c r="JY35" i="19"/>
  <c r="JX35" i="19"/>
  <c r="JW35" i="19"/>
  <c r="JV35" i="19"/>
  <c r="JU35" i="19"/>
  <c r="JT35" i="19"/>
  <c r="JS35" i="19"/>
  <c r="JR35" i="19"/>
  <c r="KB34" i="19"/>
  <c r="KA34" i="19"/>
  <c r="JZ34" i="19"/>
  <c r="JY34" i="19"/>
  <c r="JX34" i="19"/>
  <c r="JW34" i="19"/>
  <c r="JV34" i="19"/>
  <c r="JU34" i="19"/>
  <c r="JT34" i="19"/>
  <c r="JS34" i="19"/>
  <c r="JR34" i="19"/>
  <c r="KB33" i="19"/>
  <c r="KA33" i="19"/>
  <c r="JZ33" i="19"/>
  <c r="JY33" i="19"/>
  <c r="JX33" i="19"/>
  <c r="JW33" i="19"/>
  <c r="JV33" i="19"/>
  <c r="JU33" i="19"/>
  <c r="JT33" i="19"/>
  <c r="JS33" i="19"/>
  <c r="JR33" i="19"/>
  <c r="KB32" i="19"/>
  <c r="KA32" i="19"/>
  <c r="JZ32" i="19"/>
  <c r="JY32" i="19"/>
  <c r="JX32" i="19"/>
  <c r="JW32" i="19"/>
  <c r="JV32" i="19"/>
  <c r="JU32" i="19"/>
  <c r="JR32" i="19"/>
  <c r="JS32" i="19"/>
  <c r="JT32" i="19"/>
  <c r="KB31" i="19"/>
  <c r="KA31" i="19"/>
  <c r="JZ31" i="19"/>
  <c r="JY31" i="19"/>
  <c r="JX31" i="19"/>
  <c r="JW31" i="19"/>
  <c r="JV31" i="19"/>
  <c r="JU31" i="19"/>
  <c r="JT31" i="19"/>
  <c r="JS31" i="19"/>
  <c r="JR31" i="19"/>
  <c r="KB30" i="19"/>
  <c r="KA30" i="19"/>
  <c r="JZ30" i="19"/>
  <c r="JY30" i="19"/>
  <c r="JX30" i="19"/>
  <c r="JW30" i="19"/>
  <c r="JV30" i="19"/>
  <c r="JU30" i="19"/>
  <c r="JT30" i="19"/>
  <c r="JS30" i="19"/>
  <c r="JR30" i="19"/>
  <c r="KB29" i="19"/>
  <c r="KA29" i="19"/>
  <c r="JZ29" i="19"/>
  <c r="JY29" i="19"/>
  <c r="JX29" i="19"/>
  <c r="JW29" i="19"/>
  <c r="JV29" i="19"/>
  <c r="JU29" i="19"/>
  <c r="JT29" i="19"/>
  <c r="JR29" i="19"/>
  <c r="JS29" i="19"/>
  <c r="KB28" i="19"/>
  <c r="KA28" i="19"/>
  <c r="JZ28" i="19"/>
  <c r="JY28" i="19"/>
  <c r="JX28" i="19"/>
  <c r="JW28" i="19"/>
  <c r="JV28" i="19"/>
  <c r="JU28" i="19"/>
  <c r="JR28" i="19"/>
  <c r="JS28" i="19"/>
  <c r="JT28" i="19"/>
  <c r="KB27" i="19"/>
  <c r="KA27" i="19"/>
  <c r="JZ27" i="19"/>
  <c r="JY27" i="19"/>
  <c r="JX27" i="19"/>
  <c r="JW27" i="19"/>
  <c r="JV27" i="19"/>
  <c r="JU27" i="19"/>
  <c r="JT27" i="19"/>
  <c r="JS27" i="19"/>
  <c r="JR27" i="19"/>
  <c r="KB26" i="19"/>
  <c r="KA26" i="19"/>
  <c r="JZ26" i="19"/>
  <c r="JY26" i="19"/>
  <c r="JX26" i="19"/>
  <c r="JW26" i="19"/>
  <c r="JV26" i="19"/>
  <c r="JU26" i="19"/>
  <c r="JT26" i="19"/>
  <c r="JS26" i="19"/>
  <c r="JR26" i="19"/>
  <c r="KB25" i="19"/>
  <c r="KA25" i="19"/>
  <c r="JZ25" i="19"/>
  <c r="JY25" i="19"/>
  <c r="JX25" i="19"/>
  <c r="JW25" i="19"/>
  <c r="JV25" i="19"/>
  <c r="JU25" i="19"/>
  <c r="JT25" i="19"/>
  <c r="JS25" i="19"/>
  <c r="JR25" i="19"/>
  <c r="KB24" i="19"/>
  <c r="KA24" i="19"/>
  <c r="JZ24" i="19"/>
  <c r="JY24" i="19"/>
  <c r="JX24" i="19"/>
  <c r="JW24" i="19"/>
  <c r="JV24" i="19"/>
  <c r="JU24" i="19"/>
  <c r="JT24" i="19"/>
  <c r="JS24" i="19"/>
  <c r="JR24" i="19"/>
  <c r="KB23" i="19"/>
  <c r="KA23" i="19"/>
  <c r="JZ23" i="19"/>
  <c r="JY23" i="19"/>
  <c r="JX23" i="19"/>
  <c r="JW23" i="19"/>
  <c r="JV23" i="19"/>
  <c r="JU23" i="19"/>
  <c r="JT23" i="19"/>
  <c r="JS23" i="19"/>
  <c r="JR23" i="19"/>
  <c r="KB22" i="19"/>
  <c r="KA22" i="19"/>
  <c r="JZ22" i="19"/>
  <c r="JY22" i="19"/>
  <c r="JX22" i="19"/>
  <c r="JW22" i="19"/>
  <c r="JV22" i="19"/>
  <c r="JU22" i="19"/>
  <c r="JT22" i="19"/>
  <c r="JS22" i="19"/>
  <c r="JR22" i="19"/>
  <c r="KB21" i="19"/>
  <c r="KA21" i="19"/>
  <c r="JZ21" i="19"/>
  <c r="JY21" i="19"/>
  <c r="JX21" i="19"/>
  <c r="JW21" i="19"/>
  <c r="JV21" i="19"/>
  <c r="JU21" i="19"/>
  <c r="JT21" i="19"/>
  <c r="JS21" i="19"/>
  <c r="JR21" i="19"/>
  <c r="KB20" i="19"/>
  <c r="KA20" i="19"/>
  <c r="JZ20" i="19"/>
  <c r="JY20" i="19"/>
  <c r="JX20" i="19"/>
  <c r="JW20" i="19"/>
  <c r="JV20" i="19"/>
  <c r="JU20" i="19"/>
  <c r="JT20" i="19"/>
  <c r="JS20" i="19"/>
  <c r="JR20" i="19"/>
  <c r="KB19" i="19"/>
  <c r="KA19" i="19"/>
  <c r="JZ19" i="19"/>
  <c r="JY19" i="19"/>
  <c r="JX19" i="19"/>
  <c r="JW19" i="19"/>
  <c r="JV19" i="19"/>
  <c r="JU19" i="19"/>
  <c r="JT19" i="19"/>
  <c r="JS19" i="19"/>
  <c r="JR19" i="19"/>
  <c r="KB18" i="19"/>
  <c r="KA18" i="19"/>
  <c r="JZ18" i="19"/>
  <c r="JY18" i="19"/>
  <c r="JX18" i="19"/>
  <c r="JW18" i="19"/>
  <c r="JV18" i="19"/>
  <c r="JU18" i="19"/>
  <c r="JT18" i="19"/>
  <c r="JS18" i="19"/>
  <c r="JR18" i="19"/>
  <c r="KB17" i="19"/>
  <c r="KA17" i="19"/>
  <c r="JZ17" i="19"/>
  <c r="JY17" i="19"/>
  <c r="JX17" i="19"/>
  <c r="JW17" i="19"/>
  <c r="JV17" i="19"/>
  <c r="JU17" i="19"/>
  <c r="JT17" i="19"/>
  <c r="JR17" i="19"/>
  <c r="JS17" i="19"/>
  <c r="KB16" i="19"/>
  <c r="KA16" i="19"/>
  <c r="JZ16" i="19"/>
  <c r="JY16" i="19"/>
  <c r="JX16" i="19"/>
  <c r="JW16" i="19"/>
  <c r="JV16" i="19"/>
  <c r="JU16" i="19"/>
  <c r="JT16" i="19"/>
  <c r="JS16" i="19"/>
  <c r="JR16" i="19"/>
  <c r="KB15" i="19"/>
  <c r="KA15" i="19"/>
  <c r="JZ15" i="19"/>
  <c r="JY15" i="19"/>
  <c r="JX15" i="19"/>
  <c r="JW15" i="19"/>
  <c r="JV15" i="19"/>
  <c r="JU15" i="19"/>
  <c r="JT15" i="19"/>
  <c r="JR15" i="19"/>
  <c r="JS15" i="19"/>
  <c r="KB14" i="19"/>
  <c r="KA14" i="19"/>
  <c r="JZ14" i="19"/>
  <c r="JY14" i="19"/>
  <c r="JX14" i="19"/>
  <c r="JW14" i="19"/>
  <c r="JV14" i="19"/>
  <c r="JU14" i="19"/>
  <c r="JT14" i="19"/>
  <c r="JS14" i="19"/>
  <c r="JR14" i="19"/>
  <c r="KB13" i="19"/>
  <c r="KA13" i="19"/>
  <c r="JZ13" i="19"/>
  <c r="JY13" i="19"/>
  <c r="JX13" i="19"/>
  <c r="JW13" i="19"/>
  <c r="JV13" i="19"/>
  <c r="JU13" i="19"/>
  <c r="JT13" i="19"/>
  <c r="JS13" i="19"/>
  <c r="JR13" i="19"/>
  <c r="KB12" i="19"/>
  <c r="KA12" i="19"/>
  <c r="KA10" i="19"/>
  <c r="KA11" i="19"/>
  <c r="JZ12" i="19"/>
  <c r="JY12" i="19"/>
  <c r="JX12" i="19"/>
  <c r="JW12" i="19"/>
  <c r="JV12" i="19"/>
  <c r="JU12" i="19"/>
  <c r="JT12" i="19"/>
  <c r="JS12" i="19"/>
  <c r="JR12" i="19"/>
  <c r="KB11" i="19"/>
  <c r="JZ11" i="19"/>
  <c r="JY11" i="19"/>
  <c r="JX11" i="19"/>
  <c r="JW11" i="19"/>
  <c r="JV11" i="19"/>
  <c r="JU11" i="19"/>
  <c r="JT11" i="19"/>
  <c r="JS11" i="19"/>
  <c r="JR11" i="19"/>
  <c r="KB10" i="19"/>
  <c r="JZ10" i="19"/>
  <c r="JY10" i="19"/>
  <c r="JX10" i="19"/>
  <c r="JW10" i="19"/>
  <c r="JV10" i="19"/>
  <c r="JU10" i="19"/>
  <c r="JT10" i="19"/>
  <c r="JS10" i="19"/>
  <c r="JR10" i="19"/>
  <c r="JP9" i="19"/>
  <c r="IX101" i="19"/>
  <c r="IX102" i="19"/>
  <c r="IX103" i="19"/>
  <c r="IX104" i="19"/>
  <c r="IX105" i="19"/>
  <c r="IX106" i="19"/>
  <c r="IX107" i="19"/>
  <c r="JB101" i="19"/>
  <c r="JB102" i="19"/>
  <c r="JB103" i="19"/>
  <c r="JB104" i="19"/>
  <c r="JB105" i="19"/>
  <c r="JB106" i="19"/>
  <c r="JB107" i="19"/>
  <c r="CH101" i="19"/>
  <c r="KJ101" i="19"/>
  <c r="CJ101" i="19"/>
  <c r="KL101" i="19"/>
  <c r="KM101" i="19"/>
  <c r="CL101" i="19"/>
  <c r="KN101" i="19"/>
  <c r="CM101" i="19"/>
  <c r="KO101" i="19"/>
  <c r="CN101" i="19"/>
  <c r="KP101" i="19"/>
  <c r="CO101" i="19"/>
  <c r="KQ101" i="19"/>
  <c r="CH102" i="19"/>
  <c r="KJ102" i="19"/>
  <c r="CJ102" i="19"/>
  <c r="KL102" i="19"/>
  <c r="CM102" i="19"/>
  <c r="KO102" i="19"/>
  <c r="CN102" i="19"/>
  <c r="KP102" i="19"/>
  <c r="CO102" i="19"/>
  <c r="KQ102" i="19"/>
  <c r="CH103" i="19"/>
  <c r="KJ103" i="19"/>
  <c r="CJ103" i="19"/>
  <c r="KL103" i="19"/>
  <c r="CM103" i="19"/>
  <c r="KO103" i="19"/>
  <c r="CN103" i="19"/>
  <c r="KP103" i="19"/>
  <c r="CO103" i="19"/>
  <c r="KQ103" i="19"/>
  <c r="CH104" i="19"/>
  <c r="KJ104" i="19"/>
  <c r="CJ104" i="19"/>
  <c r="KL104" i="19"/>
  <c r="KM104" i="19"/>
  <c r="CM104" i="19"/>
  <c r="KO104" i="19"/>
  <c r="CN104" i="19"/>
  <c r="KP104" i="19"/>
  <c r="CO104" i="19"/>
  <c r="KQ104" i="19"/>
  <c r="CH105" i="19"/>
  <c r="KJ105" i="19"/>
  <c r="CJ105" i="19"/>
  <c r="KL105" i="19"/>
  <c r="CM105" i="19"/>
  <c r="KO105" i="19"/>
  <c r="CN105" i="19"/>
  <c r="KP105" i="19"/>
  <c r="CO105" i="19"/>
  <c r="KQ105" i="19"/>
  <c r="CH106" i="19"/>
  <c r="KJ106" i="19"/>
  <c r="CJ106" i="19"/>
  <c r="KL106" i="19"/>
  <c r="CM106" i="19"/>
  <c r="KO106" i="19"/>
  <c r="CN106" i="19"/>
  <c r="KP106" i="19"/>
  <c r="CO106" i="19"/>
  <c r="KQ106" i="19"/>
  <c r="CH107" i="19"/>
  <c r="KJ107" i="19"/>
  <c r="CJ107" i="19"/>
  <c r="KL107" i="19"/>
  <c r="CL107" i="19"/>
  <c r="KN107" i="19"/>
  <c r="CM107" i="19"/>
  <c r="KO107" i="19"/>
  <c r="CN107" i="19"/>
  <c r="KP107" i="19"/>
  <c r="CO107" i="19"/>
  <c r="KQ107" i="19"/>
  <c r="EH101" i="19"/>
  <c r="EH102" i="19"/>
  <c r="EH103" i="19"/>
  <c r="EH104" i="19"/>
  <c r="EH105" i="19"/>
  <c r="EH106" i="19"/>
  <c r="EH107" i="19"/>
  <c r="GU101" i="19"/>
  <c r="GU102" i="19"/>
  <c r="GU103" i="19"/>
  <c r="GU104" i="19"/>
  <c r="GU105" i="19"/>
  <c r="GU106" i="19"/>
  <c r="GU107" i="19"/>
  <c r="HF107" i="19"/>
  <c r="HF101" i="19"/>
  <c r="HF102" i="19"/>
  <c r="HF103" i="19"/>
  <c r="HF104" i="19"/>
  <c r="HF105" i="19"/>
  <c r="HF106" i="19"/>
  <c r="AG128" i="19"/>
  <c r="AG129" i="19"/>
  <c r="AG130" i="19"/>
  <c r="AG131" i="19"/>
  <c r="BF107" i="19"/>
  <c r="BG107" i="19"/>
  <c r="IP107" i="19"/>
  <c r="BJ107" i="19"/>
  <c r="EG107" i="19"/>
  <c r="BF106" i="19"/>
  <c r="BG106" i="19"/>
  <c r="IP106" i="19"/>
  <c r="BJ106" i="19"/>
  <c r="BK106" i="19"/>
  <c r="EG106" i="19"/>
  <c r="BF105" i="19"/>
  <c r="BG105" i="19"/>
  <c r="IP105" i="19"/>
  <c r="BJ105" i="19"/>
  <c r="EG105" i="19"/>
  <c r="BF104" i="19"/>
  <c r="BG104" i="19"/>
  <c r="IP104" i="19"/>
  <c r="BJ104" i="19"/>
  <c r="BK104" i="19"/>
  <c r="EG104" i="19"/>
  <c r="BF103" i="19"/>
  <c r="BJ103" i="19"/>
  <c r="EG103" i="19"/>
  <c r="BF102" i="19"/>
  <c r="BJ102" i="19"/>
  <c r="EG102" i="19"/>
  <c r="BG101" i="19"/>
  <c r="IP101" i="19"/>
  <c r="BJ101" i="19"/>
  <c r="BF101" i="19"/>
  <c r="EG101" i="19"/>
  <c r="AD107" i="19"/>
  <c r="AD106" i="19"/>
  <c r="AD105" i="19"/>
  <c r="AD104" i="19"/>
  <c r="AD103" i="19"/>
  <c r="AD102" i="19"/>
  <c r="AC107" i="19"/>
  <c r="AC106" i="19"/>
  <c r="AC105" i="19"/>
  <c r="AC104" i="19"/>
  <c r="AC103" i="19"/>
  <c r="AC102" i="19"/>
  <c r="GS107" i="19"/>
  <c r="IT107" i="19"/>
  <c r="GS106" i="19"/>
  <c r="IT106" i="19"/>
  <c r="GS105" i="19"/>
  <c r="IT105" i="19"/>
  <c r="GS104" i="19"/>
  <c r="GP104" i="19"/>
  <c r="GQ104" i="19"/>
  <c r="GR104" i="19"/>
  <c r="IT104" i="19"/>
  <c r="GS103" i="19"/>
  <c r="IT103" i="19"/>
  <c r="GS102" i="19"/>
  <c r="IT102" i="19"/>
  <c r="AW101" i="19"/>
  <c r="GS101" i="19"/>
  <c r="IT101" i="19"/>
  <c r="T107" i="19"/>
  <c r="AU107" i="19"/>
  <c r="GR107" i="19"/>
  <c r="T106" i="19"/>
  <c r="AU106" i="19"/>
  <c r="AV106" i="19"/>
  <c r="GR106" i="19"/>
  <c r="GP106" i="19"/>
  <c r="GQ106" i="19"/>
  <c r="T105" i="19"/>
  <c r="AU105" i="19"/>
  <c r="AV105" i="19"/>
  <c r="GR105" i="19"/>
  <c r="T104" i="19"/>
  <c r="AU104" i="19"/>
  <c r="AV104" i="19"/>
  <c r="BG103" i="19"/>
  <c r="T103" i="19"/>
  <c r="AU103" i="19"/>
  <c r="AV103" i="19"/>
  <c r="GR103" i="19"/>
  <c r="T102" i="19"/>
  <c r="AU102" i="19"/>
  <c r="AV102" i="19"/>
  <c r="GR102" i="19"/>
  <c r="T101" i="19"/>
  <c r="AU101" i="19"/>
  <c r="GR101" i="19"/>
  <c r="P107" i="19"/>
  <c r="AS107" i="19"/>
  <c r="AT107" i="19"/>
  <c r="GQ107" i="19"/>
  <c r="GP107" i="19"/>
  <c r="P106" i="19"/>
  <c r="AS106" i="19"/>
  <c r="AT106" i="19"/>
  <c r="P105" i="19"/>
  <c r="AS105" i="19"/>
  <c r="AT105" i="19"/>
  <c r="GQ105" i="19"/>
  <c r="P104" i="19"/>
  <c r="AS104" i="19"/>
  <c r="AT104" i="19"/>
  <c r="P103" i="19"/>
  <c r="AS103" i="19"/>
  <c r="AT103" i="19"/>
  <c r="GQ103" i="19"/>
  <c r="P102" i="19"/>
  <c r="AS102" i="19"/>
  <c r="AT102" i="19"/>
  <c r="GQ102" i="19"/>
  <c r="P101" i="19"/>
  <c r="AS101" i="19"/>
  <c r="AT101" i="19"/>
  <c r="GQ101" i="19"/>
  <c r="L107" i="19"/>
  <c r="AQ107" i="19"/>
  <c r="AR107" i="19"/>
  <c r="L106" i="19"/>
  <c r="AQ106" i="19"/>
  <c r="AR106" i="19"/>
  <c r="L105" i="19"/>
  <c r="AQ105" i="19"/>
  <c r="AR105" i="19"/>
  <c r="GP105" i="19"/>
  <c r="L104" i="19"/>
  <c r="AQ104" i="19"/>
  <c r="AR104" i="19"/>
  <c r="L103" i="19"/>
  <c r="AQ103" i="19"/>
  <c r="AR103" i="19"/>
  <c r="GP103" i="19"/>
  <c r="L102" i="19"/>
  <c r="AQ102" i="19"/>
  <c r="AR102" i="19"/>
  <c r="GP102" i="19"/>
  <c r="L101" i="19"/>
  <c r="AQ101" i="19"/>
  <c r="AR101" i="19"/>
  <c r="GP101" i="19"/>
  <c r="H107" i="19"/>
  <c r="H106" i="19"/>
  <c r="H105" i="19"/>
  <c r="H104" i="19"/>
  <c r="H103" i="19"/>
  <c r="H102" i="19"/>
  <c r="DV107" i="19"/>
  <c r="DW107" i="19"/>
  <c r="DX107" i="19"/>
  <c r="DY107" i="19"/>
  <c r="DZ107" i="19"/>
  <c r="EA107" i="19"/>
  <c r="DV106" i="19"/>
  <c r="DW106" i="19"/>
  <c r="DX106" i="19"/>
  <c r="DY106" i="19"/>
  <c r="DZ106" i="19"/>
  <c r="EA106" i="19"/>
  <c r="DV105" i="19"/>
  <c r="DW105" i="19"/>
  <c r="DX105" i="19"/>
  <c r="DY105" i="19"/>
  <c r="DZ105" i="19"/>
  <c r="EA105" i="19"/>
  <c r="I104" i="19"/>
  <c r="DV104" i="19"/>
  <c r="DW104" i="19"/>
  <c r="DX104" i="19"/>
  <c r="DY104" i="19"/>
  <c r="DZ104" i="19"/>
  <c r="EA104" i="19"/>
  <c r="DV103" i="19"/>
  <c r="DW103" i="19"/>
  <c r="DX103" i="19"/>
  <c r="DY103" i="19"/>
  <c r="DZ103" i="19"/>
  <c r="EA103" i="19"/>
  <c r="JC102" i="19"/>
  <c r="DV102" i="19"/>
  <c r="DW102" i="19"/>
  <c r="DX102" i="19"/>
  <c r="DY102" i="19"/>
  <c r="DZ102" i="19"/>
  <c r="EA102" i="19"/>
  <c r="JC101" i="19"/>
  <c r="GO101" i="19"/>
  <c r="DV101" i="19"/>
  <c r="DW101" i="19"/>
  <c r="DX101" i="19"/>
  <c r="DY101" i="19"/>
  <c r="DZ101" i="19"/>
  <c r="EA101" i="19"/>
  <c r="H101" i="19"/>
  <c r="AC101" i="19"/>
  <c r="AJ101" i="19"/>
  <c r="AO101" i="19"/>
  <c r="AP101" i="19"/>
  <c r="BG102" i="19"/>
  <c r="Z27" i="31"/>
  <c r="Z26" i="31"/>
  <c r="Z24" i="31"/>
  <c r="Z23" i="31"/>
  <c r="AF24" i="19"/>
  <c r="BE24" i="19"/>
  <c r="AF54" i="19"/>
  <c r="BE54" i="19"/>
  <c r="Z23" i="34"/>
  <c r="Z22" i="34"/>
  <c r="Z18" i="34"/>
  <c r="Z17" i="34"/>
  <c r="Z16" i="34"/>
  <c r="JM9" i="19"/>
  <c r="Z28" i="31"/>
  <c r="CC114" i="39"/>
  <c r="CC112" i="39"/>
  <c r="CC111" i="39"/>
  <c r="CC110" i="39"/>
  <c r="JB100" i="19"/>
  <c r="IX100" i="19"/>
  <c r="IT100" i="19"/>
  <c r="HF100" i="19"/>
  <c r="GS100" i="19"/>
  <c r="GR100" i="19"/>
  <c r="GQ100" i="19"/>
  <c r="GP100" i="19"/>
  <c r="GO100" i="19"/>
  <c r="JB99" i="19"/>
  <c r="IX99" i="19"/>
  <c r="IT99" i="19"/>
  <c r="HF99" i="19"/>
  <c r="GS99" i="19"/>
  <c r="GR99" i="19"/>
  <c r="GQ99" i="19"/>
  <c r="GP99" i="19"/>
  <c r="GO99" i="19"/>
  <c r="JB98" i="19"/>
  <c r="IX98" i="19"/>
  <c r="IT98" i="19"/>
  <c r="HF98" i="19"/>
  <c r="GS98" i="19"/>
  <c r="GR98" i="19"/>
  <c r="GQ98" i="19"/>
  <c r="GP98" i="19"/>
  <c r="GO98" i="19"/>
  <c r="JB97" i="19"/>
  <c r="IX97" i="19"/>
  <c r="IT97" i="19"/>
  <c r="HF97" i="19"/>
  <c r="GS97" i="19"/>
  <c r="GR97" i="19"/>
  <c r="GQ97" i="19"/>
  <c r="GP97" i="19"/>
  <c r="GO97" i="19"/>
  <c r="JB96" i="19"/>
  <c r="IX96" i="19"/>
  <c r="IT96" i="19"/>
  <c r="HF96" i="19"/>
  <c r="GS96" i="19"/>
  <c r="GR96" i="19"/>
  <c r="GQ96" i="19"/>
  <c r="GP96" i="19"/>
  <c r="GO96" i="19"/>
  <c r="JB95" i="19"/>
  <c r="IX95" i="19"/>
  <c r="IT95" i="19"/>
  <c r="HF95" i="19"/>
  <c r="GS95" i="19"/>
  <c r="GR95" i="19"/>
  <c r="GQ95" i="19"/>
  <c r="GP95" i="19"/>
  <c r="GO95" i="19"/>
  <c r="JB94" i="19"/>
  <c r="IX94" i="19"/>
  <c r="IT94" i="19"/>
  <c r="HF94" i="19"/>
  <c r="GS94" i="19"/>
  <c r="GR94" i="19"/>
  <c r="GQ94" i="19"/>
  <c r="GP94" i="19"/>
  <c r="GO94" i="19"/>
  <c r="JB14" i="22"/>
  <c r="IX14" i="22"/>
  <c r="IT14" i="22"/>
  <c r="HF14" i="22"/>
  <c r="GS14" i="22"/>
  <c r="GR14" i="22"/>
  <c r="GQ14" i="22"/>
  <c r="GP14" i="22"/>
  <c r="GO14" i="22"/>
  <c r="JB13" i="22"/>
  <c r="IX13" i="22"/>
  <c r="IT13" i="22"/>
  <c r="HF13" i="22"/>
  <c r="GS13" i="22"/>
  <c r="GR13" i="22"/>
  <c r="GQ13" i="22"/>
  <c r="GP13" i="22"/>
  <c r="GO13" i="22"/>
  <c r="JB12" i="22"/>
  <c r="IX12" i="22"/>
  <c r="IT12" i="22"/>
  <c r="HF12" i="22"/>
  <c r="GS12" i="22"/>
  <c r="GR12" i="22"/>
  <c r="GQ12" i="22"/>
  <c r="GP12" i="22"/>
  <c r="GO12" i="22"/>
  <c r="JB11" i="22"/>
  <c r="IX11" i="22"/>
  <c r="IT11" i="22"/>
  <c r="HF11" i="22"/>
  <c r="GS11" i="22"/>
  <c r="GR11" i="22"/>
  <c r="GQ11" i="22"/>
  <c r="GP11" i="22"/>
  <c r="GO11" i="22"/>
  <c r="JB10" i="22"/>
  <c r="IX10" i="22"/>
  <c r="IT10" i="22"/>
  <c r="HF10" i="22"/>
  <c r="GS10" i="22"/>
  <c r="GR10" i="22"/>
  <c r="GQ10" i="22"/>
  <c r="GP10" i="22"/>
  <c r="GP9" i="22"/>
  <c r="GO10" i="22"/>
  <c r="JB9" i="22"/>
  <c r="IX9" i="22"/>
  <c r="IT9" i="22"/>
  <c r="HF9" i="22"/>
  <c r="GS9" i="22"/>
  <c r="GO9" i="22"/>
  <c r="GQ9" i="22"/>
  <c r="GR9" i="22"/>
  <c r="JB32" i="31"/>
  <c r="IX32" i="31"/>
  <c r="IT32" i="31"/>
  <c r="HF32" i="31"/>
  <c r="GS32" i="31"/>
  <c r="GR32" i="31"/>
  <c r="GQ32" i="31"/>
  <c r="GP32" i="31"/>
  <c r="GO32" i="31"/>
  <c r="JB31" i="31"/>
  <c r="HW31" i="31"/>
  <c r="HV31" i="31"/>
  <c r="IX31" i="31"/>
  <c r="IT31" i="31"/>
  <c r="HF31" i="31"/>
  <c r="GS31" i="31"/>
  <c r="GR31" i="31"/>
  <c r="GQ31" i="31"/>
  <c r="GO31" i="31"/>
  <c r="GP31" i="31"/>
  <c r="JB30" i="31"/>
  <c r="IX30" i="31"/>
  <c r="IT30" i="31"/>
  <c r="HF30" i="31"/>
  <c r="GS30" i="31"/>
  <c r="GR30" i="31"/>
  <c r="GQ30" i="31"/>
  <c r="GP30" i="31"/>
  <c r="GO30" i="31"/>
  <c r="JB29" i="31"/>
  <c r="IX29" i="31"/>
  <c r="IT29" i="31"/>
  <c r="HF29" i="31"/>
  <c r="GS29" i="31"/>
  <c r="GR29" i="31"/>
  <c r="GQ29" i="31"/>
  <c r="GP29" i="31"/>
  <c r="GO29" i="31"/>
  <c r="JB28" i="31"/>
  <c r="IX28" i="31"/>
  <c r="IT28" i="31"/>
  <c r="HF28" i="31"/>
  <c r="GS28" i="31"/>
  <c r="GR28" i="31"/>
  <c r="GQ28" i="31"/>
  <c r="GP28" i="31"/>
  <c r="GO28" i="31"/>
  <c r="JB27" i="31"/>
  <c r="IX27" i="31"/>
  <c r="IT27" i="31"/>
  <c r="HF27" i="31"/>
  <c r="GS27" i="31"/>
  <c r="GR27" i="31"/>
  <c r="GQ27" i="31"/>
  <c r="GP27" i="31"/>
  <c r="GO27" i="31"/>
  <c r="JB26" i="31"/>
  <c r="IX26" i="31"/>
  <c r="IT26" i="31"/>
  <c r="HF26" i="31"/>
  <c r="GS26" i="31"/>
  <c r="GR26" i="31"/>
  <c r="GQ26" i="31"/>
  <c r="GP26" i="31"/>
  <c r="GO26" i="31"/>
  <c r="JB25" i="31"/>
  <c r="IX25" i="31"/>
  <c r="IT25" i="31"/>
  <c r="HF25" i="31"/>
  <c r="GS25" i="31"/>
  <c r="GR25" i="31"/>
  <c r="GQ25" i="31"/>
  <c r="GP25" i="31"/>
  <c r="GO25" i="31"/>
  <c r="JB24" i="31"/>
  <c r="IX24" i="31"/>
  <c r="IT24" i="31"/>
  <c r="HF24" i="31"/>
  <c r="GS24" i="31"/>
  <c r="GR24" i="31"/>
  <c r="GQ24" i="31"/>
  <c r="GP24" i="31"/>
  <c r="GO24" i="31"/>
  <c r="JB23" i="31"/>
  <c r="IX23" i="31"/>
  <c r="IT23" i="31"/>
  <c r="HF23" i="31"/>
  <c r="GS23" i="31"/>
  <c r="GR23" i="31"/>
  <c r="GQ23" i="31"/>
  <c r="GP23" i="31"/>
  <c r="GO23" i="31"/>
  <c r="JB21" i="31"/>
  <c r="IX21" i="31"/>
  <c r="IT21" i="31"/>
  <c r="HF21" i="31"/>
  <c r="GS21" i="31"/>
  <c r="GR21" i="31"/>
  <c r="GQ21" i="31"/>
  <c r="GP21" i="31"/>
  <c r="GO21" i="31"/>
  <c r="JB20" i="31"/>
  <c r="IX20" i="31"/>
  <c r="IT20" i="31"/>
  <c r="HF20" i="31"/>
  <c r="GS20" i="31"/>
  <c r="GR20" i="31"/>
  <c r="GQ20" i="31"/>
  <c r="GP20" i="31"/>
  <c r="GO20" i="31"/>
  <c r="JB19" i="31"/>
  <c r="IX19" i="31"/>
  <c r="IT19" i="31"/>
  <c r="HF19" i="31"/>
  <c r="GS19" i="31"/>
  <c r="GR19" i="31"/>
  <c r="GQ19" i="31"/>
  <c r="GP19" i="31"/>
  <c r="GO19" i="31"/>
  <c r="JB18" i="31"/>
  <c r="IX18" i="31"/>
  <c r="IT18" i="31"/>
  <c r="HF18" i="31"/>
  <c r="GS18" i="31"/>
  <c r="GR18" i="31"/>
  <c r="GQ18" i="31"/>
  <c r="GP18" i="31"/>
  <c r="GO18" i="31"/>
  <c r="JB17" i="31"/>
  <c r="IX17" i="31"/>
  <c r="IT17" i="31"/>
  <c r="HF17" i="31"/>
  <c r="GS17" i="31"/>
  <c r="GR17" i="31"/>
  <c r="GQ17" i="31"/>
  <c r="GP17" i="31"/>
  <c r="GO17" i="31"/>
  <c r="JB16" i="31"/>
  <c r="IX16" i="31"/>
  <c r="IT16" i="31"/>
  <c r="HF16" i="31"/>
  <c r="GS16" i="31"/>
  <c r="GR16" i="31"/>
  <c r="GQ16" i="31"/>
  <c r="GP16" i="31"/>
  <c r="GO16" i="31"/>
  <c r="JB15" i="31"/>
  <c r="IX15" i="31"/>
  <c r="IT15" i="31"/>
  <c r="HF15" i="31"/>
  <c r="GS15" i="31"/>
  <c r="GR15" i="31"/>
  <c r="GQ15" i="31"/>
  <c r="GP15" i="31"/>
  <c r="GO15" i="31"/>
  <c r="JB14" i="31"/>
  <c r="IX14" i="31"/>
  <c r="IT14" i="31"/>
  <c r="HF14" i="31"/>
  <c r="GS14" i="31"/>
  <c r="GR14" i="31"/>
  <c r="GQ14" i="31"/>
  <c r="GP14" i="31"/>
  <c r="GO14" i="31"/>
  <c r="JB13" i="31"/>
  <c r="IX13" i="31"/>
  <c r="IT13" i="31"/>
  <c r="HF13" i="31"/>
  <c r="GS13" i="31"/>
  <c r="GR13" i="31"/>
  <c r="GQ13" i="31"/>
  <c r="GP13" i="31"/>
  <c r="GO13" i="31"/>
  <c r="JB12" i="31"/>
  <c r="IX12" i="31"/>
  <c r="IT12" i="31"/>
  <c r="HF12" i="31"/>
  <c r="GS12" i="31"/>
  <c r="GR12" i="31"/>
  <c r="GQ12" i="31"/>
  <c r="GP12" i="31"/>
  <c r="GO12" i="31"/>
  <c r="JB11" i="31"/>
  <c r="IX11" i="31"/>
  <c r="IT11" i="31"/>
  <c r="HF11" i="31"/>
  <c r="GS11" i="31"/>
  <c r="GR11" i="31"/>
  <c r="GQ11" i="31"/>
  <c r="GP11" i="31"/>
  <c r="GO11" i="31"/>
  <c r="JB10" i="31"/>
  <c r="IX10" i="31"/>
  <c r="IT10" i="31"/>
  <c r="IT9" i="31"/>
  <c r="HF10" i="31"/>
  <c r="GS10" i="31"/>
  <c r="GR10" i="31"/>
  <c r="GO10" i="31"/>
  <c r="GP10" i="31"/>
  <c r="GQ10" i="31"/>
  <c r="JB9" i="31"/>
  <c r="IX9" i="31"/>
  <c r="HF9" i="31"/>
  <c r="GS9" i="31"/>
  <c r="GR9" i="31"/>
  <c r="GQ9" i="31"/>
  <c r="GP9" i="31"/>
  <c r="GO9" i="31"/>
  <c r="JB31" i="32"/>
  <c r="IX31" i="32"/>
  <c r="IT31" i="32"/>
  <c r="HF31" i="32"/>
  <c r="GS31" i="32"/>
  <c r="GR31" i="32"/>
  <c r="GQ31" i="32"/>
  <c r="GO31" i="32"/>
  <c r="GP31" i="32"/>
  <c r="JB30" i="32"/>
  <c r="IX30" i="32"/>
  <c r="IT30" i="32"/>
  <c r="HF30" i="32"/>
  <c r="GS30" i="32"/>
  <c r="GR30" i="32"/>
  <c r="GQ30" i="32"/>
  <c r="GP30" i="32"/>
  <c r="GO30" i="32"/>
  <c r="JB27" i="32"/>
  <c r="IX27" i="32"/>
  <c r="HQ27" i="32"/>
  <c r="IT27" i="32"/>
  <c r="HF27" i="32"/>
  <c r="GS27" i="32"/>
  <c r="GR27" i="32"/>
  <c r="GQ27" i="32"/>
  <c r="GP27" i="32"/>
  <c r="GO27" i="32"/>
  <c r="JB26" i="32"/>
  <c r="IX26" i="32"/>
  <c r="IT26" i="32"/>
  <c r="HF26" i="32"/>
  <c r="GS26" i="32"/>
  <c r="GR26" i="32"/>
  <c r="GQ26" i="32"/>
  <c r="GO26" i="32"/>
  <c r="GP26" i="32"/>
  <c r="JB25" i="32"/>
  <c r="IX25" i="32"/>
  <c r="IT25" i="32"/>
  <c r="HF25" i="32"/>
  <c r="GS25" i="32"/>
  <c r="GR25" i="32"/>
  <c r="GQ25" i="32"/>
  <c r="GP25" i="32"/>
  <c r="GO25" i="32"/>
  <c r="JB24" i="32"/>
  <c r="IX24" i="32"/>
  <c r="IT24" i="32"/>
  <c r="HF24" i="32"/>
  <c r="GS24" i="32"/>
  <c r="GR24" i="32"/>
  <c r="GQ24" i="32"/>
  <c r="GP24" i="32"/>
  <c r="GO24" i="32"/>
  <c r="JB23" i="32"/>
  <c r="IX23" i="32"/>
  <c r="IT23" i="32"/>
  <c r="HF23" i="32"/>
  <c r="GS23" i="32"/>
  <c r="GR23" i="32"/>
  <c r="GQ23" i="32"/>
  <c r="GP23" i="32"/>
  <c r="GO23" i="32"/>
  <c r="JB22" i="32"/>
  <c r="IX22" i="32"/>
  <c r="IT22" i="32"/>
  <c r="HF22" i="32"/>
  <c r="GS22" i="32"/>
  <c r="GR22" i="32"/>
  <c r="GQ22" i="32"/>
  <c r="GP22" i="32"/>
  <c r="GO22" i="32"/>
  <c r="JB21" i="32"/>
  <c r="HW21" i="32"/>
  <c r="IX21" i="32"/>
  <c r="IT21" i="32"/>
  <c r="HF21" i="32"/>
  <c r="GS21" i="32"/>
  <c r="GR21" i="32"/>
  <c r="GQ21" i="32"/>
  <c r="GP21" i="32"/>
  <c r="GO21" i="32"/>
  <c r="JB20" i="32"/>
  <c r="IX20" i="32"/>
  <c r="IT20" i="32"/>
  <c r="HF20" i="32"/>
  <c r="GS20" i="32"/>
  <c r="GR20" i="32"/>
  <c r="GQ20" i="32"/>
  <c r="GP20" i="32"/>
  <c r="GO20" i="32"/>
  <c r="JB19" i="32"/>
  <c r="IX19" i="32"/>
  <c r="IT19" i="32"/>
  <c r="HF19" i="32"/>
  <c r="GS19" i="32"/>
  <c r="GR19" i="32"/>
  <c r="GQ19" i="32"/>
  <c r="GP19" i="32"/>
  <c r="GO19" i="32"/>
  <c r="JB18" i="32"/>
  <c r="IX18" i="32"/>
  <c r="IT18" i="32"/>
  <c r="HF18" i="32"/>
  <c r="GS18" i="32"/>
  <c r="GR18" i="32"/>
  <c r="GQ18" i="32"/>
  <c r="GP18" i="32"/>
  <c r="GO18" i="32"/>
  <c r="JB17" i="32"/>
  <c r="IX17" i="32"/>
  <c r="IT17" i="32"/>
  <c r="HF17" i="32"/>
  <c r="GS17" i="32"/>
  <c r="GR17" i="32"/>
  <c r="GQ17" i="32"/>
  <c r="GP17" i="32"/>
  <c r="GO17" i="32"/>
  <c r="JB16" i="32"/>
  <c r="IX16" i="32"/>
  <c r="IT16" i="32"/>
  <c r="HF16" i="32"/>
  <c r="GS16" i="32"/>
  <c r="GR16" i="32"/>
  <c r="GQ16" i="32"/>
  <c r="GP16" i="32"/>
  <c r="GO16" i="32"/>
  <c r="JB15" i="32"/>
  <c r="IX15" i="32"/>
  <c r="IT15" i="32"/>
  <c r="HF15" i="32"/>
  <c r="GS15" i="32"/>
  <c r="GR15" i="32"/>
  <c r="GQ15" i="32"/>
  <c r="GP15" i="32"/>
  <c r="GO15" i="32"/>
  <c r="JB14" i="32"/>
  <c r="IX14" i="32"/>
  <c r="IT14" i="32"/>
  <c r="HF14" i="32"/>
  <c r="GS14" i="32"/>
  <c r="GR14" i="32"/>
  <c r="GQ14" i="32"/>
  <c r="GP14" i="32"/>
  <c r="GO14" i="32"/>
  <c r="JB13" i="32"/>
  <c r="IX13" i="32"/>
  <c r="IT13" i="32"/>
  <c r="HF13" i="32"/>
  <c r="GS13" i="32"/>
  <c r="GR13" i="32"/>
  <c r="GO13" i="32"/>
  <c r="GP13" i="32"/>
  <c r="GQ13" i="32"/>
  <c r="JB12" i="32"/>
  <c r="IX12" i="32"/>
  <c r="IT12" i="32"/>
  <c r="HF12" i="32"/>
  <c r="GS12" i="32"/>
  <c r="GR12" i="32"/>
  <c r="GQ12" i="32"/>
  <c r="GP12" i="32"/>
  <c r="GO12" i="32"/>
  <c r="JB11" i="32"/>
  <c r="IX11" i="32"/>
  <c r="IT11" i="32"/>
  <c r="IT9" i="32"/>
  <c r="IT10" i="32"/>
  <c r="HF11" i="32"/>
  <c r="GS11" i="32"/>
  <c r="GR11" i="32"/>
  <c r="GQ11" i="32"/>
  <c r="GP11" i="32"/>
  <c r="GO11" i="32"/>
  <c r="JB10" i="32"/>
  <c r="IX10" i="32"/>
  <c r="IX9" i="32"/>
  <c r="HF10" i="32"/>
  <c r="GS10" i="32"/>
  <c r="GR10" i="32"/>
  <c r="GQ10" i="32"/>
  <c r="GP10" i="32"/>
  <c r="GO10" i="32"/>
  <c r="JB9" i="32"/>
  <c r="HF9" i="32"/>
  <c r="GS9" i="32"/>
  <c r="GR9" i="32"/>
  <c r="GQ9" i="32"/>
  <c r="GP9" i="32"/>
  <c r="GO9" i="32"/>
  <c r="JB10" i="33"/>
  <c r="IX10" i="33"/>
  <c r="HQ10" i="33"/>
  <c r="IX9" i="33"/>
  <c r="IT10" i="33"/>
  <c r="HF10" i="33"/>
  <c r="GS10" i="33"/>
  <c r="GS9" i="33"/>
  <c r="GR10" i="33"/>
  <c r="GQ10" i="33"/>
  <c r="GP10" i="33"/>
  <c r="GO10" i="33"/>
  <c r="JB9" i="33"/>
  <c r="IT9" i="33"/>
  <c r="HF9" i="33"/>
  <c r="GR9" i="33"/>
  <c r="GQ9" i="33"/>
  <c r="GP9" i="33"/>
  <c r="GO9" i="33"/>
  <c r="GO13" i="33"/>
  <c r="JB55" i="34"/>
  <c r="IX55" i="34"/>
  <c r="IT55" i="34"/>
  <c r="HF55" i="34"/>
  <c r="GS55" i="34"/>
  <c r="GR55" i="34"/>
  <c r="GQ55" i="34"/>
  <c r="GP55" i="34"/>
  <c r="GO55" i="34"/>
  <c r="JB54" i="34"/>
  <c r="IX54" i="34"/>
  <c r="IT54" i="34"/>
  <c r="HF54" i="34"/>
  <c r="GS54" i="34"/>
  <c r="GR54" i="34"/>
  <c r="GQ54" i="34"/>
  <c r="GP54" i="34"/>
  <c r="GO54" i="34"/>
  <c r="JB53" i="34"/>
  <c r="HW53" i="34"/>
  <c r="HX53" i="34"/>
  <c r="IX53" i="34"/>
  <c r="IT53" i="34"/>
  <c r="HF53" i="34"/>
  <c r="GS53" i="34"/>
  <c r="GR53" i="34"/>
  <c r="GQ53" i="34"/>
  <c r="GP53" i="34"/>
  <c r="GO53" i="34"/>
  <c r="JB51" i="34"/>
  <c r="IX51" i="34"/>
  <c r="HF51" i="34"/>
  <c r="GO51" i="34"/>
  <c r="GP51" i="34"/>
  <c r="GQ51" i="34"/>
  <c r="GR51" i="34"/>
  <c r="GS51" i="34"/>
  <c r="IT51" i="34"/>
  <c r="JB50" i="34"/>
  <c r="HW50" i="34"/>
  <c r="HV50" i="34"/>
  <c r="IX50" i="34"/>
  <c r="IT50" i="34"/>
  <c r="HF50" i="34"/>
  <c r="GS50" i="34"/>
  <c r="GR50" i="34"/>
  <c r="GQ50" i="34"/>
  <c r="GP50" i="34"/>
  <c r="GO50" i="34"/>
  <c r="JB49" i="34"/>
  <c r="IX49" i="34"/>
  <c r="IT49" i="34"/>
  <c r="HF49" i="34"/>
  <c r="GS49" i="34"/>
  <c r="GR49" i="34"/>
  <c r="GQ49" i="34"/>
  <c r="GP49" i="34"/>
  <c r="GO49" i="34"/>
  <c r="JB48" i="34"/>
  <c r="IX48" i="34"/>
  <c r="IT48" i="34"/>
  <c r="HF48" i="34"/>
  <c r="GS48" i="34"/>
  <c r="GR48" i="34"/>
  <c r="GQ48" i="34"/>
  <c r="GP48" i="34"/>
  <c r="GO48" i="34"/>
  <c r="JB47" i="34"/>
  <c r="IX47" i="34"/>
  <c r="IT47" i="34"/>
  <c r="HF47" i="34"/>
  <c r="GS47" i="34"/>
  <c r="GR47" i="34"/>
  <c r="GQ47" i="34"/>
  <c r="GP47" i="34"/>
  <c r="GO47" i="34"/>
  <c r="JB46" i="34"/>
  <c r="IX46" i="34"/>
  <c r="IT46" i="34"/>
  <c r="HF46" i="34"/>
  <c r="GS46" i="34"/>
  <c r="GR46" i="34"/>
  <c r="GO46" i="34"/>
  <c r="GP46" i="34"/>
  <c r="GQ46" i="34"/>
  <c r="JB45" i="34"/>
  <c r="IX45" i="34"/>
  <c r="IT45" i="34"/>
  <c r="HF45" i="34"/>
  <c r="GS45" i="34"/>
  <c r="GR45" i="34"/>
  <c r="GQ45" i="34"/>
  <c r="GO45" i="34"/>
  <c r="GP45" i="34"/>
  <c r="JB44" i="34"/>
  <c r="IX44" i="34"/>
  <c r="IT44" i="34"/>
  <c r="HF44" i="34"/>
  <c r="GS44" i="34"/>
  <c r="GR44" i="34"/>
  <c r="GQ44" i="34"/>
  <c r="GP44" i="34"/>
  <c r="GO44" i="34"/>
  <c r="JB43" i="34"/>
  <c r="IX43" i="34"/>
  <c r="IT43" i="34"/>
  <c r="HF43" i="34"/>
  <c r="GS43" i="34"/>
  <c r="GR43" i="34"/>
  <c r="GQ43" i="34"/>
  <c r="GP43" i="34"/>
  <c r="GO43" i="34"/>
  <c r="JB42" i="34"/>
  <c r="IX42" i="34"/>
  <c r="IT42" i="34"/>
  <c r="HF42" i="34"/>
  <c r="GS42" i="34"/>
  <c r="GR42" i="34"/>
  <c r="GQ42" i="34"/>
  <c r="GP42" i="34"/>
  <c r="GO42" i="34"/>
  <c r="JB41" i="34"/>
  <c r="IX41" i="34"/>
  <c r="IT41" i="34"/>
  <c r="HF41" i="34"/>
  <c r="GS41" i="34"/>
  <c r="GR41" i="34"/>
  <c r="GO41" i="34"/>
  <c r="GP41" i="34"/>
  <c r="GQ41" i="34"/>
  <c r="JB40" i="34"/>
  <c r="IX40" i="34"/>
  <c r="IT40" i="34"/>
  <c r="HF40" i="34"/>
  <c r="GS40" i="34"/>
  <c r="GR40" i="34"/>
  <c r="GQ40" i="34"/>
  <c r="GP40" i="34"/>
  <c r="GO40" i="34"/>
  <c r="JB39" i="34"/>
  <c r="IX39" i="34"/>
  <c r="IT39" i="34"/>
  <c r="HF39" i="34"/>
  <c r="GS39" i="34"/>
  <c r="GR39" i="34"/>
  <c r="GQ39" i="34"/>
  <c r="GP39" i="34"/>
  <c r="GO39" i="34"/>
  <c r="JB38" i="34"/>
  <c r="IX38" i="34"/>
  <c r="IT38" i="34"/>
  <c r="HF38" i="34"/>
  <c r="GS38" i="34"/>
  <c r="GR38" i="34"/>
  <c r="GQ38" i="34"/>
  <c r="GP38" i="34"/>
  <c r="GO38" i="34"/>
  <c r="JB37" i="34"/>
  <c r="IX37" i="34"/>
  <c r="IT37" i="34"/>
  <c r="HF37" i="34"/>
  <c r="GS37" i="34"/>
  <c r="GR37" i="34"/>
  <c r="GQ37" i="34"/>
  <c r="GP37" i="34"/>
  <c r="GO37" i="34"/>
  <c r="JB36" i="34"/>
  <c r="IX36" i="34"/>
  <c r="IT36" i="34"/>
  <c r="HF36" i="34"/>
  <c r="GS36" i="34"/>
  <c r="GR36" i="34"/>
  <c r="GQ36" i="34"/>
  <c r="GP36" i="34"/>
  <c r="GO36" i="34"/>
  <c r="JB35" i="34"/>
  <c r="IX35" i="34"/>
  <c r="IT35" i="34"/>
  <c r="HF35" i="34"/>
  <c r="GS35" i="34"/>
  <c r="GR35" i="34"/>
  <c r="GQ35" i="34"/>
  <c r="GP35" i="34"/>
  <c r="GO35" i="34"/>
  <c r="JB34" i="34"/>
  <c r="IX34" i="34"/>
  <c r="IT34" i="34"/>
  <c r="HF34" i="34"/>
  <c r="GS34" i="34"/>
  <c r="GR34" i="34"/>
  <c r="GQ34" i="34"/>
  <c r="GP34" i="34"/>
  <c r="GO34" i="34"/>
  <c r="JB33" i="34"/>
  <c r="IX33" i="34"/>
  <c r="IT33" i="34"/>
  <c r="HF33" i="34"/>
  <c r="GS33" i="34"/>
  <c r="GR33" i="34"/>
  <c r="GO33" i="34"/>
  <c r="GP33" i="34"/>
  <c r="GQ33" i="34"/>
  <c r="JB32" i="34"/>
  <c r="IX32" i="34"/>
  <c r="IT32" i="34"/>
  <c r="HF32" i="34"/>
  <c r="GS32" i="34"/>
  <c r="GR32" i="34"/>
  <c r="GQ32" i="34"/>
  <c r="GP32" i="34"/>
  <c r="GO32" i="34"/>
  <c r="JB31" i="34"/>
  <c r="IX31" i="34"/>
  <c r="IT31" i="34"/>
  <c r="HF31" i="34"/>
  <c r="GS31" i="34"/>
  <c r="GR31" i="34"/>
  <c r="GO31" i="34"/>
  <c r="GP31" i="34"/>
  <c r="GQ31" i="34"/>
  <c r="JB30" i="34"/>
  <c r="IX30" i="34"/>
  <c r="IT30" i="34"/>
  <c r="HF30" i="34"/>
  <c r="GS30" i="34"/>
  <c r="GR30" i="34"/>
  <c r="GQ30" i="34"/>
  <c r="GP30" i="34"/>
  <c r="GO30" i="34"/>
  <c r="JB29" i="34"/>
  <c r="IX29" i="34"/>
  <c r="IT29" i="34"/>
  <c r="HF29" i="34"/>
  <c r="GS29" i="34"/>
  <c r="GR29" i="34"/>
  <c r="GQ29" i="34"/>
  <c r="GP29" i="34"/>
  <c r="GO29" i="34"/>
  <c r="JB28" i="34"/>
  <c r="IX28" i="34"/>
  <c r="IT28" i="34"/>
  <c r="HF28" i="34"/>
  <c r="GS28" i="34"/>
  <c r="GR28" i="34"/>
  <c r="GQ28" i="34"/>
  <c r="GP28" i="34"/>
  <c r="GO28" i="34"/>
  <c r="JB27" i="34"/>
  <c r="IX27" i="34"/>
  <c r="IT27" i="34"/>
  <c r="HF27" i="34"/>
  <c r="GS27" i="34"/>
  <c r="GR27" i="34"/>
  <c r="GO27" i="34"/>
  <c r="GP27" i="34"/>
  <c r="GQ27" i="34"/>
  <c r="JB26" i="34"/>
  <c r="IX26" i="34"/>
  <c r="IT26" i="34"/>
  <c r="HF26" i="34"/>
  <c r="GS26" i="34"/>
  <c r="GR26" i="34"/>
  <c r="GQ26" i="34"/>
  <c r="GP26" i="34"/>
  <c r="GO26" i="34"/>
  <c r="JB25" i="34"/>
  <c r="IX25" i="34"/>
  <c r="IT25" i="34"/>
  <c r="HF25" i="34"/>
  <c r="GS25" i="34"/>
  <c r="GR25" i="34"/>
  <c r="GQ25" i="34"/>
  <c r="GP25" i="34"/>
  <c r="GO25" i="34"/>
  <c r="JB24" i="34"/>
  <c r="IX24" i="34"/>
  <c r="IT24" i="34"/>
  <c r="HF24" i="34"/>
  <c r="GS24" i="34"/>
  <c r="GR24" i="34"/>
  <c r="GQ24" i="34"/>
  <c r="GP24" i="34"/>
  <c r="GO24" i="34"/>
  <c r="JB23" i="34"/>
  <c r="IX23" i="34"/>
  <c r="IT23" i="34"/>
  <c r="HF23" i="34"/>
  <c r="GS23" i="34"/>
  <c r="GR23" i="34"/>
  <c r="GQ23" i="34"/>
  <c r="GO23" i="34"/>
  <c r="GP23" i="34"/>
  <c r="JB22" i="34"/>
  <c r="IX22" i="34"/>
  <c r="IT22" i="34"/>
  <c r="HF22" i="34"/>
  <c r="GS22" i="34"/>
  <c r="GR22" i="34"/>
  <c r="GQ22" i="34"/>
  <c r="GP22" i="34"/>
  <c r="GO22" i="34"/>
  <c r="JB21" i="34"/>
  <c r="IX21" i="34"/>
  <c r="IT21" i="34"/>
  <c r="HF21" i="34"/>
  <c r="GS21" i="34"/>
  <c r="GR21" i="34"/>
  <c r="GQ21" i="34"/>
  <c r="GP21" i="34"/>
  <c r="GO21" i="34"/>
  <c r="JB20" i="34"/>
  <c r="IX20" i="34"/>
  <c r="IT20" i="34"/>
  <c r="HF20" i="34"/>
  <c r="GS20" i="34"/>
  <c r="GR20" i="34"/>
  <c r="GQ20" i="34"/>
  <c r="GP20" i="34"/>
  <c r="GO20" i="34"/>
  <c r="JB19" i="34"/>
  <c r="IX19" i="34"/>
  <c r="HF19" i="34"/>
  <c r="GO19" i="34"/>
  <c r="GP19" i="34"/>
  <c r="GQ19" i="34"/>
  <c r="GR19" i="34"/>
  <c r="IT19" i="34"/>
  <c r="GS19" i="34"/>
  <c r="JB18" i="34"/>
  <c r="IX18" i="34"/>
  <c r="IT18" i="34"/>
  <c r="HF18" i="34"/>
  <c r="GS18" i="34"/>
  <c r="GR18" i="34"/>
  <c r="GQ18" i="34"/>
  <c r="GP18" i="34"/>
  <c r="GO18" i="34"/>
  <c r="JB17" i="34"/>
  <c r="IX17" i="34"/>
  <c r="IT17" i="34"/>
  <c r="HF17" i="34"/>
  <c r="GS17" i="34"/>
  <c r="GR17" i="34"/>
  <c r="GQ17" i="34"/>
  <c r="GP17" i="34"/>
  <c r="GO17" i="34"/>
  <c r="JB16" i="34"/>
  <c r="IX16" i="34"/>
  <c r="IT16" i="34"/>
  <c r="HF16" i="34"/>
  <c r="GS16" i="34"/>
  <c r="GR16" i="34"/>
  <c r="GQ16" i="34"/>
  <c r="GP16" i="34"/>
  <c r="GO16" i="34"/>
  <c r="JB15" i="34"/>
  <c r="IX15" i="34"/>
  <c r="IT15" i="34"/>
  <c r="HF15" i="34"/>
  <c r="GS15" i="34"/>
  <c r="GR15" i="34"/>
  <c r="GQ15" i="34"/>
  <c r="GP15" i="34"/>
  <c r="GO15" i="34"/>
  <c r="JB14" i="34"/>
  <c r="IX14" i="34"/>
  <c r="IT14" i="34"/>
  <c r="HF14" i="34"/>
  <c r="GS14" i="34"/>
  <c r="GR14" i="34"/>
  <c r="GQ14" i="34"/>
  <c r="GP14" i="34"/>
  <c r="GO14" i="34"/>
  <c r="JB13" i="34"/>
  <c r="IX13" i="34"/>
  <c r="IT13" i="34"/>
  <c r="HF13" i="34"/>
  <c r="GS13" i="34"/>
  <c r="GR13" i="34"/>
  <c r="GO13" i="34"/>
  <c r="GP13" i="34"/>
  <c r="GQ13" i="34"/>
  <c r="JB12" i="34"/>
  <c r="IX12" i="34"/>
  <c r="IT12" i="34"/>
  <c r="HF12" i="34"/>
  <c r="GS12" i="34"/>
  <c r="GR12" i="34"/>
  <c r="GQ12" i="34"/>
  <c r="GP12" i="34"/>
  <c r="GO12" i="34"/>
  <c r="JB11" i="34"/>
  <c r="IX11" i="34"/>
  <c r="HQ11" i="34"/>
  <c r="HR11" i="34"/>
  <c r="IT11" i="34"/>
  <c r="HF11" i="34"/>
  <c r="GS11" i="34"/>
  <c r="GR11" i="34"/>
  <c r="GQ11" i="34"/>
  <c r="GP11" i="34"/>
  <c r="GO11" i="34"/>
  <c r="JB10" i="34"/>
  <c r="IX10" i="34"/>
  <c r="HQ10" i="34"/>
  <c r="IT10" i="34"/>
  <c r="HF10" i="34"/>
  <c r="GS10" i="34"/>
  <c r="GR10" i="34"/>
  <c r="GQ10" i="34"/>
  <c r="GP10" i="34"/>
  <c r="GO10" i="34"/>
  <c r="JB9" i="34"/>
  <c r="IX9" i="34"/>
  <c r="HQ9" i="34"/>
  <c r="IT9" i="34"/>
  <c r="HF9" i="34"/>
  <c r="GS9" i="34"/>
  <c r="GR9" i="34"/>
  <c r="GQ9" i="34"/>
  <c r="GP9" i="34"/>
  <c r="GO9" i="34"/>
  <c r="JB59" i="35"/>
  <c r="IX59" i="35"/>
  <c r="IT59" i="35"/>
  <c r="HF59" i="35"/>
  <c r="GS59" i="35"/>
  <c r="GR59" i="35"/>
  <c r="GQ59" i="35"/>
  <c r="GP59" i="35"/>
  <c r="GO59" i="35"/>
  <c r="JB58" i="35"/>
  <c r="IX58" i="35"/>
  <c r="IT58" i="35"/>
  <c r="HF58" i="35"/>
  <c r="GS58" i="35"/>
  <c r="GR58" i="35"/>
  <c r="GQ58" i="35"/>
  <c r="GP58" i="35"/>
  <c r="GO58" i="35"/>
  <c r="JB57" i="35"/>
  <c r="IX57" i="35"/>
  <c r="IT57" i="35"/>
  <c r="HF57" i="35"/>
  <c r="GS57" i="35"/>
  <c r="GR57" i="35"/>
  <c r="GQ57" i="35"/>
  <c r="GP57" i="35"/>
  <c r="GO57" i="35"/>
  <c r="JB55" i="35"/>
  <c r="IX55" i="35"/>
  <c r="IT55" i="35"/>
  <c r="HF55" i="35"/>
  <c r="GS55" i="35"/>
  <c r="GR55" i="35"/>
  <c r="GQ55" i="35"/>
  <c r="GP55" i="35"/>
  <c r="GO55" i="35"/>
  <c r="JB54" i="35"/>
  <c r="IX54" i="35"/>
  <c r="IT54" i="35"/>
  <c r="HF54" i="35"/>
  <c r="GS54" i="35"/>
  <c r="GR54" i="35"/>
  <c r="GQ54" i="35"/>
  <c r="GP54" i="35"/>
  <c r="GO54" i="35"/>
  <c r="JB53" i="35"/>
  <c r="IX53" i="35"/>
  <c r="IT53" i="35"/>
  <c r="HF53" i="35"/>
  <c r="GS53" i="35"/>
  <c r="GR53" i="35"/>
  <c r="GQ53" i="35"/>
  <c r="GP53" i="35"/>
  <c r="GO53" i="35"/>
  <c r="JB52" i="35"/>
  <c r="IX52" i="35"/>
  <c r="IT52" i="35"/>
  <c r="HF52" i="35"/>
  <c r="GS52" i="35"/>
  <c r="GR52" i="35"/>
  <c r="GQ52" i="35"/>
  <c r="GP52" i="35"/>
  <c r="GO52" i="35"/>
  <c r="JB50" i="35"/>
  <c r="IX50" i="35"/>
  <c r="IT50" i="35"/>
  <c r="HF50" i="35"/>
  <c r="GS50" i="35"/>
  <c r="GR50" i="35"/>
  <c r="GQ50" i="35"/>
  <c r="GP50" i="35"/>
  <c r="GO50" i="35"/>
  <c r="JB49" i="35"/>
  <c r="IX49" i="35"/>
  <c r="IT49" i="35"/>
  <c r="HF49" i="35"/>
  <c r="GS49" i="35"/>
  <c r="GR49" i="35"/>
  <c r="GQ49" i="35"/>
  <c r="GP49" i="35"/>
  <c r="GO49" i="35"/>
  <c r="JB48" i="35"/>
  <c r="IX48" i="35"/>
  <c r="IT48" i="35"/>
  <c r="HF48" i="35"/>
  <c r="GS48" i="35"/>
  <c r="GR48" i="35"/>
  <c r="GQ48" i="35"/>
  <c r="GP48" i="35"/>
  <c r="GO48" i="35"/>
  <c r="JB47" i="35"/>
  <c r="IX47" i="35"/>
  <c r="IT47" i="35"/>
  <c r="HF47" i="35"/>
  <c r="GS47" i="35"/>
  <c r="GR47" i="35"/>
  <c r="GQ47" i="35"/>
  <c r="GP47" i="35"/>
  <c r="GO47" i="35"/>
  <c r="JB46" i="35"/>
  <c r="IX46" i="35"/>
  <c r="IT46" i="35"/>
  <c r="HF46" i="35"/>
  <c r="GS46" i="35"/>
  <c r="GR46" i="35"/>
  <c r="GQ46" i="35"/>
  <c r="GP46" i="35"/>
  <c r="GO46" i="35"/>
  <c r="JB45" i="35"/>
  <c r="IX45" i="35"/>
  <c r="IT45" i="35"/>
  <c r="HF45" i="35"/>
  <c r="GS45" i="35"/>
  <c r="GR45" i="35"/>
  <c r="GQ45" i="35"/>
  <c r="GP45" i="35"/>
  <c r="GO45" i="35"/>
  <c r="JB44" i="35"/>
  <c r="IX44" i="35"/>
  <c r="IT44" i="35"/>
  <c r="HF44" i="35"/>
  <c r="GS44" i="35"/>
  <c r="GR44" i="35"/>
  <c r="GQ44" i="35"/>
  <c r="GP44" i="35"/>
  <c r="GO44" i="35"/>
  <c r="JB43" i="35"/>
  <c r="IX43" i="35"/>
  <c r="IT43" i="35"/>
  <c r="HF43" i="35"/>
  <c r="GS43" i="35"/>
  <c r="GR43" i="35"/>
  <c r="GQ43" i="35"/>
  <c r="GP43" i="35"/>
  <c r="GO43" i="35"/>
  <c r="JB42" i="35"/>
  <c r="IX42" i="35"/>
  <c r="IT42" i="35"/>
  <c r="HF42" i="35"/>
  <c r="GS42" i="35"/>
  <c r="GR42" i="35"/>
  <c r="GQ42" i="35"/>
  <c r="GP42" i="35"/>
  <c r="GO42" i="35"/>
  <c r="JB40" i="35"/>
  <c r="IX40" i="35"/>
  <c r="IT40" i="35"/>
  <c r="HF40" i="35"/>
  <c r="GS40" i="35"/>
  <c r="GR40" i="35"/>
  <c r="GQ40" i="35"/>
  <c r="GP40" i="35"/>
  <c r="GO40" i="35"/>
  <c r="JB39" i="35"/>
  <c r="IX39" i="35"/>
  <c r="IT39" i="35"/>
  <c r="HF39" i="35"/>
  <c r="GS39" i="35"/>
  <c r="GR39" i="35"/>
  <c r="GQ39" i="35"/>
  <c r="GP39" i="35"/>
  <c r="GO39" i="35"/>
  <c r="JB38" i="35"/>
  <c r="IX38" i="35"/>
  <c r="IT38" i="35"/>
  <c r="HF38" i="35"/>
  <c r="GS38" i="35"/>
  <c r="GR38" i="35"/>
  <c r="GQ38" i="35"/>
  <c r="GP38" i="35"/>
  <c r="GO38" i="35"/>
  <c r="JB37" i="35"/>
  <c r="IX37" i="35"/>
  <c r="IT37" i="35"/>
  <c r="HF37" i="35"/>
  <c r="GS37" i="35"/>
  <c r="GR37" i="35"/>
  <c r="GQ37" i="35"/>
  <c r="GP37" i="35"/>
  <c r="GO37" i="35"/>
  <c r="JB36" i="35"/>
  <c r="IX36" i="35"/>
  <c r="IT36" i="35"/>
  <c r="HF36" i="35"/>
  <c r="GS36" i="35"/>
  <c r="GR36" i="35"/>
  <c r="GQ36" i="35"/>
  <c r="GP36" i="35"/>
  <c r="GO36" i="35"/>
  <c r="JB35" i="35"/>
  <c r="IX35" i="35"/>
  <c r="IT35" i="35"/>
  <c r="HF35" i="35"/>
  <c r="GS35" i="35"/>
  <c r="GR35" i="35"/>
  <c r="GQ35" i="35"/>
  <c r="GP35" i="35"/>
  <c r="GO35" i="35"/>
  <c r="JB34" i="35"/>
  <c r="IX34" i="35"/>
  <c r="IT34" i="35"/>
  <c r="HF34" i="35"/>
  <c r="GS34" i="35"/>
  <c r="GR34" i="35"/>
  <c r="GQ34" i="35"/>
  <c r="GP34" i="35"/>
  <c r="GO34" i="35"/>
  <c r="JB33" i="35"/>
  <c r="IX33" i="35"/>
  <c r="IT33" i="35"/>
  <c r="HF33" i="35"/>
  <c r="GS33" i="35"/>
  <c r="GR33" i="35"/>
  <c r="GQ33" i="35"/>
  <c r="GP33" i="35"/>
  <c r="GO33" i="35"/>
  <c r="JB32" i="35"/>
  <c r="IX32" i="35"/>
  <c r="IT32" i="35"/>
  <c r="HF32" i="35"/>
  <c r="GS32" i="35"/>
  <c r="GR32" i="35"/>
  <c r="GQ32" i="35"/>
  <c r="GP32" i="35"/>
  <c r="GO32" i="35"/>
  <c r="JB31" i="35"/>
  <c r="IX31" i="35"/>
  <c r="IT31" i="35"/>
  <c r="HF31" i="35"/>
  <c r="GS31" i="35"/>
  <c r="GR31" i="35"/>
  <c r="GQ31" i="35"/>
  <c r="GP31" i="35"/>
  <c r="GO31" i="35"/>
  <c r="JB30" i="35"/>
  <c r="IX30" i="35"/>
  <c r="IT30" i="35"/>
  <c r="HF30" i="35"/>
  <c r="GS30" i="35"/>
  <c r="GR30" i="35"/>
  <c r="GQ30" i="35"/>
  <c r="GP30" i="35"/>
  <c r="GO30" i="35"/>
  <c r="JB29" i="35"/>
  <c r="IX29" i="35"/>
  <c r="IT29" i="35"/>
  <c r="HF29" i="35"/>
  <c r="GS29" i="35"/>
  <c r="GR29" i="35"/>
  <c r="GQ29" i="35"/>
  <c r="GP29" i="35"/>
  <c r="GO29" i="35"/>
  <c r="JB28" i="35"/>
  <c r="IX28" i="35"/>
  <c r="IT28" i="35"/>
  <c r="HF28" i="35"/>
  <c r="GS28" i="35"/>
  <c r="GR28" i="35"/>
  <c r="GQ28" i="35"/>
  <c r="GP28" i="35"/>
  <c r="GO28" i="35"/>
  <c r="JB27" i="35"/>
  <c r="IX27" i="35"/>
  <c r="IT27" i="35"/>
  <c r="HF27" i="35"/>
  <c r="GS27" i="35"/>
  <c r="GO27" i="35"/>
  <c r="GP27" i="35"/>
  <c r="GQ27" i="35"/>
  <c r="GR27" i="35"/>
  <c r="JB26" i="35"/>
  <c r="HW26" i="35"/>
  <c r="IX26" i="35"/>
  <c r="IT26" i="35"/>
  <c r="HF26" i="35"/>
  <c r="GS26" i="35"/>
  <c r="GR26" i="35"/>
  <c r="GQ26" i="35"/>
  <c r="GP26" i="35"/>
  <c r="GO26" i="35"/>
  <c r="JB25" i="35"/>
  <c r="IX25" i="35"/>
  <c r="IT25" i="35"/>
  <c r="HF25" i="35"/>
  <c r="GS25" i="35"/>
  <c r="GR25" i="35"/>
  <c r="GQ25" i="35"/>
  <c r="GP25" i="35"/>
  <c r="GO25" i="35"/>
  <c r="JB24" i="35"/>
  <c r="IX24" i="35"/>
  <c r="HQ24" i="35"/>
  <c r="IT24" i="35"/>
  <c r="HF24" i="35"/>
  <c r="GS24" i="35"/>
  <c r="GR24" i="35"/>
  <c r="GQ24" i="35"/>
  <c r="GP24" i="35"/>
  <c r="GO24" i="35"/>
  <c r="JB23" i="35"/>
  <c r="IX23" i="35"/>
  <c r="HQ23" i="35"/>
  <c r="IT23" i="35"/>
  <c r="HF23" i="35"/>
  <c r="GS23" i="35"/>
  <c r="GR23" i="35"/>
  <c r="GQ23" i="35"/>
  <c r="GP23" i="35"/>
  <c r="GO23" i="35"/>
  <c r="JB22" i="35"/>
  <c r="IX22" i="35"/>
  <c r="HQ22" i="35"/>
  <c r="HP22" i="35"/>
  <c r="IT22" i="35"/>
  <c r="HF22" i="35"/>
  <c r="GS22" i="35"/>
  <c r="GR22" i="35"/>
  <c r="GQ22" i="35"/>
  <c r="GP22" i="35"/>
  <c r="GO22" i="35"/>
  <c r="JB21" i="35"/>
  <c r="IX21" i="35"/>
  <c r="HQ21" i="35"/>
  <c r="HR21" i="35"/>
  <c r="IT21" i="35"/>
  <c r="HF21" i="35"/>
  <c r="GS21" i="35"/>
  <c r="GR21" i="35"/>
  <c r="GQ21" i="35"/>
  <c r="GO21" i="35"/>
  <c r="GP21" i="35"/>
  <c r="JB20" i="35"/>
  <c r="IX20" i="35"/>
  <c r="IT20" i="35"/>
  <c r="HF20" i="35"/>
  <c r="GS20" i="35"/>
  <c r="GR20" i="35"/>
  <c r="GQ20" i="35"/>
  <c r="GP20" i="35"/>
  <c r="GO20" i="35"/>
  <c r="JB19" i="35"/>
  <c r="IX19" i="35"/>
  <c r="IT19" i="35"/>
  <c r="HF19" i="35"/>
  <c r="GS19" i="35"/>
  <c r="GR19" i="35"/>
  <c r="GQ19" i="35"/>
  <c r="GP19" i="35"/>
  <c r="GO19" i="35"/>
  <c r="JB18" i="35"/>
  <c r="IX18" i="35"/>
  <c r="IT18" i="35"/>
  <c r="HF18" i="35"/>
  <c r="GS18" i="35"/>
  <c r="GR18" i="35"/>
  <c r="GQ18" i="35"/>
  <c r="GP18" i="35"/>
  <c r="GO18" i="35"/>
  <c r="JB17" i="35"/>
  <c r="IX17" i="35"/>
  <c r="IT17" i="35"/>
  <c r="HF17" i="35"/>
  <c r="GS17" i="35"/>
  <c r="GR17" i="35"/>
  <c r="GQ17" i="35"/>
  <c r="GP17" i="35"/>
  <c r="GO17" i="35"/>
  <c r="JB16" i="35"/>
  <c r="IX16" i="35"/>
  <c r="IT16" i="35"/>
  <c r="HF16" i="35"/>
  <c r="GS16" i="35"/>
  <c r="GR16" i="35"/>
  <c r="GQ16" i="35"/>
  <c r="GP16" i="35"/>
  <c r="GO16" i="35"/>
  <c r="JB15" i="35"/>
  <c r="IX15" i="35"/>
  <c r="IT15" i="35"/>
  <c r="HF15" i="35"/>
  <c r="GS15" i="35"/>
  <c r="GR15" i="35"/>
  <c r="GQ15" i="35"/>
  <c r="GP15" i="35"/>
  <c r="GO15" i="35"/>
  <c r="JB14" i="35"/>
  <c r="IX14" i="35"/>
  <c r="IT14" i="35"/>
  <c r="HF14" i="35"/>
  <c r="GS14" i="35"/>
  <c r="GR14" i="35"/>
  <c r="GQ14" i="35"/>
  <c r="GP14" i="35"/>
  <c r="GO14" i="35"/>
  <c r="JB13" i="35"/>
  <c r="IX13" i="35"/>
  <c r="IT13" i="35"/>
  <c r="HF13" i="35"/>
  <c r="GS13" i="35"/>
  <c r="GR13" i="35"/>
  <c r="GQ13" i="35"/>
  <c r="GP13" i="35"/>
  <c r="GO13" i="35"/>
  <c r="JB12" i="35"/>
  <c r="IX12" i="35"/>
  <c r="IT12" i="35"/>
  <c r="HF12" i="35"/>
  <c r="GS12" i="35"/>
  <c r="GR12" i="35"/>
  <c r="GQ12" i="35"/>
  <c r="GP12" i="35"/>
  <c r="GO12" i="35"/>
  <c r="JB11" i="35"/>
  <c r="IX11" i="35"/>
  <c r="IT11" i="35"/>
  <c r="HF11" i="35"/>
  <c r="GS11" i="35"/>
  <c r="GR11" i="35"/>
  <c r="GQ11" i="35"/>
  <c r="GP11" i="35"/>
  <c r="GO11" i="35"/>
  <c r="JB10" i="35"/>
  <c r="IX10" i="35"/>
  <c r="IT10" i="35"/>
  <c r="HF10" i="35"/>
  <c r="GS10" i="35"/>
  <c r="GR10" i="35"/>
  <c r="GQ10" i="35"/>
  <c r="GP10" i="35"/>
  <c r="GO10" i="35"/>
  <c r="JB9" i="35"/>
  <c r="HW9" i="35"/>
  <c r="IX9" i="35"/>
  <c r="IT9" i="35"/>
  <c r="HF9" i="35"/>
  <c r="GS9" i="35"/>
  <c r="GR9" i="35"/>
  <c r="GQ9" i="35"/>
  <c r="GP9" i="35"/>
  <c r="GO9" i="35"/>
  <c r="JB42" i="21"/>
  <c r="IX42" i="21"/>
  <c r="HQ42" i="21"/>
  <c r="IT42" i="21"/>
  <c r="HF42" i="21"/>
  <c r="GS42" i="21"/>
  <c r="GR42" i="21"/>
  <c r="GQ42" i="21"/>
  <c r="GP42" i="21"/>
  <c r="GO42" i="21"/>
  <c r="JB41" i="21"/>
  <c r="IX41" i="21"/>
  <c r="HQ41" i="21"/>
  <c r="HR41" i="21"/>
  <c r="IT41" i="21"/>
  <c r="HF41" i="21"/>
  <c r="GS41" i="21"/>
  <c r="GR41" i="21"/>
  <c r="GQ41" i="21"/>
  <c r="GP41" i="21"/>
  <c r="GO41" i="21"/>
  <c r="JB40" i="21"/>
  <c r="IX40" i="21"/>
  <c r="IT40" i="21"/>
  <c r="HF40" i="21"/>
  <c r="GS40" i="21"/>
  <c r="GR40" i="21"/>
  <c r="GQ40" i="21"/>
  <c r="GP40" i="21"/>
  <c r="GP9" i="21"/>
  <c r="GP10" i="21"/>
  <c r="GP11" i="21"/>
  <c r="GP12" i="21"/>
  <c r="GP13" i="21"/>
  <c r="GP14" i="21"/>
  <c r="GP15" i="21"/>
  <c r="GP16" i="21"/>
  <c r="GP17" i="21"/>
  <c r="GP18" i="21"/>
  <c r="GP19" i="21"/>
  <c r="GP20" i="21"/>
  <c r="GP21" i="21"/>
  <c r="GP22" i="21"/>
  <c r="GP23" i="21"/>
  <c r="GP24" i="21"/>
  <c r="GP25" i="21"/>
  <c r="GP26" i="21"/>
  <c r="GP27" i="21"/>
  <c r="GP28" i="21"/>
  <c r="GP29" i="21"/>
  <c r="GP30" i="21"/>
  <c r="GP31" i="21"/>
  <c r="GP32" i="21"/>
  <c r="GP33" i="21"/>
  <c r="GP34" i="21"/>
  <c r="GP35" i="21"/>
  <c r="GP36" i="21"/>
  <c r="GP37" i="21"/>
  <c r="GP38" i="21"/>
  <c r="GP39" i="21"/>
  <c r="GO40" i="21"/>
  <c r="JB39" i="21"/>
  <c r="IX39" i="21"/>
  <c r="IT39" i="21"/>
  <c r="HF39" i="21"/>
  <c r="GS39" i="21"/>
  <c r="GR39" i="21"/>
  <c r="GQ39" i="21"/>
  <c r="GO39" i="21"/>
  <c r="JB38" i="21"/>
  <c r="IX38" i="21"/>
  <c r="IT38" i="21"/>
  <c r="HF38" i="21"/>
  <c r="GS38" i="21"/>
  <c r="GR38" i="21"/>
  <c r="GQ38" i="21"/>
  <c r="GO38" i="21"/>
  <c r="JB37" i="21"/>
  <c r="IX37" i="21"/>
  <c r="IT37" i="21"/>
  <c r="HF37" i="21"/>
  <c r="GS37" i="21"/>
  <c r="GR37" i="21"/>
  <c r="GQ37" i="21"/>
  <c r="GO37" i="21"/>
  <c r="JB36" i="21"/>
  <c r="IX36" i="21"/>
  <c r="IT36" i="21"/>
  <c r="HF36" i="21"/>
  <c r="GS36" i="21"/>
  <c r="GR36" i="21"/>
  <c r="GQ36" i="21"/>
  <c r="GO36" i="21"/>
  <c r="JB35" i="21"/>
  <c r="IX35" i="21"/>
  <c r="IT35" i="21"/>
  <c r="HF35" i="21"/>
  <c r="GS35" i="21"/>
  <c r="GR35" i="21"/>
  <c r="GQ35" i="21"/>
  <c r="GO35" i="21"/>
  <c r="JB34" i="21"/>
  <c r="IX34" i="21"/>
  <c r="IT34" i="21"/>
  <c r="HF34" i="21"/>
  <c r="GS34" i="21"/>
  <c r="GR34" i="21"/>
  <c r="GQ34" i="21"/>
  <c r="GO34" i="21"/>
  <c r="JB33" i="21"/>
  <c r="IX33" i="21"/>
  <c r="IT33" i="21"/>
  <c r="HF33" i="21"/>
  <c r="GS33" i="21"/>
  <c r="GR33" i="21"/>
  <c r="GQ33" i="21"/>
  <c r="GO33" i="21"/>
  <c r="JB32" i="21"/>
  <c r="IX32" i="21"/>
  <c r="IT32" i="21"/>
  <c r="HF32" i="21"/>
  <c r="GS32" i="21"/>
  <c r="GR32" i="21"/>
  <c r="GQ32" i="21"/>
  <c r="GO32" i="21"/>
  <c r="JB31" i="21"/>
  <c r="IX31" i="21"/>
  <c r="IT31" i="21"/>
  <c r="HF31" i="21"/>
  <c r="GS31" i="21"/>
  <c r="GR31" i="21"/>
  <c r="GQ31" i="21"/>
  <c r="GO31" i="21"/>
  <c r="JB30" i="21"/>
  <c r="IX30" i="21"/>
  <c r="IT30" i="21"/>
  <c r="HF30" i="21"/>
  <c r="GS30" i="21"/>
  <c r="GR30" i="21"/>
  <c r="GQ30" i="21"/>
  <c r="GO30" i="21"/>
  <c r="JB29" i="21"/>
  <c r="IX29" i="21"/>
  <c r="IT29" i="21"/>
  <c r="HF29" i="21"/>
  <c r="GS29" i="21"/>
  <c r="GR29" i="21"/>
  <c r="GQ29" i="21"/>
  <c r="GO29" i="21"/>
  <c r="JB28" i="21"/>
  <c r="IX28" i="21"/>
  <c r="IT28" i="21"/>
  <c r="HF28" i="21"/>
  <c r="GS28" i="21"/>
  <c r="GR28" i="21"/>
  <c r="GQ28" i="21"/>
  <c r="GO28" i="21"/>
  <c r="JB27" i="21"/>
  <c r="IX27" i="21"/>
  <c r="IT27" i="21"/>
  <c r="HF27" i="21"/>
  <c r="GS27" i="21"/>
  <c r="GR27" i="21"/>
  <c r="GQ27" i="21"/>
  <c r="GO27" i="21"/>
  <c r="JB26" i="21"/>
  <c r="HW26" i="21"/>
  <c r="HV26" i="21"/>
  <c r="IX26" i="21"/>
  <c r="IT26" i="21"/>
  <c r="HF26" i="21"/>
  <c r="GS26" i="21"/>
  <c r="GR26" i="21"/>
  <c r="GQ26" i="21"/>
  <c r="GO26" i="21"/>
  <c r="JB25" i="21"/>
  <c r="IX25" i="21"/>
  <c r="IT25" i="21"/>
  <c r="HF25" i="21"/>
  <c r="GS25" i="21"/>
  <c r="GR25" i="21"/>
  <c r="GQ25" i="21"/>
  <c r="GO25" i="21"/>
  <c r="JB24" i="21"/>
  <c r="IX24" i="21"/>
  <c r="IT24" i="21"/>
  <c r="HF24" i="21"/>
  <c r="GS24" i="21"/>
  <c r="GR24" i="21"/>
  <c r="GQ24" i="21"/>
  <c r="GO24" i="21"/>
  <c r="JB23" i="21"/>
  <c r="IX23" i="21"/>
  <c r="IT23" i="21"/>
  <c r="HF23" i="21"/>
  <c r="GS23" i="21"/>
  <c r="GR23" i="21"/>
  <c r="GQ23" i="21"/>
  <c r="GO23" i="21"/>
  <c r="JB22" i="21"/>
  <c r="IX22" i="21"/>
  <c r="IT22" i="21"/>
  <c r="HF22" i="21"/>
  <c r="GS22" i="21"/>
  <c r="GR22" i="21"/>
  <c r="GQ22" i="21"/>
  <c r="GO22" i="21"/>
  <c r="JB21" i="21"/>
  <c r="IX21" i="21"/>
  <c r="IT21" i="21"/>
  <c r="HF21" i="21"/>
  <c r="GS21" i="21"/>
  <c r="GR21" i="21"/>
  <c r="GQ21" i="21"/>
  <c r="GO21" i="21"/>
  <c r="JB20" i="21"/>
  <c r="IX20" i="21"/>
  <c r="IT20" i="21"/>
  <c r="HF20" i="21"/>
  <c r="GS20" i="21"/>
  <c r="GR20" i="21"/>
  <c r="GQ20" i="21"/>
  <c r="GO20" i="21"/>
  <c r="JB19" i="21"/>
  <c r="IX19" i="21"/>
  <c r="IT19" i="21"/>
  <c r="HF19" i="21"/>
  <c r="GS19" i="21"/>
  <c r="GR19" i="21"/>
  <c r="GQ19" i="21"/>
  <c r="GO19" i="21"/>
  <c r="JB18" i="21"/>
  <c r="IX18" i="21"/>
  <c r="IT18" i="21"/>
  <c r="HF18" i="21"/>
  <c r="GS18" i="21"/>
  <c r="GR18" i="21"/>
  <c r="GQ18" i="21"/>
  <c r="GO18" i="21"/>
  <c r="JB17" i="21"/>
  <c r="IX17" i="21"/>
  <c r="IT17" i="21"/>
  <c r="HF17" i="21"/>
  <c r="GS17" i="21"/>
  <c r="GR17" i="21"/>
  <c r="GQ17" i="21"/>
  <c r="GO17" i="21"/>
  <c r="JB16" i="21"/>
  <c r="IX16" i="21"/>
  <c r="IT16" i="21"/>
  <c r="HF16" i="21"/>
  <c r="GS16" i="21"/>
  <c r="GR16" i="21"/>
  <c r="GQ16" i="21"/>
  <c r="GO16" i="21"/>
  <c r="JB15" i="21"/>
  <c r="IX15" i="21"/>
  <c r="IT15" i="21"/>
  <c r="HF15" i="21"/>
  <c r="GS15" i="21"/>
  <c r="GR15" i="21"/>
  <c r="GQ15" i="21"/>
  <c r="GO15" i="21"/>
  <c r="JB14" i="21"/>
  <c r="IX14" i="21"/>
  <c r="IT14" i="21"/>
  <c r="HF14" i="21"/>
  <c r="GS14" i="21"/>
  <c r="GR14" i="21"/>
  <c r="GQ14" i="21"/>
  <c r="GO14" i="21"/>
  <c r="JB13" i="21"/>
  <c r="IX13" i="21"/>
  <c r="IT13" i="21"/>
  <c r="HF13" i="21"/>
  <c r="GS13" i="21"/>
  <c r="GR13" i="21"/>
  <c r="GQ13" i="21"/>
  <c r="GO13" i="21"/>
  <c r="JB12" i="21"/>
  <c r="IX12" i="21"/>
  <c r="IT12" i="21"/>
  <c r="HF12" i="21"/>
  <c r="GS12" i="21"/>
  <c r="GR12" i="21"/>
  <c r="GQ12" i="21"/>
  <c r="GO12" i="21"/>
  <c r="JB11" i="21"/>
  <c r="IX11" i="21"/>
  <c r="IT11" i="21"/>
  <c r="HF11" i="21"/>
  <c r="GS11" i="21"/>
  <c r="GR11" i="21"/>
  <c r="GQ11" i="21"/>
  <c r="GO11" i="21"/>
  <c r="JB10" i="21"/>
  <c r="IX10" i="21"/>
  <c r="IT10" i="21"/>
  <c r="HF10" i="21"/>
  <c r="GS10" i="21"/>
  <c r="GR10" i="21"/>
  <c r="GQ10" i="21"/>
  <c r="GO10" i="21"/>
  <c r="JB9" i="21"/>
  <c r="IX9" i="21"/>
  <c r="IT9" i="21"/>
  <c r="HF9" i="21"/>
  <c r="GS9" i="21"/>
  <c r="GR9" i="21"/>
  <c r="GQ9" i="21"/>
  <c r="GO9" i="21"/>
  <c r="IW126" i="19"/>
  <c r="IS126" i="19"/>
  <c r="JB93" i="19"/>
  <c r="IX93" i="19"/>
  <c r="IT93" i="19"/>
  <c r="HF93" i="19"/>
  <c r="GS93" i="19"/>
  <c r="GR93" i="19"/>
  <c r="GQ93" i="19"/>
  <c r="GP93" i="19"/>
  <c r="GO93" i="19"/>
  <c r="JB92" i="19"/>
  <c r="IX92" i="19"/>
  <c r="IT92" i="19"/>
  <c r="HF92" i="19"/>
  <c r="GS92" i="19"/>
  <c r="GR92" i="19"/>
  <c r="GQ92" i="19"/>
  <c r="GP92" i="19"/>
  <c r="GO92" i="19"/>
  <c r="JB91" i="19"/>
  <c r="IX91" i="19"/>
  <c r="IT91" i="19"/>
  <c r="HF91" i="19"/>
  <c r="GS91" i="19"/>
  <c r="GR91" i="19"/>
  <c r="GQ91" i="19"/>
  <c r="GP91" i="19"/>
  <c r="GO91" i="19"/>
  <c r="JB90" i="19"/>
  <c r="IX90" i="19"/>
  <c r="IT90" i="19"/>
  <c r="HF90" i="19"/>
  <c r="GS90" i="19"/>
  <c r="GR90" i="19"/>
  <c r="GQ90" i="19"/>
  <c r="GP90" i="19"/>
  <c r="GO90" i="19"/>
  <c r="JB89" i="19"/>
  <c r="IX89" i="19"/>
  <c r="IT89" i="19"/>
  <c r="HF89" i="19"/>
  <c r="GS89" i="19"/>
  <c r="GR89" i="19"/>
  <c r="GQ89" i="19"/>
  <c r="GO89" i="19"/>
  <c r="GP89" i="19"/>
  <c r="JB88" i="19"/>
  <c r="IX88" i="19"/>
  <c r="IT88" i="19"/>
  <c r="HF88" i="19"/>
  <c r="GS88" i="19"/>
  <c r="GR88" i="19"/>
  <c r="GQ88" i="19"/>
  <c r="GP88" i="19"/>
  <c r="GO88" i="19"/>
  <c r="JB87" i="19"/>
  <c r="IX87" i="19"/>
  <c r="IT87" i="19"/>
  <c r="HF87" i="19"/>
  <c r="GS87" i="19"/>
  <c r="GR87" i="19"/>
  <c r="GQ87" i="19"/>
  <c r="GP87" i="19"/>
  <c r="GO87" i="19"/>
  <c r="JB86" i="19"/>
  <c r="IX86" i="19"/>
  <c r="IT86" i="19"/>
  <c r="HF86" i="19"/>
  <c r="GS86" i="19"/>
  <c r="GR86" i="19"/>
  <c r="GQ86" i="19"/>
  <c r="GP86" i="19"/>
  <c r="GO86" i="19"/>
  <c r="JB85" i="19"/>
  <c r="IX85" i="19"/>
  <c r="IT85" i="19"/>
  <c r="HF85" i="19"/>
  <c r="GS85" i="19"/>
  <c r="GR85" i="19"/>
  <c r="GQ85" i="19"/>
  <c r="GP85" i="19"/>
  <c r="GO85" i="19"/>
  <c r="JB84" i="19"/>
  <c r="IX84" i="19"/>
  <c r="IT84" i="19"/>
  <c r="HF84" i="19"/>
  <c r="GS84" i="19"/>
  <c r="GR84" i="19"/>
  <c r="GQ84" i="19"/>
  <c r="GP84" i="19"/>
  <c r="GO84" i="19"/>
  <c r="JB83" i="19"/>
  <c r="IX83" i="19"/>
  <c r="IT83" i="19"/>
  <c r="HF83" i="19"/>
  <c r="GS83" i="19"/>
  <c r="GR83" i="19"/>
  <c r="GQ83" i="19"/>
  <c r="GP83" i="19"/>
  <c r="GO83" i="19"/>
  <c r="JB82" i="19"/>
  <c r="IX82" i="19"/>
  <c r="IT82" i="19"/>
  <c r="HF82" i="19"/>
  <c r="GS82" i="19"/>
  <c r="GR82" i="19"/>
  <c r="GQ82" i="19"/>
  <c r="GP82" i="19"/>
  <c r="GO82" i="19"/>
  <c r="JB81" i="19"/>
  <c r="IX81" i="19"/>
  <c r="IT81" i="19"/>
  <c r="HF81" i="19"/>
  <c r="GS81" i="19"/>
  <c r="GR81" i="19"/>
  <c r="GQ81" i="19"/>
  <c r="GP81" i="19"/>
  <c r="GO81" i="19"/>
  <c r="JB80" i="19"/>
  <c r="IX80" i="19"/>
  <c r="IT80" i="19"/>
  <c r="HF80" i="19"/>
  <c r="GS80" i="19"/>
  <c r="GR80" i="19"/>
  <c r="GQ80" i="19"/>
  <c r="GP80" i="19"/>
  <c r="GO80" i="19"/>
  <c r="JB79" i="19"/>
  <c r="IX79" i="19"/>
  <c r="IT79" i="19"/>
  <c r="HF79" i="19"/>
  <c r="GS79" i="19"/>
  <c r="GR79" i="19"/>
  <c r="GQ79" i="19"/>
  <c r="GP79" i="19"/>
  <c r="GO79" i="19"/>
  <c r="JB78" i="19"/>
  <c r="IX78" i="19"/>
  <c r="IT78" i="19"/>
  <c r="HF78" i="19"/>
  <c r="GS78" i="19"/>
  <c r="GR78" i="19"/>
  <c r="GQ78" i="19"/>
  <c r="GP78" i="19"/>
  <c r="GO78" i="19"/>
  <c r="JB77" i="19"/>
  <c r="IX77" i="19"/>
  <c r="IT77" i="19"/>
  <c r="HF77" i="19"/>
  <c r="GS77" i="19"/>
  <c r="GR77" i="19"/>
  <c r="GQ77" i="19"/>
  <c r="GP77" i="19"/>
  <c r="GO77" i="19"/>
  <c r="JB76" i="19"/>
  <c r="IX76" i="19"/>
  <c r="IT76" i="19"/>
  <c r="HF76" i="19"/>
  <c r="GS76" i="19"/>
  <c r="GR76" i="19"/>
  <c r="GQ76" i="19"/>
  <c r="GP76" i="19"/>
  <c r="GO76" i="19"/>
  <c r="JB75" i="19"/>
  <c r="IX75" i="19"/>
  <c r="IT75" i="19"/>
  <c r="HF75" i="19"/>
  <c r="GS75" i="19"/>
  <c r="GR75" i="19"/>
  <c r="GQ75" i="19"/>
  <c r="GP75" i="19"/>
  <c r="GO75" i="19"/>
  <c r="JB74" i="19"/>
  <c r="IX74" i="19"/>
  <c r="IT74" i="19"/>
  <c r="HF74" i="19"/>
  <c r="GS74" i="19"/>
  <c r="GR74" i="19"/>
  <c r="GQ74" i="19"/>
  <c r="GP74" i="19"/>
  <c r="GO74" i="19"/>
  <c r="JB73" i="19"/>
  <c r="IX73" i="19"/>
  <c r="IT73" i="19"/>
  <c r="HF73" i="19"/>
  <c r="GS73" i="19"/>
  <c r="GR73" i="19"/>
  <c r="GQ73" i="19"/>
  <c r="GP73" i="19"/>
  <c r="GO73" i="19"/>
  <c r="JB72" i="19"/>
  <c r="IX72" i="19"/>
  <c r="IT72" i="19"/>
  <c r="HF72" i="19"/>
  <c r="GS72" i="19"/>
  <c r="GR72" i="19"/>
  <c r="GQ72" i="19"/>
  <c r="GP72" i="19"/>
  <c r="GO72" i="19"/>
  <c r="JB71" i="19"/>
  <c r="IX71" i="19"/>
  <c r="IT71" i="19"/>
  <c r="HF71" i="19"/>
  <c r="GS71" i="19"/>
  <c r="GR71" i="19"/>
  <c r="GQ71" i="19"/>
  <c r="GP71" i="19"/>
  <c r="GO71" i="19"/>
  <c r="JB70" i="19"/>
  <c r="IX70" i="19"/>
  <c r="IT70" i="19"/>
  <c r="HF70" i="19"/>
  <c r="GS70" i="19"/>
  <c r="GR70" i="19"/>
  <c r="GQ70" i="19"/>
  <c r="GP70" i="19"/>
  <c r="GO70" i="19"/>
  <c r="JB69" i="19"/>
  <c r="IX69" i="19"/>
  <c r="IT69" i="19"/>
  <c r="HF69" i="19"/>
  <c r="GS69" i="19"/>
  <c r="GR69" i="19"/>
  <c r="GQ69" i="19"/>
  <c r="GP69" i="19"/>
  <c r="GO69" i="19"/>
  <c r="JB68" i="19"/>
  <c r="IX68" i="19"/>
  <c r="IT68" i="19"/>
  <c r="HF68" i="19"/>
  <c r="GS68" i="19"/>
  <c r="GR68" i="19"/>
  <c r="GQ68" i="19"/>
  <c r="GP68" i="19"/>
  <c r="GO68" i="19"/>
  <c r="JB67" i="19"/>
  <c r="IX67" i="19"/>
  <c r="IT67" i="19"/>
  <c r="HF67" i="19"/>
  <c r="GS67" i="19"/>
  <c r="GR67" i="19"/>
  <c r="GQ67" i="19"/>
  <c r="GP67" i="19"/>
  <c r="GO67" i="19"/>
  <c r="JB66" i="19"/>
  <c r="IX66" i="19"/>
  <c r="IT66" i="19"/>
  <c r="HF66" i="19"/>
  <c r="GS66" i="19"/>
  <c r="GR66" i="19"/>
  <c r="GQ66" i="19"/>
  <c r="GP66" i="19"/>
  <c r="GO66" i="19"/>
  <c r="JB65" i="19"/>
  <c r="IX65" i="19"/>
  <c r="IT65" i="19"/>
  <c r="HF65" i="19"/>
  <c r="GS65" i="19"/>
  <c r="GR65" i="19"/>
  <c r="GQ65" i="19"/>
  <c r="GP65" i="19"/>
  <c r="GO65" i="19"/>
  <c r="JB64" i="19"/>
  <c r="IX64" i="19"/>
  <c r="IT64" i="19"/>
  <c r="HF64" i="19"/>
  <c r="GS64" i="19"/>
  <c r="GR64" i="19"/>
  <c r="GQ64" i="19"/>
  <c r="GP64" i="19"/>
  <c r="GO64" i="19"/>
  <c r="JB63" i="19"/>
  <c r="IX63" i="19"/>
  <c r="IT63" i="19"/>
  <c r="HF63" i="19"/>
  <c r="GS63" i="19"/>
  <c r="GR63" i="19"/>
  <c r="GQ63" i="19"/>
  <c r="GP63" i="19"/>
  <c r="GO63" i="19"/>
  <c r="JB62" i="19"/>
  <c r="IX62" i="19"/>
  <c r="IT62" i="19"/>
  <c r="HF62" i="19"/>
  <c r="GS62" i="19"/>
  <c r="GR62" i="19"/>
  <c r="GQ62" i="19"/>
  <c r="GP62" i="19"/>
  <c r="GO62" i="19"/>
  <c r="JB61" i="19"/>
  <c r="IX61" i="19"/>
  <c r="HQ61" i="19"/>
  <c r="IT61" i="19"/>
  <c r="HF61" i="19"/>
  <c r="GS61" i="19"/>
  <c r="GR61" i="19"/>
  <c r="GQ61" i="19"/>
  <c r="GP61" i="19"/>
  <c r="GO61" i="19"/>
  <c r="JB60" i="19"/>
  <c r="IX60" i="19"/>
  <c r="IT60" i="19"/>
  <c r="HF60" i="19"/>
  <c r="GS60" i="19"/>
  <c r="GR60" i="19"/>
  <c r="GQ60" i="19"/>
  <c r="GP60" i="19"/>
  <c r="GO60" i="19"/>
  <c r="JB59" i="19"/>
  <c r="IX59" i="19"/>
  <c r="IT59" i="19"/>
  <c r="HF59" i="19"/>
  <c r="GS59" i="19"/>
  <c r="GR59" i="19"/>
  <c r="GQ59" i="19"/>
  <c r="GP59" i="19"/>
  <c r="GO59" i="19"/>
  <c r="JB58" i="19"/>
  <c r="IX58" i="19"/>
  <c r="IT58" i="19"/>
  <c r="HF58" i="19"/>
  <c r="GS58" i="19"/>
  <c r="GR58" i="19"/>
  <c r="GQ58" i="19"/>
  <c r="GP58" i="19"/>
  <c r="GO58" i="19"/>
  <c r="JB57" i="19"/>
  <c r="IX57" i="19"/>
  <c r="IT57" i="19"/>
  <c r="HF57" i="19"/>
  <c r="GS57" i="19"/>
  <c r="GR57" i="19"/>
  <c r="GQ57" i="19"/>
  <c r="GP57" i="19"/>
  <c r="GO57" i="19"/>
  <c r="JB56" i="19"/>
  <c r="IX56" i="19"/>
  <c r="IT56" i="19"/>
  <c r="HF56" i="19"/>
  <c r="GS56" i="19"/>
  <c r="GR56" i="19"/>
  <c r="GQ56" i="19"/>
  <c r="GP56" i="19"/>
  <c r="GO56" i="19"/>
  <c r="JB55" i="19"/>
  <c r="IX55" i="19"/>
  <c r="IT55" i="19"/>
  <c r="HF55" i="19"/>
  <c r="GS55" i="19"/>
  <c r="GR55" i="19"/>
  <c r="GQ55" i="19"/>
  <c r="GP55" i="19"/>
  <c r="GO55" i="19"/>
  <c r="JB54" i="19"/>
  <c r="IX54" i="19"/>
  <c r="IT54" i="19"/>
  <c r="HF54" i="19"/>
  <c r="GS54" i="19"/>
  <c r="GR54" i="19"/>
  <c r="GQ54" i="19"/>
  <c r="GP54" i="19"/>
  <c r="GO54" i="19"/>
  <c r="JB53" i="19"/>
  <c r="IX53" i="19"/>
  <c r="IT53" i="19"/>
  <c r="HF53" i="19"/>
  <c r="GS53" i="19"/>
  <c r="GR53" i="19"/>
  <c r="GQ53" i="19"/>
  <c r="GP53" i="19"/>
  <c r="GO53" i="19"/>
  <c r="JB52" i="19"/>
  <c r="IX52" i="19"/>
  <c r="IT52" i="19"/>
  <c r="HF52" i="19"/>
  <c r="GS52" i="19"/>
  <c r="GR52" i="19"/>
  <c r="GQ52" i="19"/>
  <c r="GP52" i="19"/>
  <c r="GO52" i="19"/>
  <c r="JB51" i="19"/>
  <c r="IX51" i="19"/>
  <c r="IT51" i="19"/>
  <c r="HF51" i="19"/>
  <c r="GS51" i="19"/>
  <c r="GR51" i="19"/>
  <c r="GQ51" i="19"/>
  <c r="GP51" i="19"/>
  <c r="GO51" i="19"/>
  <c r="JB50" i="19"/>
  <c r="IX50" i="19"/>
  <c r="IT50" i="19"/>
  <c r="HF50" i="19"/>
  <c r="GS50" i="19"/>
  <c r="GR50" i="19"/>
  <c r="GQ50" i="19"/>
  <c r="GP50" i="19"/>
  <c r="GO50" i="19"/>
  <c r="JB49" i="19"/>
  <c r="IX49" i="19"/>
  <c r="IT49" i="19"/>
  <c r="HF49" i="19"/>
  <c r="GS49" i="19"/>
  <c r="GR49" i="19"/>
  <c r="GQ49" i="19"/>
  <c r="GP49" i="19"/>
  <c r="GO49" i="19"/>
  <c r="JB48" i="19"/>
  <c r="IX48" i="19"/>
  <c r="IT48" i="19"/>
  <c r="HF48" i="19"/>
  <c r="GS48" i="19"/>
  <c r="GR48" i="19"/>
  <c r="GQ48" i="19"/>
  <c r="GP48" i="19"/>
  <c r="GO48" i="19"/>
  <c r="JB47" i="19"/>
  <c r="IX47" i="19"/>
  <c r="IT47" i="19"/>
  <c r="HF47" i="19"/>
  <c r="GS47" i="19"/>
  <c r="GR47" i="19"/>
  <c r="GQ47" i="19"/>
  <c r="GP47" i="19"/>
  <c r="GO47" i="19"/>
  <c r="JB46" i="19"/>
  <c r="IX46" i="19"/>
  <c r="IT46" i="19"/>
  <c r="HF46" i="19"/>
  <c r="GS46" i="19"/>
  <c r="GR46" i="19"/>
  <c r="GQ46" i="19"/>
  <c r="GP46" i="19"/>
  <c r="GO46" i="19"/>
  <c r="JB45" i="19"/>
  <c r="IX45" i="19"/>
  <c r="IT45" i="19"/>
  <c r="HF45" i="19"/>
  <c r="GS45" i="19"/>
  <c r="GR45" i="19"/>
  <c r="GQ45" i="19"/>
  <c r="GP45" i="19"/>
  <c r="GO45" i="19"/>
  <c r="JB44" i="19"/>
  <c r="IX44" i="19"/>
  <c r="IT44" i="19"/>
  <c r="HF44" i="19"/>
  <c r="GS44" i="19"/>
  <c r="GR44" i="19"/>
  <c r="GQ44" i="19"/>
  <c r="GP44" i="19"/>
  <c r="GO44" i="19"/>
  <c r="JB43" i="19"/>
  <c r="IX43" i="19"/>
  <c r="IT43" i="19"/>
  <c r="HF43" i="19"/>
  <c r="GS43" i="19"/>
  <c r="GR43" i="19"/>
  <c r="GQ43" i="19"/>
  <c r="GP43" i="19"/>
  <c r="GO43" i="19"/>
  <c r="JB41" i="19"/>
  <c r="IX41" i="19"/>
  <c r="IT41" i="19"/>
  <c r="HF41" i="19"/>
  <c r="GS41" i="19"/>
  <c r="GR41" i="19"/>
  <c r="GQ41" i="19"/>
  <c r="GP41" i="19"/>
  <c r="GO41" i="19"/>
  <c r="JB40" i="19"/>
  <c r="IX40" i="19"/>
  <c r="IT40" i="19"/>
  <c r="HF40" i="19"/>
  <c r="GS40" i="19"/>
  <c r="GR40" i="19"/>
  <c r="GQ40" i="19"/>
  <c r="GP40" i="19"/>
  <c r="GO40" i="19"/>
  <c r="JB39" i="19"/>
  <c r="IX39" i="19"/>
  <c r="IT39" i="19"/>
  <c r="HF39" i="19"/>
  <c r="GS39" i="19"/>
  <c r="GR39" i="19"/>
  <c r="GQ39" i="19"/>
  <c r="GP39" i="19"/>
  <c r="GO39" i="19"/>
  <c r="JB38" i="19"/>
  <c r="IX38" i="19"/>
  <c r="HQ38" i="19"/>
  <c r="IT38" i="19"/>
  <c r="HF38" i="19"/>
  <c r="GS38" i="19"/>
  <c r="GR38" i="19"/>
  <c r="GQ38" i="19"/>
  <c r="GP38" i="19"/>
  <c r="GO38" i="19"/>
  <c r="JB37" i="19"/>
  <c r="IX37" i="19"/>
  <c r="IT37" i="19"/>
  <c r="HF37" i="19"/>
  <c r="GS37" i="19"/>
  <c r="GR37" i="19"/>
  <c r="GQ37" i="19"/>
  <c r="GP37" i="19"/>
  <c r="GO37" i="19"/>
  <c r="JB36" i="19"/>
  <c r="IX36" i="19"/>
  <c r="IT36" i="19"/>
  <c r="HF36" i="19"/>
  <c r="GS36" i="19"/>
  <c r="GR36" i="19"/>
  <c r="GQ36" i="19"/>
  <c r="GP36" i="19"/>
  <c r="GO36" i="19"/>
  <c r="JB35" i="19"/>
  <c r="IX35" i="19"/>
  <c r="IT35" i="19"/>
  <c r="HF35" i="19"/>
  <c r="GS35" i="19"/>
  <c r="GR35" i="19"/>
  <c r="GQ35" i="19"/>
  <c r="GP35" i="19"/>
  <c r="GO35" i="19"/>
  <c r="JB34" i="19"/>
  <c r="IX34" i="19"/>
  <c r="IT34" i="19"/>
  <c r="HF34" i="19"/>
  <c r="GS34" i="19"/>
  <c r="GR34" i="19"/>
  <c r="GQ34" i="19"/>
  <c r="GP34" i="19"/>
  <c r="GO34" i="19"/>
  <c r="JB33" i="19"/>
  <c r="IX33" i="19"/>
  <c r="IT33" i="19"/>
  <c r="HF33" i="19"/>
  <c r="GS33" i="19"/>
  <c r="GR33" i="19"/>
  <c r="GQ33" i="19"/>
  <c r="GP33" i="19"/>
  <c r="GO33" i="19"/>
  <c r="JB32" i="19"/>
  <c r="IX32" i="19"/>
  <c r="IT32" i="19"/>
  <c r="HF32" i="19"/>
  <c r="GS32" i="19"/>
  <c r="GR32" i="19"/>
  <c r="GQ32" i="19"/>
  <c r="GP32" i="19"/>
  <c r="GO32" i="19"/>
  <c r="JB31" i="19"/>
  <c r="IX31" i="19"/>
  <c r="IT31" i="19"/>
  <c r="HF31" i="19"/>
  <c r="GS31" i="19"/>
  <c r="GR31" i="19"/>
  <c r="GQ31" i="19"/>
  <c r="GP31" i="19"/>
  <c r="GO31" i="19"/>
  <c r="JB30" i="19"/>
  <c r="IX30" i="19"/>
  <c r="IT30" i="19"/>
  <c r="HF30" i="19"/>
  <c r="GS30" i="19"/>
  <c r="GR30" i="19"/>
  <c r="GQ30" i="19"/>
  <c r="GP30" i="19"/>
  <c r="GO30" i="19"/>
  <c r="JB29" i="19"/>
  <c r="IX29" i="19"/>
  <c r="IT29" i="19"/>
  <c r="HF29" i="19"/>
  <c r="GS29" i="19"/>
  <c r="GR29" i="19"/>
  <c r="GQ29" i="19"/>
  <c r="GP29" i="19"/>
  <c r="GO29" i="19"/>
  <c r="JB28" i="19"/>
  <c r="IX28" i="19"/>
  <c r="IT28" i="19"/>
  <c r="HF28" i="19"/>
  <c r="GS28" i="19"/>
  <c r="GR28" i="19"/>
  <c r="GQ28" i="19"/>
  <c r="GP28" i="19"/>
  <c r="GO28" i="19"/>
  <c r="JB27" i="19"/>
  <c r="IX27" i="19"/>
  <c r="IT27" i="19"/>
  <c r="HF27" i="19"/>
  <c r="GS27" i="19"/>
  <c r="GR27" i="19"/>
  <c r="GQ27" i="19"/>
  <c r="GP27" i="19"/>
  <c r="GO27" i="19"/>
  <c r="JB26" i="19"/>
  <c r="IX26" i="19"/>
  <c r="IT26" i="19"/>
  <c r="HF26" i="19"/>
  <c r="GS26" i="19"/>
  <c r="GR26" i="19"/>
  <c r="GQ26" i="19"/>
  <c r="GP26" i="19"/>
  <c r="GO26" i="19"/>
  <c r="JB25" i="19"/>
  <c r="IX25" i="19"/>
  <c r="IT25" i="19"/>
  <c r="HF25" i="19"/>
  <c r="GS25" i="19"/>
  <c r="GR25" i="19"/>
  <c r="GQ25" i="19"/>
  <c r="GP25" i="19"/>
  <c r="GO25" i="19"/>
  <c r="JB24" i="19"/>
  <c r="IX24" i="19"/>
  <c r="IT24" i="19"/>
  <c r="HF24" i="19"/>
  <c r="GS24" i="19"/>
  <c r="GR24" i="19"/>
  <c r="GQ24" i="19"/>
  <c r="GP24" i="19"/>
  <c r="GO24" i="19"/>
  <c r="JB23" i="19"/>
  <c r="IX23" i="19"/>
  <c r="IT23" i="19"/>
  <c r="HF23" i="19"/>
  <c r="GS23" i="19"/>
  <c r="GR23" i="19"/>
  <c r="GQ23" i="19"/>
  <c r="GP23" i="19"/>
  <c r="GO23" i="19"/>
  <c r="JB22" i="19"/>
  <c r="IX22" i="19"/>
  <c r="IT22" i="19"/>
  <c r="HF22" i="19"/>
  <c r="GS22" i="19"/>
  <c r="GR22" i="19"/>
  <c r="GQ22" i="19"/>
  <c r="GP22" i="19"/>
  <c r="GO22" i="19"/>
  <c r="JB21" i="19"/>
  <c r="IX21" i="19"/>
  <c r="IT21" i="19"/>
  <c r="HF21" i="19"/>
  <c r="GS21" i="19"/>
  <c r="GR21" i="19"/>
  <c r="GQ21" i="19"/>
  <c r="GP21" i="19"/>
  <c r="GO21" i="19"/>
  <c r="JB20" i="19"/>
  <c r="IX20" i="19"/>
  <c r="IT20" i="19"/>
  <c r="HF20" i="19"/>
  <c r="GS20" i="19"/>
  <c r="GR20" i="19"/>
  <c r="GQ20" i="19"/>
  <c r="GP20" i="19"/>
  <c r="GO20" i="19"/>
  <c r="JB19" i="19"/>
  <c r="IX19" i="19"/>
  <c r="IT19" i="19"/>
  <c r="HF19" i="19"/>
  <c r="GS19" i="19"/>
  <c r="GR19" i="19"/>
  <c r="GQ19" i="19"/>
  <c r="GP19" i="19"/>
  <c r="GO19" i="19"/>
  <c r="JB18" i="19"/>
  <c r="IX18" i="19"/>
  <c r="IT18" i="19"/>
  <c r="HF18" i="19"/>
  <c r="GS18" i="19"/>
  <c r="GR18" i="19"/>
  <c r="GQ18" i="19"/>
  <c r="GP18" i="19"/>
  <c r="GO18" i="19"/>
  <c r="JB17" i="19"/>
  <c r="IX17" i="19"/>
  <c r="IT17" i="19"/>
  <c r="HF17" i="19"/>
  <c r="GS17" i="19"/>
  <c r="GR17" i="19"/>
  <c r="GQ17" i="19"/>
  <c r="GP17" i="19"/>
  <c r="GO17" i="19"/>
  <c r="JB16" i="19"/>
  <c r="IX16" i="19"/>
  <c r="IT16" i="19"/>
  <c r="HF16" i="19"/>
  <c r="GS16" i="19"/>
  <c r="GR16" i="19"/>
  <c r="GQ16" i="19"/>
  <c r="GP16" i="19"/>
  <c r="GO16" i="19"/>
  <c r="JB15" i="19"/>
  <c r="IX15" i="19"/>
  <c r="IT15" i="19"/>
  <c r="HF15" i="19"/>
  <c r="GS15" i="19"/>
  <c r="GR15" i="19"/>
  <c r="GQ15" i="19"/>
  <c r="GP15" i="19"/>
  <c r="GO15" i="19"/>
  <c r="JB14" i="19"/>
  <c r="IX14" i="19"/>
  <c r="IT14" i="19"/>
  <c r="HF14" i="19"/>
  <c r="GS14" i="19"/>
  <c r="GR14" i="19"/>
  <c r="GQ14" i="19"/>
  <c r="GP14" i="19"/>
  <c r="GO14" i="19"/>
  <c r="JB13" i="19"/>
  <c r="IX13" i="19"/>
  <c r="IT13" i="19"/>
  <c r="HF13" i="19"/>
  <c r="GS13" i="19"/>
  <c r="GR13" i="19"/>
  <c r="GQ13" i="19"/>
  <c r="GP13" i="19"/>
  <c r="GO13" i="19"/>
  <c r="JB12" i="19"/>
  <c r="IX12" i="19"/>
  <c r="IT12" i="19"/>
  <c r="HF12" i="19"/>
  <c r="GS12" i="19"/>
  <c r="GR12" i="19"/>
  <c r="GQ12" i="19"/>
  <c r="GP12" i="19"/>
  <c r="GO12" i="19"/>
  <c r="JB11" i="19"/>
  <c r="IX11" i="19"/>
  <c r="IT11" i="19"/>
  <c r="HF11" i="19"/>
  <c r="GS11" i="19"/>
  <c r="GR11" i="19"/>
  <c r="GQ11" i="19"/>
  <c r="GP11" i="19"/>
  <c r="GO11" i="19"/>
  <c r="JB10" i="19"/>
  <c r="JB126" i="19"/>
  <c r="IX10" i="19"/>
  <c r="IT10" i="19"/>
  <c r="HF10" i="19"/>
  <c r="GS10" i="19"/>
  <c r="GR10" i="19"/>
  <c r="GQ10" i="19"/>
  <c r="GP10" i="19"/>
  <c r="GO10" i="19"/>
  <c r="GO126" i="19"/>
  <c r="GU11" i="19"/>
  <c r="D3" i="22"/>
  <c r="IW29" i="22"/>
  <c r="D3" i="31"/>
  <c r="IS60" i="31"/>
  <c r="D3" i="32"/>
  <c r="IW36" i="32"/>
  <c r="D3" i="33"/>
  <c r="IS13" i="33"/>
  <c r="D3" i="34"/>
  <c r="IS67" i="34"/>
  <c r="D3" i="35"/>
  <c r="IS70" i="35"/>
  <c r="D3" i="21"/>
  <c r="IS57" i="21"/>
  <c r="D3" i="39"/>
  <c r="IS108" i="39"/>
  <c r="GU100" i="19"/>
  <c r="GU97" i="19"/>
  <c r="GU96" i="19"/>
  <c r="GU99" i="19"/>
  <c r="GU98" i="19"/>
  <c r="GU95" i="19"/>
  <c r="GU94" i="19"/>
  <c r="GU15" i="19"/>
  <c r="GU19" i="19"/>
  <c r="HH8" i="32"/>
  <c r="IO38" i="32"/>
  <c r="IO36" i="32"/>
  <c r="HH8" i="31"/>
  <c r="HS62" i="31"/>
  <c r="HS60" i="31"/>
  <c r="HH8" i="33"/>
  <c r="HH8" i="35"/>
  <c r="HD79" i="35"/>
  <c r="HH8" i="34"/>
  <c r="HH8" i="21"/>
  <c r="IO59" i="21"/>
  <c r="IO57" i="21"/>
  <c r="HH8" i="22"/>
  <c r="IO31" i="22"/>
  <c r="IO29" i="22"/>
  <c r="IE128" i="19"/>
  <c r="IE126" i="19"/>
  <c r="HD135" i="19"/>
  <c r="IH128" i="19"/>
  <c r="IH126" i="19"/>
  <c r="IK128" i="19"/>
  <c r="IK126" i="19"/>
  <c r="HY128" i="19"/>
  <c r="HY126" i="19"/>
  <c r="GU91" i="19"/>
  <c r="GY133" i="19"/>
  <c r="HK133" i="19"/>
  <c r="HS128" i="19"/>
  <c r="HS126" i="19"/>
  <c r="GU90" i="19"/>
  <c r="GU88" i="19"/>
  <c r="GY132" i="19"/>
  <c r="HK132" i="19"/>
  <c r="IB128" i="19"/>
  <c r="IB126" i="19"/>
  <c r="GU93" i="19"/>
  <c r="GU92" i="19"/>
  <c r="GY135" i="19"/>
  <c r="HK135" i="19"/>
  <c r="GY131" i="19"/>
  <c r="HK131" i="19"/>
  <c r="IO128" i="19"/>
  <c r="IO126" i="19"/>
  <c r="HV128" i="19"/>
  <c r="HV126" i="19"/>
  <c r="HP128" i="19"/>
  <c r="HP126" i="19"/>
  <c r="GY134" i="19"/>
  <c r="HK134" i="19"/>
  <c r="GU84" i="19"/>
  <c r="GU87" i="19"/>
  <c r="GU83" i="19"/>
  <c r="GU86" i="19"/>
  <c r="GU82" i="19"/>
  <c r="GU81" i="19"/>
  <c r="GU79" i="19"/>
  <c r="GU75" i="19"/>
  <c r="GU71" i="19"/>
  <c r="GU89" i="19"/>
  <c r="GU78" i="19"/>
  <c r="GU74" i="19"/>
  <c r="GU70" i="19"/>
  <c r="GU77" i="19"/>
  <c r="GU73" i="19"/>
  <c r="GU69" i="19"/>
  <c r="GU76" i="19"/>
  <c r="GU85" i="19"/>
  <c r="GU72" i="19"/>
  <c r="GU80" i="19"/>
  <c r="GU68" i="19"/>
  <c r="GU63" i="19"/>
  <c r="GU59" i="19"/>
  <c r="GU62" i="19"/>
  <c r="GU55" i="19"/>
  <c r="GU51" i="19"/>
  <c r="GU65" i="19"/>
  <c r="GU64" i="19"/>
  <c r="GU57" i="19"/>
  <c r="GU56" i="19"/>
  <c r="GU54" i="19"/>
  <c r="GU50" i="19"/>
  <c r="GU66" i="19"/>
  <c r="GU58" i="19"/>
  <c r="GU53" i="19"/>
  <c r="GU60" i="19"/>
  <c r="GU45" i="19"/>
  <c r="GU41" i="19"/>
  <c r="GU37" i="19"/>
  <c r="GU33" i="19"/>
  <c r="GU49" i="19"/>
  <c r="GU48" i="19"/>
  <c r="GU44" i="19"/>
  <c r="GU40" i="19"/>
  <c r="GU36" i="19"/>
  <c r="GU67" i="19"/>
  <c r="GU47" i="19"/>
  <c r="GU43" i="19"/>
  <c r="GU39" i="19"/>
  <c r="GU35" i="19"/>
  <c r="GU31" i="19"/>
  <c r="GU27" i="19"/>
  <c r="GU23" i="19"/>
  <c r="GU38" i="19"/>
  <c r="GU26" i="19"/>
  <c r="GU22" i="19"/>
  <c r="GU18" i="19"/>
  <c r="GU14" i="19"/>
  <c r="GU10" i="19"/>
  <c r="GU24" i="19"/>
  <c r="GU61" i="19"/>
  <c r="GU34" i="19"/>
  <c r="GU29" i="19"/>
  <c r="GU28" i="19"/>
  <c r="GU21" i="19"/>
  <c r="GU17" i="19"/>
  <c r="GU13" i="19"/>
  <c r="GU25" i="19"/>
  <c r="GU52" i="19"/>
  <c r="GU46" i="19"/>
  <c r="GU30" i="19"/>
  <c r="GU20" i="19"/>
  <c r="GU16" i="19"/>
  <c r="GU12" i="19"/>
  <c r="GU32" i="19"/>
  <c r="GU12" i="22"/>
  <c r="GU9" i="22"/>
  <c r="GU14" i="22"/>
  <c r="GU11" i="22"/>
  <c r="GU13" i="22"/>
  <c r="GU10" i="22"/>
  <c r="GU25" i="32"/>
  <c r="GU13" i="32"/>
  <c r="GU17" i="32"/>
  <c r="GU9" i="32"/>
  <c r="GU21" i="32"/>
  <c r="GU18" i="32"/>
  <c r="GU11" i="32"/>
  <c r="GU27" i="32"/>
  <c r="GU14" i="32"/>
  <c r="GU30" i="32"/>
  <c r="GU15" i="32"/>
  <c r="GU31" i="32"/>
  <c r="GU20" i="32"/>
  <c r="GU10" i="32"/>
  <c r="GU26" i="32"/>
  <c r="GU19" i="32"/>
  <c r="GU24" i="32"/>
  <c r="GU22" i="32"/>
  <c r="GU23" i="32"/>
  <c r="GU16" i="32"/>
  <c r="GU12" i="32"/>
  <c r="GU15" i="21"/>
  <c r="GU32" i="21"/>
  <c r="GU35" i="21"/>
  <c r="GU29" i="21"/>
  <c r="GU10" i="21"/>
  <c r="GU26" i="21"/>
  <c r="GU42" i="21"/>
  <c r="GU27" i="21"/>
  <c r="GU20" i="21"/>
  <c r="GU24" i="21"/>
  <c r="GU28" i="21"/>
  <c r="GU11" i="21"/>
  <c r="GU39" i="21"/>
  <c r="GU16" i="21"/>
  <c r="GU21" i="21"/>
  <c r="GU33" i="21"/>
  <c r="GU14" i="21"/>
  <c r="GU30" i="21"/>
  <c r="GU25" i="21"/>
  <c r="GU34" i="21"/>
  <c r="GU40" i="21"/>
  <c r="GU23" i="21"/>
  <c r="GU9" i="21"/>
  <c r="GU13" i="21"/>
  <c r="GU38" i="21"/>
  <c r="GU36" i="21"/>
  <c r="GU17" i="21"/>
  <c r="GU37" i="21"/>
  <c r="GU18" i="21"/>
  <c r="GU41" i="21"/>
  <c r="GU31" i="21"/>
  <c r="GU12" i="21"/>
  <c r="GU22" i="21"/>
  <c r="GU19" i="21"/>
  <c r="GU19" i="31"/>
  <c r="GU14" i="31"/>
  <c r="GU12" i="31"/>
  <c r="GU29" i="31"/>
  <c r="GU13" i="31"/>
  <c r="GU24" i="31"/>
  <c r="GU11" i="31"/>
  <c r="GU9" i="31"/>
  <c r="GU18" i="31"/>
  <c r="GU30" i="31"/>
  <c r="GU25" i="31"/>
  <c r="GU10" i="31"/>
  <c r="GU28" i="31"/>
  <c r="GU15" i="31"/>
  <c r="GU23" i="31"/>
  <c r="GU27" i="31"/>
  <c r="GU31" i="31"/>
  <c r="GU26" i="31"/>
  <c r="GU21" i="31"/>
  <c r="GU20" i="31"/>
  <c r="GU17" i="31"/>
  <c r="GU16" i="31"/>
  <c r="GU32" i="31"/>
  <c r="GU48" i="35"/>
  <c r="GU24" i="35"/>
  <c r="GU28" i="35"/>
  <c r="GU20" i="35"/>
  <c r="GU16" i="35"/>
  <c r="GU52" i="35"/>
  <c r="GU40" i="35"/>
  <c r="GU36" i="35"/>
  <c r="GU32" i="35"/>
  <c r="GU44" i="35"/>
  <c r="GU12" i="35"/>
  <c r="GU9" i="35"/>
  <c r="GU21" i="35"/>
  <c r="GU37" i="35"/>
  <c r="GU49" i="35"/>
  <c r="GU57" i="35"/>
  <c r="GU14" i="35"/>
  <c r="GU30" i="35"/>
  <c r="GU46" i="35"/>
  <c r="GU19" i="35"/>
  <c r="GU35" i="35"/>
  <c r="GU17" i="35"/>
  <c r="GU25" i="35"/>
  <c r="GU45" i="35"/>
  <c r="GU18" i="35"/>
  <c r="GU34" i="35"/>
  <c r="GU50" i="35"/>
  <c r="GU23" i="35"/>
  <c r="GU39" i="35"/>
  <c r="GU55" i="35"/>
  <c r="GU29" i="35"/>
  <c r="GU53" i="35"/>
  <c r="GU38" i="35"/>
  <c r="GU31" i="35"/>
  <c r="GU10" i="35"/>
  <c r="GU42" i="35"/>
  <c r="GU11" i="35"/>
  <c r="GU43" i="35"/>
  <c r="GU13" i="35"/>
  <c r="GU22" i="35"/>
  <c r="GU54" i="35"/>
  <c r="GU15" i="35"/>
  <c r="GU47" i="35"/>
  <c r="GU26" i="35"/>
  <c r="GU59" i="35"/>
  <c r="GU58" i="35"/>
  <c r="GU33" i="35"/>
  <c r="GU27" i="35"/>
  <c r="GU53" i="34"/>
  <c r="GU12" i="34"/>
  <c r="GU41" i="34"/>
  <c r="GU37" i="34"/>
  <c r="GU21" i="34"/>
  <c r="GU13" i="34"/>
  <c r="GU33" i="34"/>
  <c r="GU29" i="34"/>
  <c r="GU25" i="34"/>
  <c r="GU17" i="34"/>
  <c r="GU9" i="34"/>
  <c r="GU49" i="34"/>
  <c r="GU45" i="34"/>
  <c r="GU18" i="34"/>
  <c r="GU34" i="34"/>
  <c r="GU50" i="34"/>
  <c r="GU19" i="34"/>
  <c r="GU35" i="34"/>
  <c r="GU51" i="34"/>
  <c r="GU28" i="34"/>
  <c r="GU44" i="34"/>
  <c r="GU22" i="34"/>
  <c r="GU38" i="34"/>
  <c r="GU54" i="34"/>
  <c r="GU23" i="34"/>
  <c r="GU39" i="34"/>
  <c r="GU55" i="34"/>
  <c r="GU16" i="34"/>
  <c r="GU32" i="34"/>
  <c r="GU48" i="34"/>
  <c r="GU10" i="34"/>
  <c r="GU42" i="34"/>
  <c r="GU31" i="34"/>
  <c r="GU40" i="34"/>
  <c r="GU14" i="34"/>
  <c r="GU46" i="34"/>
  <c r="GU11" i="34"/>
  <c r="GU43" i="34"/>
  <c r="GU20" i="34"/>
  <c r="GU26" i="34"/>
  <c r="GU15" i="34"/>
  <c r="GU47" i="34"/>
  <c r="GU24" i="34"/>
  <c r="GU27" i="34"/>
  <c r="GU36" i="34"/>
  <c r="GU30" i="34"/>
  <c r="GU10" i="33"/>
  <c r="GU9" i="33"/>
  <c r="P75" i="39"/>
  <c r="P74" i="39"/>
  <c r="L75" i="39"/>
  <c r="L74" i="39"/>
  <c r="H75" i="39"/>
  <c r="H74" i="39"/>
  <c r="T75" i="39"/>
  <c r="X75" i="39"/>
  <c r="AC75" i="39"/>
  <c r="T74" i="39"/>
  <c r="X74" i="39"/>
  <c r="AC74" i="39"/>
  <c r="T55" i="39"/>
  <c r="P55" i="39"/>
  <c r="L55" i="39"/>
  <c r="H55" i="39"/>
  <c r="X55" i="39"/>
  <c r="AC55" i="39"/>
  <c r="EH9" i="19"/>
  <c r="EH10" i="19"/>
  <c r="EH11" i="19"/>
  <c r="EH12" i="19"/>
  <c r="EH13" i="19"/>
  <c r="EH14" i="19"/>
  <c r="EH15" i="19"/>
  <c r="EH16" i="19"/>
  <c r="EH17" i="19"/>
  <c r="EH18" i="19"/>
  <c r="EH19" i="19"/>
  <c r="EH20" i="19"/>
  <c r="EH21" i="19"/>
  <c r="EH22" i="19"/>
  <c r="EH23" i="19"/>
  <c r="EH24" i="19"/>
  <c r="EH25" i="19"/>
  <c r="EH26" i="19"/>
  <c r="EH27" i="19"/>
  <c r="EH28" i="19"/>
  <c r="EH29" i="19"/>
  <c r="EH30" i="19"/>
  <c r="EH31" i="19"/>
  <c r="EH32" i="19"/>
  <c r="EH33" i="19"/>
  <c r="EH34" i="19"/>
  <c r="EH35" i="19"/>
  <c r="EH36" i="19"/>
  <c r="EH37" i="19"/>
  <c r="EH38" i="19"/>
  <c r="EH39" i="19"/>
  <c r="EH40" i="19"/>
  <c r="EH41" i="19"/>
  <c r="EH43" i="19"/>
  <c r="EH44" i="19"/>
  <c r="EH45" i="19"/>
  <c r="EH46" i="19"/>
  <c r="EH47" i="19"/>
  <c r="EH48" i="19"/>
  <c r="EH49" i="19"/>
  <c r="EH50" i="19"/>
  <c r="EH51" i="19"/>
  <c r="EH52" i="19"/>
  <c r="EH53" i="19"/>
  <c r="EH54" i="19"/>
  <c r="EH55" i="19"/>
  <c r="EH56" i="19"/>
  <c r="EH57" i="19"/>
  <c r="EH58" i="19"/>
  <c r="EH59" i="19"/>
  <c r="EH60" i="19"/>
  <c r="EH62" i="19"/>
  <c r="EH63" i="19"/>
  <c r="EH64" i="19"/>
  <c r="EH65" i="19"/>
  <c r="EH66" i="19"/>
  <c r="EH67" i="19"/>
  <c r="EH68" i="19"/>
  <c r="EH69" i="19"/>
  <c r="EH70" i="19"/>
  <c r="EH71" i="19"/>
  <c r="EH72" i="19"/>
  <c r="EH73" i="19"/>
  <c r="EH74" i="19"/>
  <c r="EH75" i="19"/>
  <c r="EH76" i="19"/>
  <c r="EH77" i="19"/>
  <c r="EH78" i="19"/>
  <c r="EH79" i="19"/>
  <c r="EH80" i="19"/>
  <c r="EH81" i="19"/>
  <c r="EH82" i="19"/>
  <c r="EH83" i="19"/>
  <c r="EH84" i="19"/>
  <c r="EH85" i="19"/>
  <c r="EH86" i="19"/>
  <c r="EH87" i="19"/>
  <c r="EH88" i="19"/>
  <c r="EH89" i="19"/>
  <c r="EH90" i="19"/>
  <c r="EH91" i="19"/>
  <c r="EH92" i="19"/>
  <c r="EH93" i="19"/>
  <c r="EH94" i="19"/>
  <c r="EH95" i="19"/>
  <c r="EH96" i="19"/>
  <c r="EH97" i="19"/>
  <c r="EH98" i="19"/>
  <c r="EH99" i="19"/>
  <c r="EH100" i="19"/>
  <c r="EG16" i="19"/>
  <c r="EG21" i="19"/>
  <c r="EG24" i="19"/>
  <c r="EG31" i="19"/>
  <c r="EG40" i="19"/>
  <c r="EG41" i="19"/>
  <c r="EG97" i="19"/>
  <c r="EG9" i="19"/>
  <c r="EG126" i="19"/>
  <c r="EG10" i="19"/>
  <c r="EG11" i="19"/>
  <c r="EG12" i="19"/>
  <c r="EG13" i="19"/>
  <c r="EG14" i="19"/>
  <c r="EG15" i="19"/>
  <c r="EG17" i="19"/>
  <c r="EG18" i="19"/>
  <c r="EG19" i="19"/>
  <c r="EG20" i="19"/>
  <c r="EG22" i="19"/>
  <c r="EG23" i="19"/>
  <c r="EG25" i="19"/>
  <c r="EG26" i="19"/>
  <c r="EG27" i="19"/>
  <c r="EG28" i="19"/>
  <c r="EG29" i="19"/>
  <c r="EG30" i="19"/>
  <c r="EG32" i="19"/>
  <c r="EG33" i="19"/>
  <c r="EG34" i="19"/>
  <c r="EG35" i="19"/>
  <c r="EG36" i="19"/>
  <c r="EG37" i="19"/>
  <c r="EG38" i="19"/>
  <c r="EG39" i="19"/>
  <c r="EG43" i="19"/>
  <c r="EG44" i="19"/>
  <c r="EG45" i="19"/>
  <c r="EG46" i="19"/>
  <c r="EG47" i="19"/>
  <c r="EG48" i="19"/>
  <c r="EG49" i="19"/>
  <c r="EG50" i="19"/>
  <c r="EG51" i="19"/>
  <c r="EG52" i="19"/>
  <c r="EG53" i="19"/>
  <c r="EG54" i="19"/>
  <c r="EG55" i="19"/>
  <c r="EG56" i="19"/>
  <c r="EG57" i="19"/>
  <c r="EG58" i="19"/>
  <c r="EG59" i="19"/>
  <c r="EG60" i="19"/>
  <c r="EG62" i="19"/>
  <c r="EG63" i="19"/>
  <c r="EG64" i="19"/>
  <c r="EG65" i="19"/>
  <c r="EG66" i="19"/>
  <c r="EG67" i="19"/>
  <c r="EG68" i="19"/>
  <c r="EG69" i="19"/>
  <c r="EG70" i="19"/>
  <c r="EG71" i="19"/>
  <c r="EG72" i="19"/>
  <c r="EG73" i="19"/>
  <c r="EG74" i="19"/>
  <c r="EG75" i="19"/>
  <c r="EG76" i="19"/>
  <c r="EG77" i="19"/>
  <c r="EG78" i="19"/>
  <c r="EG79" i="19"/>
  <c r="EG80" i="19"/>
  <c r="EG81" i="19"/>
  <c r="EG82" i="19"/>
  <c r="EG83" i="19"/>
  <c r="EG84" i="19"/>
  <c r="EG85" i="19"/>
  <c r="EG86" i="19"/>
  <c r="EG87" i="19"/>
  <c r="EG88" i="19"/>
  <c r="EG89" i="19"/>
  <c r="EG90" i="19"/>
  <c r="EG91" i="19"/>
  <c r="EG92" i="19"/>
  <c r="EG93" i="19"/>
  <c r="EG94" i="19"/>
  <c r="EG95" i="19"/>
  <c r="EG96" i="19"/>
  <c r="EG98" i="19"/>
  <c r="EG99" i="19"/>
  <c r="EG100" i="19"/>
  <c r="S9" i="35"/>
  <c r="U9" i="35"/>
  <c r="IP18" i="35"/>
  <c r="IP10" i="35"/>
  <c r="IQ10" i="35"/>
  <c r="IP31" i="35"/>
  <c r="IP52" i="35"/>
  <c r="S10" i="35"/>
  <c r="U10" i="35"/>
  <c r="S11" i="35"/>
  <c r="U11" i="35"/>
  <c r="S12" i="35"/>
  <c r="U12" i="35"/>
  <c r="S13" i="35"/>
  <c r="U13" i="35"/>
  <c r="S14" i="35"/>
  <c r="U14" i="35"/>
  <c r="S15" i="35"/>
  <c r="U15" i="35"/>
  <c r="S16" i="35"/>
  <c r="U16" i="35"/>
  <c r="S17" i="35"/>
  <c r="U17" i="35"/>
  <c r="S18" i="35"/>
  <c r="U18" i="35"/>
  <c r="S19" i="35"/>
  <c r="U19" i="35"/>
  <c r="S20" i="35"/>
  <c r="U20" i="35"/>
  <c r="S25" i="35"/>
  <c r="U25" i="35"/>
  <c r="S27" i="35"/>
  <c r="U27" i="35"/>
  <c r="S28" i="35"/>
  <c r="U28" i="35"/>
  <c r="S29" i="35"/>
  <c r="U29" i="35"/>
  <c r="S30" i="35"/>
  <c r="U30" i="35"/>
  <c r="S31" i="35"/>
  <c r="U31" i="35"/>
  <c r="S32" i="35"/>
  <c r="U32" i="35"/>
  <c r="S33" i="35"/>
  <c r="U33" i="35"/>
  <c r="S34" i="35"/>
  <c r="U34" i="35"/>
  <c r="S35" i="35"/>
  <c r="U35" i="35"/>
  <c r="S36" i="35"/>
  <c r="U36" i="35"/>
  <c r="S37" i="35"/>
  <c r="U37" i="35"/>
  <c r="S38" i="35"/>
  <c r="U38" i="35"/>
  <c r="S39" i="35"/>
  <c r="U39" i="35"/>
  <c r="S40" i="35"/>
  <c r="U40" i="35"/>
  <c r="S42" i="35"/>
  <c r="U42" i="35"/>
  <c r="S43" i="35"/>
  <c r="U43" i="35"/>
  <c r="S44" i="35"/>
  <c r="U44" i="35"/>
  <c r="S45" i="35"/>
  <c r="U45" i="35"/>
  <c r="S46" i="35"/>
  <c r="U46" i="35"/>
  <c r="S47" i="35"/>
  <c r="U47" i="35"/>
  <c r="S48" i="35"/>
  <c r="U48" i="35"/>
  <c r="S49" i="35"/>
  <c r="U49" i="35"/>
  <c r="S50" i="35"/>
  <c r="U50" i="35"/>
  <c r="S52" i="35"/>
  <c r="U52" i="35"/>
  <c r="S53" i="35"/>
  <c r="U53" i="35"/>
  <c r="S54" i="35"/>
  <c r="U54" i="35"/>
  <c r="S55" i="35"/>
  <c r="U55" i="35"/>
  <c r="S57" i="35"/>
  <c r="U57" i="35"/>
  <c r="S58" i="35"/>
  <c r="U58" i="35"/>
  <c r="S59" i="35"/>
  <c r="U59" i="35"/>
  <c r="BE26" i="35"/>
  <c r="AF10" i="35"/>
  <c r="BE10" i="35"/>
  <c r="AF11" i="35"/>
  <c r="AF12" i="35"/>
  <c r="BE12" i="35"/>
  <c r="AF13" i="35"/>
  <c r="BE13" i="35"/>
  <c r="AF14" i="35"/>
  <c r="BE14" i="35"/>
  <c r="AF15" i="35"/>
  <c r="BE15" i="35"/>
  <c r="AF16" i="35"/>
  <c r="BE16" i="35"/>
  <c r="AF17" i="35"/>
  <c r="BE17" i="35"/>
  <c r="AF18" i="35"/>
  <c r="BE18" i="35"/>
  <c r="AF19" i="35"/>
  <c r="BE19" i="35"/>
  <c r="AF20" i="35"/>
  <c r="BE20" i="35"/>
  <c r="AF21" i="35"/>
  <c r="BE21" i="35"/>
  <c r="AF22" i="35"/>
  <c r="AF23" i="35"/>
  <c r="BE23" i="35"/>
  <c r="AF24" i="35"/>
  <c r="AF25" i="35"/>
  <c r="BE25" i="35"/>
  <c r="AF27" i="35"/>
  <c r="BE27" i="35"/>
  <c r="BE9" i="35"/>
  <c r="AF28" i="35"/>
  <c r="BE28" i="35"/>
  <c r="AF29" i="35"/>
  <c r="BE29" i="35"/>
  <c r="AF30" i="35"/>
  <c r="BE30" i="35"/>
  <c r="AF31" i="35"/>
  <c r="BE31" i="35"/>
  <c r="AF32" i="35"/>
  <c r="BE32" i="35"/>
  <c r="AF33" i="35"/>
  <c r="BE33" i="35"/>
  <c r="AF34" i="35"/>
  <c r="BE34" i="35"/>
  <c r="AF35" i="35"/>
  <c r="BE35" i="35"/>
  <c r="AF36" i="35"/>
  <c r="BE36" i="35"/>
  <c r="AF37" i="35"/>
  <c r="BE37" i="35"/>
  <c r="AF38" i="35"/>
  <c r="BE38" i="35"/>
  <c r="AF39" i="35"/>
  <c r="BE39" i="35"/>
  <c r="AF40" i="35"/>
  <c r="BE40" i="35"/>
  <c r="AF42" i="35"/>
  <c r="BE42" i="35"/>
  <c r="AF43" i="35"/>
  <c r="BE43" i="35"/>
  <c r="AF44" i="35"/>
  <c r="BE44" i="35"/>
  <c r="AF45" i="35"/>
  <c r="BE45" i="35"/>
  <c r="AF46" i="35"/>
  <c r="BE46" i="35"/>
  <c r="AF47" i="35"/>
  <c r="BE47" i="35"/>
  <c r="AF48" i="35"/>
  <c r="BE48" i="35"/>
  <c r="AF49" i="35"/>
  <c r="BE49" i="35"/>
  <c r="AF50" i="35"/>
  <c r="AF52" i="35"/>
  <c r="BE52" i="35"/>
  <c r="AF53" i="35"/>
  <c r="BE53" i="35"/>
  <c r="AF54" i="35"/>
  <c r="BE54" i="35"/>
  <c r="AF55" i="35"/>
  <c r="BE55" i="35"/>
  <c r="AF57" i="35"/>
  <c r="BE57" i="35"/>
  <c r="AF58" i="35"/>
  <c r="BE58" i="35"/>
  <c r="AF59" i="35"/>
  <c r="BE59" i="35"/>
  <c r="S26" i="35"/>
  <c r="U26" i="35"/>
  <c r="R70" i="35"/>
  <c r="Z31" i="32"/>
  <c r="Z30" i="32"/>
  <c r="Z39" i="21"/>
  <c r="Z38" i="21"/>
  <c r="Z32" i="21"/>
  <c r="Z31" i="21"/>
  <c r="Z29" i="21"/>
  <c r="Z28" i="21"/>
  <c r="Z23" i="21"/>
  <c r="Z25" i="31"/>
  <c r="Z17" i="31"/>
  <c r="AO9" i="19"/>
  <c r="AQ9" i="19"/>
  <c r="AS9" i="19"/>
  <c r="AS10" i="19"/>
  <c r="AS11" i="19"/>
  <c r="AS12" i="19"/>
  <c r="AS13" i="19"/>
  <c r="AT13" i="19"/>
  <c r="AS14" i="19"/>
  <c r="AS15" i="19"/>
  <c r="AS16" i="19"/>
  <c r="AT16" i="19"/>
  <c r="AS17" i="19"/>
  <c r="AT17" i="19"/>
  <c r="AS18" i="19"/>
  <c r="AS19" i="19"/>
  <c r="AS20" i="19"/>
  <c r="AS21" i="19"/>
  <c r="AT21" i="19"/>
  <c r="AS22" i="19"/>
  <c r="AS23" i="19"/>
  <c r="AS24" i="19"/>
  <c r="AT24" i="19"/>
  <c r="AS25" i="19"/>
  <c r="AT25" i="19"/>
  <c r="AS26" i="19"/>
  <c r="AS27" i="19"/>
  <c r="AS28" i="19"/>
  <c r="AS29" i="19"/>
  <c r="AT29" i="19"/>
  <c r="AS30" i="19"/>
  <c r="AS31" i="19"/>
  <c r="AS32" i="19"/>
  <c r="AT32" i="19"/>
  <c r="AS33" i="19"/>
  <c r="AS34" i="19"/>
  <c r="AS35" i="19"/>
  <c r="AT35" i="19"/>
  <c r="AS36" i="19"/>
  <c r="AS37" i="19"/>
  <c r="AS38" i="19"/>
  <c r="AT38" i="19"/>
  <c r="AS39" i="19"/>
  <c r="AT39" i="19"/>
  <c r="AS40" i="19"/>
  <c r="AT40" i="19"/>
  <c r="AS41" i="19"/>
  <c r="AT41" i="19"/>
  <c r="AS43" i="19"/>
  <c r="AS44" i="19"/>
  <c r="AS45" i="19"/>
  <c r="AS46" i="19"/>
  <c r="AT46" i="19"/>
  <c r="AS47" i="19"/>
  <c r="AS48" i="19"/>
  <c r="AT48" i="19"/>
  <c r="AS49" i="19"/>
  <c r="AS50" i="19"/>
  <c r="AT50" i="19"/>
  <c r="AS51" i="19"/>
  <c r="AS52" i="19"/>
  <c r="AS53" i="19"/>
  <c r="AS54" i="19"/>
  <c r="AS55" i="19"/>
  <c r="AT55" i="19"/>
  <c r="AS56" i="19"/>
  <c r="AT56" i="19"/>
  <c r="AS57" i="19"/>
  <c r="AT57" i="19"/>
  <c r="AS58" i="19"/>
  <c r="AT58" i="19"/>
  <c r="AS59" i="19"/>
  <c r="AT59" i="19"/>
  <c r="AS60" i="19"/>
  <c r="AS61" i="19"/>
  <c r="AS62" i="19"/>
  <c r="AT62" i="19"/>
  <c r="AS63" i="19"/>
  <c r="AT63" i="19"/>
  <c r="AS64" i="19"/>
  <c r="AT64" i="19"/>
  <c r="AS65" i="19"/>
  <c r="AS66" i="19"/>
  <c r="AT66" i="19"/>
  <c r="AS94" i="19"/>
  <c r="AS96" i="19"/>
  <c r="AT96" i="19"/>
  <c r="AS97" i="19"/>
  <c r="AS98" i="19"/>
  <c r="AT98" i="19"/>
  <c r="AS99" i="19"/>
  <c r="AT99" i="19"/>
  <c r="AS100" i="19"/>
  <c r="AT100" i="19"/>
  <c r="AU9" i="19"/>
  <c r="AU10" i="19"/>
  <c r="AU11" i="19"/>
  <c r="AU12" i="19"/>
  <c r="AU13" i="19"/>
  <c r="AU14" i="19"/>
  <c r="AU15" i="19"/>
  <c r="AU16" i="19"/>
  <c r="AU17" i="19"/>
  <c r="AV17" i="19"/>
  <c r="AU18" i="19"/>
  <c r="AU19" i="19"/>
  <c r="AU20" i="19"/>
  <c r="AW20" i="19"/>
  <c r="AU21" i="19"/>
  <c r="AU22" i="19"/>
  <c r="AU23" i="19"/>
  <c r="AU24" i="19"/>
  <c r="AU25" i="19"/>
  <c r="AU26" i="19"/>
  <c r="AU27" i="19"/>
  <c r="AU28" i="19"/>
  <c r="AU29" i="19"/>
  <c r="AU30" i="19"/>
  <c r="AU31" i="19"/>
  <c r="AU32" i="19"/>
  <c r="AU33" i="19"/>
  <c r="AV33" i="19"/>
  <c r="AU34" i="19"/>
  <c r="AU35" i="19"/>
  <c r="AW35" i="19"/>
  <c r="AU36" i="19"/>
  <c r="AU37" i="19"/>
  <c r="AU38" i="19"/>
  <c r="AV38" i="19"/>
  <c r="AU40" i="19"/>
  <c r="AU41" i="19"/>
  <c r="AV41" i="19"/>
  <c r="AU43" i="19"/>
  <c r="AU44" i="19"/>
  <c r="AU45" i="19"/>
  <c r="AW45" i="19"/>
  <c r="BA45" i="19"/>
  <c r="AU46" i="19"/>
  <c r="AU47" i="19"/>
  <c r="AU49" i="19"/>
  <c r="AU50" i="19"/>
  <c r="AU51" i="19"/>
  <c r="AU52" i="19"/>
  <c r="AU53" i="19"/>
  <c r="AU54" i="19"/>
  <c r="AU55" i="19"/>
  <c r="AU56" i="19"/>
  <c r="AU57" i="19"/>
  <c r="AU58" i="19"/>
  <c r="AU59" i="19"/>
  <c r="AV59" i="19"/>
  <c r="AU60" i="19"/>
  <c r="AU61" i="19"/>
  <c r="AU62" i="19"/>
  <c r="AU63" i="19"/>
  <c r="AV63" i="19"/>
  <c r="AU64" i="19"/>
  <c r="AV64" i="19"/>
  <c r="AW64" i="19"/>
  <c r="AX64" i="19"/>
  <c r="AU65" i="19"/>
  <c r="AV65" i="19"/>
  <c r="AW65" i="19"/>
  <c r="AU66" i="19"/>
  <c r="AU94" i="19"/>
  <c r="AU96" i="19"/>
  <c r="AU97" i="19"/>
  <c r="AW97" i="19"/>
  <c r="AU98" i="19"/>
  <c r="AU99" i="19"/>
  <c r="AV99" i="19"/>
  <c r="AU100" i="19"/>
  <c r="AV100" i="19"/>
  <c r="AW9" i="19"/>
  <c r="BB9" i="19"/>
  <c r="BE9" i="19"/>
  <c r="BF9" i="19"/>
  <c r="BG9" i="19"/>
  <c r="BH9" i="19"/>
  <c r="BH126" i="19"/>
  <c r="BI9" i="19"/>
  <c r="BJ9" i="19"/>
  <c r="CE9" i="19"/>
  <c r="KH9" i="19"/>
  <c r="CH9" i="19"/>
  <c r="CJ9" i="19"/>
  <c r="CL9" i="19"/>
  <c r="CM9" i="19"/>
  <c r="CN9" i="19"/>
  <c r="CO9" i="19"/>
  <c r="DV9" i="19"/>
  <c r="DW9" i="19"/>
  <c r="DX9" i="19"/>
  <c r="DY9" i="19"/>
  <c r="DZ9" i="19"/>
  <c r="EA9" i="19"/>
  <c r="EA126" i="19"/>
  <c r="KR11" i="19"/>
  <c r="KK13" i="19"/>
  <c r="KH31" i="19"/>
  <c r="KI39" i="19"/>
  <c r="KM45" i="19"/>
  <c r="KK46" i="19"/>
  <c r="KR53" i="19"/>
  <c r="KK72" i="19"/>
  <c r="KK75" i="19"/>
  <c r="KK83" i="19"/>
  <c r="KM83" i="19"/>
  <c r="KR90" i="19"/>
  <c r="KR93" i="19"/>
  <c r="KH97" i="19"/>
  <c r="DW100" i="19"/>
  <c r="DX100" i="19"/>
  <c r="DY100" i="19"/>
  <c r="DZ100" i="19"/>
  <c r="EA100" i="19"/>
  <c r="DV100" i="19"/>
  <c r="DW99" i="19"/>
  <c r="DX99" i="19"/>
  <c r="DY99" i="19"/>
  <c r="DZ99" i="19"/>
  <c r="EA99" i="19"/>
  <c r="DV99" i="19"/>
  <c r="DW98" i="19"/>
  <c r="DX98" i="19"/>
  <c r="DY98" i="19"/>
  <c r="DZ98" i="19"/>
  <c r="EA98" i="19"/>
  <c r="DW10" i="19"/>
  <c r="DX10" i="19"/>
  <c r="DX37" i="19"/>
  <c r="DX11" i="19"/>
  <c r="DX12" i="19"/>
  <c r="DX13" i="19"/>
  <c r="DX14" i="19"/>
  <c r="DX15" i="19"/>
  <c r="DX16" i="19"/>
  <c r="DX17" i="19"/>
  <c r="DX18" i="19"/>
  <c r="DX19" i="19"/>
  <c r="DX20" i="19"/>
  <c r="DX21" i="19"/>
  <c r="DX22" i="19"/>
  <c r="DX23" i="19"/>
  <c r="DX24" i="19"/>
  <c r="DX25" i="19"/>
  <c r="DX26" i="19"/>
  <c r="DX27" i="19"/>
  <c r="DX28" i="19"/>
  <c r="DX29" i="19"/>
  <c r="DX30" i="19"/>
  <c r="DX31" i="19"/>
  <c r="DX32" i="19"/>
  <c r="DX33" i="19"/>
  <c r="DX34" i="19"/>
  <c r="DX35" i="19"/>
  <c r="DX36" i="19"/>
  <c r="DX38" i="19"/>
  <c r="DX39" i="19"/>
  <c r="DX40" i="19"/>
  <c r="DX41" i="19"/>
  <c r="DX43" i="19"/>
  <c r="DX44" i="19"/>
  <c r="DX45" i="19"/>
  <c r="DX46" i="19"/>
  <c r="DX47" i="19"/>
  <c r="DX48" i="19"/>
  <c r="DX49" i="19"/>
  <c r="DX50" i="19"/>
  <c r="DX51" i="19"/>
  <c r="DX52" i="19"/>
  <c r="DX53" i="19"/>
  <c r="DX54" i="19"/>
  <c r="DX55" i="19"/>
  <c r="DX56" i="19"/>
  <c r="DX57" i="19"/>
  <c r="DX58" i="19"/>
  <c r="DX59" i="19"/>
  <c r="DX60" i="19"/>
  <c r="DX61" i="19"/>
  <c r="DX62" i="19"/>
  <c r="DX63" i="19"/>
  <c r="DX64" i="19"/>
  <c r="DX65" i="19"/>
  <c r="DX66" i="19"/>
  <c r="DX67" i="19"/>
  <c r="DX68" i="19"/>
  <c r="DX69" i="19"/>
  <c r="DX70" i="19"/>
  <c r="DX71" i="19"/>
  <c r="DX72" i="19"/>
  <c r="DX73" i="19"/>
  <c r="DX74" i="19"/>
  <c r="DX75" i="19"/>
  <c r="DX76" i="19"/>
  <c r="DX77" i="19"/>
  <c r="DX78" i="19"/>
  <c r="DX79" i="19"/>
  <c r="DX80" i="19"/>
  <c r="DX81" i="19"/>
  <c r="DX82" i="19"/>
  <c r="DX83" i="19"/>
  <c r="DX84" i="19"/>
  <c r="DX85" i="19"/>
  <c r="DX86" i="19"/>
  <c r="DX87" i="19"/>
  <c r="DX88" i="19"/>
  <c r="DX89" i="19"/>
  <c r="DX90" i="19"/>
  <c r="DX91" i="19"/>
  <c r="DX92" i="19"/>
  <c r="DX93" i="19"/>
  <c r="DX94" i="19"/>
  <c r="DX95" i="19"/>
  <c r="DX96" i="19"/>
  <c r="DX97" i="19"/>
  <c r="DY10" i="19"/>
  <c r="DZ10" i="19"/>
  <c r="EA10" i="19"/>
  <c r="DW11" i="19"/>
  <c r="DY11" i="19"/>
  <c r="DZ11" i="19"/>
  <c r="EA11" i="19"/>
  <c r="DW12" i="19"/>
  <c r="DY12" i="19"/>
  <c r="DZ12" i="19"/>
  <c r="EA12" i="19"/>
  <c r="DW13" i="19"/>
  <c r="DY13" i="19"/>
  <c r="DZ13" i="19"/>
  <c r="EA13" i="19"/>
  <c r="DW14" i="19"/>
  <c r="DY14" i="19"/>
  <c r="DZ14" i="19"/>
  <c r="EA14" i="19"/>
  <c r="DW15" i="19"/>
  <c r="DY15" i="19"/>
  <c r="DZ15" i="19"/>
  <c r="EA15" i="19"/>
  <c r="DW16" i="19"/>
  <c r="DY16" i="19"/>
  <c r="DZ16" i="19"/>
  <c r="EA16" i="19"/>
  <c r="DW17" i="19"/>
  <c r="DY17" i="19"/>
  <c r="DZ17" i="19"/>
  <c r="EA17" i="19"/>
  <c r="DW18" i="19"/>
  <c r="DY18" i="19"/>
  <c r="DZ18" i="19"/>
  <c r="EA18" i="19"/>
  <c r="DW19" i="19"/>
  <c r="DY19" i="19"/>
  <c r="DZ19" i="19"/>
  <c r="EA19" i="19"/>
  <c r="DW20" i="19"/>
  <c r="DY20" i="19"/>
  <c r="DZ20" i="19"/>
  <c r="EA20" i="19"/>
  <c r="DW21" i="19"/>
  <c r="DY21" i="19"/>
  <c r="DZ21" i="19"/>
  <c r="EA21" i="19"/>
  <c r="DW22" i="19"/>
  <c r="DY22" i="19"/>
  <c r="DZ22" i="19"/>
  <c r="EA22" i="19"/>
  <c r="DW23" i="19"/>
  <c r="DY23" i="19"/>
  <c r="DZ23" i="19"/>
  <c r="EA23" i="19"/>
  <c r="DW24" i="19"/>
  <c r="DY24" i="19"/>
  <c r="DZ24" i="19"/>
  <c r="EA24" i="19"/>
  <c r="DW25" i="19"/>
  <c r="DY25" i="19"/>
  <c r="DZ25" i="19"/>
  <c r="EA25" i="19"/>
  <c r="DW26" i="19"/>
  <c r="DY26" i="19"/>
  <c r="DZ26" i="19"/>
  <c r="EA26" i="19"/>
  <c r="DW27" i="19"/>
  <c r="DY27" i="19"/>
  <c r="DZ27" i="19"/>
  <c r="EA27" i="19"/>
  <c r="DW28" i="19"/>
  <c r="DY28" i="19"/>
  <c r="DZ28" i="19"/>
  <c r="EA28" i="19"/>
  <c r="DW29" i="19"/>
  <c r="DY29" i="19"/>
  <c r="DZ29" i="19"/>
  <c r="EA29" i="19"/>
  <c r="DW30" i="19"/>
  <c r="DY30" i="19"/>
  <c r="DZ30" i="19"/>
  <c r="EA30" i="19"/>
  <c r="DW31" i="19"/>
  <c r="DY31" i="19"/>
  <c r="DZ31" i="19"/>
  <c r="EA31" i="19"/>
  <c r="DW32" i="19"/>
  <c r="DY32" i="19"/>
  <c r="DZ32" i="19"/>
  <c r="EA32" i="19"/>
  <c r="DW33" i="19"/>
  <c r="DY33" i="19"/>
  <c r="DZ33" i="19"/>
  <c r="EA33" i="19"/>
  <c r="DW34" i="19"/>
  <c r="DY34" i="19"/>
  <c r="DZ34" i="19"/>
  <c r="EA34" i="19"/>
  <c r="DW35" i="19"/>
  <c r="DY35" i="19"/>
  <c r="DZ35" i="19"/>
  <c r="EA35" i="19"/>
  <c r="DW36" i="19"/>
  <c r="DY36" i="19"/>
  <c r="DZ36" i="19"/>
  <c r="EA36" i="19"/>
  <c r="DW37" i="19"/>
  <c r="DY37" i="19"/>
  <c r="DZ37" i="19"/>
  <c r="EA37" i="19"/>
  <c r="DW38" i="19"/>
  <c r="DY38" i="19"/>
  <c r="DZ38" i="19"/>
  <c r="EA38" i="19"/>
  <c r="DW39" i="19"/>
  <c r="DY39" i="19"/>
  <c r="DZ39" i="19"/>
  <c r="EA39" i="19"/>
  <c r="DW40" i="19"/>
  <c r="DY40" i="19"/>
  <c r="DZ40" i="19"/>
  <c r="EA40" i="19"/>
  <c r="DW41" i="19"/>
  <c r="DY41" i="19"/>
  <c r="DZ41" i="19"/>
  <c r="EA41" i="19"/>
  <c r="DW43" i="19"/>
  <c r="DY43" i="19"/>
  <c r="DZ43" i="19"/>
  <c r="EA43" i="19"/>
  <c r="DW44" i="19"/>
  <c r="DY44" i="19"/>
  <c r="DZ44" i="19"/>
  <c r="EA44" i="19"/>
  <c r="DW45" i="19"/>
  <c r="DY45" i="19"/>
  <c r="DZ45" i="19"/>
  <c r="EA45" i="19"/>
  <c r="DW46" i="19"/>
  <c r="DY46" i="19"/>
  <c r="DZ46" i="19"/>
  <c r="EA46" i="19"/>
  <c r="DW47" i="19"/>
  <c r="DY47" i="19"/>
  <c r="DZ47" i="19"/>
  <c r="EA47" i="19"/>
  <c r="DW48" i="19"/>
  <c r="DY48" i="19"/>
  <c r="DZ48" i="19"/>
  <c r="EA48" i="19"/>
  <c r="DW49" i="19"/>
  <c r="DY49" i="19"/>
  <c r="DZ49" i="19"/>
  <c r="EA49" i="19"/>
  <c r="DW50" i="19"/>
  <c r="DY50" i="19"/>
  <c r="DZ50" i="19"/>
  <c r="EA50" i="19"/>
  <c r="DW51" i="19"/>
  <c r="DY51" i="19"/>
  <c r="DZ51" i="19"/>
  <c r="EA51" i="19"/>
  <c r="DW52" i="19"/>
  <c r="DY52" i="19"/>
  <c r="DZ52" i="19"/>
  <c r="EA52" i="19"/>
  <c r="DW53" i="19"/>
  <c r="DY53" i="19"/>
  <c r="DZ53" i="19"/>
  <c r="EA53" i="19"/>
  <c r="DW54" i="19"/>
  <c r="DY54" i="19"/>
  <c r="DZ54" i="19"/>
  <c r="EA54" i="19"/>
  <c r="DW55" i="19"/>
  <c r="DY55" i="19"/>
  <c r="DZ55" i="19"/>
  <c r="EA55" i="19"/>
  <c r="DW56" i="19"/>
  <c r="DY56" i="19"/>
  <c r="DZ56" i="19"/>
  <c r="EA56" i="19"/>
  <c r="DW57" i="19"/>
  <c r="DY57" i="19"/>
  <c r="DZ57" i="19"/>
  <c r="EA57" i="19"/>
  <c r="DW58" i="19"/>
  <c r="DY58" i="19"/>
  <c r="DZ58" i="19"/>
  <c r="EA58" i="19"/>
  <c r="DW59" i="19"/>
  <c r="DY59" i="19"/>
  <c r="DZ59" i="19"/>
  <c r="EA59" i="19"/>
  <c r="DW60" i="19"/>
  <c r="DY60" i="19"/>
  <c r="DZ60" i="19"/>
  <c r="EA60" i="19"/>
  <c r="DW61" i="19"/>
  <c r="DY61" i="19"/>
  <c r="DZ61" i="19"/>
  <c r="EA61" i="19"/>
  <c r="DW62" i="19"/>
  <c r="DY62" i="19"/>
  <c r="DZ62" i="19"/>
  <c r="EA62" i="19"/>
  <c r="DW63" i="19"/>
  <c r="DY63" i="19"/>
  <c r="DZ63" i="19"/>
  <c r="EA63" i="19"/>
  <c r="DW64" i="19"/>
  <c r="DY64" i="19"/>
  <c r="DZ64" i="19"/>
  <c r="EA64" i="19"/>
  <c r="DW65" i="19"/>
  <c r="DY65" i="19"/>
  <c r="DZ65" i="19"/>
  <c r="EA65" i="19"/>
  <c r="DW66" i="19"/>
  <c r="DY66" i="19"/>
  <c r="DZ66" i="19"/>
  <c r="EA66" i="19"/>
  <c r="DW67" i="19"/>
  <c r="DY67" i="19"/>
  <c r="DZ67" i="19"/>
  <c r="EA67" i="19"/>
  <c r="DW68" i="19"/>
  <c r="DY68" i="19"/>
  <c r="DZ68" i="19"/>
  <c r="EA68" i="19"/>
  <c r="DW69" i="19"/>
  <c r="DY69" i="19"/>
  <c r="DZ69" i="19"/>
  <c r="EA69" i="19"/>
  <c r="DW70" i="19"/>
  <c r="DY70" i="19"/>
  <c r="DZ70" i="19"/>
  <c r="EA70" i="19"/>
  <c r="DW71" i="19"/>
  <c r="DY71" i="19"/>
  <c r="DZ71" i="19"/>
  <c r="EA71" i="19"/>
  <c r="DW72" i="19"/>
  <c r="DY72" i="19"/>
  <c r="DZ72" i="19"/>
  <c r="EA72" i="19"/>
  <c r="DW73" i="19"/>
  <c r="DY73" i="19"/>
  <c r="DZ73" i="19"/>
  <c r="EA73" i="19"/>
  <c r="DW74" i="19"/>
  <c r="DY74" i="19"/>
  <c r="DZ74" i="19"/>
  <c r="EA74" i="19"/>
  <c r="DW75" i="19"/>
  <c r="DY75" i="19"/>
  <c r="DZ75" i="19"/>
  <c r="EA75" i="19"/>
  <c r="DW76" i="19"/>
  <c r="DY76" i="19"/>
  <c r="DZ76" i="19"/>
  <c r="EA76" i="19"/>
  <c r="DW77" i="19"/>
  <c r="DY77" i="19"/>
  <c r="DZ77" i="19"/>
  <c r="EA77" i="19"/>
  <c r="DW78" i="19"/>
  <c r="DY78" i="19"/>
  <c r="DZ78" i="19"/>
  <c r="EA78" i="19"/>
  <c r="DW79" i="19"/>
  <c r="DY79" i="19"/>
  <c r="DZ79" i="19"/>
  <c r="EA79" i="19"/>
  <c r="DW80" i="19"/>
  <c r="DY80" i="19"/>
  <c r="DZ80" i="19"/>
  <c r="EA80" i="19"/>
  <c r="DW81" i="19"/>
  <c r="DY81" i="19"/>
  <c r="DZ81" i="19"/>
  <c r="EA81" i="19"/>
  <c r="DW82" i="19"/>
  <c r="DY82" i="19"/>
  <c r="DZ82" i="19"/>
  <c r="EA82" i="19"/>
  <c r="DW83" i="19"/>
  <c r="DY83" i="19"/>
  <c r="DZ83" i="19"/>
  <c r="EA83" i="19"/>
  <c r="DW84" i="19"/>
  <c r="DY84" i="19"/>
  <c r="DZ84" i="19"/>
  <c r="EA84" i="19"/>
  <c r="DW85" i="19"/>
  <c r="DY85" i="19"/>
  <c r="DZ85" i="19"/>
  <c r="EA85" i="19"/>
  <c r="DW86" i="19"/>
  <c r="DY86" i="19"/>
  <c r="DZ86" i="19"/>
  <c r="EA86" i="19"/>
  <c r="DW87" i="19"/>
  <c r="DY87" i="19"/>
  <c r="DZ87" i="19"/>
  <c r="EA87" i="19"/>
  <c r="DW88" i="19"/>
  <c r="DY88" i="19"/>
  <c r="DZ88" i="19"/>
  <c r="EA88" i="19"/>
  <c r="DW89" i="19"/>
  <c r="DY89" i="19"/>
  <c r="DZ89" i="19"/>
  <c r="EA89" i="19"/>
  <c r="DW90" i="19"/>
  <c r="DY90" i="19"/>
  <c r="DZ90" i="19"/>
  <c r="EA90" i="19"/>
  <c r="DW91" i="19"/>
  <c r="DY91" i="19"/>
  <c r="DZ91" i="19"/>
  <c r="EA91" i="19"/>
  <c r="DW92" i="19"/>
  <c r="DY92" i="19"/>
  <c r="DZ92" i="19"/>
  <c r="EA92" i="19"/>
  <c r="DW93" i="19"/>
  <c r="DY93" i="19"/>
  <c r="DZ93" i="19"/>
  <c r="EA93" i="19"/>
  <c r="DW94" i="19"/>
  <c r="DY94" i="19"/>
  <c r="DZ94" i="19"/>
  <c r="EA94" i="19"/>
  <c r="DW95" i="19"/>
  <c r="DY95" i="19"/>
  <c r="DZ95" i="19"/>
  <c r="EA95" i="19"/>
  <c r="DW96" i="19"/>
  <c r="DY96" i="19"/>
  <c r="DZ96" i="19"/>
  <c r="EA96" i="19"/>
  <c r="DW97" i="19"/>
  <c r="DY97" i="19"/>
  <c r="DZ97" i="19"/>
  <c r="EA97" i="19"/>
  <c r="DV10" i="19"/>
  <c r="DV11" i="19"/>
  <c r="DV12" i="19"/>
  <c r="DV13" i="19"/>
  <c r="DV14" i="19"/>
  <c r="DV15" i="19"/>
  <c r="DV16" i="19"/>
  <c r="DV17" i="19"/>
  <c r="DV18" i="19"/>
  <c r="DV19" i="19"/>
  <c r="DV20" i="19"/>
  <c r="DV21" i="19"/>
  <c r="DV22" i="19"/>
  <c r="DV23" i="19"/>
  <c r="DV24" i="19"/>
  <c r="DV25" i="19"/>
  <c r="DV26" i="19"/>
  <c r="DV27" i="19"/>
  <c r="DV28" i="19"/>
  <c r="DV29" i="19"/>
  <c r="DV30" i="19"/>
  <c r="DV31" i="19"/>
  <c r="DV32" i="19"/>
  <c r="DV33" i="19"/>
  <c r="DV34" i="19"/>
  <c r="DV35" i="19"/>
  <c r="DV36" i="19"/>
  <c r="DV37" i="19"/>
  <c r="DV38" i="19"/>
  <c r="DV39" i="19"/>
  <c r="DV40" i="19"/>
  <c r="DV41" i="19"/>
  <c r="DV43" i="19"/>
  <c r="DV44" i="19"/>
  <c r="DV45" i="19"/>
  <c r="DV46" i="19"/>
  <c r="DV47" i="19"/>
  <c r="DV48" i="19"/>
  <c r="DV49" i="19"/>
  <c r="DV50" i="19"/>
  <c r="DV51" i="19"/>
  <c r="DV52" i="19"/>
  <c r="DV53" i="19"/>
  <c r="DV54" i="19"/>
  <c r="DV55" i="19"/>
  <c r="DV56" i="19"/>
  <c r="DV57" i="19"/>
  <c r="DV58" i="19"/>
  <c r="DV59" i="19"/>
  <c r="DV60" i="19"/>
  <c r="DV61" i="19"/>
  <c r="DV62" i="19"/>
  <c r="DV63" i="19"/>
  <c r="DV64" i="19"/>
  <c r="DV65" i="19"/>
  <c r="DV66" i="19"/>
  <c r="DV67" i="19"/>
  <c r="DV68" i="19"/>
  <c r="DV69" i="19"/>
  <c r="DV70" i="19"/>
  <c r="DV71" i="19"/>
  <c r="DV72" i="19"/>
  <c r="DV73" i="19"/>
  <c r="DV74" i="19"/>
  <c r="DV75" i="19"/>
  <c r="DV76" i="19"/>
  <c r="DV77" i="19"/>
  <c r="DV78" i="19"/>
  <c r="DV79" i="19"/>
  <c r="DV80" i="19"/>
  <c r="DV81" i="19"/>
  <c r="DV82" i="19"/>
  <c r="DV83" i="19"/>
  <c r="DV84" i="19"/>
  <c r="DV85" i="19"/>
  <c r="DV86" i="19"/>
  <c r="DV87" i="19"/>
  <c r="DV88" i="19"/>
  <c r="DV89" i="19"/>
  <c r="DV90" i="19"/>
  <c r="DV91" i="19"/>
  <c r="DV92" i="19"/>
  <c r="DV93" i="19"/>
  <c r="DV94" i="19"/>
  <c r="DV95" i="19"/>
  <c r="DV96" i="19"/>
  <c r="DV97" i="19"/>
  <c r="DV98" i="19"/>
  <c r="CO10" i="19"/>
  <c r="KQ10" i="19"/>
  <c r="CO11" i="19"/>
  <c r="KQ11" i="19"/>
  <c r="CO12" i="19"/>
  <c r="KQ12" i="19"/>
  <c r="CO13" i="19"/>
  <c r="KQ13" i="19"/>
  <c r="CO14" i="19"/>
  <c r="KQ14" i="19"/>
  <c r="CO15" i="19"/>
  <c r="KQ15" i="19"/>
  <c r="CO16" i="19"/>
  <c r="KQ16" i="19"/>
  <c r="CO17" i="19"/>
  <c r="KQ17" i="19"/>
  <c r="CO18" i="19"/>
  <c r="KQ18" i="19"/>
  <c r="CO19" i="19"/>
  <c r="KQ19" i="19"/>
  <c r="CO20" i="19"/>
  <c r="KQ20" i="19"/>
  <c r="CO21" i="19"/>
  <c r="KQ21" i="19"/>
  <c r="CO22" i="19"/>
  <c r="KQ22" i="19"/>
  <c r="CO23" i="19"/>
  <c r="KQ23" i="19"/>
  <c r="CO24" i="19"/>
  <c r="KQ24" i="19"/>
  <c r="CO25" i="19"/>
  <c r="KQ25" i="19"/>
  <c r="CO26" i="19"/>
  <c r="KQ26" i="19"/>
  <c r="CO27" i="19"/>
  <c r="KQ27" i="19"/>
  <c r="CO28" i="19"/>
  <c r="KQ28" i="19"/>
  <c r="CO29" i="19"/>
  <c r="KQ29" i="19"/>
  <c r="CO30" i="19"/>
  <c r="KQ30" i="19"/>
  <c r="CO31" i="19"/>
  <c r="KQ31" i="19"/>
  <c r="CO32" i="19"/>
  <c r="KQ32" i="19"/>
  <c r="CO33" i="19"/>
  <c r="KQ33" i="19"/>
  <c r="CO34" i="19"/>
  <c r="KQ34" i="19"/>
  <c r="CO35" i="19"/>
  <c r="KQ35" i="19"/>
  <c r="CO36" i="19"/>
  <c r="KQ36" i="19"/>
  <c r="CO37" i="19"/>
  <c r="KQ37" i="19"/>
  <c r="CO38" i="19"/>
  <c r="KQ38" i="19"/>
  <c r="CO39" i="19"/>
  <c r="KQ39" i="19"/>
  <c r="CO40" i="19"/>
  <c r="KQ40" i="19"/>
  <c r="CO41" i="19"/>
  <c r="KQ41" i="19"/>
  <c r="CO43" i="19"/>
  <c r="KQ43" i="19"/>
  <c r="CO44" i="19"/>
  <c r="KQ44" i="19"/>
  <c r="CO45" i="19"/>
  <c r="KQ45" i="19"/>
  <c r="CO46" i="19"/>
  <c r="KQ46" i="19"/>
  <c r="CO47" i="19"/>
  <c r="KQ47" i="19"/>
  <c r="CO48" i="19"/>
  <c r="KQ48" i="19"/>
  <c r="CO49" i="19"/>
  <c r="KQ49" i="19"/>
  <c r="CO50" i="19"/>
  <c r="KQ50" i="19"/>
  <c r="CO51" i="19"/>
  <c r="KQ51" i="19"/>
  <c r="CO52" i="19"/>
  <c r="KQ52" i="19"/>
  <c r="CO53" i="19"/>
  <c r="KQ53" i="19"/>
  <c r="CO54" i="19"/>
  <c r="KQ54" i="19"/>
  <c r="CO55" i="19"/>
  <c r="KQ55" i="19"/>
  <c r="CO56" i="19"/>
  <c r="KQ56" i="19"/>
  <c r="CO57" i="19"/>
  <c r="KQ57" i="19"/>
  <c r="CO58" i="19"/>
  <c r="KQ58" i="19"/>
  <c r="CO59" i="19"/>
  <c r="KQ59" i="19"/>
  <c r="CO60" i="19"/>
  <c r="KQ60" i="19"/>
  <c r="CO61" i="19"/>
  <c r="KQ61" i="19"/>
  <c r="CO62" i="19"/>
  <c r="KQ62" i="19"/>
  <c r="CO63" i="19"/>
  <c r="KQ63" i="19"/>
  <c r="CO64" i="19"/>
  <c r="KQ64" i="19"/>
  <c r="CO65" i="19"/>
  <c r="KQ65" i="19"/>
  <c r="CO66" i="19"/>
  <c r="KQ66" i="19"/>
  <c r="CO67" i="19"/>
  <c r="KQ67" i="19"/>
  <c r="CO68" i="19"/>
  <c r="KQ68" i="19"/>
  <c r="CO69" i="19"/>
  <c r="KQ69" i="19"/>
  <c r="CO70" i="19"/>
  <c r="KQ70" i="19"/>
  <c r="CO71" i="19"/>
  <c r="KQ71" i="19"/>
  <c r="CO72" i="19"/>
  <c r="KQ72" i="19"/>
  <c r="CO73" i="19"/>
  <c r="KQ73" i="19"/>
  <c r="CO74" i="19"/>
  <c r="KQ74" i="19"/>
  <c r="CO75" i="19"/>
  <c r="KQ75" i="19"/>
  <c r="CO76" i="19"/>
  <c r="KQ76" i="19"/>
  <c r="CO77" i="19"/>
  <c r="KQ77" i="19"/>
  <c r="CO78" i="19"/>
  <c r="KQ78" i="19"/>
  <c r="CO79" i="19"/>
  <c r="KQ79" i="19"/>
  <c r="CO80" i="19"/>
  <c r="KQ80" i="19"/>
  <c r="CO81" i="19"/>
  <c r="KQ81" i="19"/>
  <c r="CO82" i="19"/>
  <c r="KQ82" i="19"/>
  <c r="CO83" i="19"/>
  <c r="KQ83" i="19"/>
  <c r="CO84" i="19"/>
  <c r="KQ84" i="19"/>
  <c r="CO85" i="19"/>
  <c r="KQ85" i="19"/>
  <c r="CO86" i="19"/>
  <c r="KQ86" i="19"/>
  <c r="CO87" i="19"/>
  <c r="KQ87" i="19"/>
  <c r="CO88" i="19"/>
  <c r="KQ88" i="19"/>
  <c r="CO89" i="19"/>
  <c r="KQ89" i="19"/>
  <c r="CO90" i="19"/>
  <c r="KQ90" i="19"/>
  <c r="CO91" i="19"/>
  <c r="KQ91" i="19"/>
  <c r="CO92" i="19"/>
  <c r="KQ92" i="19"/>
  <c r="CO93" i="19"/>
  <c r="KQ93" i="19"/>
  <c r="CO94" i="19"/>
  <c r="KQ94" i="19"/>
  <c r="CO95" i="19"/>
  <c r="KQ95" i="19"/>
  <c r="CO96" i="19"/>
  <c r="KQ96" i="19"/>
  <c r="CO97" i="19"/>
  <c r="KQ97" i="19"/>
  <c r="CO98" i="19"/>
  <c r="KQ98" i="19"/>
  <c r="CO99" i="19"/>
  <c r="KQ99" i="19"/>
  <c r="CO100" i="19"/>
  <c r="KQ100" i="19"/>
  <c r="CN10" i="19"/>
  <c r="KP10" i="19"/>
  <c r="CN11" i="19"/>
  <c r="KP11" i="19"/>
  <c r="CN12" i="19"/>
  <c r="KP12" i="19"/>
  <c r="CN13" i="19"/>
  <c r="KP13" i="19"/>
  <c r="CN14" i="19"/>
  <c r="KP14" i="19"/>
  <c r="CN16" i="19"/>
  <c r="KP16" i="19"/>
  <c r="CN17" i="19"/>
  <c r="KP17" i="19"/>
  <c r="CN18" i="19"/>
  <c r="KP18" i="19"/>
  <c r="CN19" i="19"/>
  <c r="KP19" i="19"/>
  <c r="CN20" i="19"/>
  <c r="KP20" i="19"/>
  <c r="CN21" i="19"/>
  <c r="KP21" i="19"/>
  <c r="CN22" i="19"/>
  <c r="KP22" i="19"/>
  <c r="CN23" i="19"/>
  <c r="KP23" i="19"/>
  <c r="CN24" i="19"/>
  <c r="KP24" i="19"/>
  <c r="CN25" i="19"/>
  <c r="KP25" i="19"/>
  <c r="CN26" i="19"/>
  <c r="KP26" i="19"/>
  <c r="CN28" i="19"/>
  <c r="KP28" i="19"/>
  <c r="CN31" i="19"/>
  <c r="KP31" i="19"/>
  <c r="CN32" i="19"/>
  <c r="KP32" i="19"/>
  <c r="CN33" i="19"/>
  <c r="KP33" i="19"/>
  <c r="CN35" i="19"/>
  <c r="KP35" i="19"/>
  <c r="CN37" i="19"/>
  <c r="KP37" i="19"/>
  <c r="CN44" i="19"/>
  <c r="KP44" i="19"/>
  <c r="CN45" i="19"/>
  <c r="KP45" i="19"/>
  <c r="CN46" i="19"/>
  <c r="KP46" i="19"/>
  <c r="CN47" i="19"/>
  <c r="KP47" i="19"/>
  <c r="CN48" i="19"/>
  <c r="KP48" i="19"/>
  <c r="CN49" i="19"/>
  <c r="KP49" i="19"/>
  <c r="CN50" i="19"/>
  <c r="KP50" i="19"/>
  <c r="CN51" i="19"/>
  <c r="KP51" i="19"/>
  <c r="CN52" i="19"/>
  <c r="KP52" i="19"/>
  <c r="CN53" i="19"/>
  <c r="KP53" i="19"/>
  <c r="CN54" i="19"/>
  <c r="KP54" i="19"/>
  <c r="CN55" i="19"/>
  <c r="KP55" i="19"/>
  <c r="CN56" i="19"/>
  <c r="KP56" i="19"/>
  <c r="CN57" i="19"/>
  <c r="KP57" i="19"/>
  <c r="CN58" i="19"/>
  <c r="KP58" i="19"/>
  <c r="CN59" i="19"/>
  <c r="KP59" i="19"/>
  <c r="CN60" i="19"/>
  <c r="KP60" i="19"/>
  <c r="CN61" i="19"/>
  <c r="KP61" i="19"/>
  <c r="CN62" i="19"/>
  <c r="KP62" i="19"/>
  <c r="CN63" i="19"/>
  <c r="KP63" i="19"/>
  <c r="CN64" i="19"/>
  <c r="KP64" i="19"/>
  <c r="CN65" i="19"/>
  <c r="KP65" i="19"/>
  <c r="CN66" i="19"/>
  <c r="KP66" i="19"/>
  <c r="CN67" i="19"/>
  <c r="KP67" i="19"/>
  <c r="CN68" i="19"/>
  <c r="KP68" i="19"/>
  <c r="CN69" i="19"/>
  <c r="KP69" i="19"/>
  <c r="CN70" i="19"/>
  <c r="KP70" i="19"/>
  <c r="CN71" i="19"/>
  <c r="KP71" i="19"/>
  <c r="CN72" i="19"/>
  <c r="KP72" i="19"/>
  <c r="CN73" i="19"/>
  <c r="KP73" i="19"/>
  <c r="CN74" i="19"/>
  <c r="KP74" i="19"/>
  <c r="CN75" i="19"/>
  <c r="KP75" i="19"/>
  <c r="CN76" i="19"/>
  <c r="KP76" i="19"/>
  <c r="CN77" i="19"/>
  <c r="KP77" i="19"/>
  <c r="CN78" i="19"/>
  <c r="KP78" i="19"/>
  <c r="CN79" i="19"/>
  <c r="KP79" i="19"/>
  <c r="CN80" i="19"/>
  <c r="KP80" i="19"/>
  <c r="CN81" i="19"/>
  <c r="KP81" i="19"/>
  <c r="CN82" i="19"/>
  <c r="KP82" i="19"/>
  <c r="CN83" i="19"/>
  <c r="KP83" i="19"/>
  <c r="CN84" i="19"/>
  <c r="KP84" i="19"/>
  <c r="CN85" i="19"/>
  <c r="KP85" i="19"/>
  <c r="CN86" i="19"/>
  <c r="KP86" i="19"/>
  <c r="CN87" i="19"/>
  <c r="KP87" i="19"/>
  <c r="CN88" i="19"/>
  <c r="KP88" i="19"/>
  <c r="CN89" i="19"/>
  <c r="KP89" i="19"/>
  <c r="CN90" i="19"/>
  <c r="KP90" i="19"/>
  <c r="CN91" i="19"/>
  <c r="KP91" i="19"/>
  <c r="CN92" i="19"/>
  <c r="KP92" i="19"/>
  <c r="CN93" i="19"/>
  <c r="KP93" i="19"/>
  <c r="CN94" i="19"/>
  <c r="KP94" i="19"/>
  <c r="CN95" i="19"/>
  <c r="KP95" i="19"/>
  <c r="CN96" i="19"/>
  <c r="KP96" i="19"/>
  <c r="CN97" i="19"/>
  <c r="KP97" i="19"/>
  <c r="CN98" i="19"/>
  <c r="KP98" i="19"/>
  <c r="CN99" i="19"/>
  <c r="KP99" i="19"/>
  <c r="CN100" i="19"/>
  <c r="KP100" i="19"/>
  <c r="CM10" i="19"/>
  <c r="KO10" i="19"/>
  <c r="CM11" i="19"/>
  <c r="KO11" i="19"/>
  <c r="CM12" i="19"/>
  <c r="KO12" i="19"/>
  <c r="CM13" i="19"/>
  <c r="KO13" i="19"/>
  <c r="CM14" i="19"/>
  <c r="KO14" i="19"/>
  <c r="CM15" i="19"/>
  <c r="KO15" i="19"/>
  <c r="CM16" i="19"/>
  <c r="KO16" i="19"/>
  <c r="CM17" i="19"/>
  <c r="KO17" i="19"/>
  <c r="CM18" i="19"/>
  <c r="KO18" i="19"/>
  <c r="CM19" i="19"/>
  <c r="KO19" i="19"/>
  <c r="CM20" i="19"/>
  <c r="KO20" i="19"/>
  <c r="CM21" i="19"/>
  <c r="KO21" i="19"/>
  <c r="CM22" i="19"/>
  <c r="KO22" i="19"/>
  <c r="CM23" i="19"/>
  <c r="KO23" i="19"/>
  <c r="CM24" i="19"/>
  <c r="KO24" i="19"/>
  <c r="CM25" i="19"/>
  <c r="KO25" i="19"/>
  <c r="CM26" i="19"/>
  <c r="KO26" i="19"/>
  <c r="CM27" i="19"/>
  <c r="KO27" i="19"/>
  <c r="CM28" i="19"/>
  <c r="KO28" i="19"/>
  <c r="CM29" i="19"/>
  <c r="KO29" i="19"/>
  <c r="CM30" i="19"/>
  <c r="KO30" i="19"/>
  <c r="CM31" i="19"/>
  <c r="KO31" i="19"/>
  <c r="CM32" i="19"/>
  <c r="KO32" i="19"/>
  <c r="CM33" i="19"/>
  <c r="KO33" i="19"/>
  <c r="CM34" i="19"/>
  <c r="KO34" i="19"/>
  <c r="CM35" i="19"/>
  <c r="KO35" i="19"/>
  <c r="CM36" i="19"/>
  <c r="KO36" i="19"/>
  <c r="CM37" i="19"/>
  <c r="KO37" i="19"/>
  <c r="CM38" i="19"/>
  <c r="KO38" i="19"/>
  <c r="CM39" i="19"/>
  <c r="KO39" i="19"/>
  <c r="CM40" i="19"/>
  <c r="KO40" i="19"/>
  <c r="CM41" i="19"/>
  <c r="KO41" i="19"/>
  <c r="CM43" i="19"/>
  <c r="KO43" i="19"/>
  <c r="CM44" i="19"/>
  <c r="KO44" i="19"/>
  <c r="CM45" i="19"/>
  <c r="KO45" i="19"/>
  <c r="CM46" i="19"/>
  <c r="KO46" i="19"/>
  <c r="CM47" i="19"/>
  <c r="KO47" i="19"/>
  <c r="CM48" i="19"/>
  <c r="KO48" i="19"/>
  <c r="CM49" i="19"/>
  <c r="KO49" i="19"/>
  <c r="CM50" i="19"/>
  <c r="KO50" i="19"/>
  <c r="CM51" i="19"/>
  <c r="KO51" i="19"/>
  <c r="CM52" i="19"/>
  <c r="KO52" i="19"/>
  <c r="CM53" i="19"/>
  <c r="KO53" i="19"/>
  <c r="CM54" i="19"/>
  <c r="KO54" i="19"/>
  <c r="CM55" i="19"/>
  <c r="KO55" i="19"/>
  <c r="CM56" i="19"/>
  <c r="KO56" i="19"/>
  <c r="CM57" i="19"/>
  <c r="KO57" i="19"/>
  <c r="CM58" i="19"/>
  <c r="KO58" i="19"/>
  <c r="CM59" i="19"/>
  <c r="KO59" i="19"/>
  <c r="CM60" i="19"/>
  <c r="KO60" i="19"/>
  <c r="CM61" i="19"/>
  <c r="KO61" i="19"/>
  <c r="CM62" i="19"/>
  <c r="KO62" i="19"/>
  <c r="CM63" i="19"/>
  <c r="CM64" i="19"/>
  <c r="KO64" i="19"/>
  <c r="CM65" i="19"/>
  <c r="KO65" i="19"/>
  <c r="CM66" i="19"/>
  <c r="KO66" i="19"/>
  <c r="CM67" i="19"/>
  <c r="KO67" i="19"/>
  <c r="CM68" i="19"/>
  <c r="KO68" i="19"/>
  <c r="CM69" i="19"/>
  <c r="KO69" i="19"/>
  <c r="CM70" i="19"/>
  <c r="KO70" i="19"/>
  <c r="CM71" i="19"/>
  <c r="KO71" i="19"/>
  <c r="CM72" i="19"/>
  <c r="KO72" i="19"/>
  <c r="CM73" i="19"/>
  <c r="KO73" i="19"/>
  <c r="CM74" i="19"/>
  <c r="KO74" i="19"/>
  <c r="CM75" i="19"/>
  <c r="KO75" i="19"/>
  <c r="CM76" i="19"/>
  <c r="KO76" i="19"/>
  <c r="CM77" i="19"/>
  <c r="KO77" i="19"/>
  <c r="CM78" i="19"/>
  <c r="KO78" i="19"/>
  <c r="CM79" i="19"/>
  <c r="KO79" i="19"/>
  <c r="CM80" i="19"/>
  <c r="KO80" i="19"/>
  <c r="CM81" i="19"/>
  <c r="KO81" i="19"/>
  <c r="CM82" i="19"/>
  <c r="KO82" i="19"/>
  <c r="CM83" i="19"/>
  <c r="KO83" i="19"/>
  <c r="CM84" i="19"/>
  <c r="KO84" i="19"/>
  <c r="CM85" i="19"/>
  <c r="KO85" i="19"/>
  <c r="CM86" i="19"/>
  <c r="KO86" i="19"/>
  <c r="CM87" i="19"/>
  <c r="KO87" i="19"/>
  <c r="CM88" i="19"/>
  <c r="KO88" i="19"/>
  <c r="CM89" i="19"/>
  <c r="KO89" i="19"/>
  <c r="CM90" i="19"/>
  <c r="KO90" i="19"/>
  <c r="CM91" i="19"/>
  <c r="KO91" i="19"/>
  <c r="CM92" i="19"/>
  <c r="KO92" i="19"/>
  <c r="CM93" i="19"/>
  <c r="KO93" i="19"/>
  <c r="CM94" i="19"/>
  <c r="KO94" i="19"/>
  <c r="CM95" i="19"/>
  <c r="KO95" i="19"/>
  <c r="CM96" i="19"/>
  <c r="KO96" i="19"/>
  <c r="CM97" i="19"/>
  <c r="KO97" i="19"/>
  <c r="CM98" i="19"/>
  <c r="KO98" i="19"/>
  <c r="CM99" i="19"/>
  <c r="KO99" i="19"/>
  <c r="CM100" i="19"/>
  <c r="KO100" i="19"/>
  <c r="CL10" i="19"/>
  <c r="KN10" i="19"/>
  <c r="CL12" i="19"/>
  <c r="KN12" i="19"/>
  <c r="CL13" i="19"/>
  <c r="KN13" i="19"/>
  <c r="CL14" i="19"/>
  <c r="KN14" i="19"/>
  <c r="CL15" i="19"/>
  <c r="KN15" i="19"/>
  <c r="CL16" i="19"/>
  <c r="KN16" i="19"/>
  <c r="CL17" i="19"/>
  <c r="KN17" i="19"/>
  <c r="CL18" i="19"/>
  <c r="KN18" i="19"/>
  <c r="CL19" i="19"/>
  <c r="KN19" i="19"/>
  <c r="CL20" i="19"/>
  <c r="KN20" i="19"/>
  <c r="CL21" i="19"/>
  <c r="KN21" i="19"/>
  <c r="CL22" i="19"/>
  <c r="KN22" i="19"/>
  <c r="CL23" i="19"/>
  <c r="KN23" i="19"/>
  <c r="CL24" i="19"/>
  <c r="KN24" i="19"/>
  <c r="CL26" i="19"/>
  <c r="KN26" i="19"/>
  <c r="CL27" i="19"/>
  <c r="KN27" i="19"/>
  <c r="CL28" i="19"/>
  <c r="KN28" i="19"/>
  <c r="CL29" i="19"/>
  <c r="KN29" i="19"/>
  <c r="CL30" i="19"/>
  <c r="KN30" i="19"/>
  <c r="CL32" i="19"/>
  <c r="KN32" i="19"/>
  <c r="CL33" i="19"/>
  <c r="KN33" i="19"/>
  <c r="CL34" i="19"/>
  <c r="KN34" i="19"/>
  <c r="CL35" i="19"/>
  <c r="KN35" i="19"/>
  <c r="CL36" i="19"/>
  <c r="KN36" i="19"/>
  <c r="CL38" i="19"/>
  <c r="CL39" i="19"/>
  <c r="KN39" i="19"/>
  <c r="CL40" i="19"/>
  <c r="KN40" i="19"/>
  <c r="CL41" i="19"/>
  <c r="KN41" i="19"/>
  <c r="CL43" i="19"/>
  <c r="KN43" i="19"/>
  <c r="CL44" i="19"/>
  <c r="KN44" i="19"/>
  <c r="CL45" i="19"/>
  <c r="KN45" i="19"/>
  <c r="CL46" i="19"/>
  <c r="KN46" i="19"/>
  <c r="CL47" i="19"/>
  <c r="KN47" i="19"/>
  <c r="CL48" i="19"/>
  <c r="KN48" i="19"/>
  <c r="CL49" i="19"/>
  <c r="KN49" i="19"/>
  <c r="CL50" i="19"/>
  <c r="KN50" i="19"/>
  <c r="CL51" i="19"/>
  <c r="KN51" i="19"/>
  <c r="CL52" i="19"/>
  <c r="KN52" i="19"/>
  <c r="CL53" i="19"/>
  <c r="KN53" i="19"/>
  <c r="CL54" i="19"/>
  <c r="KN54" i="19"/>
  <c r="CL55" i="19"/>
  <c r="KN55" i="19"/>
  <c r="CL56" i="19"/>
  <c r="KN56" i="19"/>
  <c r="CL57" i="19"/>
  <c r="KN57" i="19"/>
  <c r="CL58" i="19"/>
  <c r="KN58" i="19"/>
  <c r="CL59" i="19"/>
  <c r="KN59" i="19"/>
  <c r="CL60" i="19"/>
  <c r="KN60" i="19"/>
  <c r="CL61" i="19"/>
  <c r="KN61" i="19"/>
  <c r="CL62" i="19"/>
  <c r="KN62" i="19"/>
  <c r="CL63" i="19"/>
  <c r="KN63" i="19"/>
  <c r="CL64" i="19"/>
  <c r="KN64" i="19"/>
  <c r="CL65" i="19"/>
  <c r="KN65" i="19"/>
  <c r="CL66" i="19"/>
  <c r="KN66" i="19"/>
  <c r="CL67" i="19"/>
  <c r="KN67" i="19"/>
  <c r="CL69" i="19"/>
  <c r="KN69" i="19"/>
  <c r="CL75" i="19"/>
  <c r="KN75" i="19"/>
  <c r="CL80" i="19"/>
  <c r="KN80" i="19"/>
  <c r="CL81" i="19"/>
  <c r="KN81" i="19"/>
  <c r="CL83" i="19"/>
  <c r="KN83" i="19"/>
  <c r="CL84" i="19"/>
  <c r="KN84" i="19"/>
  <c r="CL85" i="19"/>
  <c r="KN85" i="19"/>
  <c r="CL86" i="19"/>
  <c r="KN86" i="19"/>
  <c r="CL87" i="19"/>
  <c r="KN87" i="19"/>
  <c r="CL88" i="19"/>
  <c r="KN88" i="19"/>
  <c r="CL89" i="19"/>
  <c r="KN89" i="19"/>
  <c r="CL90" i="19"/>
  <c r="KN90" i="19"/>
  <c r="CL91" i="19"/>
  <c r="KN91" i="19"/>
  <c r="CL92" i="19"/>
  <c r="KN92" i="19"/>
  <c r="CL93" i="19"/>
  <c r="KN93" i="19"/>
  <c r="CL94" i="19"/>
  <c r="KN94" i="19"/>
  <c r="CL96" i="19"/>
  <c r="KN96" i="19"/>
  <c r="CL97" i="19"/>
  <c r="KN97" i="19"/>
  <c r="CL98" i="19"/>
  <c r="KN98" i="19"/>
  <c r="CL99" i="19"/>
  <c r="KN99" i="19"/>
  <c r="CJ10" i="19"/>
  <c r="KL10" i="19"/>
  <c r="CJ11" i="19"/>
  <c r="KL11" i="19"/>
  <c r="CJ12" i="19"/>
  <c r="KL12" i="19"/>
  <c r="CJ13" i="19"/>
  <c r="KL13" i="19"/>
  <c r="CJ14" i="19"/>
  <c r="KL14" i="19"/>
  <c r="CJ15" i="19"/>
  <c r="KL15" i="19"/>
  <c r="CJ16" i="19"/>
  <c r="KL16" i="19"/>
  <c r="CJ17" i="19"/>
  <c r="KL17" i="19"/>
  <c r="CJ18" i="19"/>
  <c r="KL18" i="19"/>
  <c r="CJ19" i="19"/>
  <c r="KL19" i="19"/>
  <c r="CJ20" i="19"/>
  <c r="KL20" i="19"/>
  <c r="CJ21" i="19"/>
  <c r="KL21" i="19"/>
  <c r="CJ22" i="19"/>
  <c r="KL22" i="19"/>
  <c r="CJ23" i="19"/>
  <c r="KL23" i="19"/>
  <c r="CJ24" i="19"/>
  <c r="KL24" i="19"/>
  <c r="CJ25" i="19"/>
  <c r="KL25" i="19"/>
  <c r="CJ26" i="19"/>
  <c r="KL26" i="19"/>
  <c r="CJ27" i="19"/>
  <c r="KL27" i="19"/>
  <c r="CJ28" i="19"/>
  <c r="KL28" i="19"/>
  <c r="CJ29" i="19"/>
  <c r="KL29" i="19"/>
  <c r="CJ30" i="19"/>
  <c r="KL30" i="19"/>
  <c r="CJ31" i="19"/>
  <c r="KL31" i="19"/>
  <c r="CJ32" i="19"/>
  <c r="KL32" i="19"/>
  <c r="CJ33" i="19"/>
  <c r="KL33" i="19"/>
  <c r="CJ34" i="19"/>
  <c r="KL34" i="19"/>
  <c r="CJ35" i="19"/>
  <c r="KL35" i="19"/>
  <c r="CJ36" i="19"/>
  <c r="KL36" i="19"/>
  <c r="CJ37" i="19"/>
  <c r="KL37" i="19"/>
  <c r="CJ38" i="19"/>
  <c r="KL38" i="19"/>
  <c r="CJ39" i="19"/>
  <c r="KL39" i="19"/>
  <c r="CJ40" i="19"/>
  <c r="KL40" i="19"/>
  <c r="CJ41" i="19"/>
  <c r="KL41" i="19"/>
  <c r="CJ43" i="19"/>
  <c r="KL43" i="19"/>
  <c r="CJ44" i="19"/>
  <c r="KL44" i="19"/>
  <c r="CJ45" i="19"/>
  <c r="KL45" i="19"/>
  <c r="CJ46" i="19"/>
  <c r="KL46" i="19"/>
  <c r="CJ47" i="19"/>
  <c r="KL47" i="19"/>
  <c r="CJ48" i="19"/>
  <c r="KL48" i="19"/>
  <c r="CJ49" i="19"/>
  <c r="KL49" i="19"/>
  <c r="CJ50" i="19"/>
  <c r="KL50" i="19"/>
  <c r="CJ51" i="19"/>
  <c r="KL51" i="19"/>
  <c r="CJ52" i="19"/>
  <c r="KL52" i="19"/>
  <c r="CJ53" i="19"/>
  <c r="KL53" i="19"/>
  <c r="CJ54" i="19"/>
  <c r="KL54" i="19"/>
  <c r="CJ55" i="19"/>
  <c r="KL55" i="19"/>
  <c r="CJ56" i="19"/>
  <c r="KL56" i="19"/>
  <c r="CJ57" i="19"/>
  <c r="KL57" i="19"/>
  <c r="CJ58" i="19"/>
  <c r="KL58" i="19"/>
  <c r="CJ59" i="19"/>
  <c r="KL59" i="19"/>
  <c r="CJ60" i="19"/>
  <c r="KL60" i="19"/>
  <c r="CJ61" i="19"/>
  <c r="KL61" i="19"/>
  <c r="CJ62" i="19"/>
  <c r="KL62" i="19"/>
  <c r="CJ63" i="19"/>
  <c r="KL63" i="19"/>
  <c r="CJ64" i="19"/>
  <c r="KL64" i="19"/>
  <c r="CJ65" i="19"/>
  <c r="KL65" i="19"/>
  <c r="CJ66" i="19"/>
  <c r="KL66" i="19"/>
  <c r="CJ67" i="19"/>
  <c r="KL67" i="19"/>
  <c r="CJ68" i="19"/>
  <c r="KL68" i="19"/>
  <c r="CJ69" i="19"/>
  <c r="KL69" i="19"/>
  <c r="CJ70" i="19"/>
  <c r="KL70" i="19"/>
  <c r="CJ71" i="19"/>
  <c r="KL71" i="19"/>
  <c r="CJ72" i="19"/>
  <c r="KL72" i="19"/>
  <c r="CJ73" i="19"/>
  <c r="KL73" i="19"/>
  <c r="CJ74" i="19"/>
  <c r="KL74" i="19"/>
  <c r="CJ75" i="19"/>
  <c r="KL75" i="19"/>
  <c r="CJ76" i="19"/>
  <c r="KL76" i="19"/>
  <c r="CJ77" i="19"/>
  <c r="KL77" i="19"/>
  <c r="CJ78" i="19"/>
  <c r="KL78" i="19"/>
  <c r="CJ79" i="19"/>
  <c r="KL79" i="19"/>
  <c r="CJ80" i="19"/>
  <c r="KL80" i="19"/>
  <c r="CJ81" i="19"/>
  <c r="KL81" i="19"/>
  <c r="CJ82" i="19"/>
  <c r="KL82" i="19"/>
  <c r="CJ83" i="19"/>
  <c r="KL83" i="19"/>
  <c r="CJ84" i="19"/>
  <c r="KL84" i="19"/>
  <c r="CJ85" i="19"/>
  <c r="KL85" i="19"/>
  <c r="CJ86" i="19"/>
  <c r="KL86" i="19"/>
  <c r="CJ87" i="19"/>
  <c r="KL87" i="19"/>
  <c r="CJ88" i="19"/>
  <c r="KL88" i="19"/>
  <c r="CJ89" i="19"/>
  <c r="KL89" i="19"/>
  <c r="CJ90" i="19"/>
  <c r="KL90" i="19"/>
  <c r="CJ91" i="19"/>
  <c r="KL91" i="19"/>
  <c r="CJ92" i="19"/>
  <c r="KL92" i="19"/>
  <c r="CJ93" i="19"/>
  <c r="KL93" i="19"/>
  <c r="CJ94" i="19"/>
  <c r="KL94" i="19"/>
  <c r="CJ95" i="19"/>
  <c r="KL95" i="19"/>
  <c r="CJ96" i="19"/>
  <c r="KL96" i="19"/>
  <c r="CJ97" i="19"/>
  <c r="KL97" i="19"/>
  <c r="CJ98" i="19"/>
  <c r="KL98" i="19"/>
  <c r="CJ99" i="19"/>
  <c r="KL99" i="19"/>
  <c r="CJ100" i="19"/>
  <c r="KL100" i="19"/>
  <c r="CH11" i="19"/>
  <c r="KJ11" i="19"/>
  <c r="CH12" i="19"/>
  <c r="KJ12" i="19"/>
  <c r="CH13" i="19"/>
  <c r="KJ13" i="19"/>
  <c r="CH14" i="19"/>
  <c r="KJ14" i="19"/>
  <c r="CH15" i="19"/>
  <c r="KJ15" i="19"/>
  <c r="CH16" i="19"/>
  <c r="KJ16" i="19"/>
  <c r="CH17" i="19"/>
  <c r="KJ17" i="19"/>
  <c r="CH18" i="19"/>
  <c r="KJ18" i="19"/>
  <c r="CH19" i="19"/>
  <c r="KJ19" i="19"/>
  <c r="CH20" i="19"/>
  <c r="KJ20" i="19"/>
  <c r="CH21" i="19"/>
  <c r="KJ21" i="19"/>
  <c r="CH22" i="19"/>
  <c r="KJ22" i="19"/>
  <c r="CH23" i="19"/>
  <c r="KJ23" i="19"/>
  <c r="CH24" i="19"/>
  <c r="KJ24" i="19"/>
  <c r="CH25" i="19"/>
  <c r="KJ25" i="19"/>
  <c r="CH26" i="19"/>
  <c r="KJ26" i="19"/>
  <c r="CH27" i="19"/>
  <c r="KJ27" i="19"/>
  <c r="CH28" i="19"/>
  <c r="KJ28" i="19"/>
  <c r="CH29" i="19"/>
  <c r="KJ29" i="19"/>
  <c r="CH30" i="19"/>
  <c r="KJ30" i="19"/>
  <c r="CH31" i="19"/>
  <c r="CH32" i="19"/>
  <c r="KJ32" i="19"/>
  <c r="CH33" i="19"/>
  <c r="KJ33" i="19"/>
  <c r="CH34" i="19"/>
  <c r="KJ34" i="19"/>
  <c r="CH35" i="19"/>
  <c r="KJ35" i="19"/>
  <c r="CH36" i="19"/>
  <c r="KJ36" i="19"/>
  <c r="CH37" i="19"/>
  <c r="KJ37" i="19"/>
  <c r="CH38" i="19"/>
  <c r="KJ38" i="19"/>
  <c r="CH39" i="19"/>
  <c r="KJ39" i="19"/>
  <c r="CH40" i="19"/>
  <c r="KJ40" i="19"/>
  <c r="CH41" i="19"/>
  <c r="KJ41" i="19"/>
  <c r="CH43" i="19"/>
  <c r="KJ43" i="19"/>
  <c r="CH44" i="19"/>
  <c r="KJ44" i="19"/>
  <c r="CH45" i="19"/>
  <c r="KJ45" i="19"/>
  <c r="CH46" i="19"/>
  <c r="KJ46" i="19"/>
  <c r="CH47" i="19"/>
  <c r="CH48" i="19"/>
  <c r="KJ48" i="19"/>
  <c r="CH49" i="19"/>
  <c r="KJ49" i="19"/>
  <c r="CH50" i="19"/>
  <c r="KJ50" i="19"/>
  <c r="CH51" i="19"/>
  <c r="KJ51" i="19"/>
  <c r="CH52" i="19"/>
  <c r="KJ52" i="19"/>
  <c r="CH53" i="19"/>
  <c r="KJ53" i="19"/>
  <c r="CH54" i="19"/>
  <c r="KJ54" i="19"/>
  <c r="CH55" i="19"/>
  <c r="KJ55" i="19"/>
  <c r="CH56" i="19"/>
  <c r="KJ56" i="19"/>
  <c r="CH57" i="19"/>
  <c r="KJ57" i="19"/>
  <c r="CH58" i="19"/>
  <c r="KJ58" i="19"/>
  <c r="CH59" i="19"/>
  <c r="KJ59" i="19"/>
  <c r="CH60" i="19"/>
  <c r="KJ60" i="19"/>
  <c r="CH61" i="19"/>
  <c r="KJ61" i="19"/>
  <c r="CH62" i="19"/>
  <c r="KJ62" i="19"/>
  <c r="CH63" i="19"/>
  <c r="KJ63" i="19"/>
  <c r="CH64" i="19"/>
  <c r="KJ64" i="19"/>
  <c r="CH65" i="19"/>
  <c r="KJ65" i="19"/>
  <c r="CH66" i="19"/>
  <c r="KJ66" i="19"/>
  <c r="CH67" i="19"/>
  <c r="KJ67" i="19"/>
  <c r="CH68" i="19"/>
  <c r="KJ68" i="19"/>
  <c r="CH69" i="19"/>
  <c r="KJ69" i="19"/>
  <c r="CH70" i="19"/>
  <c r="KJ70" i="19"/>
  <c r="CH71" i="19"/>
  <c r="KJ71" i="19"/>
  <c r="CH72" i="19"/>
  <c r="KJ72" i="19"/>
  <c r="CH73" i="19"/>
  <c r="KJ73" i="19"/>
  <c r="CH74" i="19"/>
  <c r="KJ74" i="19"/>
  <c r="CH75" i="19"/>
  <c r="KJ75" i="19"/>
  <c r="CH76" i="19"/>
  <c r="KJ76" i="19"/>
  <c r="CH77" i="19"/>
  <c r="KJ77" i="19"/>
  <c r="CH78" i="19"/>
  <c r="KJ78" i="19"/>
  <c r="CH79" i="19"/>
  <c r="KJ79" i="19"/>
  <c r="CH80" i="19"/>
  <c r="KJ80" i="19"/>
  <c r="CH81" i="19"/>
  <c r="KJ81" i="19"/>
  <c r="CH82" i="19"/>
  <c r="KJ82" i="19"/>
  <c r="CH83" i="19"/>
  <c r="KJ83" i="19"/>
  <c r="CH84" i="19"/>
  <c r="KJ84" i="19"/>
  <c r="CH85" i="19"/>
  <c r="KJ85" i="19"/>
  <c r="CH86" i="19"/>
  <c r="KJ86" i="19"/>
  <c r="CH87" i="19"/>
  <c r="KJ87" i="19"/>
  <c r="CH88" i="19"/>
  <c r="KJ88" i="19"/>
  <c r="CH89" i="19"/>
  <c r="KJ89" i="19"/>
  <c r="CH90" i="19"/>
  <c r="KJ90" i="19"/>
  <c r="CH91" i="19"/>
  <c r="KJ91" i="19"/>
  <c r="CH92" i="19"/>
  <c r="KJ92" i="19"/>
  <c r="CH93" i="19"/>
  <c r="KJ93" i="19"/>
  <c r="CH94" i="19"/>
  <c r="KJ94" i="19"/>
  <c r="CH95" i="19"/>
  <c r="KJ95" i="19"/>
  <c r="CH96" i="19"/>
  <c r="KJ96" i="19"/>
  <c r="CH97" i="19"/>
  <c r="KJ97" i="19"/>
  <c r="CH98" i="19"/>
  <c r="KJ98" i="19"/>
  <c r="CH99" i="19"/>
  <c r="KJ99" i="19"/>
  <c r="CH100" i="19"/>
  <c r="KJ100" i="19"/>
  <c r="BG10" i="19"/>
  <c r="IP10" i="19"/>
  <c r="BJ10" i="19"/>
  <c r="BJ11" i="19"/>
  <c r="BG12" i="19"/>
  <c r="BJ12" i="19"/>
  <c r="BF13" i="19"/>
  <c r="BG13" i="19"/>
  <c r="IP13" i="19"/>
  <c r="BJ13" i="19"/>
  <c r="BF14" i="19"/>
  <c r="BG14" i="19"/>
  <c r="IP14" i="19"/>
  <c r="BJ14" i="19"/>
  <c r="BJ15" i="19"/>
  <c r="BG16" i="19"/>
  <c r="IP16" i="19"/>
  <c r="IQ16" i="19"/>
  <c r="BJ16" i="19"/>
  <c r="BF17" i="19"/>
  <c r="BG17" i="19"/>
  <c r="BJ17" i="19"/>
  <c r="BG18" i="19"/>
  <c r="IP18" i="19"/>
  <c r="IO18" i="19"/>
  <c r="BJ18" i="19"/>
  <c r="BF19" i="19"/>
  <c r="BJ19" i="19"/>
  <c r="BG20" i="19"/>
  <c r="IP20" i="19"/>
  <c r="IQ20" i="19"/>
  <c r="BJ20" i="19"/>
  <c r="BF21" i="19"/>
  <c r="BG21" i="19"/>
  <c r="IP21" i="19"/>
  <c r="BJ21" i="19"/>
  <c r="BF22" i="19"/>
  <c r="BG22" i="19"/>
  <c r="BJ22" i="19"/>
  <c r="BJ23" i="19"/>
  <c r="BF24" i="19"/>
  <c r="BG24" i="19"/>
  <c r="IP24" i="19"/>
  <c r="IO24" i="19"/>
  <c r="BJ24" i="19"/>
  <c r="BF25" i="19"/>
  <c r="BG25" i="19"/>
  <c r="IP25" i="19"/>
  <c r="IO25" i="19"/>
  <c r="BJ25" i="19"/>
  <c r="BG26" i="19"/>
  <c r="IP26" i="19"/>
  <c r="IQ26" i="19"/>
  <c r="BJ26" i="19"/>
  <c r="BG27" i="19"/>
  <c r="IP27" i="19"/>
  <c r="BJ27" i="19"/>
  <c r="BG28" i="19"/>
  <c r="IP28" i="19"/>
  <c r="BJ28" i="19"/>
  <c r="BF29" i="19"/>
  <c r="BG29" i="19"/>
  <c r="IP29" i="19"/>
  <c r="BJ29" i="19"/>
  <c r="BF30" i="19"/>
  <c r="BG30" i="19"/>
  <c r="IP30" i="19"/>
  <c r="BJ30" i="19"/>
  <c r="BG31" i="19"/>
  <c r="BJ31" i="19"/>
  <c r="BF32" i="19"/>
  <c r="BJ32" i="19"/>
  <c r="BF33" i="19"/>
  <c r="BG33" i="19"/>
  <c r="IP33" i="19"/>
  <c r="IQ33" i="19"/>
  <c r="BJ33" i="19"/>
  <c r="BF34" i="19"/>
  <c r="BG34" i="19"/>
  <c r="IP34" i="19"/>
  <c r="BJ34" i="19"/>
  <c r="BF35" i="19"/>
  <c r="BG35" i="19"/>
  <c r="BJ35" i="19"/>
  <c r="BG36" i="19"/>
  <c r="IP36" i="19"/>
  <c r="IO36" i="19"/>
  <c r="BJ36" i="19"/>
  <c r="BF37" i="19"/>
  <c r="BJ37" i="19"/>
  <c r="BF38" i="19"/>
  <c r="BG38" i="19"/>
  <c r="IP38" i="19"/>
  <c r="BJ38" i="19"/>
  <c r="BF39" i="19"/>
  <c r="BG39" i="19"/>
  <c r="IP39" i="19"/>
  <c r="IO39" i="19"/>
  <c r="BJ39" i="19"/>
  <c r="BG40" i="19"/>
  <c r="IP40" i="19"/>
  <c r="IO40" i="19"/>
  <c r="BJ40" i="19"/>
  <c r="BF41" i="19"/>
  <c r="BG41" i="19"/>
  <c r="IP41" i="19"/>
  <c r="BJ41" i="19"/>
  <c r="BF43" i="19"/>
  <c r="BG43" i="19"/>
  <c r="IP43" i="19"/>
  <c r="IO43" i="19"/>
  <c r="BJ43" i="19"/>
  <c r="BG44" i="19"/>
  <c r="IP44" i="19"/>
  <c r="BJ44" i="19"/>
  <c r="BF45" i="19"/>
  <c r="BG45" i="19"/>
  <c r="IP45" i="19"/>
  <c r="IQ45" i="19"/>
  <c r="BJ45" i="19"/>
  <c r="BJ46" i="19"/>
  <c r="BJ47" i="19"/>
  <c r="BJ48" i="19"/>
  <c r="BJ49" i="19"/>
  <c r="BJ50" i="19"/>
  <c r="BJ51" i="19"/>
  <c r="BJ52" i="19"/>
  <c r="BJ53" i="19"/>
  <c r="BJ54" i="19"/>
  <c r="BJ55" i="19"/>
  <c r="BJ56" i="19"/>
  <c r="BJ57" i="19"/>
  <c r="BJ58" i="19"/>
  <c r="BJ59" i="19"/>
  <c r="BJ60" i="19"/>
  <c r="BJ61" i="19"/>
  <c r="BJ62" i="19"/>
  <c r="BJ63" i="19"/>
  <c r="BJ64" i="19"/>
  <c r="BJ65" i="19"/>
  <c r="BJ66" i="19"/>
  <c r="BJ67" i="19"/>
  <c r="BJ68" i="19"/>
  <c r="BJ69" i="19"/>
  <c r="BJ70" i="19"/>
  <c r="BJ71" i="19"/>
  <c r="BJ72" i="19"/>
  <c r="BJ73" i="19"/>
  <c r="BJ74" i="19"/>
  <c r="BJ75" i="19"/>
  <c r="BJ76" i="19"/>
  <c r="BJ77" i="19"/>
  <c r="BJ78" i="19"/>
  <c r="BJ79" i="19"/>
  <c r="BJ80" i="19"/>
  <c r="BJ81" i="19"/>
  <c r="BJ82" i="19"/>
  <c r="BJ83" i="19"/>
  <c r="BJ84" i="19"/>
  <c r="BJ85" i="19"/>
  <c r="BJ86" i="19"/>
  <c r="BJ87" i="19"/>
  <c r="BJ88" i="19"/>
  <c r="BJ89" i="19"/>
  <c r="BJ90" i="19"/>
  <c r="BJ91" i="19"/>
  <c r="BJ92" i="19"/>
  <c r="BJ93" i="19"/>
  <c r="BJ94" i="19"/>
  <c r="BJ95" i="19"/>
  <c r="BJ96" i="19"/>
  <c r="BJ97" i="19"/>
  <c r="BJ98" i="19"/>
  <c r="BJ99" i="19"/>
  <c r="BJ100" i="19"/>
  <c r="BF46" i="19"/>
  <c r="BG46" i="19"/>
  <c r="IP46" i="19"/>
  <c r="IO46" i="19"/>
  <c r="BF47" i="19"/>
  <c r="BG47" i="19"/>
  <c r="IP47" i="19"/>
  <c r="IQ47" i="19"/>
  <c r="BG48" i="19"/>
  <c r="BF49" i="19"/>
  <c r="BG49" i="19"/>
  <c r="IP49" i="19"/>
  <c r="BF50" i="19"/>
  <c r="BG50" i="19"/>
  <c r="IP50" i="19"/>
  <c r="BF51" i="19"/>
  <c r="BG51" i="19"/>
  <c r="IP51" i="19"/>
  <c r="IQ51" i="19"/>
  <c r="BG52" i="19"/>
  <c r="IP52" i="19"/>
  <c r="IO52" i="19"/>
  <c r="BF53" i="19"/>
  <c r="BG53" i="19"/>
  <c r="IP53" i="19"/>
  <c r="BG54" i="19"/>
  <c r="IP54" i="19"/>
  <c r="IO54" i="19"/>
  <c r="BG55" i="19"/>
  <c r="IP55" i="19"/>
  <c r="BF56" i="19"/>
  <c r="BG56" i="19"/>
  <c r="IP56" i="19"/>
  <c r="IQ56" i="19"/>
  <c r="BF57" i="19"/>
  <c r="BG57" i="19"/>
  <c r="IP57" i="19"/>
  <c r="BF58" i="19"/>
  <c r="BG58" i="19"/>
  <c r="IP58" i="19"/>
  <c r="IQ58" i="19"/>
  <c r="BF59" i="19"/>
  <c r="BG59" i="19"/>
  <c r="IP59" i="19"/>
  <c r="IO59" i="19"/>
  <c r="BF60" i="19"/>
  <c r="BG60" i="19"/>
  <c r="IP60" i="19"/>
  <c r="IQ60" i="19"/>
  <c r="BF61" i="19"/>
  <c r="BG61" i="19"/>
  <c r="IP61" i="19"/>
  <c r="BF62" i="19"/>
  <c r="BG62" i="19"/>
  <c r="BF63" i="19"/>
  <c r="BG63" i="19"/>
  <c r="IP63" i="19"/>
  <c r="BF64" i="19"/>
  <c r="BG64" i="19"/>
  <c r="IP64" i="19"/>
  <c r="IO64" i="19"/>
  <c r="BG65" i="19"/>
  <c r="IP65" i="19"/>
  <c r="IO65" i="19"/>
  <c r="BG66" i="19"/>
  <c r="IP66" i="19"/>
  <c r="IQ66" i="19"/>
  <c r="BG67" i="19"/>
  <c r="IP67" i="19"/>
  <c r="BG68" i="19"/>
  <c r="IP68" i="19"/>
  <c r="BF69" i="19"/>
  <c r="BG69" i="19"/>
  <c r="BF70" i="19"/>
  <c r="BG70" i="19"/>
  <c r="IP70" i="19"/>
  <c r="BG71" i="19"/>
  <c r="IP71" i="19"/>
  <c r="IO71" i="19"/>
  <c r="BG72" i="19"/>
  <c r="IP72" i="19"/>
  <c r="BF73" i="19"/>
  <c r="BG73" i="19"/>
  <c r="BF74" i="19"/>
  <c r="BG74" i="19"/>
  <c r="IP74" i="19"/>
  <c r="IQ74" i="19"/>
  <c r="BG75" i="19"/>
  <c r="IP75" i="19"/>
  <c r="BG76" i="19"/>
  <c r="IP76" i="19"/>
  <c r="IO76" i="19"/>
  <c r="BF77" i="19"/>
  <c r="BG77" i="19"/>
  <c r="IP77" i="19"/>
  <c r="IO77" i="19"/>
  <c r="BF78" i="19"/>
  <c r="BG78" i="19"/>
  <c r="BG79" i="19"/>
  <c r="IP79" i="19"/>
  <c r="IQ79" i="19"/>
  <c r="BG80" i="19"/>
  <c r="IP80" i="19"/>
  <c r="BF81" i="19"/>
  <c r="BG81" i="19"/>
  <c r="IP81" i="19"/>
  <c r="IQ81" i="19"/>
  <c r="BF82" i="19"/>
  <c r="BG82" i="19"/>
  <c r="IP82" i="19"/>
  <c r="IQ82" i="19"/>
  <c r="BG83" i="19"/>
  <c r="IP83" i="19"/>
  <c r="BG84" i="19"/>
  <c r="BF85" i="19"/>
  <c r="BG85" i="19"/>
  <c r="IP85" i="19"/>
  <c r="IQ85" i="19"/>
  <c r="BF86" i="19"/>
  <c r="BG86" i="19"/>
  <c r="IP86" i="19"/>
  <c r="BG87" i="19"/>
  <c r="IP87" i="19"/>
  <c r="BF88" i="19"/>
  <c r="BG88" i="19"/>
  <c r="IP88" i="19"/>
  <c r="BF89" i="19"/>
  <c r="BG89" i="19"/>
  <c r="IP89" i="19"/>
  <c r="BF90" i="19"/>
  <c r="BG90" i="19"/>
  <c r="IP90" i="19"/>
  <c r="BG91" i="19"/>
  <c r="IP91" i="19"/>
  <c r="BG92" i="19"/>
  <c r="IP92" i="19"/>
  <c r="IO92" i="19"/>
  <c r="BF93" i="19"/>
  <c r="BG93" i="19"/>
  <c r="IP93" i="19"/>
  <c r="BF94" i="19"/>
  <c r="BG94" i="19"/>
  <c r="IP94" i="19"/>
  <c r="BG95" i="19"/>
  <c r="IP95" i="19"/>
  <c r="BF96" i="19"/>
  <c r="BF97" i="19"/>
  <c r="BG97" i="19"/>
  <c r="IP97" i="19"/>
  <c r="IO97" i="19"/>
  <c r="BF98" i="19"/>
  <c r="BF91" i="19"/>
  <c r="BF92" i="19"/>
  <c r="BF20" i="19"/>
  <c r="BF10" i="19"/>
  <c r="BF11" i="19"/>
  <c r="BF12" i="19"/>
  <c r="BF15" i="19"/>
  <c r="BF16" i="19"/>
  <c r="BF18" i="19"/>
  <c r="BF23" i="19"/>
  <c r="BF26" i="19"/>
  <c r="BF28" i="19"/>
  <c r="BF36" i="19"/>
  <c r="BF40" i="19"/>
  <c r="BF44" i="19"/>
  <c r="BF54" i="19"/>
  <c r="BF55" i="19"/>
  <c r="BF68" i="19"/>
  <c r="BF71" i="19"/>
  <c r="BF72" i="19"/>
  <c r="BF75" i="19"/>
  <c r="BF76" i="19"/>
  <c r="BK76" i="19"/>
  <c r="BF79" i="19"/>
  <c r="BF83" i="19"/>
  <c r="BF84" i="19"/>
  <c r="BF87" i="19"/>
  <c r="BF95" i="19"/>
  <c r="BF99" i="19"/>
  <c r="BG98" i="19"/>
  <c r="BG99" i="19"/>
  <c r="IP99" i="19"/>
  <c r="IQ99" i="19"/>
  <c r="BG100" i="19"/>
  <c r="IP100" i="19"/>
  <c r="IQ100" i="19"/>
  <c r="AF10" i="19"/>
  <c r="AF11" i="19"/>
  <c r="AF12" i="19"/>
  <c r="BE12" i="19"/>
  <c r="AF13" i="19"/>
  <c r="BE13" i="19"/>
  <c r="AF14" i="19"/>
  <c r="BE14" i="19"/>
  <c r="AF15" i="19"/>
  <c r="BE15" i="19"/>
  <c r="AF16" i="19"/>
  <c r="BE16" i="19"/>
  <c r="BD16" i="19"/>
  <c r="AF17" i="19"/>
  <c r="BE17" i="19"/>
  <c r="AF18" i="19"/>
  <c r="BE18" i="19"/>
  <c r="AF19" i="19"/>
  <c r="BE19" i="19"/>
  <c r="AF20" i="19"/>
  <c r="BE20" i="19"/>
  <c r="AF21" i="19"/>
  <c r="BE21" i="19"/>
  <c r="AF22" i="19"/>
  <c r="BE22" i="19"/>
  <c r="AF23" i="19"/>
  <c r="BE23" i="19"/>
  <c r="AF25" i="19"/>
  <c r="BE25" i="19"/>
  <c r="AF26" i="19"/>
  <c r="BE26" i="19"/>
  <c r="AF27" i="19"/>
  <c r="BE27" i="19"/>
  <c r="AF28" i="19"/>
  <c r="BE28" i="19"/>
  <c r="AF29" i="19"/>
  <c r="BE29" i="19"/>
  <c r="AF30" i="19"/>
  <c r="BE30" i="19"/>
  <c r="AF31" i="19"/>
  <c r="BE31" i="19"/>
  <c r="AF32" i="19"/>
  <c r="BE32" i="19"/>
  <c r="AF33" i="19"/>
  <c r="BE33" i="19"/>
  <c r="BD33" i="19"/>
  <c r="AF34" i="19"/>
  <c r="BE34" i="19"/>
  <c r="AF35" i="19"/>
  <c r="BE35" i="19"/>
  <c r="AF36" i="19"/>
  <c r="BE36" i="19"/>
  <c r="AF37" i="19"/>
  <c r="BE37" i="19"/>
  <c r="AF38" i="19"/>
  <c r="BE38" i="19"/>
  <c r="AF39" i="19"/>
  <c r="BE39" i="19"/>
  <c r="AF40" i="19"/>
  <c r="BE40" i="19"/>
  <c r="AF41" i="19"/>
  <c r="BE41" i="19"/>
  <c r="AF43" i="19"/>
  <c r="BE43" i="19"/>
  <c r="AF44" i="19"/>
  <c r="BE44" i="19"/>
  <c r="AF45" i="19"/>
  <c r="BE45" i="19"/>
  <c r="BD45" i="19"/>
  <c r="AF46" i="19"/>
  <c r="BE46" i="19"/>
  <c r="AF47" i="19"/>
  <c r="BE47" i="19"/>
  <c r="AF48" i="19"/>
  <c r="BE48" i="19"/>
  <c r="AF49" i="19"/>
  <c r="BE49" i="19"/>
  <c r="AF50" i="19"/>
  <c r="BE50" i="19"/>
  <c r="AF51" i="19"/>
  <c r="BE51" i="19"/>
  <c r="AF52" i="19"/>
  <c r="BE52" i="19"/>
  <c r="AF53" i="19"/>
  <c r="BE53" i="19"/>
  <c r="AF55" i="19"/>
  <c r="BE55" i="19"/>
  <c r="AF56" i="19"/>
  <c r="BE56" i="19"/>
  <c r="AF57" i="19"/>
  <c r="BE57" i="19"/>
  <c r="AF58" i="19"/>
  <c r="BE58" i="19"/>
  <c r="AF59" i="19"/>
  <c r="BE59" i="19"/>
  <c r="AF60" i="19"/>
  <c r="BE60" i="19"/>
  <c r="AF61" i="19"/>
  <c r="AF62" i="19"/>
  <c r="BE62" i="19"/>
  <c r="AF63" i="19"/>
  <c r="BE63" i="19"/>
  <c r="BD63" i="19"/>
  <c r="AF64" i="19"/>
  <c r="BE64" i="19"/>
  <c r="AF65" i="19"/>
  <c r="AF66" i="19"/>
  <c r="BE66" i="19"/>
  <c r="AF94" i="19"/>
  <c r="BE94" i="19"/>
  <c r="AF96" i="19"/>
  <c r="BE96" i="19"/>
  <c r="AF97" i="19"/>
  <c r="BE97" i="19"/>
  <c r="AF98" i="19"/>
  <c r="BE98" i="19"/>
  <c r="JC100" i="19"/>
  <c r="AW100" i="19"/>
  <c r="AQ100" i="19"/>
  <c r="AR100" i="19"/>
  <c r="AO100" i="19"/>
  <c r="AP100" i="19"/>
  <c r="AW99" i="19"/>
  <c r="BA99" i="19"/>
  <c r="AQ99" i="19"/>
  <c r="AR99" i="19"/>
  <c r="AO99" i="19"/>
  <c r="AJ100" i="19"/>
  <c r="AJ99" i="19"/>
  <c r="BG37" i="19"/>
  <c r="IP37" i="19"/>
  <c r="BB10" i="19"/>
  <c r="BB11" i="19"/>
  <c r="JC11" i="19"/>
  <c r="BB12" i="19"/>
  <c r="JC12" i="19"/>
  <c r="BB13" i="19"/>
  <c r="JC13" i="19"/>
  <c r="BB14" i="19"/>
  <c r="JC14" i="19"/>
  <c r="BB15" i="19"/>
  <c r="JC15" i="19"/>
  <c r="BB16" i="19"/>
  <c r="JC16" i="19"/>
  <c r="BB17" i="19"/>
  <c r="JC17" i="19"/>
  <c r="BB18" i="19"/>
  <c r="JC18" i="19"/>
  <c r="BB19" i="19"/>
  <c r="JC19" i="19"/>
  <c r="BB20" i="19"/>
  <c r="JC20" i="19"/>
  <c r="BB21" i="19"/>
  <c r="JC21" i="19"/>
  <c r="BB22" i="19"/>
  <c r="JC22" i="19"/>
  <c r="BB23" i="19"/>
  <c r="JC23" i="19"/>
  <c r="BB24" i="19"/>
  <c r="JC24" i="19"/>
  <c r="BB25" i="19"/>
  <c r="JC25" i="19"/>
  <c r="BB26" i="19"/>
  <c r="JC26" i="19"/>
  <c r="BB27" i="19"/>
  <c r="JC27" i="19"/>
  <c r="BB28" i="19"/>
  <c r="JC28" i="19"/>
  <c r="BB29" i="19"/>
  <c r="BB30" i="19"/>
  <c r="JC30" i="19"/>
  <c r="BB31" i="19"/>
  <c r="JC31" i="19"/>
  <c r="BB32" i="19"/>
  <c r="JC32" i="19"/>
  <c r="BB33" i="19"/>
  <c r="JC33" i="19"/>
  <c r="BB34" i="19"/>
  <c r="JC34" i="19"/>
  <c r="BB35" i="19"/>
  <c r="JC35" i="19"/>
  <c r="BB36" i="19"/>
  <c r="JC36" i="19"/>
  <c r="BB37" i="19"/>
  <c r="JC37" i="19"/>
  <c r="BB38" i="19"/>
  <c r="JC38" i="19"/>
  <c r="BB39" i="19"/>
  <c r="JC39" i="19"/>
  <c r="BB40" i="19"/>
  <c r="JC40" i="19"/>
  <c r="BB41" i="19"/>
  <c r="JC41" i="19"/>
  <c r="BB43" i="19"/>
  <c r="JC43" i="19"/>
  <c r="BB44" i="19"/>
  <c r="JC44" i="19"/>
  <c r="BB45" i="19"/>
  <c r="JC45" i="19"/>
  <c r="BB46" i="19"/>
  <c r="JC46" i="19"/>
  <c r="BB47" i="19"/>
  <c r="JC47" i="19"/>
  <c r="BB48" i="19"/>
  <c r="JC48" i="19"/>
  <c r="BB49" i="19"/>
  <c r="JC49" i="19"/>
  <c r="BB50" i="19"/>
  <c r="JC50" i="19"/>
  <c r="BB51" i="19"/>
  <c r="JC51" i="19"/>
  <c r="BB52" i="19"/>
  <c r="JC52" i="19"/>
  <c r="BB53" i="19"/>
  <c r="JC53" i="19"/>
  <c r="BB54" i="19"/>
  <c r="JC54" i="19"/>
  <c r="BB55" i="19"/>
  <c r="JC55" i="19"/>
  <c r="BB56" i="19"/>
  <c r="JC56" i="19"/>
  <c r="BB57" i="19"/>
  <c r="JC57" i="19"/>
  <c r="BB58" i="19"/>
  <c r="JC58" i="19"/>
  <c r="BB59" i="19"/>
  <c r="JC59" i="19"/>
  <c r="BB60" i="19"/>
  <c r="JC60" i="19"/>
  <c r="BB61" i="19"/>
  <c r="JC61" i="19"/>
  <c r="BB62" i="19"/>
  <c r="JC62" i="19"/>
  <c r="BB63" i="19"/>
  <c r="JC63" i="19"/>
  <c r="BB64" i="19"/>
  <c r="JC64" i="19"/>
  <c r="BB65" i="19"/>
  <c r="JC65" i="19"/>
  <c r="BB66" i="19"/>
  <c r="JC66" i="19"/>
  <c r="BB67" i="19"/>
  <c r="JC67" i="19"/>
  <c r="BB68" i="19"/>
  <c r="JC68" i="19"/>
  <c r="BB69" i="19"/>
  <c r="JC69" i="19"/>
  <c r="BB70" i="19"/>
  <c r="JC70" i="19"/>
  <c r="BB71" i="19"/>
  <c r="JC71" i="19"/>
  <c r="BB72" i="19"/>
  <c r="JC72" i="19"/>
  <c r="BB73" i="19"/>
  <c r="JC73" i="19"/>
  <c r="BB74" i="19"/>
  <c r="JC74" i="19"/>
  <c r="BB75" i="19"/>
  <c r="JC75" i="19"/>
  <c r="BB76" i="19"/>
  <c r="JC76" i="19"/>
  <c r="BB77" i="19"/>
  <c r="JC77" i="19"/>
  <c r="BB78" i="19"/>
  <c r="JC78" i="19"/>
  <c r="BB79" i="19"/>
  <c r="JC79" i="19"/>
  <c r="BB80" i="19"/>
  <c r="JC80" i="19"/>
  <c r="BB81" i="19"/>
  <c r="JC81" i="19"/>
  <c r="BB82" i="19"/>
  <c r="JC82" i="19"/>
  <c r="BB83" i="19"/>
  <c r="JC83" i="19"/>
  <c r="BB84" i="19"/>
  <c r="JC84" i="19"/>
  <c r="BB85" i="19"/>
  <c r="JC85" i="19"/>
  <c r="BB86" i="19"/>
  <c r="JC86" i="19"/>
  <c r="BB87" i="19"/>
  <c r="JC87" i="19"/>
  <c r="BB88" i="19"/>
  <c r="JC88" i="19"/>
  <c r="BB89" i="19"/>
  <c r="JC89" i="19"/>
  <c r="BB90" i="19"/>
  <c r="JC90" i="19"/>
  <c r="BB91" i="19"/>
  <c r="JC91" i="19"/>
  <c r="BB92" i="19"/>
  <c r="JC92" i="19"/>
  <c r="BB93" i="19"/>
  <c r="JC93" i="19"/>
  <c r="BB94" i="19"/>
  <c r="JC94" i="19"/>
  <c r="BB95" i="19"/>
  <c r="JC95" i="19"/>
  <c r="BB96" i="19"/>
  <c r="JC96" i="19"/>
  <c r="BB97" i="19"/>
  <c r="JC97" i="19"/>
  <c r="BB98" i="19"/>
  <c r="JC98" i="19"/>
  <c r="AW98" i="19"/>
  <c r="AW10" i="19"/>
  <c r="AW11" i="19"/>
  <c r="AX11" i="19"/>
  <c r="AW12" i="19"/>
  <c r="AW13" i="19"/>
  <c r="AW14" i="19"/>
  <c r="AX14" i="19"/>
  <c r="AW15" i="19"/>
  <c r="AW16" i="19"/>
  <c r="AW17" i="19"/>
  <c r="AW18" i="19"/>
  <c r="AW19" i="19"/>
  <c r="BA19" i="19"/>
  <c r="AW21" i="19"/>
  <c r="AX21" i="19"/>
  <c r="AW22" i="19"/>
  <c r="AW23" i="19"/>
  <c r="AW24" i="19"/>
  <c r="AW25" i="19"/>
  <c r="AW26" i="19"/>
  <c r="AW27" i="19"/>
  <c r="AW28" i="19"/>
  <c r="AW29" i="19"/>
  <c r="BA29" i="19"/>
  <c r="AW30" i="19"/>
  <c r="AW31" i="19"/>
  <c r="AW32" i="19"/>
  <c r="AX32" i="19"/>
  <c r="AW33" i="19"/>
  <c r="AW34" i="19"/>
  <c r="AW36" i="19"/>
  <c r="AW37" i="19"/>
  <c r="AX37" i="19"/>
  <c r="AW38" i="19"/>
  <c r="AX38" i="19"/>
  <c r="AZ38" i="19"/>
  <c r="AW39" i="19"/>
  <c r="AX39" i="19"/>
  <c r="AW40" i="19"/>
  <c r="AW41" i="19"/>
  <c r="AW43" i="19"/>
  <c r="AW44" i="19"/>
  <c r="AW46" i="19"/>
  <c r="AW47" i="19"/>
  <c r="AW48" i="19"/>
  <c r="BA48" i="19"/>
  <c r="AW49" i="19"/>
  <c r="AW50" i="19"/>
  <c r="BA50" i="19"/>
  <c r="AW51" i="19"/>
  <c r="AW52" i="19"/>
  <c r="AW53" i="19"/>
  <c r="AW54" i="19"/>
  <c r="AW55" i="19"/>
  <c r="AW56" i="19"/>
  <c r="AW57" i="19"/>
  <c r="AX57" i="19"/>
  <c r="AW58" i="19"/>
  <c r="AW59" i="19"/>
  <c r="AW60" i="19"/>
  <c r="BA60" i="19"/>
  <c r="AW61" i="19"/>
  <c r="AW62" i="19"/>
  <c r="AW63" i="19"/>
  <c r="AX63" i="19"/>
  <c r="AZ63" i="19"/>
  <c r="AW66" i="19"/>
  <c r="BA66" i="19"/>
  <c r="AW94" i="19"/>
  <c r="AX94" i="19"/>
  <c r="AW96" i="19"/>
  <c r="Q11" i="19"/>
  <c r="Q23" i="19"/>
  <c r="Q27" i="19"/>
  <c r="Q35" i="19"/>
  <c r="Q46" i="19"/>
  <c r="Q59" i="19"/>
  <c r="Q94" i="19"/>
  <c r="AQ98" i="19"/>
  <c r="AR98" i="19"/>
  <c r="AQ10" i="19"/>
  <c r="AR10" i="19"/>
  <c r="AQ11" i="19"/>
  <c r="AQ12" i="19"/>
  <c r="AQ13" i="19"/>
  <c r="AQ14" i="19"/>
  <c r="AQ15" i="19"/>
  <c r="AQ16" i="19"/>
  <c r="AR16" i="19"/>
  <c r="AQ17" i="19"/>
  <c r="AR17" i="19"/>
  <c r="AQ18" i="19"/>
  <c r="AR18" i="19"/>
  <c r="AQ19" i="19"/>
  <c r="AQ20" i="19"/>
  <c r="AR20" i="19"/>
  <c r="M20" i="19"/>
  <c r="AQ21" i="19"/>
  <c r="AQ22" i="19"/>
  <c r="AQ23" i="19"/>
  <c r="AQ24" i="19"/>
  <c r="AR24" i="19"/>
  <c r="AQ25" i="19"/>
  <c r="AR25" i="19"/>
  <c r="AQ26" i="19"/>
  <c r="AR26" i="19"/>
  <c r="AQ27" i="19"/>
  <c r="AQ28" i="19"/>
  <c r="AR28" i="19"/>
  <c r="AQ29" i="19"/>
  <c r="AQ30" i="19"/>
  <c r="AQ31" i="19"/>
  <c r="AQ32" i="19"/>
  <c r="AR32" i="19"/>
  <c r="AQ33" i="19"/>
  <c r="AR33" i="19"/>
  <c r="AQ34" i="19"/>
  <c r="AQ35" i="19"/>
  <c r="AQ36" i="19"/>
  <c r="AR36" i="19"/>
  <c r="M36" i="19"/>
  <c r="AQ37" i="19"/>
  <c r="AQ38" i="19"/>
  <c r="AR38" i="19"/>
  <c r="AQ39" i="19"/>
  <c r="AR39" i="19"/>
  <c r="AQ40" i="19"/>
  <c r="AQ41" i="19"/>
  <c r="AR41" i="19"/>
  <c r="AQ43" i="19"/>
  <c r="AQ44" i="19"/>
  <c r="M44" i="19"/>
  <c r="AQ45" i="19"/>
  <c r="AQ46" i="19"/>
  <c r="AR46" i="19"/>
  <c r="AQ47" i="19"/>
  <c r="AQ48" i="19"/>
  <c r="AR48" i="19"/>
  <c r="AQ49" i="19"/>
  <c r="AQ50" i="19"/>
  <c r="AQ51" i="19"/>
  <c r="AR51" i="19"/>
  <c r="AQ52" i="19"/>
  <c r="AR52" i="19"/>
  <c r="AQ53" i="19"/>
  <c r="AR53" i="19"/>
  <c r="AQ54" i="19"/>
  <c r="AR54" i="19"/>
  <c r="AQ55" i="19"/>
  <c r="AQ56" i="19"/>
  <c r="AQ57" i="19"/>
  <c r="AR57" i="19"/>
  <c r="AQ58" i="19"/>
  <c r="AQ59" i="19"/>
  <c r="AR59" i="19"/>
  <c r="M59" i="19"/>
  <c r="AQ60" i="19"/>
  <c r="AQ61" i="19"/>
  <c r="AR61" i="19"/>
  <c r="AQ62" i="19"/>
  <c r="AR62" i="19"/>
  <c r="AQ63" i="19"/>
  <c r="AQ64" i="19"/>
  <c r="AR64" i="19"/>
  <c r="AQ65" i="19"/>
  <c r="AQ66" i="19"/>
  <c r="AR66" i="19"/>
  <c r="AQ94" i="19"/>
  <c r="AQ96" i="19"/>
  <c r="AQ97" i="19"/>
  <c r="AO98" i="19"/>
  <c r="AP98" i="19"/>
  <c r="AO10" i="19"/>
  <c r="AP10" i="19"/>
  <c r="AO11" i="19"/>
  <c r="AP11" i="19"/>
  <c r="AO12" i="19"/>
  <c r="AP12" i="19"/>
  <c r="AO13" i="19"/>
  <c r="AP13" i="19"/>
  <c r="AO14" i="19"/>
  <c r="AP14" i="19"/>
  <c r="AO15" i="19"/>
  <c r="AP15" i="19"/>
  <c r="AO16" i="19"/>
  <c r="AP16" i="19"/>
  <c r="AO17" i="19"/>
  <c r="AP17" i="19"/>
  <c r="AO18" i="19"/>
  <c r="AP18" i="19"/>
  <c r="AO19" i="19"/>
  <c r="AP19" i="19"/>
  <c r="AO20" i="19"/>
  <c r="AP20" i="19"/>
  <c r="AO21" i="19"/>
  <c r="AP21" i="19"/>
  <c r="AO22" i="19"/>
  <c r="AP22" i="19"/>
  <c r="AO23" i="19"/>
  <c r="AP23" i="19"/>
  <c r="AO24" i="19"/>
  <c r="AP24" i="19"/>
  <c r="AO25" i="19"/>
  <c r="AP25" i="19"/>
  <c r="AO26" i="19"/>
  <c r="AP26" i="19"/>
  <c r="AO27" i="19"/>
  <c r="AP27" i="19"/>
  <c r="AO28" i="19"/>
  <c r="AP28" i="19"/>
  <c r="AO29" i="19"/>
  <c r="AP29" i="19"/>
  <c r="AO30" i="19"/>
  <c r="AP30" i="19"/>
  <c r="AO31" i="19"/>
  <c r="AP31" i="19"/>
  <c r="AO32" i="19"/>
  <c r="AP32" i="19"/>
  <c r="AO33" i="19"/>
  <c r="AP33" i="19"/>
  <c r="AO34" i="19"/>
  <c r="AP34" i="19"/>
  <c r="AO35" i="19"/>
  <c r="AP35" i="19"/>
  <c r="AO36" i="19"/>
  <c r="AP36" i="19"/>
  <c r="AO37" i="19"/>
  <c r="AP37" i="19"/>
  <c r="AO38" i="19"/>
  <c r="AP38" i="19"/>
  <c r="AO39" i="19"/>
  <c r="AP39" i="19"/>
  <c r="AO40" i="19"/>
  <c r="AP40" i="19"/>
  <c r="AO41" i="19"/>
  <c r="AP41" i="19"/>
  <c r="AO43" i="19"/>
  <c r="AP43" i="19"/>
  <c r="AO44" i="19"/>
  <c r="AP44" i="19"/>
  <c r="AO45" i="19"/>
  <c r="AP45" i="19"/>
  <c r="AO46" i="19"/>
  <c r="AP46" i="19"/>
  <c r="AO47" i="19"/>
  <c r="AP47" i="19"/>
  <c r="AO48" i="19"/>
  <c r="AP48" i="19"/>
  <c r="AO50" i="19"/>
  <c r="AP50" i="19"/>
  <c r="AO51" i="19"/>
  <c r="AP51" i="19"/>
  <c r="AO52" i="19"/>
  <c r="AP52" i="19"/>
  <c r="AO53" i="19"/>
  <c r="AP53" i="19"/>
  <c r="AO54" i="19"/>
  <c r="AP54" i="19"/>
  <c r="AO55" i="19"/>
  <c r="AP55" i="19"/>
  <c r="AO56" i="19"/>
  <c r="AP56" i="19"/>
  <c r="AO57" i="19"/>
  <c r="AP57" i="19"/>
  <c r="AO58" i="19"/>
  <c r="AP58" i="19"/>
  <c r="AO59" i="19"/>
  <c r="AP59" i="19"/>
  <c r="AO60" i="19"/>
  <c r="AP60" i="19"/>
  <c r="AO61" i="19"/>
  <c r="AP61" i="19"/>
  <c r="AO62" i="19"/>
  <c r="AP62" i="19"/>
  <c r="AO63" i="19"/>
  <c r="AP63" i="19"/>
  <c r="AO64" i="19"/>
  <c r="AP64" i="19"/>
  <c r="AO65" i="19"/>
  <c r="AP65" i="19"/>
  <c r="AO66" i="19"/>
  <c r="AP66" i="19"/>
  <c r="AO94" i="19"/>
  <c r="AP94" i="19"/>
  <c r="AO96" i="19"/>
  <c r="AP96" i="19"/>
  <c r="AO97" i="19"/>
  <c r="AP97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I13" i="19"/>
  <c r="I14" i="19"/>
  <c r="I19" i="19"/>
  <c r="I21" i="19"/>
  <c r="I22" i="19"/>
  <c r="I29" i="19"/>
  <c r="I30" i="19"/>
  <c r="I34" i="19"/>
  <c r="I35" i="19"/>
  <c r="I37" i="19"/>
  <c r="I38" i="19"/>
  <c r="I47" i="19"/>
  <c r="I55" i="19"/>
  <c r="I62" i="19"/>
  <c r="I63" i="19"/>
  <c r="I70" i="19"/>
  <c r="I71" i="19"/>
  <c r="I75" i="19"/>
  <c r="I78" i="19"/>
  <c r="I79" i="19"/>
  <c r="I86" i="19"/>
  <c r="I87" i="19"/>
  <c r="I88" i="19"/>
  <c r="I95" i="19"/>
  <c r="I96" i="19"/>
  <c r="M87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26" i="19"/>
  <c r="P27" i="19"/>
  <c r="P28" i="19"/>
  <c r="P29" i="19"/>
  <c r="P30" i="19"/>
  <c r="P31" i="19"/>
  <c r="P32" i="19"/>
  <c r="P33" i="19"/>
  <c r="P34" i="19"/>
  <c r="P35" i="19"/>
  <c r="P36" i="19"/>
  <c r="P37" i="19"/>
  <c r="P38" i="19"/>
  <c r="P39" i="19"/>
  <c r="P40" i="19"/>
  <c r="P41" i="19"/>
  <c r="P43" i="19"/>
  <c r="P44" i="19"/>
  <c r="P45" i="19"/>
  <c r="P46" i="19"/>
  <c r="P47" i="19"/>
  <c r="P48" i="19"/>
  <c r="P49" i="19"/>
  <c r="P50" i="19"/>
  <c r="P51" i="19"/>
  <c r="P52" i="19"/>
  <c r="P53" i="19"/>
  <c r="P54" i="19"/>
  <c r="P55" i="19"/>
  <c r="P56" i="19"/>
  <c r="P57" i="19"/>
  <c r="P58" i="19"/>
  <c r="P59" i="19"/>
  <c r="P60" i="19"/>
  <c r="P61" i="19"/>
  <c r="P62" i="19"/>
  <c r="P63" i="19"/>
  <c r="P64" i="19"/>
  <c r="P65" i="19"/>
  <c r="P66" i="19"/>
  <c r="P67" i="19"/>
  <c r="P68" i="19"/>
  <c r="P69" i="19"/>
  <c r="P70" i="19"/>
  <c r="P71" i="19"/>
  <c r="P72" i="19"/>
  <c r="P73" i="19"/>
  <c r="P74" i="19"/>
  <c r="P75" i="19"/>
  <c r="P76" i="19"/>
  <c r="P77" i="19"/>
  <c r="P78" i="19"/>
  <c r="P79" i="19"/>
  <c r="P80" i="19"/>
  <c r="P81" i="19"/>
  <c r="P82" i="19"/>
  <c r="P83" i="19"/>
  <c r="P84" i="19"/>
  <c r="P85" i="19"/>
  <c r="P86" i="19"/>
  <c r="P87" i="19"/>
  <c r="P88" i="19"/>
  <c r="P89" i="19"/>
  <c r="P90" i="19"/>
  <c r="P91" i="19"/>
  <c r="P92" i="19"/>
  <c r="P93" i="19"/>
  <c r="P94" i="19"/>
  <c r="P95" i="19"/>
  <c r="P96" i="19"/>
  <c r="P97" i="19"/>
  <c r="P98" i="19"/>
  <c r="P99" i="19"/>
  <c r="P100" i="19"/>
  <c r="T10" i="19"/>
  <c r="T11" i="19"/>
  <c r="T12" i="19"/>
  <c r="T13" i="19"/>
  <c r="T14" i="19"/>
  <c r="T15" i="19"/>
  <c r="T16" i="19"/>
  <c r="T17" i="19"/>
  <c r="T18" i="19"/>
  <c r="T19" i="19"/>
  <c r="T20" i="19"/>
  <c r="T21" i="19"/>
  <c r="T22" i="19"/>
  <c r="T23" i="19"/>
  <c r="T24" i="19"/>
  <c r="T25" i="19"/>
  <c r="T26" i="19"/>
  <c r="T27" i="19"/>
  <c r="T28" i="19"/>
  <c r="T29" i="19"/>
  <c r="T30" i="19"/>
  <c r="T31" i="19"/>
  <c r="T32" i="19"/>
  <c r="T33" i="19"/>
  <c r="T34" i="19"/>
  <c r="T35" i="19"/>
  <c r="T36" i="19"/>
  <c r="T37" i="19"/>
  <c r="T38" i="19"/>
  <c r="T39" i="19"/>
  <c r="T40" i="19"/>
  <c r="T41" i="19"/>
  <c r="T43" i="19"/>
  <c r="T44" i="19"/>
  <c r="T45" i="19"/>
  <c r="T46" i="19"/>
  <c r="T47" i="19"/>
  <c r="T48" i="19"/>
  <c r="T49" i="19"/>
  <c r="T50" i="19"/>
  <c r="T51" i="19"/>
  <c r="T52" i="19"/>
  <c r="T53" i="19"/>
  <c r="T54" i="19"/>
  <c r="T55" i="19"/>
  <c r="T56" i="19"/>
  <c r="T57" i="19"/>
  <c r="T58" i="19"/>
  <c r="T59" i="19"/>
  <c r="T60" i="19"/>
  <c r="T61" i="19"/>
  <c r="T62" i="19"/>
  <c r="T63" i="19"/>
  <c r="T64" i="19"/>
  <c r="T65" i="19"/>
  <c r="T66" i="19"/>
  <c r="T67" i="19"/>
  <c r="T68" i="19"/>
  <c r="T69" i="19"/>
  <c r="T70" i="19"/>
  <c r="T71" i="19"/>
  <c r="T72" i="19"/>
  <c r="T73" i="19"/>
  <c r="T74" i="19"/>
  <c r="T75" i="19"/>
  <c r="T76" i="19"/>
  <c r="T77" i="19"/>
  <c r="T78" i="19"/>
  <c r="T79" i="19"/>
  <c r="T80" i="19"/>
  <c r="T81" i="19"/>
  <c r="T82" i="19"/>
  <c r="T83" i="19"/>
  <c r="T84" i="19"/>
  <c r="T85" i="19"/>
  <c r="T86" i="19"/>
  <c r="T87" i="19"/>
  <c r="T88" i="19"/>
  <c r="T89" i="19"/>
  <c r="T90" i="19"/>
  <c r="T91" i="19"/>
  <c r="T92" i="19"/>
  <c r="T93" i="19"/>
  <c r="T94" i="19"/>
  <c r="T95" i="19"/>
  <c r="T96" i="19"/>
  <c r="T97" i="19"/>
  <c r="T98" i="19"/>
  <c r="T99" i="19"/>
  <c r="T100" i="19"/>
  <c r="AC10" i="19"/>
  <c r="AC11" i="19"/>
  <c r="AC12" i="19"/>
  <c r="AC13" i="19"/>
  <c r="AC14" i="19"/>
  <c r="AC15" i="19"/>
  <c r="AC16" i="19"/>
  <c r="AC17" i="19"/>
  <c r="AC18" i="19"/>
  <c r="AC19" i="19"/>
  <c r="AC20" i="19"/>
  <c r="AC21" i="19"/>
  <c r="AC22" i="19"/>
  <c r="AC23" i="19"/>
  <c r="AC24" i="19"/>
  <c r="AC25" i="19"/>
  <c r="AC26" i="19"/>
  <c r="AC27" i="19"/>
  <c r="AC28" i="19"/>
  <c r="AC29" i="19"/>
  <c r="AC30" i="19"/>
  <c r="AC31" i="19"/>
  <c r="AC32" i="19"/>
  <c r="AC33" i="19"/>
  <c r="AC34" i="19"/>
  <c r="AC35" i="19"/>
  <c r="AC36" i="19"/>
  <c r="AC37" i="19"/>
  <c r="AC38" i="19"/>
  <c r="AC39" i="19"/>
  <c r="AC40" i="19"/>
  <c r="AC41" i="19"/>
  <c r="AC43" i="19"/>
  <c r="AC44" i="19"/>
  <c r="AC45" i="19"/>
  <c r="AC46" i="19"/>
  <c r="AC47" i="19"/>
  <c r="AC48" i="19"/>
  <c r="AC49" i="19"/>
  <c r="AC50" i="19"/>
  <c r="AC51" i="19"/>
  <c r="AC52" i="19"/>
  <c r="AC53" i="19"/>
  <c r="AC54" i="19"/>
  <c r="AC55" i="19"/>
  <c r="AC56" i="19"/>
  <c r="AC57" i="19"/>
  <c r="AC58" i="19"/>
  <c r="AC59" i="19"/>
  <c r="AC60" i="19"/>
  <c r="AC61" i="19"/>
  <c r="AC62" i="19"/>
  <c r="AC63" i="19"/>
  <c r="AC64" i="19"/>
  <c r="AC65" i="19"/>
  <c r="AC66" i="19"/>
  <c r="AC67" i="19"/>
  <c r="AC68" i="19"/>
  <c r="AC69" i="19"/>
  <c r="AC70" i="19"/>
  <c r="AC71" i="19"/>
  <c r="AC72" i="19"/>
  <c r="AC73" i="19"/>
  <c r="AC74" i="19"/>
  <c r="AC75" i="19"/>
  <c r="AC76" i="19"/>
  <c r="AC77" i="19"/>
  <c r="AC78" i="19"/>
  <c r="AC79" i="19"/>
  <c r="AC80" i="19"/>
  <c r="AC81" i="19"/>
  <c r="AC82" i="19"/>
  <c r="AC83" i="19"/>
  <c r="AC84" i="19"/>
  <c r="AC85" i="19"/>
  <c r="AC86" i="19"/>
  <c r="AC87" i="19"/>
  <c r="AC88" i="19"/>
  <c r="AC89" i="19"/>
  <c r="AC90" i="19"/>
  <c r="AC91" i="19"/>
  <c r="AC92" i="19"/>
  <c r="AC93" i="19"/>
  <c r="AC94" i="19"/>
  <c r="AC95" i="19"/>
  <c r="AC96" i="19"/>
  <c r="AC97" i="19"/>
  <c r="AC98" i="19"/>
  <c r="AC99" i="19"/>
  <c r="AC100" i="19"/>
  <c r="AJ10" i="19"/>
  <c r="AJ11" i="19"/>
  <c r="AJ12" i="19"/>
  <c r="AJ13" i="19"/>
  <c r="AJ14" i="19"/>
  <c r="AJ15" i="19"/>
  <c r="AJ16" i="19"/>
  <c r="AJ17" i="19"/>
  <c r="AJ18" i="19"/>
  <c r="AJ19" i="19"/>
  <c r="AJ20" i="19"/>
  <c r="AJ21" i="19"/>
  <c r="AJ22" i="19"/>
  <c r="AJ23" i="19"/>
  <c r="AJ24" i="19"/>
  <c r="AJ25" i="19"/>
  <c r="AJ26" i="19"/>
  <c r="AJ27" i="19"/>
  <c r="AJ28" i="19"/>
  <c r="AJ29" i="19"/>
  <c r="AJ30" i="19"/>
  <c r="AJ31" i="19"/>
  <c r="AJ32" i="19"/>
  <c r="AJ33" i="19"/>
  <c r="AJ34" i="19"/>
  <c r="AJ35" i="19"/>
  <c r="AJ36" i="19"/>
  <c r="AJ37" i="19"/>
  <c r="AJ38" i="19"/>
  <c r="AJ39" i="19"/>
  <c r="AJ40" i="19"/>
  <c r="AJ41" i="19"/>
  <c r="AJ43" i="19"/>
  <c r="AJ44" i="19"/>
  <c r="AJ45" i="19"/>
  <c r="AJ46" i="19"/>
  <c r="AJ47" i="19"/>
  <c r="AJ48" i="19"/>
  <c r="AJ49" i="19"/>
  <c r="AJ50" i="19"/>
  <c r="AJ51" i="19"/>
  <c r="AJ52" i="19"/>
  <c r="AJ53" i="19"/>
  <c r="AJ54" i="19"/>
  <c r="AJ55" i="19"/>
  <c r="AJ56" i="19"/>
  <c r="AJ57" i="19"/>
  <c r="AJ58" i="19"/>
  <c r="AJ59" i="19"/>
  <c r="AJ60" i="19"/>
  <c r="AJ61" i="19"/>
  <c r="AJ62" i="19"/>
  <c r="AJ63" i="19"/>
  <c r="AJ64" i="19"/>
  <c r="AJ65" i="19"/>
  <c r="AJ66" i="19"/>
  <c r="AJ67" i="19"/>
  <c r="AJ68" i="19"/>
  <c r="AJ69" i="19"/>
  <c r="AJ70" i="19"/>
  <c r="AJ71" i="19"/>
  <c r="AJ72" i="19"/>
  <c r="AJ73" i="19"/>
  <c r="AJ74" i="19"/>
  <c r="AJ75" i="19"/>
  <c r="AJ76" i="19"/>
  <c r="AJ77" i="19"/>
  <c r="AJ78" i="19"/>
  <c r="AJ79" i="19"/>
  <c r="AJ80" i="19"/>
  <c r="AJ81" i="19"/>
  <c r="AJ82" i="19"/>
  <c r="AJ83" i="19"/>
  <c r="AJ84" i="19"/>
  <c r="AJ85" i="19"/>
  <c r="AJ86" i="19"/>
  <c r="AJ87" i="19"/>
  <c r="AJ88" i="19"/>
  <c r="AJ89" i="19"/>
  <c r="AJ90" i="19"/>
  <c r="AJ91" i="19"/>
  <c r="AJ92" i="19"/>
  <c r="AJ93" i="19"/>
  <c r="AJ94" i="19"/>
  <c r="AJ95" i="19"/>
  <c r="AJ96" i="19"/>
  <c r="AJ97" i="19"/>
  <c r="AJ98" i="19"/>
  <c r="AA70" i="35"/>
  <c r="AB59" i="35"/>
  <c r="IY59" i="35"/>
  <c r="AC59" i="35"/>
  <c r="AB58" i="35"/>
  <c r="PQ58" i="35"/>
  <c r="AC58" i="35"/>
  <c r="AB57" i="35"/>
  <c r="IY57" i="35"/>
  <c r="AC57" i="35"/>
  <c r="AB55" i="35"/>
  <c r="AD55" i="35"/>
  <c r="AC55" i="35"/>
  <c r="AB54" i="35"/>
  <c r="AC54" i="35"/>
  <c r="AB53" i="35"/>
  <c r="IY53" i="35"/>
  <c r="AC53" i="35"/>
  <c r="AB52" i="35"/>
  <c r="PQ52" i="35"/>
  <c r="AC52" i="35"/>
  <c r="AB50" i="35"/>
  <c r="AD50" i="35"/>
  <c r="AC50" i="35"/>
  <c r="AB49" i="35"/>
  <c r="AC49" i="35"/>
  <c r="AB48" i="35"/>
  <c r="AC48" i="35"/>
  <c r="AB47" i="35"/>
  <c r="PQ47" i="35"/>
  <c r="AC47" i="35"/>
  <c r="AB46" i="35"/>
  <c r="AC46" i="35"/>
  <c r="AB45" i="35"/>
  <c r="AC45" i="35"/>
  <c r="AB44" i="35"/>
  <c r="IY44" i="35"/>
  <c r="AC44" i="35"/>
  <c r="AB43" i="35"/>
  <c r="PQ43" i="35"/>
  <c r="AC43" i="35"/>
  <c r="AB42" i="35"/>
  <c r="AC42" i="35"/>
  <c r="AB40" i="35"/>
  <c r="AC40" i="35"/>
  <c r="AB39" i="35"/>
  <c r="AC39" i="35"/>
  <c r="AB38" i="35"/>
  <c r="AD38" i="35"/>
  <c r="AC38" i="35"/>
  <c r="AB37" i="35"/>
  <c r="AC37" i="35"/>
  <c r="AB36" i="35"/>
  <c r="AD36" i="35"/>
  <c r="AC36" i="35"/>
  <c r="AB35" i="35"/>
  <c r="AC35" i="35"/>
  <c r="AB34" i="35"/>
  <c r="AD34" i="35"/>
  <c r="AC34" i="35"/>
  <c r="AB33" i="35"/>
  <c r="IY33" i="35"/>
  <c r="AC33" i="35"/>
  <c r="AB32" i="35"/>
  <c r="AC32" i="35"/>
  <c r="AB31" i="35"/>
  <c r="AD31" i="35"/>
  <c r="AC31" i="35"/>
  <c r="AB30" i="35"/>
  <c r="AD30" i="35"/>
  <c r="AC30" i="35"/>
  <c r="AB29" i="35"/>
  <c r="AC29" i="35"/>
  <c r="AB28" i="35"/>
  <c r="AC28" i="35"/>
  <c r="AB27" i="35"/>
  <c r="AC27" i="35"/>
  <c r="AB26" i="35"/>
  <c r="AD26" i="35"/>
  <c r="AC26" i="35"/>
  <c r="AB25" i="35"/>
  <c r="AC25" i="35"/>
  <c r="AB24" i="35"/>
  <c r="AD24" i="35"/>
  <c r="AC24" i="35"/>
  <c r="AB23" i="35"/>
  <c r="AC23" i="35"/>
  <c r="AB22" i="35"/>
  <c r="AD22" i="35"/>
  <c r="AC22" i="35"/>
  <c r="AB21" i="35"/>
  <c r="PO21" i="35"/>
  <c r="PQ21" i="35"/>
  <c r="AC21" i="35"/>
  <c r="AB20" i="35"/>
  <c r="AC20" i="35"/>
  <c r="AB19" i="35"/>
  <c r="AC19" i="35"/>
  <c r="AB18" i="35"/>
  <c r="AC18" i="35"/>
  <c r="AB17" i="35"/>
  <c r="AC17" i="35"/>
  <c r="AB16" i="35"/>
  <c r="AC16" i="35"/>
  <c r="AB15" i="35"/>
  <c r="AC15" i="35"/>
  <c r="AB14" i="35"/>
  <c r="AC14" i="35"/>
  <c r="AB13" i="35"/>
  <c r="AC13" i="35"/>
  <c r="AB12" i="35"/>
  <c r="AC12" i="35"/>
  <c r="AB11" i="35"/>
  <c r="AD11" i="35"/>
  <c r="AC11" i="35"/>
  <c r="AB10" i="35"/>
  <c r="AB9" i="35"/>
  <c r="AC10" i="35"/>
  <c r="AB55" i="34"/>
  <c r="AC55" i="34"/>
  <c r="AB54" i="34"/>
  <c r="AC54" i="34"/>
  <c r="AB53" i="34"/>
  <c r="PQ53" i="34"/>
  <c r="AC53" i="34"/>
  <c r="AB51" i="34"/>
  <c r="IY51" i="34"/>
  <c r="AC51" i="34"/>
  <c r="AB50" i="34"/>
  <c r="PQ50" i="34"/>
  <c r="AC50" i="34"/>
  <c r="AB49" i="34"/>
  <c r="IY49" i="34"/>
  <c r="AC49" i="34"/>
  <c r="AB48" i="34"/>
  <c r="AC48" i="34"/>
  <c r="AB47" i="34"/>
  <c r="PQ47" i="34"/>
  <c r="AC47" i="34"/>
  <c r="AB46" i="34"/>
  <c r="AC46" i="34"/>
  <c r="AB45" i="34"/>
  <c r="AC45" i="34"/>
  <c r="AB44" i="34"/>
  <c r="AC44" i="34"/>
  <c r="AB43" i="34"/>
  <c r="PQ43" i="34"/>
  <c r="AC43" i="34"/>
  <c r="AB42" i="34"/>
  <c r="AD42" i="34"/>
  <c r="AC42" i="34"/>
  <c r="AB41" i="34"/>
  <c r="AC41" i="34"/>
  <c r="AB40" i="34"/>
  <c r="IY40" i="34"/>
  <c r="AC40" i="34"/>
  <c r="AB39" i="34"/>
  <c r="AC39" i="34"/>
  <c r="AB38" i="34"/>
  <c r="AD38" i="34"/>
  <c r="AC38" i="34"/>
  <c r="AB37" i="34"/>
  <c r="AC37" i="34"/>
  <c r="AB36" i="34"/>
  <c r="AC36" i="34"/>
  <c r="AB35" i="34"/>
  <c r="PQ35" i="34"/>
  <c r="AC35" i="34"/>
  <c r="AB34" i="34"/>
  <c r="AC34" i="34"/>
  <c r="AB33" i="34"/>
  <c r="AC33" i="34"/>
  <c r="AB32" i="34"/>
  <c r="AC32" i="34"/>
  <c r="AB31" i="34"/>
  <c r="IY31" i="34"/>
  <c r="AC31" i="34"/>
  <c r="AB30" i="34"/>
  <c r="AD30" i="34"/>
  <c r="AC30" i="34"/>
  <c r="AB29" i="34"/>
  <c r="PQ29" i="34"/>
  <c r="AC29" i="34"/>
  <c r="AB28" i="34"/>
  <c r="AC28" i="34"/>
  <c r="AB27" i="34"/>
  <c r="PQ27" i="34"/>
  <c r="AC27" i="34"/>
  <c r="AB26" i="34"/>
  <c r="AD26" i="34"/>
  <c r="AC26" i="34"/>
  <c r="AB25" i="34"/>
  <c r="AC25" i="34"/>
  <c r="AB24" i="34"/>
  <c r="AC24" i="34"/>
  <c r="AB23" i="34"/>
  <c r="AC23" i="34"/>
  <c r="AB22" i="34"/>
  <c r="AC22" i="34"/>
  <c r="AB21" i="34"/>
  <c r="PQ21" i="34"/>
  <c r="AC21" i="34"/>
  <c r="AB20" i="34"/>
  <c r="AD20" i="34"/>
  <c r="AC20" i="34"/>
  <c r="AB19" i="34"/>
  <c r="PQ19" i="34"/>
  <c r="AC19" i="34"/>
  <c r="AB18" i="34"/>
  <c r="IY18" i="34"/>
  <c r="AC18" i="34"/>
  <c r="AB17" i="34"/>
  <c r="AD17" i="34"/>
  <c r="AC17" i="34"/>
  <c r="AB16" i="34"/>
  <c r="IY16" i="34"/>
  <c r="AC16" i="34"/>
  <c r="AB15" i="34"/>
  <c r="AD15" i="34"/>
  <c r="AC15" i="34"/>
  <c r="AB14" i="34"/>
  <c r="AD14" i="34"/>
  <c r="AC14" i="34"/>
  <c r="AB13" i="34"/>
  <c r="AC13" i="34"/>
  <c r="AB12" i="34"/>
  <c r="PP12" i="34"/>
  <c r="AC12" i="34"/>
  <c r="AB11" i="34"/>
  <c r="PP11" i="34"/>
  <c r="AC11" i="34"/>
  <c r="AB10" i="34"/>
  <c r="PP10" i="34"/>
  <c r="AC10" i="34"/>
  <c r="AB10" i="33"/>
  <c r="AC10" i="33"/>
  <c r="AE13" i="33"/>
  <c r="AA13" i="33"/>
  <c r="AB31" i="32"/>
  <c r="PQ31" i="32"/>
  <c r="AC31" i="32"/>
  <c r="AB30" i="32"/>
  <c r="AD30" i="32"/>
  <c r="AC30" i="32"/>
  <c r="AC27" i="32"/>
  <c r="AB26" i="32"/>
  <c r="AC26" i="32"/>
  <c r="AB25" i="32"/>
  <c r="IY25" i="32"/>
  <c r="AC25" i="32"/>
  <c r="AB24" i="32"/>
  <c r="AD24" i="32"/>
  <c r="AC24" i="32"/>
  <c r="AB23" i="32"/>
  <c r="AC23" i="32"/>
  <c r="AB22" i="32"/>
  <c r="AC22" i="32"/>
  <c r="AB21" i="32"/>
  <c r="AD21" i="32"/>
  <c r="AC21" i="32"/>
  <c r="AB20" i="32"/>
  <c r="AC20" i="32"/>
  <c r="AB19" i="32"/>
  <c r="AD19" i="32"/>
  <c r="AB9" i="32"/>
  <c r="PQ9" i="32"/>
  <c r="AB10" i="32"/>
  <c r="IY10" i="32"/>
  <c r="AB11" i="32"/>
  <c r="AB12" i="32"/>
  <c r="PQ12" i="32"/>
  <c r="AB13" i="32"/>
  <c r="AB14" i="32"/>
  <c r="AB15" i="32"/>
  <c r="AB16" i="32"/>
  <c r="AB17" i="32"/>
  <c r="IY17" i="32"/>
  <c r="AB18" i="32"/>
  <c r="AC19" i="32"/>
  <c r="AC18" i="32"/>
  <c r="AC17" i="32"/>
  <c r="AC16" i="32"/>
  <c r="AC15" i="32"/>
  <c r="AC14" i="32"/>
  <c r="AC13" i="32"/>
  <c r="AC12" i="32"/>
  <c r="AC11" i="32"/>
  <c r="AC10" i="32"/>
  <c r="AA36" i="32"/>
  <c r="IY32" i="31"/>
  <c r="AC32" i="31"/>
  <c r="AB31" i="31"/>
  <c r="PP31" i="31"/>
  <c r="AC31" i="31"/>
  <c r="AB30" i="31"/>
  <c r="AD30" i="31"/>
  <c r="AC30" i="31"/>
  <c r="AB29" i="31"/>
  <c r="AC29" i="31"/>
  <c r="AB28" i="31"/>
  <c r="AC28" i="31"/>
  <c r="AB27" i="31"/>
  <c r="AC27" i="31"/>
  <c r="AB26" i="31"/>
  <c r="AD26" i="31"/>
  <c r="AC26" i="31"/>
  <c r="AB25" i="31"/>
  <c r="IY25" i="31"/>
  <c r="AC25" i="31"/>
  <c r="AB24" i="31"/>
  <c r="AC24" i="31"/>
  <c r="AB23" i="31"/>
  <c r="IY23" i="31"/>
  <c r="AC23" i="31"/>
  <c r="AB21" i="31"/>
  <c r="AD21" i="31"/>
  <c r="AC21" i="31"/>
  <c r="AB20" i="31"/>
  <c r="AC20" i="31"/>
  <c r="AB19" i="31"/>
  <c r="AD19" i="31"/>
  <c r="AC19" i="31"/>
  <c r="AB18" i="31"/>
  <c r="AD18" i="31"/>
  <c r="AC18" i="31"/>
  <c r="AB17" i="31"/>
  <c r="AC17" i="31"/>
  <c r="AB16" i="31"/>
  <c r="AD16" i="31"/>
  <c r="AC16" i="31"/>
  <c r="AB15" i="31"/>
  <c r="PQ15" i="31"/>
  <c r="AC15" i="31"/>
  <c r="AB14" i="31"/>
  <c r="PQ14" i="31"/>
  <c r="AC14" i="31"/>
  <c r="AB13" i="31"/>
  <c r="AC13" i="31"/>
  <c r="AB12" i="31"/>
  <c r="PQ12" i="31"/>
  <c r="AC12" i="31"/>
  <c r="AB11" i="31"/>
  <c r="PQ11" i="31"/>
  <c r="AC11" i="31"/>
  <c r="AB10" i="31"/>
  <c r="AC10" i="31"/>
  <c r="AA60" i="31"/>
  <c r="AB14" i="22"/>
  <c r="AC14" i="22"/>
  <c r="AB13" i="22"/>
  <c r="PQ13" i="22"/>
  <c r="AC13" i="22"/>
  <c r="AB12" i="22"/>
  <c r="AD12" i="22"/>
  <c r="AC12" i="22"/>
  <c r="AB11" i="22"/>
  <c r="AC11" i="22"/>
  <c r="AB10" i="22"/>
  <c r="AC10" i="22"/>
  <c r="AE29" i="22"/>
  <c r="AA29" i="22"/>
  <c r="AD42" i="21"/>
  <c r="AC42" i="21"/>
  <c r="AD41" i="21"/>
  <c r="AC41" i="21"/>
  <c r="AB40" i="21"/>
  <c r="AD40" i="21"/>
  <c r="AC40" i="21"/>
  <c r="AB39" i="21"/>
  <c r="PQ39" i="21"/>
  <c r="AC39" i="21"/>
  <c r="AB38" i="21"/>
  <c r="PQ38" i="21"/>
  <c r="AC38" i="21"/>
  <c r="AB37" i="21"/>
  <c r="AC37" i="21"/>
  <c r="AB36" i="21"/>
  <c r="AC36" i="21"/>
  <c r="AB35" i="21"/>
  <c r="AC35" i="21"/>
  <c r="AB34" i="21"/>
  <c r="AC34" i="21"/>
  <c r="AB33" i="21"/>
  <c r="AC33" i="21"/>
  <c r="AB32" i="21"/>
  <c r="PQ32" i="21"/>
  <c r="AC32" i="21"/>
  <c r="AB31" i="21"/>
  <c r="PQ31" i="21"/>
  <c r="AC31" i="21"/>
  <c r="AB30" i="21"/>
  <c r="AD30" i="21"/>
  <c r="AC30" i="21"/>
  <c r="AB29" i="21"/>
  <c r="AC29" i="21"/>
  <c r="AB28" i="21"/>
  <c r="AD28" i="21"/>
  <c r="AC28" i="21"/>
  <c r="AB27" i="21"/>
  <c r="AC27" i="21"/>
  <c r="AB26" i="21"/>
  <c r="AC26" i="21"/>
  <c r="AB25" i="21"/>
  <c r="AC25" i="21"/>
  <c r="AB24" i="21"/>
  <c r="IY24" i="21"/>
  <c r="AC24" i="21"/>
  <c r="AB23" i="21"/>
  <c r="AC23" i="21"/>
  <c r="AB22" i="21"/>
  <c r="IY22" i="21"/>
  <c r="AC22" i="21"/>
  <c r="AB21" i="21"/>
  <c r="IY21" i="21"/>
  <c r="AC21" i="21"/>
  <c r="AB20" i="21"/>
  <c r="AC20" i="21"/>
  <c r="AB19" i="21"/>
  <c r="PQ19" i="21"/>
  <c r="AC19" i="21"/>
  <c r="AB18" i="21"/>
  <c r="IY18" i="21"/>
  <c r="AC18" i="21"/>
  <c r="AB17" i="21"/>
  <c r="AC17" i="21"/>
  <c r="AB16" i="21"/>
  <c r="PQ16" i="21"/>
  <c r="AC16" i="21"/>
  <c r="AB15" i="21"/>
  <c r="AC15" i="21"/>
  <c r="AB14" i="21"/>
  <c r="AD14" i="21"/>
  <c r="AC14" i="21"/>
  <c r="AB13" i="21"/>
  <c r="AC13" i="21"/>
  <c r="AB12" i="21"/>
  <c r="AC12" i="21"/>
  <c r="AB11" i="21"/>
  <c r="IY11" i="21"/>
  <c r="AC11" i="21"/>
  <c r="AB10" i="21"/>
  <c r="PQ10" i="21"/>
  <c r="AC10" i="21"/>
  <c r="AA57" i="21"/>
  <c r="AC83" i="39"/>
  <c r="AC82" i="39"/>
  <c r="AC81" i="39"/>
  <c r="AC80" i="39"/>
  <c r="AC79" i="39"/>
  <c r="AC78" i="39"/>
  <c r="AC77" i="39"/>
  <c r="AC76" i="39"/>
  <c r="AC73" i="39"/>
  <c r="AC72" i="39"/>
  <c r="AC71" i="39"/>
  <c r="AC70" i="39"/>
  <c r="AC69" i="39"/>
  <c r="AC68" i="39"/>
  <c r="AC67" i="39"/>
  <c r="AC66" i="39"/>
  <c r="AC65" i="39"/>
  <c r="AC64" i="39"/>
  <c r="AC63" i="39"/>
  <c r="AC62" i="39"/>
  <c r="AC61" i="39"/>
  <c r="AC60" i="39"/>
  <c r="AC58" i="39"/>
  <c r="AC57" i="39"/>
  <c r="AC56" i="39"/>
  <c r="AC54" i="39"/>
  <c r="AC53" i="39"/>
  <c r="AC52" i="39"/>
  <c r="AC51" i="39"/>
  <c r="AC50" i="39"/>
  <c r="AC49" i="39"/>
  <c r="AC48" i="39"/>
  <c r="AC47" i="39"/>
  <c r="AC46" i="39"/>
  <c r="AC45" i="39"/>
  <c r="AC44" i="39"/>
  <c r="AC42" i="39"/>
  <c r="AC41" i="39"/>
  <c r="AC40" i="39"/>
  <c r="AC39" i="39"/>
  <c r="AC38" i="39"/>
  <c r="AC37" i="39"/>
  <c r="AC36" i="39"/>
  <c r="AC35" i="39"/>
  <c r="AC34" i="39"/>
  <c r="AC33" i="39"/>
  <c r="AC32" i="39"/>
  <c r="AC31" i="39"/>
  <c r="AC30" i="39"/>
  <c r="AC29" i="39"/>
  <c r="AC28" i="39"/>
  <c r="AC27" i="39"/>
  <c r="AC26" i="39"/>
  <c r="AC25" i="39"/>
  <c r="AC24" i="39"/>
  <c r="AC23" i="39"/>
  <c r="AC22" i="39"/>
  <c r="AC21" i="39"/>
  <c r="AC20" i="39"/>
  <c r="AC19" i="39"/>
  <c r="AC18" i="39"/>
  <c r="AC17" i="39"/>
  <c r="AC16" i="39"/>
  <c r="AC15" i="39"/>
  <c r="AC14" i="39"/>
  <c r="AC13" i="39"/>
  <c r="AC12" i="39"/>
  <c r="AC11" i="39"/>
  <c r="AC10" i="39"/>
  <c r="AB9" i="21"/>
  <c r="PQ9" i="21"/>
  <c r="AC9" i="21"/>
  <c r="AB9" i="22"/>
  <c r="IY9" i="22"/>
  <c r="AC9" i="22"/>
  <c r="AB9" i="31"/>
  <c r="AC9" i="31"/>
  <c r="AC9" i="32"/>
  <c r="AB9" i="33"/>
  <c r="PP9" i="33"/>
  <c r="AC9" i="33"/>
  <c r="AB9" i="34"/>
  <c r="PP9" i="34"/>
  <c r="AC9" i="34"/>
  <c r="AC9" i="35"/>
  <c r="AC9" i="39"/>
  <c r="T50" i="34"/>
  <c r="KI53" i="35"/>
  <c r="KH44" i="35"/>
  <c r="KM43" i="35"/>
  <c r="KM31" i="35"/>
  <c r="KK30" i="35"/>
  <c r="KH26" i="35"/>
  <c r="KK21" i="35"/>
  <c r="KH11" i="35"/>
  <c r="GH70" i="35"/>
  <c r="GG70" i="35"/>
  <c r="KK46" i="34"/>
  <c r="KR28" i="34"/>
  <c r="CE9" i="34"/>
  <c r="FZ9" i="34"/>
  <c r="GH67" i="34"/>
  <c r="GG67" i="34"/>
  <c r="GH13" i="33"/>
  <c r="GG13" i="33"/>
  <c r="KH27" i="32"/>
  <c r="KH23" i="32"/>
  <c r="KM15" i="32"/>
  <c r="CE9" i="32"/>
  <c r="GH36" i="32"/>
  <c r="GG36" i="32"/>
  <c r="KM20" i="31"/>
  <c r="GH60" i="31"/>
  <c r="GG60" i="31"/>
  <c r="CE11" i="22"/>
  <c r="FZ11" i="22"/>
  <c r="GH29" i="22"/>
  <c r="GG29" i="22"/>
  <c r="KH42" i="21"/>
  <c r="KR38" i="21"/>
  <c r="KM30" i="21"/>
  <c r="KM27" i="21"/>
  <c r="GH57" i="21"/>
  <c r="GG57" i="21"/>
  <c r="W9" i="32"/>
  <c r="X9" i="32"/>
  <c r="Z9" i="32"/>
  <c r="W10" i="32"/>
  <c r="Y10" i="32"/>
  <c r="X10" i="32"/>
  <c r="Z10" i="32"/>
  <c r="Z11" i="32"/>
  <c r="Z12" i="32"/>
  <c r="Z14" i="32"/>
  <c r="Z16" i="32"/>
  <c r="Z17" i="32"/>
  <c r="Z18" i="32"/>
  <c r="Z19" i="32"/>
  <c r="Z22" i="32"/>
  <c r="Z23" i="32"/>
  <c r="Z24" i="32"/>
  <c r="Z25" i="32"/>
  <c r="Z26" i="32"/>
  <c r="W11" i="32"/>
  <c r="X11" i="32"/>
  <c r="W12" i="32"/>
  <c r="X12" i="32"/>
  <c r="W13" i="32"/>
  <c r="X13" i="32"/>
  <c r="W14" i="32"/>
  <c r="Y14" i="32"/>
  <c r="X14" i="32"/>
  <c r="W15" i="32"/>
  <c r="IU15" i="32"/>
  <c r="X15" i="32"/>
  <c r="W16" i="32"/>
  <c r="X16" i="32"/>
  <c r="W17" i="32"/>
  <c r="X17" i="32"/>
  <c r="W18" i="32"/>
  <c r="X18" i="32"/>
  <c r="W19" i="32"/>
  <c r="X19" i="32"/>
  <c r="W20" i="32"/>
  <c r="X20" i="32"/>
  <c r="W21" i="32"/>
  <c r="X21" i="32"/>
  <c r="W22" i="32"/>
  <c r="X22" i="32"/>
  <c r="W23" i="32"/>
  <c r="X23" i="32"/>
  <c r="W24" i="32"/>
  <c r="IU24" i="32"/>
  <c r="X24" i="32"/>
  <c r="W25" i="32"/>
  <c r="X25" i="32"/>
  <c r="W26" i="32"/>
  <c r="X26" i="32"/>
  <c r="W27" i="32"/>
  <c r="Y27" i="32"/>
  <c r="X27" i="32"/>
  <c r="W30" i="32"/>
  <c r="X30" i="32"/>
  <c r="W31" i="32"/>
  <c r="X31" i="32"/>
  <c r="Z54" i="34"/>
  <c r="Z47" i="34"/>
  <c r="Z45" i="34"/>
  <c r="Z44" i="34"/>
  <c r="Z40" i="34"/>
  <c r="Z29" i="34"/>
  <c r="Z21" i="34"/>
  <c r="W44" i="34"/>
  <c r="Y44" i="34"/>
  <c r="W45" i="34"/>
  <c r="Z40" i="21"/>
  <c r="Z37" i="21"/>
  <c r="Z36" i="21"/>
  <c r="Z35" i="21"/>
  <c r="Z34" i="21"/>
  <c r="Z27" i="21"/>
  <c r="Z30" i="21"/>
  <c r="Z33" i="21"/>
  <c r="W35" i="21"/>
  <c r="IU35" i="21"/>
  <c r="W36" i="21"/>
  <c r="IU36" i="21"/>
  <c r="W37" i="21"/>
  <c r="IU37" i="21"/>
  <c r="Z9" i="31"/>
  <c r="EG9" i="33"/>
  <c r="EG10" i="33"/>
  <c r="EH59" i="35"/>
  <c r="EG59" i="35"/>
  <c r="EH58" i="35"/>
  <c r="EG58" i="35"/>
  <c r="EH57" i="35"/>
  <c r="EG57" i="35"/>
  <c r="EH55" i="35"/>
  <c r="EG55" i="35"/>
  <c r="EH54" i="35"/>
  <c r="EG54" i="35"/>
  <c r="EH53" i="35"/>
  <c r="EG53" i="35"/>
  <c r="EH52" i="35"/>
  <c r="EG52" i="35"/>
  <c r="EH50" i="35"/>
  <c r="EG50" i="35"/>
  <c r="EH49" i="35"/>
  <c r="EG49" i="35"/>
  <c r="EH48" i="35"/>
  <c r="EG48" i="35"/>
  <c r="EH47" i="35"/>
  <c r="EG47" i="35"/>
  <c r="EH46" i="35"/>
  <c r="EG46" i="35"/>
  <c r="EH45" i="35"/>
  <c r="EG45" i="35"/>
  <c r="EH44" i="35"/>
  <c r="EG44" i="35"/>
  <c r="EH43" i="35"/>
  <c r="EG43" i="35"/>
  <c r="EH42" i="35"/>
  <c r="EG42" i="35"/>
  <c r="EH40" i="35"/>
  <c r="EG40" i="35"/>
  <c r="EH39" i="35"/>
  <c r="EG39" i="35"/>
  <c r="EH38" i="35"/>
  <c r="EG38" i="35"/>
  <c r="EH37" i="35"/>
  <c r="EG37" i="35"/>
  <c r="EH36" i="35"/>
  <c r="EG36" i="35"/>
  <c r="EH35" i="35"/>
  <c r="EG35" i="35"/>
  <c r="EH34" i="35"/>
  <c r="EG34" i="35"/>
  <c r="EH33" i="35"/>
  <c r="EG33" i="35"/>
  <c r="EH32" i="35"/>
  <c r="EG32" i="35"/>
  <c r="EH31" i="35"/>
  <c r="EG31" i="35"/>
  <c r="EH30" i="35"/>
  <c r="EG30" i="35"/>
  <c r="EH29" i="35"/>
  <c r="EG29" i="35"/>
  <c r="EH28" i="35"/>
  <c r="EG28" i="35"/>
  <c r="EH27" i="35"/>
  <c r="EG27" i="35"/>
  <c r="EH26" i="35"/>
  <c r="EG26" i="35"/>
  <c r="EH25" i="35"/>
  <c r="EG25" i="35"/>
  <c r="EH24" i="35"/>
  <c r="EG24" i="35"/>
  <c r="EH23" i="35"/>
  <c r="EG23" i="35"/>
  <c r="EH22" i="35"/>
  <c r="EG22" i="35"/>
  <c r="EH21" i="35"/>
  <c r="EG21" i="35"/>
  <c r="EH20" i="35"/>
  <c r="EG20" i="35"/>
  <c r="EH19" i="35"/>
  <c r="EG19" i="35"/>
  <c r="EH18" i="35"/>
  <c r="EG18" i="35"/>
  <c r="EH17" i="35"/>
  <c r="EG17" i="35"/>
  <c r="EH16" i="35"/>
  <c r="EG16" i="35"/>
  <c r="EH15" i="35"/>
  <c r="EG15" i="35"/>
  <c r="EH14" i="35"/>
  <c r="EG14" i="35"/>
  <c r="EH13" i="35"/>
  <c r="EH9" i="35"/>
  <c r="EH10" i="35"/>
  <c r="EH11" i="35"/>
  <c r="EH12" i="35"/>
  <c r="EG13" i="35"/>
  <c r="EG12" i="35"/>
  <c r="EG11" i="35"/>
  <c r="EG10" i="35"/>
  <c r="EI70" i="35"/>
  <c r="EH55" i="34"/>
  <c r="EG55" i="34"/>
  <c r="EH54" i="34"/>
  <c r="EG54" i="34"/>
  <c r="EH53" i="34"/>
  <c r="EG53" i="34"/>
  <c r="EH51" i="34"/>
  <c r="EG51" i="34"/>
  <c r="EH50" i="34"/>
  <c r="EG50" i="34"/>
  <c r="EH49" i="34"/>
  <c r="EG49" i="34"/>
  <c r="EH48" i="34"/>
  <c r="EG48" i="34"/>
  <c r="EH47" i="34"/>
  <c r="EG47" i="34"/>
  <c r="EH46" i="34"/>
  <c r="EG46" i="34"/>
  <c r="EH45" i="34"/>
  <c r="EG45" i="34"/>
  <c r="EH44" i="34"/>
  <c r="EG44" i="34"/>
  <c r="EH43" i="34"/>
  <c r="EG43" i="34"/>
  <c r="EH42" i="34"/>
  <c r="EG42" i="34"/>
  <c r="EH41" i="34"/>
  <c r="EG41" i="34"/>
  <c r="EH40" i="34"/>
  <c r="EG40" i="34"/>
  <c r="EH39" i="34"/>
  <c r="EG39" i="34"/>
  <c r="EH38" i="34"/>
  <c r="EG38" i="34"/>
  <c r="EH37" i="34"/>
  <c r="EG37" i="34"/>
  <c r="EH36" i="34"/>
  <c r="EG36" i="34"/>
  <c r="EH35" i="34"/>
  <c r="EG35" i="34"/>
  <c r="EH34" i="34"/>
  <c r="EG34" i="34"/>
  <c r="EH33" i="34"/>
  <c r="EG33" i="34"/>
  <c r="EH32" i="34"/>
  <c r="EG32" i="34"/>
  <c r="EH31" i="34"/>
  <c r="EG31" i="34"/>
  <c r="EH30" i="34"/>
  <c r="EG30" i="34"/>
  <c r="EH29" i="34"/>
  <c r="EG29" i="34"/>
  <c r="EH28" i="34"/>
  <c r="EG28" i="34"/>
  <c r="EH27" i="34"/>
  <c r="EG27" i="34"/>
  <c r="EH26" i="34"/>
  <c r="EG26" i="34"/>
  <c r="EH25" i="34"/>
  <c r="EG25" i="34"/>
  <c r="EH24" i="34"/>
  <c r="EG24" i="34"/>
  <c r="EH23" i="34"/>
  <c r="EG23" i="34"/>
  <c r="EH22" i="34"/>
  <c r="EG22" i="34"/>
  <c r="EH21" i="34"/>
  <c r="EG21" i="34"/>
  <c r="EH20" i="34"/>
  <c r="EG20" i="34"/>
  <c r="EH19" i="34"/>
  <c r="EG19" i="34"/>
  <c r="EH18" i="34"/>
  <c r="EG18" i="34"/>
  <c r="EH17" i="34"/>
  <c r="EG17" i="34"/>
  <c r="EH16" i="34"/>
  <c r="EG16" i="34"/>
  <c r="EH15" i="34"/>
  <c r="EG15" i="34"/>
  <c r="EH14" i="34"/>
  <c r="EG14" i="34"/>
  <c r="EH13" i="34"/>
  <c r="EG13" i="34"/>
  <c r="EH12" i="34"/>
  <c r="EG12" i="34"/>
  <c r="EH11" i="34"/>
  <c r="EG11" i="34"/>
  <c r="EH10" i="34"/>
  <c r="EG10" i="34"/>
  <c r="EH10" i="33"/>
  <c r="EI13" i="33"/>
  <c r="EH31" i="32"/>
  <c r="EG31" i="32"/>
  <c r="EH30" i="32"/>
  <c r="EG30" i="32"/>
  <c r="EH27" i="32"/>
  <c r="EG27" i="32"/>
  <c r="EH26" i="32"/>
  <c r="EG26" i="32"/>
  <c r="EH25" i="32"/>
  <c r="EG25" i="32"/>
  <c r="EH24" i="32"/>
  <c r="EG24" i="32"/>
  <c r="EH23" i="32"/>
  <c r="EG23" i="32"/>
  <c r="EH22" i="32"/>
  <c r="EG22" i="32"/>
  <c r="EH21" i="32"/>
  <c r="EG21" i="32"/>
  <c r="EH20" i="32"/>
  <c r="EG20" i="32"/>
  <c r="EH19" i="32"/>
  <c r="EG19" i="32"/>
  <c r="EH18" i="32"/>
  <c r="EG18" i="32"/>
  <c r="EH17" i="32"/>
  <c r="EG17" i="32"/>
  <c r="EH16" i="32"/>
  <c r="EG16" i="32"/>
  <c r="EH15" i="32"/>
  <c r="EG15" i="32"/>
  <c r="EH14" i="32"/>
  <c r="EG14" i="32"/>
  <c r="EH13" i="32"/>
  <c r="EG13" i="32"/>
  <c r="EH12" i="32"/>
  <c r="EG12" i="32"/>
  <c r="EH11" i="32"/>
  <c r="EG11" i="32"/>
  <c r="EH10" i="32"/>
  <c r="EH9" i="32"/>
  <c r="EG10" i="32"/>
  <c r="EI36" i="32"/>
  <c r="EH32" i="31"/>
  <c r="EG32" i="31"/>
  <c r="EH31" i="31"/>
  <c r="EG31" i="31"/>
  <c r="EH30" i="31"/>
  <c r="EG30" i="31"/>
  <c r="EH29" i="31"/>
  <c r="EG29" i="31"/>
  <c r="EH28" i="31"/>
  <c r="EG28" i="31"/>
  <c r="EH27" i="31"/>
  <c r="EG27" i="31"/>
  <c r="EH26" i="31"/>
  <c r="EG26" i="31"/>
  <c r="EH25" i="31"/>
  <c r="EG25" i="31"/>
  <c r="EH24" i="31"/>
  <c r="EG24" i="31"/>
  <c r="EH23" i="31"/>
  <c r="EG23" i="31"/>
  <c r="EG9" i="31"/>
  <c r="EG10" i="31"/>
  <c r="EG11" i="31"/>
  <c r="EG12" i="31"/>
  <c r="EG13" i="31"/>
  <c r="EG14" i="31"/>
  <c r="EG15" i="31"/>
  <c r="EG16" i="31"/>
  <c r="EG17" i="31"/>
  <c r="EG18" i="31"/>
  <c r="EG19" i="31"/>
  <c r="EG20" i="31"/>
  <c r="EG21" i="31"/>
  <c r="EH21" i="31"/>
  <c r="EH20" i="31"/>
  <c r="EH19" i="31"/>
  <c r="EH18" i="31"/>
  <c r="EH17" i="31"/>
  <c r="EH16" i="31"/>
  <c r="EH15" i="31"/>
  <c r="EH14" i="31"/>
  <c r="EH13" i="31"/>
  <c r="EH12" i="31"/>
  <c r="EH9" i="31"/>
  <c r="EH10" i="31"/>
  <c r="EH11" i="31"/>
  <c r="EI60" i="31"/>
  <c r="EH14" i="22"/>
  <c r="EG14" i="22"/>
  <c r="EH13" i="22"/>
  <c r="EG13" i="22"/>
  <c r="EH12" i="22"/>
  <c r="EH9" i="22"/>
  <c r="EH10" i="22"/>
  <c r="EH11" i="22"/>
  <c r="EG12" i="22"/>
  <c r="EG11" i="22"/>
  <c r="EG10" i="22"/>
  <c r="EI29" i="22"/>
  <c r="EH42" i="21"/>
  <c r="EG42" i="21"/>
  <c r="EH41" i="21"/>
  <c r="EG41" i="21"/>
  <c r="EH40" i="21"/>
  <c r="EG40" i="21"/>
  <c r="EH39" i="21"/>
  <c r="EG39" i="21"/>
  <c r="EH38" i="21"/>
  <c r="EG38" i="21"/>
  <c r="EH37" i="21"/>
  <c r="EG37" i="21"/>
  <c r="EH36" i="21"/>
  <c r="EG36" i="21"/>
  <c r="EH35" i="21"/>
  <c r="EG35" i="21"/>
  <c r="EH34" i="21"/>
  <c r="EG34" i="21"/>
  <c r="EH33" i="21"/>
  <c r="EG33" i="21"/>
  <c r="EH32" i="21"/>
  <c r="EG32" i="21"/>
  <c r="EH31" i="21"/>
  <c r="EG31" i="21"/>
  <c r="EH30" i="21"/>
  <c r="EG30" i="21"/>
  <c r="EH29" i="21"/>
  <c r="EG29" i="21"/>
  <c r="EH28" i="21"/>
  <c r="EG28" i="21"/>
  <c r="EH27" i="21"/>
  <c r="EG27" i="21"/>
  <c r="EH26" i="21"/>
  <c r="EG26" i="21"/>
  <c r="EH25" i="21"/>
  <c r="EG25" i="21"/>
  <c r="EH24" i="21"/>
  <c r="EG24" i="21"/>
  <c r="EH23" i="21"/>
  <c r="EG23" i="21"/>
  <c r="EH22" i="21"/>
  <c r="EG22" i="21"/>
  <c r="EH21" i="21"/>
  <c r="EG21" i="21"/>
  <c r="EH20" i="21"/>
  <c r="EG20" i="21"/>
  <c r="EH19" i="21"/>
  <c r="EG19" i="21"/>
  <c r="EH18" i="21"/>
  <c r="EG18" i="21"/>
  <c r="EH17" i="21"/>
  <c r="EG17" i="21"/>
  <c r="EH16" i="21"/>
  <c r="EG16" i="21"/>
  <c r="EH15" i="21"/>
  <c r="EG15" i="21"/>
  <c r="EH14" i="21"/>
  <c r="EG14" i="21"/>
  <c r="EH13" i="21"/>
  <c r="EG13" i="21"/>
  <c r="EH12" i="21"/>
  <c r="EG12" i="21"/>
  <c r="EH11" i="21"/>
  <c r="EG11" i="21"/>
  <c r="EH10" i="21"/>
  <c r="EG10" i="21"/>
  <c r="EG9" i="21"/>
  <c r="EI57" i="21"/>
  <c r="EH9" i="21"/>
  <c r="EG9" i="22"/>
  <c r="EG9" i="32"/>
  <c r="EH9" i="33"/>
  <c r="EH9" i="34"/>
  <c r="EG9" i="34"/>
  <c r="EG9" i="35"/>
  <c r="DW59" i="35"/>
  <c r="DX59" i="35"/>
  <c r="DY59" i="35"/>
  <c r="DZ59" i="35"/>
  <c r="EA59" i="35"/>
  <c r="DV59" i="35"/>
  <c r="DW58" i="35"/>
  <c r="DX58" i="35"/>
  <c r="DY58" i="35"/>
  <c r="DZ58" i="35"/>
  <c r="EA58" i="35"/>
  <c r="DV58" i="35"/>
  <c r="DW57" i="35"/>
  <c r="DX57" i="35"/>
  <c r="DY57" i="35"/>
  <c r="DZ57" i="35"/>
  <c r="EA57" i="35"/>
  <c r="DV57" i="35"/>
  <c r="DW55" i="35"/>
  <c r="DX55" i="35"/>
  <c r="DY55" i="35"/>
  <c r="DZ55" i="35"/>
  <c r="EA55" i="35"/>
  <c r="DV55" i="35"/>
  <c r="DW54" i="35"/>
  <c r="DX54" i="35"/>
  <c r="DY54" i="35"/>
  <c r="DZ54" i="35"/>
  <c r="EA54" i="35"/>
  <c r="DV54" i="35"/>
  <c r="DW53" i="35"/>
  <c r="DX53" i="35"/>
  <c r="DY53" i="35"/>
  <c r="DZ53" i="35"/>
  <c r="EA53" i="35"/>
  <c r="DV53" i="35"/>
  <c r="DW52" i="35"/>
  <c r="DX52" i="35"/>
  <c r="DY52" i="35"/>
  <c r="DZ52" i="35"/>
  <c r="EA52" i="35"/>
  <c r="DV52" i="35"/>
  <c r="DW50" i="35"/>
  <c r="DX50" i="35"/>
  <c r="DY50" i="35"/>
  <c r="DZ50" i="35"/>
  <c r="EA50" i="35"/>
  <c r="DV50" i="35"/>
  <c r="DW49" i="35"/>
  <c r="DX49" i="35"/>
  <c r="DY49" i="35"/>
  <c r="DZ49" i="35"/>
  <c r="EA49" i="35"/>
  <c r="DV49" i="35"/>
  <c r="DW48" i="35"/>
  <c r="DX48" i="35"/>
  <c r="DY48" i="35"/>
  <c r="DZ48" i="35"/>
  <c r="EA48" i="35"/>
  <c r="DV48" i="35"/>
  <c r="DW47" i="35"/>
  <c r="DX47" i="35"/>
  <c r="DY47" i="35"/>
  <c r="DZ47" i="35"/>
  <c r="EA47" i="35"/>
  <c r="DV47" i="35"/>
  <c r="DW46" i="35"/>
  <c r="DX46" i="35"/>
  <c r="DY46" i="35"/>
  <c r="DZ46" i="35"/>
  <c r="EA46" i="35"/>
  <c r="DV46" i="35"/>
  <c r="DW45" i="35"/>
  <c r="DX45" i="35"/>
  <c r="DY45" i="35"/>
  <c r="DZ45" i="35"/>
  <c r="EA45" i="35"/>
  <c r="DV45" i="35"/>
  <c r="DW44" i="35"/>
  <c r="DX44" i="35"/>
  <c r="DY44" i="35"/>
  <c r="DZ44" i="35"/>
  <c r="EA44" i="35"/>
  <c r="DV44" i="35"/>
  <c r="DW43" i="35"/>
  <c r="DX43" i="35"/>
  <c r="DY43" i="35"/>
  <c r="DZ43" i="35"/>
  <c r="EA43" i="35"/>
  <c r="DV43" i="35"/>
  <c r="DW42" i="35"/>
  <c r="DX42" i="35"/>
  <c r="DY42" i="35"/>
  <c r="DZ42" i="35"/>
  <c r="EA42" i="35"/>
  <c r="DV42" i="35"/>
  <c r="DW40" i="35"/>
  <c r="DX40" i="35"/>
  <c r="DY40" i="35"/>
  <c r="DZ40" i="35"/>
  <c r="EA40" i="35"/>
  <c r="DV40" i="35"/>
  <c r="DW39" i="35"/>
  <c r="DX39" i="35"/>
  <c r="DY39" i="35"/>
  <c r="DZ39" i="35"/>
  <c r="EA39" i="35"/>
  <c r="DV39" i="35"/>
  <c r="DW38" i="35"/>
  <c r="DX38" i="35"/>
  <c r="DY38" i="35"/>
  <c r="DZ38" i="35"/>
  <c r="EA38" i="35"/>
  <c r="DV38" i="35"/>
  <c r="DW37" i="35"/>
  <c r="DX37" i="35"/>
  <c r="DY37" i="35"/>
  <c r="DZ37" i="35"/>
  <c r="EA37" i="35"/>
  <c r="DV37" i="35"/>
  <c r="DW36" i="35"/>
  <c r="DX36" i="35"/>
  <c r="DY36" i="35"/>
  <c r="DZ36" i="35"/>
  <c r="EA36" i="35"/>
  <c r="DV36" i="35"/>
  <c r="DW35" i="35"/>
  <c r="DX35" i="35"/>
  <c r="DY35" i="35"/>
  <c r="DZ35" i="35"/>
  <c r="EA35" i="35"/>
  <c r="DV35" i="35"/>
  <c r="DW34" i="35"/>
  <c r="DX34" i="35"/>
  <c r="DY34" i="35"/>
  <c r="DZ34" i="35"/>
  <c r="EA34" i="35"/>
  <c r="DV34" i="35"/>
  <c r="DW33" i="35"/>
  <c r="DX33" i="35"/>
  <c r="DY33" i="35"/>
  <c r="DZ33" i="35"/>
  <c r="EA33" i="35"/>
  <c r="DV33" i="35"/>
  <c r="DW32" i="35"/>
  <c r="DX32" i="35"/>
  <c r="DY32" i="35"/>
  <c r="DZ32" i="35"/>
  <c r="EA32" i="35"/>
  <c r="DV32" i="35"/>
  <c r="DW31" i="35"/>
  <c r="DX31" i="35"/>
  <c r="DY31" i="35"/>
  <c r="DZ31" i="35"/>
  <c r="EA31" i="35"/>
  <c r="DV31" i="35"/>
  <c r="DW30" i="35"/>
  <c r="DX30" i="35"/>
  <c r="DY30" i="35"/>
  <c r="DZ30" i="35"/>
  <c r="EA30" i="35"/>
  <c r="DV30" i="35"/>
  <c r="DW29" i="35"/>
  <c r="DX29" i="35"/>
  <c r="DY29" i="35"/>
  <c r="DZ29" i="35"/>
  <c r="EA29" i="35"/>
  <c r="DV29" i="35"/>
  <c r="DW28" i="35"/>
  <c r="DX28" i="35"/>
  <c r="DY28" i="35"/>
  <c r="DZ28" i="35"/>
  <c r="EA28" i="35"/>
  <c r="DV28" i="35"/>
  <c r="DW27" i="35"/>
  <c r="DX27" i="35"/>
  <c r="DY27" i="35"/>
  <c r="DZ27" i="35"/>
  <c r="EA27" i="35"/>
  <c r="DZ9" i="35"/>
  <c r="DZ10" i="35"/>
  <c r="DZ11" i="35"/>
  <c r="DZ12" i="35"/>
  <c r="DZ13" i="35"/>
  <c r="DZ14" i="35"/>
  <c r="DZ15" i="35"/>
  <c r="DZ16" i="35"/>
  <c r="DZ17" i="35"/>
  <c r="DZ18" i="35"/>
  <c r="DZ19" i="35"/>
  <c r="DZ20" i="35"/>
  <c r="DZ21" i="35"/>
  <c r="DZ22" i="35"/>
  <c r="DZ23" i="35"/>
  <c r="DZ24" i="35"/>
  <c r="DZ25" i="35"/>
  <c r="DZ26" i="35"/>
  <c r="DV27" i="35"/>
  <c r="DW26" i="35"/>
  <c r="DX26" i="35"/>
  <c r="DY26" i="35"/>
  <c r="EA26" i="35"/>
  <c r="DV26" i="35"/>
  <c r="DW25" i="35"/>
  <c r="DX25" i="35"/>
  <c r="DY25" i="35"/>
  <c r="EA25" i="35"/>
  <c r="DV25" i="35"/>
  <c r="DW24" i="35"/>
  <c r="DX24" i="35"/>
  <c r="DY24" i="35"/>
  <c r="EA24" i="35"/>
  <c r="DV24" i="35"/>
  <c r="DW23" i="35"/>
  <c r="DX23" i="35"/>
  <c r="DY23" i="35"/>
  <c r="EA23" i="35"/>
  <c r="DV23" i="35"/>
  <c r="DV22" i="35"/>
  <c r="DV21" i="35"/>
  <c r="DV9" i="35"/>
  <c r="DV10" i="35"/>
  <c r="DV11" i="35"/>
  <c r="DV12" i="35"/>
  <c r="DV13" i="35"/>
  <c r="DV14" i="35"/>
  <c r="DV15" i="35"/>
  <c r="DV16" i="35"/>
  <c r="DV17" i="35"/>
  <c r="DV18" i="35"/>
  <c r="DV19" i="35"/>
  <c r="DV20" i="35"/>
  <c r="DW22" i="35"/>
  <c r="DX22" i="35"/>
  <c r="DY22" i="35"/>
  <c r="EA22" i="35"/>
  <c r="DW21" i="35"/>
  <c r="DX21" i="35"/>
  <c r="DY21" i="35"/>
  <c r="EA21" i="35"/>
  <c r="DW20" i="35"/>
  <c r="DX20" i="35"/>
  <c r="DY20" i="35"/>
  <c r="EA20" i="35"/>
  <c r="DW19" i="35"/>
  <c r="DX19" i="35"/>
  <c r="DY19" i="35"/>
  <c r="EA19" i="35"/>
  <c r="DW18" i="35"/>
  <c r="DX18" i="35"/>
  <c r="DY18" i="35"/>
  <c r="EA18" i="35"/>
  <c r="DW17" i="35"/>
  <c r="DX17" i="35"/>
  <c r="DY17" i="35"/>
  <c r="EA17" i="35"/>
  <c r="DW16" i="35"/>
  <c r="DX16" i="35"/>
  <c r="DY16" i="35"/>
  <c r="EA16" i="35"/>
  <c r="DW15" i="35"/>
  <c r="DX15" i="35"/>
  <c r="DY15" i="35"/>
  <c r="EA15" i="35"/>
  <c r="DW14" i="35"/>
  <c r="DX14" i="35"/>
  <c r="DY14" i="35"/>
  <c r="EA14" i="35"/>
  <c r="DW13" i="35"/>
  <c r="DX13" i="35"/>
  <c r="DY13" i="35"/>
  <c r="EA13" i="35"/>
  <c r="DW12" i="35"/>
  <c r="DX12" i="35"/>
  <c r="DY12" i="35"/>
  <c r="EA12" i="35"/>
  <c r="DW11" i="35"/>
  <c r="DX11" i="35"/>
  <c r="DY11" i="35"/>
  <c r="EA11" i="35"/>
  <c r="DW10" i="35"/>
  <c r="DW9" i="35"/>
  <c r="DX10" i="35"/>
  <c r="DY10" i="35"/>
  <c r="EA10" i="35"/>
  <c r="DX9" i="35"/>
  <c r="DY9" i="35"/>
  <c r="EA9" i="35"/>
  <c r="DW55" i="34"/>
  <c r="DX55" i="34"/>
  <c r="DY55" i="34"/>
  <c r="DZ55" i="34"/>
  <c r="EA55" i="34"/>
  <c r="DV55" i="34"/>
  <c r="DW54" i="34"/>
  <c r="DX54" i="34"/>
  <c r="DY54" i="34"/>
  <c r="DZ54" i="34"/>
  <c r="EA54" i="34"/>
  <c r="DV54" i="34"/>
  <c r="DW53" i="34"/>
  <c r="DX53" i="34"/>
  <c r="DY53" i="34"/>
  <c r="DZ53" i="34"/>
  <c r="EA53" i="34"/>
  <c r="DV53" i="34"/>
  <c r="DW51" i="34"/>
  <c r="DX51" i="34"/>
  <c r="DY51" i="34"/>
  <c r="DZ51" i="34"/>
  <c r="EA51" i="34"/>
  <c r="DV51" i="34"/>
  <c r="DW50" i="34"/>
  <c r="DX50" i="34"/>
  <c r="DY50" i="34"/>
  <c r="DZ50" i="34"/>
  <c r="EA50" i="34"/>
  <c r="DV50" i="34"/>
  <c r="DW49" i="34"/>
  <c r="DX49" i="34"/>
  <c r="DY49" i="34"/>
  <c r="DZ49" i="34"/>
  <c r="EA49" i="34"/>
  <c r="DV49" i="34"/>
  <c r="DW48" i="34"/>
  <c r="DX48" i="34"/>
  <c r="DY48" i="34"/>
  <c r="DZ48" i="34"/>
  <c r="EA48" i="34"/>
  <c r="DV48" i="34"/>
  <c r="DW47" i="34"/>
  <c r="DX47" i="34"/>
  <c r="DY47" i="34"/>
  <c r="DZ47" i="34"/>
  <c r="EA47" i="34"/>
  <c r="DV47" i="34"/>
  <c r="DW46" i="34"/>
  <c r="DX46" i="34"/>
  <c r="DY46" i="34"/>
  <c r="DZ46" i="34"/>
  <c r="EA46" i="34"/>
  <c r="DV46" i="34"/>
  <c r="DW45" i="34"/>
  <c r="DX45" i="34"/>
  <c r="DY45" i="34"/>
  <c r="DZ45" i="34"/>
  <c r="EA45" i="34"/>
  <c r="DV45" i="34"/>
  <c r="DW44" i="34"/>
  <c r="DX44" i="34"/>
  <c r="DY44" i="34"/>
  <c r="DZ44" i="34"/>
  <c r="EA44" i="34"/>
  <c r="DV44" i="34"/>
  <c r="DW43" i="34"/>
  <c r="DX43" i="34"/>
  <c r="DY43" i="34"/>
  <c r="DZ43" i="34"/>
  <c r="EA43" i="34"/>
  <c r="DV43" i="34"/>
  <c r="DW42" i="34"/>
  <c r="DX42" i="34"/>
  <c r="DY42" i="34"/>
  <c r="DZ42" i="34"/>
  <c r="EA42" i="34"/>
  <c r="DV42" i="34"/>
  <c r="DW41" i="34"/>
  <c r="DX41" i="34"/>
  <c r="DY41" i="34"/>
  <c r="DZ41" i="34"/>
  <c r="EA41" i="34"/>
  <c r="DV41" i="34"/>
  <c r="DW40" i="34"/>
  <c r="DX40" i="34"/>
  <c r="DY40" i="34"/>
  <c r="DZ40" i="34"/>
  <c r="EA40" i="34"/>
  <c r="DV40" i="34"/>
  <c r="DW39" i="34"/>
  <c r="DX39" i="34"/>
  <c r="DY39" i="34"/>
  <c r="DZ39" i="34"/>
  <c r="EA39" i="34"/>
  <c r="DV39" i="34"/>
  <c r="DW38" i="34"/>
  <c r="DX38" i="34"/>
  <c r="DY38" i="34"/>
  <c r="DZ38" i="34"/>
  <c r="EA38" i="34"/>
  <c r="DV38" i="34"/>
  <c r="DW37" i="34"/>
  <c r="DX37" i="34"/>
  <c r="DY37" i="34"/>
  <c r="DZ37" i="34"/>
  <c r="EA37" i="34"/>
  <c r="DV37" i="34"/>
  <c r="DW36" i="34"/>
  <c r="DX36" i="34"/>
  <c r="DY36" i="34"/>
  <c r="DZ36" i="34"/>
  <c r="EA36" i="34"/>
  <c r="DV36" i="34"/>
  <c r="DW35" i="34"/>
  <c r="DX35" i="34"/>
  <c r="DY35" i="34"/>
  <c r="DZ35" i="34"/>
  <c r="EA35" i="34"/>
  <c r="DV35" i="34"/>
  <c r="DW34" i="34"/>
  <c r="DX34" i="34"/>
  <c r="DY34" i="34"/>
  <c r="DZ34" i="34"/>
  <c r="EA34" i="34"/>
  <c r="DV34" i="34"/>
  <c r="DW33" i="34"/>
  <c r="DX33" i="34"/>
  <c r="DY33" i="34"/>
  <c r="DZ33" i="34"/>
  <c r="EA33" i="34"/>
  <c r="DV33" i="34"/>
  <c r="DW32" i="34"/>
  <c r="DX32" i="34"/>
  <c r="DY32" i="34"/>
  <c r="DZ32" i="34"/>
  <c r="EA32" i="34"/>
  <c r="DV32" i="34"/>
  <c r="DW31" i="34"/>
  <c r="DX31" i="34"/>
  <c r="DY31" i="34"/>
  <c r="DZ31" i="34"/>
  <c r="EA31" i="34"/>
  <c r="DV31" i="34"/>
  <c r="DW30" i="34"/>
  <c r="DX30" i="34"/>
  <c r="DY30" i="34"/>
  <c r="DZ30" i="34"/>
  <c r="EA30" i="34"/>
  <c r="DV30" i="34"/>
  <c r="DW29" i="34"/>
  <c r="DX29" i="34"/>
  <c r="DY29" i="34"/>
  <c r="DZ29" i="34"/>
  <c r="EA29" i="34"/>
  <c r="DV29" i="34"/>
  <c r="DW28" i="34"/>
  <c r="DX28" i="34"/>
  <c r="DY28" i="34"/>
  <c r="DZ28" i="34"/>
  <c r="EA28" i="34"/>
  <c r="DV28" i="34"/>
  <c r="DW27" i="34"/>
  <c r="DX27" i="34"/>
  <c r="DY27" i="34"/>
  <c r="DZ27" i="34"/>
  <c r="EA27" i="34"/>
  <c r="DV27" i="34"/>
  <c r="DW26" i="34"/>
  <c r="DX26" i="34"/>
  <c r="DY26" i="34"/>
  <c r="DZ26" i="34"/>
  <c r="EA26" i="34"/>
  <c r="DV26" i="34"/>
  <c r="DW25" i="34"/>
  <c r="DX25" i="34"/>
  <c r="DY25" i="34"/>
  <c r="DZ25" i="34"/>
  <c r="EA25" i="34"/>
  <c r="DV25" i="34"/>
  <c r="DW24" i="34"/>
  <c r="DX24" i="34"/>
  <c r="DY24" i="34"/>
  <c r="DZ24" i="34"/>
  <c r="EA24" i="34"/>
  <c r="DV24" i="34"/>
  <c r="DW23" i="34"/>
  <c r="DX23" i="34"/>
  <c r="DY23" i="34"/>
  <c r="DZ23" i="34"/>
  <c r="EA23" i="34"/>
  <c r="DV23" i="34"/>
  <c r="DW22" i="34"/>
  <c r="DX22" i="34"/>
  <c r="DY22" i="34"/>
  <c r="DZ22" i="34"/>
  <c r="EA22" i="34"/>
  <c r="DV22" i="34"/>
  <c r="DW21" i="34"/>
  <c r="DX21" i="34"/>
  <c r="DY21" i="34"/>
  <c r="DZ21" i="34"/>
  <c r="EA21" i="34"/>
  <c r="DV21" i="34"/>
  <c r="DW20" i="34"/>
  <c r="DX20" i="34"/>
  <c r="DY20" i="34"/>
  <c r="DZ20" i="34"/>
  <c r="EA20" i="34"/>
  <c r="DV20" i="34"/>
  <c r="DW19" i="34"/>
  <c r="DX19" i="34"/>
  <c r="DY19" i="34"/>
  <c r="DZ19" i="34"/>
  <c r="EA19" i="34"/>
  <c r="DV19" i="34"/>
  <c r="DW18" i="34"/>
  <c r="DX18" i="34"/>
  <c r="DY18" i="34"/>
  <c r="DZ18" i="34"/>
  <c r="EA18" i="34"/>
  <c r="DV18" i="34"/>
  <c r="DW17" i="34"/>
  <c r="DX17" i="34"/>
  <c r="DY17" i="34"/>
  <c r="DZ17" i="34"/>
  <c r="EA17" i="34"/>
  <c r="DV17" i="34"/>
  <c r="DW16" i="34"/>
  <c r="DX16" i="34"/>
  <c r="DY16" i="34"/>
  <c r="DZ16" i="34"/>
  <c r="EA16" i="34"/>
  <c r="DV16" i="34"/>
  <c r="DW15" i="34"/>
  <c r="DX15" i="34"/>
  <c r="DY15" i="34"/>
  <c r="DZ15" i="34"/>
  <c r="EA15" i="34"/>
  <c r="DV15" i="34"/>
  <c r="DW14" i="34"/>
  <c r="DX14" i="34"/>
  <c r="DY14" i="34"/>
  <c r="DZ14" i="34"/>
  <c r="EA14" i="34"/>
  <c r="DV14" i="34"/>
  <c r="DW13" i="34"/>
  <c r="DX13" i="34"/>
  <c r="DY13" i="34"/>
  <c r="DZ13" i="34"/>
  <c r="EA13" i="34"/>
  <c r="DV13" i="34"/>
  <c r="DW12" i="34"/>
  <c r="DX12" i="34"/>
  <c r="DY12" i="34"/>
  <c r="DZ12" i="34"/>
  <c r="EA12" i="34"/>
  <c r="DV12" i="34"/>
  <c r="DW11" i="34"/>
  <c r="DX11" i="34"/>
  <c r="DY11" i="34"/>
  <c r="DZ11" i="34"/>
  <c r="EA11" i="34"/>
  <c r="DV11" i="34"/>
  <c r="DW10" i="34"/>
  <c r="DX10" i="34"/>
  <c r="DY10" i="34"/>
  <c r="DZ10" i="34"/>
  <c r="EA10" i="34"/>
  <c r="EA9" i="34"/>
  <c r="DV10" i="34"/>
  <c r="DW9" i="34"/>
  <c r="DX9" i="34"/>
  <c r="DY9" i="34"/>
  <c r="DZ9" i="34"/>
  <c r="DV9" i="34"/>
  <c r="DW10" i="33"/>
  <c r="DX10" i="33"/>
  <c r="DY10" i="33"/>
  <c r="DZ10" i="33"/>
  <c r="EA10" i="33"/>
  <c r="DZ9" i="33"/>
  <c r="DV10" i="33"/>
  <c r="DW9" i="33"/>
  <c r="DX9" i="33"/>
  <c r="DY9" i="33"/>
  <c r="EA9" i="33"/>
  <c r="DV9" i="33"/>
  <c r="DW31" i="32"/>
  <c r="DX31" i="32"/>
  <c r="DY31" i="32"/>
  <c r="DZ31" i="32"/>
  <c r="EA31" i="32"/>
  <c r="DV31" i="32"/>
  <c r="DW30" i="32"/>
  <c r="DX30" i="32"/>
  <c r="DY30" i="32"/>
  <c r="DZ30" i="32"/>
  <c r="EA30" i="32"/>
  <c r="DV30" i="32"/>
  <c r="DW27" i="32"/>
  <c r="DX27" i="32"/>
  <c r="DY27" i="32"/>
  <c r="DZ27" i="32"/>
  <c r="DW26" i="32"/>
  <c r="DX26" i="32"/>
  <c r="DY26" i="32"/>
  <c r="DZ26" i="32"/>
  <c r="EA26" i="32"/>
  <c r="DV26" i="32"/>
  <c r="DW25" i="32"/>
  <c r="DX25" i="32"/>
  <c r="DY25" i="32"/>
  <c r="DZ25" i="32"/>
  <c r="EA25" i="32"/>
  <c r="DV25" i="32"/>
  <c r="DW24" i="32"/>
  <c r="DX24" i="32"/>
  <c r="DY24" i="32"/>
  <c r="DZ24" i="32"/>
  <c r="EA24" i="32"/>
  <c r="DV24" i="32"/>
  <c r="DW23" i="32"/>
  <c r="DX23" i="32"/>
  <c r="DY23" i="32"/>
  <c r="DZ23" i="32"/>
  <c r="EA23" i="32"/>
  <c r="DV23" i="32"/>
  <c r="DW22" i="32"/>
  <c r="DX22" i="32"/>
  <c r="DY22" i="32"/>
  <c r="DZ22" i="32"/>
  <c r="EA22" i="32"/>
  <c r="DV22" i="32"/>
  <c r="DW21" i="32"/>
  <c r="DX21" i="32"/>
  <c r="DY21" i="32"/>
  <c r="DZ21" i="32"/>
  <c r="EA21" i="32"/>
  <c r="DV21" i="32"/>
  <c r="DW20" i="32"/>
  <c r="DX20" i="32"/>
  <c r="DY20" i="32"/>
  <c r="DZ20" i="32"/>
  <c r="EA20" i="32"/>
  <c r="DV20" i="32"/>
  <c r="DW19" i="32"/>
  <c r="DX19" i="32"/>
  <c r="DY19" i="32"/>
  <c r="DZ19" i="32"/>
  <c r="EA19" i="32"/>
  <c r="DV19" i="32"/>
  <c r="DW18" i="32"/>
  <c r="DX18" i="32"/>
  <c r="DY18" i="32"/>
  <c r="DZ18" i="32"/>
  <c r="EA18" i="32"/>
  <c r="DV18" i="32"/>
  <c r="DW17" i="32"/>
  <c r="DX17" i="32"/>
  <c r="DY17" i="32"/>
  <c r="DZ17" i="32"/>
  <c r="EA17" i="32"/>
  <c r="DV17" i="32"/>
  <c r="DW16" i="32"/>
  <c r="DX16" i="32"/>
  <c r="DY16" i="32"/>
  <c r="DZ16" i="32"/>
  <c r="EA16" i="32"/>
  <c r="DV16" i="32"/>
  <c r="DW15" i="32"/>
  <c r="DX15" i="32"/>
  <c r="DY15" i="32"/>
  <c r="DZ15" i="32"/>
  <c r="EA15" i="32"/>
  <c r="DV15" i="32"/>
  <c r="DW14" i="32"/>
  <c r="DX14" i="32"/>
  <c r="DY14" i="32"/>
  <c r="DZ14" i="32"/>
  <c r="EA14" i="32"/>
  <c r="DV14" i="32"/>
  <c r="DW13" i="32"/>
  <c r="DX13" i="32"/>
  <c r="DY13" i="32"/>
  <c r="DZ13" i="32"/>
  <c r="EA13" i="32"/>
  <c r="DV13" i="32"/>
  <c r="DW12" i="32"/>
  <c r="DW9" i="32"/>
  <c r="DW10" i="32"/>
  <c r="DX10" i="32"/>
  <c r="DY10" i="32"/>
  <c r="DZ10" i="32"/>
  <c r="EA10" i="32"/>
  <c r="DW11" i="32"/>
  <c r="DX12" i="32"/>
  <c r="DY12" i="32"/>
  <c r="DZ12" i="32"/>
  <c r="EA12" i="32"/>
  <c r="EA9" i="32"/>
  <c r="EA11" i="32"/>
  <c r="DV12" i="32"/>
  <c r="DX11" i="32"/>
  <c r="DY11" i="32"/>
  <c r="DZ11" i="32"/>
  <c r="DX9" i="32"/>
  <c r="DV11" i="32"/>
  <c r="DZ9" i="32"/>
  <c r="DV10" i="32"/>
  <c r="DY9" i="32"/>
  <c r="DV9" i="32"/>
  <c r="DW32" i="31"/>
  <c r="DX32" i="31"/>
  <c r="DY32" i="31"/>
  <c r="EA32" i="31"/>
  <c r="DW31" i="31"/>
  <c r="DX31" i="31"/>
  <c r="DY31" i="31"/>
  <c r="DZ31" i="31"/>
  <c r="EA31" i="31"/>
  <c r="DV31" i="31"/>
  <c r="DW30" i="31"/>
  <c r="DX30" i="31"/>
  <c r="DY30" i="31"/>
  <c r="DZ30" i="31"/>
  <c r="EA30" i="31"/>
  <c r="DV30" i="31"/>
  <c r="DW29" i="31"/>
  <c r="DX29" i="31"/>
  <c r="DY29" i="31"/>
  <c r="DZ29" i="31"/>
  <c r="EA29" i="31"/>
  <c r="DV29" i="31"/>
  <c r="DW28" i="31"/>
  <c r="DX28" i="31"/>
  <c r="DY28" i="31"/>
  <c r="DZ28" i="31"/>
  <c r="EA28" i="31"/>
  <c r="DV28" i="31"/>
  <c r="DW27" i="31"/>
  <c r="DX27" i="31"/>
  <c r="DY27" i="31"/>
  <c r="DZ27" i="31"/>
  <c r="EA27" i="31"/>
  <c r="DV27" i="31"/>
  <c r="DW26" i="31"/>
  <c r="DX26" i="31"/>
  <c r="DY26" i="31"/>
  <c r="DZ26" i="31"/>
  <c r="EA26" i="31"/>
  <c r="DV26" i="31"/>
  <c r="DW25" i="31"/>
  <c r="DX25" i="31"/>
  <c r="DY25" i="31"/>
  <c r="DZ25" i="31"/>
  <c r="EA25" i="31"/>
  <c r="DV25" i="31"/>
  <c r="DW24" i="31"/>
  <c r="DX24" i="31"/>
  <c r="DY24" i="31"/>
  <c r="DZ24" i="31"/>
  <c r="EA24" i="31"/>
  <c r="DZ9" i="31"/>
  <c r="DZ10" i="31"/>
  <c r="DZ11" i="31"/>
  <c r="DZ12" i="31"/>
  <c r="DZ13" i="31"/>
  <c r="DZ14" i="31"/>
  <c r="DZ15" i="31"/>
  <c r="DW15" i="31"/>
  <c r="DX15" i="31"/>
  <c r="DY15" i="31"/>
  <c r="EA15" i="31"/>
  <c r="DZ16" i="31"/>
  <c r="DZ17" i="31"/>
  <c r="DZ18" i="31"/>
  <c r="DZ19" i="31"/>
  <c r="DZ20" i="31"/>
  <c r="DZ21" i="31"/>
  <c r="DW21" i="31"/>
  <c r="DX21" i="31"/>
  <c r="DY21" i="31"/>
  <c r="EA21" i="31"/>
  <c r="DZ23" i="31"/>
  <c r="DV24" i="31"/>
  <c r="DW23" i="31"/>
  <c r="DX23" i="31"/>
  <c r="DY23" i="31"/>
  <c r="EA23" i="31"/>
  <c r="DY9" i="31"/>
  <c r="DY10" i="31"/>
  <c r="DY11" i="31"/>
  <c r="DY12" i="31"/>
  <c r="DY13" i="31"/>
  <c r="DY14" i="31"/>
  <c r="DY16" i="31"/>
  <c r="DY17" i="31"/>
  <c r="DY18" i="31"/>
  <c r="DY19" i="31"/>
  <c r="DY20" i="31"/>
  <c r="DV23" i="31"/>
  <c r="DV21" i="31"/>
  <c r="DW20" i="31"/>
  <c r="DX20" i="31"/>
  <c r="EA20" i="31"/>
  <c r="DV20" i="31"/>
  <c r="DW19" i="31"/>
  <c r="DX19" i="31"/>
  <c r="EA19" i="31"/>
  <c r="DV19" i="31"/>
  <c r="DW18" i="31"/>
  <c r="DX18" i="31"/>
  <c r="EA18" i="31"/>
  <c r="DV18" i="31"/>
  <c r="DW17" i="31"/>
  <c r="DX17" i="31"/>
  <c r="DX9" i="31"/>
  <c r="DX10" i="31"/>
  <c r="DX11" i="31"/>
  <c r="DX12" i="31"/>
  <c r="DX13" i="31"/>
  <c r="DX14" i="31"/>
  <c r="DX16" i="31"/>
  <c r="EA17" i="31"/>
  <c r="DV17" i="31"/>
  <c r="DW16" i="31"/>
  <c r="EA16" i="31"/>
  <c r="DV16" i="31"/>
  <c r="DV15" i="31"/>
  <c r="DW14" i="31"/>
  <c r="EA14" i="31"/>
  <c r="DV14" i="31"/>
  <c r="DW13" i="31"/>
  <c r="EA13" i="31"/>
  <c r="DV13" i="31"/>
  <c r="DW12" i="31"/>
  <c r="EA12" i="31"/>
  <c r="DV12" i="31"/>
  <c r="DW11" i="31"/>
  <c r="EA11" i="31"/>
  <c r="DV11" i="31"/>
  <c r="DW10" i="31"/>
  <c r="EA10" i="31"/>
  <c r="DV10" i="31"/>
  <c r="DW9" i="31"/>
  <c r="EA9" i="31"/>
  <c r="DV9" i="31"/>
  <c r="DW14" i="22"/>
  <c r="DX14" i="22"/>
  <c r="DY14" i="22"/>
  <c r="DZ14" i="22"/>
  <c r="EA14" i="22"/>
  <c r="DV14" i="22"/>
  <c r="DW13" i="22"/>
  <c r="DX13" i="22"/>
  <c r="DY13" i="22"/>
  <c r="DZ13" i="22"/>
  <c r="EA13" i="22"/>
  <c r="EA9" i="22"/>
  <c r="EA10" i="22"/>
  <c r="EA11" i="22"/>
  <c r="EA12" i="22"/>
  <c r="DV13" i="22"/>
  <c r="DW12" i="22"/>
  <c r="DX12" i="22"/>
  <c r="DY12" i="22"/>
  <c r="DZ12" i="22"/>
  <c r="DV12" i="22"/>
  <c r="DV9" i="22"/>
  <c r="DV10" i="22"/>
  <c r="DV11" i="22"/>
  <c r="DW11" i="22"/>
  <c r="DX11" i="22"/>
  <c r="DY11" i="22"/>
  <c r="DZ11" i="22"/>
  <c r="DZ9" i="22"/>
  <c r="DZ10" i="22"/>
  <c r="DW10" i="22"/>
  <c r="DW9" i="22"/>
  <c r="DX10" i="22"/>
  <c r="DY10" i="22"/>
  <c r="DX9" i="22"/>
  <c r="DY9" i="22"/>
  <c r="DW42" i="21"/>
  <c r="DX42" i="21"/>
  <c r="DZ42" i="21"/>
  <c r="EA42" i="21"/>
  <c r="DW41" i="21"/>
  <c r="DX41" i="21"/>
  <c r="DZ41" i="21"/>
  <c r="EA41" i="21"/>
  <c r="DW40" i="21"/>
  <c r="DX40" i="21"/>
  <c r="DY40" i="21"/>
  <c r="DZ40" i="21"/>
  <c r="EA40" i="21"/>
  <c r="DV40" i="21"/>
  <c r="DW39" i="21"/>
  <c r="DX39" i="21"/>
  <c r="DY39" i="21"/>
  <c r="DZ39" i="21"/>
  <c r="EA39" i="21"/>
  <c r="DV39" i="21"/>
  <c r="DW38" i="21"/>
  <c r="DX38" i="21"/>
  <c r="DY38" i="21"/>
  <c r="DZ38" i="21"/>
  <c r="EA38" i="21"/>
  <c r="DV38" i="21"/>
  <c r="DW37" i="21"/>
  <c r="DX37" i="21"/>
  <c r="DY37" i="21"/>
  <c r="DZ37" i="21"/>
  <c r="EA37" i="21"/>
  <c r="DV37" i="21"/>
  <c r="DW36" i="21"/>
  <c r="DX36" i="21"/>
  <c r="DY36" i="21"/>
  <c r="DZ36" i="21"/>
  <c r="EA36" i="21"/>
  <c r="DV36" i="21"/>
  <c r="DW35" i="21"/>
  <c r="DX35" i="21"/>
  <c r="DY35" i="21"/>
  <c r="DZ35" i="21"/>
  <c r="EA35" i="21"/>
  <c r="DV35" i="21"/>
  <c r="DW34" i="21"/>
  <c r="DX34" i="21"/>
  <c r="DY34" i="21"/>
  <c r="DZ34" i="21"/>
  <c r="EA34" i="21"/>
  <c r="DV34" i="21"/>
  <c r="DW33" i="21"/>
  <c r="DX33" i="21"/>
  <c r="DY33" i="21"/>
  <c r="DZ33" i="21"/>
  <c r="EA33" i="21"/>
  <c r="DV33" i="21"/>
  <c r="DW32" i="21"/>
  <c r="DX32" i="21"/>
  <c r="DY32" i="21"/>
  <c r="DZ32" i="21"/>
  <c r="EA32" i="21"/>
  <c r="DV32" i="21"/>
  <c r="DW31" i="21"/>
  <c r="DX31" i="21"/>
  <c r="DY31" i="21"/>
  <c r="DZ31" i="21"/>
  <c r="EA31" i="21"/>
  <c r="DV31" i="21"/>
  <c r="DW30" i="21"/>
  <c r="DX30" i="21"/>
  <c r="DY30" i="21"/>
  <c r="DZ30" i="21"/>
  <c r="EA30" i="21"/>
  <c r="DV30" i="21"/>
  <c r="DW29" i="21"/>
  <c r="DX29" i="21"/>
  <c r="DY29" i="21"/>
  <c r="DZ29" i="21"/>
  <c r="EA29" i="21"/>
  <c r="DV29" i="21"/>
  <c r="DW28" i="21"/>
  <c r="DX28" i="21"/>
  <c r="DY28" i="21"/>
  <c r="DZ28" i="21"/>
  <c r="EA28" i="21"/>
  <c r="DV28" i="21"/>
  <c r="DW27" i="21"/>
  <c r="DX27" i="21"/>
  <c r="DY27" i="21"/>
  <c r="DZ27" i="21"/>
  <c r="EA27" i="21"/>
  <c r="DV27" i="21"/>
  <c r="DW26" i="21"/>
  <c r="DX26" i="21"/>
  <c r="DY26" i="21"/>
  <c r="DZ26" i="21"/>
  <c r="EA26" i="21"/>
  <c r="DV26" i="21"/>
  <c r="DW25" i="21"/>
  <c r="DX25" i="21"/>
  <c r="DY25" i="21"/>
  <c r="DZ25" i="21"/>
  <c r="EA25" i="21"/>
  <c r="DV25" i="21"/>
  <c r="DW24" i="21"/>
  <c r="DX24" i="21"/>
  <c r="DY24" i="21"/>
  <c r="DZ24" i="21"/>
  <c r="EA24" i="21"/>
  <c r="DV24" i="21"/>
  <c r="DW23" i="21"/>
  <c r="DX23" i="21"/>
  <c r="DY23" i="21"/>
  <c r="DZ23" i="21"/>
  <c r="EA23" i="21"/>
  <c r="DZ9" i="21"/>
  <c r="DZ10" i="21"/>
  <c r="DZ11" i="21"/>
  <c r="DZ12" i="21"/>
  <c r="DZ14" i="21"/>
  <c r="DZ15" i="21"/>
  <c r="DZ16" i="21"/>
  <c r="DZ17" i="21"/>
  <c r="DZ18" i="21"/>
  <c r="DZ19" i="21"/>
  <c r="DZ20" i="21"/>
  <c r="DZ21" i="21"/>
  <c r="DZ22" i="21"/>
  <c r="DV23" i="21"/>
  <c r="DW22" i="21"/>
  <c r="DX22" i="21"/>
  <c r="DY22" i="21"/>
  <c r="EA22" i="21"/>
  <c r="DV22" i="21"/>
  <c r="DW21" i="21"/>
  <c r="DX21" i="21"/>
  <c r="DY21" i="21"/>
  <c r="EA21" i="21"/>
  <c r="DV21" i="21"/>
  <c r="DW20" i="21"/>
  <c r="DX20" i="21"/>
  <c r="DY20" i="21"/>
  <c r="EA20" i="21"/>
  <c r="DV20" i="21"/>
  <c r="DW19" i="21"/>
  <c r="DX19" i="21"/>
  <c r="DY19" i="21"/>
  <c r="EA19" i="21"/>
  <c r="DV19" i="21"/>
  <c r="DW18" i="21"/>
  <c r="DX18" i="21"/>
  <c r="DY18" i="21"/>
  <c r="EA18" i="21"/>
  <c r="DV18" i="21"/>
  <c r="DW17" i="21"/>
  <c r="DX17" i="21"/>
  <c r="DY17" i="21"/>
  <c r="EA17" i="21"/>
  <c r="DV17" i="21"/>
  <c r="DW16" i="21"/>
  <c r="DX16" i="21"/>
  <c r="DY16" i="21"/>
  <c r="EA16" i="21"/>
  <c r="DV16" i="21"/>
  <c r="DW15" i="21"/>
  <c r="DX15" i="21"/>
  <c r="DY15" i="21"/>
  <c r="EA15" i="21"/>
  <c r="DV15" i="21"/>
  <c r="DW14" i="21"/>
  <c r="DX14" i="21"/>
  <c r="DY14" i="21"/>
  <c r="EA14" i="21"/>
  <c r="DV14" i="21"/>
  <c r="DW13" i="21"/>
  <c r="DX13" i="21"/>
  <c r="DY13" i="21"/>
  <c r="EA13" i="21"/>
  <c r="DW12" i="21"/>
  <c r="DX12" i="21"/>
  <c r="DY12" i="21"/>
  <c r="EA12" i="21"/>
  <c r="DV12" i="21"/>
  <c r="DW11" i="21"/>
  <c r="DX11" i="21"/>
  <c r="DX9" i="21"/>
  <c r="DX10" i="21"/>
  <c r="DY11" i="21"/>
  <c r="EA11" i="21"/>
  <c r="DV11" i="21"/>
  <c r="DW10" i="21"/>
  <c r="DY10" i="21"/>
  <c r="EA10" i="21"/>
  <c r="DW9" i="21"/>
  <c r="DV10" i="21"/>
  <c r="DV9" i="21"/>
  <c r="DY9" i="21"/>
  <c r="EA9" i="21"/>
  <c r="BB59" i="35"/>
  <c r="JC59" i="35"/>
  <c r="W59" i="35"/>
  <c r="IU59" i="35"/>
  <c r="BB58" i="35"/>
  <c r="JC58" i="35"/>
  <c r="W58" i="35"/>
  <c r="BB57" i="35"/>
  <c r="JC57" i="35"/>
  <c r="W57" i="35"/>
  <c r="BB55" i="35"/>
  <c r="JC55" i="35"/>
  <c r="W55" i="35"/>
  <c r="IU55" i="35"/>
  <c r="BB54" i="35"/>
  <c r="JC54" i="35"/>
  <c r="W54" i="35"/>
  <c r="BB53" i="35"/>
  <c r="JC53" i="35"/>
  <c r="W53" i="35"/>
  <c r="BB52" i="35"/>
  <c r="JC52" i="35"/>
  <c r="W52" i="35"/>
  <c r="BB50" i="35"/>
  <c r="JC50" i="35"/>
  <c r="W50" i="35"/>
  <c r="Y50" i="35"/>
  <c r="BB49" i="35"/>
  <c r="JC49" i="35"/>
  <c r="W49" i="35"/>
  <c r="IU49" i="35"/>
  <c r="BB48" i="35"/>
  <c r="JC48" i="35"/>
  <c r="W48" i="35"/>
  <c r="BB47" i="35"/>
  <c r="JC47" i="35"/>
  <c r="W47" i="35"/>
  <c r="IU47" i="35"/>
  <c r="BB46" i="35"/>
  <c r="JC46" i="35"/>
  <c r="W46" i="35"/>
  <c r="BB45" i="35"/>
  <c r="JC45" i="35"/>
  <c r="W45" i="35"/>
  <c r="BB44" i="35"/>
  <c r="JC44" i="35"/>
  <c r="W44" i="35"/>
  <c r="IU44" i="35"/>
  <c r="BB43" i="35"/>
  <c r="JC43" i="35"/>
  <c r="W43" i="35"/>
  <c r="IU43" i="35"/>
  <c r="BB42" i="35"/>
  <c r="JC42" i="35"/>
  <c r="W42" i="35"/>
  <c r="BB40" i="35"/>
  <c r="JC40" i="35"/>
  <c r="W40" i="35"/>
  <c r="BB39" i="35"/>
  <c r="JC39" i="35"/>
  <c r="W39" i="35"/>
  <c r="BB38" i="35"/>
  <c r="JC38" i="35"/>
  <c r="W38" i="35"/>
  <c r="BB37" i="35"/>
  <c r="JC37" i="35"/>
  <c r="W37" i="35"/>
  <c r="IU37" i="35"/>
  <c r="BB36" i="35"/>
  <c r="JC36" i="35"/>
  <c r="W36" i="35"/>
  <c r="BB35" i="35"/>
  <c r="JC35" i="35"/>
  <c r="W35" i="35"/>
  <c r="BB34" i="35"/>
  <c r="JC34" i="35"/>
  <c r="W34" i="35"/>
  <c r="IU34" i="35"/>
  <c r="BB33" i="35"/>
  <c r="JC33" i="35"/>
  <c r="W33" i="35"/>
  <c r="BB32" i="35"/>
  <c r="JC32" i="35"/>
  <c r="W32" i="35"/>
  <c r="BB31" i="35"/>
  <c r="JC31" i="35"/>
  <c r="BB30" i="35"/>
  <c r="JC30" i="35"/>
  <c r="W30" i="35"/>
  <c r="BB29" i="35"/>
  <c r="JC29" i="35"/>
  <c r="W29" i="35"/>
  <c r="BB28" i="35"/>
  <c r="JC28" i="35"/>
  <c r="W28" i="35"/>
  <c r="IU28" i="35"/>
  <c r="BB27" i="35"/>
  <c r="JC27" i="35"/>
  <c r="W27" i="35"/>
  <c r="W26" i="35"/>
  <c r="BB25" i="35"/>
  <c r="JC25" i="35"/>
  <c r="W25" i="35"/>
  <c r="BB24" i="35"/>
  <c r="JC24" i="35"/>
  <c r="W24" i="35"/>
  <c r="IU24" i="35"/>
  <c r="BB23" i="35"/>
  <c r="JC23" i="35"/>
  <c r="W23" i="35"/>
  <c r="IU23" i="35"/>
  <c r="BB22" i="35"/>
  <c r="JC22" i="35"/>
  <c r="W22" i="35"/>
  <c r="BB21" i="35"/>
  <c r="JC21" i="35"/>
  <c r="W21" i="35"/>
  <c r="BB20" i="35"/>
  <c r="JC20" i="35"/>
  <c r="W20" i="35"/>
  <c r="BB19" i="35"/>
  <c r="JC19" i="35"/>
  <c r="W19" i="35"/>
  <c r="Y19" i="35"/>
  <c r="BB18" i="35"/>
  <c r="JC18" i="35"/>
  <c r="W18" i="35"/>
  <c r="IU18" i="35"/>
  <c r="BB17" i="35"/>
  <c r="JC17" i="35"/>
  <c r="BB16" i="35"/>
  <c r="JC16" i="35"/>
  <c r="W16" i="35"/>
  <c r="BB15" i="35"/>
  <c r="JC15" i="35"/>
  <c r="W15" i="35"/>
  <c r="BB14" i="35"/>
  <c r="JC14" i="35"/>
  <c r="W14" i="35"/>
  <c r="IU14" i="35"/>
  <c r="BB13" i="35"/>
  <c r="JC13" i="35"/>
  <c r="W13" i="35"/>
  <c r="BB12" i="35"/>
  <c r="JC12" i="35"/>
  <c r="W12" i="35"/>
  <c r="BB11" i="35"/>
  <c r="JC11" i="35"/>
  <c r="W11" i="35"/>
  <c r="IU11" i="35"/>
  <c r="W9" i="35"/>
  <c r="Y9" i="35"/>
  <c r="BB10" i="35"/>
  <c r="JC10" i="35"/>
  <c r="W10" i="35"/>
  <c r="W55" i="34"/>
  <c r="IU55" i="34"/>
  <c r="BG55" i="34"/>
  <c r="IP55" i="34"/>
  <c r="IO55" i="34"/>
  <c r="W54" i="34"/>
  <c r="BG54" i="34"/>
  <c r="IP54" i="34"/>
  <c r="IO54" i="34"/>
  <c r="BB9" i="34"/>
  <c r="JC9" i="34"/>
  <c r="BB10" i="34"/>
  <c r="JC10" i="34"/>
  <c r="BB11" i="34"/>
  <c r="JC11" i="34"/>
  <c r="BB12" i="34"/>
  <c r="JC12" i="34"/>
  <c r="BB13" i="34"/>
  <c r="JC13" i="34"/>
  <c r="BB14" i="34"/>
  <c r="JC14" i="34"/>
  <c r="BB15" i="34"/>
  <c r="JC15" i="34"/>
  <c r="BB16" i="34"/>
  <c r="JC16" i="34"/>
  <c r="BB17" i="34"/>
  <c r="JC17" i="34"/>
  <c r="BB18" i="34"/>
  <c r="JC18" i="34"/>
  <c r="JC19" i="34"/>
  <c r="BB21" i="34"/>
  <c r="JC21" i="34"/>
  <c r="BB22" i="34"/>
  <c r="JC22" i="34"/>
  <c r="BB23" i="34"/>
  <c r="JC23" i="34"/>
  <c r="BB24" i="34"/>
  <c r="JC24" i="34"/>
  <c r="BB25" i="34"/>
  <c r="JC25" i="34"/>
  <c r="BB26" i="34"/>
  <c r="JC26" i="34"/>
  <c r="BB27" i="34"/>
  <c r="JC27" i="34"/>
  <c r="BB28" i="34"/>
  <c r="JC28" i="34"/>
  <c r="BB29" i="34"/>
  <c r="JC29" i="34"/>
  <c r="BB30" i="34"/>
  <c r="JC30" i="34"/>
  <c r="BB31" i="34"/>
  <c r="JC31" i="34"/>
  <c r="BB32" i="34"/>
  <c r="JC32" i="34"/>
  <c r="BB33" i="34"/>
  <c r="JC33" i="34"/>
  <c r="BB34" i="34"/>
  <c r="JC34" i="34"/>
  <c r="BB35" i="34"/>
  <c r="JC35" i="34"/>
  <c r="BB36" i="34"/>
  <c r="JC36" i="34"/>
  <c r="BB37" i="34"/>
  <c r="JC37" i="34"/>
  <c r="BB38" i="34"/>
  <c r="JC38" i="34"/>
  <c r="BB39" i="34"/>
  <c r="JC39" i="34"/>
  <c r="BB40" i="34"/>
  <c r="JC40" i="34"/>
  <c r="BB41" i="34"/>
  <c r="JC41" i="34"/>
  <c r="BB42" i="34"/>
  <c r="JC42" i="34"/>
  <c r="BB43" i="34"/>
  <c r="JC43" i="34"/>
  <c r="BB44" i="34"/>
  <c r="JC44" i="34"/>
  <c r="BB45" i="34"/>
  <c r="JC45" i="34"/>
  <c r="BB46" i="34"/>
  <c r="JC46" i="34"/>
  <c r="BB47" i="34"/>
  <c r="JC47" i="34"/>
  <c r="BB48" i="34"/>
  <c r="JC48" i="34"/>
  <c r="BB49" i="34"/>
  <c r="JC49" i="34"/>
  <c r="JC51" i="34"/>
  <c r="W50" i="34"/>
  <c r="BG50" i="34"/>
  <c r="IP50" i="34"/>
  <c r="IQ50" i="34"/>
  <c r="W48" i="34"/>
  <c r="BG48" i="34"/>
  <c r="IP48" i="34"/>
  <c r="W46" i="34"/>
  <c r="BG46" i="34"/>
  <c r="W42" i="34"/>
  <c r="BG42" i="34"/>
  <c r="IP42" i="34"/>
  <c r="IQ42" i="34"/>
  <c r="W40" i="34"/>
  <c r="IU40" i="34"/>
  <c r="BG40" i="34"/>
  <c r="IP40" i="34"/>
  <c r="W36" i="34"/>
  <c r="BG36" i="34"/>
  <c r="IP36" i="34"/>
  <c r="BG30" i="34"/>
  <c r="W30" i="34"/>
  <c r="W26" i="34"/>
  <c r="IU26" i="34"/>
  <c r="BG26" i="34"/>
  <c r="IP26" i="34"/>
  <c r="IQ26" i="34"/>
  <c r="W24" i="34"/>
  <c r="IU24" i="34"/>
  <c r="BG24" i="34"/>
  <c r="IP24" i="34"/>
  <c r="W22" i="34"/>
  <c r="BG22" i="34"/>
  <c r="IP22" i="34"/>
  <c r="IQ22" i="34"/>
  <c r="W20" i="34"/>
  <c r="IU20" i="34"/>
  <c r="BG20" i="34"/>
  <c r="IP20" i="34"/>
  <c r="W18" i="34"/>
  <c r="BG18" i="34"/>
  <c r="IP18" i="34"/>
  <c r="IQ18" i="34"/>
  <c r="W16" i="34"/>
  <c r="BG16" i="34"/>
  <c r="IP16" i="34"/>
  <c r="IQ16" i="34"/>
  <c r="W14" i="34"/>
  <c r="IU14" i="34"/>
  <c r="BG14" i="34"/>
  <c r="IP14" i="34"/>
  <c r="IO14" i="34"/>
  <c r="W12" i="34"/>
  <c r="BG12" i="34"/>
  <c r="IP12" i="34"/>
  <c r="W10" i="34"/>
  <c r="BG10" i="34"/>
  <c r="IP10" i="34"/>
  <c r="IQ10" i="34"/>
  <c r="BB10" i="33"/>
  <c r="W10" i="33"/>
  <c r="BG10" i="33"/>
  <c r="IP10" i="33"/>
  <c r="BB9" i="33"/>
  <c r="JC9" i="33"/>
  <c r="W9" i="33"/>
  <c r="BG9" i="33"/>
  <c r="BB31" i="32"/>
  <c r="JC31" i="32"/>
  <c r="BG31" i="32"/>
  <c r="IP31" i="32"/>
  <c r="BB30" i="32"/>
  <c r="JC30" i="32"/>
  <c r="BG30" i="32"/>
  <c r="IP30" i="32"/>
  <c r="BB27" i="32"/>
  <c r="JC27" i="32"/>
  <c r="BB26" i="32"/>
  <c r="JC26" i="32"/>
  <c r="BG26" i="32"/>
  <c r="IP26" i="32"/>
  <c r="BB25" i="32"/>
  <c r="JC25" i="32"/>
  <c r="BB24" i="32"/>
  <c r="JC24" i="32"/>
  <c r="BG24" i="32"/>
  <c r="IP24" i="32"/>
  <c r="IO24" i="32"/>
  <c r="BB23" i="32"/>
  <c r="JC23" i="32"/>
  <c r="BG23" i="32"/>
  <c r="IP23" i="32"/>
  <c r="IO23" i="32"/>
  <c r="BB22" i="32"/>
  <c r="JC22" i="32"/>
  <c r="BG22" i="32"/>
  <c r="IP22" i="32"/>
  <c r="BG21" i="32"/>
  <c r="BB20" i="32"/>
  <c r="JC20" i="32"/>
  <c r="BG20" i="32"/>
  <c r="BB19" i="32"/>
  <c r="JC19" i="32"/>
  <c r="BG19" i="32"/>
  <c r="IP19" i="32"/>
  <c r="BB18" i="32"/>
  <c r="JC18" i="32"/>
  <c r="BG18" i="32"/>
  <c r="IP18" i="32"/>
  <c r="BB17" i="32"/>
  <c r="JC17" i="32"/>
  <c r="BB16" i="32"/>
  <c r="JC16" i="32"/>
  <c r="BG16" i="32"/>
  <c r="BB15" i="32"/>
  <c r="JC15" i="32"/>
  <c r="BB14" i="32"/>
  <c r="JC14" i="32"/>
  <c r="BG14" i="32"/>
  <c r="BB13" i="32"/>
  <c r="JC13" i="32"/>
  <c r="BG13" i="32"/>
  <c r="IP13" i="32"/>
  <c r="IO13" i="32"/>
  <c r="BB12" i="32"/>
  <c r="JC12" i="32"/>
  <c r="BG12" i="32"/>
  <c r="IP12" i="32"/>
  <c r="BB11" i="32"/>
  <c r="JC11" i="32"/>
  <c r="BB9" i="32"/>
  <c r="JC9" i="32"/>
  <c r="BB10" i="32"/>
  <c r="JC10" i="32"/>
  <c r="BG10" i="32"/>
  <c r="IP10" i="32"/>
  <c r="IO10" i="32"/>
  <c r="BB32" i="31"/>
  <c r="JC32" i="31"/>
  <c r="BB30" i="31"/>
  <c r="JC30" i="31"/>
  <c r="W30" i="31"/>
  <c r="Y30" i="31"/>
  <c r="BG30" i="31"/>
  <c r="IP30" i="31"/>
  <c r="BB29" i="31"/>
  <c r="JC29" i="31"/>
  <c r="BB28" i="31"/>
  <c r="JC28" i="31"/>
  <c r="W28" i="31"/>
  <c r="IU28" i="31"/>
  <c r="BG28" i="31"/>
  <c r="IP28" i="31"/>
  <c r="BB27" i="31"/>
  <c r="JC27" i="31"/>
  <c r="W27" i="31"/>
  <c r="Y27" i="31"/>
  <c r="BG27" i="31"/>
  <c r="IP27" i="31"/>
  <c r="IO27" i="31"/>
  <c r="BB26" i="31"/>
  <c r="JC26" i="31"/>
  <c r="W26" i="31"/>
  <c r="BG26" i="31"/>
  <c r="BB25" i="31"/>
  <c r="JC25" i="31"/>
  <c r="W25" i="31"/>
  <c r="Y25" i="31"/>
  <c r="BG25" i="31"/>
  <c r="IP25" i="31"/>
  <c r="BB24" i="31"/>
  <c r="JC24" i="31"/>
  <c r="W24" i="31"/>
  <c r="BG24" i="31"/>
  <c r="IP24" i="31"/>
  <c r="BB23" i="31"/>
  <c r="JC23" i="31"/>
  <c r="BB21" i="31"/>
  <c r="JC21" i="31"/>
  <c r="W21" i="31"/>
  <c r="IU21" i="31"/>
  <c r="BG21" i="31"/>
  <c r="IP21" i="31"/>
  <c r="BB20" i="31"/>
  <c r="JC20" i="31"/>
  <c r="W20" i="31"/>
  <c r="Y20" i="31"/>
  <c r="BG20" i="31"/>
  <c r="IP20" i="31"/>
  <c r="BB19" i="31"/>
  <c r="JC19" i="31"/>
  <c r="W19" i="31"/>
  <c r="BG19" i="31"/>
  <c r="IP19" i="31"/>
  <c r="BB18" i="31"/>
  <c r="JC18" i="31"/>
  <c r="BB17" i="31"/>
  <c r="JC17" i="31"/>
  <c r="W17" i="31"/>
  <c r="BG17" i="31"/>
  <c r="IP17" i="31"/>
  <c r="BB16" i="31"/>
  <c r="JC16" i="31"/>
  <c r="BB15" i="31"/>
  <c r="JC15" i="31"/>
  <c r="W15" i="31"/>
  <c r="BG15" i="31"/>
  <c r="BB14" i="31"/>
  <c r="JC14" i="31"/>
  <c r="W14" i="31"/>
  <c r="IU14" i="31"/>
  <c r="BG14" i="31"/>
  <c r="IP14" i="31"/>
  <c r="BB13" i="31"/>
  <c r="JC13" i="31"/>
  <c r="W13" i="31"/>
  <c r="BG13" i="31"/>
  <c r="IP13" i="31"/>
  <c r="BB10" i="31"/>
  <c r="JC10" i="31"/>
  <c r="W10" i="31"/>
  <c r="BG10" i="31"/>
  <c r="IP10" i="31"/>
  <c r="BB11" i="31"/>
  <c r="JC11" i="31"/>
  <c r="W11" i="31"/>
  <c r="IU11" i="31"/>
  <c r="BG11" i="31"/>
  <c r="IP11" i="31"/>
  <c r="IQ11" i="31"/>
  <c r="BB12" i="31"/>
  <c r="JC12" i="31"/>
  <c r="W12" i="31"/>
  <c r="BG12" i="31"/>
  <c r="IP12" i="31"/>
  <c r="BB9" i="31"/>
  <c r="JC9" i="31"/>
  <c r="BB14" i="22"/>
  <c r="JC14" i="22"/>
  <c r="W14" i="22"/>
  <c r="BG14" i="22"/>
  <c r="IP14" i="22"/>
  <c r="IO14" i="22"/>
  <c r="BB13" i="22"/>
  <c r="JC13" i="22"/>
  <c r="W13" i="22"/>
  <c r="Y13" i="22"/>
  <c r="BG13" i="22"/>
  <c r="BB12" i="22"/>
  <c r="JC12" i="22"/>
  <c r="W12" i="22"/>
  <c r="BG12" i="22"/>
  <c r="BB11" i="22"/>
  <c r="JC11" i="22"/>
  <c r="BB9" i="22"/>
  <c r="JC9" i="22"/>
  <c r="W9" i="22"/>
  <c r="IU9" i="22"/>
  <c r="BG9" i="22"/>
  <c r="IP9" i="22"/>
  <c r="BB10" i="22"/>
  <c r="JC10" i="22"/>
  <c r="BB42" i="21"/>
  <c r="JC42" i="21"/>
  <c r="W42" i="21"/>
  <c r="BG42" i="21"/>
  <c r="IP42" i="21"/>
  <c r="BB41" i="21"/>
  <c r="JC41" i="21"/>
  <c r="W41" i="21"/>
  <c r="BG41" i="21"/>
  <c r="BB40" i="21"/>
  <c r="JC40" i="21"/>
  <c r="W40" i="21"/>
  <c r="IU40" i="21"/>
  <c r="BG40" i="21"/>
  <c r="IP40" i="21"/>
  <c r="BB39" i="21"/>
  <c r="JC39" i="21"/>
  <c r="W39" i="21"/>
  <c r="BG39" i="21"/>
  <c r="IP39" i="21"/>
  <c r="IO39" i="21"/>
  <c r="BB38" i="21"/>
  <c r="JC38" i="21"/>
  <c r="W38" i="21"/>
  <c r="BG38" i="21"/>
  <c r="IP38" i="21"/>
  <c r="BB37" i="21"/>
  <c r="JC37" i="21"/>
  <c r="BG37" i="21"/>
  <c r="IP37" i="21"/>
  <c r="BB36" i="21"/>
  <c r="JC36" i="21"/>
  <c r="BG36" i="21"/>
  <c r="IP36" i="21"/>
  <c r="IQ36" i="21"/>
  <c r="BB35" i="21"/>
  <c r="JC35" i="21"/>
  <c r="BG35" i="21"/>
  <c r="IP35" i="21"/>
  <c r="BB34" i="21"/>
  <c r="JC34" i="21"/>
  <c r="W34" i="21"/>
  <c r="BG34" i="21"/>
  <c r="IP34" i="21"/>
  <c r="IQ34" i="21"/>
  <c r="BB33" i="21"/>
  <c r="JC33" i="21"/>
  <c r="W33" i="21"/>
  <c r="Y33" i="21"/>
  <c r="BG33" i="21"/>
  <c r="IP33" i="21"/>
  <c r="BB32" i="21"/>
  <c r="JC32" i="21"/>
  <c r="W32" i="21"/>
  <c r="IU32" i="21"/>
  <c r="BG32" i="21"/>
  <c r="IP32" i="21"/>
  <c r="BB31" i="21"/>
  <c r="JC31" i="21"/>
  <c r="W31" i="21"/>
  <c r="BG31" i="21"/>
  <c r="BB30" i="21"/>
  <c r="JC30" i="21"/>
  <c r="W30" i="21"/>
  <c r="BG30" i="21"/>
  <c r="BB29" i="21"/>
  <c r="JC29" i="21"/>
  <c r="W29" i="21"/>
  <c r="BG29" i="21"/>
  <c r="IP29" i="21"/>
  <c r="BB28" i="21"/>
  <c r="JC28" i="21"/>
  <c r="W28" i="21"/>
  <c r="BG28" i="21"/>
  <c r="IP28" i="21"/>
  <c r="IQ28" i="21"/>
  <c r="BB27" i="21"/>
  <c r="JC27" i="21"/>
  <c r="W27" i="21"/>
  <c r="BG27" i="21"/>
  <c r="IP27" i="21"/>
  <c r="IO27" i="21"/>
  <c r="BG26" i="21"/>
  <c r="IP26" i="21"/>
  <c r="IO26" i="21"/>
  <c r="W26" i="21"/>
  <c r="BB25" i="21"/>
  <c r="W25" i="21"/>
  <c r="BG25" i="21"/>
  <c r="IP25" i="21"/>
  <c r="BB24" i="21"/>
  <c r="JC24" i="21"/>
  <c r="W24" i="21"/>
  <c r="IU24" i="21"/>
  <c r="BG24" i="21"/>
  <c r="IP24" i="21"/>
  <c r="IO24" i="21"/>
  <c r="BB23" i="21"/>
  <c r="JC23" i="21"/>
  <c r="W23" i="21"/>
  <c r="BG23" i="21"/>
  <c r="IP23" i="21"/>
  <c r="BB22" i="21"/>
  <c r="JC22" i="21"/>
  <c r="W22" i="21"/>
  <c r="Y22" i="21"/>
  <c r="BG22" i="21"/>
  <c r="BB21" i="21"/>
  <c r="JC21" i="21"/>
  <c r="W21" i="21"/>
  <c r="IU21" i="21"/>
  <c r="BG21" i="21"/>
  <c r="IP21" i="21"/>
  <c r="BB20" i="21"/>
  <c r="JC20" i="21"/>
  <c r="BG20" i="21"/>
  <c r="IP20" i="21"/>
  <c r="BB19" i="21"/>
  <c r="JC19" i="21"/>
  <c r="W19" i="21"/>
  <c r="BG19" i="21"/>
  <c r="IP19" i="21"/>
  <c r="BB18" i="21"/>
  <c r="JC18" i="21"/>
  <c r="W18" i="21"/>
  <c r="BG18" i="21"/>
  <c r="IP18" i="21"/>
  <c r="IO18" i="21"/>
  <c r="BB17" i="21"/>
  <c r="JC17" i="21"/>
  <c r="W17" i="21"/>
  <c r="IU17" i="21"/>
  <c r="BG17" i="21"/>
  <c r="BB16" i="21"/>
  <c r="JC16" i="21"/>
  <c r="W16" i="21"/>
  <c r="BG16" i="21"/>
  <c r="IP16" i="21"/>
  <c r="IQ16" i="21"/>
  <c r="BB15" i="21"/>
  <c r="JC15" i="21"/>
  <c r="W15" i="21"/>
  <c r="BG15" i="21"/>
  <c r="IP15" i="21"/>
  <c r="BB14" i="21"/>
  <c r="JC14" i="21"/>
  <c r="W14" i="21"/>
  <c r="BG14" i="21"/>
  <c r="IP14" i="21"/>
  <c r="BB13" i="21"/>
  <c r="JC13" i="21"/>
  <c r="W13" i="21"/>
  <c r="IU13" i="21"/>
  <c r="BG13" i="21"/>
  <c r="IP13" i="21"/>
  <c r="IQ13" i="21"/>
  <c r="BB12" i="21"/>
  <c r="JC12" i="21"/>
  <c r="W12" i="21"/>
  <c r="IU12" i="21"/>
  <c r="BG12" i="21"/>
  <c r="IP12" i="21"/>
  <c r="BB11" i="21"/>
  <c r="JC11" i="21"/>
  <c r="W11" i="21"/>
  <c r="BG11" i="21"/>
  <c r="BB9" i="21"/>
  <c r="JC9" i="21"/>
  <c r="BB10" i="21"/>
  <c r="JC10" i="21"/>
  <c r="W10" i="21"/>
  <c r="BG10" i="21"/>
  <c r="IP10" i="21"/>
  <c r="CC76" i="35"/>
  <c r="CC75" i="35"/>
  <c r="CC74" i="35"/>
  <c r="CC73" i="35"/>
  <c r="CC72" i="35"/>
  <c r="CC19" i="33"/>
  <c r="CC18" i="33"/>
  <c r="CC17" i="33"/>
  <c r="CC15" i="33"/>
  <c r="CC16" i="33"/>
  <c r="CC42" i="32"/>
  <c r="CC38" i="32"/>
  <c r="CC39" i="32"/>
  <c r="CC40" i="32"/>
  <c r="CC41" i="32"/>
  <c r="CC66" i="31"/>
  <c r="CC65" i="31"/>
  <c r="CC64" i="31"/>
  <c r="CC62" i="31"/>
  <c r="CC63" i="31"/>
  <c r="CC35" i="22"/>
  <c r="CC34" i="22"/>
  <c r="CC33" i="22"/>
  <c r="CC31" i="22"/>
  <c r="CC32" i="22"/>
  <c r="CC63" i="21"/>
  <c r="CC62" i="21"/>
  <c r="CC61" i="21"/>
  <c r="CC59" i="21"/>
  <c r="CC60" i="21"/>
  <c r="CC132" i="19"/>
  <c r="CC131" i="19"/>
  <c r="CC130" i="19"/>
  <c r="CC129" i="19"/>
  <c r="CC128" i="19"/>
  <c r="CO59" i="35"/>
  <c r="KQ59" i="35"/>
  <c r="CN59" i="35"/>
  <c r="KP59" i="35"/>
  <c r="CM59" i="35"/>
  <c r="KO59" i="35"/>
  <c r="CL59" i="35"/>
  <c r="KN59" i="35"/>
  <c r="CJ59" i="35"/>
  <c r="KL59" i="35"/>
  <c r="CH59" i="35"/>
  <c r="KJ59" i="35"/>
  <c r="CO58" i="35"/>
  <c r="KQ58" i="35"/>
  <c r="CN58" i="35"/>
  <c r="KP58" i="35"/>
  <c r="CM58" i="35"/>
  <c r="KO58" i="35"/>
  <c r="CL58" i="35"/>
  <c r="KN58" i="35"/>
  <c r="CJ58" i="35"/>
  <c r="KL58" i="35"/>
  <c r="CH58" i="35"/>
  <c r="KJ58" i="35"/>
  <c r="CO57" i="35"/>
  <c r="KQ57" i="35"/>
  <c r="CN57" i="35"/>
  <c r="KP57" i="35"/>
  <c r="CM57" i="35"/>
  <c r="KO57" i="35"/>
  <c r="CL57" i="35"/>
  <c r="KN57" i="35"/>
  <c r="CJ57" i="35"/>
  <c r="KL57" i="35"/>
  <c r="CH57" i="35"/>
  <c r="KJ57" i="35"/>
  <c r="CO55" i="35"/>
  <c r="KQ55" i="35"/>
  <c r="CN55" i="35"/>
  <c r="KP55" i="35"/>
  <c r="CM55" i="35"/>
  <c r="KO55" i="35"/>
  <c r="CL55" i="35"/>
  <c r="KN55" i="35"/>
  <c r="CJ55" i="35"/>
  <c r="KL55" i="35"/>
  <c r="CH55" i="35"/>
  <c r="KJ55" i="35"/>
  <c r="CO54" i="35"/>
  <c r="KQ54" i="35"/>
  <c r="CN54" i="35"/>
  <c r="KP54" i="35"/>
  <c r="CM54" i="35"/>
  <c r="KO54" i="35"/>
  <c r="CL54" i="35"/>
  <c r="KN54" i="35"/>
  <c r="CJ54" i="35"/>
  <c r="KL54" i="35"/>
  <c r="CH54" i="35"/>
  <c r="KJ54" i="35"/>
  <c r="CO53" i="35"/>
  <c r="KQ53" i="35"/>
  <c r="CN53" i="35"/>
  <c r="KP53" i="35"/>
  <c r="CM53" i="35"/>
  <c r="KO53" i="35"/>
  <c r="CL53" i="35"/>
  <c r="KN53" i="35"/>
  <c r="CJ53" i="35"/>
  <c r="KL53" i="35"/>
  <c r="CH53" i="35"/>
  <c r="KJ53" i="35"/>
  <c r="CO52" i="35"/>
  <c r="KQ52" i="35"/>
  <c r="CN52" i="35"/>
  <c r="KP52" i="35"/>
  <c r="CM52" i="35"/>
  <c r="KO52" i="35"/>
  <c r="CL52" i="35"/>
  <c r="KN52" i="35"/>
  <c r="CJ52" i="35"/>
  <c r="KL52" i="35"/>
  <c r="CH52" i="35"/>
  <c r="KJ52" i="35"/>
  <c r="CO50" i="35"/>
  <c r="KQ50" i="35"/>
  <c r="CN50" i="35"/>
  <c r="KP50" i="35"/>
  <c r="CM50" i="35"/>
  <c r="KO50" i="35"/>
  <c r="CL50" i="35"/>
  <c r="KN50" i="35"/>
  <c r="CJ50" i="35"/>
  <c r="KL50" i="35"/>
  <c r="CH50" i="35"/>
  <c r="KJ50" i="35"/>
  <c r="CO49" i="35"/>
  <c r="KQ49" i="35"/>
  <c r="CN49" i="35"/>
  <c r="KP49" i="35"/>
  <c r="CM49" i="35"/>
  <c r="KO49" i="35"/>
  <c r="CL49" i="35"/>
  <c r="KN49" i="35"/>
  <c r="CJ49" i="35"/>
  <c r="KL49" i="35"/>
  <c r="CH49" i="35"/>
  <c r="KJ49" i="35"/>
  <c r="CO48" i="35"/>
  <c r="KQ48" i="35"/>
  <c r="CN48" i="35"/>
  <c r="KP48" i="35"/>
  <c r="CM48" i="35"/>
  <c r="KO48" i="35"/>
  <c r="CL48" i="35"/>
  <c r="KN48" i="35"/>
  <c r="CJ48" i="35"/>
  <c r="KL48" i="35"/>
  <c r="CH48" i="35"/>
  <c r="KJ48" i="35"/>
  <c r="CO47" i="35"/>
  <c r="KQ47" i="35"/>
  <c r="CN47" i="35"/>
  <c r="KP47" i="35"/>
  <c r="CM47" i="35"/>
  <c r="KO47" i="35"/>
  <c r="CL47" i="35"/>
  <c r="KN47" i="35"/>
  <c r="CJ47" i="35"/>
  <c r="KL47" i="35"/>
  <c r="CH47" i="35"/>
  <c r="KJ47" i="35"/>
  <c r="CO46" i="35"/>
  <c r="KQ46" i="35"/>
  <c r="CN46" i="35"/>
  <c r="KP46" i="35"/>
  <c r="CM46" i="35"/>
  <c r="KO46" i="35"/>
  <c r="CL46" i="35"/>
  <c r="KN46" i="35"/>
  <c r="CJ46" i="35"/>
  <c r="KL46" i="35"/>
  <c r="CH46" i="35"/>
  <c r="KJ46" i="35"/>
  <c r="CO45" i="35"/>
  <c r="KQ45" i="35"/>
  <c r="CN45" i="35"/>
  <c r="KP45" i="35"/>
  <c r="CM45" i="35"/>
  <c r="KO45" i="35"/>
  <c r="CL45" i="35"/>
  <c r="KN45" i="35"/>
  <c r="CJ45" i="35"/>
  <c r="KL45" i="35"/>
  <c r="CH45" i="35"/>
  <c r="KJ45" i="35"/>
  <c r="CO44" i="35"/>
  <c r="KQ44" i="35"/>
  <c r="CN44" i="35"/>
  <c r="KP44" i="35"/>
  <c r="CM44" i="35"/>
  <c r="KO44" i="35"/>
  <c r="CL44" i="35"/>
  <c r="KN44" i="35"/>
  <c r="CJ44" i="35"/>
  <c r="KL44" i="35"/>
  <c r="CH44" i="35"/>
  <c r="KJ44" i="35"/>
  <c r="CO43" i="35"/>
  <c r="KQ43" i="35"/>
  <c r="CN43" i="35"/>
  <c r="KP43" i="35"/>
  <c r="CM43" i="35"/>
  <c r="KO43" i="35"/>
  <c r="CL43" i="35"/>
  <c r="KN43" i="35"/>
  <c r="CJ43" i="35"/>
  <c r="KL43" i="35"/>
  <c r="CH43" i="35"/>
  <c r="KJ43" i="35"/>
  <c r="CO42" i="35"/>
  <c r="KQ42" i="35"/>
  <c r="CN42" i="35"/>
  <c r="KP42" i="35"/>
  <c r="CM42" i="35"/>
  <c r="KO42" i="35"/>
  <c r="CL42" i="35"/>
  <c r="KN42" i="35"/>
  <c r="CJ42" i="35"/>
  <c r="KL42" i="35"/>
  <c r="CH42" i="35"/>
  <c r="KJ42" i="35"/>
  <c r="CO40" i="35"/>
  <c r="KQ40" i="35"/>
  <c r="CN40" i="35"/>
  <c r="KP40" i="35"/>
  <c r="CM40" i="35"/>
  <c r="KO40" i="35"/>
  <c r="CL40" i="35"/>
  <c r="KN40" i="35"/>
  <c r="CJ40" i="35"/>
  <c r="KL40" i="35"/>
  <c r="CH40" i="35"/>
  <c r="KJ40" i="35"/>
  <c r="CO39" i="35"/>
  <c r="KQ39" i="35"/>
  <c r="CN39" i="35"/>
  <c r="KP39" i="35"/>
  <c r="CM39" i="35"/>
  <c r="KO39" i="35"/>
  <c r="CL39" i="35"/>
  <c r="KN39" i="35"/>
  <c r="CJ39" i="35"/>
  <c r="KL39" i="35"/>
  <c r="CH39" i="35"/>
  <c r="KJ39" i="35"/>
  <c r="CO38" i="35"/>
  <c r="KQ38" i="35"/>
  <c r="CN38" i="35"/>
  <c r="KP38" i="35"/>
  <c r="CM38" i="35"/>
  <c r="KO38" i="35"/>
  <c r="CL38" i="35"/>
  <c r="KN38" i="35"/>
  <c r="CJ38" i="35"/>
  <c r="KL38" i="35"/>
  <c r="CH38" i="35"/>
  <c r="KJ38" i="35"/>
  <c r="CO37" i="35"/>
  <c r="KQ37" i="35"/>
  <c r="CN37" i="35"/>
  <c r="KP37" i="35"/>
  <c r="CM37" i="35"/>
  <c r="KO37" i="35"/>
  <c r="CL37" i="35"/>
  <c r="KN37" i="35"/>
  <c r="CJ37" i="35"/>
  <c r="KL37" i="35"/>
  <c r="CH37" i="35"/>
  <c r="KJ37" i="35"/>
  <c r="CO36" i="35"/>
  <c r="KQ36" i="35"/>
  <c r="CN36" i="35"/>
  <c r="KP36" i="35"/>
  <c r="CM36" i="35"/>
  <c r="KO36" i="35"/>
  <c r="CL36" i="35"/>
  <c r="KN36" i="35"/>
  <c r="CJ36" i="35"/>
  <c r="KL36" i="35"/>
  <c r="CH36" i="35"/>
  <c r="KJ36" i="35"/>
  <c r="CO35" i="35"/>
  <c r="KQ35" i="35"/>
  <c r="CN35" i="35"/>
  <c r="KP35" i="35"/>
  <c r="CM35" i="35"/>
  <c r="KO35" i="35"/>
  <c r="CL35" i="35"/>
  <c r="KN35" i="35"/>
  <c r="CJ35" i="35"/>
  <c r="KL35" i="35"/>
  <c r="CH35" i="35"/>
  <c r="KJ35" i="35"/>
  <c r="CO34" i="35"/>
  <c r="KQ34" i="35"/>
  <c r="CN34" i="35"/>
  <c r="KP34" i="35"/>
  <c r="CM34" i="35"/>
  <c r="KO34" i="35"/>
  <c r="CL34" i="35"/>
  <c r="KN34" i="35"/>
  <c r="CJ34" i="35"/>
  <c r="KL34" i="35"/>
  <c r="CH34" i="35"/>
  <c r="KJ34" i="35"/>
  <c r="CO33" i="35"/>
  <c r="KQ33" i="35"/>
  <c r="CN33" i="35"/>
  <c r="KP33" i="35"/>
  <c r="CM33" i="35"/>
  <c r="KO33" i="35"/>
  <c r="CL33" i="35"/>
  <c r="KN33" i="35"/>
  <c r="CJ33" i="35"/>
  <c r="KL33" i="35"/>
  <c r="CH33" i="35"/>
  <c r="KJ33" i="35"/>
  <c r="CO32" i="35"/>
  <c r="KQ32" i="35"/>
  <c r="CN32" i="35"/>
  <c r="KP32" i="35"/>
  <c r="CM32" i="35"/>
  <c r="KO32" i="35"/>
  <c r="CL32" i="35"/>
  <c r="KN32" i="35"/>
  <c r="CJ32" i="35"/>
  <c r="KL32" i="35"/>
  <c r="CH32" i="35"/>
  <c r="KJ32" i="35"/>
  <c r="CO31" i="35"/>
  <c r="KQ31" i="35"/>
  <c r="CN31" i="35"/>
  <c r="KP31" i="35"/>
  <c r="CM31" i="35"/>
  <c r="KO31" i="35"/>
  <c r="CL31" i="35"/>
  <c r="KN31" i="35"/>
  <c r="CJ31" i="35"/>
  <c r="KL31" i="35"/>
  <c r="CH31" i="35"/>
  <c r="KJ31" i="35"/>
  <c r="CO30" i="35"/>
  <c r="KQ30" i="35"/>
  <c r="CO21" i="35"/>
  <c r="KQ21" i="35"/>
  <c r="CO22" i="35"/>
  <c r="KQ22" i="35"/>
  <c r="CO10" i="35"/>
  <c r="KQ10" i="35"/>
  <c r="CO11" i="35"/>
  <c r="KQ11" i="35"/>
  <c r="CO12" i="35"/>
  <c r="KQ12" i="35"/>
  <c r="CO13" i="35"/>
  <c r="KQ13" i="35"/>
  <c r="CO14" i="35"/>
  <c r="KQ14" i="35"/>
  <c r="CO15" i="35"/>
  <c r="KQ15" i="35"/>
  <c r="CO16" i="35"/>
  <c r="KQ16" i="35"/>
  <c r="CO17" i="35"/>
  <c r="KQ17" i="35"/>
  <c r="CO18" i="35"/>
  <c r="KQ18" i="35"/>
  <c r="CO19" i="35"/>
  <c r="KQ19" i="35"/>
  <c r="CO20" i="35"/>
  <c r="KQ20" i="35"/>
  <c r="CO23" i="35"/>
  <c r="KQ23" i="35"/>
  <c r="CO24" i="35"/>
  <c r="KQ24" i="35"/>
  <c r="CO25" i="35"/>
  <c r="KQ25" i="35"/>
  <c r="CO26" i="35"/>
  <c r="KQ26" i="35"/>
  <c r="CO27" i="35"/>
  <c r="KQ27" i="35"/>
  <c r="CO28" i="35"/>
  <c r="CO29" i="35"/>
  <c r="KQ29" i="35"/>
  <c r="CN30" i="35"/>
  <c r="KP30" i="35"/>
  <c r="CM30" i="35"/>
  <c r="KO30" i="35"/>
  <c r="CL30" i="35"/>
  <c r="KN30" i="35"/>
  <c r="CJ30" i="35"/>
  <c r="KL30" i="35"/>
  <c r="CJ21" i="35"/>
  <c r="KL21" i="35"/>
  <c r="CJ22" i="35"/>
  <c r="KL22" i="35"/>
  <c r="CJ10" i="35"/>
  <c r="KL10" i="35"/>
  <c r="CJ11" i="35"/>
  <c r="KL11" i="35"/>
  <c r="CJ12" i="35"/>
  <c r="KL12" i="35"/>
  <c r="CJ13" i="35"/>
  <c r="KL13" i="35"/>
  <c r="CJ14" i="35"/>
  <c r="KL14" i="35"/>
  <c r="CJ15" i="35"/>
  <c r="KL15" i="35"/>
  <c r="CJ16" i="35"/>
  <c r="KL16" i="35"/>
  <c r="CJ17" i="35"/>
  <c r="KL17" i="35"/>
  <c r="CJ18" i="35"/>
  <c r="KL18" i="35"/>
  <c r="CJ19" i="35"/>
  <c r="KL19" i="35"/>
  <c r="CJ20" i="35"/>
  <c r="KL20" i="35"/>
  <c r="CJ23" i="35"/>
  <c r="KL23" i="35"/>
  <c r="CJ24" i="35"/>
  <c r="KL24" i="35"/>
  <c r="CJ25" i="35"/>
  <c r="KL25" i="35"/>
  <c r="CJ26" i="35"/>
  <c r="KL26" i="35"/>
  <c r="CJ27" i="35"/>
  <c r="KL27" i="35"/>
  <c r="CJ28" i="35"/>
  <c r="KL28" i="35"/>
  <c r="CJ29" i="35"/>
  <c r="KL29" i="35"/>
  <c r="CH30" i="35"/>
  <c r="KJ30" i="35"/>
  <c r="CN29" i="35"/>
  <c r="KP29" i="35"/>
  <c r="CM29" i="35"/>
  <c r="KO29" i="35"/>
  <c r="CL29" i="35"/>
  <c r="KN29" i="35"/>
  <c r="CH29" i="35"/>
  <c r="KJ29" i="35"/>
  <c r="CN28" i="35"/>
  <c r="KP28" i="35"/>
  <c r="CM28" i="35"/>
  <c r="KO28" i="35"/>
  <c r="CL28" i="35"/>
  <c r="KN28" i="35"/>
  <c r="CH28" i="35"/>
  <c r="KJ28" i="35"/>
  <c r="CN27" i="35"/>
  <c r="KP27" i="35"/>
  <c r="CM27" i="35"/>
  <c r="KO27" i="35"/>
  <c r="CL27" i="35"/>
  <c r="KN27" i="35"/>
  <c r="CH27" i="35"/>
  <c r="KJ27" i="35"/>
  <c r="CN26" i="35"/>
  <c r="KP26" i="35"/>
  <c r="CM26" i="35"/>
  <c r="KO26" i="35"/>
  <c r="CL26" i="35"/>
  <c r="KN26" i="35"/>
  <c r="CH26" i="35"/>
  <c r="KJ26" i="35"/>
  <c r="CN25" i="35"/>
  <c r="KP25" i="35"/>
  <c r="CM25" i="35"/>
  <c r="KO25" i="35"/>
  <c r="CL25" i="35"/>
  <c r="KN25" i="35"/>
  <c r="CH25" i="35"/>
  <c r="KJ25" i="35"/>
  <c r="CN24" i="35"/>
  <c r="KP24" i="35"/>
  <c r="CM24" i="35"/>
  <c r="KO24" i="35"/>
  <c r="CH24" i="35"/>
  <c r="KJ24" i="35"/>
  <c r="CN23" i="35"/>
  <c r="KP23" i="35"/>
  <c r="CM23" i="35"/>
  <c r="KO23" i="35"/>
  <c r="CL23" i="35"/>
  <c r="KN23" i="35"/>
  <c r="CH23" i="35"/>
  <c r="KJ23" i="35"/>
  <c r="CN22" i="35"/>
  <c r="KP22" i="35"/>
  <c r="CM22" i="35"/>
  <c r="KO22" i="35"/>
  <c r="CL22" i="35"/>
  <c r="KN22" i="35"/>
  <c r="CH22" i="35"/>
  <c r="KJ22" i="35"/>
  <c r="CN21" i="35"/>
  <c r="KP21" i="35"/>
  <c r="CM21" i="35"/>
  <c r="KO21" i="35"/>
  <c r="CL21" i="35"/>
  <c r="KN21" i="35"/>
  <c r="CH21" i="35"/>
  <c r="KJ21" i="35"/>
  <c r="CN20" i="35"/>
  <c r="KP20" i="35"/>
  <c r="CM20" i="35"/>
  <c r="KO20" i="35"/>
  <c r="CL20" i="35"/>
  <c r="KN20" i="35"/>
  <c r="CH20" i="35"/>
  <c r="KJ20" i="35"/>
  <c r="CN19" i="35"/>
  <c r="KP19" i="35"/>
  <c r="CM19" i="35"/>
  <c r="KO19" i="35"/>
  <c r="CL19" i="35"/>
  <c r="KN19" i="35"/>
  <c r="CH19" i="35"/>
  <c r="KJ19" i="35"/>
  <c r="CN18" i="35"/>
  <c r="KP18" i="35"/>
  <c r="CM18" i="35"/>
  <c r="KO18" i="35"/>
  <c r="CL18" i="35"/>
  <c r="KN18" i="35"/>
  <c r="CH18" i="35"/>
  <c r="KJ18" i="35"/>
  <c r="CN17" i="35"/>
  <c r="KP17" i="35"/>
  <c r="CM17" i="35"/>
  <c r="KO17" i="35"/>
  <c r="CL17" i="35"/>
  <c r="KN17" i="35"/>
  <c r="CH17" i="35"/>
  <c r="KJ17" i="35"/>
  <c r="CN16" i="35"/>
  <c r="KP16" i="35"/>
  <c r="CM16" i="35"/>
  <c r="KO16" i="35"/>
  <c r="CL16" i="35"/>
  <c r="CH16" i="35"/>
  <c r="KJ16" i="35"/>
  <c r="CN15" i="35"/>
  <c r="KP15" i="35"/>
  <c r="CM15" i="35"/>
  <c r="KO15" i="35"/>
  <c r="CL15" i="35"/>
  <c r="KN15" i="35"/>
  <c r="CH15" i="35"/>
  <c r="KJ15" i="35"/>
  <c r="CN14" i="35"/>
  <c r="KP14" i="35"/>
  <c r="CM14" i="35"/>
  <c r="KO14" i="35"/>
  <c r="CL14" i="35"/>
  <c r="KN14" i="35"/>
  <c r="CH14" i="35"/>
  <c r="KJ14" i="35"/>
  <c r="CN13" i="35"/>
  <c r="KP13" i="35"/>
  <c r="CM13" i="35"/>
  <c r="KO13" i="35"/>
  <c r="CL13" i="35"/>
  <c r="KN13" i="35"/>
  <c r="CH13" i="35"/>
  <c r="KJ13" i="35"/>
  <c r="CN12" i="35"/>
  <c r="KP12" i="35"/>
  <c r="CM12" i="35"/>
  <c r="KO12" i="35"/>
  <c r="CL12" i="35"/>
  <c r="KN12" i="35"/>
  <c r="CH12" i="35"/>
  <c r="KJ12" i="35"/>
  <c r="CN11" i="35"/>
  <c r="KP11" i="35"/>
  <c r="CM11" i="35"/>
  <c r="KO11" i="35"/>
  <c r="CL11" i="35"/>
  <c r="KN11" i="35"/>
  <c r="CH11" i="35"/>
  <c r="KJ11" i="35"/>
  <c r="CB70" i="35"/>
  <c r="BZ70" i="35"/>
  <c r="BY70" i="35"/>
  <c r="BX70" i="35"/>
  <c r="BW70" i="35"/>
  <c r="BV70" i="35"/>
  <c r="BU70" i="35"/>
  <c r="BT70" i="35"/>
  <c r="BS70" i="35"/>
  <c r="BR70" i="35"/>
  <c r="BQ70" i="35"/>
  <c r="BP70" i="35"/>
  <c r="BO70" i="35"/>
  <c r="BN70" i="35"/>
  <c r="CO55" i="34"/>
  <c r="CN55" i="34"/>
  <c r="KP55" i="34"/>
  <c r="CM55" i="34"/>
  <c r="KO55" i="34"/>
  <c r="CL55" i="34"/>
  <c r="KN55" i="34"/>
  <c r="CJ55" i="34"/>
  <c r="KL55" i="34"/>
  <c r="CH55" i="34"/>
  <c r="KJ55" i="34"/>
  <c r="CO54" i="34"/>
  <c r="KQ54" i="34"/>
  <c r="CN54" i="34"/>
  <c r="KP54" i="34"/>
  <c r="CM54" i="34"/>
  <c r="KO54" i="34"/>
  <c r="CL54" i="34"/>
  <c r="KN54" i="34"/>
  <c r="CJ54" i="34"/>
  <c r="CH54" i="34"/>
  <c r="KJ54" i="34"/>
  <c r="CO53" i="34"/>
  <c r="KQ53" i="34"/>
  <c r="CN53" i="34"/>
  <c r="KP53" i="34"/>
  <c r="CM53" i="34"/>
  <c r="KO53" i="34"/>
  <c r="CL53" i="34"/>
  <c r="KN53" i="34"/>
  <c r="CJ53" i="34"/>
  <c r="KL53" i="34"/>
  <c r="CO51" i="34"/>
  <c r="KQ51" i="34"/>
  <c r="CN51" i="34"/>
  <c r="KP51" i="34"/>
  <c r="CM51" i="34"/>
  <c r="KO51" i="34"/>
  <c r="CL51" i="34"/>
  <c r="KN51" i="34"/>
  <c r="CJ51" i="34"/>
  <c r="CH51" i="34"/>
  <c r="KJ51" i="34"/>
  <c r="CO50" i="34"/>
  <c r="KQ50" i="34"/>
  <c r="CN50" i="34"/>
  <c r="KP50" i="34"/>
  <c r="CM50" i="34"/>
  <c r="KO50" i="34"/>
  <c r="CL50" i="34"/>
  <c r="KN50" i="34"/>
  <c r="CJ50" i="34"/>
  <c r="KL50" i="34"/>
  <c r="CH50" i="34"/>
  <c r="KJ50" i="34"/>
  <c r="CO49" i="34"/>
  <c r="KQ49" i="34"/>
  <c r="CN49" i="34"/>
  <c r="KP49" i="34"/>
  <c r="CM49" i="34"/>
  <c r="KO49" i="34"/>
  <c r="CL49" i="34"/>
  <c r="KN49" i="34"/>
  <c r="CJ49" i="34"/>
  <c r="KL49" i="34"/>
  <c r="CH49" i="34"/>
  <c r="KJ49" i="34"/>
  <c r="CO48" i="34"/>
  <c r="KQ48" i="34"/>
  <c r="CN48" i="34"/>
  <c r="KP48" i="34"/>
  <c r="CN9" i="34"/>
  <c r="KP9" i="34"/>
  <c r="CN10" i="34"/>
  <c r="KP10" i="34"/>
  <c r="CN11" i="34"/>
  <c r="KP11" i="34"/>
  <c r="CN12" i="34"/>
  <c r="KP12" i="34"/>
  <c r="CN13" i="34"/>
  <c r="KP13" i="34"/>
  <c r="CN16" i="34"/>
  <c r="KP16" i="34"/>
  <c r="CN17" i="34"/>
  <c r="KP17" i="34"/>
  <c r="CN18" i="34"/>
  <c r="KP18" i="34"/>
  <c r="CN19" i="34"/>
  <c r="KP19" i="34"/>
  <c r="CN20" i="34"/>
  <c r="KP20" i="34"/>
  <c r="CN21" i="34"/>
  <c r="KP21" i="34"/>
  <c r="CN22" i="34"/>
  <c r="KP22" i="34"/>
  <c r="CN23" i="34"/>
  <c r="KP23" i="34"/>
  <c r="CN24" i="34"/>
  <c r="KP24" i="34"/>
  <c r="CN25" i="34"/>
  <c r="KP25" i="34"/>
  <c r="CN26" i="34"/>
  <c r="KP26" i="34"/>
  <c r="CN27" i="34"/>
  <c r="CN28" i="34"/>
  <c r="KP28" i="34"/>
  <c r="CN29" i="34"/>
  <c r="KP29" i="34"/>
  <c r="CN30" i="34"/>
  <c r="KP30" i="34"/>
  <c r="CN31" i="34"/>
  <c r="KP31" i="34"/>
  <c r="CN32" i="34"/>
  <c r="KP32" i="34"/>
  <c r="CN33" i="34"/>
  <c r="CN34" i="34"/>
  <c r="CN35" i="34"/>
  <c r="KP35" i="34"/>
  <c r="CN36" i="34"/>
  <c r="KP36" i="34"/>
  <c r="CN37" i="34"/>
  <c r="KP37" i="34"/>
  <c r="CN38" i="34"/>
  <c r="KP38" i="34"/>
  <c r="CN39" i="34"/>
  <c r="KP39" i="34"/>
  <c r="CN40" i="34"/>
  <c r="KP40" i="34"/>
  <c r="CN41" i="34"/>
  <c r="KP41" i="34"/>
  <c r="CN42" i="34"/>
  <c r="KP42" i="34"/>
  <c r="CN43" i="34"/>
  <c r="KP43" i="34"/>
  <c r="CN44" i="34"/>
  <c r="KP44" i="34"/>
  <c r="CN45" i="34"/>
  <c r="KP45" i="34"/>
  <c r="CN46" i="34"/>
  <c r="KP46" i="34"/>
  <c r="CN47" i="34"/>
  <c r="KP47" i="34"/>
  <c r="CM48" i="34"/>
  <c r="KO48" i="34"/>
  <c r="CL48" i="34"/>
  <c r="KN48" i="34"/>
  <c r="CJ48" i="34"/>
  <c r="KL48" i="34"/>
  <c r="CH48" i="34"/>
  <c r="KJ48" i="34"/>
  <c r="CO47" i="34"/>
  <c r="KQ47" i="34"/>
  <c r="CM47" i="34"/>
  <c r="KO47" i="34"/>
  <c r="CL47" i="34"/>
  <c r="KN47" i="34"/>
  <c r="CJ47" i="34"/>
  <c r="CH47" i="34"/>
  <c r="KJ47" i="34"/>
  <c r="CO46" i="34"/>
  <c r="KQ46" i="34"/>
  <c r="CM46" i="34"/>
  <c r="KO46" i="34"/>
  <c r="CL46" i="34"/>
  <c r="KN46" i="34"/>
  <c r="CJ46" i="34"/>
  <c r="KL46" i="34"/>
  <c r="CH46" i="34"/>
  <c r="KJ46" i="34"/>
  <c r="CO45" i="34"/>
  <c r="KQ45" i="34"/>
  <c r="CM45" i="34"/>
  <c r="KO45" i="34"/>
  <c r="CL45" i="34"/>
  <c r="KN45" i="34"/>
  <c r="CJ45" i="34"/>
  <c r="KL45" i="34"/>
  <c r="CH45" i="34"/>
  <c r="KJ45" i="34"/>
  <c r="CO44" i="34"/>
  <c r="CM44" i="34"/>
  <c r="KO44" i="34"/>
  <c r="CL44" i="34"/>
  <c r="KN44" i="34"/>
  <c r="CJ44" i="34"/>
  <c r="KL44" i="34"/>
  <c r="CH44" i="34"/>
  <c r="KJ44" i="34"/>
  <c r="CO43" i="34"/>
  <c r="KQ43" i="34"/>
  <c r="CM43" i="34"/>
  <c r="KO43" i="34"/>
  <c r="CL43" i="34"/>
  <c r="CJ43" i="34"/>
  <c r="KL43" i="34"/>
  <c r="CH43" i="34"/>
  <c r="KJ43" i="34"/>
  <c r="CO42" i="34"/>
  <c r="KQ42" i="34"/>
  <c r="CM42" i="34"/>
  <c r="KO42" i="34"/>
  <c r="CL42" i="34"/>
  <c r="KN42" i="34"/>
  <c r="CJ42" i="34"/>
  <c r="KL42" i="34"/>
  <c r="CH42" i="34"/>
  <c r="KJ42" i="34"/>
  <c r="CO41" i="34"/>
  <c r="KQ41" i="34"/>
  <c r="CM41" i="34"/>
  <c r="KO41" i="34"/>
  <c r="CL41" i="34"/>
  <c r="KN41" i="34"/>
  <c r="CJ41" i="34"/>
  <c r="KL41" i="34"/>
  <c r="CH41" i="34"/>
  <c r="KJ41" i="34"/>
  <c r="CO40" i="34"/>
  <c r="KQ40" i="34"/>
  <c r="CM40" i="34"/>
  <c r="KO40" i="34"/>
  <c r="CL40" i="34"/>
  <c r="KN40" i="34"/>
  <c r="CJ40" i="34"/>
  <c r="KL40" i="34"/>
  <c r="CH40" i="34"/>
  <c r="KJ40" i="34"/>
  <c r="CO39" i="34"/>
  <c r="KQ39" i="34"/>
  <c r="CM39" i="34"/>
  <c r="KO39" i="34"/>
  <c r="CL39" i="34"/>
  <c r="KN39" i="34"/>
  <c r="CJ39" i="34"/>
  <c r="KL39" i="34"/>
  <c r="CH39" i="34"/>
  <c r="CO38" i="34"/>
  <c r="KQ38" i="34"/>
  <c r="CM38" i="34"/>
  <c r="KO38" i="34"/>
  <c r="CL38" i="34"/>
  <c r="KN38" i="34"/>
  <c r="CJ38" i="34"/>
  <c r="KL38" i="34"/>
  <c r="CH38" i="34"/>
  <c r="KJ38" i="34"/>
  <c r="CO37" i="34"/>
  <c r="KQ37" i="34"/>
  <c r="CM37" i="34"/>
  <c r="KO37" i="34"/>
  <c r="CL37" i="34"/>
  <c r="KN37" i="34"/>
  <c r="CJ37" i="34"/>
  <c r="KL37" i="34"/>
  <c r="CH37" i="34"/>
  <c r="KJ37" i="34"/>
  <c r="CO36" i="34"/>
  <c r="KQ36" i="34"/>
  <c r="CM36" i="34"/>
  <c r="KO36" i="34"/>
  <c r="CL36" i="34"/>
  <c r="KN36" i="34"/>
  <c r="CJ36" i="34"/>
  <c r="KL36" i="34"/>
  <c r="CH36" i="34"/>
  <c r="CO35" i="34"/>
  <c r="CM35" i="34"/>
  <c r="KO35" i="34"/>
  <c r="CL35" i="34"/>
  <c r="KN35" i="34"/>
  <c r="CJ35" i="34"/>
  <c r="KL35" i="34"/>
  <c r="CH35" i="34"/>
  <c r="KJ35" i="34"/>
  <c r="CO34" i="34"/>
  <c r="KQ34" i="34"/>
  <c r="CM34" i="34"/>
  <c r="KO34" i="34"/>
  <c r="CL34" i="34"/>
  <c r="KN34" i="34"/>
  <c r="CJ34" i="34"/>
  <c r="KL34" i="34"/>
  <c r="CH34" i="34"/>
  <c r="KJ34" i="34"/>
  <c r="CO33" i="34"/>
  <c r="KQ33" i="34"/>
  <c r="CM33" i="34"/>
  <c r="KO33" i="34"/>
  <c r="CL33" i="34"/>
  <c r="KN33" i="34"/>
  <c r="CJ33" i="34"/>
  <c r="KL33" i="34"/>
  <c r="CH33" i="34"/>
  <c r="KJ33" i="34"/>
  <c r="CO32" i="34"/>
  <c r="CM32" i="34"/>
  <c r="KO32" i="34"/>
  <c r="CL32" i="34"/>
  <c r="KN32" i="34"/>
  <c r="CJ32" i="34"/>
  <c r="KL32" i="34"/>
  <c r="CH32" i="34"/>
  <c r="KJ32" i="34"/>
  <c r="CO31" i="34"/>
  <c r="KQ31" i="34"/>
  <c r="CM31" i="34"/>
  <c r="KO31" i="34"/>
  <c r="CL31" i="34"/>
  <c r="KN31" i="34"/>
  <c r="CJ31" i="34"/>
  <c r="KL31" i="34"/>
  <c r="CH31" i="34"/>
  <c r="KJ31" i="34"/>
  <c r="CO30" i="34"/>
  <c r="KQ30" i="34"/>
  <c r="CM30" i="34"/>
  <c r="KO30" i="34"/>
  <c r="CL30" i="34"/>
  <c r="KN30" i="34"/>
  <c r="CJ30" i="34"/>
  <c r="KL30" i="34"/>
  <c r="CH30" i="34"/>
  <c r="KJ30" i="34"/>
  <c r="CO29" i="34"/>
  <c r="CM29" i="34"/>
  <c r="KO29" i="34"/>
  <c r="CL29" i="34"/>
  <c r="KN29" i="34"/>
  <c r="CJ29" i="34"/>
  <c r="KL29" i="34"/>
  <c r="CH29" i="34"/>
  <c r="KJ29" i="34"/>
  <c r="CO28" i="34"/>
  <c r="KQ28" i="34"/>
  <c r="CM28" i="34"/>
  <c r="KO28" i="34"/>
  <c r="CL28" i="34"/>
  <c r="KN28" i="34"/>
  <c r="CJ28" i="34"/>
  <c r="KL28" i="34"/>
  <c r="CH28" i="34"/>
  <c r="KJ28" i="34"/>
  <c r="CO27" i="34"/>
  <c r="KQ27" i="34"/>
  <c r="CM27" i="34"/>
  <c r="KO27" i="34"/>
  <c r="CL27" i="34"/>
  <c r="KN27" i="34"/>
  <c r="CJ27" i="34"/>
  <c r="KL27" i="34"/>
  <c r="CH27" i="34"/>
  <c r="KJ27" i="34"/>
  <c r="CO26" i="34"/>
  <c r="KQ26" i="34"/>
  <c r="CM26" i="34"/>
  <c r="KO26" i="34"/>
  <c r="CL26" i="34"/>
  <c r="KN26" i="34"/>
  <c r="CJ26" i="34"/>
  <c r="CH26" i="34"/>
  <c r="KJ26" i="34"/>
  <c r="CO25" i="34"/>
  <c r="KQ25" i="34"/>
  <c r="CM25" i="34"/>
  <c r="KO25" i="34"/>
  <c r="CL25" i="34"/>
  <c r="KN25" i="34"/>
  <c r="CJ25" i="34"/>
  <c r="KL25" i="34"/>
  <c r="CH25" i="34"/>
  <c r="KJ25" i="34"/>
  <c r="CO24" i="34"/>
  <c r="CM24" i="34"/>
  <c r="KO24" i="34"/>
  <c r="CL24" i="34"/>
  <c r="KN24" i="34"/>
  <c r="CJ24" i="34"/>
  <c r="KL24" i="34"/>
  <c r="CH24" i="34"/>
  <c r="KJ24" i="34"/>
  <c r="CO23" i="34"/>
  <c r="KQ23" i="34"/>
  <c r="CM23" i="34"/>
  <c r="KO23" i="34"/>
  <c r="CL23" i="34"/>
  <c r="KN23" i="34"/>
  <c r="CJ23" i="34"/>
  <c r="KL23" i="34"/>
  <c r="CH23" i="34"/>
  <c r="KJ23" i="34"/>
  <c r="CO22" i="34"/>
  <c r="KQ22" i="34"/>
  <c r="CO9" i="34"/>
  <c r="CO10" i="34"/>
  <c r="KQ10" i="34"/>
  <c r="CO11" i="34"/>
  <c r="KQ11" i="34"/>
  <c r="CO12" i="34"/>
  <c r="KQ12" i="34"/>
  <c r="CO13" i="34"/>
  <c r="KQ13" i="34"/>
  <c r="CO16" i="34"/>
  <c r="KQ16" i="34"/>
  <c r="CO17" i="34"/>
  <c r="KQ17" i="34"/>
  <c r="CO18" i="34"/>
  <c r="KQ18" i="34"/>
  <c r="CO19" i="34"/>
  <c r="KQ19" i="34"/>
  <c r="CO20" i="34"/>
  <c r="KQ20" i="34"/>
  <c r="CO21" i="34"/>
  <c r="KQ21" i="34"/>
  <c r="CM22" i="34"/>
  <c r="KO22" i="34"/>
  <c r="CL22" i="34"/>
  <c r="KN22" i="34"/>
  <c r="CJ22" i="34"/>
  <c r="KL22" i="34"/>
  <c r="CH22" i="34"/>
  <c r="KJ22" i="34"/>
  <c r="CM21" i="34"/>
  <c r="KO21" i="34"/>
  <c r="CL21" i="34"/>
  <c r="KN21" i="34"/>
  <c r="CJ21" i="34"/>
  <c r="CH21" i="34"/>
  <c r="KJ21" i="34"/>
  <c r="CD9" i="34"/>
  <c r="CH9" i="34"/>
  <c r="KJ9" i="34"/>
  <c r="CH11" i="34"/>
  <c r="KJ11" i="34"/>
  <c r="CH12" i="34"/>
  <c r="KJ12" i="34"/>
  <c r="CH13" i="34"/>
  <c r="KJ13" i="34"/>
  <c r="CH16" i="34"/>
  <c r="KJ16" i="34"/>
  <c r="CH17" i="34"/>
  <c r="CH18" i="34"/>
  <c r="KJ18" i="34"/>
  <c r="CH19" i="34"/>
  <c r="KJ19" i="34"/>
  <c r="CH20" i="34"/>
  <c r="CM20" i="34"/>
  <c r="KO20" i="34"/>
  <c r="CM9" i="34"/>
  <c r="KO9" i="34"/>
  <c r="CM10" i="34"/>
  <c r="CM11" i="34"/>
  <c r="KO11" i="34"/>
  <c r="CM12" i="34"/>
  <c r="KO12" i="34"/>
  <c r="CM13" i="34"/>
  <c r="KO13" i="34"/>
  <c r="CM16" i="34"/>
  <c r="KO16" i="34"/>
  <c r="CM17" i="34"/>
  <c r="KO17" i="34"/>
  <c r="CM18" i="34"/>
  <c r="KO18" i="34"/>
  <c r="CM19" i="34"/>
  <c r="KO19" i="34"/>
  <c r="CJ20" i="34"/>
  <c r="KL20" i="34"/>
  <c r="CJ19" i="34"/>
  <c r="KL19" i="34"/>
  <c r="CL18" i="34"/>
  <c r="KN18" i="34"/>
  <c r="CJ18" i="34"/>
  <c r="KL18" i="34"/>
  <c r="CL17" i="34"/>
  <c r="KN17" i="34"/>
  <c r="CJ17" i="34"/>
  <c r="KL17" i="34"/>
  <c r="CL16" i="34"/>
  <c r="KN16" i="34"/>
  <c r="CJ16" i="34"/>
  <c r="KL14" i="34"/>
  <c r="CL13" i="34"/>
  <c r="KN13" i="34"/>
  <c r="CJ13" i="34"/>
  <c r="KL13" i="34"/>
  <c r="CL12" i="34"/>
  <c r="KN12" i="34"/>
  <c r="CJ12" i="34"/>
  <c r="KL12" i="34"/>
  <c r="CL11" i="34"/>
  <c r="KN11" i="34"/>
  <c r="CJ11" i="34"/>
  <c r="KL11" i="34"/>
  <c r="CB13" i="33"/>
  <c r="BZ13" i="33"/>
  <c r="BY13" i="33"/>
  <c r="BX13" i="33"/>
  <c r="BW13" i="33"/>
  <c r="BV13" i="33"/>
  <c r="BU13" i="33"/>
  <c r="BT13" i="33"/>
  <c r="BS13" i="33"/>
  <c r="BR13" i="33"/>
  <c r="BQ13" i="33"/>
  <c r="BP13" i="33"/>
  <c r="BO13" i="33"/>
  <c r="BN13" i="33"/>
  <c r="CO31" i="32"/>
  <c r="KQ31" i="32"/>
  <c r="CN31" i="32"/>
  <c r="KP31" i="32"/>
  <c r="CM31" i="32"/>
  <c r="KO31" i="32"/>
  <c r="CL31" i="32"/>
  <c r="KN31" i="32"/>
  <c r="CJ31" i="32"/>
  <c r="KL31" i="32"/>
  <c r="CH31" i="32"/>
  <c r="KJ31" i="32"/>
  <c r="CO30" i="32"/>
  <c r="KQ30" i="32"/>
  <c r="CN30" i="32"/>
  <c r="KP30" i="32"/>
  <c r="CM30" i="32"/>
  <c r="KO30" i="32"/>
  <c r="CL30" i="32"/>
  <c r="KN30" i="32"/>
  <c r="CJ30" i="32"/>
  <c r="KL30" i="32"/>
  <c r="CH30" i="32"/>
  <c r="KJ30" i="32"/>
  <c r="CO27" i="32"/>
  <c r="KQ27" i="32"/>
  <c r="CN27" i="32"/>
  <c r="KP27" i="32"/>
  <c r="CM27" i="32"/>
  <c r="KO27" i="32"/>
  <c r="CJ27" i="32"/>
  <c r="KL27" i="32"/>
  <c r="CH27" i="32"/>
  <c r="KJ27" i="32"/>
  <c r="CO26" i="32"/>
  <c r="KQ26" i="32"/>
  <c r="CN26" i="32"/>
  <c r="KP26" i="32"/>
  <c r="CM26" i="32"/>
  <c r="KO26" i="32"/>
  <c r="CL26" i="32"/>
  <c r="KN26" i="32"/>
  <c r="CJ26" i="32"/>
  <c r="KL26" i="32"/>
  <c r="CH26" i="32"/>
  <c r="KJ26" i="32"/>
  <c r="CO25" i="32"/>
  <c r="KQ25" i="32"/>
  <c r="CN25" i="32"/>
  <c r="KP25" i="32"/>
  <c r="CM25" i="32"/>
  <c r="KO25" i="32"/>
  <c r="CL25" i="32"/>
  <c r="KN25" i="32"/>
  <c r="CJ25" i="32"/>
  <c r="KL25" i="32"/>
  <c r="CH25" i="32"/>
  <c r="KJ25" i="32"/>
  <c r="CO24" i="32"/>
  <c r="KQ24" i="32"/>
  <c r="CN24" i="32"/>
  <c r="KP24" i="32"/>
  <c r="CM24" i="32"/>
  <c r="KO24" i="32"/>
  <c r="CL24" i="32"/>
  <c r="CJ24" i="32"/>
  <c r="KL24" i="32"/>
  <c r="CH24" i="32"/>
  <c r="KJ24" i="32"/>
  <c r="CO23" i="32"/>
  <c r="KQ23" i="32"/>
  <c r="CN23" i="32"/>
  <c r="KP23" i="32"/>
  <c r="CM23" i="32"/>
  <c r="KO23" i="32"/>
  <c r="CL23" i="32"/>
  <c r="KN23" i="32"/>
  <c r="CJ23" i="32"/>
  <c r="KL23" i="32"/>
  <c r="CH23" i="32"/>
  <c r="KJ23" i="32"/>
  <c r="CO22" i="32"/>
  <c r="KQ22" i="32"/>
  <c r="CN22" i="32"/>
  <c r="KP22" i="32"/>
  <c r="CM22" i="32"/>
  <c r="KO22" i="32"/>
  <c r="CL22" i="32"/>
  <c r="KN22" i="32"/>
  <c r="CJ22" i="32"/>
  <c r="KL22" i="32"/>
  <c r="CH22" i="32"/>
  <c r="KJ22" i="32"/>
  <c r="CO21" i="32"/>
  <c r="KQ21" i="32"/>
  <c r="CN21" i="32"/>
  <c r="KP21" i="32"/>
  <c r="CM21" i="32"/>
  <c r="KO21" i="32"/>
  <c r="CL21" i="32"/>
  <c r="KN21" i="32"/>
  <c r="CJ21" i="32"/>
  <c r="KL21" i="32"/>
  <c r="CH21" i="32"/>
  <c r="KJ21" i="32"/>
  <c r="CO20" i="32"/>
  <c r="KQ20" i="32"/>
  <c r="CN20" i="32"/>
  <c r="KP20" i="32"/>
  <c r="CM20" i="32"/>
  <c r="KO20" i="32"/>
  <c r="CL20" i="32"/>
  <c r="KN20" i="32"/>
  <c r="CH20" i="32"/>
  <c r="KJ20" i="32"/>
  <c r="CO19" i="32"/>
  <c r="KQ19" i="32"/>
  <c r="CN19" i="32"/>
  <c r="KP19" i="32"/>
  <c r="CM19" i="32"/>
  <c r="KO19" i="32"/>
  <c r="CL19" i="32"/>
  <c r="KN19" i="32"/>
  <c r="CJ19" i="32"/>
  <c r="KL19" i="32"/>
  <c r="CH19" i="32"/>
  <c r="KJ19" i="32"/>
  <c r="CO18" i="32"/>
  <c r="KQ18" i="32"/>
  <c r="CN18" i="32"/>
  <c r="KP18" i="32"/>
  <c r="CM18" i="32"/>
  <c r="KO18" i="32"/>
  <c r="CL18" i="32"/>
  <c r="KN18" i="32"/>
  <c r="CJ18" i="32"/>
  <c r="KL18" i="32"/>
  <c r="CH18" i="32"/>
  <c r="KJ18" i="32"/>
  <c r="CO17" i="32"/>
  <c r="KQ17" i="32"/>
  <c r="CN17" i="32"/>
  <c r="KP17" i="32"/>
  <c r="CL17" i="32"/>
  <c r="KN17" i="32"/>
  <c r="CJ17" i="32"/>
  <c r="KL17" i="32"/>
  <c r="CH17" i="32"/>
  <c r="KJ17" i="32"/>
  <c r="CO16" i="32"/>
  <c r="KQ16" i="32"/>
  <c r="CN16" i="32"/>
  <c r="KP16" i="32"/>
  <c r="CM16" i="32"/>
  <c r="KO16" i="32"/>
  <c r="CL16" i="32"/>
  <c r="KN16" i="32"/>
  <c r="CJ16" i="32"/>
  <c r="KL16" i="32"/>
  <c r="CJ10" i="32"/>
  <c r="CJ11" i="32"/>
  <c r="KL11" i="32"/>
  <c r="CJ12" i="32"/>
  <c r="KL12" i="32"/>
  <c r="CJ13" i="32"/>
  <c r="KL13" i="32"/>
  <c r="CJ14" i="32"/>
  <c r="KL14" i="32"/>
  <c r="CJ15" i="32"/>
  <c r="KL15" i="32"/>
  <c r="CJ20" i="32"/>
  <c r="KL20" i="32"/>
  <c r="CH16" i="32"/>
  <c r="KJ16" i="32"/>
  <c r="CO15" i="32"/>
  <c r="KQ15" i="32"/>
  <c r="CN15" i="32"/>
  <c r="KP15" i="32"/>
  <c r="CM15" i="32"/>
  <c r="KO15" i="32"/>
  <c r="CL15" i="32"/>
  <c r="KN15" i="32"/>
  <c r="CH15" i="32"/>
  <c r="KJ15" i="32"/>
  <c r="CO14" i="32"/>
  <c r="KQ14" i="32"/>
  <c r="CN14" i="32"/>
  <c r="KP14" i="32"/>
  <c r="CM14" i="32"/>
  <c r="KO14" i="32"/>
  <c r="CL14" i="32"/>
  <c r="KN14" i="32"/>
  <c r="CH14" i="32"/>
  <c r="KJ14" i="32"/>
  <c r="CO13" i="32"/>
  <c r="KQ13" i="32"/>
  <c r="CN13" i="32"/>
  <c r="KP13" i="32"/>
  <c r="CM13" i="32"/>
  <c r="KO13" i="32"/>
  <c r="CH13" i="32"/>
  <c r="KJ13" i="32"/>
  <c r="CO12" i="32"/>
  <c r="KQ12" i="32"/>
  <c r="CN12" i="32"/>
  <c r="KP12" i="32"/>
  <c r="CM12" i="32"/>
  <c r="KO12" i="32"/>
  <c r="CH12" i="32"/>
  <c r="KJ12" i="32"/>
  <c r="CO11" i="32"/>
  <c r="KQ11" i="32"/>
  <c r="CN11" i="32"/>
  <c r="KP11" i="32"/>
  <c r="CM11" i="32"/>
  <c r="KO11" i="32"/>
  <c r="CH11" i="32"/>
  <c r="KJ11" i="32"/>
  <c r="BZ36" i="32"/>
  <c r="BY36" i="32"/>
  <c r="BX36" i="32"/>
  <c r="BW36" i="32"/>
  <c r="BV36" i="32"/>
  <c r="BU36" i="32"/>
  <c r="BT36" i="32"/>
  <c r="BS36" i="32"/>
  <c r="BR36" i="32"/>
  <c r="BQ36" i="32"/>
  <c r="BP36" i="32"/>
  <c r="BO36" i="32"/>
  <c r="BN36" i="32"/>
  <c r="CO11" i="22"/>
  <c r="CN11" i="22"/>
  <c r="KP11" i="22"/>
  <c r="CM11" i="22"/>
  <c r="KO11" i="22"/>
  <c r="CJ11" i="22"/>
  <c r="KL11" i="22"/>
  <c r="CD11" i="22"/>
  <c r="CH11" i="22"/>
  <c r="KJ11" i="22"/>
  <c r="CB29" i="22"/>
  <c r="BZ29" i="22"/>
  <c r="BY29" i="22"/>
  <c r="BX29" i="22"/>
  <c r="BW29" i="22"/>
  <c r="BV29" i="22"/>
  <c r="BU29" i="22"/>
  <c r="BT29" i="22"/>
  <c r="BS29" i="22"/>
  <c r="BR29" i="22"/>
  <c r="BQ29" i="22"/>
  <c r="BP29" i="22"/>
  <c r="BO29" i="22"/>
  <c r="BN29" i="22"/>
  <c r="CO42" i="21"/>
  <c r="KQ42" i="21"/>
  <c r="CN42" i="21"/>
  <c r="KP42" i="21"/>
  <c r="CM42" i="21"/>
  <c r="KO42" i="21"/>
  <c r="CL42" i="21"/>
  <c r="KN42" i="21"/>
  <c r="CJ42" i="21"/>
  <c r="CH42" i="21"/>
  <c r="KJ42" i="21"/>
  <c r="CO41" i="21"/>
  <c r="KQ41" i="21"/>
  <c r="CN41" i="21"/>
  <c r="KP41" i="21"/>
  <c r="CM41" i="21"/>
  <c r="KO41" i="21"/>
  <c r="CL41" i="21"/>
  <c r="KN41" i="21"/>
  <c r="CJ41" i="21"/>
  <c r="KL41" i="21"/>
  <c r="CH41" i="21"/>
  <c r="CO40" i="21"/>
  <c r="KQ40" i="21"/>
  <c r="CN40" i="21"/>
  <c r="KP40" i="21"/>
  <c r="CM40" i="21"/>
  <c r="KO40" i="21"/>
  <c r="CL40" i="21"/>
  <c r="KN40" i="21"/>
  <c r="CJ40" i="21"/>
  <c r="KL40" i="21"/>
  <c r="CH40" i="21"/>
  <c r="KJ40" i="21"/>
  <c r="CO39" i="21"/>
  <c r="KQ39" i="21"/>
  <c r="CN39" i="21"/>
  <c r="KP39" i="21"/>
  <c r="CM39" i="21"/>
  <c r="KO39" i="21"/>
  <c r="CL39" i="21"/>
  <c r="KN39" i="21"/>
  <c r="CJ39" i="21"/>
  <c r="KL39" i="21"/>
  <c r="CH39" i="21"/>
  <c r="KJ39" i="21"/>
  <c r="CO38" i="21"/>
  <c r="KQ38" i="21"/>
  <c r="CN38" i="21"/>
  <c r="KP38" i="21"/>
  <c r="CM38" i="21"/>
  <c r="KO38" i="21"/>
  <c r="CL38" i="21"/>
  <c r="KN38" i="21"/>
  <c r="CJ38" i="21"/>
  <c r="KL38" i="21"/>
  <c r="CH38" i="21"/>
  <c r="KJ38" i="21"/>
  <c r="CO37" i="21"/>
  <c r="KQ37" i="21"/>
  <c r="CN37" i="21"/>
  <c r="KP37" i="21"/>
  <c r="CM37" i="21"/>
  <c r="KO37" i="21"/>
  <c r="CL37" i="21"/>
  <c r="KN37" i="21"/>
  <c r="CJ37" i="21"/>
  <c r="KL37" i="21"/>
  <c r="CH37" i="21"/>
  <c r="KJ37" i="21"/>
  <c r="CO36" i="21"/>
  <c r="KQ36" i="21"/>
  <c r="CN36" i="21"/>
  <c r="KP36" i="21"/>
  <c r="CM36" i="21"/>
  <c r="KO36" i="21"/>
  <c r="CL36" i="21"/>
  <c r="KN36" i="21"/>
  <c r="CJ36" i="21"/>
  <c r="KL36" i="21"/>
  <c r="CH36" i="21"/>
  <c r="KJ36" i="21"/>
  <c r="CO35" i="21"/>
  <c r="CN35" i="21"/>
  <c r="KP35" i="21"/>
  <c r="CM35" i="21"/>
  <c r="KO35" i="21"/>
  <c r="CL35" i="21"/>
  <c r="KN35" i="21"/>
  <c r="CJ35" i="21"/>
  <c r="KL35" i="21"/>
  <c r="CH35" i="21"/>
  <c r="KJ35" i="21"/>
  <c r="CO34" i="21"/>
  <c r="KQ34" i="21"/>
  <c r="CN34" i="21"/>
  <c r="KP34" i="21"/>
  <c r="CM34" i="21"/>
  <c r="CL34" i="21"/>
  <c r="CJ34" i="21"/>
  <c r="KL34" i="21"/>
  <c r="CH34" i="21"/>
  <c r="KJ34" i="21"/>
  <c r="CO33" i="21"/>
  <c r="KQ33" i="21"/>
  <c r="CN33" i="21"/>
  <c r="KP33" i="21"/>
  <c r="CM33" i="21"/>
  <c r="KO33" i="21"/>
  <c r="CL33" i="21"/>
  <c r="CJ33" i="21"/>
  <c r="KL33" i="21"/>
  <c r="CH33" i="21"/>
  <c r="CO32" i="21"/>
  <c r="KQ32" i="21"/>
  <c r="CN32" i="21"/>
  <c r="KP32" i="21"/>
  <c r="CM32" i="21"/>
  <c r="KO32" i="21"/>
  <c r="CL32" i="21"/>
  <c r="KN32" i="21"/>
  <c r="CJ32" i="21"/>
  <c r="KL32" i="21"/>
  <c r="CH32" i="21"/>
  <c r="CO31" i="21"/>
  <c r="KQ31" i="21"/>
  <c r="CN31" i="21"/>
  <c r="KP31" i="21"/>
  <c r="CM31" i="21"/>
  <c r="KO31" i="21"/>
  <c r="CL31" i="21"/>
  <c r="KN31" i="21"/>
  <c r="CJ31" i="21"/>
  <c r="KL31" i="21"/>
  <c r="CH31" i="21"/>
  <c r="KJ31" i="21"/>
  <c r="CO30" i="21"/>
  <c r="KQ30" i="21"/>
  <c r="CN30" i="21"/>
  <c r="KP30" i="21"/>
  <c r="CM30" i="21"/>
  <c r="KO30" i="21"/>
  <c r="CL30" i="21"/>
  <c r="KN30" i="21"/>
  <c r="CJ30" i="21"/>
  <c r="KL30" i="21"/>
  <c r="CH30" i="21"/>
  <c r="KJ30" i="21"/>
  <c r="CO29" i="21"/>
  <c r="KQ29" i="21"/>
  <c r="CN29" i="21"/>
  <c r="KP29" i="21"/>
  <c r="CM29" i="21"/>
  <c r="KO29" i="21"/>
  <c r="CL29" i="21"/>
  <c r="CJ29" i="21"/>
  <c r="KL29" i="21"/>
  <c r="CH29" i="21"/>
  <c r="KJ29" i="21"/>
  <c r="CO28" i="21"/>
  <c r="CN28" i="21"/>
  <c r="KP28" i="21"/>
  <c r="CM28" i="21"/>
  <c r="KO28" i="21"/>
  <c r="CL28" i="21"/>
  <c r="KN28" i="21"/>
  <c r="CJ28" i="21"/>
  <c r="KL28" i="21"/>
  <c r="CH28" i="21"/>
  <c r="KJ28" i="21"/>
  <c r="CO27" i="21"/>
  <c r="KQ27" i="21"/>
  <c r="CN27" i="21"/>
  <c r="KP27" i="21"/>
  <c r="CM27" i="21"/>
  <c r="KO27" i="21"/>
  <c r="CL27" i="21"/>
  <c r="KN27" i="21"/>
  <c r="CJ27" i="21"/>
  <c r="KL27" i="21"/>
  <c r="CH27" i="21"/>
  <c r="KJ27" i="21"/>
  <c r="CO26" i="21"/>
  <c r="KQ26" i="21"/>
  <c r="CN26" i="21"/>
  <c r="KP26" i="21"/>
  <c r="CM26" i="21"/>
  <c r="KO26" i="21"/>
  <c r="CL26" i="21"/>
  <c r="CJ26" i="21"/>
  <c r="KL26" i="21"/>
  <c r="CH26" i="21"/>
  <c r="KJ26" i="21"/>
  <c r="CO25" i="21"/>
  <c r="CN25" i="21"/>
  <c r="KP25" i="21"/>
  <c r="CM25" i="21"/>
  <c r="CJ25" i="21"/>
  <c r="KL25" i="21"/>
  <c r="CH25" i="21"/>
  <c r="KJ25" i="21"/>
  <c r="CO24" i="21"/>
  <c r="KQ24" i="21"/>
  <c r="CN24" i="21"/>
  <c r="KP24" i="21"/>
  <c r="CM24" i="21"/>
  <c r="CJ24" i="21"/>
  <c r="KL24" i="21"/>
  <c r="CH24" i="21"/>
  <c r="KJ24" i="21"/>
  <c r="CO23" i="21"/>
  <c r="KQ23" i="21"/>
  <c r="CN23" i="21"/>
  <c r="KP23" i="21"/>
  <c r="CM23" i="21"/>
  <c r="KO23" i="21"/>
  <c r="CJ23" i="21"/>
  <c r="KL23" i="21"/>
  <c r="CH23" i="21"/>
  <c r="KJ23" i="21"/>
  <c r="CO22" i="21"/>
  <c r="KQ22" i="21"/>
  <c r="CN22" i="21"/>
  <c r="KP22" i="21"/>
  <c r="CM22" i="21"/>
  <c r="KO22" i="21"/>
  <c r="CL22" i="21"/>
  <c r="KN22" i="21"/>
  <c r="CJ22" i="21"/>
  <c r="KL22" i="21"/>
  <c r="CH22" i="21"/>
  <c r="KJ22" i="21"/>
  <c r="CO21" i="21"/>
  <c r="KQ21" i="21"/>
  <c r="CN21" i="21"/>
  <c r="KP21" i="21"/>
  <c r="CM21" i="21"/>
  <c r="KO21" i="21"/>
  <c r="CL21" i="21"/>
  <c r="KN21" i="21"/>
  <c r="CL10" i="21"/>
  <c r="KN10" i="21"/>
  <c r="CL12" i="21"/>
  <c r="KN12" i="21"/>
  <c r="CL13" i="21"/>
  <c r="KN13" i="21"/>
  <c r="CL14" i="21"/>
  <c r="KN14" i="21"/>
  <c r="CL15" i="21"/>
  <c r="KN15" i="21"/>
  <c r="CL16" i="21"/>
  <c r="KN16" i="21"/>
  <c r="CL17" i="21"/>
  <c r="KN17" i="21"/>
  <c r="CL18" i="21"/>
  <c r="KN18" i="21"/>
  <c r="CL19" i="21"/>
  <c r="KN19" i="21"/>
  <c r="CL20" i="21"/>
  <c r="KN20" i="21"/>
  <c r="CJ21" i="21"/>
  <c r="KL21" i="21"/>
  <c r="CH21" i="21"/>
  <c r="KJ21" i="21"/>
  <c r="CO20" i="21"/>
  <c r="KQ20" i="21"/>
  <c r="CN20" i="21"/>
  <c r="KP20" i="21"/>
  <c r="CM20" i="21"/>
  <c r="KO20" i="21"/>
  <c r="CJ20" i="21"/>
  <c r="KL20" i="21"/>
  <c r="CH20" i="21"/>
  <c r="KJ20" i="21"/>
  <c r="CO19" i="21"/>
  <c r="KQ19" i="21"/>
  <c r="CN19" i="21"/>
  <c r="KP19" i="21"/>
  <c r="CM19" i="21"/>
  <c r="KO19" i="21"/>
  <c r="CJ19" i="21"/>
  <c r="KL19" i="21"/>
  <c r="CH19" i="21"/>
  <c r="KJ19" i="21"/>
  <c r="CO18" i="21"/>
  <c r="KQ18" i="21"/>
  <c r="CN18" i="21"/>
  <c r="KP18" i="21"/>
  <c r="CM18" i="21"/>
  <c r="KO18" i="21"/>
  <c r="CJ18" i="21"/>
  <c r="KL18" i="21"/>
  <c r="CH18" i="21"/>
  <c r="KJ18" i="21"/>
  <c r="CO17" i="21"/>
  <c r="KQ17" i="21"/>
  <c r="CN17" i="21"/>
  <c r="CM17" i="21"/>
  <c r="KO17" i="21"/>
  <c r="CJ17" i="21"/>
  <c r="KL17" i="21"/>
  <c r="CH17" i="21"/>
  <c r="KJ17" i="21"/>
  <c r="CO16" i="21"/>
  <c r="KQ16" i="21"/>
  <c r="CN16" i="21"/>
  <c r="KP16" i="21"/>
  <c r="CM16" i="21"/>
  <c r="KO16" i="21"/>
  <c r="CJ16" i="21"/>
  <c r="CH16" i="21"/>
  <c r="KJ16" i="21"/>
  <c r="CO15" i="21"/>
  <c r="KQ15" i="21"/>
  <c r="CN15" i="21"/>
  <c r="KP15" i="21"/>
  <c r="CM15" i="21"/>
  <c r="KO15" i="21"/>
  <c r="CJ15" i="21"/>
  <c r="KL15" i="21"/>
  <c r="CH15" i="21"/>
  <c r="CO14" i="21"/>
  <c r="KQ14" i="21"/>
  <c r="CN14" i="21"/>
  <c r="KP14" i="21"/>
  <c r="CM14" i="21"/>
  <c r="KO14" i="21"/>
  <c r="CJ14" i="21"/>
  <c r="KL14" i="21"/>
  <c r="CH14" i="21"/>
  <c r="CO13" i="21"/>
  <c r="KQ13" i="21"/>
  <c r="CN13" i="21"/>
  <c r="KP13" i="21"/>
  <c r="CM13" i="21"/>
  <c r="KO13" i="21"/>
  <c r="CJ13" i="21"/>
  <c r="KL13" i="21"/>
  <c r="CO12" i="21"/>
  <c r="CN12" i="21"/>
  <c r="KP12" i="21"/>
  <c r="CM12" i="21"/>
  <c r="KO12" i="21"/>
  <c r="CJ12" i="21"/>
  <c r="KL12" i="21"/>
  <c r="CO10" i="21"/>
  <c r="KQ10" i="21"/>
  <c r="CN10" i="21"/>
  <c r="KP10" i="21"/>
  <c r="CM10" i="21"/>
  <c r="KO10" i="21"/>
  <c r="CJ10" i="21"/>
  <c r="KL10" i="21"/>
  <c r="CB57" i="21"/>
  <c r="BZ57" i="21"/>
  <c r="BY57" i="21"/>
  <c r="BX57" i="21"/>
  <c r="BW57" i="21"/>
  <c r="BV57" i="21"/>
  <c r="BU57" i="21"/>
  <c r="BT57" i="21"/>
  <c r="BS57" i="21"/>
  <c r="BR57" i="21"/>
  <c r="BQ57" i="21"/>
  <c r="BP57" i="21"/>
  <c r="BO57" i="21"/>
  <c r="BN57" i="21"/>
  <c r="CL10" i="34"/>
  <c r="KN10" i="34"/>
  <c r="CJ10" i="34"/>
  <c r="KL10" i="34"/>
  <c r="CL9" i="34"/>
  <c r="KN9" i="34"/>
  <c r="CJ9" i="34"/>
  <c r="KL9" i="34"/>
  <c r="CN10" i="35"/>
  <c r="KP10" i="35"/>
  <c r="CM10" i="35"/>
  <c r="CL10" i="35"/>
  <c r="KN10" i="35"/>
  <c r="CH10" i="35"/>
  <c r="KJ10" i="35"/>
  <c r="CO10" i="32"/>
  <c r="KQ10" i="32"/>
  <c r="CN10" i="32"/>
  <c r="KP10" i="32"/>
  <c r="CM10" i="32"/>
  <c r="CL10" i="32"/>
  <c r="KN10" i="32"/>
  <c r="CH10" i="32"/>
  <c r="KJ10" i="32"/>
  <c r="CO32" i="31"/>
  <c r="KQ32" i="31"/>
  <c r="CN32" i="31"/>
  <c r="KP32" i="31"/>
  <c r="CM32" i="31"/>
  <c r="KO32" i="31"/>
  <c r="CL32" i="31"/>
  <c r="KN32" i="31"/>
  <c r="CJ32" i="31"/>
  <c r="KL32" i="31"/>
  <c r="CH32" i="31"/>
  <c r="KJ32" i="31"/>
  <c r="CO31" i="31"/>
  <c r="KQ31" i="31"/>
  <c r="CN31" i="31"/>
  <c r="KP31" i="31"/>
  <c r="CM31" i="31"/>
  <c r="KO31" i="31"/>
  <c r="CL31" i="31"/>
  <c r="KN31" i="31"/>
  <c r="CJ31" i="31"/>
  <c r="KL31" i="31"/>
  <c r="CH31" i="31"/>
  <c r="KJ31" i="31"/>
  <c r="CO30" i="31"/>
  <c r="KQ30" i="31"/>
  <c r="CN30" i="31"/>
  <c r="KP30" i="31"/>
  <c r="CM30" i="31"/>
  <c r="KO30" i="31"/>
  <c r="CL30" i="31"/>
  <c r="KN30" i="31"/>
  <c r="CJ30" i="31"/>
  <c r="KL30" i="31"/>
  <c r="CH30" i="31"/>
  <c r="KJ30" i="31"/>
  <c r="CO29" i="31"/>
  <c r="KQ29" i="31"/>
  <c r="CN29" i="31"/>
  <c r="KP29" i="31"/>
  <c r="CM29" i="31"/>
  <c r="KO29" i="31"/>
  <c r="CJ29" i="31"/>
  <c r="KL29" i="31"/>
  <c r="CH29" i="31"/>
  <c r="KJ29" i="31"/>
  <c r="CO28" i="31"/>
  <c r="KQ28" i="31"/>
  <c r="CN28" i="31"/>
  <c r="KP28" i="31"/>
  <c r="CM28" i="31"/>
  <c r="CL28" i="31"/>
  <c r="KN28" i="31"/>
  <c r="CJ28" i="31"/>
  <c r="KL28" i="31"/>
  <c r="CH28" i="31"/>
  <c r="KJ28" i="31"/>
  <c r="CO27" i="31"/>
  <c r="KQ27" i="31"/>
  <c r="CN27" i="31"/>
  <c r="KP27" i="31"/>
  <c r="CM27" i="31"/>
  <c r="KO27" i="31"/>
  <c r="CL27" i="31"/>
  <c r="KN27" i="31"/>
  <c r="CJ27" i="31"/>
  <c r="KL27" i="31"/>
  <c r="CH27" i="31"/>
  <c r="KJ27" i="31"/>
  <c r="CO26" i="31"/>
  <c r="KQ26" i="31"/>
  <c r="CN26" i="31"/>
  <c r="KP26" i="31"/>
  <c r="CM26" i="31"/>
  <c r="KO26" i="31"/>
  <c r="CL26" i="31"/>
  <c r="KN26" i="31"/>
  <c r="CJ26" i="31"/>
  <c r="KL26" i="31"/>
  <c r="CH26" i="31"/>
  <c r="KJ26" i="31"/>
  <c r="CO25" i="31"/>
  <c r="KQ25" i="31"/>
  <c r="CN25" i="31"/>
  <c r="KP25" i="31"/>
  <c r="CM25" i="31"/>
  <c r="KO25" i="31"/>
  <c r="CL25" i="31"/>
  <c r="KN25" i="31"/>
  <c r="CJ25" i="31"/>
  <c r="KL25" i="31"/>
  <c r="CH25" i="31"/>
  <c r="KJ25" i="31"/>
  <c r="CO24" i="31"/>
  <c r="KQ24" i="31"/>
  <c r="CN24" i="31"/>
  <c r="KP24" i="31"/>
  <c r="CM24" i="31"/>
  <c r="KO24" i="31"/>
  <c r="CL24" i="31"/>
  <c r="KN24" i="31"/>
  <c r="CJ24" i="31"/>
  <c r="KL24" i="31"/>
  <c r="CH24" i="31"/>
  <c r="KJ24" i="31"/>
  <c r="CO23" i="31"/>
  <c r="KQ23" i="31"/>
  <c r="CN23" i="31"/>
  <c r="CM23" i="31"/>
  <c r="KO23" i="31"/>
  <c r="CL23" i="31"/>
  <c r="KN23" i="31"/>
  <c r="CJ23" i="31"/>
  <c r="KL23" i="31"/>
  <c r="CH23" i="31"/>
  <c r="KJ23" i="31"/>
  <c r="CO21" i="31"/>
  <c r="KQ21" i="31"/>
  <c r="CN21" i="31"/>
  <c r="KP21" i="31"/>
  <c r="CM21" i="31"/>
  <c r="KO21" i="31"/>
  <c r="CL21" i="31"/>
  <c r="KN21" i="31"/>
  <c r="CJ21" i="31"/>
  <c r="KL21" i="31"/>
  <c r="CH21" i="31"/>
  <c r="KJ21" i="31"/>
  <c r="CO20" i="31"/>
  <c r="KQ20" i="31"/>
  <c r="CN20" i="31"/>
  <c r="KP20" i="31"/>
  <c r="CM20" i="31"/>
  <c r="KO20" i="31"/>
  <c r="CL20" i="31"/>
  <c r="KN20" i="31"/>
  <c r="CJ20" i="31"/>
  <c r="KL20" i="31"/>
  <c r="CH20" i="31"/>
  <c r="KJ20" i="31"/>
  <c r="CO19" i="31"/>
  <c r="KQ19" i="31"/>
  <c r="CN19" i="31"/>
  <c r="KP19" i="31"/>
  <c r="CM19" i="31"/>
  <c r="KO19" i="31"/>
  <c r="CL19" i="31"/>
  <c r="KN19" i="31"/>
  <c r="CJ19" i="31"/>
  <c r="KL19" i="31"/>
  <c r="CH19" i="31"/>
  <c r="KJ19" i="31"/>
  <c r="CO18" i="31"/>
  <c r="KQ18" i="31"/>
  <c r="CN18" i="31"/>
  <c r="KP18" i="31"/>
  <c r="CM18" i="31"/>
  <c r="KO18" i="31"/>
  <c r="CM9" i="31"/>
  <c r="KO9" i="31"/>
  <c r="CM10" i="31"/>
  <c r="KO10" i="31"/>
  <c r="CM11" i="31"/>
  <c r="KO11" i="31"/>
  <c r="CM12" i="31"/>
  <c r="KO12" i="31"/>
  <c r="CM13" i="31"/>
  <c r="KO13" i="31"/>
  <c r="CM14" i="31"/>
  <c r="KO14" i="31"/>
  <c r="CM15" i="31"/>
  <c r="KO15" i="31"/>
  <c r="CM16" i="31"/>
  <c r="KO16" i="31"/>
  <c r="CM17" i="31"/>
  <c r="KO17" i="31"/>
  <c r="CL18" i="31"/>
  <c r="KN18" i="31"/>
  <c r="CJ18" i="31"/>
  <c r="KL18" i="31"/>
  <c r="CH18" i="31"/>
  <c r="KJ18" i="31"/>
  <c r="CO17" i="31"/>
  <c r="KQ17" i="31"/>
  <c r="CN17" i="31"/>
  <c r="KP17" i="31"/>
  <c r="CN9" i="31"/>
  <c r="KP9" i="31"/>
  <c r="CN10" i="31"/>
  <c r="KP10" i="31"/>
  <c r="CN11" i="31"/>
  <c r="KP11" i="31"/>
  <c r="CN12" i="31"/>
  <c r="KP12" i="31"/>
  <c r="CN13" i="31"/>
  <c r="KP13" i="31"/>
  <c r="CN14" i="31"/>
  <c r="KP14" i="31"/>
  <c r="CN15" i="31"/>
  <c r="CN16" i="31"/>
  <c r="KP16" i="31"/>
  <c r="CL17" i="31"/>
  <c r="KN17" i="31"/>
  <c r="CJ17" i="31"/>
  <c r="KL17" i="31"/>
  <c r="CH17" i="31"/>
  <c r="KJ17" i="31"/>
  <c r="CO16" i="31"/>
  <c r="KQ16" i="31"/>
  <c r="CL16" i="31"/>
  <c r="KN16" i="31"/>
  <c r="CJ16" i="31"/>
  <c r="KL16" i="31"/>
  <c r="CH16" i="31"/>
  <c r="KJ16" i="31"/>
  <c r="CO15" i="31"/>
  <c r="KQ15" i="31"/>
  <c r="CL15" i="31"/>
  <c r="KN15" i="31"/>
  <c r="CJ15" i="31"/>
  <c r="KL15" i="31"/>
  <c r="CH15" i="31"/>
  <c r="KJ15" i="31"/>
  <c r="CO14" i="31"/>
  <c r="KQ14" i="31"/>
  <c r="CL14" i="31"/>
  <c r="KN14" i="31"/>
  <c r="CJ14" i="31"/>
  <c r="KL14" i="31"/>
  <c r="CO13" i="31"/>
  <c r="KQ13" i="31"/>
  <c r="CL13" i="31"/>
  <c r="KN13" i="31"/>
  <c r="CJ13" i="31"/>
  <c r="KL13" i="31"/>
  <c r="CO12" i="31"/>
  <c r="KQ12" i="31"/>
  <c r="CL12" i="31"/>
  <c r="KN12" i="31"/>
  <c r="CJ12" i="31"/>
  <c r="KL12" i="31"/>
  <c r="CH12" i="31"/>
  <c r="KJ12" i="31"/>
  <c r="CO11" i="31"/>
  <c r="KQ11" i="31"/>
  <c r="CL11" i="31"/>
  <c r="KN11" i="31"/>
  <c r="CJ11" i="31"/>
  <c r="KL11" i="31"/>
  <c r="CO10" i="31"/>
  <c r="KQ10" i="31"/>
  <c r="CL10" i="31"/>
  <c r="KN10" i="31"/>
  <c r="CL9" i="31"/>
  <c r="KN9" i="31"/>
  <c r="CL29" i="31"/>
  <c r="KN29" i="31"/>
  <c r="CH10" i="31"/>
  <c r="KJ10" i="31"/>
  <c r="CH9" i="31"/>
  <c r="CO9" i="31"/>
  <c r="KQ9" i="31"/>
  <c r="CJ9" i="31"/>
  <c r="KL9" i="31"/>
  <c r="CJ10" i="31"/>
  <c r="KL10" i="31"/>
  <c r="BZ60" i="31"/>
  <c r="BY60" i="31"/>
  <c r="BX60" i="31"/>
  <c r="BW60" i="31"/>
  <c r="BV60" i="31"/>
  <c r="BU60" i="31"/>
  <c r="BT60" i="31"/>
  <c r="BS60" i="31"/>
  <c r="BR60" i="31"/>
  <c r="BQ60" i="31"/>
  <c r="BP60" i="31"/>
  <c r="BO60" i="31"/>
  <c r="BN60" i="31"/>
  <c r="AJ11" i="22"/>
  <c r="Z12" i="22"/>
  <c r="Z10" i="22"/>
  <c r="Z9" i="22"/>
  <c r="AW9" i="22"/>
  <c r="AG62" i="31"/>
  <c r="AG63" i="31"/>
  <c r="AG64" i="31"/>
  <c r="AG65" i="31"/>
  <c r="BJ23" i="32"/>
  <c r="BF23" i="32"/>
  <c r="BJ22" i="32"/>
  <c r="BF22" i="32"/>
  <c r="BJ21" i="32"/>
  <c r="BF21" i="32"/>
  <c r="AG41" i="32"/>
  <c r="AG40" i="32"/>
  <c r="AG39" i="32"/>
  <c r="AG38" i="32"/>
  <c r="T17" i="34"/>
  <c r="Z13" i="34"/>
  <c r="Z14" i="34"/>
  <c r="Z15" i="34"/>
  <c r="Z24" i="34"/>
  <c r="Z25" i="34"/>
  <c r="Z27" i="34"/>
  <c r="Z28" i="34"/>
  <c r="Z30" i="34"/>
  <c r="Z33" i="34"/>
  <c r="Z34" i="34"/>
  <c r="Z35" i="34"/>
  <c r="Z36" i="34"/>
  <c r="Z37" i="34"/>
  <c r="Z38" i="34"/>
  <c r="Z39" i="34"/>
  <c r="Z41" i="34"/>
  <c r="Z42" i="34"/>
  <c r="Z43" i="34"/>
  <c r="Z46" i="34"/>
  <c r="Z49" i="34"/>
  <c r="Z55" i="34"/>
  <c r="W13" i="34"/>
  <c r="IU13" i="34"/>
  <c r="AF22" i="32"/>
  <c r="BE22" i="32"/>
  <c r="AN13" i="33"/>
  <c r="AN60" i="31"/>
  <c r="AN29" i="22"/>
  <c r="BJ55" i="34"/>
  <c r="BJ54" i="34"/>
  <c r="BJ53" i="34"/>
  <c r="BG53" i="34"/>
  <c r="IP53" i="34"/>
  <c r="BF53" i="34"/>
  <c r="BJ51" i="34"/>
  <c r="BG51" i="34"/>
  <c r="IP51" i="34"/>
  <c r="IQ51" i="34"/>
  <c r="BF51" i="34"/>
  <c r="BJ50" i="34"/>
  <c r="BF50" i="34"/>
  <c r="BJ49" i="34"/>
  <c r="BJ48" i="34"/>
  <c r="BJ47" i="34"/>
  <c r="BJ46" i="34"/>
  <c r="BJ45" i="34"/>
  <c r="BJ44" i="34"/>
  <c r="BJ43" i="34"/>
  <c r="BJ42" i="34"/>
  <c r="BJ41" i="34"/>
  <c r="BJ40" i="34"/>
  <c r="BJ39" i="34"/>
  <c r="BJ38" i="34"/>
  <c r="BJ37" i="34"/>
  <c r="BJ36" i="34"/>
  <c r="BJ35" i="34"/>
  <c r="BJ34" i="34"/>
  <c r="BJ33" i="34"/>
  <c r="BJ32" i="34"/>
  <c r="BJ31" i="34"/>
  <c r="BJ30" i="34"/>
  <c r="BJ29" i="34"/>
  <c r="BJ28" i="34"/>
  <c r="BJ27" i="34"/>
  <c r="BJ26" i="34"/>
  <c r="BJ25" i="34"/>
  <c r="BJ24" i="34"/>
  <c r="BJ23" i="34"/>
  <c r="BJ22" i="34"/>
  <c r="BJ21" i="34"/>
  <c r="BJ20" i="34"/>
  <c r="BJ9" i="34"/>
  <c r="BJ10" i="34"/>
  <c r="BJ11" i="34"/>
  <c r="BJ12" i="34"/>
  <c r="BJ13" i="34"/>
  <c r="BJ14" i="34"/>
  <c r="BJ15" i="34"/>
  <c r="BJ16" i="34"/>
  <c r="BJ17" i="34"/>
  <c r="BJ18" i="34"/>
  <c r="BJ19" i="34"/>
  <c r="BI9" i="34"/>
  <c r="BI10" i="34"/>
  <c r="BI11" i="34"/>
  <c r="BI12" i="34"/>
  <c r="BJ10" i="33"/>
  <c r="BJ9" i="33"/>
  <c r="BI10" i="33"/>
  <c r="BI9" i="33"/>
  <c r="BF10" i="33"/>
  <c r="BJ31" i="32"/>
  <c r="BJ30" i="32"/>
  <c r="BJ27" i="32"/>
  <c r="BJ26" i="32"/>
  <c r="BF26" i="32"/>
  <c r="BJ25" i="32"/>
  <c r="BG25" i="32"/>
  <c r="IP25" i="32"/>
  <c r="IO25" i="32"/>
  <c r="BF25" i="32"/>
  <c r="BJ24" i="32"/>
  <c r="BF24" i="32"/>
  <c r="BJ20" i="32"/>
  <c r="S20" i="32"/>
  <c r="U20" i="32"/>
  <c r="BF20" i="32"/>
  <c r="BJ19" i="32"/>
  <c r="BF19" i="32"/>
  <c r="BJ18" i="32"/>
  <c r="BJ17" i="32"/>
  <c r="BG17" i="32"/>
  <c r="IP17" i="32"/>
  <c r="BJ16" i="32"/>
  <c r="BF16" i="32"/>
  <c r="BJ15" i="32"/>
  <c r="BG15" i="32"/>
  <c r="S15" i="32"/>
  <c r="U15" i="32"/>
  <c r="BF15" i="32"/>
  <c r="BJ14" i="32"/>
  <c r="BF14" i="32"/>
  <c r="BJ13" i="32"/>
  <c r="S13" i="32"/>
  <c r="U13" i="32"/>
  <c r="BF13" i="32"/>
  <c r="BJ12" i="32"/>
  <c r="BG9" i="32"/>
  <c r="BG11" i="32"/>
  <c r="BJ11" i="32"/>
  <c r="BJ10" i="32"/>
  <c r="BJ32" i="31"/>
  <c r="BF32" i="31"/>
  <c r="BG32" i="31"/>
  <c r="IP32" i="31"/>
  <c r="BJ31" i="31"/>
  <c r="BG31" i="31"/>
  <c r="IP31" i="31"/>
  <c r="BF31" i="31"/>
  <c r="BJ30" i="31"/>
  <c r="BF30" i="31"/>
  <c r="BJ29" i="31"/>
  <c r="BJ9" i="31"/>
  <c r="BJ10" i="31"/>
  <c r="BJ11" i="31"/>
  <c r="BJ12" i="31"/>
  <c r="BJ13" i="31"/>
  <c r="BJ14" i="31"/>
  <c r="BJ15" i="31"/>
  <c r="BJ16" i="31"/>
  <c r="BJ17" i="31"/>
  <c r="BJ18" i="31"/>
  <c r="BJ19" i="31"/>
  <c r="BF19" i="31"/>
  <c r="BJ20" i="31"/>
  <c r="BJ21" i="31"/>
  <c r="BJ23" i="31"/>
  <c r="BJ24" i="31"/>
  <c r="BJ25" i="31"/>
  <c r="BJ26" i="31"/>
  <c r="BJ27" i="31"/>
  <c r="BJ28" i="31"/>
  <c r="BF29" i="31"/>
  <c r="S26" i="31"/>
  <c r="U26" i="31"/>
  <c r="BF26" i="31"/>
  <c r="S23" i="31"/>
  <c r="U23" i="31"/>
  <c r="BG23" i="31"/>
  <c r="S21" i="31"/>
  <c r="U21" i="31"/>
  <c r="BF21" i="31"/>
  <c r="S20" i="31"/>
  <c r="U20" i="31"/>
  <c r="BF20" i="31"/>
  <c r="S19" i="31"/>
  <c r="U19" i="31"/>
  <c r="S18" i="31"/>
  <c r="U18" i="31"/>
  <c r="BF18" i="31"/>
  <c r="S17" i="31"/>
  <c r="U17" i="31"/>
  <c r="BF17" i="31"/>
  <c r="S16" i="31"/>
  <c r="U16" i="31"/>
  <c r="BF16" i="31"/>
  <c r="S15" i="31"/>
  <c r="U15" i="31"/>
  <c r="BF15" i="31"/>
  <c r="S14" i="31"/>
  <c r="U14" i="31"/>
  <c r="BF14" i="31"/>
  <c r="S13" i="31"/>
  <c r="U13" i="31"/>
  <c r="BF13" i="31"/>
  <c r="S12" i="31"/>
  <c r="U12" i="31"/>
  <c r="BF12" i="31"/>
  <c r="S11" i="31"/>
  <c r="BF11" i="31"/>
  <c r="S10" i="31"/>
  <c r="U10" i="31"/>
  <c r="BF10" i="31"/>
  <c r="BJ12" i="22"/>
  <c r="BJ11" i="22"/>
  <c r="BG11" i="22"/>
  <c r="IP11" i="22"/>
  <c r="IQ11" i="22"/>
  <c r="BJ14" i="22"/>
  <c r="BJ13" i="22"/>
  <c r="BJ10" i="22"/>
  <c r="BG10" i="22"/>
  <c r="BJ42" i="21"/>
  <c r="BF42" i="21"/>
  <c r="BJ41" i="21"/>
  <c r="BF41" i="21"/>
  <c r="BJ40" i="21"/>
  <c r="BF40" i="21"/>
  <c r="BJ39" i="21"/>
  <c r="BJ38" i="21"/>
  <c r="BJ37" i="21"/>
  <c r="BJ36" i="21"/>
  <c r="BJ35" i="21"/>
  <c r="BF35" i="21"/>
  <c r="BJ34" i="21"/>
  <c r="BJ33" i="21"/>
  <c r="BF33" i="21"/>
  <c r="BJ32" i="21"/>
  <c r="BJ31" i="21"/>
  <c r="BJ30" i="21"/>
  <c r="BJ29" i="21"/>
  <c r="BJ28" i="21"/>
  <c r="BJ27" i="21"/>
  <c r="BF27" i="21"/>
  <c r="BJ26" i="21"/>
  <c r="BF26" i="21"/>
  <c r="BJ25" i="21"/>
  <c r="S25" i="21"/>
  <c r="U25" i="21"/>
  <c r="BF25" i="21"/>
  <c r="BJ24" i="21"/>
  <c r="S24" i="21"/>
  <c r="U24" i="21"/>
  <c r="BF24" i="21"/>
  <c r="BJ23" i="21"/>
  <c r="BF23" i="21"/>
  <c r="BJ22" i="21"/>
  <c r="S22" i="21"/>
  <c r="U22" i="21"/>
  <c r="BJ21" i="21"/>
  <c r="S21" i="21"/>
  <c r="U21" i="21"/>
  <c r="BF21" i="21"/>
  <c r="BJ20" i="21"/>
  <c r="S20" i="21"/>
  <c r="U20" i="21"/>
  <c r="BF20" i="21"/>
  <c r="BF13" i="21"/>
  <c r="BJ13" i="21"/>
  <c r="BF16" i="21"/>
  <c r="BJ16" i="21"/>
  <c r="BF18" i="21"/>
  <c r="BJ18" i="21"/>
  <c r="BF34" i="21"/>
  <c r="BF9" i="21"/>
  <c r="BG9" i="21"/>
  <c r="IP9" i="21"/>
  <c r="IO9" i="21"/>
  <c r="BJ9" i="21"/>
  <c r="BF10" i="21"/>
  <c r="BJ10" i="21"/>
  <c r="BF11" i="21"/>
  <c r="BJ11" i="21"/>
  <c r="BF12" i="21"/>
  <c r="BJ12" i="21"/>
  <c r="BF14" i="21"/>
  <c r="BJ14" i="21"/>
  <c r="BF15" i="21"/>
  <c r="BJ15" i="21"/>
  <c r="BF17" i="21"/>
  <c r="BJ17" i="21"/>
  <c r="BF19" i="21"/>
  <c r="BJ19" i="21"/>
  <c r="BF22" i="21"/>
  <c r="BF28" i="21"/>
  <c r="BF29" i="21"/>
  <c r="BF30" i="21"/>
  <c r="BF31" i="21"/>
  <c r="BF32" i="21"/>
  <c r="BF36" i="21"/>
  <c r="BF37" i="21"/>
  <c r="BF38" i="21"/>
  <c r="BF39" i="21"/>
  <c r="S19" i="21"/>
  <c r="U19" i="21"/>
  <c r="S18" i="21"/>
  <c r="U18" i="21"/>
  <c r="S17" i="21"/>
  <c r="U17" i="21"/>
  <c r="S16" i="21"/>
  <c r="U16" i="21"/>
  <c r="S15" i="21"/>
  <c r="U15" i="21"/>
  <c r="S14" i="21"/>
  <c r="U14" i="21"/>
  <c r="BJ9" i="22"/>
  <c r="BG9" i="31"/>
  <c r="IP9" i="31"/>
  <c r="BJ9" i="32"/>
  <c r="BF9" i="32"/>
  <c r="BF9" i="33"/>
  <c r="AM36" i="32"/>
  <c r="AL36" i="32"/>
  <c r="AI36" i="32"/>
  <c r="V36" i="32"/>
  <c r="N36" i="32"/>
  <c r="J36" i="32"/>
  <c r="F36" i="32"/>
  <c r="E36" i="32"/>
  <c r="AW31" i="32"/>
  <c r="AU31" i="32"/>
  <c r="AS31" i="32"/>
  <c r="AT31" i="32"/>
  <c r="AQ31" i="32"/>
  <c r="AR31" i="32"/>
  <c r="AP31" i="32"/>
  <c r="AJ31" i="32"/>
  <c r="AF31" i="32"/>
  <c r="BE31" i="32"/>
  <c r="S31" i="32"/>
  <c r="U31" i="32"/>
  <c r="T31" i="32"/>
  <c r="P31" i="32"/>
  <c r="L31" i="32"/>
  <c r="I31" i="32"/>
  <c r="H31" i="32"/>
  <c r="AW30" i="32"/>
  <c r="BA30" i="32"/>
  <c r="AU30" i="32"/>
  <c r="AV30" i="32"/>
  <c r="AS30" i="32"/>
  <c r="AT30" i="32"/>
  <c r="AS9" i="32"/>
  <c r="AT9" i="32"/>
  <c r="AS10" i="32"/>
  <c r="AT10" i="32"/>
  <c r="AS11" i="32"/>
  <c r="AT11" i="32"/>
  <c r="AS12" i="32"/>
  <c r="AT12" i="32"/>
  <c r="AS13" i="32"/>
  <c r="AT13" i="32"/>
  <c r="AS14" i="32"/>
  <c r="AT14" i="32"/>
  <c r="AS15" i="32"/>
  <c r="AT15" i="32"/>
  <c r="AS16" i="32"/>
  <c r="AT16" i="32"/>
  <c r="AS17" i="32"/>
  <c r="AT17" i="32"/>
  <c r="AS18" i="32"/>
  <c r="AT18" i="32"/>
  <c r="AS19" i="32"/>
  <c r="AT19" i="32"/>
  <c r="AS20" i="32"/>
  <c r="AT20" i="32"/>
  <c r="AS21" i="32"/>
  <c r="AS22" i="32"/>
  <c r="AS23" i="32"/>
  <c r="AS24" i="32"/>
  <c r="AT24" i="32"/>
  <c r="AS25" i="32"/>
  <c r="AT25" i="32"/>
  <c r="AS26" i="32"/>
  <c r="AT26" i="32"/>
  <c r="AS27" i="32"/>
  <c r="AT27" i="32"/>
  <c r="AQ30" i="32"/>
  <c r="AR30" i="32"/>
  <c r="AP30" i="32"/>
  <c r="AJ30" i="32"/>
  <c r="AF30" i="32"/>
  <c r="S30" i="32"/>
  <c r="U30" i="32"/>
  <c r="BF30" i="32"/>
  <c r="T30" i="32"/>
  <c r="P30" i="32"/>
  <c r="L30" i="32"/>
  <c r="I30" i="32"/>
  <c r="H30" i="32"/>
  <c r="AG18" i="33"/>
  <c r="AG17" i="33"/>
  <c r="AG15" i="33"/>
  <c r="AG16" i="33"/>
  <c r="AG34" i="22"/>
  <c r="AG33" i="22"/>
  <c r="AG32" i="22"/>
  <c r="AG31" i="22"/>
  <c r="AM70" i="35"/>
  <c r="AL70" i="35"/>
  <c r="AM13" i="33"/>
  <c r="AL13" i="33"/>
  <c r="AM60" i="31"/>
  <c r="AL60" i="31"/>
  <c r="AM29" i="22"/>
  <c r="AL29" i="22"/>
  <c r="AM57" i="21"/>
  <c r="AL57" i="21"/>
  <c r="AF53" i="34"/>
  <c r="BE53" i="34"/>
  <c r="AF51" i="34"/>
  <c r="BE51" i="34"/>
  <c r="S51" i="34"/>
  <c r="U51" i="34"/>
  <c r="AF50" i="34"/>
  <c r="BE50" i="34"/>
  <c r="AF49" i="34"/>
  <c r="BE49" i="34"/>
  <c r="AF48" i="34"/>
  <c r="BE48" i="34"/>
  <c r="AF47" i="34"/>
  <c r="BE47" i="34"/>
  <c r="AF46" i="34"/>
  <c r="BE46" i="34"/>
  <c r="AF45" i="34"/>
  <c r="BE45" i="34"/>
  <c r="AF44" i="34"/>
  <c r="BE44" i="34"/>
  <c r="AF43" i="34"/>
  <c r="BE43" i="34"/>
  <c r="AF42" i="34"/>
  <c r="BE42" i="34"/>
  <c r="AF41" i="34"/>
  <c r="BE41" i="34"/>
  <c r="AF40" i="34"/>
  <c r="BE40" i="34"/>
  <c r="AF39" i="34"/>
  <c r="BE39" i="34"/>
  <c r="AF38" i="34"/>
  <c r="BE38" i="34"/>
  <c r="AF37" i="34"/>
  <c r="BE37" i="34"/>
  <c r="AF36" i="34"/>
  <c r="BE36" i="34"/>
  <c r="AF35" i="34"/>
  <c r="BE35" i="34"/>
  <c r="AF34" i="34"/>
  <c r="BE34" i="34"/>
  <c r="AF33" i="34"/>
  <c r="BE33" i="34"/>
  <c r="AF32" i="34"/>
  <c r="BE32" i="34"/>
  <c r="AF31" i="34"/>
  <c r="BE31" i="34"/>
  <c r="AF30" i="34"/>
  <c r="BE30" i="34"/>
  <c r="AF29" i="34"/>
  <c r="BE29" i="34"/>
  <c r="AF28" i="34"/>
  <c r="BE28" i="34"/>
  <c r="AF27" i="34"/>
  <c r="BE27" i="34"/>
  <c r="AF26" i="34"/>
  <c r="BE26" i="34"/>
  <c r="AF25" i="34"/>
  <c r="BE25" i="34"/>
  <c r="AF24" i="34"/>
  <c r="BE24" i="34"/>
  <c r="AF23" i="34"/>
  <c r="BE23" i="34"/>
  <c r="AF22" i="34"/>
  <c r="BE22" i="34"/>
  <c r="AF21" i="34"/>
  <c r="BE21" i="34"/>
  <c r="AF20" i="34"/>
  <c r="BE20" i="34"/>
  <c r="AF19" i="34"/>
  <c r="BE19" i="34"/>
  <c r="AF18" i="34"/>
  <c r="BE18" i="34"/>
  <c r="AF17" i="34"/>
  <c r="BE17" i="34"/>
  <c r="AF16" i="34"/>
  <c r="BE16" i="34"/>
  <c r="AF15" i="34"/>
  <c r="BE15" i="34"/>
  <c r="AF14" i="34"/>
  <c r="BE14" i="34"/>
  <c r="AF13" i="34"/>
  <c r="AF12" i="34"/>
  <c r="AF11" i="34"/>
  <c r="AF27" i="32"/>
  <c r="BE27" i="32"/>
  <c r="AF26" i="32"/>
  <c r="BE26" i="32"/>
  <c r="S26" i="32"/>
  <c r="U26" i="32"/>
  <c r="AF25" i="32"/>
  <c r="BE25" i="32"/>
  <c r="S25" i="32"/>
  <c r="U25" i="32"/>
  <c r="AF24" i="32"/>
  <c r="BE24" i="32"/>
  <c r="S24" i="32"/>
  <c r="U24" i="32"/>
  <c r="AF23" i="32"/>
  <c r="BE23" i="32"/>
  <c r="AF21" i="32"/>
  <c r="BE21" i="32"/>
  <c r="AF9" i="32"/>
  <c r="BE9" i="32"/>
  <c r="AF10" i="32"/>
  <c r="AF11" i="32"/>
  <c r="BE11" i="32"/>
  <c r="AF12" i="32"/>
  <c r="BE12" i="32"/>
  <c r="AF13" i="32"/>
  <c r="BE13" i="32"/>
  <c r="AF14" i="32"/>
  <c r="BE14" i="32"/>
  <c r="AF15" i="32"/>
  <c r="BE15" i="32"/>
  <c r="AF16" i="32"/>
  <c r="BE16" i="32"/>
  <c r="AF17" i="32"/>
  <c r="BE17" i="32"/>
  <c r="AF18" i="32"/>
  <c r="BE18" i="32"/>
  <c r="AF19" i="32"/>
  <c r="BE19" i="32"/>
  <c r="AF20" i="32"/>
  <c r="BE20" i="32"/>
  <c r="S16" i="32"/>
  <c r="U16" i="32"/>
  <c r="AF32" i="31"/>
  <c r="BE32" i="31"/>
  <c r="AF31" i="31"/>
  <c r="BE31" i="31"/>
  <c r="AF30" i="31"/>
  <c r="BE30" i="31"/>
  <c r="AF29" i="31"/>
  <c r="BE29" i="31"/>
  <c r="AF28" i="31"/>
  <c r="BE28" i="31"/>
  <c r="AF27" i="31"/>
  <c r="AF26" i="31"/>
  <c r="BE26" i="31"/>
  <c r="AF25" i="31"/>
  <c r="BE25" i="31"/>
  <c r="AF24" i="31"/>
  <c r="BE24" i="31"/>
  <c r="AF23" i="31"/>
  <c r="BE23" i="31"/>
  <c r="AF21" i="31"/>
  <c r="BE21" i="31"/>
  <c r="AF20" i="31"/>
  <c r="BE20" i="31"/>
  <c r="AF19" i="31"/>
  <c r="BE19" i="31"/>
  <c r="AF18" i="31"/>
  <c r="BE18" i="31"/>
  <c r="AF17" i="31"/>
  <c r="AF16" i="31"/>
  <c r="BE16" i="31"/>
  <c r="AF15" i="31"/>
  <c r="BE15" i="31"/>
  <c r="AF14" i="31"/>
  <c r="BE14" i="31"/>
  <c r="AF13" i="31"/>
  <c r="BE13" i="31"/>
  <c r="AF12" i="31"/>
  <c r="BE12" i="31"/>
  <c r="AF11" i="31"/>
  <c r="BE11" i="31"/>
  <c r="AF12" i="22"/>
  <c r="BE12" i="22"/>
  <c r="AF11" i="22"/>
  <c r="BE11" i="22"/>
  <c r="AF9" i="22"/>
  <c r="BE9" i="22"/>
  <c r="AF10" i="22"/>
  <c r="BE10" i="22"/>
  <c r="AF13" i="22"/>
  <c r="BE13" i="22"/>
  <c r="AF14" i="22"/>
  <c r="BE14" i="22"/>
  <c r="AF42" i="21"/>
  <c r="BE42" i="21"/>
  <c r="AF41" i="21"/>
  <c r="BE41" i="21"/>
  <c r="AF40" i="21"/>
  <c r="BE40" i="21"/>
  <c r="AF39" i="21"/>
  <c r="BE39" i="21"/>
  <c r="AF38" i="21"/>
  <c r="BE38" i="21"/>
  <c r="S38" i="21"/>
  <c r="U38" i="21"/>
  <c r="AF37" i="21"/>
  <c r="BE37" i="21"/>
  <c r="AF36" i="21"/>
  <c r="BE36" i="21"/>
  <c r="AF35" i="21"/>
  <c r="BE35" i="21"/>
  <c r="AF34" i="21"/>
  <c r="BE34" i="21"/>
  <c r="AF33" i="21"/>
  <c r="BE33" i="21"/>
  <c r="AF32" i="21"/>
  <c r="BE32" i="21"/>
  <c r="AF31" i="21"/>
  <c r="BE31" i="21"/>
  <c r="AF30" i="21"/>
  <c r="BE30" i="21"/>
  <c r="AF29" i="21"/>
  <c r="BE29" i="21"/>
  <c r="AF28" i="21"/>
  <c r="BE28" i="21"/>
  <c r="AF27" i="21"/>
  <c r="BE27" i="21"/>
  <c r="AF26" i="21"/>
  <c r="BE26" i="21"/>
  <c r="AF25" i="21"/>
  <c r="BE25" i="21"/>
  <c r="AF24" i="21"/>
  <c r="BE24" i="21"/>
  <c r="AF9" i="21"/>
  <c r="BE9" i="21"/>
  <c r="AF10" i="21"/>
  <c r="BE10" i="21"/>
  <c r="AF11" i="21"/>
  <c r="BE11" i="21"/>
  <c r="AF12" i="21"/>
  <c r="BE12" i="21"/>
  <c r="AF13" i="21"/>
  <c r="BE13" i="21"/>
  <c r="AF14" i="21"/>
  <c r="BE14" i="21"/>
  <c r="AF15" i="21"/>
  <c r="BE15" i="21"/>
  <c r="AF16" i="21"/>
  <c r="BE16" i="21"/>
  <c r="AF17" i="21"/>
  <c r="BE17" i="21"/>
  <c r="AF18" i="21"/>
  <c r="BE18" i="21"/>
  <c r="AF19" i="21"/>
  <c r="AF20" i="21"/>
  <c r="BE20" i="21"/>
  <c r="AF21" i="21"/>
  <c r="BE21" i="21"/>
  <c r="AF22" i="21"/>
  <c r="BE22" i="21"/>
  <c r="AF23" i="21"/>
  <c r="BE23" i="21"/>
  <c r="AF10" i="31"/>
  <c r="BE10" i="31"/>
  <c r="AF9" i="31"/>
  <c r="BE9" i="31"/>
  <c r="AF10" i="33"/>
  <c r="AF9" i="33"/>
  <c r="BE9" i="33"/>
  <c r="AF10" i="34"/>
  <c r="BE10" i="34"/>
  <c r="AF9" i="34"/>
  <c r="BE9" i="34"/>
  <c r="F70" i="35"/>
  <c r="D70" i="35"/>
  <c r="J70" i="35"/>
  <c r="AI70" i="35"/>
  <c r="V70" i="35"/>
  <c r="N70" i="35"/>
  <c r="E70" i="35"/>
  <c r="AJ59" i="35"/>
  <c r="X59" i="35"/>
  <c r="T59" i="35"/>
  <c r="P59" i="35"/>
  <c r="L59" i="35"/>
  <c r="H59" i="35"/>
  <c r="AI67" i="34"/>
  <c r="AJ55" i="34"/>
  <c r="X55" i="34"/>
  <c r="T55" i="34"/>
  <c r="S55" i="34"/>
  <c r="U55" i="34"/>
  <c r="BF55" i="34"/>
  <c r="P55" i="34"/>
  <c r="L55" i="34"/>
  <c r="H55" i="34"/>
  <c r="AJ23" i="32"/>
  <c r="AO23" i="32"/>
  <c r="AP23" i="32"/>
  <c r="AQ23" i="32"/>
  <c r="AQ9" i="32"/>
  <c r="AR9" i="32"/>
  <c r="AQ10" i="32"/>
  <c r="AR10" i="32"/>
  <c r="AQ11" i="32"/>
  <c r="AR11" i="32"/>
  <c r="AQ12" i="32"/>
  <c r="AR12" i="32"/>
  <c r="AQ13" i="32"/>
  <c r="AR13" i="32"/>
  <c r="AQ14" i="32"/>
  <c r="AR14" i="32"/>
  <c r="AQ15" i="32"/>
  <c r="AR15" i="32"/>
  <c r="AQ16" i="32"/>
  <c r="AR16" i="32"/>
  <c r="AQ17" i="32"/>
  <c r="AR17" i="32"/>
  <c r="AQ18" i="32"/>
  <c r="AR18" i="32"/>
  <c r="AQ19" i="32"/>
  <c r="AR19" i="32"/>
  <c r="AQ20" i="32"/>
  <c r="AR20" i="32"/>
  <c r="AQ21" i="32"/>
  <c r="AR21" i="32"/>
  <c r="AQ22" i="32"/>
  <c r="AQ24" i="32"/>
  <c r="AR24" i="32"/>
  <c r="AQ25" i="32"/>
  <c r="AR25" i="32"/>
  <c r="AQ26" i="32"/>
  <c r="AR26" i="32"/>
  <c r="AQ27" i="32"/>
  <c r="AR27" i="32"/>
  <c r="AU23" i="32"/>
  <c r="S23" i="32"/>
  <c r="U23" i="32"/>
  <c r="AW23" i="32"/>
  <c r="L23" i="32"/>
  <c r="P23" i="32"/>
  <c r="T23" i="32"/>
  <c r="H23" i="32"/>
  <c r="AU9" i="32"/>
  <c r="AV9" i="32"/>
  <c r="AW9" i="32"/>
  <c r="AU10" i="32"/>
  <c r="AV10" i="32"/>
  <c r="AW10" i="32"/>
  <c r="AU11" i="32"/>
  <c r="AV11" i="32"/>
  <c r="AW11" i="32"/>
  <c r="BA11" i="32"/>
  <c r="AU12" i="32"/>
  <c r="AV12" i="32"/>
  <c r="AW12" i="32"/>
  <c r="AX12" i="32"/>
  <c r="AU13" i="32"/>
  <c r="AV13" i="32"/>
  <c r="AW13" i="32"/>
  <c r="AU14" i="32"/>
  <c r="AW14" i="32"/>
  <c r="AU15" i="32"/>
  <c r="AV15" i="32"/>
  <c r="AW15" i="32"/>
  <c r="AU17" i="32"/>
  <c r="AV17" i="32"/>
  <c r="AW17" i="32"/>
  <c r="AU18" i="32"/>
  <c r="AV18" i="32"/>
  <c r="AW18" i="32"/>
  <c r="AX18" i="32"/>
  <c r="AU19" i="32"/>
  <c r="AV19" i="32"/>
  <c r="AW19" i="32"/>
  <c r="AX19" i="32"/>
  <c r="AU20" i="32"/>
  <c r="AW20" i="32"/>
  <c r="AU16" i="32"/>
  <c r="AW16" i="32"/>
  <c r="AU21" i="32"/>
  <c r="AW21" i="32"/>
  <c r="BA21" i="32"/>
  <c r="AU22" i="32"/>
  <c r="AW22" i="32"/>
  <c r="AU24" i="32"/>
  <c r="AV24" i="32"/>
  <c r="AW24" i="32"/>
  <c r="BA24" i="32"/>
  <c r="AU25" i="32"/>
  <c r="AW25" i="32"/>
  <c r="BA25" i="32"/>
  <c r="AU26" i="32"/>
  <c r="AW26" i="32"/>
  <c r="BA26" i="32"/>
  <c r="AU27" i="32"/>
  <c r="AW27" i="32"/>
  <c r="AO11" i="32"/>
  <c r="AP11" i="32"/>
  <c r="AO12" i="32"/>
  <c r="AP12" i="32"/>
  <c r="AO13" i="32"/>
  <c r="AP13" i="32"/>
  <c r="AO9" i="32"/>
  <c r="AP9" i="32"/>
  <c r="AO10" i="32"/>
  <c r="AP10" i="32"/>
  <c r="AO14" i="32"/>
  <c r="AP14" i="32"/>
  <c r="AO15" i="32"/>
  <c r="AP15" i="32"/>
  <c r="AO16" i="32"/>
  <c r="AP16" i="32"/>
  <c r="AO17" i="32"/>
  <c r="AP17" i="32"/>
  <c r="AO18" i="32"/>
  <c r="AP18" i="32"/>
  <c r="AO19" i="32"/>
  <c r="AP19" i="32"/>
  <c r="AO20" i="32"/>
  <c r="AP20" i="32"/>
  <c r="AO21" i="32"/>
  <c r="AP21" i="32"/>
  <c r="AO22" i="32"/>
  <c r="AP22" i="32"/>
  <c r="AO24" i="32"/>
  <c r="AP24" i="32"/>
  <c r="AO25" i="32"/>
  <c r="AP25" i="32"/>
  <c r="AO26" i="32"/>
  <c r="AP26" i="32"/>
  <c r="AP27" i="32"/>
  <c r="Q16" i="39"/>
  <c r="Q24" i="39"/>
  <c r="Q40" i="39"/>
  <c r="Q16" i="21"/>
  <c r="Q19" i="21"/>
  <c r="Q22" i="21"/>
  <c r="Q32" i="21"/>
  <c r="Q33" i="21"/>
  <c r="Q34" i="21"/>
  <c r="Q35" i="21"/>
  <c r="E57" i="21"/>
  <c r="AQ14" i="22"/>
  <c r="E60" i="31"/>
  <c r="Q26" i="34"/>
  <c r="Q20" i="35"/>
  <c r="Q24" i="35"/>
  <c r="Q34" i="35"/>
  <c r="Q36" i="35"/>
  <c r="Q39" i="35"/>
  <c r="Q48" i="35"/>
  <c r="Q49" i="35"/>
  <c r="Q54" i="35"/>
  <c r="Q57" i="35"/>
  <c r="N57" i="21"/>
  <c r="D57" i="21"/>
  <c r="N29" i="22"/>
  <c r="D29" i="22"/>
  <c r="N60" i="31"/>
  <c r="N13" i="33"/>
  <c r="M45" i="39"/>
  <c r="M53" i="39"/>
  <c r="M9" i="21"/>
  <c r="M16" i="21"/>
  <c r="M20" i="21"/>
  <c r="M30" i="21"/>
  <c r="M36" i="21"/>
  <c r="M13" i="22"/>
  <c r="AS14" i="22"/>
  <c r="AS9" i="22"/>
  <c r="AS10" i="22"/>
  <c r="AS11" i="22"/>
  <c r="AT11" i="22"/>
  <c r="AS12" i="22"/>
  <c r="AT12" i="22"/>
  <c r="AS13" i="22"/>
  <c r="M9" i="33"/>
  <c r="M10" i="33"/>
  <c r="M12" i="34"/>
  <c r="M25" i="34"/>
  <c r="M26" i="34"/>
  <c r="M35" i="34"/>
  <c r="M17" i="35"/>
  <c r="M25" i="35"/>
  <c r="M26" i="35"/>
  <c r="M31" i="35"/>
  <c r="M32" i="35"/>
  <c r="M33" i="35"/>
  <c r="M42" i="35"/>
  <c r="M49" i="35"/>
  <c r="J57" i="21"/>
  <c r="J29" i="22"/>
  <c r="J60" i="31"/>
  <c r="J13" i="33"/>
  <c r="D13" i="33"/>
  <c r="AQ9" i="22"/>
  <c r="AQ10" i="22"/>
  <c r="AQ11" i="22"/>
  <c r="AQ12" i="22"/>
  <c r="AR12" i="22"/>
  <c r="AQ13" i="22"/>
  <c r="AR13" i="22"/>
  <c r="AJ9" i="22"/>
  <c r="AJ10" i="22"/>
  <c r="AJ13" i="22"/>
  <c r="AJ14" i="22"/>
  <c r="W10" i="22"/>
  <c r="W11" i="22"/>
  <c r="E29" i="22"/>
  <c r="S9" i="22"/>
  <c r="U9" i="22"/>
  <c r="BF9" i="22"/>
  <c r="S10" i="22"/>
  <c r="U10" i="22"/>
  <c r="S14" i="22"/>
  <c r="S11" i="22"/>
  <c r="S12" i="22"/>
  <c r="U12" i="22"/>
  <c r="S13" i="22"/>
  <c r="BF10" i="22"/>
  <c r="BF13" i="22"/>
  <c r="BF14" i="22"/>
  <c r="AJ22" i="32"/>
  <c r="S22" i="32"/>
  <c r="T22" i="32"/>
  <c r="L22" i="32"/>
  <c r="AJ21" i="32"/>
  <c r="S21" i="32"/>
  <c r="U21" i="32"/>
  <c r="T21" i="32"/>
  <c r="L21" i="32"/>
  <c r="P22" i="32"/>
  <c r="P21" i="32"/>
  <c r="H22" i="32"/>
  <c r="H21" i="32"/>
  <c r="AU12" i="22"/>
  <c r="AV12" i="22"/>
  <c r="AW12" i="22"/>
  <c r="AO12" i="22"/>
  <c r="AP12" i="22"/>
  <c r="AW11" i="22"/>
  <c r="AU11" i="22"/>
  <c r="AO11" i="22"/>
  <c r="AP11" i="22"/>
  <c r="AW14" i="22"/>
  <c r="BA14" i="22"/>
  <c r="AU14" i="22"/>
  <c r="AO14" i="22"/>
  <c r="AP14" i="22"/>
  <c r="AW13" i="22"/>
  <c r="AU13" i="22"/>
  <c r="AO13" i="22"/>
  <c r="AP13" i="22"/>
  <c r="AO9" i="22"/>
  <c r="AP9" i="22"/>
  <c r="AO10" i="22"/>
  <c r="AP10" i="22"/>
  <c r="AW10" i="22"/>
  <c r="AU10" i="22"/>
  <c r="AU9" i="22"/>
  <c r="AJ42" i="35"/>
  <c r="AJ43" i="35"/>
  <c r="AJ44" i="35"/>
  <c r="AJ45" i="35"/>
  <c r="AJ46" i="35"/>
  <c r="AJ47" i="35"/>
  <c r="AJ48" i="35"/>
  <c r="AJ49" i="35"/>
  <c r="AJ50" i="35"/>
  <c r="AJ52" i="35"/>
  <c r="AJ53" i="35"/>
  <c r="AJ54" i="35"/>
  <c r="AJ55" i="35"/>
  <c r="AJ21" i="35"/>
  <c r="AJ58" i="35"/>
  <c r="AJ57" i="35"/>
  <c r="AJ40" i="35"/>
  <c r="AJ39" i="35"/>
  <c r="AJ38" i="35"/>
  <c r="AJ37" i="35"/>
  <c r="AJ36" i="35"/>
  <c r="AJ35" i="35"/>
  <c r="AJ34" i="35"/>
  <c r="AJ33" i="35"/>
  <c r="AJ32" i="35"/>
  <c r="AJ31" i="35"/>
  <c r="AJ30" i="35"/>
  <c r="AJ29" i="35"/>
  <c r="AJ28" i="35"/>
  <c r="AJ27" i="35"/>
  <c r="AJ26" i="35"/>
  <c r="AJ25" i="35"/>
  <c r="AJ24" i="35"/>
  <c r="AJ23" i="35"/>
  <c r="AJ22" i="35"/>
  <c r="AJ20" i="35"/>
  <c r="AJ19" i="35"/>
  <c r="AJ18" i="35"/>
  <c r="AJ17" i="35"/>
  <c r="AJ16" i="35"/>
  <c r="AJ15" i="35"/>
  <c r="AJ14" i="35"/>
  <c r="AJ13" i="35"/>
  <c r="AJ12" i="35"/>
  <c r="AJ9" i="35"/>
  <c r="AJ10" i="35"/>
  <c r="AJ11" i="35"/>
  <c r="AJ54" i="34"/>
  <c r="AJ53" i="34"/>
  <c r="AJ51" i="34"/>
  <c r="AJ50" i="34"/>
  <c r="AJ49" i="34"/>
  <c r="AJ48" i="34"/>
  <c r="AJ47" i="34"/>
  <c r="AJ46" i="34"/>
  <c r="AJ45" i="34"/>
  <c r="AJ44" i="34"/>
  <c r="AJ43" i="34"/>
  <c r="AJ42" i="34"/>
  <c r="AJ41" i="34"/>
  <c r="AJ40" i="34"/>
  <c r="AJ39" i="34"/>
  <c r="AJ38" i="34"/>
  <c r="AJ37" i="34"/>
  <c r="AJ36" i="34"/>
  <c r="AJ35" i="34"/>
  <c r="AJ34" i="34"/>
  <c r="AJ33" i="34"/>
  <c r="AJ32" i="34"/>
  <c r="AJ31" i="34"/>
  <c r="AJ30" i="34"/>
  <c r="AJ29" i="34"/>
  <c r="AJ28" i="34"/>
  <c r="AJ27" i="34"/>
  <c r="AJ26" i="34"/>
  <c r="AJ25" i="34"/>
  <c r="AJ24" i="34"/>
  <c r="AJ23" i="34"/>
  <c r="AJ22" i="34"/>
  <c r="AJ21" i="34"/>
  <c r="AJ20" i="34"/>
  <c r="AJ19" i="34"/>
  <c r="AJ18" i="34"/>
  <c r="AJ17" i="34"/>
  <c r="AJ16" i="34"/>
  <c r="AJ15" i="34"/>
  <c r="AJ14" i="34"/>
  <c r="AJ13" i="34"/>
  <c r="AJ12" i="34"/>
  <c r="AJ11" i="34"/>
  <c r="AJ9" i="34"/>
  <c r="AJ10" i="34"/>
  <c r="AI13" i="33"/>
  <c r="AJ10" i="33"/>
  <c r="AJ9" i="33"/>
  <c r="AJ27" i="32"/>
  <c r="AJ11" i="32"/>
  <c r="AJ12" i="32"/>
  <c r="AJ13" i="32"/>
  <c r="AJ14" i="32"/>
  <c r="AJ15" i="32"/>
  <c r="AJ16" i="32"/>
  <c r="AJ17" i="32"/>
  <c r="AJ18" i="32"/>
  <c r="AJ19" i="32"/>
  <c r="AJ20" i="32"/>
  <c r="AJ24" i="32"/>
  <c r="AJ25" i="32"/>
  <c r="AJ26" i="32"/>
  <c r="AJ10" i="32"/>
  <c r="AJ9" i="32"/>
  <c r="AJ29" i="31"/>
  <c r="AJ30" i="31"/>
  <c r="AJ9" i="31"/>
  <c r="AJ10" i="31"/>
  <c r="AJ11" i="31"/>
  <c r="AJ12" i="31"/>
  <c r="AJ13" i="31"/>
  <c r="AJ14" i="31"/>
  <c r="AJ15" i="31"/>
  <c r="AJ16" i="31"/>
  <c r="AJ17" i="31"/>
  <c r="AJ18" i="31"/>
  <c r="AJ19" i="31"/>
  <c r="AJ20" i="31"/>
  <c r="AJ21" i="31"/>
  <c r="AJ23" i="31"/>
  <c r="AJ24" i="31"/>
  <c r="AJ25" i="31"/>
  <c r="AJ26" i="31"/>
  <c r="AJ27" i="31"/>
  <c r="AJ28" i="31"/>
  <c r="AJ31" i="31"/>
  <c r="AJ32" i="31"/>
  <c r="AI60" i="31"/>
  <c r="AJ42" i="21"/>
  <c r="AJ41" i="21"/>
  <c r="AJ40" i="21"/>
  <c r="AJ39" i="21"/>
  <c r="AJ38" i="21"/>
  <c r="AJ37" i="21"/>
  <c r="AJ36" i="21"/>
  <c r="AJ35" i="21"/>
  <c r="AJ9" i="21"/>
  <c r="AJ10" i="21"/>
  <c r="AJ11" i="21"/>
  <c r="AJ12" i="21"/>
  <c r="AJ13" i="21"/>
  <c r="AJ16" i="21"/>
  <c r="AJ18" i="21"/>
  <c r="AJ34" i="21"/>
  <c r="AJ14" i="21"/>
  <c r="AJ15" i="21"/>
  <c r="AJ17" i="21"/>
  <c r="AJ19" i="21"/>
  <c r="AJ20" i="21"/>
  <c r="AJ21" i="21"/>
  <c r="AJ22" i="21"/>
  <c r="AJ23" i="21"/>
  <c r="AJ24" i="21"/>
  <c r="AJ25" i="21"/>
  <c r="AJ26" i="21"/>
  <c r="AJ27" i="21"/>
  <c r="AJ28" i="21"/>
  <c r="AJ29" i="21"/>
  <c r="AJ30" i="21"/>
  <c r="AJ31" i="21"/>
  <c r="AJ32" i="21"/>
  <c r="AJ33" i="21"/>
  <c r="AI29" i="22"/>
  <c r="AK57" i="21"/>
  <c r="AI57" i="21"/>
  <c r="X26" i="34"/>
  <c r="S26" i="34"/>
  <c r="U26" i="34"/>
  <c r="BF26" i="34"/>
  <c r="T26" i="34"/>
  <c r="L26" i="34"/>
  <c r="P26" i="34"/>
  <c r="H26" i="34"/>
  <c r="W25" i="34"/>
  <c r="IU25" i="34"/>
  <c r="X25" i="34"/>
  <c r="S25" i="34"/>
  <c r="U25" i="34"/>
  <c r="T25" i="34"/>
  <c r="L25" i="34"/>
  <c r="P25" i="34"/>
  <c r="I25" i="34"/>
  <c r="H25" i="34"/>
  <c r="X24" i="34"/>
  <c r="S24" i="34"/>
  <c r="U24" i="34"/>
  <c r="T24" i="34"/>
  <c r="L24" i="34"/>
  <c r="P24" i="34"/>
  <c r="H24" i="34"/>
  <c r="W23" i="34"/>
  <c r="X23" i="34"/>
  <c r="S23" i="34"/>
  <c r="U23" i="34"/>
  <c r="T23" i="34"/>
  <c r="L23" i="34"/>
  <c r="P23" i="34"/>
  <c r="I23" i="34"/>
  <c r="H23" i="34"/>
  <c r="X22" i="34"/>
  <c r="S22" i="34"/>
  <c r="U22" i="34"/>
  <c r="T22" i="34"/>
  <c r="L22" i="34"/>
  <c r="P22" i="34"/>
  <c r="H22" i="34"/>
  <c r="W21" i="34"/>
  <c r="X21" i="34"/>
  <c r="S21" i="34"/>
  <c r="U21" i="34"/>
  <c r="T21" i="34"/>
  <c r="L21" i="34"/>
  <c r="P21" i="34"/>
  <c r="H21" i="34"/>
  <c r="X20" i="34"/>
  <c r="S20" i="34"/>
  <c r="T20" i="34"/>
  <c r="L20" i="34"/>
  <c r="P20" i="34"/>
  <c r="H20" i="34"/>
  <c r="H9" i="31"/>
  <c r="H10" i="31"/>
  <c r="H11" i="31"/>
  <c r="H12" i="31"/>
  <c r="H13" i="31"/>
  <c r="H14" i="31"/>
  <c r="I14" i="31"/>
  <c r="H15" i="31"/>
  <c r="I15" i="31"/>
  <c r="H16" i="31"/>
  <c r="H17" i="31"/>
  <c r="I17" i="31"/>
  <c r="H18" i="31"/>
  <c r="H19" i="31"/>
  <c r="H20" i="31"/>
  <c r="H21" i="31"/>
  <c r="H23" i="31"/>
  <c r="H24" i="31"/>
  <c r="H25" i="31"/>
  <c r="I25" i="31"/>
  <c r="H26" i="31"/>
  <c r="H27" i="31"/>
  <c r="H28" i="31"/>
  <c r="H29" i="31"/>
  <c r="H30" i="31"/>
  <c r="H32" i="31"/>
  <c r="H31" i="31"/>
  <c r="X35" i="35"/>
  <c r="T35" i="35"/>
  <c r="L35" i="35"/>
  <c r="P35" i="35"/>
  <c r="H35" i="35"/>
  <c r="X34" i="35"/>
  <c r="T34" i="35"/>
  <c r="L34" i="35"/>
  <c r="P34" i="35"/>
  <c r="H34" i="35"/>
  <c r="X33" i="35"/>
  <c r="T33" i="35"/>
  <c r="L33" i="35"/>
  <c r="P33" i="35"/>
  <c r="I33" i="35"/>
  <c r="H33" i="35"/>
  <c r="X32" i="35"/>
  <c r="T32" i="35"/>
  <c r="L32" i="35"/>
  <c r="P32" i="35"/>
  <c r="H32" i="35"/>
  <c r="W31" i="35"/>
  <c r="X31" i="35"/>
  <c r="T31" i="35"/>
  <c r="L31" i="35"/>
  <c r="P31" i="35"/>
  <c r="H31" i="35"/>
  <c r="X30" i="35"/>
  <c r="T30" i="35"/>
  <c r="L30" i="35"/>
  <c r="P30" i="35"/>
  <c r="H30" i="35"/>
  <c r="X29" i="35"/>
  <c r="T29" i="35"/>
  <c r="L29" i="35"/>
  <c r="P29" i="35"/>
  <c r="I29" i="35"/>
  <c r="H29" i="35"/>
  <c r="X28" i="35"/>
  <c r="T28" i="35"/>
  <c r="L28" i="35"/>
  <c r="P28" i="35"/>
  <c r="I28" i="35"/>
  <c r="H28" i="35"/>
  <c r="X27" i="35"/>
  <c r="T27" i="35"/>
  <c r="L27" i="35"/>
  <c r="P27" i="35"/>
  <c r="H27" i="35"/>
  <c r="X26" i="35"/>
  <c r="T26" i="35"/>
  <c r="L26" i="35"/>
  <c r="P26" i="35"/>
  <c r="H26" i="35"/>
  <c r="X83" i="39"/>
  <c r="T83" i="39"/>
  <c r="L83" i="39"/>
  <c r="P83" i="39"/>
  <c r="H83" i="39"/>
  <c r="X82" i="39"/>
  <c r="T82" i="39"/>
  <c r="L82" i="39"/>
  <c r="P82" i="39"/>
  <c r="H82" i="39"/>
  <c r="X81" i="39"/>
  <c r="T81" i="39"/>
  <c r="L81" i="39"/>
  <c r="P81" i="39"/>
  <c r="H81" i="39"/>
  <c r="X80" i="39"/>
  <c r="T80" i="39"/>
  <c r="L80" i="39"/>
  <c r="P80" i="39"/>
  <c r="I80" i="39"/>
  <c r="H80" i="39"/>
  <c r="X79" i="39"/>
  <c r="T79" i="39"/>
  <c r="L79" i="39"/>
  <c r="P79" i="39"/>
  <c r="H79" i="39"/>
  <c r="X78" i="39"/>
  <c r="T78" i="39"/>
  <c r="L78" i="39"/>
  <c r="P78" i="39"/>
  <c r="H78" i="39"/>
  <c r="X77" i="39"/>
  <c r="T77" i="39"/>
  <c r="L77" i="39"/>
  <c r="P77" i="39"/>
  <c r="H77" i="39"/>
  <c r="X76" i="39"/>
  <c r="T76" i="39"/>
  <c r="L76" i="39"/>
  <c r="P76" i="39"/>
  <c r="H76" i="39"/>
  <c r="X73" i="39"/>
  <c r="T73" i="39"/>
  <c r="L73" i="39"/>
  <c r="P73" i="39"/>
  <c r="H73" i="39"/>
  <c r="X72" i="39"/>
  <c r="T72" i="39"/>
  <c r="L72" i="39"/>
  <c r="P72" i="39"/>
  <c r="I72" i="39"/>
  <c r="H72" i="39"/>
  <c r="X71" i="39"/>
  <c r="T71" i="39"/>
  <c r="L71" i="39"/>
  <c r="P71" i="39"/>
  <c r="H71" i="39"/>
  <c r="X70" i="39"/>
  <c r="T70" i="39"/>
  <c r="L70" i="39"/>
  <c r="P70" i="39"/>
  <c r="I70" i="39"/>
  <c r="H70" i="39"/>
  <c r="X69" i="39"/>
  <c r="T69" i="39"/>
  <c r="L69" i="39"/>
  <c r="P69" i="39"/>
  <c r="I69" i="39"/>
  <c r="H69" i="39"/>
  <c r="X68" i="39"/>
  <c r="T68" i="39"/>
  <c r="L68" i="39"/>
  <c r="P68" i="39"/>
  <c r="H68" i="39"/>
  <c r="X67" i="39"/>
  <c r="T67" i="39"/>
  <c r="L67" i="39"/>
  <c r="P67" i="39"/>
  <c r="H67" i="39"/>
  <c r="X66" i="39"/>
  <c r="T66" i="39"/>
  <c r="L66" i="39"/>
  <c r="P66" i="39"/>
  <c r="H66" i="39"/>
  <c r="X65" i="39"/>
  <c r="T65" i="39"/>
  <c r="L65" i="39"/>
  <c r="P65" i="39"/>
  <c r="H65" i="39"/>
  <c r="X64" i="39"/>
  <c r="T64" i="39"/>
  <c r="L64" i="39"/>
  <c r="P64" i="39"/>
  <c r="I64" i="39"/>
  <c r="H64" i="39"/>
  <c r="X63" i="39"/>
  <c r="T63" i="39"/>
  <c r="L63" i="39"/>
  <c r="P63" i="39"/>
  <c r="H63" i="39"/>
  <c r="X62" i="39"/>
  <c r="T62" i="39"/>
  <c r="L62" i="39"/>
  <c r="P62" i="39"/>
  <c r="I62" i="39"/>
  <c r="H62" i="39"/>
  <c r="X61" i="39"/>
  <c r="T61" i="39"/>
  <c r="L61" i="39"/>
  <c r="P61" i="39"/>
  <c r="H61" i="39"/>
  <c r="X60" i="39"/>
  <c r="T60" i="39"/>
  <c r="L60" i="39"/>
  <c r="P60" i="39"/>
  <c r="H60" i="39"/>
  <c r="X58" i="39"/>
  <c r="T58" i="39"/>
  <c r="L58" i="39"/>
  <c r="P58" i="39"/>
  <c r="H58" i="39"/>
  <c r="X57" i="39"/>
  <c r="T57" i="39"/>
  <c r="L57" i="39"/>
  <c r="P57" i="39"/>
  <c r="H57" i="39"/>
  <c r="X56" i="39"/>
  <c r="T56" i="39"/>
  <c r="L56" i="39"/>
  <c r="P56" i="39"/>
  <c r="I56" i="39"/>
  <c r="H56" i="39"/>
  <c r="X54" i="39"/>
  <c r="T54" i="39"/>
  <c r="L54" i="39"/>
  <c r="P54" i="39"/>
  <c r="I54" i="39"/>
  <c r="H54" i="39"/>
  <c r="X53" i="39"/>
  <c r="T53" i="39"/>
  <c r="L53" i="39"/>
  <c r="P53" i="39"/>
  <c r="H53" i="39"/>
  <c r="X52" i="39"/>
  <c r="T52" i="39"/>
  <c r="L52" i="39"/>
  <c r="P52" i="39"/>
  <c r="H52" i="39"/>
  <c r="X51" i="39"/>
  <c r="T51" i="39"/>
  <c r="L51" i="39"/>
  <c r="P51" i="39"/>
  <c r="H51" i="39"/>
  <c r="X50" i="39"/>
  <c r="T50" i="39"/>
  <c r="L50" i="39"/>
  <c r="P50" i="39"/>
  <c r="H50" i="39"/>
  <c r="X49" i="39"/>
  <c r="T49" i="39"/>
  <c r="L49" i="39"/>
  <c r="P49" i="39"/>
  <c r="H49" i="39"/>
  <c r="X48" i="39"/>
  <c r="T48" i="39"/>
  <c r="L48" i="39"/>
  <c r="P48" i="39"/>
  <c r="I48" i="39"/>
  <c r="H48" i="39"/>
  <c r="X47" i="39"/>
  <c r="T47" i="39"/>
  <c r="L47" i="39"/>
  <c r="P47" i="39"/>
  <c r="H47" i="39"/>
  <c r="X46" i="39"/>
  <c r="T46" i="39"/>
  <c r="L46" i="39"/>
  <c r="P46" i="39"/>
  <c r="I46" i="39"/>
  <c r="H46" i="39"/>
  <c r="X45" i="39"/>
  <c r="T45" i="39"/>
  <c r="L45" i="39"/>
  <c r="P45" i="39"/>
  <c r="I45" i="39"/>
  <c r="H45" i="39"/>
  <c r="X44" i="39"/>
  <c r="T44" i="39"/>
  <c r="L44" i="39"/>
  <c r="P44" i="39"/>
  <c r="H44" i="39"/>
  <c r="X42" i="39"/>
  <c r="T42" i="39"/>
  <c r="L42" i="39"/>
  <c r="P42" i="39"/>
  <c r="H42" i="39"/>
  <c r="X41" i="39"/>
  <c r="T41" i="39"/>
  <c r="L41" i="39"/>
  <c r="P41" i="39"/>
  <c r="H41" i="39"/>
  <c r="X40" i="39"/>
  <c r="T40" i="39"/>
  <c r="L40" i="39"/>
  <c r="P40" i="39"/>
  <c r="H40" i="39"/>
  <c r="X39" i="39"/>
  <c r="T39" i="39"/>
  <c r="L39" i="39"/>
  <c r="P39" i="39"/>
  <c r="I39" i="39"/>
  <c r="H39" i="39"/>
  <c r="X38" i="39"/>
  <c r="T38" i="39"/>
  <c r="L38" i="39"/>
  <c r="P38" i="39"/>
  <c r="H38" i="39"/>
  <c r="X37" i="39"/>
  <c r="T37" i="39"/>
  <c r="L37" i="39"/>
  <c r="P37" i="39"/>
  <c r="I37" i="39"/>
  <c r="H37" i="39"/>
  <c r="X36" i="39"/>
  <c r="T36" i="39"/>
  <c r="L36" i="39"/>
  <c r="P36" i="39"/>
  <c r="H36" i="39"/>
  <c r="X35" i="39"/>
  <c r="T35" i="39"/>
  <c r="L35" i="39"/>
  <c r="P35" i="39"/>
  <c r="H35" i="39"/>
  <c r="X34" i="39"/>
  <c r="T34" i="39"/>
  <c r="L34" i="39"/>
  <c r="P34" i="39"/>
  <c r="H34" i="39"/>
  <c r="X33" i="39"/>
  <c r="T33" i="39"/>
  <c r="L33" i="39"/>
  <c r="P33" i="39"/>
  <c r="H33" i="39"/>
  <c r="X32" i="39"/>
  <c r="T32" i="39"/>
  <c r="L32" i="39"/>
  <c r="P32" i="39"/>
  <c r="H32" i="39"/>
  <c r="X31" i="39"/>
  <c r="T31" i="39"/>
  <c r="L31" i="39"/>
  <c r="P31" i="39"/>
  <c r="I31" i="39"/>
  <c r="H31" i="39"/>
  <c r="X30" i="39"/>
  <c r="T30" i="39"/>
  <c r="L30" i="39"/>
  <c r="P30" i="39"/>
  <c r="H30" i="39"/>
  <c r="X29" i="39"/>
  <c r="T29" i="39"/>
  <c r="L29" i="39"/>
  <c r="P29" i="39"/>
  <c r="I29" i="39"/>
  <c r="H29" i="39"/>
  <c r="X28" i="39"/>
  <c r="T28" i="39"/>
  <c r="L28" i="39"/>
  <c r="P28" i="39"/>
  <c r="H28" i="39"/>
  <c r="X27" i="39"/>
  <c r="T27" i="39"/>
  <c r="L27" i="39"/>
  <c r="P27" i="39"/>
  <c r="H27" i="39"/>
  <c r="X26" i="39"/>
  <c r="T26" i="39"/>
  <c r="L26" i="39"/>
  <c r="P26" i="39"/>
  <c r="H26" i="39"/>
  <c r="X25" i="39"/>
  <c r="T25" i="39"/>
  <c r="L25" i="39"/>
  <c r="P25" i="39"/>
  <c r="H25" i="39"/>
  <c r="X24" i="39"/>
  <c r="T24" i="39"/>
  <c r="L24" i="39"/>
  <c r="P24" i="39"/>
  <c r="H24" i="39"/>
  <c r="X23" i="39"/>
  <c r="T23" i="39"/>
  <c r="L23" i="39"/>
  <c r="P23" i="39"/>
  <c r="I23" i="39"/>
  <c r="H23" i="39"/>
  <c r="X22" i="39"/>
  <c r="T22" i="39"/>
  <c r="L22" i="39"/>
  <c r="P22" i="39"/>
  <c r="H22" i="39"/>
  <c r="X21" i="39"/>
  <c r="T21" i="39"/>
  <c r="L21" i="39"/>
  <c r="P21" i="39"/>
  <c r="I21" i="39"/>
  <c r="H21" i="39"/>
  <c r="X20" i="39"/>
  <c r="T20" i="39"/>
  <c r="L20" i="39"/>
  <c r="P20" i="39"/>
  <c r="H20" i="39"/>
  <c r="X19" i="39"/>
  <c r="T19" i="39"/>
  <c r="L19" i="39"/>
  <c r="P19" i="39"/>
  <c r="H19" i="39"/>
  <c r="X18" i="39"/>
  <c r="T18" i="39"/>
  <c r="L18" i="39"/>
  <c r="P18" i="39"/>
  <c r="H18" i="39"/>
  <c r="X17" i="39"/>
  <c r="T17" i="39"/>
  <c r="L17" i="39"/>
  <c r="P17" i="39"/>
  <c r="H17" i="39"/>
  <c r="X16" i="39"/>
  <c r="T16" i="39"/>
  <c r="L16" i="39"/>
  <c r="P16" i="39"/>
  <c r="I16" i="39"/>
  <c r="H16" i="39"/>
  <c r="X15" i="39"/>
  <c r="T15" i="39"/>
  <c r="L15" i="39"/>
  <c r="P15" i="39"/>
  <c r="I15" i="39"/>
  <c r="H15" i="39"/>
  <c r="X14" i="39"/>
  <c r="T14" i="39"/>
  <c r="L14" i="39"/>
  <c r="P14" i="39"/>
  <c r="H14" i="39"/>
  <c r="X13" i="39"/>
  <c r="T13" i="39"/>
  <c r="L13" i="39"/>
  <c r="P13" i="39"/>
  <c r="I13" i="39"/>
  <c r="H13" i="39"/>
  <c r="X12" i="39"/>
  <c r="T12" i="39"/>
  <c r="L12" i="39"/>
  <c r="P12" i="39"/>
  <c r="H12" i="39"/>
  <c r="X11" i="39"/>
  <c r="T11" i="39"/>
  <c r="L11" i="39"/>
  <c r="P11" i="39"/>
  <c r="H11" i="39"/>
  <c r="X10" i="39"/>
  <c r="T10" i="39"/>
  <c r="L10" i="39"/>
  <c r="P10" i="39"/>
  <c r="H10" i="39"/>
  <c r="X9" i="39"/>
  <c r="L9" i="39"/>
  <c r="P9" i="39"/>
  <c r="H9" i="39"/>
  <c r="W17" i="35"/>
  <c r="IU17" i="35"/>
  <c r="M18" i="35"/>
  <c r="M48" i="35"/>
  <c r="Q17" i="35"/>
  <c r="X58" i="35"/>
  <c r="T58" i="35"/>
  <c r="L58" i="35"/>
  <c r="P58" i="35"/>
  <c r="I58" i="35"/>
  <c r="H58" i="35"/>
  <c r="X57" i="35"/>
  <c r="T57" i="35"/>
  <c r="L57" i="35"/>
  <c r="P57" i="35"/>
  <c r="H57" i="35"/>
  <c r="X48" i="35"/>
  <c r="T48" i="35"/>
  <c r="L48" i="35"/>
  <c r="P48" i="35"/>
  <c r="H48" i="35"/>
  <c r="X47" i="35"/>
  <c r="T47" i="35"/>
  <c r="L47" i="35"/>
  <c r="P47" i="35"/>
  <c r="H47" i="35"/>
  <c r="X46" i="35"/>
  <c r="T46" i="35"/>
  <c r="L46" i="35"/>
  <c r="P46" i="35"/>
  <c r="I46" i="35"/>
  <c r="H46" i="35"/>
  <c r="X45" i="35"/>
  <c r="T45" i="35"/>
  <c r="L45" i="35"/>
  <c r="P45" i="35"/>
  <c r="H45" i="35"/>
  <c r="X44" i="35"/>
  <c r="T44" i="35"/>
  <c r="L44" i="35"/>
  <c r="P44" i="35"/>
  <c r="H44" i="35"/>
  <c r="X55" i="35"/>
  <c r="T55" i="35"/>
  <c r="L55" i="35"/>
  <c r="P55" i="35"/>
  <c r="H55" i="35"/>
  <c r="X54" i="35"/>
  <c r="T54" i="35"/>
  <c r="L54" i="35"/>
  <c r="P54" i="35"/>
  <c r="I54" i="35"/>
  <c r="H54" i="35"/>
  <c r="X53" i="35"/>
  <c r="T53" i="35"/>
  <c r="L53" i="35"/>
  <c r="P53" i="35"/>
  <c r="H53" i="35"/>
  <c r="X52" i="35"/>
  <c r="T52" i="35"/>
  <c r="L52" i="35"/>
  <c r="P52" i="35"/>
  <c r="H52" i="35"/>
  <c r="X43" i="35"/>
  <c r="T43" i="35"/>
  <c r="L43" i="35"/>
  <c r="P43" i="35"/>
  <c r="H43" i="35"/>
  <c r="X42" i="35"/>
  <c r="T42" i="35"/>
  <c r="L42" i="35"/>
  <c r="P42" i="35"/>
  <c r="H42" i="35"/>
  <c r="X50" i="35"/>
  <c r="T50" i="35"/>
  <c r="L50" i="35"/>
  <c r="P50" i="35"/>
  <c r="H50" i="35"/>
  <c r="X49" i="35"/>
  <c r="T49" i="35"/>
  <c r="L49" i="35"/>
  <c r="P49" i="35"/>
  <c r="H49" i="35"/>
  <c r="X40" i="35"/>
  <c r="T40" i="35"/>
  <c r="L40" i="35"/>
  <c r="P40" i="35"/>
  <c r="H40" i="35"/>
  <c r="X39" i="35"/>
  <c r="T39" i="35"/>
  <c r="L39" i="35"/>
  <c r="P39" i="35"/>
  <c r="H39" i="35"/>
  <c r="X38" i="35"/>
  <c r="T38" i="35"/>
  <c r="L38" i="35"/>
  <c r="P38" i="35"/>
  <c r="H38" i="35"/>
  <c r="X37" i="35"/>
  <c r="T37" i="35"/>
  <c r="L37" i="35"/>
  <c r="P37" i="35"/>
  <c r="H37" i="35"/>
  <c r="X36" i="35"/>
  <c r="T36" i="35"/>
  <c r="L36" i="35"/>
  <c r="P36" i="35"/>
  <c r="H36" i="35"/>
  <c r="X25" i="35"/>
  <c r="T25" i="35"/>
  <c r="L25" i="35"/>
  <c r="P25" i="35"/>
  <c r="H25" i="35"/>
  <c r="X24" i="35"/>
  <c r="T24" i="35"/>
  <c r="L24" i="35"/>
  <c r="P24" i="35"/>
  <c r="H24" i="35"/>
  <c r="X23" i="35"/>
  <c r="T23" i="35"/>
  <c r="L23" i="35"/>
  <c r="P23" i="35"/>
  <c r="H23" i="35"/>
  <c r="X22" i="35"/>
  <c r="T22" i="35"/>
  <c r="L22" i="35"/>
  <c r="P22" i="35"/>
  <c r="H22" i="35"/>
  <c r="X21" i="35"/>
  <c r="T21" i="35"/>
  <c r="L21" i="35"/>
  <c r="P21" i="35"/>
  <c r="H21" i="35"/>
  <c r="X20" i="35"/>
  <c r="T20" i="35"/>
  <c r="L20" i="35"/>
  <c r="P20" i="35"/>
  <c r="I20" i="35"/>
  <c r="H20" i="35"/>
  <c r="X19" i="35"/>
  <c r="T19" i="35"/>
  <c r="L19" i="35"/>
  <c r="P19" i="35"/>
  <c r="I19" i="35"/>
  <c r="H19" i="35"/>
  <c r="X18" i="35"/>
  <c r="T18" i="35"/>
  <c r="L18" i="35"/>
  <c r="P18" i="35"/>
  <c r="H18" i="35"/>
  <c r="X17" i="35"/>
  <c r="T17" i="35"/>
  <c r="L17" i="35"/>
  <c r="P17" i="35"/>
  <c r="H17" i="35"/>
  <c r="X16" i="35"/>
  <c r="T16" i="35"/>
  <c r="M16" i="35"/>
  <c r="L16" i="35"/>
  <c r="P16" i="35"/>
  <c r="I16" i="35"/>
  <c r="H16" i="35"/>
  <c r="X15" i="35"/>
  <c r="T15" i="35"/>
  <c r="L15" i="35"/>
  <c r="P15" i="35"/>
  <c r="H15" i="35"/>
  <c r="X14" i="35"/>
  <c r="T14" i="35"/>
  <c r="L14" i="35"/>
  <c r="P14" i="35"/>
  <c r="H14" i="35"/>
  <c r="X13" i="35"/>
  <c r="T13" i="35"/>
  <c r="L13" i="35"/>
  <c r="P13" i="35"/>
  <c r="H13" i="35"/>
  <c r="X12" i="35"/>
  <c r="T12" i="35"/>
  <c r="L12" i="35"/>
  <c r="P12" i="35"/>
  <c r="I12" i="35"/>
  <c r="H12" i="35"/>
  <c r="X11" i="35"/>
  <c r="T11" i="35"/>
  <c r="L11" i="35"/>
  <c r="P11" i="35"/>
  <c r="I11" i="35"/>
  <c r="H11" i="35"/>
  <c r="X10" i="35"/>
  <c r="T10" i="35"/>
  <c r="L10" i="35"/>
  <c r="P10" i="35"/>
  <c r="H10" i="35"/>
  <c r="X9" i="35"/>
  <c r="T9" i="35"/>
  <c r="L9" i="35"/>
  <c r="P9" i="35"/>
  <c r="H9" i="35"/>
  <c r="W9" i="34"/>
  <c r="W11" i="34"/>
  <c r="IU11" i="34"/>
  <c r="W15" i="34"/>
  <c r="Y15" i="34"/>
  <c r="W17" i="34"/>
  <c r="W27" i="34"/>
  <c r="IU27" i="34"/>
  <c r="W28" i="34"/>
  <c r="Y28" i="34"/>
  <c r="W29" i="34"/>
  <c r="W31" i="34"/>
  <c r="W32" i="34"/>
  <c r="IU32" i="34"/>
  <c r="W33" i="34"/>
  <c r="IU33" i="34"/>
  <c r="W34" i="34"/>
  <c r="IU34" i="34"/>
  <c r="W35" i="34"/>
  <c r="W37" i="34"/>
  <c r="W38" i="34"/>
  <c r="IU38" i="34"/>
  <c r="W39" i="34"/>
  <c r="W41" i="34"/>
  <c r="W43" i="34"/>
  <c r="Y43" i="34"/>
  <c r="W47" i="34"/>
  <c r="IU47" i="34"/>
  <c r="W49" i="34"/>
  <c r="IU49" i="34"/>
  <c r="W51" i="34"/>
  <c r="W53" i="34"/>
  <c r="BF9" i="34"/>
  <c r="BF11" i="34"/>
  <c r="BG11" i="34"/>
  <c r="S13" i="34"/>
  <c r="U13" i="34"/>
  <c r="S14" i="34"/>
  <c r="U14" i="34"/>
  <c r="S15" i="34"/>
  <c r="U15" i="34"/>
  <c r="S16" i="34"/>
  <c r="U16" i="34"/>
  <c r="S17" i="34"/>
  <c r="U17" i="34"/>
  <c r="S18" i="34"/>
  <c r="U18" i="34"/>
  <c r="S19" i="34"/>
  <c r="U19" i="34"/>
  <c r="BG19" i="34"/>
  <c r="IP19" i="34"/>
  <c r="IQ19" i="34"/>
  <c r="S27" i="34"/>
  <c r="U27" i="34"/>
  <c r="S28" i="34"/>
  <c r="U28" i="34"/>
  <c r="BF28" i="34"/>
  <c r="S29" i="34"/>
  <c r="U29" i="34"/>
  <c r="S30" i="34"/>
  <c r="U30" i="34"/>
  <c r="BF30" i="34"/>
  <c r="S31" i="34"/>
  <c r="U31" i="34"/>
  <c r="S32" i="34"/>
  <c r="U32" i="34"/>
  <c r="S33" i="34"/>
  <c r="U33" i="34"/>
  <c r="BF33" i="34"/>
  <c r="S34" i="34"/>
  <c r="U34" i="34"/>
  <c r="S35" i="34"/>
  <c r="U35" i="34"/>
  <c r="S36" i="34"/>
  <c r="U36" i="34"/>
  <c r="S37" i="34"/>
  <c r="U37" i="34"/>
  <c r="S38" i="34"/>
  <c r="U38" i="34"/>
  <c r="BF38" i="34"/>
  <c r="S39" i="34"/>
  <c r="U39" i="34"/>
  <c r="S40" i="34"/>
  <c r="U40" i="34"/>
  <c r="S41" i="34"/>
  <c r="U41" i="34"/>
  <c r="BF41" i="34"/>
  <c r="BG41" i="34"/>
  <c r="S42" i="34"/>
  <c r="U42" i="34"/>
  <c r="S43" i="34"/>
  <c r="U43" i="34"/>
  <c r="BF43" i="34"/>
  <c r="S44" i="34"/>
  <c r="U44" i="34"/>
  <c r="S45" i="34"/>
  <c r="U45" i="34"/>
  <c r="BF45" i="34"/>
  <c r="BG45" i="34"/>
  <c r="S46" i="34"/>
  <c r="U46" i="34"/>
  <c r="S47" i="34"/>
  <c r="U47" i="34"/>
  <c r="S48" i="34"/>
  <c r="U48" i="34"/>
  <c r="S49" i="34"/>
  <c r="U49" i="34"/>
  <c r="BF49" i="34"/>
  <c r="BG49" i="34"/>
  <c r="IP49" i="34"/>
  <c r="S54" i="34"/>
  <c r="U54" i="34"/>
  <c r="BF54" i="34"/>
  <c r="S50" i="34"/>
  <c r="U50" i="34"/>
  <c r="S53" i="34"/>
  <c r="U53" i="34"/>
  <c r="X53" i="34"/>
  <c r="T53" i="34"/>
  <c r="L53" i="34"/>
  <c r="P53" i="34"/>
  <c r="H53" i="34"/>
  <c r="T51" i="34"/>
  <c r="L51" i="34"/>
  <c r="P51" i="34"/>
  <c r="I51" i="34"/>
  <c r="H51" i="34"/>
  <c r="X50" i="34"/>
  <c r="L50" i="34"/>
  <c r="P50" i="34"/>
  <c r="H50" i="34"/>
  <c r="X54" i="34"/>
  <c r="T54" i="34"/>
  <c r="L54" i="34"/>
  <c r="P54" i="34"/>
  <c r="H54" i="34"/>
  <c r="X49" i="34"/>
  <c r="T49" i="34"/>
  <c r="L49" i="34"/>
  <c r="P49" i="34"/>
  <c r="H49" i="34"/>
  <c r="X48" i="34"/>
  <c r="T48" i="34"/>
  <c r="L48" i="34"/>
  <c r="P48" i="34"/>
  <c r="I48" i="34"/>
  <c r="H48" i="34"/>
  <c r="X47" i="34"/>
  <c r="T47" i="34"/>
  <c r="L47" i="34"/>
  <c r="P47" i="34"/>
  <c r="H47" i="34"/>
  <c r="X46" i="34"/>
  <c r="T46" i="34"/>
  <c r="L46" i="34"/>
  <c r="P46" i="34"/>
  <c r="H46" i="34"/>
  <c r="X45" i="34"/>
  <c r="T45" i="34"/>
  <c r="L45" i="34"/>
  <c r="P45" i="34"/>
  <c r="H45" i="34"/>
  <c r="X44" i="34"/>
  <c r="T44" i="34"/>
  <c r="L44" i="34"/>
  <c r="P44" i="34"/>
  <c r="H44" i="34"/>
  <c r="X43" i="34"/>
  <c r="T43" i="34"/>
  <c r="L43" i="34"/>
  <c r="P43" i="34"/>
  <c r="H43" i="34"/>
  <c r="X42" i="34"/>
  <c r="T42" i="34"/>
  <c r="L42" i="34"/>
  <c r="P42" i="34"/>
  <c r="H42" i="34"/>
  <c r="X41" i="34"/>
  <c r="T41" i="34"/>
  <c r="L41" i="34"/>
  <c r="P41" i="34"/>
  <c r="H41" i="34"/>
  <c r="X40" i="34"/>
  <c r="T40" i="34"/>
  <c r="L40" i="34"/>
  <c r="P40" i="34"/>
  <c r="I40" i="34"/>
  <c r="H40" i="34"/>
  <c r="X39" i="34"/>
  <c r="T39" i="34"/>
  <c r="L39" i="34"/>
  <c r="P39" i="34"/>
  <c r="I39" i="34"/>
  <c r="H39" i="34"/>
  <c r="X38" i="34"/>
  <c r="T38" i="34"/>
  <c r="L38" i="34"/>
  <c r="P38" i="34"/>
  <c r="H38" i="34"/>
  <c r="X37" i="34"/>
  <c r="T37" i="34"/>
  <c r="L37" i="34"/>
  <c r="P37" i="34"/>
  <c r="I37" i="34"/>
  <c r="H37" i="34"/>
  <c r="X36" i="34"/>
  <c r="T36" i="34"/>
  <c r="L36" i="34"/>
  <c r="P36" i="34"/>
  <c r="H36" i="34"/>
  <c r="X35" i="34"/>
  <c r="T35" i="34"/>
  <c r="L35" i="34"/>
  <c r="P35" i="34"/>
  <c r="H35" i="34"/>
  <c r="X34" i="34"/>
  <c r="T34" i="34"/>
  <c r="L34" i="34"/>
  <c r="P34" i="34"/>
  <c r="H34" i="34"/>
  <c r="X33" i="34"/>
  <c r="T33" i="34"/>
  <c r="L33" i="34"/>
  <c r="P33" i="34"/>
  <c r="I33" i="34"/>
  <c r="H33" i="34"/>
  <c r="X32" i="34"/>
  <c r="T32" i="34"/>
  <c r="L32" i="34"/>
  <c r="P32" i="34"/>
  <c r="I32" i="34"/>
  <c r="H32" i="34"/>
  <c r="X31" i="34"/>
  <c r="T31" i="34"/>
  <c r="L31" i="34"/>
  <c r="P31" i="34"/>
  <c r="H31" i="34"/>
  <c r="X30" i="34"/>
  <c r="T30" i="34"/>
  <c r="L30" i="34"/>
  <c r="P30" i="34"/>
  <c r="I30" i="34"/>
  <c r="H30" i="34"/>
  <c r="X29" i="34"/>
  <c r="T29" i="34"/>
  <c r="L29" i="34"/>
  <c r="P29" i="34"/>
  <c r="H29" i="34"/>
  <c r="X28" i="34"/>
  <c r="T28" i="34"/>
  <c r="L28" i="34"/>
  <c r="P28" i="34"/>
  <c r="H28" i="34"/>
  <c r="X27" i="34"/>
  <c r="T27" i="34"/>
  <c r="L27" i="34"/>
  <c r="P27" i="34"/>
  <c r="H27" i="34"/>
  <c r="T19" i="34"/>
  <c r="M19" i="34"/>
  <c r="L19" i="34"/>
  <c r="P19" i="34"/>
  <c r="I19" i="34"/>
  <c r="H19" i="34"/>
  <c r="X18" i="34"/>
  <c r="T18" i="34"/>
  <c r="M18" i="34"/>
  <c r="L18" i="34"/>
  <c r="P18" i="34"/>
  <c r="H18" i="34"/>
  <c r="X17" i="34"/>
  <c r="M17" i="34"/>
  <c r="L17" i="34"/>
  <c r="P17" i="34"/>
  <c r="H17" i="34"/>
  <c r="X16" i="34"/>
  <c r="T16" i="34"/>
  <c r="L16" i="34"/>
  <c r="P16" i="34"/>
  <c r="H16" i="34"/>
  <c r="X15" i="34"/>
  <c r="T15" i="34"/>
  <c r="L15" i="34"/>
  <c r="P15" i="34"/>
  <c r="H15" i="34"/>
  <c r="X14" i="34"/>
  <c r="T14" i="34"/>
  <c r="L14" i="34"/>
  <c r="P14" i="34"/>
  <c r="H14" i="34"/>
  <c r="X13" i="34"/>
  <c r="T13" i="34"/>
  <c r="L13" i="34"/>
  <c r="P13" i="34"/>
  <c r="H13" i="34"/>
  <c r="X12" i="34"/>
  <c r="T12" i="34"/>
  <c r="L12" i="34"/>
  <c r="P12" i="34"/>
  <c r="H12" i="34"/>
  <c r="X11" i="34"/>
  <c r="T11" i="34"/>
  <c r="M11" i="34"/>
  <c r="L11" i="34"/>
  <c r="P11" i="34"/>
  <c r="H11" i="34"/>
  <c r="X10" i="34"/>
  <c r="T10" i="34"/>
  <c r="L10" i="34"/>
  <c r="P10" i="34"/>
  <c r="H10" i="34"/>
  <c r="X9" i="34"/>
  <c r="T9" i="34"/>
  <c r="L9" i="34"/>
  <c r="P9" i="34"/>
  <c r="H9" i="34"/>
  <c r="Z13" i="33"/>
  <c r="E13" i="33"/>
  <c r="V13" i="33"/>
  <c r="R13" i="33"/>
  <c r="F13" i="33"/>
  <c r="X10" i="33"/>
  <c r="T10" i="33"/>
  <c r="L10" i="33"/>
  <c r="P10" i="33"/>
  <c r="H10" i="33"/>
  <c r="X9" i="33"/>
  <c r="T9" i="33"/>
  <c r="L9" i="33"/>
  <c r="P9" i="33"/>
  <c r="I9" i="33"/>
  <c r="H9" i="33"/>
  <c r="S9" i="32"/>
  <c r="U9" i="32"/>
  <c r="S10" i="32"/>
  <c r="U10" i="32"/>
  <c r="S11" i="32"/>
  <c r="U11" i="32"/>
  <c r="BF11" i="32"/>
  <c r="S12" i="32"/>
  <c r="U12" i="32"/>
  <c r="BF12" i="32"/>
  <c r="S14" i="32"/>
  <c r="U14" i="32"/>
  <c r="S17" i="32"/>
  <c r="U17" i="32"/>
  <c r="S18" i="32"/>
  <c r="U18" i="32"/>
  <c r="BF18" i="32"/>
  <c r="S19" i="32"/>
  <c r="U19" i="32"/>
  <c r="S27" i="32"/>
  <c r="U27" i="32"/>
  <c r="BF27" i="32"/>
  <c r="T27" i="32"/>
  <c r="L27" i="32"/>
  <c r="P27" i="32"/>
  <c r="H27" i="32"/>
  <c r="T26" i="32"/>
  <c r="L26" i="32"/>
  <c r="P26" i="32"/>
  <c r="H26" i="32"/>
  <c r="T25" i="32"/>
  <c r="L25" i="32"/>
  <c r="P25" i="32"/>
  <c r="H25" i="32"/>
  <c r="T24" i="32"/>
  <c r="L24" i="32"/>
  <c r="P24" i="32"/>
  <c r="H24" i="32"/>
  <c r="T20" i="32"/>
  <c r="L20" i="32"/>
  <c r="P20" i="32"/>
  <c r="H20" i="32"/>
  <c r="T19" i="32"/>
  <c r="L19" i="32"/>
  <c r="P19" i="32"/>
  <c r="I19" i="32"/>
  <c r="H19" i="32"/>
  <c r="T18" i="32"/>
  <c r="L18" i="32"/>
  <c r="P18" i="32"/>
  <c r="H18" i="32"/>
  <c r="T17" i="32"/>
  <c r="L17" i="32"/>
  <c r="P17" i="32"/>
  <c r="H17" i="32"/>
  <c r="T16" i="32"/>
  <c r="L16" i="32"/>
  <c r="P16" i="32"/>
  <c r="H16" i="32"/>
  <c r="T15" i="32"/>
  <c r="L15" i="32"/>
  <c r="P15" i="32"/>
  <c r="H15" i="32"/>
  <c r="T14" i="32"/>
  <c r="L14" i="32"/>
  <c r="P14" i="32"/>
  <c r="H14" i="32"/>
  <c r="T13" i="32"/>
  <c r="L13" i="32"/>
  <c r="P13" i="32"/>
  <c r="H13" i="32"/>
  <c r="T12" i="32"/>
  <c r="L12" i="32"/>
  <c r="P12" i="32"/>
  <c r="I12" i="32"/>
  <c r="H12" i="32"/>
  <c r="T11" i="32"/>
  <c r="L11" i="32"/>
  <c r="P11" i="32"/>
  <c r="I11" i="32"/>
  <c r="H11" i="32"/>
  <c r="T10" i="32"/>
  <c r="L10" i="32"/>
  <c r="P10" i="32"/>
  <c r="H10" i="32"/>
  <c r="T9" i="32"/>
  <c r="L9" i="32"/>
  <c r="P9" i="32"/>
  <c r="H9" i="32"/>
  <c r="W9" i="31"/>
  <c r="W16" i="31"/>
  <c r="W18" i="31"/>
  <c r="W23" i="31"/>
  <c r="W29" i="31"/>
  <c r="W32" i="31"/>
  <c r="W31" i="31"/>
  <c r="V60" i="31"/>
  <c r="S9" i="31"/>
  <c r="U9" i="31"/>
  <c r="BG18" i="31"/>
  <c r="BF9" i="31"/>
  <c r="BF28" i="31"/>
  <c r="S24" i="31"/>
  <c r="U24" i="31"/>
  <c r="S25" i="31"/>
  <c r="U25" i="31"/>
  <c r="BF25" i="31"/>
  <c r="S27" i="31"/>
  <c r="U27" i="31"/>
  <c r="S28" i="31"/>
  <c r="U28" i="31"/>
  <c r="S29" i="31"/>
  <c r="U29" i="31"/>
  <c r="S30" i="31"/>
  <c r="U30" i="31"/>
  <c r="S32" i="31"/>
  <c r="U32" i="31"/>
  <c r="S31" i="31"/>
  <c r="U31" i="31"/>
  <c r="R60" i="31"/>
  <c r="F60" i="31"/>
  <c r="X31" i="31"/>
  <c r="T31" i="31"/>
  <c r="L31" i="31"/>
  <c r="P31" i="31"/>
  <c r="X32" i="31"/>
  <c r="T32" i="31"/>
  <c r="M32" i="31"/>
  <c r="L32" i="31"/>
  <c r="P32" i="31"/>
  <c r="X30" i="31"/>
  <c r="T30" i="31"/>
  <c r="L30" i="31"/>
  <c r="P30" i="31"/>
  <c r="X29" i="31"/>
  <c r="T29" i="31"/>
  <c r="L29" i="31"/>
  <c r="P29" i="31"/>
  <c r="X28" i="31"/>
  <c r="T28" i="31"/>
  <c r="L28" i="31"/>
  <c r="P28" i="31"/>
  <c r="X27" i="31"/>
  <c r="T27" i="31"/>
  <c r="L27" i="31"/>
  <c r="P27" i="31"/>
  <c r="X26" i="31"/>
  <c r="T26" i="31"/>
  <c r="L26" i="31"/>
  <c r="P26" i="31"/>
  <c r="X25" i="31"/>
  <c r="T25" i="31"/>
  <c r="L25" i="31"/>
  <c r="P25" i="31"/>
  <c r="X24" i="31"/>
  <c r="T24" i="31"/>
  <c r="L24" i="31"/>
  <c r="P24" i="31"/>
  <c r="X23" i="31"/>
  <c r="T23" i="31"/>
  <c r="L23" i="31"/>
  <c r="P23" i="31"/>
  <c r="X21" i="31"/>
  <c r="T21" i="31"/>
  <c r="L21" i="31"/>
  <c r="P21" i="31"/>
  <c r="X20" i="31"/>
  <c r="T20" i="31"/>
  <c r="L20" i="31"/>
  <c r="P20" i="31"/>
  <c r="X19" i="31"/>
  <c r="T19" i="31"/>
  <c r="L19" i="31"/>
  <c r="P19" i="31"/>
  <c r="X18" i="31"/>
  <c r="T18" i="31"/>
  <c r="L18" i="31"/>
  <c r="P18" i="31"/>
  <c r="X17" i="31"/>
  <c r="T17" i="31"/>
  <c r="L17" i="31"/>
  <c r="P17" i="31"/>
  <c r="X16" i="31"/>
  <c r="T16" i="31"/>
  <c r="L16" i="31"/>
  <c r="P16" i="31"/>
  <c r="X15" i="31"/>
  <c r="T15" i="31"/>
  <c r="L15" i="31"/>
  <c r="P15" i="31"/>
  <c r="X14" i="31"/>
  <c r="T14" i="31"/>
  <c r="L14" i="31"/>
  <c r="P14" i="31"/>
  <c r="X13" i="31"/>
  <c r="T13" i="31"/>
  <c r="L13" i="31"/>
  <c r="Q13" i="31"/>
  <c r="P13" i="31"/>
  <c r="X12" i="31"/>
  <c r="T12" i="31"/>
  <c r="L12" i="31"/>
  <c r="P12" i="31"/>
  <c r="X11" i="31"/>
  <c r="T11" i="31"/>
  <c r="L11" i="31"/>
  <c r="P11" i="31"/>
  <c r="X10" i="31"/>
  <c r="T10" i="31"/>
  <c r="L10" i="31"/>
  <c r="P10" i="31"/>
  <c r="X9" i="31"/>
  <c r="T9" i="31"/>
  <c r="L9" i="31"/>
  <c r="P9" i="31"/>
  <c r="V29" i="22"/>
  <c r="R29" i="22"/>
  <c r="F29" i="22"/>
  <c r="X12" i="22"/>
  <c r="T12" i="22"/>
  <c r="L12" i="22"/>
  <c r="P12" i="22"/>
  <c r="H12" i="22"/>
  <c r="X11" i="22"/>
  <c r="T11" i="22"/>
  <c r="L11" i="22"/>
  <c r="P11" i="22"/>
  <c r="H11" i="22"/>
  <c r="X14" i="22"/>
  <c r="T14" i="22"/>
  <c r="L14" i="22"/>
  <c r="P14" i="22"/>
  <c r="H14" i="22"/>
  <c r="X13" i="22"/>
  <c r="T13" i="22"/>
  <c r="L13" i="22"/>
  <c r="P13" i="22"/>
  <c r="I13" i="22"/>
  <c r="H13" i="22"/>
  <c r="X10" i="22"/>
  <c r="T10" i="22"/>
  <c r="L10" i="22"/>
  <c r="P10" i="22"/>
  <c r="H10" i="22"/>
  <c r="X9" i="22"/>
  <c r="T9" i="22"/>
  <c r="L9" i="22"/>
  <c r="P9" i="22"/>
  <c r="I9" i="22"/>
  <c r="H9" i="22"/>
  <c r="W9" i="21"/>
  <c r="IU9" i="21"/>
  <c r="V57" i="21"/>
  <c r="S13" i="21"/>
  <c r="U13" i="21"/>
  <c r="S23" i="21"/>
  <c r="S26" i="21"/>
  <c r="U26" i="21"/>
  <c r="S27" i="21"/>
  <c r="U27" i="21"/>
  <c r="S28" i="21"/>
  <c r="U28" i="21"/>
  <c r="S29" i="21"/>
  <c r="U29" i="21"/>
  <c r="S30" i="21"/>
  <c r="U30" i="21"/>
  <c r="S31" i="21"/>
  <c r="U31" i="21"/>
  <c r="S32" i="21"/>
  <c r="U32" i="21"/>
  <c r="S33" i="21"/>
  <c r="U33" i="21"/>
  <c r="S34" i="21"/>
  <c r="U34" i="21"/>
  <c r="S35" i="21"/>
  <c r="U35" i="21"/>
  <c r="S36" i="21"/>
  <c r="U36" i="21"/>
  <c r="S37" i="21"/>
  <c r="U37" i="21"/>
  <c r="S39" i="21"/>
  <c r="U39" i="21"/>
  <c r="S40" i="21"/>
  <c r="U40" i="21"/>
  <c r="S41" i="21"/>
  <c r="U41" i="21"/>
  <c r="S42" i="21"/>
  <c r="U42" i="21"/>
  <c r="R57" i="21"/>
  <c r="M22" i="21"/>
  <c r="M38" i="21"/>
  <c r="Q24" i="21"/>
  <c r="F57" i="21"/>
  <c r="X42" i="21"/>
  <c r="T42" i="21"/>
  <c r="L42" i="21"/>
  <c r="P42" i="21"/>
  <c r="H42" i="21"/>
  <c r="X41" i="21"/>
  <c r="T41" i="21"/>
  <c r="L41" i="21"/>
  <c r="Q41" i="21"/>
  <c r="P41" i="21"/>
  <c r="H41" i="21"/>
  <c r="X40" i="21"/>
  <c r="T40" i="21"/>
  <c r="L40" i="21"/>
  <c r="P40" i="21"/>
  <c r="H40" i="21"/>
  <c r="X39" i="21"/>
  <c r="T39" i="21"/>
  <c r="L39" i="21"/>
  <c r="P39" i="21"/>
  <c r="H39" i="21"/>
  <c r="X38" i="21"/>
  <c r="T38" i="21"/>
  <c r="L38" i="21"/>
  <c r="P38" i="21"/>
  <c r="H38" i="21"/>
  <c r="X37" i="21"/>
  <c r="T37" i="21"/>
  <c r="L37" i="21"/>
  <c r="P37" i="21"/>
  <c r="I37" i="21"/>
  <c r="H37" i="21"/>
  <c r="X36" i="21"/>
  <c r="T36" i="21"/>
  <c r="L36" i="21"/>
  <c r="P36" i="21"/>
  <c r="H36" i="21"/>
  <c r="X35" i="21"/>
  <c r="T35" i="21"/>
  <c r="L35" i="21"/>
  <c r="P35" i="21"/>
  <c r="H35" i="21"/>
  <c r="X34" i="21"/>
  <c r="T34" i="21"/>
  <c r="L34" i="21"/>
  <c r="P34" i="21"/>
  <c r="H34" i="21"/>
  <c r="X33" i="21"/>
  <c r="T33" i="21"/>
  <c r="L33" i="21"/>
  <c r="P33" i="21"/>
  <c r="H33" i="21"/>
  <c r="X32" i="21"/>
  <c r="T32" i="21"/>
  <c r="L32" i="21"/>
  <c r="P32" i="21"/>
  <c r="H32" i="21"/>
  <c r="X31" i="21"/>
  <c r="T31" i="21"/>
  <c r="L31" i="21"/>
  <c r="P31" i="21"/>
  <c r="H31" i="21"/>
  <c r="X30" i="21"/>
  <c r="T30" i="21"/>
  <c r="L30" i="21"/>
  <c r="P30" i="21"/>
  <c r="H30" i="21"/>
  <c r="X29" i="21"/>
  <c r="T29" i="21"/>
  <c r="L29" i="21"/>
  <c r="P29" i="21"/>
  <c r="I29" i="21"/>
  <c r="H29" i="21"/>
  <c r="X28" i="21"/>
  <c r="T28" i="21"/>
  <c r="M28" i="21"/>
  <c r="L28" i="21"/>
  <c r="P28" i="21"/>
  <c r="H28" i="21"/>
  <c r="X27" i="21"/>
  <c r="T27" i="21"/>
  <c r="L27" i="21"/>
  <c r="P27" i="21"/>
  <c r="H27" i="21"/>
  <c r="X26" i="21"/>
  <c r="T26" i="21"/>
  <c r="L26" i="21"/>
  <c r="P26" i="21"/>
  <c r="H26" i="21"/>
  <c r="X25" i="21"/>
  <c r="T25" i="21"/>
  <c r="L25" i="21"/>
  <c r="Q25" i="21"/>
  <c r="P25" i="21"/>
  <c r="I25" i="21"/>
  <c r="H25" i="21"/>
  <c r="X24" i="21"/>
  <c r="T24" i="21"/>
  <c r="L24" i="21"/>
  <c r="P24" i="21"/>
  <c r="H24" i="21"/>
  <c r="X23" i="21"/>
  <c r="T23" i="21"/>
  <c r="L23" i="21"/>
  <c r="P23" i="21"/>
  <c r="H23" i="21"/>
  <c r="X22" i="21"/>
  <c r="T22" i="21"/>
  <c r="L22" i="21"/>
  <c r="P22" i="21"/>
  <c r="H22" i="21"/>
  <c r="X21" i="21"/>
  <c r="T21" i="21"/>
  <c r="L21" i="21"/>
  <c r="P21" i="21"/>
  <c r="H21" i="21"/>
  <c r="X20" i="21"/>
  <c r="T20" i="21"/>
  <c r="L20" i="21"/>
  <c r="P20" i="21"/>
  <c r="I20" i="21"/>
  <c r="H20" i="21"/>
  <c r="X19" i="21"/>
  <c r="T19" i="21"/>
  <c r="L19" i="21"/>
  <c r="P19" i="21"/>
  <c r="H19" i="21"/>
  <c r="X18" i="21"/>
  <c r="T18" i="21"/>
  <c r="L18" i="21"/>
  <c r="P18" i="21"/>
  <c r="H18" i="21"/>
  <c r="X17" i="21"/>
  <c r="T17" i="21"/>
  <c r="L17" i="21"/>
  <c r="Q17" i="21"/>
  <c r="P17" i="21"/>
  <c r="H17" i="21"/>
  <c r="X16" i="21"/>
  <c r="T16" i="21"/>
  <c r="L16" i="21"/>
  <c r="P16" i="21"/>
  <c r="H16" i="21"/>
  <c r="X15" i="21"/>
  <c r="T15" i="21"/>
  <c r="L15" i="21"/>
  <c r="P15" i="21"/>
  <c r="H15" i="21"/>
  <c r="X14" i="21"/>
  <c r="T14" i="21"/>
  <c r="L14" i="21"/>
  <c r="P14" i="21"/>
  <c r="H14" i="21"/>
  <c r="X13" i="21"/>
  <c r="T13" i="21"/>
  <c r="L13" i="21"/>
  <c r="P13" i="21"/>
  <c r="H13" i="21"/>
  <c r="X12" i="21"/>
  <c r="T12" i="21"/>
  <c r="M12" i="21"/>
  <c r="L12" i="21"/>
  <c r="P12" i="21"/>
  <c r="I12" i="21"/>
  <c r="H12" i="21"/>
  <c r="X11" i="21"/>
  <c r="T11" i="21"/>
  <c r="L11" i="21"/>
  <c r="P11" i="21"/>
  <c r="H11" i="21"/>
  <c r="X10" i="21"/>
  <c r="T10" i="21"/>
  <c r="L10" i="21"/>
  <c r="P10" i="21"/>
  <c r="H10" i="21"/>
  <c r="X9" i="21"/>
  <c r="T9" i="21"/>
  <c r="L9" i="21"/>
  <c r="Q9" i="21"/>
  <c r="P9" i="21"/>
  <c r="I9" i="21"/>
  <c r="H9" i="21"/>
  <c r="BF18" i="34"/>
  <c r="BG23" i="34"/>
  <c r="BF23" i="34"/>
  <c r="BG17" i="34"/>
  <c r="BF17" i="34"/>
  <c r="BF16" i="34"/>
  <c r="BG9" i="34"/>
  <c r="IP9" i="34"/>
  <c r="IQ9" i="34"/>
  <c r="BG47" i="34"/>
  <c r="IP47" i="34"/>
  <c r="BG44" i="34"/>
  <c r="BG29" i="34"/>
  <c r="IP29" i="34"/>
  <c r="IO29" i="34"/>
  <c r="BG21" i="34"/>
  <c r="IP21" i="34"/>
  <c r="BG13" i="34"/>
  <c r="BG15" i="34"/>
  <c r="IP15" i="34"/>
  <c r="IO15" i="34"/>
  <c r="BF15" i="34"/>
  <c r="BG25" i="34"/>
  <c r="IP25" i="34"/>
  <c r="IO25" i="34"/>
  <c r="BG27" i="34"/>
  <c r="IP27" i="34"/>
  <c r="BF27" i="34"/>
  <c r="BG28" i="34"/>
  <c r="IP28" i="34"/>
  <c r="IO28" i="34"/>
  <c r="BG31" i="34"/>
  <c r="IP31" i="34"/>
  <c r="IQ31" i="34"/>
  <c r="BG32" i="34"/>
  <c r="IP32" i="34"/>
  <c r="BG33" i="34"/>
  <c r="BG34" i="34"/>
  <c r="IP34" i="34"/>
  <c r="BG35" i="34"/>
  <c r="IP35" i="34"/>
  <c r="IQ35" i="34"/>
  <c r="BF36" i="34"/>
  <c r="BG37" i="34"/>
  <c r="IP37" i="34"/>
  <c r="IO37" i="34"/>
  <c r="BG38" i="34"/>
  <c r="IP38" i="34"/>
  <c r="IO38" i="34"/>
  <c r="BG39" i="34"/>
  <c r="BG43" i="34"/>
  <c r="IP43" i="34"/>
  <c r="BF10" i="34"/>
  <c r="BF24" i="34"/>
  <c r="BF46" i="34"/>
  <c r="BF39" i="34"/>
  <c r="BF37" i="34"/>
  <c r="BF25" i="34"/>
  <c r="BF14" i="34"/>
  <c r="BF35" i="34"/>
  <c r="BF13" i="34"/>
  <c r="BF42" i="34"/>
  <c r="BF34" i="34"/>
  <c r="BF12" i="34"/>
  <c r="BF17" i="32"/>
  <c r="BF11" i="22"/>
  <c r="U21" i="35"/>
  <c r="BF22" i="34"/>
  <c r="BF21" i="34"/>
  <c r="BF12" i="22"/>
  <c r="BF10" i="32"/>
  <c r="U23" i="35"/>
  <c r="BF32" i="34"/>
  <c r="BF31" i="32"/>
  <c r="BF40" i="34"/>
  <c r="BF44" i="34"/>
  <c r="BF47" i="34"/>
  <c r="BG16" i="31"/>
  <c r="IP16" i="31"/>
  <c r="BF29" i="34"/>
  <c r="BG29" i="31"/>
  <c r="IP29" i="31"/>
  <c r="Q9" i="33"/>
  <c r="BF48" i="34"/>
  <c r="BF27" i="31"/>
  <c r="BF24" i="31"/>
  <c r="KK27" i="35"/>
  <c r="KR40" i="35"/>
  <c r="KR12" i="35"/>
  <c r="KK20" i="35"/>
  <c r="KK38" i="35"/>
  <c r="KK47" i="35"/>
  <c r="KK28" i="35"/>
  <c r="KM53" i="35"/>
  <c r="KK58" i="35"/>
  <c r="KI15" i="35"/>
  <c r="KH20" i="35"/>
  <c r="KM33" i="35"/>
  <c r="KH36" i="35"/>
  <c r="KH54" i="35"/>
  <c r="CL19" i="34"/>
  <c r="KN19" i="34"/>
  <c r="KK19" i="34"/>
  <c r="KR20" i="34"/>
  <c r="KM22" i="34"/>
  <c r="KK28" i="34"/>
  <c r="KK30" i="34"/>
  <c r="KI43" i="34"/>
  <c r="KM49" i="34"/>
  <c r="KI55" i="34"/>
  <c r="KF15" i="34"/>
  <c r="KI19" i="34"/>
  <c r="KK38" i="34"/>
  <c r="KR55" i="34"/>
  <c r="KK27" i="34"/>
  <c r="KM39" i="34"/>
  <c r="KI42" i="34"/>
  <c r="KI51" i="34"/>
  <c r="CL20" i="34"/>
  <c r="KN20" i="34"/>
  <c r="KM19" i="34"/>
  <c r="KR22" i="34"/>
  <c r="KH22" i="34"/>
  <c r="KM25" i="34"/>
  <c r="KI27" i="34"/>
  <c r="KH32" i="34"/>
  <c r="KH38" i="34"/>
  <c r="KH42" i="34"/>
  <c r="KK43" i="34"/>
  <c r="KR44" i="34"/>
  <c r="KR49" i="34"/>
  <c r="KI53" i="34"/>
  <c r="CL11" i="32"/>
  <c r="KN11" i="32"/>
  <c r="CL27" i="32"/>
  <c r="KN27" i="32"/>
  <c r="CL13" i="32"/>
  <c r="KN13" i="32"/>
  <c r="KR12" i="32"/>
  <c r="KH12" i="32"/>
  <c r="KI18" i="32"/>
  <c r="KM19" i="32"/>
  <c r="KM14" i="32"/>
  <c r="KK27" i="32"/>
  <c r="CL12" i="32"/>
  <c r="KN12" i="32"/>
  <c r="KM20" i="32"/>
  <c r="KM13" i="32"/>
  <c r="KK15" i="31"/>
  <c r="KM27" i="31"/>
  <c r="CH11" i="31"/>
  <c r="KJ11" i="31"/>
  <c r="CH13" i="31"/>
  <c r="KJ13" i="31"/>
  <c r="CH14" i="31"/>
  <c r="KJ14" i="31"/>
  <c r="KI25" i="31"/>
  <c r="CH12" i="21"/>
  <c r="KJ12" i="21"/>
  <c r="KH29" i="21"/>
  <c r="KR41" i="21"/>
  <c r="CH13" i="21"/>
  <c r="KJ13" i="21"/>
  <c r="CL25" i="21"/>
  <c r="KN25" i="21"/>
  <c r="CL23" i="21"/>
  <c r="KN23" i="21"/>
  <c r="CL24" i="21"/>
  <c r="KN24" i="21"/>
  <c r="KM15" i="21"/>
  <c r="KK27" i="21"/>
  <c r="KI37" i="21"/>
  <c r="KM35" i="21"/>
  <c r="KI99" i="19"/>
  <c r="KI62" i="19"/>
  <c r="KM59" i="19"/>
  <c r="KM51" i="19"/>
  <c r="KM47" i="19"/>
  <c r="KI46" i="19"/>
  <c r="KI28" i="19"/>
  <c r="KI24" i="19"/>
  <c r="KI20" i="19"/>
  <c r="KI16" i="19"/>
  <c r="KI12" i="19"/>
  <c r="KR66" i="19"/>
  <c r="KK65" i="19"/>
  <c r="KR58" i="19"/>
  <c r="KH54" i="19"/>
  <c r="KR48" i="19"/>
  <c r="KH46" i="19"/>
  <c r="KR32" i="19"/>
  <c r="KK23" i="19"/>
  <c r="KK15" i="19"/>
  <c r="KM64" i="19"/>
  <c r="KM62" i="19"/>
  <c r="KI57" i="19"/>
  <c r="KI51" i="19"/>
  <c r="KM26" i="19"/>
  <c r="KM18" i="19"/>
  <c r="KR67" i="19"/>
  <c r="KH63" i="19"/>
  <c r="KK56" i="19"/>
  <c r="KK48" i="19"/>
  <c r="KH33" i="19"/>
  <c r="KR21" i="19"/>
  <c r="KR17" i="19"/>
  <c r="KH17" i="19"/>
  <c r="KR13" i="19"/>
  <c r="KH13" i="19"/>
  <c r="FZ53" i="35"/>
  <c r="KG53" i="35"/>
  <c r="KI41" i="34"/>
  <c r="KR41" i="34"/>
  <c r="KR36" i="34"/>
  <c r="KH34" i="34"/>
  <c r="KI33" i="34"/>
  <c r="KR33" i="34"/>
  <c r="KM33" i="34"/>
  <c r="KM31" i="34"/>
  <c r="KH24" i="34"/>
  <c r="KI23" i="34"/>
  <c r="KR17" i="34"/>
  <c r="KM17" i="34"/>
  <c r="KR12" i="34"/>
  <c r="KI11" i="34"/>
  <c r="FZ33" i="34"/>
  <c r="CM17" i="32"/>
  <c r="KO17" i="32"/>
  <c r="KH100" i="19"/>
  <c r="KI94" i="19"/>
  <c r="KI86" i="19"/>
  <c r="KI84" i="19"/>
  <c r="KI82" i="19"/>
  <c r="KR98" i="19"/>
  <c r="KK97" i="19"/>
  <c r="KK91" i="19"/>
  <c r="KK89" i="19"/>
  <c r="KM96" i="19"/>
  <c r="KM92" i="19"/>
  <c r="KM84" i="19"/>
  <c r="KM80" i="19"/>
  <c r="KH95" i="19"/>
  <c r="KR91" i="19"/>
  <c r="KH87" i="19"/>
  <c r="KR83" i="19"/>
  <c r="KR75" i="19"/>
  <c r="KK81" i="19"/>
  <c r="KH81" i="19"/>
  <c r="KH79" i="19"/>
  <c r="KI78" i="19"/>
  <c r="KK77" i="19"/>
  <c r="CL77" i="19"/>
  <c r="KN77" i="19"/>
  <c r="KR77" i="19"/>
  <c r="KI76" i="19"/>
  <c r="KM76" i="19"/>
  <c r="KK73" i="19"/>
  <c r="KH73" i="19"/>
  <c r="KM72" i="19"/>
  <c r="KI70" i="19"/>
  <c r="KI68" i="19"/>
  <c r="KM68" i="19"/>
  <c r="CL68" i="19"/>
  <c r="KN68" i="19"/>
  <c r="KI60" i="19"/>
  <c r="CN43" i="19"/>
  <c r="KP43" i="19"/>
  <c r="CN41" i="19"/>
  <c r="KP41" i="19"/>
  <c r="KH41" i="19"/>
  <c r="KM39" i="19"/>
  <c r="KK39" i="19"/>
  <c r="CN39" i="19"/>
  <c r="KP39" i="19"/>
  <c r="KR37" i="19"/>
  <c r="KI36" i="19"/>
  <c r="KM34" i="19"/>
  <c r="CN34" i="19"/>
  <c r="KP34" i="19"/>
  <c r="KK31" i="19"/>
  <c r="CN30" i="19"/>
  <c r="CN29" i="19"/>
  <c r="KP29" i="19"/>
  <c r="KR29" i="19"/>
  <c r="KK27" i="19"/>
  <c r="CN27" i="19"/>
  <c r="KP27" i="19"/>
  <c r="KH25" i="19"/>
  <c r="KM10" i="19"/>
  <c r="KR21" i="32"/>
  <c r="FZ9" i="22"/>
  <c r="U63" i="19"/>
  <c r="Q47" i="19"/>
  <c r="U77" i="19"/>
  <c r="U66" i="19"/>
  <c r="Q10" i="33"/>
  <c r="AD63" i="39"/>
  <c r="AD36" i="19"/>
  <c r="AD28" i="19"/>
  <c r="BF31" i="34"/>
  <c r="Y10" i="39"/>
  <c r="BF23" i="31"/>
  <c r="BG19" i="19"/>
  <c r="IP19" i="19"/>
  <c r="U38" i="19"/>
  <c r="BG96" i="19"/>
  <c r="BG11" i="19"/>
  <c r="IP11" i="19"/>
  <c r="BG23" i="19"/>
  <c r="IP23" i="19"/>
  <c r="BG15" i="19"/>
  <c r="U72" i="19"/>
  <c r="Y79" i="39"/>
  <c r="AD20" i="39"/>
  <c r="AD32" i="39"/>
  <c r="KH32" i="35"/>
  <c r="KH45" i="34"/>
  <c r="KI22" i="35"/>
  <c r="KH22" i="35"/>
  <c r="KR18" i="35"/>
  <c r="KM25" i="35"/>
  <c r="KM21" i="35"/>
  <c r="KI11" i="35"/>
  <c r="KR14" i="35"/>
  <c r="KR10" i="35"/>
  <c r="CL24" i="35"/>
  <c r="KN24" i="35"/>
  <c r="KR21" i="35"/>
  <c r="KH24" i="35"/>
  <c r="KH50" i="35"/>
  <c r="KR23" i="35"/>
  <c r="KI25" i="35"/>
  <c r="KI33" i="35"/>
  <c r="KH57" i="35"/>
  <c r="KH38" i="35"/>
  <c r="KR45" i="35"/>
  <c r="KK42" i="35"/>
  <c r="KI27" i="35"/>
  <c r="KK24" i="35"/>
  <c r="KI35" i="35"/>
  <c r="KR26" i="35"/>
  <c r="KK12" i="35"/>
  <c r="KM55" i="35"/>
  <c r="KH14" i="35"/>
  <c r="KK48" i="35"/>
  <c r="KH30" i="35"/>
  <c r="KH15" i="34"/>
  <c r="CL9" i="32"/>
  <c r="KN9" i="32"/>
  <c r="KH17" i="31"/>
  <c r="KR21" i="31"/>
  <c r="KK14" i="31"/>
  <c r="KM12" i="31"/>
  <c r="KI14" i="31"/>
  <c r="KR29" i="31"/>
  <c r="KH30" i="31"/>
  <c r="KI32" i="21"/>
  <c r="KR25" i="21"/>
  <c r="KR20" i="19"/>
  <c r="KR16" i="19"/>
  <c r="KR28" i="19"/>
  <c r="KR36" i="19"/>
  <c r="KR40" i="19"/>
  <c r="KI27" i="19"/>
  <c r="KM33" i="19"/>
  <c r="KI97" i="19"/>
  <c r="KH53" i="19"/>
  <c r="KI65" i="19"/>
  <c r="KM67" i="19"/>
  <c r="KH49" i="19"/>
  <c r="KH78" i="19"/>
  <c r="KK88" i="19"/>
  <c r="KK96" i="19"/>
  <c r="KH86" i="19"/>
  <c r="KM75" i="19"/>
  <c r="KM87" i="19"/>
  <c r="KI98" i="19"/>
  <c r="KH57" i="19"/>
  <c r="KM54" i="19"/>
  <c r="KH24" i="19"/>
  <c r="KM79" i="19"/>
  <c r="KI81" i="19"/>
  <c r="KK80" i="19"/>
  <c r="KI89" i="19"/>
  <c r="KH94" i="19"/>
  <c r="KM100" i="19"/>
  <c r="KK18" i="19"/>
  <c r="KI15" i="19"/>
  <c r="KI19" i="19"/>
  <c r="KI23" i="19"/>
  <c r="KK38" i="19"/>
  <c r="KM71" i="19"/>
  <c r="KM17" i="19"/>
  <c r="CL70" i="19"/>
  <c r="KN70" i="19"/>
  <c r="CN38" i="19"/>
  <c r="KP38" i="19"/>
  <c r="CL31" i="19"/>
  <c r="KN31" i="19"/>
  <c r="CL25" i="19"/>
  <c r="KN25" i="19"/>
  <c r="CH10" i="19"/>
  <c r="KJ10" i="19"/>
  <c r="KR97" i="19"/>
  <c r="KM94" i="19"/>
  <c r="KH93" i="19"/>
  <c r="KI92" i="19"/>
  <c r="KI88" i="19"/>
  <c r="KK87" i="19"/>
  <c r="KR85" i="19"/>
  <c r="KH77" i="19"/>
  <c r="KK71" i="19"/>
  <c r="KH69" i="19"/>
  <c r="KK67" i="19"/>
  <c r="KM66" i="19"/>
  <c r="KH65" i="19"/>
  <c r="KI59" i="19"/>
  <c r="KR56" i="19"/>
  <c r="KM53" i="19"/>
  <c r="KH52" i="19"/>
  <c r="KK50" i="19"/>
  <c r="KI43" i="19"/>
  <c r="KH39" i="19"/>
  <c r="KM24" i="19"/>
  <c r="KR19" i="19"/>
  <c r="KI18" i="19"/>
  <c r="KH15" i="19"/>
  <c r="KH38" i="19"/>
  <c r="CL37" i="19"/>
  <c r="KN37" i="19"/>
  <c r="CL72" i="19"/>
  <c r="KN72" i="19"/>
  <c r="CL74" i="19"/>
  <c r="KN74" i="19"/>
  <c r="CL76" i="19"/>
  <c r="KN76" i="19"/>
  <c r="CL95" i="19"/>
  <c r="KN95" i="19"/>
  <c r="CL100" i="19"/>
  <c r="KN100" i="19"/>
  <c r="CL102" i="19"/>
  <c r="KN102" i="19"/>
  <c r="CL104" i="19"/>
  <c r="KN104" i="19"/>
  <c r="CL105" i="19"/>
  <c r="KN105" i="19"/>
  <c r="CL106" i="19"/>
  <c r="KN106" i="19"/>
  <c r="KR76" i="19"/>
  <c r="KM61" i="19"/>
  <c r="KH107" i="19"/>
  <c r="KR99" i="19"/>
  <c r="KR74" i="19"/>
  <c r="KH70" i="19"/>
  <c r="KH62" i="19"/>
  <c r="KK59" i="19"/>
  <c r="KK51" i="19"/>
  <c r="KR49" i="19"/>
  <c r="KR45" i="19"/>
  <c r="KH32" i="19"/>
  <c r="KI31" i="19"/>
  <c r="KK30" i="19"/>
  <c r="KM29" i="19"/>
  <c r="KH28" i="19"/>
  <c r="KK26" i="19"/>
  <c r="KM21" i="19"/>
  <c r="CN40" i="19"/>
  <c r="KP40" i="19"/>
  <c r="CN36" i="19"/>
  <c r="KP36" i="19"/>
  <c r="KR34" i="19"/>
  <c r="KK78" i="19"/>
  <c r="KR88" i="19"/>
  <c r="KH55" i="19"/>
  <c r="KI58" i="19"/>
  <c r="KM107" i="19"/>
  <c r="KR10" i="19"/>
  <c r="KR92" i="19"/>
  <c r="KK66" i="19"/>
  <c r="KM48" i="19"/>
  <c r="KR26" i="19"/>
  <c r="KR64" i="19"/>
  <c r="KM15" i="19"/>
  <c r="KI54" i="19"/>
  <c r="KK74" i="19"/>
  <c r="KI75" i="19"/>
  <c r="KH47" i="19"/>
  <c r="KK62" i="19"/>
  <c r="KM44" i="19"/>
  <c r="KI50" i="19"/>
  <c r="KK105" i="19"/>
  <c r="CN15" i="19"/>
  <c r="KP15" i="19"/>
  <c r="KK99" i="19"/>
  <c r="KK94" i="19"/>
  <c r="KM93" i="19"/>
  <c r="KH92" i="19"/>
  <c r="KI91" i="19"/>
  <c r="KK86" i="19"/>
  <c r="KM85" i="19"/>
  <c r="KH84" i="19"/>
  <c r="KI83" i="19"/>
  <c r="KR80" i="19"/>
  <c r="KM77" i="19"/>
  <c r="KH76" i="19"/>
  <c r="KR72" i="19"/>
  <c r="KM69" i="19"/>
  <c r="KH68" i="19"/>
  <c r="KI67" i="19"/>
  <c r="KR59" i="19"/>
  <c r="KM56" i="19"/>
  <c r="KM52" i="19"/>
  <c r="KR51" i="19"/>
  <c r="KH43" i="19"/>
  <c r="KM40" i="19"/>
  <c r="KK37" i="19"/>
  <c r="KR35" i="19"/>
  <c r="KM32" i="19"/>
  <c r="KI26" i="19"/>
  <c r="KK21" i="19"/>
  <c r="KM16" i="19"/>
  <c r="KK10" i="32"/>
  <c r="KM16" i="21"/>
  <c r="Q11" i="21"/>
  <c r="KI9" i="21"/>
  <c r="KR10" i="32"/>
  <c r="KM9" i="34"/>
  <c r="KR38" i="35"/>
  <c r="KI17" i="35"/>
  <c r="KM29" i="35"/>
  <c r="KK40" i="35"/>
  <c r="KM23" i="35"/>
  <c r="KM12" i="35"/>
  <c r="KH16" i="35"/>
  <c r="KI45" i="35"/>
  <c r="KK10" i="35"/>
  <c r="KK103" i="19"/>
  <c r="KK104" i="19"/>
  <c r="M62" i="19"/>
  <c r="M50" i="19"/>
  <c r="M46" i="19"/>
  <c r="U60" i="19"/>
  <c r="KK102" i="19"/>
  <c r="IU53" i="19"/>
  <c r="KI9" i="19"/>
  <c r="KR107" i="19"/>
  <c r="KR106" i="19"/>
  <c r="KR104" i="19"/>
  <c r="KR101" i="19"/>
  <c r="KK107" i="19"/>
  <c r="KM102" i="19"/>
  <c r="KH102" i="19"/>
  <c r="GY22" i="33"/>
  <c r="HP15" i="33"/>
  <c r="HP13" i="33"/>
  <c r="GY65" i="21"/>
  <c r="HK65" i="21"/>
  <c r="GY37" i="22"/>
  <c r="HK37" i="22"/>
  <c r="KH60" i="19"/>
  <c r="KH53" i="35"/>
  <c r="BF49" i="39"/>
  <c r="BF47" i="39"/>
  <c r="BF45" i="39"/>
  <c r="BF23" i="39"/>
  <c r="BF25" i="39"/>
  <c r="BF10" i="39"/>
  <c r="BF19" i="39"/>
  <c r="BF75" i="39"/>
  <c r="BF73" i="39"/>
  <c r="BF71" i="39"/>
  <c r="BF69" i="39"/>
  <c r="BF29" i="39"/>
  <c r="BF21" i="39"/>
  <c r="KM15" i="34"/>
  <c r="BF33" i="39"/>
  <c r="BF79" i="39"/>
  <c r="BF36" i="39"/>
  <c r="Y45" i="39"/>
  <c r="BF82" i="39"/>
  <c r="BF77" i="39"/>
  <c r="BF17" i="39"/>
  <c r="BF14" i="39"/>
  <c r="AD71" i="39"/>
  <c r="BF54" i="39"/>
  <c r="BF50" i="39"/>
  <c r="BF48" i="39"/>
  <c r="Y22" i="39"/>
  <c r="BF74" i="39"/>
  <c r="BF72" i="39"/>
  <c r="BF70" i="39"/>
  <c r="BF68" i="39"/>
  <c r="BF46" i="39"/>
  <c r="BF39" i="39"/>
  <c r="BF27" i="39"/>
  <c r="BF66" i="39"/>
  <c r="BF64" i="39"/>
  <c r="BE64" i="39"/>
  <c r="BF62" i="39"/>
  <c r="BF57" i="39"/>
  <c r="BF22" i="39"/>
  <c r="BF61" i="39"/>
  <c r="BF58" i="39"/>
  <c r="BF44" i="39"/>
  <c r="BF30" i="39"/>
  <c r="BF35" i="39"/>
  <c r="HW110" i="39"/>
  <c r="IO30" i="39"/>
  <c r="BF19" i="34"/>
  <c r="BF20" i="34"/>
  <c r="KF70" i="39"/>
  <c r="KG33" i="31"/>
  <c r="GD123" i="19"/>
  <c r="KM123" i="19"/>
  <c r="KK59" i="39"/>
  <c r="GE62" i="35"/>
  <c r="KR62" i="35"/>
  <c r="KI61" i="35"/>
  <c r="OJ27" i="34"/>
  <c r="IU112" i="19"/>
  <c r="OQ82" i="19"/>
  <c r="OT82" i="19"/>
  <c r="OQ33" i="19"/>
  <c r="OT33" i="19"/>
  <c r="OR42" i="19"/>
  <c r="OK42" i="19"/>
  <c r="AV123" i="19"/>
  <c r="HC36" i="39"/>
  <c r="HC17" i="31"/>
  <c r="HE17" i="31"/>
  <c r="KF102" i="19"/>
  <c r="CG102" i="19"/>
  <c r="KI102" i="19"/>
  <c r="OJ55" i="39"/>
  <c r="OJ21" i="31"/>
  <c r="OJ35" i="34"/>
  <c r="OJ24" i="34"/>
  <c r="HC83" i="39"/>
  <c r="FZ12" i="33"/>
  <c r="OQ45" i="35"/>
  <c r="OT45" i="35"/>
  <c r="OJ45" i="35"/>
  <c r="BG27" i="32"/>
  <c r="IP27" i="32"/>
  <c r="GC111" i="19"/>
  <c r="KK111" i="19"/>
  <c r="KG21" i="35"/>
  <c r="KF71" i="39"/>
  <c r="OJ32" i="39"/>
  <c r="OJ17" i="19"/>
  <c r="OQ17" i="19"/>
  <c r="OT17" i="19"/>
  <c r="FZ62" i="39"/>
  <c r="OJ49" i="39"/>
  <c r="OJ44" i="34"/>
  <c r="OQ80" i="19"/>
  <c r="OT80" i="19"/>
  <c r="OQ16" i="35"/>
  <c r="OT16" i="35"/>
  <c r="OJ16" i="35"/>
  <c r="IY37" i="31"/>
  <c r="JC112" i="19"/>
  <c r="GE123" i="19"/>
  <c r="KR123" i="19"/>
  <c r="HC68" i="19"/>
  <c r="HE68" i="19"/>
  <c r="OH68" i="19"/>
  <c r="HC39" i="19"/>
  <c r="GC49" i="21"/>
  <c r="GC48" i="21"/>
  <c r="AD57" i="34"/>
  <c r="HC27" i="19"/>
  <c r="HE27" i="19"/>
  <c r="OH27" i="19"/>
  <c r="OJ60" i="19"/>
  <c r="OJ55" i="19"/>
  <c r="OJ49" i="19"/>
  <c r="HC104" i="19"/>
  <c r="KR47" i="21"/>
  <c r="KK48" i="21"/>
  <c r="OJ106" i="19"/>
  <c r="HC11" i="22"/>
  <c r="HE11" i="22"/>
  <c r="OF13" i="33"/>
  <c r="HE21" i="35"/>
  <c r="OH21" i="35"/>
  <c r="Y16" i="19"/>
  <c r="IU16" i="19"/>
  <c r="KG13" i="39"/>
  <c r="FZ13" i="39"/>
  <c r="KG29" i="39"/>
  <c r="OQ76" i="39"/>
  <c r="OT76" i="39"/>
  <c r="OJ76" i="39"/>
  <c r="OJ9" i="32"/>
  <c r="IO111" i="19"/>
  <c r="IQ111" i="19"/>
  <c r="BA112" i="19"/>
  <c r="KG28" i="22"/>
  <c r="FZ28" i="22"/>
  <c r="KG43" i="31"/>
  <c r="FZ43" i="31"/>
  <c r="OJ22" i="35"/>
  <c r="HC70" i="39"/>
  <c r="HE70" i="39"/>
  <c r="HC46" i="34"/>
  <c r="HE46" i="34"/>
  <c r="Y59" i="34"/>
  <c r="OQ65" i="19"/>
  <c r="OT65" i="19"/>
  <c r="OJ95" i="19"/>
  <c r="OQ87" i="19"/>
  <c r="OT87" i="19"/>
  <c r="OQ58" i="19"/>
  <c r="OT58" i="19"/>
  <c r="OQ28" i="19"/>
  <c r="OT28" i="19"/>
  <c r="OQ13" i="19"/>
  <c r="OT13" i="19"/>
  <c r="OJ100" i="19"/>
  <c r="HC83" i="19"/>
  <c r="HE83" i="19"/>
  <c r="OJ78" i="19"/>
  <c r="OQ39" i="19"/>
  <c r="OT39" i="19"/>
  <c r="OJ39" i="19"/>
  <c r="HC62" i="19"/>
  <c r="HE62" i="19"/>
  <c r="OH62" i="19"/>
  <c r="OK62" i="19"/>
  <c r="AD15" i="22"/>
  <c r="KG62" i="35"/>
  <c r="FZ62" i="35"/>
  <c r="OJ25" i="19"/>
  <c r="OQ25" i="19"/>
  <c r="OT25" i="19"/>
  <c r="OQ72" i="19"/>
  <c r="OT72" i="19"/>
  <c r="OJ105" i="19"/>
  <c r="OJ46" i="35"/>
  <c r="OP13" i="33"/>
  <c r="IU48" i="21"/>
  <c r="HC56" i="19"/>
  <c r="HE56" i="19"/>
  <c r="HC43" i="19"/>
  <c r="HE43" i="19"/>
  <c r="HC43" i="35"/>
  <c r="HE43" i="35"/>
  <c r="OH43" i="35"/>
  <c r="OR43" i="35"/>
  <c r="HC19" i="35"/>
  <c r="HE19" i="35"/>
  <c r="CE59" i="19"/>
  <c r="KG59" i="19"/>
  <c r="CE58" i="39"/>
  <c r="KQ9" i="39"/>
  <c r="KF22" i="39"/>
  <c r="OT68" i="39"/>
  <c r="OT55" i="39"/>
  <c r="OT37" i="39"/>
  <c r="OT23" i="32"/>
  <c r="HX111" i="19"/>
  <c r="HZ111" i="19"/>
  <c r="HV111" i="19"/>
  <c r="AX112" i="19"/>
  <c r="AV15" i="22"/>
  <c r="HZ28" i="22"/>
  <c r="IA28" i="22"/>
  <c r="HX28" i="22"/>
  <c r="AY28" i="22"/>
  <c r="IO60" i="34"/>
  <c r="HV61" i="34"/>
  <c r="AX28" i="22"/>
  <c r="HX61" i="34"/>
  <c r="Y61" i="34"/>
  <c r="AD64" i="35"/>
  <c r="Y61" i="35"/>
  <c r="IY63" i="35"/>
  <c r="OQ71" i="19"/>
  <c r="OT71" i="19"/>
  <c r="OJ67" i="19"/>
  <c r="HC75" i="19"/>
  <c r="OQ70" i="19"/>
  <c r="OT70" i="19"/>
  <c r="OQ10" i="33"/>
  <c r="OJ10" i="33"/>
  <c r="HC97" i="19"/>
  <c r="HE97" i="19"/>
  <c r="OH97" i="19"/>
  <c r="OL97" i="19"/>
  <c r="HC71" i="19"/>
  <c r="HE71" i="19"/>
  <c r="OT51" i="19"/>
  <c r="OT106" i="19"/>
  <c r="KM61" i="34"/>
  <c r="OQ31" i="35"/>
  <c r="OJ31" i="35"/>
  <c r="OO13" i="33"/>
  <c r="HC23" i="35"/>
  <c r="CG105" i="19"/>
  <c r="KF105" i="19"/>
  <c r="KF101" i="19"/>
  <c r="CG107" i="19"/>
  <c r="KI107" i="19"/>
  <c r="KF107" i="19"/>
  <c r="IY20" i="19"/>
  <c r="OJ45" i="34"/>
  <c r="IY52" i="39"/>
  <c r="IY23" i="39"/>
  <c r="CE81" i="39"/>
  <c r="OQ16" i="39"/>
  <c r="OT16" i="39"/>
  <c r="OJ16" i="39"/>
  <c r="OQ54" i="39"/>
  <c r="OT54" i="39"/>
  <c r="OJ54" i="39"/>
  <c r="OJ20" i="32"/>
  <c r="OJ23" i="32"/>
  <c r="OQ24" i="39"/>
  <c r="OT24" i="39"/>
  <c r="OJ24" i="39"/>
  <c r="KG40" i="31"/>
  <c r="Y103" i="19"/>
  <c r="IU103" i="19"/>
  <c r="BF52" i="39"/>
  <c r="FZ37" i="39"/>
  <c r="IY60" i="39"/>
  <c r="CE53" i="39"/>
  <c r="OP107" i="19"/>
  <c r="Q107" i="19"/>
  <c r="GA111" i="19"/>
  <c r="KH111" i="19"/>
  <c r="KK34" i="31"/>
  <c r="IY79" i="39"/>
  <c r="IY65" i="39"/>
  <c r="IY63" i="39"/>
  <c r="IY59" i="39"/>
  <c r="KM40" i="39"/>
  <c r="KM24" i="39"/>
  <c r="IO12" i="33"/>
  <c r="IY77" i="19"/>
  <c r="IY45" i="19"/>
  <c r="IY33" i="19"/>
  <c r="KF106" i="19"/>
  <c r="KK85" i="39"/>
  <c r="KH31" i="39"/>
  <c r="AX123" i="19"/>
  <c r="BA123" i="19"/>
  <c r="IY15" i="22"/>
  <c r="OJ90" i="19"/>
  <c r="KR27" i="39"/>
  <c r="KK21" i="39"/>
  <c r="KI34" i="39"/>
  <c r="OJ11" i="22"/>
  <c r="OJ12" i="19"/>
  <c r="JC61" i="34"/>
  <c r="OQ81" i="19"/>
  <c r="OT81" i="19"/>
  <c r="OJ81" i="19"/>
  <c r="OQ24" i="35"/>
  <c r="OT24" i="35"/>
  <c r="OJ24" i="35"/>
  <c r="KG63" i="39"/>
  <c r="OJ68" i="39"/>
  <c r="Y123" i="19"/>
  <c r="IU123" i="19"/>
  <c r="OJ56" i="19"/>
  <c r="OQ56" i="19"/>
  <c r="OT56" i="19"/>
  <c r="OJ35" i="35"/>
  <c r="OQ35" i="35"/>
  <c r="OT35" i="35"/>
  <c r="OQ10" i="35"/>
  <c r="OT10" i="35"/>
  <c r="OJ10" i="35"/>
  <c r="OK41" i="35"/>
  <c r="GB22" i="31"/>
  <c r="M22" i="31"/>
  <c r="GE65" i="19"/>
  <c r="KR65" i="19"/>
  <c r="OQ30" i="39"/>
  <c r="OT30" i="39"/>
  <c r="OJ30" i="39"/>
  <c r="OP39" i="39"/>
  <c r="Q39" i="39"/>
  <c r="Y105" i="19"/>
  <c r="HC35" i="39"/>
  <c r="HE35" i="39"/>
  <c r="HG35" i="39"/>
  <c r="HH35" i="39"/>
  <c r="IY83" i="39"/>
  <c r="OQ47" i="19"/>
  <c r="OT47" i="19"/>
  <c r="OJ47" i="19"/>
  <c r="OJ38" i="19"/>
  <c r="OQ38" i="19"/>
  <c r="OT38" i="19"/>
  <c r="OJ104" i="19"/>
  <c r="OQ93" i="19"/>
  <c r="OT93" i="19"/>
  <c r="GE49" i="21"/>
  <c r="GA15" i="22"/>
  <c r="GD59" i="31"/>
  <c r="KM59" i="31"/>
  <c r="GA37" i="31"/>
  <c r="KR40" i="31"/>
  <c r="GB39" i="31"/>
  <c r="KI39" i="31"/>
  <c r="OJ98" i="19"/>
  <c r="OQ98" i="19"/>
  <c r="OT98" i="19"/>
  <c r="KK15" i="22"/>
  <c r="KK9" i="22"/>
  <c r="KK13" i="22"/>
  <c r="KK28" i="22"/>
  <c r="GB41" i="31"/>
  <c r="KI41" i="31"/>
  <c r="KH22" i="31"/>
  <c r="Q66" i="39"/>
  <c r="OJ75" i="39"/>
  <c r="GA112" i="19"/>
  <c r="KH112" i="19"/>
  <c r="GB86" i="39"/>
  <c r="KI86" i="39"/>
  <c r="GD84" i="39"/>
  <c r="KM84" i="39"/>
  <c r="KR79" i="39"/>
  <c r="GB78" i="39"/>
  <c r="KI78" i="39"/>
  <c r="GD76" i="39"/>
  <c r="KM76" i="39"/>
  <c r="KG47" i="39"/>
  <c r="FZ47" i="39"/>
  <c r="OJ62" i="39"/>
  <c r="KI67" i="39"/>
  <c r="GB36" i="31"/>
  <c r="KI36" i="31"/>
  <c r="M23" i="39"/>
  <c r="KM65" i="39"/>
  <c r="KK62" i="39"/>
  <c r="OJ37" i="39"/>
  <c r="OJ42" i="34"/>
  <c r="KM43" i="31"/>
  <c r="KR44" i="39"/>
  <c r="KI9" i="39"/>
  <c r="KM46" i="21"/>
  <c r="GB12" i="33"/>
  <c r="KI12" i="33"/>
  <c r="GB60" i="34"/>
  <c r="PQ103" i="19"/>
  <c r="PQ107" i="19"/>
  <c r="KG59" i="31"/>
  <c r="OQ74" i="19"/>
  <c r="OT74" i="19"/>
  <c r="KM22" i="31"/>
  <c r="PQ42" i="19"/>
  <c r="HC111" i="19"/>
  <c r="HE111" i="19"/>
  <c r="HG111" i="19"/>
  <c r="OQ94" i="19"/>
  <c r="OT94" i="19"/>
  <c r="OQ68" i="19"/>
  <c r="OT68" i="19"/>
  <c r="Y59" i="39"/>
  <c r="OJ22" i="39"/>
  <c r="OJ15" i="32"/>
  <c r="HC47" i="34"/>
  <c r="HE47" i="34"/>
  <c r="OH47" i="34"/>
  <c r="OK47" i="34"/>
  <c r="OJ51" i="34"/>
  <c r="OJ65" i="39"/>
  <c r="OJ13" i="34"/>
  <c r="OQ44" i="19"/>
  <c r="OT44" i="19"/>
  <c r="HC49" i="34"/>
  <c r="HC92" i="19"/>
  <c r="HE92" i="19"/>
  <c r="OH92" i="19"/>
  <c r="OK92" i="19"/>
  <c r="PQ9" i="19"/>
  <c r="GB10" i="22"/>
  <c r="OJ39" i="39"/>
  <c r="OQ47" i="39"/>
  <c r="OT47" i="39"/>
  <c r="OJ47" i="39"/>
  <c r="GB57" i="39"/>
  <c r="KI57" i="39"/>
  <c r="GC12" i="33"/>
  <c r="KK12" i="33"/>
  <c r="GE61" i="34"/>
  <c r="KR61" i="34"/>
  <c r="GB64" i="35"/>
  <c r="KI64" i="35"/>
  <c r="AD22" i="31"/>
  <c r="KG56" i="39"/>
  <c r="FZ56" i="39"/>
  <c r="OQ79" i="39"/>
  <c r="OT79" i="39"/>
  <c r="OJ79" i="39"/>
  <c r="M25" i="39"/>
  <c r="OQ23" i="31"/>
  <c r="OT23" i="31"/>
  <c r="OJ23" i="31"/>
  <c r="OQ29" i="34"/>
  <c r="OT29" i="34"/>
  <c r="OJ29" i="34"/>
  <c r="IY57" i="34"/>
  <c r="OQ46" i="39"/>
  <c r="OT46" i="39"/>
  <c r="OJ20" i="19"/>
  <c r="KG64" i="35"/>
  <c r="FZ64" i="35"/>
  <c r="OQ101" i="19"/>
  <c r="OT101" i="19"/>
  <c r="OQ53" i="35"/>
  <c r="OT53" i="35"/>
  <c r="OJ53" i="35"/>
  <c r="OQ48" i="35"/>
  <c r="OT48" i="35"/>
  <c r="OJ48" i="35"/>
  <c r="OJ18" i="35"/>
  <c r="OQ18" i="35"/>
  <c r="OT18" i="35"/>
  <c r="OQ50" i="35"/>
  <c r="OT50" i="35"/>
  <c r="HC22" i="31"/>
  <c r="HE22" i="31"/>
  <c r="KR22" i="31"/>
  <c r="OP84" i="39"/>
  <c r="Q83" i="39"/>
  <c r="OJ47" i="35"/>
  <c r="OQ47" i="35"/>
  <c r="OT47" i="35"/>
  <c r="GC112" i="19"/>
  <c r="KK112" i="19"/>
  <c r="GD13" i="39"/>
  <c r="KH40" i="19"/>
  <c r="M29" i="19"/>
  <c r="Q52" i="19"/>
  <c r="FZ21" i="39"/>
  <c r="OJ76" i="19"/>
  <c r="OQ86" i="19"/>
  <c r="OT86" i="19"/>
  <c r="KG36" i="39"/>
  <c r="FZ36" i="39"/>
  <c r="KG12" i="39"/>
  <c r="FZ12" i="39"/>
  <c r="AD59" i="39"/>
  <c r="OQ78" i="39"/>
  <c r="OT78" i="39"/>
  <c r="OJ78" i="39"/>
  <c r="OQ14" i="39"/>
  <c r="OT14" i="39"/>
  <c r="GD9" i="33"/>
  <c r="KM9" i="33"/>
  <c r="OP54" i="39"/>
  <c r="Q54" i="39"/>
  <c r="OO65" i="19"/>
  <c r="OP77" i="19"/>
  <c r="Q77" i="19"/>
  <c r="Q64" i="19"/>
  <c r="OP93" i="19"/>
  <c r="Q93" i="19"/>
  <c r="OP96" i="19"/>
  <c r="Q96" i="19"/>
  <c r="GA86" i="39"/>
  <c r="KH86" i="39"/>
  <c r="GC84" i="39"/>
  <c r="KK84" i="39"/>
  <c r="GE82" i="39"/>
  <c r="KR82" i="39"/>
  <c r="GB73" i="39"/>
  <c r="GC73" i="39"/>
  <c r="GE73" i="39"/>
  <c r="KI73" i="39"/>
  <c r="GD63" i="39"/>
  <c r="KM63" i="39"/>
  <c r="KI10" i="22"/>
  <c r="GC9" i="22"/>
  <c r="GD42" i="31"/>
  <c r="KM42" i="31"/>
  <c r="BI80" i="39"/>
  <c r="GA62" i="39"/>
  <c r="KH62" i="39"/>
  <c r="GD55" i="39"/>
  <c r="KM55" i="39"/>
  <c r="GA54" i="39"/>
  <c r="KH54" i="39"/>
  <c r="GB49" i="39"/>
  <c r="KI49" i="39"/>
  <c r="GC40" i="39"/>
  <c r="KK40" i="39"/>
  <c r="GE38" i="39"/>
  <c r="KR38" i="39"/>
  <c r="GB37" i="39"/>
  <c r="KI37" i="39"/>
  <c r="GA34" i="39"/>
  <c r="KH34" i="39"/>
  <c r="GC32" i="39"/>
  <c r="KK32" i="39"/>
  <c r="GB29" i="39"/>
  <c r="GC29" i="39"/>
  <c r="KI29" i="39"/>
  <c r="GB21" i="39"/>
  <c r="KI21" i="39"/>
  <c r="KM9" i="39"/>
  <c r="GB14" i="22"/>
  <c r="KI14" i="22"/>
  <c r="GD12" i="22"/>
  <c r="KM12" i="22"/>
  <c r="HD13" i="33"/>
  <c r="GC55" i="19"/>
  <c r="KK55" i="19"/>
  <c r="GC70" i="19"/>
  <c r="KD70" i="19"/>
  <c r="KE70" i="19"/>
  <c r="KK70" i="19"/>
  <c r="GD78" i="39"/>
  <c r="GC75" i="39"/>
  <c r="KK75" i="39"/>
  <c r="OP97" i="19"/>
  <c r="Q97" i="19"/>
  <c r="OP79" i="19"/>
  <c r="Q79" i="19"/>
  <c r="OP102" i="19"/>
  <c r="Q102" i="19"/>
  <c r="OP38" i="19"/>
  <c r="Q38" i="19"/>
  <c r="OO95" i="19"/>
  <c r="M95" i="19"/>
  <c r="M61" i="19"/>
  <c r="OO48" i="19"/>
  <c r="M48" i="19"/>
  <c r="OO107" i="19"/>
  <c r="M107" i="19"/>
  <c r="OO92" i="19"/>
  <c r="M92" i="19"/>
  <c r="GB9" i="32"/>
  <c r="KI9" i="32"/>
  <c r="GD10" i="33"/>
  <c r="KM10" i="33"/>
  <c r="GB9" i="35"/>
  <c r="KI9" i="35"/>
  <c r="OP69" i="19"/>
  <c r="Q69" i="19"/>
  <c r="GE111" i="19"/>
  <c r="KR111" i="19"/>
  <c r="GA83" i="39"/>
  <c r="KH83" i="39"/>
  <c r="GE60" i="39"/>
  <c r="KR60" i="39"/>
  <c r="GC54" i="39"/>
  <c r="KK54" i="39"/>
  <c r="GA48" i="39"/>
  <c r="GC46" i="39"/>
  <c r="GB46" i="39"/>
  <c r="KK46" i="39"/>
  <c r="GE32" i="39"/>
  <c r="KR32" i="39"/>
  <c r="Q72" i="19"/>
  <c r="JC61" i="35"/>
  <c r="OJ22" i="34"/>
  <c r="OP61" i="19"/>
  <c r="Q61" i="19"/>
  <c r="Q16" i="19"/>
  <c r="HC71" i="39"/>
  <c r="HC72" i="39"/>
  <c r="KK42" i="31"/>
  <c r="KI33" i="31"/>
  <c r="KH64" i="35"/>
  <c r="GA67" i="39"/>
  <c r="GD36" i="31"/>
  <c r="KM36" i="31"/>
  <c r="HW107" i="39"/>
  <c r="HX107" i="39"/>
  <c r="GA42" i="39"/>
  <c r="KH42" i="39"/>
  <c r="GE60" i="34"/>
  <c r="KR60" i="34"/>
  <c r="Y47" i="39"/>
  <c r="M59" i="39"/>
  <c r="M51" i="39"/>
  <c r="KR35" i="39"/>
  <c r="KM86" i="39"/>
  <c r="KM47" i="39"/>
  <c r="KM27" i="39"/>
  <c r="KI42" i="39"/>
  <c r="KH78" i="39"/>
  <c r="KH70" i="39"/>
  <c r="KH56" i="39"/>
  <c r="KH46" i="39"/>
  <c r="KH39" i="39"/>
  <c r="HC62" i="39"/>
  <c r="KR58" i="39"/>
  <c r="KK24" i="39"/>
  <c r="KK13" i="39"/>
  <c r="KH26" i="39"/>
  <c r="KH15" i="39"/>
  <c r="KF74" i="39"/>
  <c r="KM16" i="39"/>
  <c r="KI65" i="39"/>
  <c r="KI31" i="39"/>
  <c r="KH20" i="39"/>
  <c r="CE45" i="39"/>
  <c r="KF45" i="39"/>
  <c r="GE40" i="39"/>
  <c r="CE28" i="39"/>
  <c r="KG28" i="39"/>
  <c r="KF28" i="39"/>
  <c r="KG20" i="39"/>
  <c r="FZ20" i="39"/>
  <c r="CE11" i="39"/>
  <c r="KF11" i="39"/>
  <c r="IP84" i="39"/>
  <c r="IQ84" i="39"/>
  <c r="OO30" i="39"/>
  <c r="OP31" i="39"/>
  <c r="Q31" i="39"/>
  <c r="HC63" i="39"/>
  <c r="HE63" i="39"/>
  <c r="OO66" i="39"/>
  <c r="GA64" i="39"/>
  <c r="KH64" i="39"/>
  <c r="GC60" i="39"/>
  <c r="KK60" i="39"/>
  <c r="GA59" i="39"/>
  <c r="KH59" i="39"/>
  <c r="GD57" i="39"/>
  <c r="KM57" i="39"/>
  <c r="KK52" i="39"/>
  <c r="GE50" i="39"/>
  <c r="KR50" i="39"/>
  <c r="KI46" i="39"/>
  <c r="GD44" i="39"/>
  <c r="KM44" i="39"/>
  <c r="GC42" i="39"/>
  <c r="KK42" i="39"/>
  <c r="KR40" i="39"/>
  <c r="GB39" i="39"/>
  <c r="KI39" i="39"/>
  <c r="GD37" i="39"/>
  <c r="KM37" i="39"/>
  <c r="GA36" i="39"/>
  <c r="KH36" i="39"/>
  <c r="GD19" i="39"/>
  <c r="KM19" i="39"/>
  <c r="GB18" i="39"/>
  <c r="KI18" i="39"/>
  <c r="KM17" i="39"/>
  <c r="GE16" i="39"/>
  <c r="KR16" i="39"/>
  <c r="GB15" i="39"/>
  <c r="KI15" i="39"/>
  <c r="KM13" i="39"/>
  <c r="GA12" i="39"/>
  <c r="KH12" i="39"/>
  <c r="GB11" i="39"/>
  <c r="Y78" i="39"/>
  <c r="IU78" i="39"/>
  <c r="M14" i="39"/>
  <c r="GB81" i="39"/>
  <c r="KI81" i="39"/>
  <c r="GD79" i="39"/>
  <c r="KM79" i="39"/>
  <c r="GC76" i="39"/>
  <c r="KK76" i="39"/>
  <c r="GD71" i="39"/>
  <c r="KM71" i="39"/>
  <c r="GE66" i="39"/>
  <c r="KR66" i="39"/>
  <c r="GE20" i="39"/>
  <c r="IY56" i="39"/>
  <c r="AD56" i="39"/>
  <c r="GE84" i="39"/>
  <c r="KR84" i="39"/>
  <c r="GB83" i="39"/>
  <c r="KI83" i="39"/>
  <c r="OO67" i="39"/>
  <c r="OP68" i="39"/>
  <c r="Q68" i="39"/>
  <c r="OQ73" i="39"/>
  <c r="OT73" i="39"/>
  <c r="OJ73" i="39"/>
  <c r="OO75" i="39"/>
  <c r="M75" i="39"/>
  <c r="OO82" i="39"/>
  <c r="OQ85" i="39"/>
  <c r="OT85" i="39"/>
  <c r="GE30" i="39"/>
  <c r="KR30" i="39"/>
  <c r="KK29" i="39"/>
  <c r="GA28" i="39"/>
  <c r="KH28" i="39"/>
  <c r="PQ71" i="39"/>
  <c r="IP28" i="39"/>
  <c r="IO28" i="39"/>
  <c r="IP40" i="39"/>
  <c r="IQ40" i="39"/>
  <c r="KG38" i="39"/>
  <c r="FZ38" i="39"/>
  <c r="OO24" i="39"/>
  <c r="M24" i="39"/>
  <c r="OO16" i="39"/>
  <c r="M16" i="39"/>
  <c r="M32" i="39"/>
  <c r="OP25" i="39"/>
  <c r="Q25" i="39"/>
  <c r="OP17" i="39"/>
  <c r="Q17" i="39"/>
  <c r="OO44" i="39"/>
  <c r="M44" i="39"/>
  <c r="U56" i="39"/>
  <c r="OO60" i="39"/>
  <c r="M60" i="39"/>
  <c r="IQ16" i="35"/>
  <c r="IO16" i="35"/>
  <c r="M86" i="19"/>
  <c r="GC44" i="39"/>
  <c r="KK44" i="39"/>
  <c r="GC9" i="33"/>
  <c r="KK9" i="33"/>
  <c r="GC60" i="34"/>
  <c r="KK60" i="34"/>
  <c r="GE58" i="34"/>
  <c r="GD58" i="34"/>
  <c r="KR58" i="34"/>
  <c r="Q70" i="19"/>
  <c r="M56" i="19"/>
  <c r="KM37" i="19"/>
  <c r="KK34" i="19"/>
  <c r="KR24" i="19"/>
  <c r="OO31" i="39"/>
  <c r="M31" i="39"/>
  <c r="KM41" i="19"/>
  <c r="KK22" i="19"/>
  <c r="KK10" i="19"/>
  <c r="KR9" i="19"/>
  <c r="KH36" i="19"/>
  <c r="KM13" i="19"/>
  <c r="KR63" i="39"/>
  <c r="M24" i="35"/>
  <c r="IQ42" i="35"/>
  <c r="HX21" i="32"/>
  <c r="M15" i="39"/>
  <c r="Q61" i="39"/>
  <c r="KK68" i="39"/>
  <c r="GC15" i="39"/>
  <c r="GC9" i="39"/>
  <c r="KK9" i="39"/>
  <c r="BI27" i="32"/>
  <c r="CE75" i="39"/>
  <c r="KF75" i="39"/>
  <c r="GD28" i="22"/>
  <c r="GE15" i="22"/>
  <c r="KR15" i="22"/>
  <c r="GE39" i="31"/>
  <c r="KR39" i="31"/>
  <c r="GA61" i="35"/>
  <c r="KH61" i="35"/>
  <c r="OO84" i="39"/>
  <c r="OQ40" i="19"/>
  <c r="OT40" i="19"/>
  <c r="OO74" i="39"/>
  <c r="M74" i="39"/>
  <c r="KH98" i="39"/>
  <c r="GA98" i="39"/>
  <c r="GE88" i="39"/>
  <c r="KR88" i="39"/>
  <c r="IO89" i="39"/>
  <c r="IQ89" i="39"/>
  <c r="I88" i="39"/>
  <c r="DV88" i="39"/>
  <c r="OP96" i="39"/>
  <c r="Q96" i="39"/>
  <c r="BF92" i="39"/>
  <c r="BF100" i="39"/>
  <c r="BE92" i="39"/>
  <c r="KK90" i="39"/>
  <c r="GC90" i="39"/>
  <c r="M89" i="39"/>
  <c r="OO89" i="39"/>
  <c r="GA91" i="39"/>
  <c r="KH91" i="39"/>
  <c r="BF96" i="39"/>
  <c r="Y28" i="19"/>
  <c r="KK73" i="39"/>
  <c r="OJ100" i="39"/>
  <c r="OQ100" i="39"/>
  <c r="OT100" i="39"/>
  <c r="KR9" i="32"/>
  <c r="KR11" i="32"/>
  <c r="KR16" i="32"/>
  <c r="KR22" i="32"/>
  <c r="KR24" i="32"/>
  <c r="KR25" i="32"/>
  <c r="KR30" i="32"/>
  <c r="M45" i="19"/>
  <c r="Q37" i="19"/>
  <c r="KR24" i="39"/>
  <c r="KR81" i="19"/>
  <c r="KK14" i="19"/>
  <c r="KI10" i="19"/>
  <c r="KK95" i="39"/>
  <c r="GC95" i="39"/>
  <c r="M99" i="39"/>
  <c r="KH93" i="39"/>
  <c r="OQ90" i="39"/>
  <c r="OT90" i="39"/>
  <c r="OJ90" i="39"/>
  <c r="OJ94" i="39"/>
  <c r="OQ94" i="39"/>
  <c r="OT94" i="39"/>
  <c r="OJ98" i="39"/>
  <c r="OQ98" i="39"/>
  <c r="OT98" i="39"/>
  <c r="FZ88" i="39"/>
  <c r="KI96" i="39"/>
  <c r="KG97" i="39"/>
  <c r="FZ97" i="39"/>
  <c r="PQ91" i="39"/>
  <c r="Y65" i="19"/>
  <c r="Q89" i="39"/>
  <c r="Q93" i="39"/>
  <c r="M85" i="39"/>
  <c r="Q86" i="39"/>
  <c r="KR46" i="21"/>
  <c r="OP71" i="19"/>
  <c r="GV87" i="39"/>
  <c r="GX87" i="39"/>
  <c r="GD101" i="39"/>
  <c r="KM101" i="39"/>
  <c r="GD91" i="39"/>
  <c r="KM91" i="39"/>
  <c r="KG93" i="39"/>
  <c r="FZ93" i="39"/>
  <c r="GD87" i="39"/>
  <c r="KH89" i="39"/>
  <c r="KR95" i="39"/>
  <c r="GB90" i="39"/>
  <c r="OO95" i="39"/>
  <c r="GD92" i="39"/>
  <c r="KM92" i="39"/>
  <c r="GB94" i="39"/>
  <c r="KI94" i="39"/>
  <c r="BK107" i="39"/>
  <c r="PQ93" i="39"/>
  <c r="Q14" i="19"/>
  <c r="M99" i="19"/>
  <c r="M82" i="19"/>
  <c r="BI59" i="19"/>
  <c r="U59" i="19"/>
  <c r="GA20" i="19"/>
  <c r="KH20" i="19"/>
  <c r="GA16" i="19"/>
  <c r="KH16" i="19"/>
  <c r="KM14" i="19"/>
  <c r="KI53" i="19"/>
  <c r="GA56" i="19"/>
  <c r="KH56" i="19"/>
  <c r="GC57" i="19"/>
  <c r="KK57" i="19"/>
  <c r="KK85" i="19"/>
  <c r="GD86" i="19"/>
  <c r="KM86" i="19"/>
  <c r="GB106" i="19"/>
  <c r="KI106" i="19"/>
  <c r="KM58" i="19"/>
  <c r="OO28" i="19"/>
  <c r="M28" i="19"/>
  <c r="OO24" i="19"/>
  <c r="OJ51" i="19"/>
  <c r="CE12" i="19"/>
  <c r="GB52" i="19"/>
  <c r="KI52" i="19"/>
  <c r="OP65" i="19"/>
  <c r="GE60" i="19"/>
  <c r="Q76" i="39"/>
  <c r="IO95" i="39"/>
  <c r="IQ95" i="39"/>
  <c r="IQ90" i="39"/>
  <c r="U85" i="19"/>
  <c r="BF93" i="39"/>
  <c r="IO94" i="39"/>
  <c r="IQ94" i="39"/>
  <c r="U90" i="39"/>
  <c r="BF90" i="39"/>
  <c r="OJ88" i="39"/>
  <c r="HR22" i="35"/>
  <c r="KM112" i="19"/>
  <c r="AX108" i="19"/>
  <c r="AZ108" i="19"/>
  <c r="AY108" i="19"/>
  <c r="BA108" i="19"/>
  <c r="OP97" i="39"/>
  <c r="Q97" i="39"/>
  <c r="Q99" i="39"/>
  <c r="OP99" i="39"/>
  <c r="Q101" i="39"/>
  <c r="OP101" i="39"/>
  <c r="KR99" i="39"/>
  <c r="KM107" i="39"/>
  <c r="GD107" i="39"/>
  <c r="OO91" i="39"/>
  <c r="KH95" i="39"/>
  <c r="KG108" i="19"/>
  <c r="FZ108" i="19"/>
  <c r="GB89" i="39"/>
  <c r="KK87" i="39"/>
  <c r="KI109" i="19"/>
  <c r="GT108" i="19"/>
  <c r="GV108" i="19"/>
  <c r="AX109" i="19"/>
  <c r="AZ109" i="19"/>
  <c r="AY109" i="19"/>
  <c r="Q99" i="19"/>
  <c r="M84" i="19"/>
  <c r="M41" i="19"/>
  <c r="OP88" i="19"/>
  <c r="Q88" i="19"/>
  <c r="OP84" i="19"/>
  <c r="Q84" i="19"/>
  <c r="KR43" i="21"/>
  <c r="GE43" i="21"/>
  <c r="OQ43" i="21"/>
  <c r="OJ43" i="21"/>
  <c r="KK10" i="22"/>
  <c r="KK26" i="39"/>
  <c r="KH40" i="31"/>
  <c r="GE90" i="39"/>
  <c r="KR90" i="39"/>
  <c r="KR110" i="19"/>
  <c r="GE110" i="19"/>
  <c r="OJ15" i="21"/>
  <c r="OQ15" i="21"/>
  <c r="OT15" i="21"/>
  <c r="KH71" i="39"/>
  <c r="KM110" i="19"/>
  <c r="EB109" i="19"/>
  <c r="HC87" i="39"/>
  <c r="IO14" i="35"/>
  <c r="KM28" i="39"/>
  <c r="KI23" i="39"/>
  <c r="OP60" i="19"/>
  <c r="IO43" i="21"/>
  <c r="IQ43" i="21"/>
  <c r="KG98" i="39"/>
  <c r="FZ98" i="39"/>
  <c r="KK107" i="39"/>
  <c r="GC110" i="19"/>
  <c r="KK110" i="19"/>
  <c r="OP43" i="21"/>
  <c r="Q43" i="21"/>
  <c r="KM93" i="39"/>
  <c r="OJ96" i="39"/>
  <c r="EB110" i="19"/>
  <c r="GT110" i="19"/>
  <c r="GV110" i="19"/>
  <c r="GX110" i="19"/>
  <c r="GY110" i="19"/>
  <c r="HC23" i="21"/>
  <c r="HE23" i="21"/>
  <c r="OH23" i="21"/>
  <c r="OK23" i="21"/>
  <c r="EB108" i="19"/>
  <c r="HC42" i="21"/>
  <c r="HE42" i="21"/>
  <c r="OH42" i="21"/>
  <c r="OR42" i="21"/>
  <c r="HC32" i="21"/>
  <c r="HE32" i="21"/>
  <c r="HC18" i="21"/>
  <c r="HE18" i="21"/>
  <c r="HC10" i="21"/>
  <c r="HE10" i="21"/>
  <c r="OJ91" i="19"/>
  <c r="OQ91" i="19"/>
  <c r="OT91" i="19"/>
  <c r="HC44" i="19"/>
  <c r="HE44" i="19"/>
  <c r="HC13" i="22"/>
  <c r="HE13" i="22"/>
  <c r="HG13" i="22"/>
  <c r="HT13" i="22"/>
  <c r="OP12" i="22"/>
  <c r="Q12" i="22"/>
  <c r="OJ56" i="35"/>
  <c r="OJ41" i="35"/>
  <c r="OQ41" i="35"/>
  <c r="OT41" i="35"/>
  <c r="IP38" i="35"/>
  <c r="IQ38" i="35"/>
  <c r="IP36" i="35"/>
  <c r="IQ36" i="35"/>
  <c r="BK36" i="35"/>
  <c r="HC25" i="35"/>
  <c r="HE25" i="35"/>
  <c r="HG25" i="35"/>
  <c r="OJ40" i="35"/>
  <c r="OQ40" i="35"/>
  <c r="OT40" i="35"/>
  <c r="OQ33" i="35"/>
  <c r="OJ33" i="35"/>
  <c r="HC33" i="35"/>
  <c r="HE33" i="35"/>
  <c r="OH33" i="35"/>
  <c r="OL33" i="35"/>
  <c r="OQ39" i="35"/>
  <c r="OT39" i="35"/>
  <c r="OP32" i="35"/>
  <c r="Q32" i="35"/>
  <c r="HC31" i="35"/>
  <c r="HE31" i="35"/>
  <c r="I12" i="19"/>
  <c r="GB34" i="19"/>
  <c r="KI34" i="19"/>
  <c r="GB29" i="19"/>
  <c r="KI29" i="19"/>
  <c r="GB17" i="19"/>
  <c r="KD17" i="19"/>
  <c r="KE17" i="19"/>
  <c r="KI17" i="19"/>
  <c r="GC49" i="19"/>
  <c r="KK49" i="19"/>
  <c r="GE50" i="19"/>
  <c r="KR50" i="19"/>
  <c r="GC54" i="19"/>
  <c r="KK54" i="19"/>
  <c r="GC58" i="19"/>
  <c r="KK58" i="19"/>
  <c r="GC64" i="19"/>
  <c r="KK64" i="19"/>
  <c r="GA67" i="19"/>
  <c r="KD67" i="19"/>
  <c r="KE67" i="19"/>
  <c r="KH67" i="19"/>
  <c r="GA71" i="19"/>
  <c r="KH71" i="19"/>
  <c r="GB73" i="19"/>
  <c r="KI73" i="19"/>
  <c r="GE79" i="19"/>
  <c r="KR79" i="19"/>
  <c r="GD88" i="19"/>
  <c r="KM88" i="19"/>
  <c r="GD91" i="19"/>
  <c r="KM91" i="19"/>
  <c r="GE96" i="19"/>
  <c r="KR96" i="19"/>
  <c r="KR100" i="19"/>
  <c r="GB100" i="19"/>
  <c r="KI100" i="19"/>
  <c r="GA105" i="19"/>
  <c r="KH105" i="19"/>
  <c r="GC86" i="39"/>
  <c r="KK86" i="39"/>
  <c r="GE74" i="39"/>
  <c r="KR74" i="39"/>
  <c r="GB62" i="39"/>
  <c r="KI62" i="39"/>
  <c r="GB59" i="39"/>
  <c r="KI59" i="39"/>
  <c r="GD32" i="39"/>
  <c r="KM32" i="39"/>
  <c r="GA23" i="39"/>
  <c r="KH23" i="39"/>
  <c r="GC22" i="39"/>
  <c r="GD21" i="39"/>
  <c r="KM21" i="39"/>
  <c r="GB10" i="39"/>
  <c r="KI10" i="39"/>
  <c r="KK26" i="21"/>
  <c r="GA20" i="21"/>
  <c r="KH20" i="21"/>
  <c r="GD13" i="21"/>
  <c r="KD13" i="21"/>
  <c r="KE13" i="21"/>
  <c r="GC12" i="22"/>
  <c r="KK12" i="22"/>
  <c r="GC37" i="31"/>
  <c r="KK37" i="31"/>
  <c r="GE32" i="31"/>
  <c r="KR32" i="31"/>
  <c r="KH29" i="31"/>
  <c r="KR27" i="31"/>
  <c r="GA19" i="31"/>
  <c r="KH19" i="31"/>
  <c r="KM10" i="32"/>
  <c r="KR59" i="34"/>
  <c r="GA59" i="34"/>
  <c r="KH59" i="34"/>
  <c r="GA57" i="34"/>
  <c r="KH57" i="34"/>
  <c r="GD55" i="34"/>
  <c r="KM55" i="34"/>
  <c r="KH35" i="34"/>
  <c r="KI55" i="35"/>
  <c r="GD54" i="35"/>
  <c r="KM54" i="35"/>
  <c r="KF87" i="39"/>
  <c r="IP110" i="19"/>
  <c r="OO37" i="21"/>
  <c r="M37" i="21"/>
  <c r="OO29" i="21"/>
  <c r="M29" i="21"/>
  <c r="OO21" i="21"/>
  <c r="OO13" i="21"/>
  <c r="M13" i="21"/>
  <c r="M29" i="31"/>
  <c r="CE18" i="32"/>
  <c r="Y12" i="19"/>
  <c r="IU93" i="19"/>
  <c r="KH97" i="39"/>
  <c r="GA97" i="39"/>
  <c r="GA108" i="19"/>
  <c r="KH108" i="19"/>
  <c r="OJ13" i="21"/>
  <c r="OQ31" i="21"/>
  <c r="OT31" i="21"/>
  <c r="OJ31" i="21"/>
  <c r="OQ12" i="21"/>
  <c r="OT12" i="21"/>
  <c r="HC101" i="39"/>
  <c r="GD109" i="19"/>
  <c r="HC29" i="21"/>
  <c r="HE29" i="21"/>
  <c r="OH29" i="21"/>
  <c r="OQ23" i="21"/>
  <c r="OT23" i="21"/>
  <c r="OJ23" i="21"/>
  <c r="IU110" i="19"/>
  <c r="HC40" i="21"/>
  <c r="HE40" i="21"/>
  <c r="GT109" i="19"/>
  <c r="GV109" i="19"/>
  <c r="II109" i="19"/>
  <c r="AY110" i="19"/>
  <c r="Y40" i="19"/>
  <c r="Y49" i="19"/>
  <c r="KR94" i="39"/>
  <c r="GE94" i="39"/>
  <c r="GC109" i="19"/>
  <c r="KK109" i="19"/>
  <c r="KH88" i="39"/>
  <c r="KG89" i="39"/>
  <c r="KM108" i="19"/>
  <c r="GD108" i="19"/>
  <c r="Y109" i="19"/>
  <c r="IU109" i="19"/>
  <c r="OQ21" i="21"/>
  <c r="OT21" i="21"/>
  <c r="OJ21" i="21"/>
  <c r="KG109" i="19"/>
  <c r="FZ109" i="19"/>
  <c r="IU108" i="19"/>
  <c r="Y108" i="19"/>
  <c r="BD110" i="19"/>
  <c r="OQ92" i="39"/>
  <c r="OT92" i="39"/>
  <c r="OJ92" i="39"/>
  <c r="GB108" i="19"/>
  <c r="KI108" i="19"/>
  <c r="AD43" i="21"/>
  <c r="OJ25" i="21"/>
  <c r="OQ41" i="21"/>
  <c r="OT41" i="21"/>
  <c r="OJ41" i="21"/>
  <c r="OQ37" i="21"/>
  <c r="OT37" i="21"/>
  <c r="OJ37" i="21"/>
  <c r="OQ29" i="21"/>
  <c r="OT29" i="21"/>
  <c r="OJ29" i="21"/>
  <c r="OQ17" i="21"/>
  <c r="OJ17" i="21"/>
  <c r="HC13" i="21"/>
  <c r="HE13" i="21"/>
  <c r="OH13" i="21"/>
  <c r="OT28" i="21"/>
  <c r="OT13" i="21"/>
  <c r="HC37" i="21"/>
  <c r="HE37" i="21"/>
  <c r="OH37" i="21"/>
  <c r="OL37" i="21"/>
  <c r="HC21" i="21"/>
  <c r="HE21" i="21"/>
  <c r="OH21" i="21"/>
  <c r="OK21" i="21"/>
  <c r="IQ88" i="39"/>
  <c r="OT56" i="35"/>
  <c r="OJ24" i="19"/>
  <c r="OP18" i="19"/>
  <c r="OP10" i="19"/>
  <c r="Q10" i="19"/>
  <c r="OO89" i="19"/>
  <c r="M89" i="19"/>
  <c r="OO104" i="19"/>
  <c r="OJ97" i="19"/>
  <c r="OJ89" i="19"/>
  <c r="OQ89" i="19"/>
  <c r="OT89" i="19"/>
  <c r="OJ75" i="19"/>
  <c r="OQ75" i="19"/>
  <c r="OT75" i="19"/>
  <c r="OQ73" i="19"/>
  <c r="OT73" i="19"/>
  <c r="OJ84" i="19"/>
  <c r="OQ84" i="19"/>
  <c r="OT84" i="19"/>
  <c r="BH9" i="33"/>
  <c r="HC9" i="33"/>
  <c r="HE9" i="33"/>
  <c r="U9" i="33"/>
  <c r="OQ51" i="35"/>
  <c r="OT51" i="35"/>
  <c r="OJ51" i="35"/>
  <c r="OQ44" i="35"/>
  <c r="OT44" i="35"/>
  <c r="OJ44" i="35"/>
  <c r="OJ29" i="35"/>
  <c r="OQ29" i="35"/>
  <c r="OT29" i="35"/>
  <c r="Q58" i="19"/>
  <c r="IU63" i="35"/>
  <c r="AD76" i="19"/>
  <c r="FZ16" i="31"/>
  <c r="KG61" i="34"/>
  <c r="FZ61" i="34"/>
  <c r="AD62" i="35"/>
  <c r="IY62" i="35"/>
  <c r="CE29" i="21"/>
  <c r="KG29" i="21"/>
  <c r="KF29" i="21"/>
  <c r="KG54" i="19"/>
  <c r="PQ11" i="39"/>
  <c r="OJ14" i="22"/>
  <c r="OQ99" i="19"/>
  <c r="OT99" i="19"/>
  <c r="IO35" i="35"/>
  <c r="Q35" i="35"/>
  <c r="M11" i="19"/>
  <c r="IQ16" i="39"/>
  <c r="IO16" i="39"/>
  <c r="M55" i="19"/>
  <c r="Y9" i="39"/>
  <c r="OI13" i="33"/>
  <c r="OJ77" i="19"/>
  <c r="IO20" i="35"/>
  <c r="M14" i="22"/>
  <c r="AD27" i="39"/>
  <c r="KG47" i="34"/>
  <c r="GD13" i="34"/>
  <c r="GE13" i="34"/>
  <c r="U48" i="19"/>
  <c r="OJ66" i="19"/>
  <c r="Q50" i="35"/>
  <c r="OQ40" i="39"/>
  <c r="OT40" i="39"/>
  <c r="OJ40" i="39"/>
  <c r="M11" i="31"/>
  <c r="OP19" i="34"/>
  <c r="Q19" i="34"/>
  <c r="FZ123" i="19"/>
  <c r="GC123" i="19"/>
  <c r="IY35" i="39"/>
  <c r="OQ64" i="19"/>
  <c r="OT64" i="19"/>
  <c r="IY44" i="39"/>
  <c r="OJ83" i="19"/>
  <c r="M27" i="19"/>
  <c r="Q26" i="19"/>
  <c r="OJ27" i="35"/>
  <c r="OQ79" i="19"/>
  <c r="OT79" i="19"/>
  <c r="FZ10" i="32"/>
  <c r="KR55" i="39"/>
  <c r="HC36" i="19"/>
  <c r="HE36" i="19"/>
  <c r="PQ28" i="19"/>
  <c r="PQ36" i="19"/>
  <c r="PQ35" i="39"/>
  <c r="KR47" i="39"/>
  <c r="KI26" i="39"/>
  <c r="HC95" i="19"/>
  <c r="HE95" i="19"/>
  <c r="KH60" i="34"/>
  <c r="KH75" i="39"/>
  <c r="KM37" i="31"/>
  <c r="KH12" i="33"/>
  <c r="KK62" i="35"/>
  <c r="FZ92" i="39"/>
  <c r="KG92" i="39"/>
  <c r="HC95" i="39"/>
  <c r="GB98" i="39"/>
  <c r="KI98" i="39"/>
  <c r="KH99" i="39"/>
  <c r="GA99" i="39"/>
  <c r="OP83" i="19"/>
  <c r="Q83" i="19"/>
  <c r="OP73" i="19"/>
  <c r="Q73" i="19"/>
  <c r="OP39" i="19"/>
  <c r="Q39" i="19"/>
  <c r="OO12" i="22"/>
  <c r="M12" i="22"/>
  <c r="IO63" i="35"/>
  <c r="IQ63" i="35"/>
  <c r="OQ54" i="35"/>
  <c r="OT54" i="35"/>
  <c r="OJ54" i="35"/>
  <c r="OP31" i="35"/>
  <c r="Q31" i="35"/>
  <c r="OQ12" i="35"/>
  <c r="OT12" i="35"/>
  <c r="OJ12" i="35"/>
  <c r="OP23" i="35"/>
  <c r="Q23" i="35"/>
  <c r="OP21" i="35"/>
  <c r="Q21" i="35"/>
  <c r="I10" i="22"/>
  <c r="G13" i="33"/>
  <c r="JC123" i="19"/>
  <c r="JC57" i="34"/>
  <c r="BB26" i="35"/>
  <c r="JC26" i="35"/>
  <c r="I26" i="35"/>
  <c r="KI69" i="39"/>
  <c r="GE62" i="39"/>
  <c r="KR62" i="39"/>
  <c r="GB48" i="21"/>
  <c r="KI48" i="21"/>
  <c r="GA34" i="21"/>
  <c r="KH34" i="21"/>
  <c r="GC32" i="21"/>
  <c r="KK32" i="21"/>
  <c r="GE30" i="21"/>
  <c r="KD30" i="21"/>
  <c r="KE30" i="21"/>
  <c r="KR30" i="21"/>
  <c r="GB29" i="21"/>
  <c r="KI29" i="21"/>
  <c r="GE22" i="21"/>
  <c r="KR22" i="21"/>
  <c r="GD19" i="21"/>
  <c r="KM19" i="21"/>
  <c r="GC16" i="21"/>
  <c r="KD16" i="21"/>
  <c r="KE16" i="21"/>
  <c r="KK16" i="21"/>
  <c r="GE9" i="21"/>
  <c r="KD9" i="21"/>
  <c r="KE9" i="21"/>
  <c r="KR9" i="21"/>
  <c r="GB59" i="31"/>
  <c r="KI59" i="31"/>
  <c r="GE28" i="31"/>
  <c r="KR28" i="31"/>
  <c r="GB27" i="31"/>
  <c r="GD25" i="31"/>
  <c r="GA24" i="31"/>
  <c r="GC13" i="31"/>
  <c r="GA31" i="32"/>
  <c r="GD31" i="32"/>
  <c r="GB26" i="32"/>
  <c r="KI26" i="32"/>
  <c r="GD24" i="32"/>
  <c r="KM24" i="32"/>
  <c r="GE11" i="32"/>
  <c r="GD24" i="34"/>
  <c r="KM24" i="34"/>
  <c r="GC21" i="34"/>
  <c r="KK21" i="34"/>
  <c r="KK13" i="34"/>
  <c r="OP31" i="19"/>
  <c r="Q31" i="19"/>
  <c r="OQ29" i="19"/>
  <c r="OT29" i="19"/>
  <c r="OJ29" i="19"/>
  <c r="OJ21" i="19"/>
  <c r="OQ21" i="19"/>
  <c r="OT21" i="19"/>
  <c r="OO16" i="19"/>
  <c r="M16" i="19"/>
  <c r="OP15" i="19"/>
  <c r="Q15" i="19"/>
  <c r="OO98" i="19"/>
  <c r="M98" i="19"/>
  <c r="OO73" i="19"/>
  <c r="M73" i="19"/>
  <c r="OO64" i="19"/>
  <c r="M64" i="19"/>
  <c r="OO37" i="19"/>
  <c r="M37" i="19"/>
  <c r="OO101" i="19"/>
  <c r="M101" i="19"/>
  <c r="IU83" i="39"/>
  <c r="IO57" i="39"/>
  <c r="AD39" i="39"/>
  <c r="AD31" i="39"/>
  <c r="IY57" i="39"/>
  <c r="M46" i="39"/>
  <c r="OQ80" i="39"/>
  <c r="OT80" i="39"/>
  <c r="OP14" i="31"/>
  <c r="OP23" i="32"/>
  <c r="Q23" i="32"/>
  <c r="HZ112" i="19"/>
  <c r="HV112" i="19"/>
  <c r="HX112" i="19"/>
  <c r="BA15" i="22"/>
  <c r="AX15" i="22"/>
  <c r="GY38" i="22"/>
  <c r="HK38" i="22"/>
  <c r="HP31" i="22"/>
  <c r="HP29" i="22"/>
  <c r="IO28" i="22"/>
  <c r="IQ28" i="22"/>
  <c r="HC61" i="19"/>
  <c r="HE61" i="19"/>
  <c r="HC55" i="35"/>
  <c r="HE55" i="35"/>
  <c r="PQ43" i="21"/>
  <c r="HC81" i="39"/>
  <c r="HE81" i="39"/>
  <c r="HC82" i="39"/>
  <c r="GD32" i="21"/>
  <c r="HC77" i="39"/>
  <c r="HE77" i="39"/>
  <c r="OH77" i="39"/>
  <c r="OK77" i="39"/>
  <c r="BK25" i="35"/>
  <c r="KG24" i="21"/>
  <c r="KH123" i="19"/>
  <c r="AD32" i="31"/>
  <c r="KK30" i="32"/>
  <c r="KM17" i="32"/>
  <c r="KH24" i="32"/>
  <c r="KK22" i="32"/>
  <c r="KR35" i="21"/>
  <c r="KI18" i="21"/>
  <c r="KI26" i="21"/>
  <c r="CE19" i="21"/>
  <c r="KR19" i="39"/>
  <c r="KK57" i="39"/>
  <c r="KK37" i="39"/>
  <c r="KH61" i="19"/>
  <c r="KR61" i="19"/>
  <c r="AD61" i="19"/>
  <c r="U61" i="19"/>
  <c r="OP80" i="39"/>
  <c r="FZ77" i="19"/>
  <c r="KG77" i="19"/>
  <c r="CE61" i="19"/>
  <c r="GC53" i="19"/>
  <c r="CE28" i="19"/>
  <c r="KG28" i="19"/>
  <c r="OL41" i="35"/>
  <c r="GB16" i="35"/>
  <c r="GD16" i="35"/>
  <c r="GE16" i="35"/>
  <c r="PQ87" i="39"/>
  <c r="HC90" i="39"/>
  <c r="AE108" i="39"/>
  <c r="BD108" i="19"/>
  <c r="BD109" i="19"/>
  <c r="JO110" i="19"/>
  <c r="PQ110" i="19"/>
  <c r="HC49" i="35"/>
  <c r="HE49" i="35"/>
  <c r="OH49" i="35"/>
  <c r="HC32" i="35"/>
  <c r="HE32" i="35"/>
  <c r="OH32" i="35"/>
  <c r="OK32" i="35"/>
  <c r="HC17" i="35"/>
  <c r="HE17" i="35"/>
  <c r="OH17" i="35"/>
  <c r="OL17" i="35"/>
  <c r="HE22" i="35"/>
  <c r="PQ61" i="35"/>
  <c r="HC31" i="34"/>
  <c r="HC17" i="32"/>
  <c r="HE17" i="32"/>
  <c r="PQ51" i="35"/>
  <c r="BK64" i="35"/>
  <c r="IQ61" i="35"/>
  <c r="AD61" i="35"/>
  <c r="HC36" i="21"/>
  <c r="HE36" i="21"/>
  <c r="HC28" i="21"/>
  <c r="HE28" i="21"/>
  <c r="OH28" i="21"/>
  <c r="HC20" i="21"/>
  <c r="HE20" i="21"/>
  <c r="OH20" i="21"/>
  <c r="HC12" i="21"/>
  <c r="HE12" i="21"/>
  <c r="OH12" i="21"/>
  <c r="OK12" i="21"/>
  <c r="KM20" i="21"/>
  <c r="KH30" i="21"/>
  <c r="M33" i="21"/>
  <c r="KM28" i="21"/>
  <c r="KM23" i="21"/>
  <c r="M32" i="21"/>
  <c r="OJ9" i="21"/>
  <c r="HZ53" i="21"/>
  <c r="HY53" i="21"/>
  <c r="KG53" i="21"/>
  <c r="KI25" i="21"/>
  <c r="KI17" i="21"/>
  <c r="HV53" i="21"/>
  <c r="KH14" i="21"/>
  <c r="KK20" i="21"/>
  <c r="KH22" i="21"/>
  <c r="Q37" i="21"/>
  <c r="Q21" i="21"/>
  <c r="HC31" i="21"/>
  <c r="HE31" i="21"/>
  <c r="HC26" i="21"/>
  <c r="HE26" i="21"/>
  <c r="OH26" i="21"/>
  <c r="OL26" i="21"/>
  <c r="KI14" i="21"/>
  <c r="KK9" i="21"/>
  <c r="KG36" i="21"/>
  <c r="KR15" i="21"/>
  <c r="KK17" i="21"/>
  <c r="CF19" i="21"/>
  <c r="KH19" i="21"/>
  <c r="FZ49" i="21"/>
  <c r="GB46" i="21"/>
  <c r="GA46" i="21"/>
  <c r="KM33" i="21"/>
  <c r="KK30" i="21"/>
  <c r="KG11" i="21"/>
  <c r="KK14" i="21"/>
  <c r="KH32" i="21"/>
  <c r="GC43" i="21"/>
  <c r="AD48" i="21"/>
  <c r="KM17" i="21"/>
  <c r="KR26" i="21"/>
  <c r="KM10" i="21"/>
  <c r="KI33" i="21"/>
  <c r="KH9" i="21"/>
  <c r="KR36" i="21"/>
  <c r="KH11" i="21"/>
  <c r="KR10" i="21"/>
  <c r="KH27" i="21"/>
  <c r="AD49" i="21"/>
  <c r="KK12" i="21"/>
  <c r="KK25" i="21"/>
  <c r="KI35" i="21"/>
  <c r="KK28" i="21"/>
  <c r="KR20" i="21"/>
  <c r="KR23" i="21"/>
  <c r="KM12" i="21"/>
  <c r="KM53" i="21"/>
  <c r="KR12" i="21"/>
  <c r="KI22" i="21"/>
  <c r="KH24" i="21"/>
  <c r="DV42" i="21"/>
  <c r="OJ28" i="21"/>
  <c r="HC35" i="21"/>
  <c r="HE35" i="21"/>
  <c r="HC27" i="21"/>
  <c r="HE27" i="21"/>
  <c r="OH27" i="21"/>
  <c r="OK27" i="21"/>
  <c r="HC19" i="21"/>
  <c r="HE19" i="21"/>
  <c r="OH19" i="21"/>
  <c r="HC43" i="21"/>
  <c r="HE43" i="21"/>
  <c r="FZ47" i="21"/>
  <c r="OJ10" i="21"/>
  <c r="OJ33" i="21"/>
  <c r="KF43" i="21"/>
  <c r="KI10" i="21"/>
  <c r="KR16" i="21"/>
  <c r="KI23" i="21"/>
  <c r="KM29" i="21"/>
  <c r="HP59" i="21"/>
  <c r="HP57" i="21"/>
  <c r="KK37" i="21"/>
  <c r="KG12" i="21"/>
  <c r="KM40" i="21"/>
  <c r="KH23" i="21"/>
  <c r="M25" i="21"/>
  <c r="KI53" i="21"/>
  <c r="GE53" i="21"/>
  <c r="KM48" i="21"/>
  <c r="KK38" i="21"/>
  <c r="KK13" i="21"/>
  <c r="KH39" i="21"/>
  <c r="KK22" i="21"/>
  <c r="M24" i="21"/>
  <c r="Q30" i="21"/>
  <c r="Q14" i="21"/>
  <c r="KR27" i="21"/>
  <c r="KK40" i="21"/>
  <c r="KR32" i="21"/>
  <c r="KH31" i="21"/>
  <c r="M41" i="21"/>
  <c r="Q29" i="21"/>
  <c r="Q13" i="21"/>
  <c r="DY42" i="21"/>
  <c r="OQ38" i="21"/>
  <c r="OT38" i="21"/>
  <c r="HY59" i="21"/>
  <c r="HY57" i="21"/>
  <c r="KH15" i="21"/>
  <c r="IY46" i="21"/>
  <c r="KF40" i="21"/>
  <c r="PQ48" i="21"/>
  <c r="JC48" i="21"/>
  <c r="KK29" i="21"/>
  <c r="KM41" i="21"/>
  <c r="KI34" i="21"/>
  <c r="KH40" i="21"/>
  <c r="KH16" i="21"/>
  <c r="M40" i="21"/>
  <c r="M17" i="21"/>
  <c r="Q38" i="21"/>
  <c r="GE91" i="39"/>
  <c r="OO93" i="39"/>
  <c r="M93" i="39"/>
  <c r="GD96" i="39"/>
  <c r="KM96" i="39"/>
  <c r="IQ100" i="39"/>
  <c r="IO100" i="39"/>
  <c r="IO108" i="19"/>
  <c r="IQ108" i="19"/>
  <c r="KR108" i="19"/>
  <c r="GE108" i="19"/>
  <c r="BK110" i="19"/>
  <c r="GD88" i="39"/>
  <c r="IQ99" i="39"/>
  <c r="GC44" i="19"/>
  <c r="KK44" i="19"/>
  <c r="GC40" i="19"/>
  <c r="KD40" i="19"/>
  <c r="KE40" i="19"/>
  <c r="KK40" i="19"/>
  <c r="GE38" i="19"/>
  <c r="KR38" i="19"/>
  <c r="GB37" i="19"/>
  <c r="KI37" i="19"/>
  <c r="GD35" i="19"/>
  <c r="KM35" i="19"/>
  <c r="GA34" i="19"/>
  <c r="KH34" i="19"/>
  <c r="GC32" i="19"/>
  <c r="KK32" i="19"/>
  <c r="GE30" i="19"/>
  <c r="KR30" i="19"/>
  <c r="GD27" i="19"/>
  <c r="KM27" i="19"/>
  <c r="GA26" i="19"/>
  <c r="KD26" i="19"/>
  <c r="KE26" i="19"/>
  <c r="KH26" i="19"/>
  <c r="GC24" i="19"/>
  <c r="KD24" i="19"/>
  <c r="KE24" i="19"/>
  <c r="KK24" i="19"/>
  <c r="GE22" i="19"/>
  <c r="KR22" i="19"/>
  <c r="GB21" i="19"/>
  <c r="KI21" i="19"/>
  <c r="GD19" i="19"/>
  <c r="KM19" i="19"/>
  <c r="GA18" i="19"/>
  <c r="KH18" i="19"/>
  <c r="GC16" i="19"/>
  <c r="KK16" i="19"/>
  <c r="GE14" i="19"/>
  <c r="KR14" i="19"/>
  <c r="GB13" i="19"/>
  <c r="KD13" i="19"/>
  <c r="KE13" i="19"/>
  <c r="KI13" i="19"/>
  <c r="GD11" i="19"/>
  <c r="GC11" i="19"/>
  <c r="KM11" i="19"/>
  <c r="GA10" i="19"/>
  <c r="KD10" i="19"/>
  <c r="KE10" i="19"/>
  <c r="KH10" i="19"/>
  <c r="GC45" i="19"/>
  <c r="KK45" i="19"/>
  <c r="GE47" i="19"/>
  <c r="KR47" i="19"/>
  <c r="GB48" i="19"/>
  <c r="KD48" i="19"/>
  <c r="KE48" i="19"/>
  <c r="KI48" i="19"/>
  <c r="GD50" i="19"/>
  <c r="KM50" i="19"/>
  <c r="GA51" i="19"/>
  <c r="KH51" i="19"/>
  <c r="KK53" i="19"/>
  <c r="GE55" i="19"/>
  <c r="KR55" i="19"/>
  <c r="GB56" i="19"/>
  <c r="KI56" i="19"/>
  <c r="GA59" i="19"/>
  <c r="KD59" i="19"/>
  <c r="KE59" i="19"/>
  <c r="KH59" i="19"/>
  <c r="GC61" i="19"/>
  <c r="KK61" i="19"/>
  <c r="GE63" i="19"/>
  <c r="KR63" i="19"/>
  <c r="GC69" i="19"/>
  <c r="KK69" i="19"/>
  <c r="GE71" i="19"/>
  <c r="KR71" i="19"/>
  <c r="GB72" i="19"/>
  <c r="KD72" i="19"/>
  <c r="KE72" i="19"/>
  <c r="KI72" i="19"/>
  <c r="GD74" i="19"/>
  <c r="KM74" i="19"/>
  <c r="GA75" i="19"/>
  <c r="KD75" i="19"/>
  <c r="KE75" i="19"/>
  <c r="KH75" i="19"/>
  <c r="GB80" i="19"/>
  <c r="KI80" i="19"/>
  <c r="GD82" i="19"/>
  <c r="KM82" i="19"/>
  <c r="GA83" i="19"/>
  <c r="KH83" i="19"/>
  <c r="GE87" i="19"/>
  <c r="KR87" i="19"/>
  <c r="GD90" i="19"/>
  <c r="KM90" i="19"/>
  <c r="GA91" i="19"/>
  <c r="KH91" i="19"/>
  <c r="GC93" i="19"/>
  <c r="KD93" i="19"/>
  <c r="KE93" i="19"/>
  <c r="KK93" i="19"/>
  <c r="GE95" i="19"/>
  <c r="KR95" i="19"/>
  <c r="GB96" i="19"/>
  <c r="KI96" i="19"/>
  <c r="GD98" i="19"/>
  <c r="KM98" i="19"/>
  <c r="GA99" i="19"/>
  <c r="KH99" i="19"/>
  <c r="GE103" i="19"/>
  <c r="KR103" i="19"/>
  <c r="GD106" i="19"/>
  <c r="KM106" i="19"/>
  <c r="KK123" i="19"/>
  <c r="GB58" i="39"/>
  <c r="GB28" i="21"/>
  <c r="KI28" i="21"/>
  <c r="GB20" i="21"/>
  <c r="KI20" i="21"/>
  <c r="KR28" i="22"/>
  <c r="GB15" i="22"/>
  <c r="KI15" i="22"/>
  <c r="KH12" i="22"/>
  <c r="KI37" i="31"/>
  <c r="GD32" i="31"/>
  <c r="KM32" i="31"/>
  <c r="GD15" i="31"/>
  <c r="KM15" i="31"/>
  <c r="GC12" i="31"/>
  <c r="KK12" i="31"/>
  <c r="KM31" i="32"/>
  <c r="GB25" i="32"/>
  <c r="GC20" i="32"/>
  <c r="GC9" i="32"/>
  <c r="KK9" i="32"/>
  <c r="GE10" i="33"/>
  <c r="KR10" i="33"/>
  <c r="GB9" i="33"/>
  <c r="KI9" i="33"/>
  <c r="GC61" i="34"/>
  <c r="KK61" i="34"/>
  <c r="GB58" i="34"/>
  <c r="KI58" i="34"/>
  <c r="GA55" i="34"/>
  <c r="KH55" i="34"/>
  <c r="GA51" i="34"/>
  <c r="KH51" i="34"/>
  <c r="GC49" i="34"/>
  <c r="KK49" i="34"/>
  <c r="GD44" i="34"/>
  <c r="KM44" i="34"/>
  <c r="GE39" i="34"/>
  <c r="KR39" i="34"/>
  <c r="GB38" i="34"/>
  <c r="KI38" i="34"/>
  <c r="GE31" i="34"/>
  <c r="KR31" i="34"/>
  <c r="GB30" i="34"/>
  <c r="KI30" i="34"/>
  <c r="GA27" i="34"/>
  <c r="KD27" i="34"/>
  <c r="KE27" i="34"/>
  <c r="KH27" i="34"/>
  <c r="GC25" i="34"/>
  <c r="KK25" i="34"/>
  <c r="GE23" i="34"/>
  <c r="KR23" i="34"/>
  <c r="GB22" i="34"/>
  <c r="KI22" i="34"/>
  <c r="GD20" i="34"/>
  <c r="KM20" i="34"/>
  <c r="GC17" i="34"/>
  <c r="KK17" i="34"/>
  <c r="GB14" i="34"/>
  <c r="KI14" i="34"/>
  <c r="GD12" i="34"/>
  <c r="KM12" i="34"/>
  <c r="GE59" i="35"/>
  <c r="KR59" i="35"/>
  <c r="GB58" i="35"/>
  <c r="KI58" i="35"/>
  <c r="GE55" i="35"/>
  <c r="KR55" i="35"/>
  <c r="GB54" i="35"/>
  <c r="KI54" i="35"/>
  <c r="GD52" i="35"/>
  <c r="KM52" i="35"/>
  <c r="GB50" i="35"/>
  <c r="KI50" i="35"/>
  <c r="GD48" i="35"/>
  <c r="KM48" i="35"/>
  <c r="GA47" i="35"/>
  <c r="KH47" i="35"/>
  <c r="GE43" i="35"/>
  <c r="KR43" i="35"/>
  <c r="GB42" i="35"/>
  <c r="KI42" i="35"/>
  <c r="GE39" i="35"/>
  <c r="KR39" i="35"/>
  <c r="GB38" i="35"/>
  <c r="KI38" i="35"/>
  <c r="GD36" i="35"/>
  <c r="KM36" i="35"/>
  <c r="GA35" i="35"/>
  <c r="KH35" i="35"/>
  <c r="GC33" i="35"/>
  <c r="KK33" i="35"/>
  <c r="GB30" i="35"/>
  <c r="KD30" i="35"/>
  <c r="KE30" i="35"/>
  <c r="KI30" i="35"/>
  <c r="GD28" i="35"/>
  <c r="KM28" i="35"/>
  <c r="GC25" i="35"/>
  <c r="GE25" i="35"/>
  <c r="KK25" i="35"/>
  <c r="GB20" i="35"/>
  <c r="KD20" i="35"/>
  <c r="KE20" i="35"/>
  <c r="KI20" i="35"/>
  <c r="GD18" i="35"/>
  <c r="KM18" i="35"/>
  <c r="GA17" i="35"/>
  <c r="KH17" i="35"/>
  <c r="GE13" i="35"/>
  <c r="KR13" i="35"/>
  <c r="GB12" i="35"/>
  <c r="KI12" i="35"/>
  <c r="GD10" i="35"/>
  <c r="KD10" i="35"/>
  <c r="KE10" i="35"/>
  <c r="KM10" i="35"/>
  <c r="GA9" i="35"/>
  <c r="KH9" i="35"/>
  <c r="AD53" i="21"/>
  <c r="PQ53" i="21"/>
  <c r="OO42" i="21"/>
  <c r="M42" i="21"/>
  <c r="OO34" i="21"/>
  <c r="M34" i="21"/>
  <c r="OO26" i="21"/>
  <c r="M26" i="21"/>
  <c r="OO18" i="21"/>
  <c r="M18" i="21"/>
  <c r="OO10" i="21"/>
  <c r="M10" i="21"/>
  <c r="OP39" i="21"/>
  <c r="Q39" i="21"/>
  <c r="OP31" i="21"/>
  <c r="Q31" i="21"/>
  <c r="OP23" i="21"/>
  <c r="Q23" i="21"/>
  <c r="OP15" i="21"/>
  <c r="Q15" i="21"/>
  <c r="IY22" i="31"/>
  <c r="KI62" i="35"/>
  <c r="KK39" i="21"/>
  <c r="KR47" i="34"/>
  <c r="KK53" i="34"/>
  <c r="KI14" i="32"/>
  <c r="KK33" i="34"/>
  <c r="KR31" i="35"/>
  <c r="KH27" i="35"/>
  <c r="AD84" i="39"/>
  <c r="IY24" i="39"/>
  <c r="IY16" i="39"/>
  <c r="AD16" i="39"/>
  <c r="KK17" i="32"/>
  <c r="OJ35" i="21"/>
  <c r="GE112" i="19"/>
  <c r="KH31" i="31"/>
  <c r="KH94" i="39"/>
  <c r="OJ22" i="31"/>
  <c r="KK41" i="34"/>
  <c r="KR63" i="35"/>
  <c r="CG104" i="19"/>
  <c r="IU13" i="22"/>
  <c r="KK101" i="19"/>
  <c r="KK45" i="35"/>
  <c r="KK15" i="35"/>
  <c r="Y77" i="39"/>
  <c r="KH11" i="34"/>
  <c r="KH19" i="34"/>
  <c r="IO74" i="19"/>
  <c r="IP69" i="19"/>
  <c r="IO55" i="19"/>
  <c r="IQ55" i="19"/>
  <c r="IO45" i="19"/>
  <c r="IU19" i="39"/>
  <c r="Y19" i="39"/>
  <c r="GA37" i="19"/>
  <c r="KH37" i="19"/>
  <c r="GC35" i="19"/>
  <c r="KK35" i="19"/>
  <c r="GE33" i="19"/>
  <c r="KR33" i="19"/>
  <c r="GB32" i="19"/>
  <c r="KI32" i="19"/>
  <c r="GA29" i="19"/>
  <c r="KH29" i="19"/>
  <c r="GD22" i="19"/>
  <c r="KM22" i="19"/>
  <c r="GA21" i="19"/>
  <c r="KH21" i="19"/>
  <c r="KK11" i="19"/>
  <c r="GB61" i="19"/>
  <c r="KI61" i="19"/>
  <c r="GD63" i="19"/>
  <c r="KM63" i="19"/>
  <c r="GE68" i="19"/>
  <c r="KR68" i="19"/>
  <c r="GB77" i="19"/>
  <c r="KI77" i="19"/>
  <c r="GA88" i="19"/>
  <c r="KH88" i="19"/>
  <c r="GD37" i="21"/>
  <c r="GB31" i="21"/>
  <c r="GE24" i="21"/>
  <c r="KR24" i="21"/>
  <c r="GC18" i="21"/>
  <c r="KK18" i="21"/>
  <c r="GB12" i="31"/>
  <c r="KH25" i="32"/>
  <c r="GC23" i="32"/>
  <c r="KK23" i="32"/>
  <c r="GD18" i="32"/>
  <c r="KM18" i="32"/>
  <c r="GA9" i="33"/>
  <c r="KH9" i="33"/>
  <c r="GE54" i="34"/>
  <c r="KR54" i="34"/>
  <c r="GE50" i="34"/>
  <c r="KR50" i="34"/>
  <c r="KI49" i="34"/>
  <c r="GD47" i="34"/>
  <c r="KM47" i="34"/>
  <c r="KH46" i="34"/>
  <c r="GC36" i="34"/>
  <c r="GE26" i="34"/>
  <c r="KR26" i="34"/>
  <c r="GB25" i="34"/>
  <c r="KI25" i="34"/>
  <c r="GD23" i="34"/>
  <c r="KM23" i="34"/>
  <c r="GC20" i="34"/>
  <c r="KK20" i="34"/>
  <c r="GC12" i="34"/>
  <c r="KK12" i="34"/>
  <c r="GE10" i="34"/>
  <c r="KR10" i="34"/>
  <c r="GB9" i="34"/>
  <c r="KI9" i="34"/>
  <c r="GA62" i="35"/>
  <c r="KH62" i="35"/>
  <c r="GD59" i="35"/>
  <c r="KM59" i="35"/>
  <c r="GA58" i="35"/>
  <c r="KH58" i="35"/>
  <c r="GC52" i="35"/>
  <c r="KK52" i="35"/>
  <c r="GE46" i="35"/>
  <c r="KR46" i="35"/>
  <c r="GA42" i="35"/>
  <c r="GD42" i="35"/>
  <c r="KH42" i="35"/>
  <c r="GD39" i="35"/>
  <c r="KM39" i="35"/>
  <c r="GC36" i="35"/>
  <c r="KK36" i="35"/>
  <c r="GE34" i="35"/>
  <c r="KR34" i="35"/>
  <c r="GC18" i="35"/>
  <c r="KK18" i="35"/>
  <c r="KR16" i="35"/>
  <c r="GD13" i="35"/>
  <c r="KM13" i="35"/>
  <c r="GA12" i="35"/>
  <c r="KH12" i="35"/>
  <c r="Y99" i="19"/>
  <c r="Y83" i="19"/>
  <c r="IU75" i="19"/>
  <c r="IU38" i="19"/>
  <c r="KG82" i="39"/>
  <c r="Q17" i="34"/>
  <c r="OO24" i="34"/>
  <c r="M48" i="34"/>
  <c r="GA44" i="19"/>
  <c r="KH44" i="19"/>
  <c r="GB35" i="19"/>
  <c r="KI35" i="19"/>
  <c r="GE12" i="19"/>
  <c r="KR12" i="19"/>
  <c r="GD9" i="19"/>
  <c r="KM9" i="19"/>
  <c r="GA45" i="19"/>
  <c r="KH45" i="19"/>
  <c r="GC63" i="19"/>
  <c r="KK63" i="19"/>
  <c r="GB66" i="19"/>
  <c r="KI66" i="19"/>
  <c r="GA85" i="19"/>
  <c r="KH85" i="19"/>
  <c r="GB42" i="21"/>
  <c r="KI42" i="21"/>
  <c r="KM32" i="21"/>
  <c r="GD24" i="21"/>
  <c r="KM24" i="21"/>
  <c r="GE19" i="21"/>
  <c r="KR19" i="21"/>
  <c r="GD11" i="21"/>
  <c r="KM11" i="21"/>
  <c r="GA10" i="21"/>
  <c r="KD10" i="21"/>
  <c r="KE10" i="21"/>
  <c r="KH10" i="21"/>
  <c r="GE14" i="22"/>
  <c r="KR9" i="22"/>
  <c r="KR16" i="31"/>
  <c r="KR89" i="19"/>
  <c r="KR57" i="19"/>
  <c r="Q92" i="19"/>
  <c r="OP62" i="19"/>
  <c r="Q62" i="19"/>
  <c r="OP19" i="35"/>
  <c r="Q19" i="35"/>
  <c r="KM25" i="19"/>
  <c r="KH101" i="19"/>
  <c r="M91" i="19"/>
  <c r="BI66" i="19"/>
  <c r="HC66" i="19"/>
  <c r="HE66" i="19"/>
  <c r="HG66" i="19"/>
  <c r="BF66" i="19"/>
  <c r="OP34" i="19"/>
  <c r="Q34" i="19"/>
  <c r="BH10" i="33"/>
  <c r="HC10" i="33"/>
  <c r="HE10" i="33"/>
  <c r="U10" i="33"/>
  <c r="OJ26" i="35"/>
  <c r="OP45" i="35"/>
  <c r="Q45" i="35"/>
  <c r="OP26" i="35"/>
  <c r="OT26" i="35"/>
  <c r="Q26" i="35"/>
  <c r="OP58" i="35"/>
  <c r="Q58" i="35"/>
  <c r="OP44" i="35"/>
  <c r="Q44" i="35"/>
  <c r="OP29" i="35"/>
  <c r="Q29" i="35"/>
  <c r="OP14" i="35"/>
  <c r="Q14" i="35"/>
  <c r="DV9" i="39"/>
  <c r="DZ9" i="39"/>
  <c r="I9" i="39"/>
  <c r="DZ13" i="21"/>
  <c r="DV13" i="21"/>
  <c r="KK47" i="19"/>
  <c r="OP19" i="19"/>
  <c r="Q19" i="19"/>
  <c r="OO77" i="19"/>
  <c r="M77" i="19"/>
  <c r="OP40" i="19"/>
  <c r="OP87" i="19"/>
  <c r="OP57" i="19"/>
  <c r="Q57" i="19"/>
  <c r="OO47" i="35"/>
  <c r="M47" i="35"/>
  <c r="OO50" i="35"/>
  <c r="KK21" i="21"/>
  <c r="AE57" i="21"/>
  <c r="HC52" i="35"/>
  <c r="HE52" i="35"/>
  <c r="OH52" i="35"/>
  <c r="HC11" i="35"/>
  <c r="HE11" i="35"/>
  <c r="OH11" i="35"/>
  <c r="HC48" i="21"/>
  <c r="HE48" i="21"/>
  <c r="HG48" i="21"/>
  <c r="HT48" i="21"/>
  <c r="PQ61" i="34"/>
  <c r="BK48" i="35"/>
  <c r="BK31" i="35"/>
  <c r="BK27" i="35"/>
  <c r="HC45" i="35"/>
  <c r="HE45" i="35"/>
  <c r="HC58" i="35"/>
  <c r="HE58" i="35"/>
  <c r="HC44" i="35"/>
  <c r="HE44" i="35"/>
  <c r="OH44" i="35"/>
  <c r="OK44" i="35"/>
  <c r="HC29" i="35"/>
  <c r="HE29" i="35"/>
  <c r="HC9" i="35"/>
  <c r="HE9" i="35"/>
  <c r="AV61" i="19"/>
  <c r="PQ105" i="19"/>
  <c r="PQ112" i="19"/>
  <c r="PQ56" i="35"/>
  <c r="PQ60" i="35"/>
  <c r="KH28" i="22"/>
  <c r="IB15" i="33"/>
  <c r="IB13" i="33"/>
  <c r="HC47" i="35"/>
  <c r="HE47" i="35"/>
  <c r="HC26" i="35"/>
  <c r="HE26" i="35"/>
  <c r="HC15" i="35"/>
  <c r="HE15" i="35"/>
  <c r="OH15" i="35"/>
  <c r="OL15" i="35"/>
  <c r="IO26" i="39"/>
  <c r="IO85" i="19"/>
  <c r="IY92" i="19"/>
  <c r="IY19" i="19"/>
  <c r="CE32" i="34"/>
  <c r="FZ32" i="34"/>
  <c r="IU29" i="39"/>
  <c r="IU27" i="39"/>
  <c r="IP83" i="39"/>
  <c r="PQ76" i="19"/>
  <c r="IY11" i="19"/>
  <c r="IO95" i="19"/>
  <c r="IQ95" i="19"/>
  <c r="KF28" i="31"/>
  <c r="CE19" i="31"/>
  <c r="M23" i="19"/>
  <c r="M63" i="19"/>
  <c r="M69" i="19"/>
  <c r="OP50" i="19"/>
  <c r="Q50" i="19"/>
  <c r="OJ50" i="34"/>
  <c r="HC15" i="22"/>
  <c r="HE15" i="22"/>
  <c r="HG15" i="22"/>
  <c r="M97" i="19"/>
  <c r="M49" i="34"/>
  <c r="Q11" i="31"/>
  <c r="M55" i="34"/>
  <c r="M93" i="19"/>
  <c r="Q32" i="39"/>
  <c r="M31" i="19"/>
  <c r="BK60" i="34"/>
  <c r="U64" i="19"/>
  <c r="Q46" i="39"/>
  <c r="GV59" i="31"/>
  <c r="HC47" i="21"/>
  <c r="HE47" i="21"/>
  <c r="HG47" i="21"/>
  <c r="HT47" i="21"/>
  <c r="HC49" i="21"/>
  <c r="HE49" i="21"/>
  <c r="KD39" i="19"/>
  <c r="KE39" i="19"/>
  <c r="PQ62" i="35"/>
  <c r="M110" i="19"/>
  <c r="OO110" i="19"/>
  <c r="HC63" i="19"/>
  <c r="HE63" i="19"/>
  <c r="OH63" i="19"/>
  <c r="OK63" i="19"/>
  <c r="BK14" i="35"/>
  <c r="Q108" i="19"/>
  <c r="OP108" i="19"/>
  <c r="Q109" i="19"/>
  <c r="OP109" i="19"/>
  <c r="OP32" i="19"/>
  <c r="OP43" i="19"/>
  <c r="OP45" i="19"/>
  <c r="OP48" i="19"/>
  <c r="OP49" i="19"/>
  <c r="OP53" i="19"/>
  <c r="OP54" i="19"/>
  <c r="OP56" i="19"/>
  <c r="OP63" i="19"/>
  <c r="OP66" i="19"/>
  <c r="OP67" i="19"/>
  <c r="OP75" i="19"/>
  <c r="OP78" i="19"/>
  <c r="OP80" i="19"/>
  <c r="OP82" i="19"/>
  <c r="OP85" i="19"/>
  <c r="OP86" i="19"/>
  <c r="OP90" i="19"/>
  <c r="OP91" i="19"/>
  <c r="OP95" i="19"/>
  <c r="OP101" i="19"/>
  <c r="OP103" i="19"/>
  <c r="OP104" i="19"/>
  <c r="OP110" i="19"/>
  <c r="HV15" i="33"/>
  <c r="HV13" i="33"/>
  <c r="PO13" i="33"/>
  <c r="PQ57" i="34"/>
  <c r="Q110" i="19"/>
  <c r="HC41" i="21"/>
  <c r="HE41" i="21"/>
  <c r="OH41" i="21"/>
  <c r="OL41" i="21"/>
  <c r="HC33" i="21"/>
  <c r="HE33" i="21"/>
  <c r="HC25" i="21"/>
  <c r="HE25" i="21"/>
  <c r="HC17" i="21"/>
  <c r="HE17" i="21"/>
  <c r="OH17" i="21"/>
  <c r="HC9" i="21"/>
  <c r="HE9" i="21"/>
  <c r="PQ45" i="19"/>
  <c r="PQ53" i="19"/>
  <c r="PQ61" i="19"/>
  <c r="PQ69" i="19"/>
  <c r="PQ85" i="19"/>
  <c r="PQ93" i="19"/>
  <c r="PQ101" i="19"/>
  <c r="PQ52" i="39"/>
  <c r="PQ56" i="39"/>
  <c r="PQ72" i="39"/>
  <c r="PQ80" i="39"/>
  <c r="PQ84" i="39"/>
  <c r="NT53" i="21"/>
  <c r="NU53" i="21"/>
  <c r="HC30" i="19"/>
  <c r="HE30" i="19"/>
  <c r="OH30" i="19"/>
  <c r="HC14" i="19"/>
  <c r="HE14" i="19"/>
  <c r="HC54" i="19"/>
  <c r="HE54" i="19"/>
  <c r="HC48" i="19"/>
  <c r="HE48" i="19"/>
  <c r="HC34" i="19"/>
  <c r="HE34" i="19"/>
  <c r="HC102" i="19"/>
  <c r="HC84" i="19"/>
  <c r="HE84" i="19"/>
  <c r="OH84" i="19"/>
  <c r="OL84" i="19"/>
  <c r="HC52" i="19"/>
  <c r="HC38" i="19"/>
  <c r="HE38" i="19"/>
  <c r="EB87" i="39"/>
  <c r="PQ96" i="39"/>
  <c r="BK97" i="39"/>
  <c r="HC100" i="39"/>
  <c r="HE100" i="39"/>
  <c r="OH100" i="39"/>
  <c r="BK101" i="39"/>
  <c r="BK108" i="19"/>
  <c r="NT108" i="19"/>
  <c r="NU108" i="19"/>
  <c r="JO109" i="19"/>
  <c r="NT109" i="19"/>
  <c r="NU109" i="19"/>
  <c r="M108" i="19"/>
  <c r="OO108" i="19"/>
  <c r="M109" i="19"/>
  <c r="OO109" i="19"/>
  <c r="HC110" i="19"/>
  <c r="HE110" i="19"/>
  <c r="NT110" i="19"/>
  <c r="NU110" i="19"/>
  <c r="IQ59" i="35"/>
  <c r="IO59" i="35"/>
  <c r="CE52" i="35"/>
  <c r="CE43" i="35"/>
  <c r="KG43" i="35"/>
  <c r="KF43" i="35"/>
  <c r="M40" i="35"/>
  <c r="OO22" i="35"/>
  <c r="M22" i="35"/>
  <c r="M58" i="35"/>
  <c r="OO44" i="35"/>
  <c r="M44" i="35"/>
  <c r="M29" i="35"/>
  <c r="OP27" i="35"/>
  <c r="Q27" i="35"/>
  <c r="IQ39" i="35"/>
  <c r="IO39" i="35"/>
  <c r="IQ12" i="35"/>
  <c r="IO12" i="35"/>
  <c r="OP18" i="35"/>
  <c r="Q18" i="35"/>
  <c r="OP10" i="35"/>
  <c r="Q10" i="35"/>
  <c r="OQ9" i="35"/>
  <c r="GE64" i="35"/>
  <c r="KR64" i="35"/>
  <c r="GD61" i="35"/>
  <c r="KM61" i="35"/>
  <c r="GB59" i="35"/>
  <c r="KI59" i="35"/>
  <c r="GD57" i="35"/>
  <c r="KM57" i="35"/>
  <c r="GD49" i="35"/>
  <c r="KM49" i="35"/>
  <c r="GA48" i="35"/>
  <c r="KH48" i="35"/>
  <c r="GC46" i="35"/>
  <c r="KK46" i="35"/>
  <c r="GE44" i="35"/>
  <c r="KR44" i="35"/>
  <c r="GB39" i="35"/>
  <c r="KI39" i="35"/>
  <c r="GD37" i="35"/>
  <c r="KM37" i="35"/>
  <c r="GA28" i="35"/>
  <c r="KH28" i="35"/>
  <c r="GC26" i="35"/>
  <c r="KK26" i="35"/>
  <c r="GE24" i="35"/>
  <c r="KR24" i="35"/>
  <c r="GB23" i="35"/>
  <c r="KI23" i="35"/>
  <c r="GD19" i="35"/>
  <c r="KM19" i="35"/>
  <c r="GA18" i="35"/>
  <c r="KH18" i="35"/>
  <c r="GB13" i="35"/>
  <c r="KI13" i="35"/>
  <c r="GD11" i="35"/>
  <c r="KM11" i="35"/>
  <c r="GA23" i="35"/>
  <c r="KH23" i="35"/>
  <c r="CI70" i="35"/>
  <c r="U24" i="35"/>
  <c r="IY34" i="35"/>
  <c r="M59" i="35"/>
  <c r="BK22" i="35"/>
  <c r="HC30" i="35"/>
  <c r="HE30" i="35"/>
  <c r="KG63" i="35"/>
  <c r="FZ63" i="35"/>
  <c r="OL51" i="35"/>
  <c r="BK35" i="35"/>
  <c r="HC20" i="35"/>
  <c r="HE20" i="35"/>
  <c r="OJ21" i="35"/>
  <c r="IQ29" i="35"/>
  <c r="IO29" i="35"/>
  <c r="OO23" i="35"/>
  <c r="M23" i="35"/>
  <c r="OJ57" i="35"/>
  <c r="OQ57" i="35"/>
  <c r="OT57" i="35"/>
  <c r="GD34" i="35"/>
  <c r="KM34" i="35"/>
  <c r="M46" i="35"/>
  <c r="OR51" i="35"/>
  <c r="KG42" i="35"/>
  <c r="OR56" i="35"/>
  <c r="OU56" i="35"/>
  <c r="OK56" i="35"/>
  <c r="HC53" i="35"/>
  <c r="HE53" i="35"/>
  <c r="IP47" i="35"/>
  <c r="IO47" i="35"/>
  <c r="BK47" i="35"/>
  <c r="HC40" i="35"/>
  <c r="HE40" i="35"/>
  <c r="HC54" i="35"/>
  <c r="HE54" i="35"/>
  <c r="HC39" i="35"/>
  <c r="HE39" i="35"/>
  <c r="KK34" i="35"/>
  <c r="OQ14" i="35"/>
  <c r="KI31" i="35"/>
  <c r="KK16" i="35"/>
  <c r="OO30" i="35"/>
  <c r="M30" i="35"/>
  <c r="OJ34" i="35"/>
  <c r="OQ34" i="35"/>
  <c r="OT34" i="35"/>
  <c r="GB36" i="35"/>
  <c r="KI36" i="35"/>
  <c r="CG70" i="35"/>
  <c r="M15" i="35"/>
  <c r="M14" i="35"/>
  <c r="KI63" i="35"/>
  <c r="GY77" i="35"/>
  <c r="HK77" i="35"/>
  <c r="OO38" i="35"/>
  <c r="M38" i="35"/>
  <c r="BK12" i="35"/>
  <c r="BK10" i="35"/>
  <c r="BK15" i="35"/>
  <c r="BK16" i="35"/>
  <c r="BK17" i="35"/>
  <c r="BK18" i="35"/>
  <c r="BK20" i="35"/>
  <c r="BK26" i="35"/>
  <c r="BK28" i="35"/>
  <c r="BK29" i="35"/>
  <c r="BK32" i="35"/>
  <c r="BK33" i="35"/>
  <c r="BK37" i="35"/>
  <c r="BK40" i="35"/>
  <c r="BK43" i="35"/>
  <c r="BK45" i="35"/>
  <c r="BK49" i="35"/>
  <c r="BK50" i="35"/>
  <c r="BK52" i="35"/>
  <c r="BK53" i="35"/>
  <c r="BK55" i="35"/>
  <c r="BK57" i="35"/>
  <c r="BK58" i="35"/>
  <c r="BK63" i="35"/>
  <c r="HC12" i="35"/>
  <c r="HE12" i="35"/>
  <c r="OH12" i="35"/>
  <c r="OJ23" i="35"/>
  <c r="AD57" i="35"/>
  <c r="KR32" i="35"/>
  <c r="KI43" i="35"/>
  <c r="OJ58" i="35"/>
  <c r="GC61" i="35"/>
  <c r="KH10" i="35"/>
  <c r="IO33" i="35"/>
  <c r="KH15" i="35"/>
  <c r="U22" i="35"/>
  <c r="Q38" i="35"/>
  <c r="KH52" i="35"/>
  <c r="IQ58" i="35"/>
  <c r="IO58" i="35"/>
  <c r="CP70" i="35"/>
  <c r="AD47" i="35"/>
  <c r="IQ55" i="35"/>
  <c r="IO55" i="35"/>
  <c r="KH34" i="35"/>
  <c r="M20" i="35"/>
  <c r="HC61" i="35"/>
  <c r="HE61" i="35"/>
  <c r="HC35" i="35"/>
  <c r="HE35" i="35"/>
  <c r="KK22" i="35"/>
  <c r="KM58" i="35"/>
  <c r="KM62" i="35"/>
  <c r="OQ15" i="35"/>
  <c r="OT15" i="35"/>
  <c r="OJ20" i="35"/>
  <c r="M12" i="35"/>
  <c r="KM50" i="35"/>
  <c r="KM22" i="35"/>
  <c r="M39" i="35"/>
  <c r="Q16" i="35"/>
  <c r="HC18" i="35"/>
  <c r="GT61" i="35"/>
  <c r="OJ42" i="35"/>
  <c r="KK44" i="35"/>
  <c r="KR42" i="35"/>
  <c r="KI19" i="35"/>
  <c r="HC48" i="35"/>
  <c r="HE48" i="35"/>
  <c r="OH48" i="35"/>
  <c r="OR48" i="35"/>
  <c r="HC16" i="35"/>
  <c r="KR50" i="35"/>
  <c r="OQ59" i="35"/>
  <c r="OT59" i="35"/>
  <c r="KR20" i="35"/>
  <c r="KK14" i="35"/>
  <c r="M37" i="35"/>
  <c r="Q37" i="35"/>
  <c r="KK32" i="35"/>
  <c r="KM16" i="35"/>
  <c r="IQ45" i="35"/>
  <c r="IO45" i="35"/>
  <c r="IP28" i="35"/>
  <c r="IP15" i="35"/>
  <c r="OP47" i="35"/>
  <c r="Q47" i="35"/>
  <c r="OP59" i="35"/>
  <c r="Q59" i="35"/>
  <c r="OP46" i="35"/>
  <c r="Q46" i="35"/>
  <c r="OQ36" i="35"/>
  <c r="OT36" i="35"/>
  <c r="OJ36" i="35"/>
  <c r="OP15" i="35"/>
  <c r="Q15" i="35"/>
  <c r="OQ11" i="35"/>
  <c r="OT11" i="35"/>
  <c r="OG70" i="35"/>
  <c r="GE61" i="35"/>
  <c r="KR61" i="35"/>
  <c r="GE57" i="35"/>
  <c r="KR57" i="35"/>
  <c r="GC55" i="35"/>
  <c r="KK55" i="35"/>
  <c r="GE53" i="35"/>
  <c r="KD53" i="35"/>
  <c r="KE53" i="35"/>
  <c r="KR53" i="35"/>
  <c r="GB52" i="35"/>
  <c r="KI52" i="35"/>
  <c r="GB48" i="35"/>
  <c r="KI48" i="35"/>
  <c r="GD46" i="35"/>
  <c r="KM46" i="35"/>
  <c r="GA45" i="35"/>
  <c r="KH45" i="35"/>
  <c r="GE37" i="35"/>
  <c r="KR37" i="35"/>
  <c r="GA33" i="35"/>
  <c r="KH33" i="35"/>
  <c r="GB28" i="35"/>
  <c r="KI28" i="35"/>
  <c r="GD26" i="35"/>
  <c r="KM26" i="35"/>
  <c r="GC23" i="35"/>
  <c r="KK23" i="35"/>
  <c r="GE19" i="35"/>
  <c r="KR19" i="35"/>
  <c r="GC13" i="35"/>
  <c r="KK13" i="35"/>
  <c r="OL56" i="35"/>
  <c r="OJ11" i="35"/>
  <c r="KM64" i="35"/>
  <c r="HC46" i="35"/>
  <c r="HE46" i="35"/>
  <c r="OJ17" i="35"/>
  <c r="KR49" i="35"/>
  <c r="M55" i="35"/>
  <c r="KR29" i="35"/>
  <c r="IP50" i="35"/>
  <c r="IO50" i="35"/>
  <c r="GA55" i="35"/>
  <c r="KH55" i="35"/>
  <c r="GE47" i="35"/>
  <c r="KR47" i="35"/>
  <c r="GB26" i="35"/>
  <c r="KI26" i="35"/>
  <c r="KK63" i="35"/>
  <c r="OJ52" i="35"/>
  <c r="KH25" i="35"/>
  <c r="KI18" i="35"/>
  <c r="Q55" i="35"/>
  <c r="Q43" i="35"/>
  <c r="KI10" i="35"/>
  <c r="IP53" i="35"/>
  <c r="IO53" i="35"/>
  <c r="OO21" i="35"/>
  <c r="M21" i="35"/>
  <c r="IQ22" i="35"/>
  <c r="IO22" i="35"/>
  <c r="OP9" i="35"/>
  <c r="OP11" i="35"/>
  <c r="OP13" i="35"/>
  <c r="OP25" i="35"/>
  <c r="OP28" i="35"/>
  <c r="OP33" i="35"/>
  <c r="OP52" i="35"/>
  <c r="Q9" i="35"/>
  <c r="GE9" i="35"/>
  <c r="KR9" i="35"/>
  <c r="KK31" i="35"/>
  <c r="Q42" i="35"/>
  <c r="Q30" i="35"/>
  <c r="KR11" i="35"/>
  <c r="KR15" i="35"/>
  <c r="KR17" i="35"/>
  <c r="KR22" i="35"/>
  <c r="KR25" i="35"/>
  <c r="KR27" i="35"/>
  <c r="KR33" i="35"/>
  <c r="KR35" i="35"/>
  <c r="KR48" i="35"/>
  <c r="KR52" i="35"/>
  <c r="KR54" i="35"/>
  <c r="KF47" i="35"/>
  <c r="EB62" i="35"/>
  <c r="IU64" i="35"/>
  <c r="Y64" i="35"/>
  <c r="OO34" i="35"/>
  <c r="M34" i="35"/>
  <c r="OO45" i="35"/>
  <c r="M45" i="35"/>
  <c r="OO52" i="35"/>
  <c r="M52" i="35"/>
  <c r="OO36" i="35"/>
  <c r="M36" i="35"/>
  <c r="OO19" i="35"/>
  <c r="M19" i="35"/>
  <c r="OO11" i="35"/>
  <c r="M11" i="35"/>
  <c r="OQ38" i="35"/>
  <c r="OT38" i="35"/>
  <c r="OJ38" i="35"/>
  <c r="GA63" i="35"/>
  <c r="KH63" i="35"/>
  <c r="GC57" i="35"/>
  <c r="KK57" i="35"/>
  <c r="GA39" i="35"/>
  <c r="KH39" i="35"/>
  <c r="OJ19" i="35"/>
  <c r="FZ61" i="35"/>
  <c r="Y44" i="35"/>
  <c r="IP17" i="35"/>
  <c r="Q28" i="35"/>
  <c r="GC29" i="35"/>
  <c r="KK29" i="35"/>
  <c r="GC11" i="35"/>
  <c r="KK11" i="35"/>
  <c r="OQ32" i="35"/>
  <c r="OT32" i="35"/>
  <c r="HC27" i="35"/>
  <c r="HE27" i="35"/>
  <c r="KK49" i="35"/>
  <c r="Q25" i="35"/>
  <c r="HC59" i="35"/>
  <c r="HE59" i="35"/>
  <c r="OH59" i="35"/>
  <c r="Q13" i="35"/>
  <c r="GB46" i="35"/>
  <c r="KI46" i="35"/>
  <c r="CK70" i="35"/>
  <c r="KK53" i="35"/>
  <c r="IQ9" i="35"/>
  <c r="HC14" i="35"/>
  <c r="HE14" i="35"/>
  <c r="OQ49" i="35"/>
  <c r="KK59" i="35"/>
  <c r="KK43" i="35"/>
  <c r="KH59" i="35"/>
  <c r="KK39" i="35"/>
  <c r="I13" i="35"/>
  <c r="M43" i="35"/>
  <c r="M13" i="35"/>
  <c r="KK19" i="35"/>
  <c r="HC57" i="35"/>
  <c r="HE57" i="35"/>
  <c r="OH57" i="35"/>
  <c r="OK57" i="35"/>
  <c r="HC13" i="35"/>
  <c r="HE13" i="35"/>
  <c r="PQ64" i="35"/>
  <c r="HE24" i="35"/>
  <c r="AG77" i="35"/>
  <c r="IO37" i="35"/>
  <c r="GD44" i="35"/>
  <c r="KM44" i="35"/>
  <c r="GA43" i="35"/>
  <c r="KH43" i="35"/>
  <c r="GD40" i="35"/>
  <c r="KM40" i="35"/>
  <c r="GC37" i="35"/>
  <c r="KK37" i="35"/>
  <c r="GE35" i="35"/>
  <c r="GB34" i="35"/>
  <c r="KI34" i="35"/>
  <c r="GD32" i="35"/>
  <c r="KM32" i="35"/>
  <c r="GA31" i="35"/>
  <c r="KD31" i="35"/>
  <c r="KE31" i="35"/>
  <c r="KH31" i="35"/>
  <c r="GE27" i="35"/>
  <c r="KD27" i="35"/>
  <c r="KE27" i="35"/>
  <c r="GD24" i="35"/>
  <c r="KM24" i="35"/>
  <c r="GE17" i="35"/>
  <c r="KI16" i="35"/>
  <c r="GD14" i="35"/>
  <c r="KM14" i="35"/>
  <c r="GA13" i="35"/>
  <c r="KH13" i="35"/>
  <c r="GB21" i="35"/>
  <c r="KI21" i="35"/>
  <c r="CE22" i="35"/>
  <c r="FZ22" i="35"/>
  <c r="KF22" i="35"/>
  <c r="IO21" i="35"/>
  <c r="KG38" i="35"/>
  <c r="CE30" i="35"/>
  <c r="FZ30" i="35"/>
  <c r="FZ23" i="35"/>
  <c r="CE15" i="35"/>
  <c r="PQ63" i="35"/>
  <c r="AD63" i="35"/>
  <c r="OO53" i="35"/>
  <c r="M53" i="35"/>
  <c r="OT46" i="35"/>
  <c r="IO25" i="35"/>
  <c r="KM20" i="35"/>
  <c r="KI44" i="35"/>
  <c r="KH19" i="35"/>
  <c r="FZ40" i="35"/>
  <c r="KG40" i="35"/>
  <c r="CE32" i="35"/>
  <c r="OF70" i="35"/>
  <c r="OO57" i="35"/>
  <c r="M57" i="35"/>
  <c r="OO9" i="35"/>
  <c r="Q33" i="35"/>
  <c r="Q52" i="35"/>
  <c r="Q11" i="35"/>
  <c r="GC64" i="35"/>
  <c r="KK64" i="35"/>
  <c r="GB57" i="35"/>
  <c r="KI57" i="35"/>
  <c r="GE54" i="35"/>
  <c r="GB49" i="35"/>
  <c r="KI49" i="35"/>
  <c r="GD47" i="35"/>
  <c r="KM47" i="35"/>
  <c r="GA46" i="35"/>
  <c r="KH46" i="35"/>
  <c r="KM42" i="35"/>
  <c r="GD38" i="35"/>
  <c r="KM38" i="35"/>
  <c r="GC35" i="35"/>
  <c r="KK35" i="35"/>
  <c r="GB32" i="35"/>
  <c r="KD32" i="35"/>
  <c r="KE32" i="35"/>
  <c r="KI32" i="35"/>
  <c r="GE15" i="35"/>
  <c r="GB14" i="35"/>
  <c r="KI14" i="35"/>
  <c r="GC9" i="35"/>
  <c r="KK9" i="35"/>
  <c r="GE22" i="35"/>
  <c r="KD22" i="35"/>
  <c r="KE22" i="35"/>
  <c r="OO35" i="35"/>
  <c r="OO10" i="35"/>
  <c r="OQ37" i="35"/>
  <c r="OT37" i="35"/>
  <c r="OJ37" i="35"/>
  <c r="IP40" i="35"/>
  <c r="IQ40" i="35"/>
  <c r="OQ25" i="35"/>
  <c r="OT25" i="35"/>
  <c r="OJ25" i="35"/>
  <c r="OQ43" i="35"/>
  <c r="OT43" i="35"/>
  <c r="OJ43" i="35"/>
  <c r="OQ28" i="35"/>
  <c r="OT28" i="35"/>
  <c r="OJ28" i="35"/>
  <c r="JC62" i="35"/>
  <c r="OZ70" i="35"/>
  <c r="AN111" i="35"/>
  <c r="GC50" i="35"/>
  <c r="KK50" i="35"/>
  <c r="GD45" i="35"/>
  <c r="KM45" i="35"/>
  <c r="KK54" i="35"/>
  <c r="KI47" i="35"/>
  <c r="IO62" i="35"/>
  <c r="KH37" i="35"/>
  <c r="IP13" i="35"/>
  <c r="OQ13" i="35"/>
  <c r="OT13" i="35"/>
  <c r="KI40" i="35"/>
  <c r="KI24" i="35"/>
  <c r="KH29" i="35"/>
  <c r="IO57" i="35"/>
  <c r="OQ55" i="35"/>
  <c r="OT55" i="35"/>
  <c r="KK17" i="35"/>
  <c r="KM30" i="35"/>
  <c r="A62" i="35"/>
  <c r="A63" i="35"/>
  <c r="A64" i="35"/>
  <c r="A65" i="35"/>
  <c r="A66" i="35"/>
  <c r="A67" i="35"/>
  <c r="A68" i="35"/>
  <c r="A69" i="35"/>
  <c r="KM27" i="34"/>
  <c r="KI18" i="34"/>
  <c r="KR51" i="34"/>
  <c r="KI54" i="34"/>
  <c r="KR43" i="34"/>
  <c r="KM48" i="34"/>
  <c r="IQ59" i="34"/>
  <c r="OJ36" i="34"/>
  <c r="OQ48" i="34"/>
  <c r="OT48" i="34"/>
  <c r="KK16" i="34"/>
  <c r="KR27" i="34"/>
  <c r="KK40" i="34"/>
  <c r="KM40" i="34"/>
  <c r="KH10" i="34"/>
  <c r="KI13" i="34"/>
  <c r="KM16" i="34"/>
  <c r="KK48" i="34"/>
  <c r="KH50" i="34"/>
  <c r="KI50" i="34"/>
  <c r="Q47" i="34"/>
  <c r="KI10" i="34"/>
  <c r="KK37" i="34"/>
  <c r="KR14" i="34"/>
  <c r="M14" i="34"/>
  <c r="OT32" i="34"/>
  <c r="KG54" i="34"/>
  <c r="OJ32" i="34"/>
  <c r="KH49" i="34"/>
  <c r="Q31" i="34"/>
  <c r="M38" i="34"/>
  <c r="FZ14" i="34"/>
  <c r="Q15" i="34"/>
  <c r="Q53" i="34"/>
  <c r="Q39" i="34"/>
  <c r="KL58" i="34"/>
  <c r="KG59" i="34"/>
  <c r="FZ59" i="34"/>
  <c r="IU60" i="34"/>
  <c r="Y60" i="34"/>
  <c r="I9" i="34"/>
  <c r="JC59" i="34"/>
  <c r="GA61" i="34"/>
  <c r="GC59" i="34"/>
  <c r="KK59" i="34"/>
  <c r="GE57" i="34"/>
  <c r="KR57" i="34"/>
  <c r="GD54" i="34"/>
  <c r="KM54" i="34"/>
  <c r="GA53" i="34"/>
  <c r="KH53" i="34"/>
  <c r="GD50" i="34"/>
  <c r="KM50" i="34"/>
  <c r="GC47" i="34"/>
  <c r="KK47" i="34"/>
  <c r="GE45" i="34"/>
  <c r="KR45" i="34"/>
  <c r="GB44" i="34"/>
  <c r="KI44" i="34"/>
  <c r="GD42" i="34"/>
  <c r="KM42" i="34"/>
  <c r="GA41" i="34"/>
  <c r="KH41" i="34"/>
  <c r="GC39" i="34"/>
  <c r="KK39" i="34"/>
  <c r="GE37" i="34"/>
  <c r="GB36" i="34"/>
  <c r="KI36" i="34"/>
  <c r="GD34" i="34"/>
  <c r="KM34" i="34"/>
  <c r="GA33" i="34"/>
  <c r="GC31" i="34"/>
  <c r="KK31" i="34"/>
  <c r="GE29" i="34"/>
  <c r="KR29" i="34"/>
  <c r="KH25" i="34"/>
  <c r="GC23" i="34"/>
  <c r="GD18" i="34"/>
  <c r="KM18" i="34"/>
  <c r="GA17" i="34"/>
  <c r="KH17" i="34"/>
  <c r="GC15" i="34"/>
  <c r="KK15" i="34"/>
  <c r="GB12" i="34"/>
  <c r="KI12" i="34"/>
  <c r="GD10" i="34"/>
  <c r="KM10" i="34"/>
  <c r="GA9" i="34"/>
  <c r="KH9" i="34"/>
  <c r="KG57" i="34"/>
  <c r="FZ57" i="34"/>
  <c r="HP69" i="34"/>
  <c r="HP67" i="34"/>
  <c r="HV69" i="34"/>
  <c r="HV67" i="34"/>
  <c r="GY76" i="34"/>
  <c r="HK76" i="34"/>
  <c r="GB59" i="34"/>
  <c r="KI59" i="34"/>
  <c r="GD57" i="34"/>
  <c r="KM57" i="34"/>
  <c r="GC54" i="34"/>
  <c r="KK54" i="34"/>
  <c r="GC50" i="34"/>
  <c r="KK50" i="34"/>
  <c r="GE48" i="34"/>
  <c r="KR48" i="34"/>
  <c r="GB47" i="34"/>
  <c r="KI47" i="34"/>
  <c r="GD45" i="34"/>
  <c r="KM45" i="34"/>
  <c r="GA44" i="34"/>
  <c r="KH44" i="34"/>
  <c r="GC42" i="34"/>
  <c r="KK42" i="34"/>
  <c r="GE40" i="34"/>
  <c r="KR40" i="34"/>
  <c r="GB39" i="34"/>
  <c r="KI39" i="34"/>
  <c r="GA36" i="34"/>
  <c r="KH36" i="34"/>
  <c r="GC34" i="34"/>
  <c r="KK34" i="34"/>
  <c r="GE32" i="34"/>
  <c r="KR32" i="34"/>
  <c r="GB31" i="34"/>
  <c r="GA28" i="34"/>
  <c r="KH28" i="34"/>
  <c r="KR24" i="34"/>
  <c r="GB23" i="34"/>
  <c r="GD21" i="34"/>
  <c r="KM21" i="34"/>
  <c r="GA20" i="34"/>
  <c r="KH20" i="34"/>
  <c r="GC18" i="34"/>
  <c r="KK18" i="34"/>
  <c r="GE16" i="34"/>
  <c r="KR16" i="34"/>
  <c r="GB15" i="34"/>
  <c r="KI15" i="34"/>
  <c r="KM13" i="34"/>
  <c r="GA12" i="34"/>
  <c r="KH12" i="34"/>
  <c r="GC10" i="34"/>
  <c r="KK10" i="34"/>
  <c r="KR13" i="34"/>
  <c r="KH33" i="34"/>
  <c r="KM26" i="34"/>
  <c r="IA61" i="34"/>
  <c r="HY61" i="34"/>
  <c r="KL51" i="34"/>
  <c r="KF38" i="34"/>
  <c r="GY75" i="34"/>
  <c r="HK75" i="34"/>
  <c r="HY69" i="34"/>
  <c r="HY67" i="34"/>
  <c r="GA47" i="34"/>
  <c r="KH47" i="34"/>
  <c r="GC45" i="34"/>
  <c r="KK45" i="34"/>
  <c r="GA39" i="34"/>
  <c r="KH39" i="34"/>
  <c r="GE35" i="34"/>
  <c r="KR35" i="34"/>
  <c r="GB34" i="34"/>
  <c r="KI34" i="34"/>
  <c r="GD32" i="34"/>
  <c r="KM32" i="34"/>
  <c r="GA23" i="34"/>
  <c r="KH23" i="34"/>
  <c r="GE19" i="34"/>
  <c r="KD19" i="34"/>
  <c r="KE19" i="34"/>
  <c r="KR19" i="34"/>
  <c r="GE11" i="34"/>
  <c r="KR11" i="34"/>
  <c r="OQ14" i="34"/>
  <c r="OT14" i="34"/>
  <c r="GY74" i="34"/>
  <c r="HK74" i="34"/>
  <c r="GA54" i="34"/>
  <c r="KH54" i="34"/>
  <c r="GE46" i="34"/>
  <c r="KR46" i="34"/>
  <c r="GB45" i="34"/>
  <c r="KI45" i="34"/>
  <c r="GD43" i="34"/>
  <c r="KM43" i="34"/>
  <c r="GA26" i="34"/>
  <c r="KH26" i="34"/>
  <c r="GC24" i="34"/>
  <c r="KK24" i="34"/>
  <c r="GB21" i="34"/>
  <c r="KI21" i="34"/>
  <c r="GA18" i="34"/>
  <c r="KH18" i="34"/>
  <c r="GD11" i="34"/>
  <c r="KM11" i="34"/>
  <c r="OP20" i="34"/>
  <c r="Q20" i="34"/>
  <c r="OQ21" i="34"/>
  <c r="OT21" i="34"/>
  <c r="OJ21" i="34"/>
  <c r="GE53" i="34"/>
  <c r="KR53" i="34"/>
  <c r="KK51" i="34"/>
  <c r="GA37" i="34"/>
  <c r="KH37" i="34"/>
  <c r="GD30" i="34"/>
  <c r="KM30" i="34"/>
  <c r="GA21" i="34"/>
  <c r="KH21" i="34"/>
  <c r="KH29" i="34"/>
  <c r="OQ20" i="34"/>
  <c r="OT20" i="34"/>
  <c r="OJ20" i="34"/>
  <c r="OP27" i="34"/>
  <c r="Q27" i="34"/>
  <c r="OQ28" i="34"/>
  <c r="OT28" i="34"/>
  <c r="OJ28" i="34"/>
  <c r="Q36" i="34"/>
  <c r="OO50" i="34"/>
  <c r="M50" i="34"/>
  <c r="OP12" i="34"/>
  <c r="Q12" i="34"/>
  <c r="OP34" i="34"/>
  <c r="Q34" i="34"/>
  <c r="OO41" i="34"/>
  <c r="M41" i="34"/>
  <c r="OJ43" i="34"/>
  <c r="OQ43" i="34"/>
  <c r="OT43" i="34"/>
  <c r="U10" i="34"/>
  <c r="M43" i="34"/>
  <c r="KM14" i="34"/>
  <c r="KI32" i="34"/>
  <c r="JC12" i="33"/>
  <c r="K13" i="33"/>
  <c r="O13" i="33"/>
  <c r="AD12" i="33"/>
  <c r="IU12" i="33"/>
  <c r="HZ12" i="33"/>
  <c r="HY12" i="33"/>
  <c r="HV12" i="33"/>
  <c r="GY21" i="33"/>
  <c r="HK21" i="33"/>
  <c r="CI13" i="33"/>
  <c r="CF13" i="33"/>
  <c r="KK10" i="33"/>
  <c r="KM12" i="33"/>
  <c r="GY20" i="33"/>
  <c r="HK20" i="33"/>
  <c r="CK13" i="33"/>
  <c r="KH10" i="33"/>
  <c r="GE30" i="32"/>
  <c r="GD16" i="32"/>
  <c r="KM16" i="32"/>
  <c r="OP9" i="32"/>
  <c r="Q9" i="32"/>
  <c r="OO22" i="32"/>
  <c r="OO10" i="32"/>
  <c r="OJ24" i="32"/>
  <c r="OQ24" i="32"/>
  <c r="OT24" i="32"/>
  <c r="GE24" i="32"/>
  <c r="GC15" i="32"/>
  <c r="KK15" i="32"/>
  <c r="KH26" i="32"/>
  <c r="OP21" i="32"/>
  <c r="Q21" i="32"/>
  <c r="OQ21" i="32"/>
  <c r="OQ10" i="32"/>
  <c r="OT10" i="32"/>
  <c r="OQ16" i="32"/>
  <c r="OT16" i="32"/>
  <c r="OQ18" i="32"/>
  <c r="OT18" i="32"/>
  <c r="OJ10" i="32"/>
  <c r="HC24" i="32"/>
  <c r="HE24" i="32"/>
  <c r="OH24" i="32"/>
  <c r="KI13" i="32"/>
  <c r="KG23" i="32"/>
  <c r="FZ23" i="32"/>
  <c r="CE15" i="32"/>
  <c r="OP22" i="32"/>
  <c r="Q22" i="32"/>
  <c r="AD27" i="32"/>
  <c r="IY27" i="32"/>
  <c r="KK18" i="32"/>
  <c r="GD22" i="32"/>
  <c r="KM22" i="32"/>
  <c r="GC16" i="32"/>
  <c r="KK16" i="32"/>
  <c r="OP14" i="32"/>
  <c r="Q14" i="32"/>
  <c r="M20" i="32"/>
  <c r="GD27" i="32"/>
  <c r="KM27" i="32"/>
  <c r="M10" i="32"/>
  <c r="HC25" i="32"/>
  <c r="HE25" i="32"/>
  <c r="EA27" i="32"/>
  <c r="DV27" i="32"/>
  <c r="I27" i="32"/>
  <c r="GE25" i="32"/>
  <c r="PQ27" i="32"/>
  <c r="KK19" i="32"/>
  <c r="M9" i="32"/>
  <c r="M27" i="32"/>
  <c r="KH17" i="32"/>
  <c r="IY59" i="31"/>
  <c r="JC35" i="31"/>
  <c r="IY40" i="31"/>
  <c r="IO36" i="31"/>
  <c r="IO34" i="31"/>
  <c r="Y59" i="31"/>
  <c r="KG26" i="31"/>
  <c r="KF17" i="31"/>
  <c r="KR33" i="31"/>
  <c r="HC20" i="31"/>
  <c r="BK41" i="31"/>
  <c r="KM21" i="31"/>
  <c r="KG17" i="31"/>
  <c r="KF26" i="31"/>
  <c r="KK35" i="31"/>
  <c r="KK10" i="31"/>
  <c r="KM11" i="22"/>
  <c r="KI13" i="22"/>
  <c r="KM14" i="22"/>
  <c r="OJ10" i="22"/>
  <c r="M11" i="22"/>
  <c r="M10" i="22"/>
  <c r="Q14" i="22"/>
  <c r="GD43" i="21"/>
  <c r="OQ22" i="21"/>
  <c r="OT22" i="21"/>
  <c r="KH53" i="21"/>
  <c r="KR21" i="21"/>
  <c r="M39" i="21"/>
  <c r="M23" i="21"/>
  <c r="IY53" i="21"/>
  <c r="Q10" i="21"/>
  <c r="KM34" i="21"/>
  <c r="KK31" i="21"/>
  <c r="KI12" i="21"/>
  <c r="EB43" i="21"/>
  <c r="GT43" i="21"/>
  <c r="GV43" i="21"/>
  <c r="GW43" i="21"/>
  <c r="GZ43" i="21"/>
  <c r="NT43" i="21"/>
  <c r="NU43" i="21"/>
  <c r="Y53" i="21"/>
  <c r="IU46" i="21"/>
  <c r="KH17" i="21"/>
  <c r="KR29" i="21"/>
  <c r="KR13" i="21"/>
  <c r="M31" i="21"/>
  <c r="KK15" i="21"/>
  <c r="PQ49" i="21"/>
  <c r="IO53" i="21"/>
  <c r="KM26" i="21"/>
  <c r="KH33" i="21"/>
  <c r="KM18" i="21"/>
  <c r="M15" i="21"/>
  <c r="Q42" i="21"/>
  <c r="PP57" i="21"/>
  <c r="KK23" i="21"/>
  <c r="KH25" i="21"/>
  <c r="Q18" i="21"/>
  <c r="KI36" i="21"/>
  <c r="KI47" i="21"/>
  <c r="KK10" i="21"/>
  <c r="JC49" i="21"/>
  <c r="HC30" i="21"/>
  <c r="HE30" i="21"/>
  <c r="HC22" i="21"/>
  <c r="HE22" i="21"/>
  <c r="OH22" i="21"/>
  <c r="OK22" i="21"/>
  <c r="HC14" i="21"/>
  <c r="HE14" i="21"/>
  <c r="OH14" i="21"/>
  <c r="OL14" i="21"/>
  <c r="JO43" i="21"/>
  <c r="EB49" i="21"/>
  <c r="HK66" i="21"/>
  <c r="HV49" i="21"/>
  <c r="KF21" i="21"/>
  <c r="KF11" i="21"/>
  <c r="IY42" i="21"/>
  <c r="KG21" i="21"/>
  <c r="KM38" i="21"/>
  <c r="KI21" i="21"/>
  <c r="KI13" i="21"/>
  <c r="KR14" i="21"/>
  <c r="KG35" i="21"/>
  <c r="KM49" i="21"/>
  <c r="KH48" i="21"/>
  <c r="PQ42" i="21"/>
  <c r="Y24" i="21"/>
  <c r="KH18" i="21"/>
  <c r="KH26" i="21"/>
  <c r="KI40" i="21"/>
  <c r="OJ30" i="21"/>
  <c r="IY41" i="21"/>
  <c r="FZ48" i="21"/>
  <c r="KK46" i="21"/>
  <c r="KK35" i="21"/>
  <c r="KK24" i="21"/>
  <c r="KK11" i="21"/>
  <c r="KI19" i="21"/>
  <c r="PQ41" i="21"/>
  <c r="KH37" i="21"/>
  <c r="KR33" i="21"/>
  <c r="KF35" i="21"/>
  <c r="OE57" i="21"/>
  <c r="OF57" i="21"/>
  <c r="OS57" i="21"/>
  <c r="PQ46" i="21"/>
  <c r="EB53" i="21"/>
  <c r="KD35" i="21"/>
  <c r="KE35" i="21"/>
  <c r="IU43" i="21"/>
  <c r="NT46" i="21"/>
  <c r="NU46" i="21"/>
  <c r="Y49" i="21"/>
  <c r="IQ49" i="21"/>
  <c r="IQ48" i="21"/>
  <c r="KM47" i="21"/>
  <c r="DY41" i="21"/>
  <c r="KK53" i="21"/>
  <c r="CQ53" i="21"/>
  <c r="KM9" i="21"/>
  <c r="KK41" i="21"/>
  <c r="KI49" i="21"/>
  <c r="HX46" i="21"/>
  <c r="I41" i="21"/>
  <c r="BK48" i="21"/>
  <c r="BB26" i="21"/>
  <c r="JC26" i="21"/>
  <c r="I26" i="21"/>
  <c r="KG46" i="21"/>
  <c r="CQ46" i="21"/>
  <c r="FZ46" i="21"/>
  <c r="GC47" i="21"/>
  <c r="KK47" i="21"/>
  <c r="GE42" i="21"/>
  <c r="KR42" i="21"/>
  <c r="GB41" i="21"/>
  <c r="KD41" i="21"/>
  <c r="KE41" i="21"/>
  <c r="KI41" i="21"/>
  <c r="GE39" i="21"/>
  <c r="KR39" i="21"/>
  <c r="GD36" i="21"/>
  <c r="KM36" i="21"/>
  <c r="OP12" i="21"/>
  <c r="Q12" i="21"/>
  <c r="BK53" i="21"/>
  <c r="HC53" i="21"/>
  <c r="HE53" i="21"/>
  <c r="HG53" i="21"/>
  <c r="HH53" i="21"/>
  <c r="M43" i="21"/>
  <c r="HD57" i="21"/>
  <c r="HC11" i="21"/>
  <c r="HE11" i="21"/>
  <c r="OH11" i="21"/>
  <c r="OL11" i="21"/>
  <c r="KI16" i="21"/>
  <c r="GB38" i="21"/>
  <c r="KD38" i="21"/>
  <c r="KE38" i="21"/>
  <c r="KI38" i="21"/>
  <c r="BK49" i="21"/>
  <c r="NT49" i="21"/>
  <c r="NU49" i="21"/>
  <c r="GT47" i="21"/>
  <c r="NT48" i="21"/>
  <c r="NU48" i="21"/>
  <c r="JO46" i="21"/>
  <c r="G57" i="21"/>
  <c r="IQ46" i="21"/>
  <c r="IO46" i="21"/>
  <c r="BI57" i="21"/>
  <c r="CE18" i="21"/>
  <c r="KG18" i="21"/>
  <c r="KR28" i="21"/>
  <c r="KM25" i="21"/>
  <c r="KM14" i="21"/>
  <c r="M35" i="21"/>
  <c r="Q36" i="21"/>
  <c r="KH21" i="21"/>
  <c r="BK43" i="21"/>
  <c r="CK57" i="21"/>
  <c r="KD25" i="21"/>
  <c r="KE25" i="21"/>
  <c r="KI24" i="21"/>
  <c r="Q28" i="21"/>
  <c r="M27" i="21"/>
  <c r="OI57" i="21"/>
  <c r="OJ32" i="21"/>
  <c r="KM22" i="21"/>
  <c r="KM39" i="21"/>
  <c r="KM42" i="21"/>
  <c r="KH41" i="21"/>
  <c r="KK33" i="21"/>
  <c r="KH35" i="21"/>
  <c r="M11" i="21"/>
  <c r="Q20" i="21"/>
  <c r="CQ43" i="21"/>
  <c r="OJ16" i="21"/>
  <c r="CG57" i="21"/>
  <c r="CI57" i="21"/>
  <c r="GE48" i="21"/>
  <c r="KR17" i="21"/>
  <c r="I14" i="21"/>
  <c r="KH38" i="21"/>
  <c r="OG57" i="21"/>
  <c r="KI30" i="21"/>
  <c r="CQ48" i="21"/>
  <c r="KK19" i="21"/>
  <c r="KR31" i="21"/>
  <c r="OQ40" i="21"/>
  <c r="OT40" i="21"/>
  <c r="CP57" i="21"/>
  <c r="CQ49" i="21"/>
  <c r="KI11" i="21"/>
  <c r="KH13" i="21"/>
  <c r="KI27" i="21"/>
  <c r="M19" i="21"/>
  <c r="HC91" i="39"/>
  <c r="KR9" i="39"/>
  <c r="GB93" i="39"/>
  <c r="CF108" i="39"/>
  <c r="OO94" i="39"/>
  <c r="KM61" i="39"/>
  <c r="KO10" i="39"/>
  <c r="GC35" i="39"/>
  <c r="GD14" i="39"/>
  <c r="GC100" i="39"/>
  <c r="KK100" i="39"/>
  <c r="OP15" i="39"/>
  <c r="Q15" i="39"/>
  <c r="OQ31" i="39"/>
  <c r="OT31" i="39"/>
  <c r="OJ31" i="39"/>
  <c r="OQ23" i="39"/>
  <c r="OT23" i="39"/>
  <c r="OJ23" i="39"/>
  <c r="OQ15" i="39"/>
  <c r="OT15" i="39"/>
  <c r="OJ15" i="39"/>
  <c r="OO36" i="39"/>
  <c r="BF80" i="39"/>
  <c r="KM72" i="39"/>
  <c r="KR59" i="39"/>
  <c r="KI58" i="39"/>
  <c r="CE80" i="39"/>
  <c r="KG80" i="39"/>
  <c r="KF80" i="39"/>
  <c r="CE69" i="39"/>
  <c r="KF69" i="39"/>
  <c r="Y46" i="39"/>
  <c r="IU46" i="39"/>
  <c r="IQ74" i="39"/>
  <c r="IO74" i="39"/>
  <c r="IP58" i="39"/>
  <c r="IQ39" i="39"/>
  <c r="IO39" i="39"/>
  <c r="IO59" i="39"/>
  <c r="HC28" i="19"/>
  <c r="HE28" i="19"/>
  <c r="HC20" i="19"/>
  <c r="HE20" i="19"/>
  <c r="HC12" i="19"/>
  <c r="HE12" i="19"/>
  <c r="HC100" i="19"/>
  <c r="HE100" i="19"/>
  <c r="OH100" i="19"/>
  <c r="OK100" i="19"/>
  <c r="HC98" i="19"/>
  <c r="HE98" i="19"/>
  <c r="HC90" i="19"/>
  <c r="HE90" i="19"/>
  <c r="HG90" i="19"/>
  <c r="HT90" i="19"/>
  <c r="HU90" i="19"/>
  <c r="HC88" i="19"/>
  <c r="HE88" i="19"/>
  <c r="HC82" i="19"/>
  <c r="HE82" i="19"/>
  <c r="OH82" i="19"/>
  <c r="OL82" i="19"/>
  <c r="HC78" i="19"/>
  <c r="HE78" i="19"/>
  <c r="HC76" i="19"/>
  <c r="HE76" i="19"/>
  <c r="HC74" i="19"/>
  <c r="HE74" i="19"/>
  <c r="HG74" i="19"/>
  <c r="HC72" i="19"/>
  <c r="HE72" i="19"/>
  <c r="HC70" i="19"/>
  <c r="HE70" i="19"/>
  <c r="HC93" i="19"/>
  <c r="HE93" i="19"/>
  <c r="HC96" i="19"/>
  <c r="HE96" i="19"/>
  <c r="OH96" i="19"/>
  <c r="OR96" i="19"/>
  <c r="HC35" i="19"/>
  <c r="HE35" i="19"/>
  <c r="OH35" i="19"/>
  <c r="OR35" i="19"/>
  <c r="HC81" i="19"/>
  <c r="HE81" i="19"/>
  <c r="HG81" i="19"/>
  <c r="HH81" i="19"/>
  <c r="GA110" i="19"/>
  <c r="BA103" i="19"/>
  <c r="OJ23" i="19"/>
  <c r="HC103" i="19"/>
  <c r="HE103" i="19"/>
  <c r="OH103" i="19"/>
  <c r="OL103" i="19"/>
  <c r="HC91" i="19"/>
  <c r="HE91" i="19"/>
  <c r="HC58" i="19"/>
  <c r="HE58" i="19"/>
  <c r="HG58" i="19"/>
  <c r="HC22" i="19"/>
  <c r="HE22" i="19"/>
  <c r="OH22" i="19"/>
  <c r="OR22" i="19"/>
  <c r="OU22" i="19"/>
  <c r="OK9" i="19"/>
  <c r="AD96" i="19"/>
  <c r="AD72" i="19"/>
  <c r="IY72" i="19"/>
  <c r="KG82" i="19"/>
  <c r="Y104" i="19"/>
  <c r="Y84" i="19"/>
  <c r="BD84" i="19"/>
  <c r="IU64" i="19"/>
  <c r="Y64" i="19"/>
  <c r="Y23" i="19"/>
  <c r="Q17" i="19"/>
  <c r="OP17" i="19"/>
  <c r="OO66" i="19"/>
  <c r="M66" i="19"/>
  <c r="OO53" i="19"/>
  <c r="M53" i="19"/>
  <c r="OQ48" i="19"/>
  <c r="OT48" i="19"/>
  <c r="Q45" i="19"/>
  <c r="AT45" i="19"/>
  <c r="Q103" i="19"/>
  <c r="GE31" i="19"/>
  <c r="KR31" i="19"/>
  <c r="AR43" i="19"/>
  <c r="Q55" i="19"/>
  <c r="AY61" i="19"/>
  <c r="BA61" i="19"/>
  <c r="AX61" i="19"/>
  <c r="BA53" i="19"/>
  <c r="AY53" i="19"/>
  <c r="AX53" i="19"/>
  <c r="BA44" i="19"/>
  <c r="BA34" i="19"/>
  <c r="AX34" i="19"/>
  <c r="BA26" i="19"/>
  <c r="AX26" i="19"/>
  <c r="BA17" i="19"/>
  <c r="BA98" i="19"/>
  <c r="GE46" i="19"/>
  <c r="KR46" i="19"/>
  <c r="KK108" i="19"/>
  <c r="GC108" i="19"/>
  <c r="OJ107" i="19"/>
  <c r="OJ32" i="19"/>
  <c r="OJ34" i="19"/>
  <c r="OJ35" i="19"/>
  <c r="OJ37" i="19"/>
  <c r="OJ41" i="19"/>
  <c r="OJ42" i="19"/>
  <c r="OL42" i="19"/>
  <c r="OJ45" i="19"/>
  <c r="OJ50" i="19"/>
  <c r="OJ52" i="19"/>
  <c r="OJ54" i="19"/>
  <c r="OJ59" i="19"/>
  <c r="OJ69" i="19"/>
  <c r="OJ92" i="19"/>
  <c r="OJ96" i="19"/>
  <c r="OJ102" i="19"/>
  <c r="GT123" i="19"/>
  <c r="AD88" i="19"/>
  <c r="PQ88" i="19"/>
  <c r="PQ31" i="19"/>
  <c r="OO75" i="19"/>
  <c r="M75" i="19"/>
  <c r="OO103" i="19"/>
  <c r="M103" i="19"/>
  <c r="OQ62" i="19"/>
  <c r="IU19" i="19"/>
  <c r="HC46" i="19"/>
  <c r="HE46" i="19"/>
  <c r="HS15" i="33"/>
  <c r="HS13" i="33"/>
  <c r="HD22" i="33"/>
  <c r="IO15" i="33"/>
  <c r="IO13" i="33"/>
  <c r="U51" i="19"/>
  <c r="KG106" i="19"/>
  <c r="BD76" i="19"/>
  <c r="IU76" i="19"/>
  <c r="Y60" i="19"/>
  <c r="IU60" i="19"/>
  <c r="Y11" i="19"/>
  <c r="OO43" i="19"/>
  <c r="M43" i="19"/>
  <c r="OQ42" i="19"/>
  <c r="OT42" i="19"/>
  <c r="Q32" i="19"/>
  <c r="GE109" i="19"/>
  <c r="KR109" i="19"/>
  <c r="IY80" i="19"/>
  <c r="Y92" i="19"/>
  <c r="IU92" i="19"/>
  <c r="Y72" i="19"/>
  <c r="IU72" i="19"/>
  <c r="IU35" i="19"/>
  <c r="IU15" i="19"/>
  <c r="IH69" i="34"/>
  <c r="IH67" i="34"/>
  <c r="OO18" i="19"/>
  <c r="M18" i="19"/>
  <c r="OO54" i="19"/>
  <c r="OO33" i="19"/>
  <c r="OO39" i="19"/>
  <c r="OO51" i="19"/>
  <c r="OO71" i="19"/>
  <c r="OO72" i="19"/>
  <c r="OO79" i="19"/>
  <c r="OO80" i="19"/>
  <c r="OO81" i="19"/>
  <c r="OO83" i="19"/>
  <c r="OO85" i="19"/>
  <c r="OO88" i="19"/>
  <c r="OO90" i="19"/>
  <c r="OO100" i="19"/>
  <c r="OO105" i="19"/>
  <c r="M54" i="19"/>
  <c r="Q67" i="19"/>
  <c r="Q85" i="19"/>
  <c r="GB22" i="19"/>
  <c r="IY39" i="19"/>
  <c r="AD56" i="19"/>
  <c r="IY15" i="19"/>
  <c r="PQ15" i="19"/>
  <c r="CE33" i="19"/>
  <c r="IU80" i="19"/>
  <c r="Y80" i="19"/>
  <c r="OQ31" i="19"/>
  <c r="OT31" i="19"/>
  <c r="OJ31" i="19"/>
  <c r="M100" i="19"/>
  <c r="M33" i="19"/>
  <c r="OQ92" i="19"/>
  <c r="OT92" i="19"/>
  <c r="IQ109" i="19"/>
  <c r="IO109" i="19"/>
  <c r="Q36" i="19"/>
  <c r="AD39" i="19"/>
  <c r="M10" i="19"/>
  <c r="Y100" i="19"/>
  <c r="IU100" i="19"/>
  <c r="Y88" i="19"/>
  <c r="IU48" i="19"/>
  <c r="IU31" i="19"/>
  <c r="IH15" i="33"/>
  <c r="IH13" i="33"/>
  <c r="GY19" i="33"/>
  <c r="HK19" i="33"/>
  <c r="M88" i="19"/>
  <c r="M85" i="19"/>
  <c r="Q90" i="19"/>
  <c r="GY64" i="21"/>
  <c r="HK64" i="21"/>
  <c r="IB59" i="21"/>
  <c r="IB57" i="21"/>
  <c r="GE43" i="19"/>
  <c r="KR43" i="19"/>
  <c r="GC41" i="19"/>
  <c r="KK41" i="19"/>
  <c r="KD15" i="19"/>
  <c r="KE15" i="19"/>
  <c r="OQ61" i="19"/>
  <c r="OT61" i="19"/>
  <c r="OQ15" i="19"/>
  <c r="OT15" i="19"/>
  <c r="HC50" i="19"/>
  <c r="HE50" i="19"/>
  <c r="IE59" i="21"/>
  <c r="IE57" i="21"/>
  <c r="NT36" i="19"/>
  <c r="NU36" i="19"/>
  <c r="GY18" i="33"/>
  <c r="HK18" i="33"/>
  <c r="GY72" i="34"/>
  <c r="HK72" i="34"/>
  <c r="HC29" i="19"/>
  <c r="HE29" i="19"/>
  <c r="HC21" i="19"/>
  <c r="HE21" i="19"/>
  <c r="HC13" i="19"/>
  <c r="HE13" i="19"/>
  <c r="OH13" i="19"/>
  <c r="HC40" i="19"/>
  <c r="HE40" i="19"/>
  <c r="OH40" i="19"/>
  <c r="OK40" i="19"/>
  <c r="HC105" i="19"/>
  <c r="HE105" i="19"/>
  <c r="HG105" i="19"/>
  <c r="HH105" i="19"/>
  <c r="HC87" i="19"/>
  <c r="HE87" i="19"/>
  <c r="HC57" i="19"/>
  <c r="HE57" i="19"/>
  <c r="IH59" i="21"/>
  <c r="IH57" i="21"/>
  <c r="BD31" i="19"/>
  <c r="KM70" i="19"/>
  <c r="HW38" i="19"/>
  <c r="HZ38" i="19"/>
  <c r="HY38" i="19"/>
  <c r="AZ102" i="19"/>
  <c r="KM78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T53" i="19"/>
  <c r="FZ89" i="19"/>
  <c r="Q24" i="19"/>
  <c r="OP16" i="19"/>
  <c r="M74" i="19"/>
  <c r="KF13" i="19"/>
  <c r="KF14" i="19"/>
  <c r="KF24" i="19"/>
  <c r="KF86" i="19"/>
  <c r="KF98" i="19"/>
  <c r="KF103" i="19"/>
  <c r="Q89" i="19"/>
  <c r="HC53" i="19"/>
  <c r="HE53" i="19"/>
  <c r="OQ50" i="19"/>
  <c r="OT50" i="19"/>
  <c r="M102" i="19"/>
  <c r="KM36" i="19"/>
  <c r="Q41" i="19"/>
  <c r="OO25" i="19"/>
  <c r="HC108" i="19"/>
  <c r="HE108" i="19"/>
  <c r="KM111" i="19"/>
  <c r="GB112" i="19"/>
  <c r="KK60" i="19"/>
  <c r="BK109" i="19"/>
  <c r="Q106" i="19"/>
  <c r="KH19" i="19"/>
  <c r="GY62" i="21"/>
  <c r="HK62" i="21"/>
  <c r="U27" i="19"/>
  <c r="U11" i="19"/>
  <c r="PQ79" i="19"/>
  <c r="AD71" i="19"/>
  <c r="PQ55" i="19"/>
  <c r="IY55" i="19"/>
  <c r="IY30" i="19"/>
  <c r="AD30" i="19"/>
  <c r="KG105" i="19"/>
  <c r="FZ105" i="19"/>
  <c r="FZ97" i="19"/>
  <c r="FZ81" i="19"/>
  <c r="FZ49" i="19"/>
  <c r="KG49" i="19"/>
  <c r="CE32" i="19"/>
  <c r="CE24" i="19"/>
  <c r="KG24" i="19"/>
  <c r="M83" i="19"/>
  <c r="M51" i="19"/>
  <c r="BI67" i="19"/>
  <c r="BF67" i="19"/>
  <c r="Q75" i="19"/>
  <c r="Q66" i="19"/>
  <c r="Q54" i="19"/>
  <c r="Q91" i="19"/>
  <c r="GB41" i="19"/>
  <c r="KI41" i="19"/>
  <c r="GB30" i="19"/>
  <c r="KI30" i="19"/>
  <c r="GC9" i="19"/>
  <c r="KK9" i="19"/>
  <c r="GB47" i="19"/>
  <c r="KI47" i="19"/>
  <c r="GA58" i="19"/>
  <c r="KH58" i="19"/>
  <c r="OQ22" i="19"/>
  <c r="OT22" i="19"/>
  <c r="GY63" i="21"/>
  <c r="HK63" i="21"/>
  <c r="KM20" i="19"/>
  <c r="M52" i="19"/>
  <c r="KH27" i="19"/>
  <c r="OQ9" i="19"/>
  <c r="OT9" i="19"/>
  <c r="AX111" i="19"/>
  <c r="OQ30" i="19"/>
  <c r="OT30" i="19"/>
  <c r="KI38" i="19"/>
  <c r="KM28" i="19"/>
  <c r="KI55" i="19"/>
  <c r="M32" i="19"/>
  <c r="IU111" i="19"/>
  <c r="IK59" i="21"/>
  <c r="IK57" i="21"/>
  <c r="KR23" i="19"/>
  <c r="KR39" i="19"/>
  <c r="KM105" i="19"/>
  <c r="KH35" i="19"/>
  <c r="U67" i="19"/>
  <c r="KM43" i="19"/>
  <c r="KR62" i="19"/>
  <c r="M17" i="19"/>
  <c r="Y111" i="19"/>
  <c r="HY31" i="22"/>
  <c r="HY29" i="22"/>
  <c r="KM12" i="19"/>
  <c r="KH11" i="19"/>
  <c r="KR70" i="19"/>
  <c r="IO112" i="19"/>
  <c r="HV38" i="32"/>
  <c r="HV36" i="32"/>
  <c r="KR15" i="19"/>
  <c r="KI14" i="19"/>
  <c r="OQ14" i="19"/>
  <c r="OT14" i="19"/>
  <c r="OQ46" i="19"/>
  <c r="OT46" i="19"/>
  <c r="IE38" i="32"/>
  <c r="IE36" i="32"/>
  <c r="KK33" i="19"/>
  <c r="KK84" i="19"/>
  <c r="KK68" i="19"/>
  <c r="IB38" i="32"/>
  <c r="IB36" i="32"/>
  <c r="KK17" i="19"/>
  <c r="KI63" i="19"/>
  <c r="KK25" i="19"/>
  <c r="HC109" i="19"/>
  <c r="HE109" i="19"/>
  <c r="OH109" i="19"/>
  <c r="OK109" i="19"/>
  <c r="NT91" i="19"/>
  <c r="NU91" i="19"/>
  <c r="EB123" i="19"/>
  <c r="OL9" i="19"/>
  <c r="HC51" i="19"/>
  <c r="HE51" i="19"/>
  <c r="HC49" i="19"/>
  <c r="HE49" i="19"/>
  <c r="HC33" i="19"/>
  <c r="HE33" i="19"/>
  <c r="HC106" i="19"/>
  <c r="HE106" i="19"/>
  <c r="AR65" i="19"/>
  <c r="OT23" i="19"/>
  <c r="IO104" i="19"/>
  <c r="IQ104" i="19"/>
  <c r="BA32" i="19"/>
  <c r="GD49" i="19"/>
  <c r="KM49" i="19"/>
  <c r="GA50" i="19"/>
  <c r="KH50" i="19"/>
  <c r="GC52" i="19"/>
  <c r="KK52" i="19"/>
  <c r="GE54" i="19"/>
  <c r="KR54" i="19"/>
  <c r="GD57" i="19"/>
  <c r="KM57" i="19"/>
  <c r="GD65" i="19"/>
  <c r="KM65" i="19"/>
  <c r="GA66" i="19"/>
  <c r="KD66" i="19"/>
  <c r="KE66" i="19"/>
  <c r="KH66" i="19"/>
  <c r="GB71" i="19"/>
  <c r="KI71" i="19"/>
  <c r="GD73" i="19"/>
  <c r="KM73" i="19"/>
  <c r="GA74" i="19"/>
  <c r="KH74" i="19"/>
  <c r="GC76" i="19"/>
  <c r="KD76" i="19"/>
  <c r="KE76" i="19"/>
  <c r="KK76" i="19"/>
  <c r="GB79" i="19"/>
  <c r="KI79" i="19"/>
  <c r="GD81" i="19"/>
  <c r="KD81" i="19"/>
  <c r="KE81" i="19"/>
  <c r="KM81" i="19"/>
  <c r="GA82" i="19"/>
  <c r="KH82" i="19"/>
  <c r="GE86" i="19"/>
  <c r="KR86" i="19"/>
  <c r="GB87" i="19"/>
  <c r="KI87" i="19"/>
  <c r="GD89" i="19"/>
  <c r="KM89" i="19"/>
  <c r="GA90" i="19"/>
  <c r="KH90" i="19"/>
  <c r="GC92" i="19"/>
  <c r="KD92" i="19"/>
  <c r="KE92" i="19"/>
  <c r="KK92" i="19"/>
  <c r="GE94" i="19"/>
  <c r="KD94" i="19"/>
  <c r="KE94" i="19"/>
  <c r="KR94" i="19"/>
  <c r="GB95" i="19"/>
  <c r="KI95" i="19"/>
  <c r="GD97" i="19"/>
  <c r="KM97" i="19"/>
  <c r="CF98" i="19"/>
  <c r="GC100" i="19"/>
  <c r="KK100" i="19"/>
  <c r="CG103" i="19"/>
  <c r="GA106" i="19"/>
  <c r="KH106" i="19"/>
  <c r="FZ28" i="19"/>
  <c r="GC43" i="19"/>
  <c r="KK43" i="19"/>
  <c r="GC36" i="19"/>
  <c r="KD36" i="19"/>
  <c r="KE36" i="19"/>
  <c r="KK36" i="19"/>
  <c r="GD31" i="19"/>
  <c r="KM31" i="19"/>
  <c r="GA30" i="19"/>
  <c r="KH30" i="19"/>
  <c r="GC28" i="19"/>
  <c r="KK28" i="19"/>
  <c r="GB25" i="19"/>
  <c r="KD25" i="19"/>
  <c r="KE25" i="19"/>
  <c r="KI25" i="19"/>
  <c r="GD23" i="19"/>
  <c r="KM23" i="19"/>
  <c r="GA22" i="19"/>
  <c r="KH22" i="19"/>
  <c r="GC20" i="19"/>
  <c r="KK20" i="19"/>
  <c r="GE18" i="19"/>
  <c r="KR18" i="19"/>
  <c r="GA14" i="19"/>
  <c r="KH14" i="19"/>
  <c r="GC12" i="19"/>
  <c r="KK12" i="19"/>
  <c r="GD46" i="19"/>
  <c r="KM46" i="19"/>
  <c r="Q104" i="19"/>
  <c r="OQ96" i="19"/>
  <c r="OT96" i="19"/>
  <c r="Q86" i="19"/>
  <c r="HC85" i="19"/>
  <c r="HE85" i="19"/>
  <c r="OQ69" i="19"/>
  <c r="OT69" i="19"/>
  <c r="Q56" i="19"/>
  <c r="OQ35" i="19"/>
  <c r="OT35" i="19"/>
  <c r="AT43" i="19"/>
  <c r="GE44" i="19"/>
  <c r="KR44" i="19"/>
  <c r="CE86" i="19"/>
  <c r="Y106" i="19"/>
  <c r="IU106" i="19"/>
  <c r="Y90" i="19"/>
  <c r="IU90" i="19"/>
  <c r="Y78" i="19"/>
  <c r="Y70" i="19"/>
  <c r="IU70" i="19"/>
  <c r="Y66" i="19"/>
  <c r="IU66" i="19"/>
  <c r="Y62" i="19"/>
  <c r="IU62" i="19"/>
  <c r="IU58" i="19"/>
  <c r="Y50" i="19"/>
  <c r="IU50" i="19"/>
  <c r="Y46" i="19"/>
  <c r="IU46" i="19"/>
  <c r="Y37" i="19"/>
  <c r="IU37" i="19"/>
  <c r="Y29" i="19"/>
  <c r="IU29" i="19"/>
  <c r="IU25" i="19"/>
  <c r="Y21" i="19"/>
  <c r="IU21" i="19"/>
  <c r="IU17" i="19"/>
  <c r="Y13" i="19"/>
  <c r="IU13" i="19"/>
  <c r="IP123" i="19"/>
  <c r="IQ123" i="19"/>
  <c r="AV112" i="19"/>
  <c r="AY112" i="19"/>
  <c r="GY113" i="39"/>
  <c r="GY115" i="39"/>
  <c r="IH38" i="32"/>
  <c r="IH36" i="32"/>
  <c r="IK38" i="32"/>
  <c r="IK36" i="32"/>
  <c r="HY15" i="33"/>
  <c r="HY13" i="33"/>
  <c r="IE15" i="33"/>
  <c r="IE13" i="33"/>
  <c r="IK15" i="33"/>
  <c r="IK13" i="33"/>
  <c r="IH72" i="35"/>
  <c r="IH70" i="35"/>
  <c r="M79" i="19"/>
  <c r="M71" i="19"/>
  <c r="M39" i="19"/>
  <c r="HC60" i="19"/>
  <c r="HE60" i="19"/>
  <c r="Q82" i="19"/>
  <c r="Q63" i="19"/>
  <c r="Q49" i="19"/>
  <c r="CE13" i="19"/>
  <c r="IQ34" i="19"/>
  <c r="IO34" i="19"/>
  <c r="IP31" i="19"/>
  <c r="U106" i="19"/>
  <c r="HC32" i="19"/>
  <c r="HE32" i="19"/>
  <c r="HG32" i="19"/>
  <c r="HE75" i="19"/>
  <c r="FZ70" i="39"/>
  <c r="KG70" i="39"/>
  <c r="KJ9" i="31"/>
  <c r="KJ47" i="19"/>
  <c r="KD14" i="21"/>
  <c r="KE14" i="21"/>
  <c r="JC10" i="19"/>
  <c r="BE11" i="35"/>
  <c r="Y69" i="19"/>
  <c r="JO58" i="34"/>
  <c r="GK35" i="21"/>
  <c r="GJ35" i="21"/>
  <c r="IQ48" i="35"/>
  <c r="IO48" i="35"/>
  <c r="IQ18" i="35"/>
  <c r="IO18" i="35"/>
  <c r="KO10" i="33"/>
  <c r="IU27" i="31"/>
  <c r="HC36" i="31"/>
  <c r="HE36" i="31"/>
  <c r="KK57" i="34"/>
  <c r="AD31" i="19"/>
  <c r="FZ23" i="34"/>
  <c r="KG34" i="35"/>
  <c r="IU73" i="19"/>
  <c r="M70" i="39"/>
  <c r="KK70" i="39"/>
  <c r="KH53" i="39"/>
  <c r="KR43" i="31"/>
  <c r="KM60" i="34"/>
  <c r="KG50" i="35"/>
  <c r="KG17" i="35"/>
  <c r="KF59" i="35"/>
  <c r="KG9" i="35"/>
  <c r="FZ26" i="35"/>
  <c r="AD23" i="19"/>
  <c r="AD80" i="19"/>
  <c r="IU57" i="19"/>
  <c r="KK25" i="39"/>
  <c r="FZ101" i="19"/>
  <c r="KG47" i="19"/>
  <c r="KG27" i="35"/>
  <c r="IU45" i="19"/>
  <c r="KR68" i="39"/>
  <c r="KF50" i="35"/>
  <c r="Y58" i="34"/>
  <c r="IU58" i="34"/>
  <c r="KF13" i="21"/>
  <c r="Y42" i="31"/>
  <c r="OO30" i="19"/>
  <c r="M30" i="19"/>
  <c r="HC26" i="19"/>
  <c r="HE26" i="19"/>
  <c r="OO22" i="19"/>
  <c r="M22" i="19"/>
  <c r="OP13" i="19"/>
  <c r="Q13" i="19"/>
  <c r="HC34" i="35"/>
  <c r="HE34" i="35"/>
  <c r="OQ19" i="19"/>
  <c r="OT19" i="19"/>
  <c r="OJ19" i="19"/>
  <c r="Q48" i="19"/>
  <c r="IQ46" i="35"/>
  <c r="IO46" i="35"/>
  <c r="BI70" i="35"/>
  <c r="Y12" i="21"/>
  <c r="KF42" i="21"/>
  <c r="CE14" i="19"/>
  <c r="HV62" i="31"/>
  <c r="HV60" i="31"/>
  <c r="OJ27" i="19"/>
  <c r="OQ27" i="19"/>
  <c r="OT27" i="19"/>
  <c r="OQ41" i="19"/>
  <c r="OT41" i="19"/>
  <c r="FZ43" i="21"/>
  <c r="KG43" i="21"/>
  <c r="IU21" i="34"/>
  <c r="Y21" i="34"/>
  <c r="IP15" i="32"/>
  <c r="OT13" i="32"/>
  <c r="HC10" i="19"/>
  <c r="IO11" i="22"/>
  <c r="KP10" i="33"/>
  <c r="KF37" i="21"/>
  <c r="CE37" i="21"/>
  <c r="KG37" i="21"/>
  <c r="IQ49" i="35"/>
  <c r="IO49" i="35"/>
  <c r="OP29" i="19"/>
  <c r="Q29" i="19"/>
  <c r="HC25" i="19"/>
  <c r="HE25" i="19"/>
  <c r="OP21" i="19"/>
  <c r="Q21" i="19"/>
  <c r="HC18" i="19"/>
  <c r="HE18" i="19"/>
  <c r="OO14" i="19"/>
  <c r="M14" i="19"/>
  <c r="OQ11" i="19"/>
  <c r="OT11" i="19"/>
  <c r="OJ11" i="19"/>
  <c r="OQ45" i="19"/>
  <c r="OT45" i="19"/>
  <c r="IP54" i="35"/>
  <c r="HC38" i="35"/>
  <c r="HE38" i="35"/>
  <c r="IP26" i="35"/>
  <c r="IQ26" i="35"/>
  <c r="IQ101" i="39"/>
  <c r="IO101" i="39"/>
  <c r="FZ29" i="19"/>
  <c r="KG29" i="19"/>
  <c r="KG20" i="21"/>
  <c r="IO34" i="21"/>
  <c r="FZ28" i="39"/>
  <c r="FZ38" i="34"/>
  <c r="IO17" i="39"/>
  <c r="KL9" i="33"/>
  <c r="OO22" i="34"/>
  <c r="OO30" i="34"/>
  <c r="OO40" i="34"/>
  <c r="M22" i="34"/>
  <c r="OP23" i="34"/>
  <c r="Q23" i="34"/>
  <c r="OP24" i="34"/>
  <c r="Q24" i="34"/>
  <c r="M30" i="34"/>
  <c r="M40" i="34"/>
  <c r="IO44" i="35"/>
  <c r="KG54" i="35"/>
  <c r="IO54" i="39"/>
  <c r="IQ54" i="39"/>
  <c r="OP67" i="39"/>
  <c r="Q67" i="39"/>
  <c r="OP75" i="39"/>
  <c r="OP88" i="39"/>
  <c r="OP92" i="39"/>
  <c r="OP100" i="39"/>
  <c r="Q75" i="39"/>
  <c r="BI65" i="19"/>
  <c r="BF65" i="19"/>
  <c r="Q95" i="19"/>
  <c r="Q78" i="19"/>
  <c r="CE18" i="35"/>
  <c r="KG18" i="35"/>
  <c r="KF18" i="35"/>
  <c r="Y71" i="19"/>
  <c r="IU71" i="19"/>
  <c r="Q101" i="19"/>
  <c r="Y67" i="19"/>
  <c r="IU67" i="19"/>
  <c r="M81" i="19"/>
  <c r="M72" i="19"/>
  <c r="KK101" i="39"/>
  <c r="OJ24" i="21"/>
  <c r="BD79" i="19"/>
  <c r="NT65" i="19"/>
  <c r="NU65" i="19"/>
  <c r="BE65" i="19"/>
  <c r="BD65" i="19"/>
  <c r="T126" i="19"/>
  <c r="KH109" i="19"/>
  <c r="AX110" i="19"/>
  <c r="AZ110" i="19"/>
  <c r="OH18" i="21"/>
  <c r="OJ18" i="21"/>
  <c r="IO80" i="19"/>
  <c r="IQ80" i="19"/>
  <c r="Y59" i="19"/>
  <c r="IU59" i="19"/>
  <c r="Y51" i="19"/>
  <c r="IU51" i="19"/>
  <c r="PQ76" i="39"/>
  <c r="AD76" i="39"/>
  <c r="Q73" i="39"/>
  <c r="OS25" i="32"/>
  <c r="M31" i="32"/>
  <c r="GT111" i="19"/>
  <c r="OO27" i="35"/>
  <c r="M27" i="35"/>
  <c r="OO54" i="35"/>
  <c r="M54" i="35"/>
  <c r="OO28" i="35"/>
  <c r="M28" i="35"/>
  <c r="GB64" i="19"/>
  <c r="KI64" i="19"/>
  <c r="KI21" i="31"/>
  <c r="GB27" i="32"/>
  <c r="KI27" i="32"/>
  <c r="GD63" i="35"/>
  <c r="KM63" i="35"/>
  <c r="OQ19" i="21"/>
  <c r="OT19" i="21"/>
  <c r="OJ19" i="21"/>
  <c r="GA21" i="35"/>
  <c r="CF70" i="35"/>
  <c r="KH21" i="35"/>
  <c r="FZ21" i="32"/>
  <c r="CE57" i="19"/>
  <c r="Y94" i="19"/>
  <c r="Y71" i="39"/>
  <c r="IU98" i="19"/>
  <c r="CE39" i="34"/>
  <c r="KG39" i="34"/>
  <c r="KF39" i="34"/>
  <c r="GA9" i="39"/>
  <c r="KH9" i="39"/>
  <c r="KF46" i="34"/>
  <c r="BD74" i="19"/>
  <c r="GC67" i="39"/>
  <c r="KK67" i="39"/>
  <c r="GE65" i="39"/>
  <c r="IU74" i="19"/>
  <c r="M80" i="19"/>
  <c r="IU86" i="19"/>
  <c r="GE69" i="19"/>
  <c r="KR69" i="19"/>
  <c r="GE102" i="19"/>
  <c r="KR102" i="19"/>
  <c r="AR13" i="19"/>
  <c r="BK111" i="19"/>
  <c r="AX51" i="19"/>
  <c r="KR100" i="39"/>
  <c r="GE100" i="39"/>
  <c r="HC15" i="19"/>
  <c r="AE70" i="35"/>
  <c r="JO53" i="21"/>
  <c r="HC38" i="21"/>
  <c r="HE38" i="21"/>
  <c r="PQ108" i="19"/>
  <c r="KJ15" i="21"/>
  <c r="U48" i="39"/>
  <c r="KP85" i="39"/>
  <c r="OQ43" i="39"/>
  <c r="HC86" i="39"/>
  <c r="Q28" i="31"/>
  <c r="OQ29" i="31"/>
  <c r="OT29" i="31"/>
  <c r="OJ29" i="31"/>
  <c r="OS16" i="34"/>
  <c r="AR112" i="19"/>
  <c r="JO111" i="19"/>
  <c r="AT111" i="19"/>
  <c r="JO47" i="21"/>
  <c r="JO48" i="21"/>
  <c r="IP37" i="31"/>
  <c r="KO59" i="31"/>
  <c r="OO26" i="19"/>
  <c r="M26" i="19"/>
  <c r="OP25" i="19"/>
  <c r="Q25" i="19"/>
  <c r="OQ16" i="19"/>
  <c r="OT16" i="19"/>
  <c r="OJ16" i="19"/>
  <c r="M105" i="19"/>
  <c r="OS11" i="35"/>
  <c r="OS70" i="35"/>
  <c r="OI70" i="35"/>
  <c r="KF47" i="21"/>
  <c r="CQ47" i="21"/>
  <c r="NT47" i="21"/>
  <c r="NU47" i="21"/>
  <c r="EB48" i="21"/>
  <c r="KJ55" i="39"/>
  <c r="KF55" i="39"/>
  <c r="GB44" i="19"/>
  <c r="KI44" i="19"/>
  <c r="GB49" i="19"/>
  <c r="KI49" i="19"/>
  <c r="GE78" i="19"/>
  <c r="KD78" i="19"/>
  <c r="KE78" i="19"/>
  <c r="KR78" i="19"/>
  <c r="GC79" i="19"/>
  <c r="KK79" i="19"/>
  <c r="GA80" i="19"/>
  <c r="GE82" i="19"/>
  <c r="KR82" i="19"/>
  <c r="GA103" i="19"/>
  <c r="KH103" i="19"/>
  <c r="GE105" i="19"/>
  <c r="KR105" i="19"/>
  <c r="GC106" i="19"/>
  <c r="KK106" i="19"/>
  <c r="GD35" i="39"/>
  <c r="KM35" i="39"/>
  <c r="GC34" i="39"/>
  <c r="KK34" i="39"/>
  <c r="GC31" i="39"/>
  <c r="KK31" i="39"/>
  <c r="GB28" i="39"/>
  <c r="KI28" i="39"/>
  <c r="GE11" i="39"/>
  <c r="KR11" i="39"/>
  <c r="GC10" i="39"/>
  <c r="KK10" i="39"/>
  <c r="KK91" i="39"/>
  <c r="GE37" i="21"/>
  <c r="KR37" i="21"/>
  <c r="GC36" i="21"/>
  <c r="KK36" i="21"/>
  <c r="GE18" i="21"/>
  <c r="KD18" i="21"/>
  <c r="KE18" i="21"/>
  <c r="KR18" i="21"/>
  <c r="GC32" i="31"/>
  <c r="KH28" i="31"/>
  <c r="KK26" i="31"/>
  <c r="GE22" i="32"/>
  <c r="GD11" i="32"/>
  <c r="KM11" i="32"/>
  <c r="GE30" i="34"/>
  <c r="KR30" i="34"/>
  <c r="DV22" i="31"/>
  <c r="I22" i="31"/>
  <c r="Y19" i="34"/>
  <c r="IU19" i="34"/>
  <c r="Y27" i="34"/>
  <c r="Q80" i="19"/>
  <c r="OO38" i="39"/>
  <c r="M38" i="39"/>
  <c r="M90" i="19"/>
  <c r="Q105" i="19"/>
  <c r="M39" i="39"/>
  <c r="AT36" i="19"/>
  <c r="AV52" i="19"/>
  <c r="M101" i="39"/>
  <c r="PQ109" i="19"/>
  <c r="GB43" i="21"/>
  <c r="HC15" i="21"/>
  <c r="HE15" i="21"/>
  <c r="OJ26" i="21"/>
  <c r="OJ14" i="21"/>
  <c r="KD17" i="21"/>
  <c r="KE17" i="21"/>
  <c r="KD26" i="21"/>
  <c r="KE26" i="21"/>
  <c r="KD33" i="21"/>
  <c r="KE33" i="21"/>
  <c r="IO38" i="35"/>
  <c r="OV41" i="35"/>
  <c r="OH66" i="19"/>
  <c r="OK66" i="19"/>
  <c r="BA13" i="22"/>
  <c r="OQ18" i="21"/>
  <c r="GA49" i="21"/>
  <c r="KH49" i="21"/>
  <c r="HC36" i="35"/>
  <c r="HE36" i="35"/>
  <c r="M98" i="39"/>
  <c r="OO98" i="39"/>
  <c r="OJ101" i="39"/>
  <c r="Q88" i="39"/>
  <c r="Q92" i="39"/>
  <c r="Q100" i="39"/>
  <c r="OQ27" i="21"/>
  <c r="OT27" i="21"/>
  <c r="OJ27" i="21"/>
  <c r="KG99" i="39"/>
  <c r="FZ99" i="39"/>
  <c r="FZ110" i="19"/>
  <c r="KG110" i="19"/>
  <c r="OQ36" i="21"/>
  <c r="OT36" i="21"/>
  <c r="OJ36" i="21"/>
  <c r="HC34" i="21"/>
  <c r="HE34" i="21"/>
  <c r="OH34" i="21"/>
  <c r="OK34" i="21"/>
  <c r="KI99" i="39"/>
  <c r="GB95" i="39"/>
  <c r="HC24" i="21"/>
  <c r="HE24" i="21"/>
  <c r="GW109" i="19"/>
  <c r="IO80" i="39"/>
  <c r="OT46" i="34"/>
  <c r="OJ11" i="21"/>
  <c r="OQ11" i="21"/>
  <c r="OT11" i="21"/>
  <c r="OO90" i="39"/>
  <c r="M90" i="39"/>
  <c r="GE89" i="39"/>
  <c r="KR89" i="39"/>
  <c r="JO108" i="19"/>
  <c r="KI110" i="19"/>
  <c r="GB110" i="19"/>
  <c r="OQ42" i="21"/>
  <c r="OT42" i="21"/>
  <c r="OJ42" i="21"/>
  <c r="OQ39" i="21"/>
  <c r="OT39" i="21"/>
  <c r="OJ39" i="21"/>
  <c r="OQ34" i="21"/>
  <c r="OT34" i="21"/>
  <c r="OJ34" i="21"/>
  <c r="HC16" i="21"/>
  <c r="HE16" i="21"/>
  <c r="OH16" i="21"/>
  <c r="GA43" i="21"/>
  <c r="KH43" i="21"/>
  <c r="OH61" i="19"/>
  <c r="HG59" i="35"/>
  <c r="OH78" i="19"/>
  <c r="OL78" i="19"/>
  <c r="IO11" i="39"/>
  <c r="OH47" i="35"/>
  <c r="OR47" i="35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HW9" i="39"/>
  <c r="HV9" i="39"/>
  <c r="OK41" i="21"/>
  <c r="OR41" i="21"/>
  <c r="OL109" i="19"/>
  <c r="OR109" i="19"/>
  <c r="OU109" i="19"/>
  <c r="BE27" i="31"/>
  <c r="IP33" i="32"/>
  <c r="IQ33" i="32"/>
  <c r="KP23" i="31"/>
  <c r="PQ118" i="19"/>
  <c r="KK50" i="21"/>
  <c r="NT114" i="19"/>
  <c r="NU114" i="19"/>
  <c r="AX118" i="19"/>
  <c r="AZ118" i="19"/>
  <c r="AX120" i="19"/>
  <c r="AZ120" i="19"/>
  <c r="OS13" i="33"/>
  <c r="HC55" i="19"/>
  <c r="HE55" i="19"/>
  <c r="HC19" i="19"/>
  <c r="HE19" i="19"/>
  <c r="HC9" i="22"/>
  <c r="HE9" i="22"/>
  <c r="GE118" i="19"/>
  <c r="KR118" i="19"/>
  <c r="BD115" i="19"/>
  <c r="U115" i="19"/>
  <c r="IP54" i="21"/>
  <c r="HZ115" i="19"/>
  <c r="HY115" i="19"/>
  <c r="HX115" i="19"/>
  <c r="HV115" i="19"/>
  <c r="FZ115" i="19"/>
  <c r="KG115" i="19"/>
  <c r="KK119" i="19"/>
  <c r="AY119" i="19"/>
  <c r="AV119" i="19"/>
  <c r="AZ119" i="19"/>
  <c r="HZ113" i="19"/>
  <c r="IA113" i="19"/>
  <c r="HX113" i="19"/>
  <c r="HV113" i="19"/>
  <c r="GC119" i="19"/>
  <c r="JC117" i="19"/>
  <c r="BK113" i="19"/>
  <c r="BK121" i="19"/>
  <c r="BK122" i="19"/>
  <c r="JO120" i="19"/>
  <c r="BA120" i="19"/>
  <c r="AY120" i="19"/>
  <c r="AD32" i="32"/>
  <c r="GT116" i="19"/>
  <c r="HX116" i="19"/>
  <c r="HC118" i="19"/>
  <c r="HE118" i="19"/>
  <c r="HG118" i="19"/>
  <c r="JO113" i="19"/>
  <c r="BA113" i="19"/>
  <c r="BA115" i="19"/>
  <c r="AY113" i="19"/>
  <c r="IQ119" i="19"/>
  <c r="IO119" i="19"/>
  <c r="HC121" i="19"/>
  <c r="HE121" i="19"/>
  <c r="HG121" i="19"/>
  <c r="HH121" i="19"/>
  <c r="BK54" i="21"/>
  <c r="JC16" i="22"/>
  <c r="AZ115" i="19"/>
  <c r="AY118" i="19"/>
  <c r="IP122" i="19"/>
  <c r="IQ122" i="19"/>
  <c r="KF50" i="21"/>
  <c r="OO103" i="39"/>
  <c r="Q45" i="21"/>
  <c r="AX16" i="22"/>
  <c r="GD44" i="21"/>
  <c r="AX27" i="22"/>
  <c r="GC50" i="21"/>
  <c r="KG69" i="35"/>
  <c r="GD11" i="31"/>
  <c r="KM11" i="31"/>
  <c r="GD51" i="34"/>
  <c r="KM51" i="34"/>
  <c r="GE42" i="34"/>
  <c r="KR42" i="34"/>
  <c r="GD35" i="34"/>
  <c r="KM35" i="34"/>
  <c r="GD29" i="34"/>
  <c r="KM29" i="34"/>
  <c r="IP115" i="19"/>
  <c r="IQ115" i="19"/>
  <c r="BK115" i="19"/>
  <c r="KO65" i="35"/>
  <c r="KQ67" i="35"/>
  <c r="JO67" i="35"/>
  <c r="PQ67" i="35"/>
  <c r="PQ31" i="35"/>
  <c r="KJ33" i="21"/>
  <c r="IQ51" i="39"/>
  <c r="IO51" i="39"/>
  <c r="BE30" i="32"/>
  <c r="KN34" i="21"/>
  <c r="IO42" i="34"/>
  <c r="BA102" i="19"/>
  <c r="AY102" i="19"/>
  <c r="IQ61" i="39"/>
  <c r="IO61" i="39"/>
  <c r="Y81" i="19"/>
  <c r="IU81" i="19"/>
  <c r="Y77" i="19"/>
  <c r="IU77" i="19"/>
  <c r="KF45" i="35"/>
  <c r="CE45" i="35"/>
  <c r="KG45" i="35"/>
  <c r="BA38" i="19"/>
  <c r="KG36" i="19"/>
  <c r="CF11" i="22"/>
  <c r="KF11" i="22"/>
  <c r="IO13" i="21"/>
  <c r="AD37" i="19"/>
  <c r="EB50" i="39"/>
  <c r="EB23" i="39"/>
  <c r="KH14" i="22"/>
  <c r="KF14" i="22"/>
  <c r="KF16" i="31"/>
  <c r="AY123" i="19"/>
  <c r="HC49" i="39"/>
  <c r="HC56" i="39"/>
  <c r="HE56" i="39"/>
  <c r="HC11" i="19"/>
  <c r="HE11" i="19"/>
  <c r="HC45" i="19"/>
  <c r="HE45" i="19"/>
  <c r="GC17" i="22"/>
  <c r="HZ102" i="39"/>
  <c r="HX102" i="39"/>
  <c r="HV118" i="19"/>
  <c r="HX118" i="19"/>
  <c r="HZ118" i="19"/>
  <c r="GD26" i="22"/>
  <c r="KM26" i="22"/>
  <c r="IQ113" i="19"/>
  <c r="IO113" i="19"/>
  <c r="KH114" i="19"/>
  <c r="GA114" i="19"/>
  <c r="IO117" i="19"/>
  <c r="IQ117" i="19"/>
  <c r="KH121" i="19"/>
  <c r="GA121" i="19"/>
  <c r="IO120" i="19"/>
  <c r="HV102" i="39"/>
  <c r="BK117" i="19"/>
  <c r="IQ116" i="19"/>
  <c r="IU120" i="19"/>
  <c r="BD120" i="19"/>
  <c r="HX121" i="19"/>
  <c r="HZ121" i="19"/>
  <c r="HV121" i="19"/>
  <c r="Y68" i="35"/>
  <c r="HX66" i="35"/>
  <c r="BK69" i="35"/>
  <c r="GA54" i="21"/>
  <c r="KH54" i="21"/>
  <c r="AV114" i="19"/>
  <c r="AX116" i="19"/>
  <c r="AZ116" i="19"/>
  <c r="BA116" i="19"/>
  <c r="GT119" i="19"/>
  <c r="Y113" i="19"/>
  <c r="BD113" i="19"/>
  <c r="IU113" i="19"/>
  <c r="AZ113" i="19"/>
  <c r="OQ110" i="19"/>
  <c r="OT110" i="19"/>
  <c r="GT54" i="21"/>
  <c r="KK32" i="32"/>
  <c r="GC32" i="32"/>
  <c r="KI33" i="32"/>
  <c r="JC116" i="19"/>
  <c r="KH118" i="19"/>
  <c r="KH120" i="19"/>
  <c r="KH122" i="19"/>
  <c r="GA118" i="19"/>
  <c r="EB44" i="21"/>
  <c r="KK17" i="22"/>
  <c r="GA11" i="33"/>
  <c r="KH11" i="33"/>
  <c r="U116" i="19"/>
  <c r="BD116" i="19"/>
  <c r="BD119" i="19"/>
  <c r="U119" i="19"/>
  <c r="KG32" i="32"/>
  <c r="FZ32" i="32"/>
  <c r="KI34" i="32"/>
  <c r="GB34" i="32"/>
  <c r="JO114" i="19"/>
  <c r="HC115" i="19"/>
  <c r="HE115" i="19"/>
  <c r="HG115" i="19"/>
  <c r="JO118" i="19"/>
  <c r="JO45" i="21"/>
  <c r="PQ34" i="32"/>
  <c r="KG66" i="35"/>
  <c r="FZ66" i="35"/>
  <c r="BK50" i="21"/>
  <c r="BK116" i="19"/>
  <c r="HC116" i="19"/>
  <c r="HE116" i="19"/>
  <c r="HG116" i="19"/>
  <c r="KR116" i="19"/>
  <c r="GE116" i="19"/>
  <c r="IQ50" i="21"/>
  <c r="IO50" i="21"/>
  <c r="KI50" i="21"/>
  <c r="GB50" i="21"/>
  <c r="JC115" i="19"/>
  <c r="NT119" i="19"/>
  <c r="NU119" i="19"/>
  <c r="JO57" i="31"/>
  <c r="NT57" i="31"/>
  <c r="NU57" i="31"/>
  <c r="JO69" i="35"/>
  <c r="EB114" i="19"/>
  <c r="PQ117" i="19"/>
  <c r="EB119" i="19"/>
  <c r="GA122" i="19"/>
  <c r="HC113" i="19"/>
  <c r="HE113" i="19"/>
  <c r="HG113" i="19"/>
  <c r="NT54" i="21"/>
  <c r="NU54" i="21"/>
  <c r="PQ50" i="21"/>
  <c r="BA122" i="19"/>
  <c r="GT44" i="21"/>
  <c r="GV44" i="21"/>
  <c r="JO50" i="21"/>
  <c r="BK114" i="19"/>
  <c r="AX117" i="19"/>
  <c r="AZ117" i="19"/>
  <c r="JC17" i="22"/>
  <c r="BK32" i="32"/>
  <c r="IQ33" i="39"/>
  <c r="KM102" i="39"/>
  <c r="KI67" i="35"/>
  <c r="OH9" i="33"/>
  <c r="OH13" i="22"/>
  <c r="OK13" i="22"/>
  <c r="IO33" i="39"/>
  <c r="HC58" i="39"/>
  <c r="NT53" i="35"/>
  <c r="NU53" i="35"/>
  <c r="BD93" i="19"/>
  <c r="OQ9" i="34"/>
  <c r="HC23" i="19"/>
  <c r="IU45" i="21"/>
  <c r="Y45" i="21"/>
  <c r="KM113" i="19"/>
  <c r="BA117" i="19"/>
  <c r="AY117" i="19"/>
  <c r="IQ44" i="21"/>
  <c r="IO44" i="21"/>
  <c r="AE67" i="34"/>
  <c r="GV115" i="19"/>
  <c r="GD102" i="39"/>
  <c r="KG114" i="19"/>
  <c r="FZ114" i="19"/>
  <c r="GV121" i="19"/>
  <c r="GX121" i="19"/>
  <c r="GY121" i="19"/>
  <c r="GT121" i="19"/>
  <c r="BD114" i="19"/>
  <c r="KM23" i="22"/>
  <c r="GD23" i="22"/>
  <c r="JO44" i="21"/>
  <c r="BA17" i="22"/>
  <c r="AX17" i="22"/>
  <c r="AZ17" i="22"/>
  <c r="AY17" i="22"/>
  <c r="AY23" i="22"/>
  <c r="IY26" i="22"/>
  <c r="IP32" i="32"/>
  <c r="BD118" i="19"/>
  <c r="GB113" i="19"/>
  <c r="KI113" i="19"/>
  <c r="NT115" i="19"/>
  <c r="NU115" i="19"/>
  <c r="OJ103" i="39"/>
  <c r="NT44" i="21"/>
  <c r="NU44" i="21"/>
  <c r="AV23" i="22"/>
  <c r="HV52" i="34"/>
  <c r="JO115" i="19"/>
  <c r="JO122" i="19"/>
  <c r="PQ113" i="19"/>
  <c r="NT116" i="19"/>
  <c r="NU116" i="19"/>
  <c r="KK24" i="22"/>
  <c r="GT66" i="35"/>
  <c r="IU67" i="35"/>
  <c r="KR115" i="19"/>
  <c r="GE115" i="19"/>
  <c r="JO121" i="19"/>
  <c r="EB122" i="19"/>
  <c r="BK44" i="21"/>
  <c r="U118" i="19"/>
  <c r="HC38" i="31"/>
  <c r="HE38" i="31"/>
  <c r="HG38" i="31"/>
  <c r="HH38" i="31"/>
  <c r="AY115" i="19"/>
  <c r="GB67" i="35"/>
  <c r="IO52" i="34"/>
  <c r="IQ52" i="34"/>
  <c r="NT38" i="31"/>
  <c r="NU38" i="31"/>
  <c r="GT34" i="32"/>
  <c r="GT33" i="32"/>
  <c r="OJ52" i="34"/>
  <c r="GV52" i="34"/>
  <c r="II52" i="34"/>
  <c r="IJ52" i="34"/>
  <c r="GV11" i="33"/>
  <c r="GX11" i="33"/>
  <c r="GY11" i="33"/>
  <c r="OQ52" i="34"/>
  <c r="OT52" i="34"/>
  <c r="PQ59" i="34"/>
  <c r="AD59" i="34"/>
  <c r="IP57" i="34"/>
  <c r="IQ43" i="34"/>
  <c r="IO43" i="34"/>
  <c r="IP13" i="34"/>
  <c r="IQ13" i="34"/>
  <c r="IQ58" i="34"/>
  <c r="IO58" i="34"/>
  <c r="HV57" i="34"/>
  <c r="HX57" i="34"/>
  <c r="HZ57" i="34"/>
  <c r="IK69" i="34"/>
  <c r="IK67" i="34"/>
  <c r="IB69" i="34"/>
  <c r="IB67" i="34"/>
  <c r="M28" i="34"/>
  <c r="Q13" i="34"/>
  <c r="AD60" i="34"/>
  <c r="M44" i="34"/>
  <c r="GT61" i="34"/>
  <c r="OJ30" i="34"/>
  <c r="NT52" i="34"/>
  <c r="NU52" i="34"/>
  <c r="IE69" i="34"/>
  <c r="IE67" i="34"/>
  <c r="Q21" i="34"/>
  <c r="M36" i="34"/>
  <c r="KH58" i="34"/>
  <c r="KK55" i="34"/>
  <c r="HC30" i="34"/>
  <c r="HE30" i="34"/>
  <c r="HC38" i="34"/>
  <c r="HE38" i="34"/>
  <c r="EB60" i="34"/>
  <c r="NT60" i="34"/>
  <c r="PQ60" i="34"/>
  <c r="KM59" i="34"/>
  <c r="KH14" i="34"/>
  <c r="OP9" i="34"/>
  <c r="M20" i="34"/>
  <c r="KI61" i="34"/>
  <c r="IY58" i="34"/>
  <c r="GT57" i="34"/>
  <c r="HC57" i="34"/>
  <c r="HE57" i="34"/>
  <c r="HG57" i="34"/>
  <c r="GV58" i="34"/>
  <c r="II58" i="34"/>
  <c r="IL58" i="34"/>
  <c r="IM58" i="34"/>
  <c r="FZ52" i="34"/>
  <c r="Q37" i="34"/>
  <c r="HE31" i="34"/>
  <c r="HG31" i="34"/>
  <c r="I53" i="34"/>
  <c r="KR52" i="34"/>
  <c r="JC53" i="34"/>
  <c r="Q29" i="34"/>
  <c r="NT43" i="34"/>
  <c r="NU43" i="34"/>
  <c r="NT48" i="34"/>
  <c r="NU48" i="34"/>
  <c r="HC61" i="34"/>
  <c r="HE61" i="34"/>
  <c r="HG61" i="34"/>
  <c r="HT61" i="34"/>
  <c r="HU61" i="34"/>
  <c r="PQ58" i="34"/>
  <c r="KG43" i="34"/>
  <c r="IO18" i="34"/>
  <c r="GD41" i="34"/>
  <c r="KM41" i="34"/>
  <c r="FZ50" i="34"/>
  <c r="KG50" i="34"/>
  <c r="CE42" i="34"/>
  <c r="KF42" i="34"/>
  <c r="KG20" i="34"/>
  <c r="FZ20" i="34"/>
  <c r="FZ10" i="34"/>
  <c r="KG10" i="34"/>
  <c r="GC14" i="34"/>
  <c r="KK14" i="34"/>
  <c r="GC11" i="34"/>
  <c r="KK11" i="34"/>
  <c r="GE9" i="34"/>
  <c r="KR9" i="34"/>
  <c r="GC44" i="34"/>
  <c r="KK44" i="34"/>
  <c r="GE18" i="34"/>
  <c r="KR18" i="34"/>
  <c r="GB17" i="34"/>
  <c r="KI28" i="34"/>
  <c r="GB28" i="34"/>
  <c r="GE21" i="34"/>
  <c r="KR21" i="34"/>
  <c r="GB20" i="34"/>
  <c r="KI20" i="34"/>
  <c r="KF43" i="34"/>
  <c r="OQ10" i="34"/>
  <c r="OT10" i="34"/>
  <c r="Q43" i="34"/>
  <c r="HC48" i="34"/>
  <c r="OO51" i="34"/>
  <c r="M51" i="34"/>
  <c r="OP54" i="34"/>
  <c r="Q54" i="34"/>
  <c r="OO33" i="34"/>
  <c r="M33" i="34"/>
  <c r="GD61" i="34"/>
  <c r="CQ61" i="34"/>
  <c r="GA60" i="34"/>
  <c r="GC58" i="34"/>
  <c r="KK58" i="34"/>
  <c r="GD53" i="34"/>
  <c r="KM53" i="34"/>
  <c r="GA31" i="34"/>
  <c r="KH31" i="34"/>
  <c r="GC29" i="34"/>
  <c r="KK29" i="34"/>
  <c r="FZ51" i="34"/>
  <c r="FZ11" i="34"/>
  <c r="KF29" i="34"/>
  <c r="OO32" i="34"/>
  <c r="M32" i="34"/>
  <c r="GB37" i="34"/>
  <c r="KI37" i="34"/>
  <c r="KK32" i="34"/>
  <c r="GC32" i="34"/>
  <c r="KF21" i="34"/>
  <c r="IQ32" i="34"/>
  <c r="IO32" i="34"/>
  <c r="GD38" i="34"/>
  <c r="KM38" i="34"/>
  <c r="M53" i="34"/>
  <c r="OJ55" i="34"/>
  <c r="M16" i="34"/>
  <c r="Q44" i="34"/>
  <c r="OJ46" i="34"/>
  <c r="KI46" i="34"/>
  <c r="CQ57" i="34"/>
  <c r="OJ26" i="34"/>
  <c r="Q45" i="34"/>
  <c r="Q25" i="34"/>
  <c r="KF14" i="34"/>
  <c r="Q35" i="34"/>
  <c r="M34" i="34"/>
  <c r="PQ52" i="34"/>
  <c r="KH16" i="34"/>
  <c r="KI40" i="34"/>
  <c r="A58" i="34"/>
  <c r="A59" i="34"/>
  <c r="A60" i="34"/>
  <c r="A61" i="34"/>
  <c r="A62" i="34"/>
  <c r="CC74" i="34"/>
  <c r="HZ58" i="34"/>
  <c r="HX58" i="34"/>
  <c r="HV58" i="34"/>
  <c r="IP41" i="34"/>
  <c r="GD52" i="34"/>
  <c r="NT26" i="34"/>
  <c r="NU26" i="34"/>
  <c r="HC51" i="34"/>
  <c r="GT52" i="34"/>
  <c r="FZ25" i="34"/>
  <c r="KG25" i="34"/>
  <c r="IO22" i="34"/>
  <c r="KG29" i="34"/>
  <c r="FZ29" i="34"/>
  <c r="KG21" i="34"/>
  <c r="FZ21" i="34"/>
  <c r="HC22" i="34"/>
  <c r="HE22" i="34"/>
  <c r="OH22" i="34"/>
  <c r="KF25" i="34"/>
  <c r="JO52" i="34"/>
  <c r="EB52" i="34"/>
  <c r="NT20" i="34"/>
  <c r="AG74" i="34"/>
  <c r="A99" i="39"/>
  <c r="A102" i="39"/>
  <c r="KN114" i="19"/>
  <c r="GC116" i="19"/>
  <c r="KK116" i="19"/>
  <c r="NT122" i="19"/>
  <c r="NU122" i="19"/>
  <c r="KG113" i="19"/>
  <c r="FZ113" i="19"/>
  <c r="OJ110" i="19"/>
  <c r="KN102" i="39"/>
  <c r="KL103" i="39"/>
  <c r="OP44" i="21"/>
  <c r="Q44" i="21"/>
  <c r="KO44" i="21"/>
  <c r="CQ44" i="21"/>
  <c r="PQ45" i="21"/>
  <c r="IY45" i="21"/>
  <c r="AD45" i="21"/>
  <c r="NT16" i="22"/>
  <c r="NU16" i="22"/>
  <c r="AD23" i="22"/>
  <c r="IY23" i="22"/>
  <c r="KP24" i="22"/>
  <c r="EB24" i="22"/>
  <c r="PQ25" i="22"/>
  <c r="KO50" i="21"/>
  <c r="CQ50" i="21"/>
  <c r="P67" i="34"/>
  <c r="T67" i="34"/>
  <c r="AC67" i="34"/>
  <c r="X67" i="34"/>
  <c r="H67" i="34"/>
  <c r="HG37" i="21"/>
  <c r="HT37" i="21"/>
  <c r="IQ24" i="32"/>
  <c r="OR22" i="21"/>
  <c r="FZ18" i="21"/>
  <c r="IO36" i="21"/>
  <c r="OH83" i="19"/>
  <c r="OH28" i="19"/>
  <c r="OH53" i="35"/>
  <c r="HG53" i="35"/>
  <c r="HT53" i="35"/>
  <c r="HU53" i="35"/>
  <c r="Y35" i="21"/>
  <c r="AD12" i="32"/>
  <c r="PQ24" i="32"/>
  <c r="IY12" i="32"/>
  <c r="HR23" i="35"/>
  <c r="HP23" i="35"/>
  <c r="PQ12" i="19"/>
  <c r="IY12" i="19"/>
  <c r="JO34" i="32"/>
  <c r="NT43" i="35"/>
  <c r="NT35" i="34"/>
  <c r="NU35" i="34"/>
  <c r="HW60" i="39"/>
  <c r="HZ60" i="39"/>
  <c r="EB58" i="34"/>
  <c r="HC31" i="19"/>
  <c r="OE29" i="22"/>
  <c r="Y115" i="19"/>
  <c r="IU115" i="19"/>
  <c r="KG116" i="19"/>
  <c r="FZ116" i="19"/>
  <c r="KR117" i="19"/>
  <c r="GE117" i="19"/>
  <c r="BA114" i="19"/>
  <c r="AY114" i="19"/>
  <c r="AX114" i="19"/>
  <c r="HV33" i="32"/>
  <c r="KK65" i="35"/>
  <c r="GC65" i="35"/>
  <c r="GV118" i="19"/>
  <c r="IC118" i="19"/>
  <c r="GT118" i="19"/>
  <c r="AD44" i="21"/>
  <c r="PQ44" i="21"/>
  <c r="IY44" i="21"/>
  <c r="KM117" i="19"/>
  <c r="CQ54" i="21"/>
  <c r="IQ118" i="19"/>
  <c r="IO118" i="19"/>
  <c r="KG118" i="19"/>
  <c r="FZ118" i="19"/>
  <c r="GE69" i="35"/>
  <c r="KR69" i="35"/>
  <c r="GB117" i="19"/>
  <c r="KI117" i="19"/>
  <c r="IU116" i="19"/>
  <c r="Y116" i="19"/>
  <c r="AD57" i="31"/>
  <c r="KR114" i="19"/>
  <c r="GE114" i="19"/>
  <c r="GC38" i="31"/>
  <c r="KK38" i="31"/>
  <c r="IA38" i="31"/>
  <c r="AV24" i="22"/>
  <c r="AY24" i="22"/>
  <c r="NT113" i="19"/>
  <c r="GB26" i="22"/>
  <c r="KI26" i="22"/>
  <c r="NT50" i="21"/>
  <c r="NU50" i="21"/>
  <c r="NT27" i="22"/>
  <c r="NU27" i="22"/>
  <c r="BK11" i="33"/>
  <c r="NT45" i="21"/>
  <c r="NU45" i="21"/>
  <c r="Y50" i="21"/>
  <c r="IU50" i="21"/>
  <c r="GC16" i="22"/>
  <c r="KK16" i="22"/>
  <c r="EB66" i="35"/>
  <c r="BK120" i="19"/>
  <c r="EB11" i="33"/>
  <c r="NT69" i="35"/>
  <c r="NU69" i="35"/>
  <c r="EB45" i="21"/>
  <c r="GV25" i="22"/>
  <c r="GW25" i="22"/>
  <c r="JO27" i="22"/>
  <c r="GT24" i="22"/>
  <c r="NT66" i="35"/>
  <c r="NU66" i="35"/>
  <c r="GV24" i="22"/>
  <c r="II24" i="22"/>
  <c r="GV32" i="32"/>
  <c r="IC32" i="32"/>
  <c r="PQ69" i="35"/>
  <c r="IY52" i="34"/>
  <c r="AD52" i="34"/>
  <c r="KK52" i="34"/>
  <c r="BE10" i="19"/>
  <c r="AF126" i="19"/>
  <c r="AR9" i="19"/>
  <c r="AQ126" i="19"/>
  <c r="I10" i="19"/>
  <c r="G126" i="19"/>
  <c r="I126" i="19"/>
  <c r="FX126" i="19"/>
  <c r="OZ126" i="19"/>
  <c r="KO9" i="19"/>
  <c r="CM126" i="19"/>
  <c r="AV9" i="19"/>
  <c r="AU126" i="19"/>
  <c r="JW126" i="19"/>
  <c r="NU55" i="34"/>
  <c r="OA126" i="19"/>
  <c r="OB126" i="19"/>
  <c r="NZ126" i="19"/>
  <c r="HE31" i="19"/>
  <c r="IO10" i="34"/>
  <c r="M10" i="34"/>
  <c r="Q16" i="34"/>
  <c r="OR33" i="35"/>
  <c r="OU33" i="35"/>
  <c r="HE15" i="19"/>
  <c r="M78" i="19"/>
  <c r="IK72" i="35"/>
  <c r="IK70" i="35"/>
  <c r="HZ123" i="19"/>
  <c r="OJ33" i="34"/>
  <c r="HV64" i="35"/>
  <c r="Q20" i="19"/>
  <c r="M58" i="19"/>
  <c r="BE12" i="34"/>
  <c r="AR60" i="19"/>
  <c r="DZ126" i="19"/>
  <c r="KN9" i="19"/>
  <c r="CL126" i="19"/>
  <c r="BG126" i="19"/>
  <c r="AY56" i="19"/>
  <c r="AP9" i="19"/>
  <c r="AO126" i="19"/>
  <c r="EH126" i="19"/>
  <c r="GP126" i="19"/>
  <c r="JV126" i="19"/>
  <c r="NQ126" i="19"/>
  <c r="HC89" i="39"/>
  <c r="AE126" i="19"/>
  <c r="AB126" i="19"/>
  <c r="NU14" i="32"/>
  <c r="NU14" i="34"/>
  <c r="CQ58" i="34"/>
  <c r="Y14" i="34"/>
  <c r="OK33" i="35"/>
  <c r="OM33" i="35"/>
  <c r="HG33" i="35"/>
  <c r="HT33" i="35"/>
  <c r="HU33" i="35"/>
  <c r="IO35" i="34"/>
  <c r="GY75" i="35"/>
  <c r="HK75" i="35"/>
  <c r="AY111" i="19"/>
  <c r="HX123" i="19"/>
  <c r="IQ10" i="39"/>
  <c r="IQ18" i="21"/>
  <c r="OJ17" i="34"/>
  <c r="Y28" i="35"/>
  <c r="HZ64" i="35"/>
  <c r="IA64" i="35"/>
  <c r="M47" i="19"/>
  <c r="OJ26" i="19"/>
  <c r="AR29" i="19"/>
  <c r="AR21" i="19"/>
  <c r="DY126" i="19"/>
  <c r="KL9" i="19"/>
  <c r="KL126" i="19"/>
  <c r="CJ126" i="19"/>
  <c r="BF126" i="19"/>
  <c r="GQ126" i="19"/>
  <c r="IT57" i="21"/>
  <c r="IT59" i="21"/>
  <c r="HG41" i="21"/>
  <c r="HT41" i="21"/>
  <c r="HU41" i="21"/>
  <c r="JU126" i="19"/>
  <c r="JX13" i="33"/>
  <c r="JR13" i="33"/>
  <c r="KT126" i="19"/>
  <c r="NR126" i="19"/>
  <c r="NT47" i="39"/>
  <c r="BK44" i="39"/>
  <c r="HC59" i="39"/>
  <c r="HC19" i="32"/>
  <c r="HE19" i="32"/>
  <c r="HC26" i="32"/>
  <c r="HE26" i="32"/>
  <c r="HE26" i="34"/>
  <c r="HE34" i="34"/>
  <c r="OH34" i="34"/>
  <c r="OL34" i="34"/>
  <c r="O126" i="19"/>
  <c r="OF126" i="19"/>
  <c r="OS32" i="19"/>
  <c r="OS126" i="19"/>
  <c r="OI126" i="19"/>
  <c r="HE51" i="34"/>
  <c r="BD123" i="19"/>
  <c r="IY9" i="39"/>
  <c r="Q28" i="19"/>
  <c r="KF86" i="39"/>
  <c r="DX126" i="19"/>
  <c r="KJ9" i="19"/>
  <c r="CH126" i="19"/>
  <c r="BD9" i="19"/>
  <c r="GR126" i="19"/>
  <c r="KB126" i="19"/>
  <c r="JT126" i="19"/>
  <c r="BD101" i="19"/>
  <c r="NS126" i="19"/>
  <c r="NU38" i="34"/>
  <c r="Z126" i="19"/>
  <c r="OO10" i="19"/>
  <c r="K126" i="19"/>
  <c r="M126" i="19"/>
  <c r="GE9" i="19"/>
  <c r="CP126" i="19"/>
  <c r="IE72" i="35"/>
  <c r="IE70" i="35"/>
  <c r="M13" i="19"/>
  <c r="OO15" i="34"/>
  <c r="GB102" i="19"/>
  <c r="KD102" i="19"/>
  <c r="KE102" i="19"/>
  <c r="IO9" i="34"/>
  <c r="KD37" i="21"/>
  <c r="KE37" i="21"/>
  <c r="AV53" i="19"/>
  <c r="AZ53" i="19"/>
  <c r="HE10" i="19"/>
  <c r="IB72" i="35"/>
  <c r="IB70" i="35"/>
  <c r="HK113" i="39"/>
  <c r="M25" i="31"/>
  <c r="M31" i="34"/>
  <c r="Q32" i="34"/>
  <c r="IY43" i="35"/>
  <c r="M60" i="19"/>
  <c r="M17" i="32"/>
  <c r="KG86" i="39"/>
  <c r="OJ11" i="32"/>
  <c r="Q12" i="19"/>
  <c r="DW126" i="19"/>
  <c r="BB126" i="19"/>
  <c r="GS126" i="19"/>
  <c r="KA126" i="19"/>
  <c r="JS126" i="19"/>
  <c r="KF9" i="19"/>
  <c r="CD126" i="19"/>
  <c r="KT70" i="35"/>
  <c r="KT67" i="34"/>
  <c r="CK126" i="19"/>
  <c r="HK115" i="39"/>
  <c r="HV72" i="35"/>
  <c r="HV70" i="35"/>
  <c r="U12" i="34"/>
  <c r="HE23" i="19"/>
  <c r="OH23" i="19"/>
  <c r="OR23" i="19"/>
  <c r="OK26" i="21"/>
  <c r="AD33" i="39"/>
  <c r="Y38" i="34"/>
  <c r="HG29" i="19"/>
  <c r="HY72" i="35"/>
  <c r="HY70" i="35"/>
  <c r="Q40" i="34"/>
  <c r="GY78" i="35"/>
  <c r="HK78" i="35"/>
  <c r="GD126" i="19"/>
  <c r="Y11" i="35"/>
  <c r="M94" i="19"/>
  <c r="DV126" i="19"/>
  <c r="AW126" i="19"/>
  <c r="GU13" i="33"/>
  <c r="HF126" i="19"/>
  <c r="JP126" i="19"/>
  <c r="JZ126" i="19"/>
  <c r="JR126" i="19"/>
  <c r="NM126" i="19"/>
  <c r="IU10" i="19"/>
  <c r="W126" i="19"/>
  <c r="Y126" i="19"/>
  <c r="HD126" i="19"/>
  <c r="OQ32" i="19"/>
  <c r="OG126" i="19"/>
  <c r="CI126" i="19"/>
  <c r="Q11" i="34"/>
  <c r="AD50" i="39"/>
  <c r="KQ9" i="19"/>
  <c r="KQ126" i="19"/>
  <c r="CO126" i="19"/>
  <c r="BJ126" i="19"/>
  <c r="IT126" i="19"/>
  <c r="JY126" i="19"/>
  <c r="JQ126" i="19"/>
  <c r="AV11" i="19"/>
  <c r="AJ126" i="19"/>
  <c r="NN126" i="19"/>
  <c r="OE126" i="19"/>
  <c r="GB9" i="19"/>
  <c r="CG126" i="19"/>
  <c r="OR44" i="35"/>
  <c r="OR26" i="21"/>
  <c r="OQ41" i="34"/>
  <c r="OT41" i="34"/>
  <c r="OQ19" i="32"/>
  <c r="OT19" i="32"/>
  <c r="KG9" i="34"/>
  <c r="OH35" i="39"/>
  <c r="OR35" i="39"/>
  <c r="OU35" i="39"/>
  <c r="NU60" i="34"/>
  <c r="HG36" i="31"/>
  <c r="HT36" i="31"/>
  <c r="AD77" i="39"/>
  <c r="IO10" i="35"/>
  <c r="IU62" i="35"/>
  <c r="AY9" i="22"/>
  <c r="DY13" i="33"/>
  <c r="AR47" i="19"/>
  <c r="KP9" i="19"/>
  <c r="CN126" i="19"/>
  <c r="BI126" i="19"/>
  <c r="AT9" i="19"/>
  <c r="AS126" i="19"/>
  <c r="IX126" i="19"/>
  <c r="GR57" i="21"/>
  <c r="GQ13" i="33"/>
  <c r="AG133" i="19"/>
  <c r="JQ67" i="34"/>
  <c r="JO13" i="34"/>
  <c r="JO36" i="34"/>
  <c r="JX126" i="19"/>
  <c r="JV13" i="33"/>
  <c r="U10" i="19"/>
  <c r="S126" i="19"/>
  <c r="NO126" i="19"/>
  <c r="GT10" i="39"/>
  <c r="GV10" i="39"/>
  <c r="GW10" i="39"/>
  <c r="GT84" i="39"/>
  <c r="GV84" i="39"/>
  <c r="JO32" i="39"/>
  <c r="GA9" i="19"/>
  <c r="CF126" i="19"/>
  <c r="PO126" i="19"/>
  <c r="NT56" i="19"/>
  <c r="NU56" i="19"/>
  <c r="NT100" i="19"/>
  <c r="NU100" i="19"/>
  <c r="AX35" i="19"/>
  <c r="NT123" i="19"/>
  <c r="BK123" i="19"/>
  <c r="NT112" i="19"/>
  <c r="NU112" i="19"/>
  <c r="EB112" i="19"/>
  <c r="BK112" i="19"/>
  <c r="AX107" i="19"/>
  <c r="FZ70" i="19"/>
  <c r="AD79" i="19"/>
  <c r="IO32" i="19"/>
  <c r="CE21" i="19"/>
  <c r="KG21" i="19"/>
  <c r="IY14" i="19"/>
  <c r="IY38" i="19"/>
  <c r="IY63" i="19"/>
  <c r="IY87" i="19"/>
  <c r="IQ46" i="19"/>
  <c r="IQ76" i="19"/>
  <c r="PQ14" i="19"/>
  <c r="AD63" i="19"/>
  <c r="AD87" i="19"/>
  <c r="AV19" i="19"/>
  <c r="AV27" i="19"/>
  <c r="BK100" i="19"/>
  <c r="IY47" i="19"/>
  <c r="AD95" i="19"/>
  <c r="FZ94" i="19"/>
  <c r="FZ78" i="19"/>
  <c r="FY78" i="19"/>
  <c r="GJ78" i="19"/>
  <c r="IY22" i="19"/>
  <c r="AD47" i="19"/>
  <c r="PQ71" i="19"/>
  <c r="IY95" i="19"/>
  <c r="BA31" i="19"/>
  <c r="HG28" i="19"/>
  <c r="HH28" i="19"/>
  <c r="NT13" i="19"/>
  <c r="NU13" i="19"/>
  <c r="NT17" i="19"/>
  <c r="NU17" i="19"/>
  <c r="NT18" i="19"/>
  <c r="NU18" i="19"/>
  <c r="NT23" i="19"/>
  <c r="NU23" i="19"/>
  <c r="NT26" i="19"/>
  <c r="NU26" i="19"/>
  <c r="NT28" i="19"/>
  <c r="NU28" i="19"/>
  <c r="NT29" i="19"/>
  <c r="NU29" i="19"/>
  <c r="NT35" i="19"/>
  <c r="NU35" i="19"/>
  <c r="NT40" i="19"/>
  <c r="NU40" i="19"/>
  <c r="NT44" i="19"/>
  <c r="NU44" i="19"/>
  <c r="NT45" i="19"/>
  <c r="NU45" i="19"/>
  <c r="NT50" i="19"/>
  <c r="NU50" i="19"/>
  <c r="NT54" i="19"/>
  <c r="NU54" i="19"/>
  <c r="NT57" i="19"/>
  <c r="NU57" i="19"/>
  <c r="NT61" i="19"/>
  <c r="NU61" i="19"/>
  <c r="NT67" i="19"/>
  <c r="NU67" i="19"/>
  <c r="NT69" i="19"/>
  <c r="NU69" i="19"/>
  <c r="NT72" i="19"/>
  <c r="NU72" i="19"/>
  <c r="NT75" i="19"/>
  <c r="NU75" i="19"/>
  <c r="NT77" i="19"/>
  <c r="NU77" i="19"/>
  <c r="NT85" i="19"/>
  <c r="NU85" i="19"/>
  <c r="NT87" i="19"/>
  <c r="NT89" i="19"/>
  <c r="NU89" i="19"/>
  <c r="NT94" i="19"/>
  <c r="NU94" i="19"/>
  <c r="NT95" i="19"/>
  <c r="NU95" i="19"/>
  <c r="NT97" i="19"/>
  <c r="NU97" i="19"/>
  <c r="NT102" i="19"/>
  <c r="NU102" i="19"/>
  <c r="CE62" i="19"/>
  <c r="FZ62" i="19"/>
  <c r="FY62" i="19"/>
  <c r="GK62" i="19"/>
  <c r="PQ22" i="19"/>
  <c r="IQ97" i="19"/>
  <c r="BD27" i="19"/>
  <c r="BK80" i="19"/>
  <c r="BD78" i="19"/>
  <c r="BD104" i="19"/>
  <c r="NR67" i="34"/>
  <c r="NU23" i="34"/>
  <c r="NR70" i="35"/>
  <c r="NU19" i="35"/>
  <c r="NU37" i="35"/>
  <c r="JO112" i="19"/>
  <c r="IQ14" i="34"/>
  <c r="CQ15" i="34"/>
  <c r="IU30" i="31"/>
  <c r="IY37" i="19"/>
  <c r="CE38" i="21"/>
  <c r="FZ38" i="21"/>
  <c r="FY38" i="21"/>
  <c r="GK38" i="21"/>
  <c r="KG63" i="19"/>
  <c r="FZ55" i="19"/>
  <c r="BD41" i="19"/>
  <c r="IU27" i="19"/>
  <c r="AX44" i="19"/>
  <c r="PQ96" i="19"/>
  <c r="AY94" i="19"/>
  <c r="HG58" i="35"/>
  <c r="HT58" i="35"/>
  <c r="KF36" i="21"/>
  <c r="Y55" i="34"/>
  <c r="AR37" i="19"/>
  <c r="BD60" i="19"/>
  <c r="AT31" i="19"/>
  <c r="AT23" i="19"/>
  <c r="AT15" i="19"/>
  <c r="KM11" i="39"/>
  <c r="GC118" i="19"/>
  <c r="BK49" i="34"/>
  <c r="GA19" i="21"/>
  <c r="HP21" i="35"/>
  <c r="IQ53" i="35"/>
  <c r="HG15" i="19"/>
  <c r="HH15" i="19"/>
  <c r="KG30" i="19"/>
  <c r="CE93" i="19"/>
  <c r="FZ93" i="19"/>
  <c r="FY93" i="19"/>
  <c r="AD11" i="34"/>
  <c r="BD39" i="19"/>
  <c r="Y68" i="19"/>
  <c r="IU52" i="19"/>
  <c r="AD64" i="19"/>
  <c r="Y35" i="19"/>
  <c r="IU39" i="19"/>
  <c r="IU96" i="19"/>
  <c r="IU44" i="19"/>
  <c r="HG88" i="19"/>
  <c r="HT88" i="19"/>
  <c r="HS88" i="19"/>
  <c r="FZ13" i="21"/>
  <c r="KG18" i="34"/>
  <c r="AX13" i="22"/>
  <c r="IO22" i="39"/>
  <c r="Y63" i="39"/>
  <c r="CE45" i="19"/>
  <c r="KG45" i="19"/>
  <c r="KF11" i="31"/>
  <c r="AR44" i="19"/>
  <c r="AT54" i="19"/>
  <c r="KI13" i="39"/>
  <c r="HZ53" i="34"/>
  <c r="HY53" i="34"/>
  <c r="IQ47" i="35"/>
  <c r="KF33" i="35"/>
  <c r="AX19" i="19"/>
  <c r="AZ19" i="19"/>
  <c r="BK72" i="19"/>
  <c r="IY64" i="19"/>
  <c r="Y56" i="19"/>
  <c r="AD48" i="19"/>
  <c r="IY23" i="19"/>
  <c r="IO56" i="19"/>
  <c r="PQ13" i="19"/>
  <c r="KD16" i="19"/>
  <c r="KE16" i="19"/>
  <c r="PQ46" i="19"/>
  <c r="CE55" i="34"/>
  <c r="FZ55" i="34"/>
  <c r="FY55" i="34"/>
  <c r="IO24" i="39"/>
  <c r="KH11" i="31"/>
  <c r="AR50" i="19"/>
  <c r="AR27" i="19"/>
  <c r="KH18" i="39"/>
  <c r="HG31" i="19"/>
  <c r="HH31" i="19"/>
  <c r="Y33" i="34"/>
  <c r="HV53" i="34"/>
  <c r="IQ77" i="19"/>
  <c r="IQ25" i="39"/>
  <c r="KG71" i="19"/>
  <c r="BD97" i="19"/>
  <c r="KF20" i="21"/>
  <c r="CE20" i="35"/>
  <c r="FZ20" i="35"/>
  <c r="FY20" i="35"/>
  <c r="GJ20" i="35"/>
  <c r="IQ27" i="31"/>
  <c r="CE69" i="19"/>
  <c r="KG69" i="19"/>
  <c r="EB21" i="34"/>
  <c r="EB31" i="35"/>
  <c r="AR34" i="19"/>
  <c r="AR19" i="19"/>
  <c r="HG42" i="21"/>
  <c r="PQ51" i="34"/>
  <c r="HG77" i="39"/>
  <c r="IU32" i="39"/>
  <c r="FZ34" i="34"/>
  <c r="KD17" i="34"/>
  <c r="KE17" i="34"/>
  <c r="OL44" i="35"/>
  <c r="OM44" i="35"/>
  <c r="KF17" i="35"/>
  <c r="BD89" i="19"/>
  <c r="HG72" i="19"/>
  <c r="HT72" i="19"/>
  <c r="HU72" i="19"/>
  <c r="HG39" i="35"/>
  <c r="AR56" i="19"/>
  <c r="AT26" i="19"/>
  <c r="CJ13" i="33"/>
  <c r="KR22" i="39"/>
  <c r="KK16" i="39"/>
  <c r="Y9" i="32"/>
  <c r="IU9" i="32"/>
  <c r="IY12" i="35"/>
  <c r="AD12" i="35"/>
  <c r="PQ12" i="35"/>
  <c r="AD40" i="35"/>
  <c r="IY40" i="35"/>
  <c r="PQ40" i="35"/>
  <c r="NU25" i="35"/>
  <c r="IU26" i="39"/>
  <c r="Y26" i="39"/>
  <c r="Y18" i="39"/>
  <c r="IU18" i="39"/>
  <c r="IQ72" i="39"/>
  <c r="IO72" i="39"/>
  <c r="IU16" i="39"/>
  <c r="Y16" i="39"/>
  <c r="PQ51" i="39"/>
  <c r="IY51" i="39"/>
  <c r="KG49" i="39"/>
  <c r="FZ49" i="39"/>
  <c r="OE67" i="34"/>
  <c r="Q27" i="39"/>
  <c r="OP27" i="39"/>
  <c r="Q33" i="39"/>
  <c r="OP33" i="39"/>
  <c r="OQ82" i="39"/>
  <c r="OT82" i="39"/>
  <c r="OJ82" i="39"/>
  <c r="OO14" i="31"/>
  <c r="M14" i="31"/>
  <c r="OP24" i="31"/>
  <c r="Q24" i="31"/>
  <c r="OO31" i="31"/>
  <c r="M31" i="31"/>
  <c r="OQ25" i="32"/>
  <c r="OT25" i="32"/>
  <c r="OJ25" i="32"/>
  <c r="OQ30" i="32"/>
  <c r="OT30" i="32"/>
  <c r="OJ30" i="32"/>
  <c r="OP22" i="34"/>
  <c r="Q22" i="34"/>
  <c r="OJ23" i="34"/>
  <c r="OQ23" i="34"/>
  <c r="OT23" i="34"/>
  <c r="OO29" i="34"/>
  <c r="M29" i="34"/>
  <c r="OP30" i="34"/>
  <c r="Q30" i="34"/>
  <c r="OQ31" i="34"/>
  <c r="OT31" i="34"/>
  <c r="OJ31" i="34"/>
  <c r="OO37" i="34"/>
  <c r="M37" i="34"/>
  <c r="OP38" i="34"/>
  <c r="Q38" i="34"/>
  <c r="OO45" i="34"/>
  <c r="M45" i="34"/>
  <c r="OQ47" i="34"/>
  <c r="OT47" i="34"/>
  <c r="OJ47" i="34"/>
  <c r="OO54" i="34"/>
  <c r="M54" i="34"/>
  <c r="OP55" i="34"/>
  <c r="Q55" i="34"/>
  <c r="JO123" i="19"/>
  <c r="Q123" i="19"/>
  <c r="OH76" i="19"/>
  <c r="OK76" i="19"/>
  <c r="HG76" i="19"/>
  <c r="HT76" i="19"/>
  <c r="IU42" i="34"/>
  <c r="Y42" i="34"/>
  <c r="AD16" i="32"/>
  <c r="PQ16" i="32"/>
  <c r="AD20" i="35"/>
  <c r="IY20" i="35"/>
  <c r="U90" i="19"/>
  <c r="BD90" i="19"/>
  <c r="U57" i="19"/>
  <c r="BD57" i="19"/>
  <c r="IY73" i="19"/>
  <c r="AD73" i="19"/>
  <c r="AD49" i="19"/>
  <c r="IY49" i="19"/>
  <c r="PQ49" i="19"/>
  <c r="IY16" i="19"/>
  <c r="AD16" i="19"/>
  <c r="PQ16" i="19"/>
  <c r="KG88" i="19"/>
  <c r="FZ88" i="19"/>
  <c r="FY88" i="19"/>
  <c r="FZ64" i="19"/>
  <c r="KG64" i="19"/>
  <c r="FZ31" i="19"/>
  <c r="FY31" i="19"/>
  <c r="KG31" i="19"/>
  <c r="CE31" i="21"/>
  <c r="KF31" i="21"/>
  <c r="NU10" i="32"/>
  <c r="NU47" i="34"/>
  <c r="OK24" i="32"/>
  <c r="OR24" i="32"/>
  <c r="OU24" i="32"/>
  <c r="KF36" i="35"/>
  <c r="IY34" i="34"/>
  <c r="PQ34" i="34"/>
  <c r="IO72" i="19"/>
  <c r="IQ72" i="19"/>
  <c r="IQ13" i="19"/>
  <c r="IO13" i="19"/>
  <c r="PQ28" i="35"/>
  <c r="AD28" i="35"/>
  <c r="IY28" i="35"/>
  <c r="AD49" i="35"/>
  <c r="IY49" i="35"/>
  <c r="PQ49" i="35"/>
  <c r="KG23" i="31"/>
  <c r="Y26" i="34"/>
  <c r="NT12" i="35"/>
  <c r="NU12" i="35"/>
  <c r="PQ65" i="19"/>
  <c r="IA112" i="19"/>
  <c r="HY112" i="19"/>
  <c r="KG23" i="19"/>
  <c r="KG48" i="19"/>
  <c r="Y11" i="21"/>
  <c r="IU11" i="21"/>
  <c r="AD16" i="35"/>
  <c r="IY16" i="35"/>
  <c r="IY45" i="35"/>
  <c r="PQ45" i="35"/>
  <c r="KG13" i="22"/>
  <c r="FZ13" i="22"/>
  <c r="AD81" i="19"/>
  <c r="PQ81" i="19"/>
  <c r="CE96" i="19"/>
  <c r="FZ96" i="19"/>
  <c r="FY96" i="19"/>
  <c r="GK96" i="19"/>
  <c r="KF96" i="19"/>
  <c r="KG36" i="35"/>
  <c r="FZ36" i="35"/>
  <c r="NU87" i="19"/>
  <c r="NS67" i="34"/>
  <c r="NT16" i="34"/>
  <c r="NU16" i="34"/>
  <c r="NU43" i="35"/>
  <c r="AD46" i="34"/>
  <c r="IY46" i="34"/>
  <c r="IU19" i="21"/>
  <c r="Y19" i="21"/>
  <c r="IU42" i="21"/>
  <c r="Y42" i="21"/>
  <c r="IU20" i="35"/>
  <c r="Y20" i="35"/>
  <c r="U50" i="19"/>
  <c r="BD50" i="19"/>
  <c r="AD89" i="19"/>
  <c r="IY89" i="19"/>
  <c r="PQ89" i="19"/>
  <c r="IY57" i="19"/>
  <c r="AD57" i="19"/>
  <c r="PQ57" i="19"/>
  <c r="IY32" i="19"/>
  <c r="PQ32" i="19"/>
  <c r="KF27" i="34"/>
  <c r="CE27" i="34"/>
  <c r="KG27" i="34"/>
  <c r="CE46" i="35"/>
  <c r="KF46" i="35"/>
  <c r="NT16" i="32"/>
  <c r="NU16" i="32"/>
  <c r="NT39" i="34"/>
  <c r="NU39" i="34"/>
  <c r="NT13" i="34"/>
  <c r="NU13" i="34"/>
  <c r="NT11" i="35"/>
  <c r="NM70" i="35"/>
  <c r="U11" i="34"/>
  <c r="IP31" i="21"/>
  <c r="BK31" i="21"/>
  <c r="AY57" i="19"/>
  <c r="BK52" i="19"/>
  <c r="AD32" i="19"/>
  <c r="IU14" i="32"/>
  <c r="NU20" i="34"/>
  <c r="Q10" i="34"/>
  <c r="PQ9" i="34"/>
  <c r="IY10" i="39"/>
  <c r="Y20" i="21"/>
  <c r="IU18" i="34"/>
  <c r="Y18" i="34"/>
  <c r="IQ93" i="19"/>
  <c r="IO93" i="19"/>
  <c r="AV50" i="19"/>
  <c r="AY50" i="19"/>
  <c r="IQ107" i="19"/>
  <c r="IO107" i="19"/>
  <c r="KF80" i="19"/>
  <c r="CE80" i="19"/>
  <c r="FZ80" i="19"/>
  <c r="FY80" i="19"/>
  <c r="GK80" i="19"/>
  <c r="CE14" i="21"/>
  <c r="KF14" i="21"/>
  <c r="CE25" i="32"/>
  <c r="KG25" i="32"/>
  <c r="KF25" i="32"/>
  <c r="FZ19" i="34"/>
  <c r="KG19" i="34"/>
  <c r="CE12" i="35"/>
  <c r="KF12" i="35"/>
  <c r="AD34" i="39"/>
  <c r="KF23" i="31"/>
  <c r="KG15" i="19"/>
  <c r="CE56" i="19"/>
  <c r="BA22" i="19"/>
  <c r="IQ54" i="34"/>
  <c r="BA39" i="19"/>
  <c r="IO51" i="34"/>
  <c r="KG41" i="34"/>
  <c r="AX50" i="19"/>
  <c r="IY24" i="35"/>
  <c r="PQ73" i="19"/>
  <c r="IQ24" i="19"/>
  <c r="IU33" i="21"/>
  <c r="AD34" i="34"/>
  <c r="Q14" i="34"/>
  <c r="KG40" i="39"/>
  <c r="IQ29" i="31"/>
  <c r="IO29" i="31"/>
  <c r="IO47" i="34"/>
  <c r="IQ47" i="34"/>
  <c r="PQ32" i="35"/>
  <c r="AD32" i="35"/>
  <c r="AY58" i="19"/>
  <c r="IQ105" i="19"/>
  <c r="IO105" i="19"/>
  <c r="U73" i="19"/>
  <c r="BD73" i="19"/>
  <c r="AD24" i="19"/>
  <c r="IY24" i="19"/>
  <c r="PQ24" i="19"/>
  <c r="KG72" i="19"/>
  <c r="FZ72" i="19"/>
  <c r="FY72" i="19"/>
  <c r="GK72" i="19"/>
  <c r="CE39" i="21"/>
  <c r="FZ39" i="21"/>
  <c r="KF39" i="21"/>
  <c r="CE49" i="34"/>
  <c r="CQ49" i="34"/>
  <c r="KF49" i="34"/>
  <c r="NU12" i="21"/>
  <c r="KF23" i="19"/>
  <c r="IU28" i="21"/>
  <c r="Y28" i="21"/>
  <c r="BA30" i="19"/>
  <c r="KG35" i="34"/>
  <c r="AD45" i="35"/>
  <c r="IY65" i="19"/>
  <c r="M9" i="34"/>
  <c r="IQ9" i="21"/>
  <c r="Y55" i="35"/>
  <c r="PO24" i="35"/>
  <c r="PQ24" i="35"/>
  <c r="IO66" i="19"/>
  <c r="KG112" i="19"/>
  <c r="GV112" i="19"/>
  <c r="AV56" i="19"/>
  <c r="HG54" i="19"/>
  <c r="HT54" i="19"/>
  <c r="HU54" i="19"/>
  <c r="BK32" i="34"/>
  <c r="AV97" i="19"/>
  <c r="GT101" i="19"/>
  <c r="GV101" i="19"/>
  <c r="GW101" i="19"/>
  <c r="HE49" i="39"/>
  <c r="HG9" i="22"/>
  <c r="OL9" i="31"/>
  <c r="KD11" i="35"/>
  <c r="KE11" i="35"/>
  <c r="BK16" i="31"/>
  <c r="KD19" i="21"/>
  <c r="KE19" i="21"/>
  <c r="OH15" i="19"/>
  <c r="OK15" i="19"/>
  <c r="HE58" i="39"/>
  <c r="OH58" i="39"/>
  <c r="FZ103" i="19"/>
  <c r="HG53" i="19"/>
  <c r="HH53" i="19"/>
  <c r="HG55" i="35"/>
  <c r="HH55" i="35"/>
  <c r="HE49" i="34"/>
  <c r="OH49" i="34"/>
  <c r="OL49" i="34"/>
  <c r="AY44" i="19"/>
  <c r="AV20" i="19"/>
  <c r="AV12" i="19"/>
  <c r="HG83" i="19"/>
  <c r="HT83" i="19"/>
  <c r="GT29" i="35"/>
  <c r="GV29" i="35"/>
  <c r="HG52" i="35"/>
  <c r="GT20" i="34"/>
  <c r="GV20" i="34"/>
  <c r="GX20" i="34"/>
  <c r="GY20" i="34"/>
  <c r="JP13" i="33"/>
  <c r="JO28" i="34"/>
  <c r="JO29" i="34"/>
  <c r="JO43" i="34"/>
  <c r="JO47" i="34"/>
  <c r="EB34" i="39"/>
  <c r="BD80" i="19"/>
  <c r="BD72" i="19"/>
  <c r="NT9" i="33"/>
  <c r="NU9" i="33"/>
  <c r="NT9" i="31"/>
  <c r="NU9" i="31"/>
  <c r="NT12" i="19"/>
  <c r="NU12" i="19"/>
  <c r="NT14" i="19"/>
  <c r="NU14" i="19"/>
  <c r="NT15" i="19"/>
  <c r="NU15" i="19"/>
  <c r="NT16" i="19"/>
  <c r="NU16" i="19"/>
  <c r="NT19" i="19"/>
  <c r="NU19" i="19"/>
  <c r="NT20" i="19"/>
  <c r="NU20" i="19"/>
  <c r="NT22" i="19"/>
  <c r="NU22" i="19"/>
  <c r="NT24" i="19"/>
  <c r="NU24" i="19"/>
  <c r="NT27" i="19"/>
  <c r="NU27" i="19"/>
  <c r="NT30" i="19"/>
  <c r="NU30" i="19"/>
  <c r="NT33" i="19"/>
  <c r="NU33" i="19"/>
  <c r="NT34" i="19"/>
  <c r="NU34" i="19"/>
  <c r="NT39" i="19"/>
  <c r="NU39" i="19"/>
  <c r="NT41" i="19"/>
  <c r="NU41" i="19"/>
  <c r="NT43" i="19"/>
  <c r="NU43" i="19"/>
  <c r="NT47" i="19"/>
  <c r="NU47" i="19"/>
  <c r="NT48" i="19"/>
  <c r="NU48" i="19"/>
  <c r="NT49" i="19"/>
  <c r="NU49" i="19"/>
  <c r="NT51" i="19"/>
  <c r="NU51" i="19"/>
  <c r="NT52" i="19"/>
  <c r="NU52" i="19"/>
  <c r="NT53" i="19"/>
  <c r="NU53" i="19"/>
  <c r="NT55" i="19"/>
  <c r="NU55" i="19"/>
  <c r="NT59" i="19"/>
  <c r="NU59" i="19"/>
  <c r="NT62" i="19"/>
  <c r="NU62" i="19"/>
  <c r="NT63" i="19"/>
  <c r="NU63" i="19"/>
  <c r="NT64" i="19"/>
  <c r="NU64" i="19"/>
  <c r="NT66" i="19"/>
  <c r="NU66" i="19"/>
  <c r="NT68" i="19"/>
  <c r="NU68" i="19"/>
  <c r="NT71" i="19"/>
  <c r="NU71" i="19"/>
  <c r="NT73" i="19"/>
  <c r="NU73" i="19"/>
  <c r="NT78" i="19"/>
  <c r="NU78" i="19"/>
  <c r="NT79" i="19"/>
  <c r="NU79" i="19"/>
  <c r="NT80" i="19"/>
  <c r="NU80" i="19"/>
  <c r="NT82" i="19"/>
  <c r="NU82" i="19"/>
  <c r="NT83" i="19"/>
  <c r="NU83" i="19"/>
  <c r="NT84" i="19"/>
  <c r="NU84" i="19"/>
  <c r="NT86" i="19"/>
  <c r="NU86" i="19"/>
  <c r="NT90" i="19"/>
  <c r="NU90" i="19"/>
  <c r="NT92" i="19"/>
  <c r="NU92" i="19"/>
  <c r="HE48" i="34"/>
  <c r="BK28" i="21"/>
  <c r="BK14" i="21"/>
  <c r="BK42" i="21"/>
  <c r="BA41" i="19"/>
  <c r="AX24" i="19"/>
  <c r="AV43" i="19"/>
  <c r="AV34" i="19"/>
  <c r="AZ34" i="19"/>
  <c r="HE12" i="33"/>
  <c r="HG12" i="33"/>
  <c r="PQ90" i="39"/>
  <c r="PQ95" i="39"/>
  <c r="PQ100" i="39"/>
  <c r="NT93" i="19"/>
  <c r="NU93" i="19"/>
  <c r="NT96" i="19"/>
  <c r="NU96" i="19"/>
  <c r="NT98" i="19"/>
  <c r="NU98" i="19"/>
  <c r="NT99" i="19"/>
  <c r="NU99" i="19"/>
  <c r="NT101" i="19"/>
  <c r="NU101" i="19"/>
  <c r="NT104" i="19"/>
  <c r="NU104" i="19"/>
  <c r="NT105" i="19"/>
  <c r="NU105" i="19"/>
  <c r="NT106" i="19"/>
  <c r="NU106" i="19"/>
  <c r="NT11" i="21"/>
  <c r="NU11" i="21"/>
  <c r="NT25" i="21"/>
  <c r="NU25" i="21"/>
  <c r="NT33" i="21"/>
  <c r="NU33" i="21"/>
  <c r="NT35" i="21"/>
  <c r="NU35" i="21"/>
  <c r="NT11" i="22"/>
  <c r="NU11" i="22"/>
  <c r="NT14" i="22"/>
  <c r="NT10" i="33"/>
  <c r="NU10" i="33"/>
  <c r="NT30" i="34"/>
  <c r="NU30" i="34"/>
  <c r="NT25" i="34"/>
  <c r="NU25" i="34"/>
  <c r="NT13" i="35"/>
  <c r="NU13" i="35"/>
  <c r="NT14" i="35"/>
  <c r="NU14" i="35"/>
  <c r="NQ70" i="35"/>
  <c r="NT18" i="35"/>
  <c r="NU18" i="35"/>
  <c r="NT26" i="35"/>
  <c r="NU26" i="35"/>
  <c r="NT40" i="35"/>
  <c r="NU40" i="35"/>
  <c r="NT44" i="35"/>
  <c r="NU44" i="35"/>
  <c r="NT48" i="35"/>
  <c r="NU48" i="35"/>
  <c r="NT54" i="35"/>
  <c r="NU54" i="35"/>
  <c r="GT26" i="39"/>
  <c r="GV26" i="39"/>
  <c r="PQ64" i="39"/>
  <c r="KH10" i="39"/>
  <c r="NT85" i="39"/>
  <c r="NU85" i="39"/>
  <c r="NT84" i="39"/>
  <c r="NT83" i="39"/>
  <c r="NT82" i="39"/>
  <c r="NT81" i="39"/>
  <c r="NT76" i="39"/>
  <c r="NU76" i="39"/>
  <c r="NT75" i="39"/>
  <c r="NU75" i="39"/>
  <c r="NT74" i="39"/>
  <c r="NT73" i="39"/>
  <c r="NT72" i="39"/>
  <c r="NU72" i="39"/>
  <c r="NT67" i="39"/>
  <c r="NT66" i="39"/>
  <c r="NT65" i="39"/>
  <c r="NT64" i="39"/>
  <c r="NU64" i="39"/>
  <c r="NT63" i="39"/>
  <c r="NU63" i="39"/>
  <c r="NT58" i="39"/>
  <c r="NU58" i="39"/>
  <c r="NT57" i="39"/>
  <c r="NT56" i="39"/>
  <c r="NU56" i="39"/>
  <c r="NT55" i="39"/>
  <c r="NT54" i="39"/>
  <c r="NT49" i="39"/>
  <c r="NT48" i="39"/>
  <c r="NU48" i="39"/>
  <c r="NT46" i="39"/>
  <c r="NT45" i="39"/>
  <c r="NT38" i="39"/>
  <c r="NU38" i="39"/>
  <c r="NT37" i="39"/>
  <c r="NU37" i="39"/>
  <c r="NT36" i="39"/>
  <c r="NT35" i="39"/>
  <c r="NT34" i="39"/>
  <c r="NT29" i="39"/>
  <c r="NU29" i="39"/>
  <c r="NT28" i="39"/>
  <c r="NU28" i="39"/>
  <c r="NT27" i="39"/>
  <c r="NT26" i="39"/>
  <c r="NT25" i="39"/>
  <c r="NU25" i="39"/>
  <c r="NT20" i="39"/>
  <c r="NT19" i="39"/>
  <c r="NT18" i="39"/>
  <c r="NT17" i="39"/>
  <c r="NT16" i="39"/>
  <c r="NU16" i="39"/>
  <c r="NT11" i="39"/>
  <c r="NU11" i="39"/>
  <c r="NT10" i="39"/>
  <c r="BK84" i="39"/>
  <c r="BA94" i="19"/>
  <c r="OL43" i="39"/>
  <c r="OJ21" i="32"/>
  <c r="HC14" i="39"/>
  <c r="HE14" i="39"/>
  <c r="OH14" i="39"/>
  <c r="HC18" i="39"/>
  <c r="HE18" i="39"/>
  <c r="HG18" i="39"/>
  <c r="HC47" i="39"/>
  <c r="HE47" i="39"/>
  <c r="OH47" i="39"/>
  <c r="HC48" i="39"/>
  <c r="HE48" i="39"/>
  <c r="HG48" i="39"/>
  <c r="HT48" i="39"/>
  <c r="HC55" i="39"/>
  <c r="HE55" i="39"/>
  <c r="OH55" i="39"/>
  <c r="HC78" i="39"/>
  <c r="HE78" i="39"/>
  <c r="HC79" i="39"/>
  <c r="HE79" i="39"/>
  <c r="HC23" i="32"/>
  <c r="HE23" i="32"/>
  <c r="HC29" i="34"/>
  <c r="HE29" i="34"/>
  <c r="HG29" i="34"/>
  <c r="HT29" i="34"/>
  <c r="HC45" i="34"/>
  <c r="HE45" i="34"/>
  <c r="OH45" i="34"/>
  <c r="OL45" i="34"/>
  <c r="GV113" i="19"/>
  <c r="GW113" i="19"/>
  <c r="HZ103" i="39"/>
  <c r="HY103" i="39"/>
  <c r="HX103" i="39"/>
  <c r="GT112" i="19"/>
  <c r="OH24" i="35"/>
  <c r="HG24" i="35"/>
  <c r="HT24" i="35"/>
  <c r="HU24" i="35"/>
  <c r="IL109" i="19"/>
  <c r="IM109" i="19"/>
  <c r="IJ109" i="19"/>
  <c r="AX10" i="22"/>
  <c r="IU10" i="22"/>
  <c r="Y10" i="22"/>
  <c r="KJ20" i="34"/>
  <c r="CQ20" i="34"/>
  <c r="OH39" i="35"/>
  <c r="OK39" i="35"/>
  <c r="IY31" i="35"/>
  <c r="IU15" i="34"/>
  <c r="KD16" i="35"/>
  <c r="KE16" i="35"/>
  <c r="IU40" i="35"/>
  <c r="Y40" i="35"/>
  <c r="HP42" i="21"/>
  <c r="HR42" i="21"/>
  <c r="AV107" i="19"/>
  <c r="AZ107" i="19"/>
  <c r="AY107" i="19"/>
  <c r="AX103" i="19"/>
  <c r="AZ103" i="19"/>
  <c r="AY103" i="19"/>
  <c r="KG74" i="19"/>
  <c r="FZ74" i="19"/>
  <c r="CE58" i="19"/>
  <c r="KG58" i="19"/>
  <c r="KF58" i="19"/>
  <c r="FZ50" i="19"/>
  <c r="KG50" i="19"/>
  <c r="FZ41" i="19"/>
  <c r="KG41" i="19"/>
  <c r="KF17" i="19"/>
  <c r="CE17" i="19"/>
  <c r="FZ17" i="19"/>
  <c r="FY17" i="19"/>
  <c r="GJ17" i="19"/>
  <c r="KG41" i="21"/>
  <c r="FZ41" i="21"/>
  <c r="CE33" i="21"/>
  <c r="KF33" i="21"/>
  <c r="FZ11" i="32"/>
  <c r="KG11" i="32"/>
  <c r="FZ36" i="34"/>
  <c r="KG36" i="34"/>
  <c r="CE14" i="35"/>
  <c r="FZ14" i="35"/>
  <c r="KF14" i="35"/>
  <c r="NT10" i="19"/>
  <c r="NU10" i="19"/>
  <c r="NT37" i="19"/>
  <c r="NU37" i="19"/>
  <c r="NT16" i="21"/>
  <c r="NU16" i="21"/>
  <c r="NO57" i="21"/>
  <c r="NN67" i="34"/>
  <c r="NT31" i="34"/>
  <c r="NU31" i="34"/>
  <c r="NP70" i="35"/>
  <c r="NT16" i="35"/>
  <c r="NU16" i="35"/>
  <c r="AD80" i="39"/>
  <c r="IY80" i="39"/>
  <c r="AD36" i="39"/>
  <c r="PQ36" i="39"/>
  <c r="IY20" i="39"/>
  <c r="PQ20" i="39"/>
  <c r="AD12" i="39"/>
  <c r="PQ12" i="39"/>
  <c r="IY12" i="39"/>
  <c r="HR60" i="39"/>
  <c r="HP60" i="39"/>
  <c r="JO11" i="39"/>
  <c r="AX9" i="19"/>
  <c r="AY9" i="19"/>
  <c r="BA9" i="19"/>
  <c r="HP10" i="33"/>
  <c r="HR10" i="33"/>
  <c r="IQ25" i="32"/>
  <c r="FZ43" i="35"/>
  <c r="IP39" i="34"/>
  <c r="IQ39" i="34"/>
  <c r="BK39" i="34"/>
  <c r="IU14" i="22"/>
  <c r="Y14" i="22"/>
  <c r="FZ9" i="19"/>
  <c r="KG9" i="19"/>
  <c r="II43" i="21"/>
  <c r="IH43" i="21"/>
  <c r="IQ39" i="21"/>
  <c r="OH56" i="19"/>
  <c r="OK56" i="19"/>
  <c r="HG56" i="19"/>
  <c r="HH56" i="19"/>
  <c r="Y9" i="34"/>
  <c r="IU9" i="34"/>
  <c r="IU16" i="34"/>
  <c r="Y16" i="34"/>
  <c r="AV60" i="19"/>
  <c r="AY60" i="19"/>
  <c r="Y32" i="34"/>
  <c r="Y49" i="34"/>
  <c r="Y24" i="34"/>
  <c r="FZ28" i="31"/>
  <c r="KG28" i="31"/>
  <c r="CE16" i="21"/>
  <c r="FZ16" i="21"/>
  <c r="HR24" i="35"/>
  <c r="HP24" i="35"/>
  <c r="IY30" i="31"/>
  <c r="BK15" i="34"/>
  <c r="HG49" i="35"/>
  <c r="FZ90" i="19"/>
  <c r="IY11" i="35"/>
  <c r="OH20" i="35"/>
  <c r="HG20" i="35"/>
  <c r="HT20" i="35"/>
  <c r="HU20" i="35"/>
  <c r="KG61" i="19"/>
  <c r="FZ61" i="19"/>
  <c r="FY61" i="19"/>
  <c r="GX108" i="19"/>
  <c r="GY108" i="19"/>
  <c r="IC108" i="19"/>
  <c r="IU43" i="34"/>
  <c r="IO36" i="35"/>
  <c r="BK41" i="34"/>
  <c r="IP11" i="32"/>
  <c r="IO11" i="32"/>
  <c r="BK11" i="32"/>
  <c r="Y26" i="21"/>
  <c r="IU26" i="21"/>
  <c r="IQ36" i="34"/>
  <c r="IO36" i="34"/>
  <c r="Y13" i="35"/>
  <c r="IU13" i="35"/>
  <c r="Y30" i="35"/>
  <c r="IU30" i="35"/>
  <c r="BK75" i="19"/>
  <c r="OJ9" i="35"/>
  <c r="AD43" i="35"/>
  <c r="IY30" i="35"/>
  <c r="FY19" i="34"/>
  <c r="IU20" i="31"/>
  <c r="IO26" i="19"/>
  <c r="HG91" i="19"/>
  <c r="HT91" i="19"/>
  <c r="PQ57" i="35"/>
  <c r="BK51" i="34"/>
  <c r="AY32" i="19"/>
  <c r="BA15" i="19"/>
  <c r="BK24" i="19"/>
  <c r="EB59" i="19"/>
  <c r="AY26" i="19"/>
  <c r="AT51" i="19"/>
  <c r="GT36" i="19"/>
  <c r="GV36" i="19"/>
  <c r="GW36" i="19"/>
  <c r="GZ36" i="19"/>
  <c r="GT37" i="19"/>
  <c r="GV37" i="19"/>
  <c r="GX37" i="19"/>
  <c r="GY37" i="19"/>
  <c r="GV38" i="19"/>
  <c r="GW38" i="19"/>
  <c r="GT45" i="19"/>
  <c r="GV45" i="19"/>
  <c r="GX45" i="19"/>
  <c r="GY45" i="19"/>
  <c r="GT46" i="19"/>
  <c r="GV46" i="19"/>
  <c r="HG92" i="19"/>
  <c r="GT93" i="19"/>
  <c r="GV93" i="19"/>
  <c r="IC93" i="19"/>
  <c r="GT30" i="21"/>
  <c r="GV30" i="21"/>
  <c r="II30" i="21"/>
  <c r="JB57" i="21"/>
  <c r="JB59" i="21"/>
  <c r="GT14" i="35"/>
  <c r="GV14" i="35"/>
  <c r="GX14" i="35"/>
  <c r="GY14" i="35"/>
  <c r="HG44" i="35"/>
  <c r="HT44" i="35"/>
  <c r="GT12" i="34"/>
  <c r="GT13" i="34"/>
  <c r="GV13" i="34"/>
  <c r="IC13" i="34"/>
  <c r="IB13" i="34"/>
  <c r="GT28" i="34"/>
  <c r="GV28" i="34"/>
  <c r="GT37" i="34"/>
  <c r="GV37" i="34"/>
  <c r="GT54" i="34"/>
  <c r="JB13" i="33"/>
  <c r="JB15" i="33"/>
  <c r="GT103" i="19"/>
  <c r="GV103" i="19"/>
  <c r="GX103" i="19"/>
  <c r="GY103" i="19"/>
  <c r="JO57" i="35"/>
  <c r="JY13" i="33"/>
  <c r="BD106" i="19"/>
  <c r="BD29" i="19"/>
  <c r="NT38" i="19"/>
  <c r="NU38" i="19"/>
  <c r="NT58" i="19"/>
  <c r="NU58" i="19"/>
  <c r="NT76" i="19"/>
  <c r="NU76" i="19"/>
  <c r="NT103" i="19"/>
  <c r="NU103" i="19"/>
  <c r="NT31" i="35"/>
  <c r="NU31" i="35"/>
  <c r="HC80" i="39"/>
  <c r="HE80" i="39"/>
  <c r="HG80" i="39"/>
  <c r="HC22" i="32"/>
  <c r="HE22" i="32"/>
  <c r="HC20" i="34"/>
  <c r="HE20" i="34"/>
  <c r="HC44" i="34"/>
  <c r="HE44" i="34"/>
  <c r="OH44" i="34"/>
  <c r="OK44" i="34"/>
  <c r="BD111" i="19"/>
  <c r="NT39" i="31"/>
  <c r="NU39" i="31"/>
  <c r="FY36" i="19"/>
  <c r="GK36" i="19"/>
  <c r="IQ26" i="21"/>
  <c r="NU32" i="31"/>
  <c r="IY52" i="35"/>
  <c r="PO22" i="35"/>
  <c r="PQ22" i="35"/>
  <c r="IQ13" i="32"/>
  <c r="BK27" i="19"/>
  <c r="BE24" i="35"/>
  <c r="PQ88" i="39"/>
  <c r="HC97" i="39"/>
  <c r="PQ98" i="39"/>
  <c r="KD64" i="19"/>
  <c r="KE64" i="19"/>
  <c r="AD52" i="35"/>
  <c r="IY26" i="35"/>
  <c r="PQ38" i="35"/>
  <c r="PQ31" i="34"/>
  <c r="BK31" i="34"/>
  <c r="BA22" i="32"/>
  <c r="AY23" i="32"/>
  <c r="BK22" i="32"/>
  <c r="IY47" i="35"/>
  <c r="IY38" i="35"/>
  <c r="IY22" i="35"/>
  <c r="PQ30" i="35"/>
  <c r="BE22" i="35"/>
  <c r="HC15" i="39"/>
  <c r="HC23" i="39"/>
  <c r="HC27" i="39"/>
  <c r="HE27" i="39"/>
  <c r="OH27" i="39"/>
  <c r="HC31" i="39"/>
  <c r="HC123" i="19"/>
  <c r="HE123" i="19"/>
  <c r="HG123" i="19"/>
  <c r="HC107" i="19"/>
  <c r="HE107" i="19"/>
  <c r="OH107" i="19"/>
  <c r="OR107" i="19"/>
  <c r="OV107" i="19"/>
  <c r="HC86" i="19"/>
  <c r="HE86" i="19"/>
  <c r="PQ92" i="39"/>
  <c r="HC96" i="39"/>
  <c r="HC107" i="39"/>
  <c r="OJ107" i="39"/>
  <c r="CQ18" i="21"/>
  <c r="Y25" i="34"/>
  <c r="IC111" i="19"/>
  <c r="IB111" i="19"/>
  <c r="Y37" i="35"/>
  <c r="CE13" i="35"/>
  <c r="BA10" i="22"/>
  <c r="IQ32" i="21"/>
  <c r="IO32" i="21"/>
  <c r="AX9" i="22"/>
  <c r="Y9" i="22"/>
  <c r="IU26" i="35"/>
  <c r="Y26" i="35"/>
  <c r="IU58" i="35"/>
  <c r="Y58" i="35"/>
  <c r="IY32" i="35"/>
  <c r="PQ16" i="35"/>
  <c r="CE16" i="19"/>
  <c r="KG16" i="19"/>
  <c r="BD44" i="19"/>
  <c r="Y55" i="39"/>
  <c r="OL62" i="19"/>
  <c r="KG98" i="19"/>
  <c r="FZ98" i="19"/>
  <c r="KG25" i="19"/>
  <c r="FZ25" i="19"/>
  <c r="FY25" i="19"/>
  <c r="CE19" i="32"/>
  <c r="FZ19" i="32"/>
  <c r="KF19" i="32"/>
  <c r="FZ24" i="35"/>
  <c r="FY24" i="35"/>
  <c r="KG24" i="35"/>
  <c r="Y21" i="39"/>
  <c r="IU21" i="39"/>
  <c r="NT9" i="19"/>
  <c r="NO70" i="35"/>
  <c r="NT11" i="19"/>
  <c r="NU11" i="19"/>
  <c r="NT21" i="19"/>
  <c r="NU21" i="19"/>
  <c r="NT25" i="19"/>
  <c r="NU25" i="19"/>
  <c r="NT31" i="19"/>
  <c r="NU31" i="19"/>
  <c r="NT46" i="19"/>
  <c r="NU46" i="19"/>
  <c r="NT60" i="19"/>
  <c r="NU60" i="19"/>
  <c r="NT70" i="19"/>
  <c r="NU70" i="19"/>
  <c r="NT74" i="19"/>
  <c r="NU74" i="19"/>
  <c r="NT81" i="19"/>
  <c r="NU81" i="19"/>
  <c r="NT28" i="21"/>
  <c r="NU28" i="21"/>
  <c r="NT47" i="35"/>
  <c r="NU47" i="35"/>
  <c r="NT49" i="35"/>
  <c r="NU49" i="35"/>
  <c r="IU39" i="39"/>
  <c r="Y39" i="39"/>
  <c r="IU31" i="39"/>
  <c r="Y31" i="39"/>
  <c r="GV9" i="39"/>
  <c r="IC9" i="39"/>
  <c r="IB9" i="39"/>
  <c r="IY45" i="39"/>
  <c r="AD45" i="39"/>
  <c r="AD28" i="39"/>
  <c r="PQ28" i="39"/>
  <c r="AY15" i="19"/>
  <c r="AX15" i="19"/>
  <c r="IY17" i="19"/>
  <c r="PQ17" i="19"/>
  <c r="CE65" i="19"/>
  <c r="KF65" i="19"/>
  <c r="KG40" i="19"/>
  <c r="FZ40" i="19"/>
  <c r="FY40" i="19"/>
  <c r="GJ40" i="19"/>
  <c r="FZ40" i="21"/>
  <c r="KG40" i="21"/>
  <c r="CE32" i="21"/>
  <c r="CQ32" i="21"/>
  <c r="KF32" i="21"/>
  <c r="FZ29" i="31"/>
  <c r="KG29" i="31"/>
  <c r="KF26" i="32"/>
  <c r="CE26" i="32"/>
  <c r="KG26" i="32"/>
  <c r="KG37" i="35"/>
  <c r="FZ37" i="35"/>
  <c r="CE10" i="35"/>
  <c r="KF10" i="35"/>
  <c r="Y102" i="19"/>
  <c r="IU102" i="19"/>
  <c r="Y98" i="19"/>
  <c r="AX98" i="19"/>
  <c r="IU33" i="19"/>
  <c r="Y33" i="19"/>
  <c r="Y17" i="19"/>
  <c r="AX17" i="19"/>
  <c r="AZ17" i="19"/>
  <c r="IQ78" i="39"/>
  <c r="IO78" i="39"/>
  <c r="IQ66" i="39"/>
  <c r="IO66" i="39"/>
  <c r="IU53" i="39"/>
  <c r="Y53" i="39"/>
  <c r="AD44" i="39"/>
  <c r="PQ44" i="39"/>
  <c r="AD19" i="39"/>
  <c r="IY19" i="39"/>
  <c r="AD11" i="39"/>
  <c r="IY11" i="39"/>
  <c r="M20" i="39"/>
  <c r="OO20" i="39"/>
  <c r="Q27" i="32"/>
  <c r="OP27" i="32"/>
  <c r="OO23" i="34"/>
  <c r="M23" i="34"/>
  <c r="OQ25" i="34"/>
  <c r="OT25" i="34"/>
  <c r="OJ25" i="34"/>
  <c r="OO39" i="34"/>
  <c r="M39" i="34"/>
  <c r="OO47" i="34"/>
  <c r="M47" i="34"/>
  <c r="OP48" i="34"/>
  <c r="Q48" i="34"/>
  <c r="OQ49" i="34"/>
  <c r="OT49" i="34"/>
  <c r="OJ49" i="34"/>
  <c r="FY30" i="35"/>
  <c r="IU42" i="35"/>
  <c r="Y42" i="35"/>
  <c r="Y46" i="35"/>
  <c r="IU46" i="35"/>
  <c r="IU26" i="32"/>
  <c r="Y26" i="32"/>
  <c r="AD59" i="35"/>
  <c r="PQ59" i="35"/>
  <c r="BA58" i="19"/>
  <c r="AX58" i="19"/>
  <c r="AV58" i="19"/>
  <c r="KF9" i="21"/>
  <c r="CE9" i="21"/>
  <c r="KG9" i="21"/>
  <c r="BA105" i="19"/>
  <c r="AX105" i="19"/>
  <c r="AZ105" i="19"/>
  <c r="U105" i="19"/>
  <c r="BD105" i="19"/>
  <c r="BD98" i="19"/>
  <c r="U81" i="19"/>
  <c r="BD81" i="19"/>
  <c r="AD97" i="19"/>
  <c r="IY97" i="19"/>
  <c r="PQ97" i="19"/>
  <c r="IY40" i="19"/>
  <c r="PQ40" i="19"/>
  <c r="CQ11" i="34"/>
  <c r="OH90" i="19"/>
  <c r="IA38" i="19"/>
  <c r="OR62" i="19"/>
  <c r="OU62" i="19"/>
  <c r="AV26" i="19"/>
  <c r="AZ26" i="19"/>
  <c r="IY9" i="34"/>
  <c r="II108" i="19"/>
  <c r="HG109" i="19"/>
  <c r="HT109" i="19"/>
  <c r="IO115" i="19"/>
  <c r="IQ25" i="34"/>
  <c r="IQ10" i="32"/>
  <c r="PQ20" i="35"/>
  <c r="IU22" i="21"/>
  <c r="GW108" i="19"/>
  <c r="KG73" i="19"/>
  <c r="KF89" i="19"/>
  <c r="IO16" i="21"/>
  <c r="KG57" i="35"/>
  <c r="KD33" i="35"/>
  <c r="KE33" i="35"/>
  <c r="KG48" i="35"/>
  <c r="HG62" i="19"/>
  <c r="KG16" i="21"/>
  <c r="AY41" i="19"/>
  <c r="IU28" i="34"/>
  <c r="IO28" i="21"/>
  <c r="IO19" i="34"/>
  <c r="IH109" i="19"/>
  <c r="IQ40" i="19"/>
  <c r="IU50" i="35"/>
  <c r="AD9" i="34"/>
  <c r="KD57" i="19"/>
  <c r="KE57" i="19"/>
  <c r="BK88" i="19"/>
  <c r="AY34" i="19"/>
  <c r="KG25" i="21"/>
  <c r="IY16" i="32"/>
  <c r="IY19" i="32"/>
  <c r="KF48" i="35"/>
  <c r="NU67" i="39"/>
  <c r="NU49" i="39"/>
  <c r="NU20" i="39"/>
  <c r="HC32" i="39"/>
  <c r="HE32" i="39"/>
  <c r="HG32" i="39"/>
  <c r="HC31" i="31"/>
  <c r="HE31" i="31"/>
  <c r="OH31" i="31"/>
  <c r="OK31" i="31"/>
  <c r="HC31" i="32"/>
  <c r="HE31" i="32"/>
  <c r="HC39" i="31"/>
  <c r="HE39" i="31"/>
  <c r="HG39" i="31"/>
  <c r="HH39" i="31"/>
  <c r="M63" i="35"/>
  <c r="OO63" i="35"/>
  <c r="Q64" i="35"/>
  <c r="OP64" i="35"/>
  <c r="OT64" i="35"/>
  <c r="G108" i="39"/>
  <c r="I108" i="39"/>
  <c r="EB47" i="21"/>
  <c r="PQ33" i="39"/>
  <c r="PQ37" i="39"/>
  <c r="PQ45" i="39"/>
  <c r="PQ65" i="39"/>
  <c r="GT87" i="39"/>
  <c r="JO88" i="39"/>
  <c r="HE89" i="39"/>
  <c r="HG89" i="39"/>
  <c r="HH89" i="39"/>
  <c r="JO89" i="39"/>
  <c r="EB90" i="39"/>
  <c r="GT90" i="39"/>
  <c r="GV90" i="39"/>
  <c r="GX90" i="39"/>
  <c r="GY90" i="39"/>
  <c r="NT91" i="39"/>
  <c r="NU91" i="39"/>
  <c r="JO92" i="39"/>
  <c r="NT92" i="39"/>
  <c r="NU92" i="39"/>
  <c r="JO93" i="39"/>
  <c r="BK94" i="39"/>
  <c r="GT94" i="39"/>
  <c r="GV94" i="39"/>
  <c r="GT95" i="39"/>
  <c r="GV95" i="39"/>
  <c r="EB96" i="39"/>
  <c r="JO97" i="39"/>
  <c r="GT99" i="39"/>
  <c r="GV99" i="39"/>
  <c r="IC99" i="39"/>
  <c r="JO99" i="39"/>
  <c r="EB100" i="39"/>
  <c r="GT100" i="39"/>
  <c r="GV100" i="39"/>
  <c r="GW100" i="39"/>
  <c r="GZ100" i="39"/>
  <c r="GV101" i="39"/>
  <c r="GX101" i="39"/>
  <c r="GY101" i="39"/>
  <c r="JO101" i="39"/>
  <c r="NT101" i="39"/>
  <c r="NU101" i="39"/>
  <c r="JO107" i="39"/>
  <c r="JO102" i="39"/>
  <c r="NT102" i="39"/>
  <c r="NU102" i="39"/>
  <c r="M66" i="35"/>
  <c r="OO66" i="35"/>
  <c r="M68" i="35"/>
  <c r="OO68" i="35"/>
  <c r="HC63" i="35"/>
  <c r="HE63" i="35"/>
  <c r="BK61" i="35"/>
  <c r="HC42" i="35"/>
  <c r="HE42" i="35"/>
  <c r="HG42" i="35"/>
  <c r="HT42" i="35"/>
  <c r="HQ42" i="35"/>
  <c r="BK39" i="35"/>
  <c r="HC37" i="35"/>
  <c r="HE37" i="35"/>
  <c r="OH37" i="35"/>
  <c r="BK59" i="35"/>
  <c r="BK54" i="35"/>
  <c r="GV47" i="21"/>
  <c r="GW47" i="21"/>
  <c r="PQ50" i="39"/>
  <c r="PQ86" i="39"/>
  <c r="NO108" i="39"/>
  <c r="BK88" i="39"/>
  <c r="GT88" i="39"/>
  <c r="GV88" i="39"/>
  <c r="EB89" i="39"/>
  <c r="PQ89" i="39"/>
  <c r="HC93" i="39"/>
  <c r="HE93" i="39"/>
  <c r="OH93" i="39"/>
  <c r="GT93" i="39"/>
  <c r="GV93" i="39"/>
  <c r="GW93" i="39"/>
  <c r="HI93" i="39"/>
  <c r="EB94" i="39"/>
  <c r="PQ94" i="39"/>
  <c r="HC98" i="39"/>
  <c r="HE98" i="39"/>
  <c r="OH98" i="39"/>
  <c r="OK98" i="39"/>
  <c r="GT98" i="39"/>
  <c r="GV98" i="39"/>
  <c r="II98" i="39"/>
  <c r="IJ98" i="39"/>
  <c r="EB99" i="39"/>
  <c r="PQ99" i="39"/>
  <c r="OT101" i="39"/>
  <c r="Q69" i="35"/>
  <c r="OP69" i="35"/>
  <c r="OT69" i="35"/>
  <c r="OP11" i="32"/>
  <c r="KD55" i="34"/>
  <c r="KE55" i="34"/>
  <c r="IY16" i="31"/>
  <c r="HS72" i="35"/>
  <c r="HS70" i="35"/>
  <c r="IO72" i="35"/>
  <c r="IO70" i="35"/>
  <c r="BD102" i="19"/>
  <c r="AY13" i="32"/>
  <c r="AY9" i="32"/>
  <c r="AV23" i="32"/>
  <c r="BK33" i="21"/>
  <c r="BK10" i="33"/>
  <c r="BK53" i="34"/>
  <c r="M15" i="19"/>
  <c r="AV57" i="19"/>
  <c r="AZ57" i="19"/>
  <c r="AV32" i="19"/>
  <c r="AZ32" i="19"/>
  <c r="GT52" i="39"/>
  <c r="GV52" i="39"/>
  <c r="II52" i="39"/>
  <c r="IJ52" i="39"/>
  <c r="GT47" i="39"/>
  <c r="GV47" i="39"/>
  <c r="IC47" i="39"/>
  <c r="GT27" i="39"/>
  <c r="GV27" i="39"/>
  <c r="GW27" i="39"/>
  <c r="GT59" i="39"/>
  <c r="GV59" i="39"/>
  <c r="GT12" i="39"/>
  <c r="GV12" i="39"/>
  <c r="GX12" i="39"/>
  <c r="GY12" i="39"/>
  <c r="GT57" i="39"/>
  <c r="GV57" i="39"/>
  <c r="GW57" i="39"/>
  <c r="GT85" i="39"/>
  <c r="GV85" i="39"/>
  <c r="II85" i="39"/>
  <c r="GT41" i="39"/>
  <c r="GV41" i="39"/>
  <c r="IC41" i="39"/>
  <c r="IB41" i="39"/>
  <c r="GT29" i="39"/>
  <c r="GV29" i="39"/>
  <c r="II29" i="39"/>
  <c r="AB108" i="39"/>
  <c r="JO33" i="39"/>
  <c r="O108" i="39"/>
  <c r="M62" i="35"/>
  <c r="OO62" i="35"/>
  <c r="Q63" i="35"/>
  <c r="OP63" i="35"/>
  <c r="OT63" i="35"/>
  <c r="AG115" i="39"/>
  <c r="BK47" i="21"/>
  <c r="EB107" i="39"/>
  <c r="EB93" i="39"/>
  <c r="GT97" i="39"/>
  <c r="GV97" i="39"/>
  <c r="IC97" i="39"/>
  <c r="IF97" i="39"/>
  <c r="IG97" i="39"/>
  <c r="EB98" i="39"/>
  <c r="Q66" i="35"/>
  <c r="OP66" i="35"/>
  <c r="OT66" i="35"/>
  <c r="Q68" i="35"/>
  <c r="OP68" i="35"/>
  <c r="OT68" i="35"/>
  <c r="HG12" i="19"/>
  <c r="HT12" i="19"/>
  <c r="HS12" i="19"/>
  <c r="BK80" i="39"/>
  <c r="KD53" i="34"/>
  <c r="KE53" i="34"/>
  <c r="PQ34" i="35"/>
  <c r="BD17" i="19"/>
  <c r="AV47" i="19"/>
  <c r="AV31" i="19"/>
  <c r="AV16" i="19"/>
  <c r="EB74" i="39"/>
  <c r="EB58" i="39"/>
  <c r="EB29" i="39"/>
  <c r="NT59" i="35"/>
  <c r="NU59" i="35"/>
  <c r="GT55" i="39"/>
  <c r="GV55" i="39"/>
  <c r="GT78" i="39"/>
  <c r="GV78" i="39"/>
  <c r="IC78" i="39"/>
  <c r="ID78" i="39"/>
  <c r="GT11" i="39"/>
  <c r="GV11" i="39"/>
  <c r="II11" i="39"/>
  <c r="HC25" i="39"/>
  <c r="HE25" i="39"/>
  <c r="OH25" i="39"/>
  <c r="OL25" i="39"/>
  <c r="OG108" i="39"/>
  <c r="HC50" i="35"/>
  <c r="EB46" i="21"/>
  <c r="BH57" i="21"/>
  <c r="PQ19" i="39"/>
  <c r="PQ27" i="39"/>
  <c r="PQ43" i="39"/>
  <c r="PQ59" i="39"/>
  <c r="PQ63" i="39"/>
  <c r="PQ75" i="39"/>
  <c r="PQ79" i="39"/>
  <c r="PQ83" i="39"/>
  <c r="BK87" i="39"/>
  <c r="HC88" i="39"/>
  <c r="HE88" i="39"/>
  <c r="HG88" i="39"/>
  <c r="EB88" i="39"/>
  <c r="BK91" i="39"/>
  <c r="HC92" i="39"/>
  <c r="HE92" i="39"/>
  <c r="OH92" i="39"/>
  <c r="GT92" i="39"/>
  <c r="GV92" i="39"/>
  <c r="PQ97" i="39"/>
  <c r="PQ107" i="39"/>
  <c r="GV102" i="39"/>
  <c r="GV67" i="35"/>
  <c r="GW67" i="35"/>
  <c r="M69" i="35"/>
  <c r="OO69" i="35"/>
  <c r="EB15" i="39"/>
  <c r="EB16" i="39"/>
  <c r="EB84" i="39"/>
  <c r="BK83" i="39"/>
  <c r="M61" i="35"/>
  <c r="OO61" i="35"/>
  <c r="Q62" i="35"/>
  <c r="OP62" i="35"/>
  <c r="OT62" i="35"/>
  <c r="M65" i="35"/>
  <c r="OO65" i="35"/>
  <c r="M67" i="35"/>
  <c r="OO67" i="35"/>
  <c r="HE42" i="34"/>
  <c r="HG61" i="35"/>
  <c r="HT61" i="35"/>
  <c r="OH61" i="35"/>
  <c r="PQ26" i="35"/>
  <c r="IY21" i="32"/>
  <c r="HG36" i="19"/>
  <c r="BD66" i="19"/>
  <c r="AV54" i="19"/>
  <c r="AV21" i="19"/>
  <c r="BK38" i="35"/>
  <c r="BK13" i="35"/>
  <c r="GV46" i="21"/>
  <c r="IH105" i="39"/>
  <c r="IK105" i="39"/>
  <c r="JM105" i="39"/>
  <c r="IH104" i="39"/>
  <c r="IK104" i="39"/>
  <c r="JM104" i="39"/>
  <c r="Q61" i="35"/>
  <c r="OP61" i="35"/>
  <c r="OT61" i="35"/>
  <c r="M64" i="35"/>
  <c r="OO64" i="35"/>
  <c r="Q65" i="35"/>
  <c r="OP65" i="35"/>
  <c r="OT65" i="35"/>
  <c r="Q67" i="35"/>
  <c r="OP67" i="35"/>
  <c r="OT67" i="35"/>
  <c r="HU49" i="31"/>
  <c r="NU123" i="19"/>
  <c r="IQ59" i="19"/>
  <c r="KG15" i="22"/>
  <c r="BK37" i="34"/>
  <c r="BK27" i="34"/>
  <c r="AX33" i="19"/>
  <c r="AZ33" i="19"/>
  <c r="BD21" i="19"/>
  <c r="KT13" i="33"/>
  <c r="NT17" i="35"/>
  <c r="NU17" i="35"/>
  <c r="KG10" i="39"/>
  <c r="FZ10" i="39"/>
  <c r="OO13" i="39"/>
  <c r="M13" i="39"/>
  <c r="OQ13" i="39"/>
  <c r="OT13" i="39"/>
  <c r="OJ13" i="39"/>
  <c r="OO50" i="39"/>
  <c r="M50" i="39"/>
  <c r="M58" i="39"/>
  <c r="OO58" i="39"/>
  <c r="OQ60" i="39"/>
  <c r="OT60" i="39"/>
  <c r="OJ60" i="39"/>
  <c r="M64" i="39"/>
  <c r="OO64" i="39"/>
  <c r="OQ66" i="39"/>
  <c r="OT66" i="39"/>
  <c r="OJ66" i="39"/>
  <c r="OQ81" i="39"/>
  <c r="OT81" i="39"/>
  <c r="OJ81" i="39"/>
  <c r="KR85" i="39"/>
  <c r="GE85" i="39"/>
  <c r="KI84" i="39"/>
  <c r="GB84" i="39"/>
  <c r="GD82" i="39"/>
  <c r="KM82" i="39"/>
  <c r="GA81" i="39"/>
  <c r="KH81" i="39"/>
  <c r="GE77" i="39"/>
  <c r="KR77" i="39"/>
  <c r="GD74" i="39"/>
  <c r="KM74" i="39"/>
  <c r="GA73" i="39"/>
  <c r="KD73" i="39"/>
  <c r="KE73" i="39"/>
  <c r="KH73" i="39"/>
  <c r="GC71" i="39"/>
  <c r="KK71" i="39"/>
  <c r="KR69" i="39"/>
  <c r="GE69" i="39"/>
  <c r="GB68" i="39"/>
  <c r="KI68" i="39"/>
  <c r="GE61" i="39"/>
  <c r="KR61" i="39"/>
  <c r="GB60" i="39"/>
  <c r="KI60" i="39"/>
  <c r="KH57" i="39"/>
  <c r="GA57" i="39"/>
  <c r="GC55" i="39"/>
  <c r="KK55" i="39"/>
  <c r="GB52" i="39"/>
  <c r="KI52" i="39"/>
  <c r="GD50" i="39"/>
  <c r="KM50" i="39"/>
  <c r="GA49" i="39"/>
  <c r="KH49" i="39"/>
  <c r="GC47" i="39"/>
  <c r="KK47" i="39"/>
  <c r="GE45" i="39"/>
  <c r="KR45" i="39"/>
  <c r="GB44" i="39"/>
  <c r="KI44" i="39"/>
  <c r="GE41" i="39"/>
  <c r="KR41" i="39"/>
  <c r="GB40" i="39"/>
  <c r="FY40" i="39"/>
  <c r="KI40" i="39"/>
  <c r="GA37" i="39"/>
  <c r="KD37" i="39"/>
  <c r="KE37" i="39"/>
  <c r="KH37" i="39"/>
  <c r="GE33" i="39"/>
  <c r="KR33" i="39"/>
  <c r="KK27" i="39"/>
  <c r="GC27" i="39"/>
  <c r="GE25" i="39"/>
  <c r="KR25" i="39"/>
  <c r="GD22" i="39"/>
  <c r="KM22" i="39"/>
  <c r="GE17" i="39"/>
  <c r="KR17" i="39"/>
  <c r="GA13" i="39"/>
  <c r="KH13" i="39"/>
  <c r="GC11" i="39"/>
  <c r="KK11" i="39"/>
  <c r="IU81" i="39"/>
  <c r="Y81" i="39"/>
  <c r="HX87" i="39"/>
  <c r="HZ87" i="39"/>
  <c r="NT87" i="39"/>
  <c r="NU87" i="39"/>
  <c r="NN108" i="39"/>
  <c r="GD90" i="39"/>
  <c r="KM90" i="39"/>
  <c r="IQ93" i="39"/>
  <c r="IO93" i="39"/>
  <c r="KR93" i="39"/>
  <c r="GE93" i="39"/>
  <c r="OO97" i="39"/>
  <c r="M97" i="39"/>
  <c r="GE98" i="39"/>
  <c r="KR98" i="39"/>
  <c r="KK99" i="39"/>
  <c r="GC99" i="39"/>
  <c r="KM100" i="39"/>
  <c r="GD100" i="39"/>
  <c r="OP90" i="39"/>
  <c r="Q90" i="39"/>
  <c r="Q98" i="39"/>
  <c r="OP98" i="39"/>
  <c r="PG103" i="39"/>
  <c r="JC103" i="39"/>
  <c r="CE79" i="39"/>
  <c r="KG79" i="39"/>
  <c r="KF79" i="39"/>
  <c r="FZ61" i="39"/>
  <c r="KG61" i="39"/>
  <c r="FZ35" i="39"/>
  <c r="KG35" i="39"/>
  <c r="CE42" i="39"/>
  <c r="KF42" i="39"/>
  <c r="OO57" i="39"/>
  <c r="M57" i="39"/>
  <c r="OP64" i="39"/>
  <c r="Q64" i="39"/>
  <c r="GC66" i="39"/>
  <c r="KK66" i="39"/>
  <c r="GD45" i="39"/>
  <c r="KM45" i="39"/>
  <c r="GA16" i="39"/>
  <c r="KD16" i="39"/>
  <c r="KE16" i="39"/>
  <c r="KH16" i="39"/>
  <c r="GC98" i="39"/>
  <c r="KK98" i="39"/>
  <c r="OO107" i="39"/>
  <c r="M107" i="39"/>
  <c r="OJ95" i="39"/>
  <c r="OQ95" i="39"/>
  <c r="M28" i="39"/>
  <c r="Y37" i="39"/>
  <c r="IU37" i="39"/>
  <c r="BH60" i="39"/>
  <c r="HC60" i="39"/>
  <c r="HE60" i="39"/>
  <c r="HG60" i="39"/>
  <c r="U60" i="39"/>
  <c r="AD78" i="39"/>
  <c r="PQ78" i="39"/>
  <c r="AD62" i="39"/>
  <c r="IY62" i="39"/>
  <c r="JO9" i="39"/>
  <c r="OF108" i="39"/>
  <c r="OJ9" i="39"/>
  <c r="OQ27" i="39"/>
  <c r="OT27" i="39"/>
  <c r="OJ27" i="39"/>
  <c r="OO42" i="39"/>
  <c r="M42" i="39"/>
  <c r="Q49" i="39"/>
  <c r="OP49" i="39"/>
  <c r="HC75" i="39"/>
  <c r="GB82" i="39"/>
  <c r="KI82" i="39"/>
  <c r="GD64" i="39"/>
  <c r="KM64" i="39"/>
  <c r="GA27" i="39"/>
  <c r="KH27" i="39"/>
  <c r="GB22" i="39"/>
  <c r="KI22" i="39"/>
  <c r="GE15" i="39"/>
  <c r="KR15" i="39"/>
  <c r="CE52" i="39"/>
  <c r="FZ52" i="39"/>
  <c r="KF52" i="39"/>
  <c r="CE44" i="39"/>
  <c r="KG44" i="39"/>
  <c r="KF44" i="39"/>
  <c r="OQ28" i="39"/>
  <c r="OT28" i="39"/>
  <c r="OJ28" i="39"/>
  <c r="M35" i="39"/>
  <c r="OO35" i="39"/>
  <c r="HC54" i="39"/>
  <c r="HE54" i="39"/>
  <c r="OH54" i="39"/>
  <c r="OR54" i="39"/>
  <c r="OO71" i="39"/>
  <c r="M71" i="39"/>
  <c r="OQ83" i="39"/>
  <c r="OT83" i="39"/>
  <c r="OJ83" i="39"/>
  <c r="KK82" i="39"/>
  <c r="GC82" i="39"/>
  <c r="KH76" i="39"/>
  <c r="GA76" i="39"/>
  <c r="GA68" i="39"/>
  <c r="KH68" i="39"/>
  <c r="GE48" i="39"/>
  <c r="KR48" i="39"/>
  <c r="GA44" i="39"/>
  <c r="KH44" i="39"/>
  <c r="GC38" i="39"/>
  <c r="KK38" i="39"/>
  <c r="GC30" i="39"/>
  <c r="KK30" i="39"/>
  <c r="BK95" i="39"/>
  <c r="FZ87" i="39"/>
  <c r="KG87" i="39"/>
  <c r="OO88" i="39"/>
  <c r="M88" i="39"/>
  <c r="KK93" i="39"/>
  <c r="GC93" i="39"/>
  <c r="GE97" i="39"/>
  <c r="KR97" i="39"/>
  <c r="OJ91" i="39"/>
  <c r="OQ91" i="39"/>
  <c r="OT91" i="39"/>
  <c r="OP107" i="39"/>
  <c r="OT107" i="39"/>
  <c r="GD38" i="39"/>
  <c r="KG60" i="39"/>
  <c r="FZ60" i="39"/>
  <c r="HC20" i="39"/>
  <c r="HE20" i="39"/>
  <c r="OP13" i="39"/>
  <c r="Q13" i="39"/>
  <c r="OQ33" i="39"/>
  <c r="OT33" i="39"/>
  <c r="OJ33" i="39"/>
  <c r="OQ51" i="39"/>
  <c r="OT51" i="39"/>
  <c r="OJ51" i="39"/>
  <c r="Q72" i="39"/>
  <c r="OP72" i="39"/>
  <c r="KH84" i="39"/>
  <c r="GA84" i="39"/>
  <c r="GB63" i="39"/>
  <c r="KI63" i="39"/>
  <c r="KK58" i="39"/>
  <c r="GC58" i="39"/>
  <c r="GA52" i="39"/>
  <c r="KH52" i="39"/>
  <c r="IC88" i="39"/>
  <c r="GW88" i="39"/>
  <c r="GZ88" i="39"/>
  <c r="FZ101" i="39"/>
  <c r="KG101" i="39"/>
  <c r="OQ97" i="39"/>
  <c r="OT97" i="39"/>
  <c r="OJ97" i="39"/>
  <c r="IQ19" i="39"/>
  <c r="IO19" i="39"/>
  <c r="IU76" i="39"/>
  <c r="Y76" i="39"/>
  <c r="IY69" i="39"/>
  <c r="PQ69" i="39"/>
  <c r="AD69" i="39"/>
  <c r="PQ17" i="39"/>
  <c r="CE84" i="39"/>
  <c r="FZ84" i="39"/>
  <c r="KF84" i="39"/>
  <c r="CE16" i="39"/>
  <c r="FZ16" i="39"/>
  <c r="KF16" i="39"/>
  <c r="IO85" i="39"/>
  <c r="IQ85" i="39"/>
  <c r="M18" i="39"/>
  <c r="OO18" i="39"/>
  <c r="Q11" i="39"/>
  <c r="OP11" i="39"/>
  <c r="OJ18" i="39"/>
  <c r="OQ18" i="39"/>
  <c r="OT18" i="39"/>
  <c r="OQ71" i="39"/>
  <c r="OT71" i="39"/>
  <c r="OJ71" i="39"/>
  <c r="M79" i="39"/>
  <c r="OO79" i="39"/>
  <c r="GE78" i="39"/>
  <c r="KD78" i="39"/>
  <c r="KE78" i="39"/>
  <c r="KR78" i="39"/>
  <c r="GC64" i="39"/>
  <c r="KK64" i="39"/>
  <c r="KM39" i="39"/>
  <c r="GD39" i="39"/>
  <c r="KI17" i="39"/>
  <c r="GB17" i="39"/>
  <c r="GE10" i="39"/>
  <c r="KR10" i="39"/>
  <c r="JO95" i="39"/>
  <c r="KR107" i="39"/>
  <c r="GE107" i="39"/>
  <c r="AD61" i="39"/>
  <c r="GD48" i="39"/>
  <c r="KM75" i="39"/>
  <c r="KR92" i="39"/>
  <c r="KH21" i="39"/>
  <c r="KK74" i="39"/>
  <c r="KG90" i="39"/>
  <c r="Q91" i="39"/>
  <c r="KM98" i="39"/>
  <c r="Q70" i="39"/>
  <c r="Q29" i="39"/>
  <c r="KH47" i="39"/>
  <c r="FZ24" i="39"/>
  <c r="KH79" i="39"/>
  <c r="PQ26" i="39"/>
  <c r="OQ12" i="39"/>
  <c r="OT12" i="39"/>
  <c r="OJ59" i="39"/>
  <c r="OJ84" i="39"/>
  <c r="EB79" i="39"/>
  <c r="EB71" i="39"/>
  <c r="GT25" i="39"/>
  <c r="GV25" i="39"/>
  <c r="GX25" i="39"/>
  <c r="GY25" i="39"/>
  <c r="GT17" i="39"/>
  <c r="GV17" i="39"/>
  <c r="GX17" i="39"/>
  <c r="GY17" i="39"/>
  <c r="GV13" i="39"/>
  <c r="GX13" i="39"/>
  <c r="GY13" i="39"/>
  <c r="GT73" i="39"/>
  <c r="GV73" i="39"/>
  <c r="GW73" i="39"/>
  <c r="IU69" i="39"/>
  <c r="Y69" i="39"/>
  <c r="IU58" i="39"/>
  <c r="Y58" i="39"/>
  <c r="GT22" i="39"/>
  <c r="GV22" i="39"/>
  <c r="GV56" i="39"/>
  <c r="II56" i="39"/>
  <c r="IQ71" i="39"/>
  <c r="IO71" i="39"/>
  <c r="IQ67" i="39"/>
  <c r="IO67" i="39"/>
  <c r="IU28" i="39"/>
  <c r="Y28" i="39"/>
  <c r="IU12" i="39"/>
  <c r="Y12" i="39"/>
  <c r="AD68" i="39"/>
  <c r="PQ68" i="39"/>
  <c r="IY68" i="39"/>
  <c r="IY49" i="39"/>
  <c r="AD49" i="39"/>
  <c r="PQ49" i="39"/>
  <c r="AD40" i="39"/>
  <c r="IY40" i="39"/>
  <c r="PQ40" i="39"/>
  <c r="IY32" i="39"/>
  <c r="PQ32" i="39"/>
  <c r="AD24" i="39"/>
  <c r="PQ24" i="39"/>
  <c r="FZ72" i="39"/>
  <c r="KG72" i="39"/>
  <c r="BK11" i="39"/>
  <c r="BH13" i="39"/>
  <c r="HC13" i="39"/>
  <c r="HE13" i="39"/>
  <c r="U13" i="39"/>
  <c r="HE15" i="39"/>
  <c r="OH15" i="39"/>
  <c r="OR15" i="39"/>
  <c r="HC17" i="39"/>
  <c r="HE23" i="39"/>
  <c r="HE31" i="39"/>
  <c r="OH31" i="39"/>
  <c r="OO17" i="39"/>
  <c r="M17" i="39"/>
  <c r="OQ17" i="39"/>
  <c r="OT17" i="39"/>
  <c r="OJ17" i="39"/>
  <c r="OO40" i="39"/>
  <c r="M40" i="39"/>
  <c r="HC44" i="39"/>
  <c r="HE44" i="39"/>
  <c r="OH44" i="39"/>
  <c r="OR44" i="39"/>
  <c r="OU44" i="39"/>
  <c r="EB97" i="39"/>
  <c r="NT97" i="39"/>
  <c r="NU97" i="39"/>
  <c r="EB103" i="39"/>
  <c r="KI16" i="39"/>
  <c r="CE51" i="39"/>
  <c r="KF51" i="39"/>
  <c r="OP21" i="39"/>
  <c r="Q21" i="39"/>
  <c r="OQ41" i="39"/>
  <c r="OT41" i="39"/>
  <c r="OJ41" i="39"/>
  <c r="OO49" i="39"/>
  <c r="M49" i="39"/>
  <c r="GC14" i="39"/>
  <c r="KK14" i="39"/>
  <c r="GA107" i="39"/>
  <c r="KH107" i="39"/>
  <c r="OQ93" i="39"/>
  <c r="OT93" i="39"/>
  <c r="OJ93" i="39"/>
  <c r="HV87" i="39"/>
  <c r="Q58" i="39"/>
  <c r="IU35" i="39"/>
  <c r="Y35" i="39"/>
  <c r="KG50" i="39"/>
  <c r="FZ50" i="39"/>
  <c r="OO19" i="39"/>
  <c r="M19" i="39"/>
  <c r="OJ19" i="39"/>
  <c r="OQ19" i="39"/>
  <c r="OO34" i="39"/>
  <c r="M34" i="39"/>
  <c r="HC40" i="39"/>
  <c r="HE40" i="39"/>
  <c r="HC53" i="39"/>
  <c r="HE53" i="39"/>
  <c r="HG53" i="39"/>
  <c r="HH53" i="39"/>
  <c r="OP57" i="39"/>
  <c r="Q57" i="39"/>
  <c r="OQ72" i="39"/>
  <c r="OT72" i="39"/>
  <c r="OJ72" i="39"/>
  <c r="KI74" i="39"/>
  <c r="GB74" i="39"/>
  <c r="GE67" i="39"/>
  <c r="KR67" i="39"/>
  <c r="GA63" i="39"/>
  <c r="KH63" i="39"/>
  <c r="GA55" i="39"/>
  <c r="KH55" i="39"/>
  <c r="GC41" i="39"/>
  <c r="KK41" i="39"/>
  <c r="GD36" i="39"/>
  <c r="KM36" i="39"/>
  <c r="GB30" i="39"/>
  <c r="KI30" i="39"/>
  <c r="GA11" i="39"/>
  <c r="KH11" i="39"/>
  <c r="JO87" i="39"/>
  <c r="KG95" i="39"/>
  <c r="FZ95" i="39"/>
  <c r="GD99" i="39"/>
  <c r="KM99" i="39"/>
  <c r="KG100" i="39"/>
  <c r="FZ100" i="39"/>
  <c r="PG101" i="39"/>
  <c r="JC101" i="39"/>
  <c r="GV107" i="39"/>
  <c r="GX107" i="39"/>
  <c r="GY107" i="39"/>
  <c r="GT107" i="39"/>
  <c r="OP95" i="39"/>
  <c r="Q95" i="39"/>
  <c r="IQ103" i="39"/>
  <c r="IO103" i="39"/>
  <c r="AD10" i="39"/>
  <c r="IO86" i="39"/>
  <c r="GC19" i="39"/>
  <c r="KH32" i="39"/>
  <c r="FZ77" i="39"/>
  <c r="IO65" i="39"/>
  <c r="IQ65" i="39"/>
  <c r="IU60" i="39"/>
  <c r="Y60" i="39"/>
  <c r="CE73" i="39"/>
  <c r="KF73" i="39"/>
  <c r="OP34" i="39"/>
  <c r="Q34" i="39"/>
  <c r="OO77" i="39"/>
  <c r="M77" i="39"/>
  <c r="GA82" i="39"/>
  <c r="KH82" i="39"/>
  <c r="GB61" i="39"/>
  <c r="KI61" i="39"/>
  <c r="GA50" i="39"/>
  <c r="KH50" i="39"/>
  <c r="GD23" i="39"/>
  <c r="KM23" i="39"/>
  <c r="KK12" i="39"/>
  <c r="GC12" i="39"/>
  <c r="KK88" i="39"/>
  <c r="GC88" i="39"/>
  <c r="GW92" i="39"/>
  <c r="GZ92" i="39"/>
  <c r="II92" i="39"/>
  <c r="IL92" i="39"/>
  <c r="IM92" i="39"/>
  <c r="IQ96" i="39"/>
  <c r="IO96" i="39"/>
  <c r="KH100" i="39"/>
  <c r="GA100" i="39"/>
  <c r="KR103" i="39"/>
  <c r="II94" i="39"/>
  <c r="IL94" i="39"/>
  <c r="IM94" i="39"/>
  <c r="GX88" i="39"/>
  <c r="GY88" i="39"/>
  <c r="OJ99" i="39"/>
  <c r="GC92" i="39"/>
  <c r="IO64" i="39"/>
  <c r="BK55" i="39"/>
  <c r="KI71" i="39"/>
  <c r="KI19" i="39"/>
  <c r="KK63" i="39"/>
  <c r="KM85" i="39"/>
  <c r="IC92" i="39"/>
  <c r="IF92" i="39"/>
  <c r="IG92" i="39"/>
  <c r="GT102" i="39"/>
  <c r="GB88" i="39"/>
  <c r="AD26" i="39"/>
  <c r="PQ61" i="39"/>
  <c r="BK15" i="39"/>
  <c r="KF10" i="39"/>
  <c r="GE51" i="39"/>
  <c r="KK80" i="39"/>
  <c r="IQ92" i="39"/>
  <c r="KI32" i="39"/>
  <c r="GB24" i="39"/>
  <c r="HE91" i="39"/>
  <c r="KI79" i="39"/>
  <c r="KH29" i="39"/>
  <c r="KK36" i="39"/>
  <c r="GA90" i="39"/>
  <c r="KR34" i="39"/>
  <c r="GB97" i="39"/>
  <c r="GY87" i="39"/>
  <c r="M69" i="39"/>
  <c r="Y52" i="39"/>
  <c r="KI35" i="39"/>
  <c r="KH40" i="39"/>
  <c r="GB76" i="39"/>
  <c r="OP35" i="39"/>
  <c r="KM80" i="39"/>
  <c r="OQ74" i="39"/>
  <c r="OT74" i="39"/>
  <c r="KR53" i="39"/>
  <c r="CE67" i="39"/>
  <c r="KF67" i="39"/>
  <c r="HC16" i="39"/>
  <c r="HE16" i="39"/>
  <c r="OH16" i="39"/>
  <c r="HC24" i="39"/>
  <c r="HE24" i="39"/>
  <c r="BK24" i="39"/>
  <c r="OQ20" i="39"/>
  <c r="OT20" i="39"/>
  <c r="OJ20" i="39"/>
  <c r="OP37" i="39"/>
  <c r="Q37" i="39"/>
  <c r="OP50" i="39"/>
  <c r="Q50" i="39"/>
  <c r="GE80" i="39"/>
  <c r="KR80" i="39"/>
  <c r="GE72" i="39"/>
  <c r="KR72" i="39"/>
  <c r="GE64" i="39"/>
  <c r="KR64" i="39"/>
  <c r="GB55" i="39"/>
  <c r="KI55" i="39"/>
  <c r="GD33" i="39"/>
  <c r="KM33" i="39"/>
  <c r="KI92" i="39"/>
  <c r="GB92" i="39"/>
  <c r="OQ89" i="39"/>
  <c r="OJ89" i="39"/>
  <c r="IC94" i="39"/>
  <c r="ID94" i="39"/>
  <c r="M12" i="39"/>
  <c r="IQ97" i="39"/>
  <c r="M72" i="39"/>
  <c r="GE56" i="39"/>
  <c r="KG91" i="39"/>
  <c r="GA96" i="39"/>
  <c r="IO60" i="39"/>
  <c r="IQ60" i="39"/>
  <c r="Q36" i="39"/>
  <c r="OP36" i="39"/>
  <c r="OO62" i="39"/>
  <c r="M62" i="39"/>
  <c r="HC68" i="39"/>
  <c r="HE68" i="39"/>
  <c r="HC76" i="39"/>
  <c r="HE76" i="39"/>
  <c r="GE75" i="39"/>
  <c r="KR75" i="39"/>
  <c r="GC69" i="39"/>
  <c r="KK69" i="39"/>
  <c r="GB38" i="39"/>
  <c r="KI38" i="39"/>
  <c r="GC33" i="39"/>
  <c r="KK33" i="39"/>
  <c r="GC17" i="39"/>
  <c r="KK17" i="39"/>
  <c r="GD12" i="39"/>
  <c r="KM12" i="39"/>
  <c r="GA87" i="39"/>
  <c r="KH87" i="39"/>
  <c r="KM94" i="39"/>
  <c r="GD94" i="39"/>
  <c r="OO96" i="39"/>
  <c r="M96" i="39"/>
  <c r="GB107" i="39"/>
  <c r="KI107" i="39"/>
  <c r="II88" i="39"/>
  <c r="IJ88" i="39"/>
  <c r="KR31" i="39"/>
  <c r="BE9" i="39"/>
  <c r="AF108" i="39"/>
  <c r="L108" i="39"/>
  <c r="P108" i="39"/>
  <c r="AD25" i="39"/>
  <c r="IY25" i="39"/>
  <c r="JO81" i="39"/>
  <c r="CE32" i="39"/>
  <c r="FZ32" i="39"/>
  <c r="FY32" i="39"/>
  <c r="KF32" i="39"/>
  <c r="HC39" i="39"/>
  <c r="HE39" i="39"/>
  <c r="OP48" i="39"/>
  <c r="Q48" i="39"/>
  <c r="GD83" i="39"/>
  <c r="KM83" i="39"/>
  <c r="GA74" i="39"/>
  <c r="KD74" i="39"/>
  <c r="KE74" i="39"/>
  <c r="KH74" i="39"/>
  <c r="KR96" i="39"/>
  <c r="GE96" i="39"/>
  <c r="KR102" i="39"/>
  <c r="GX92" i="39"/>
  <c r="GY92" i="39"/>
  <c r="JC9" i="39"/>
  <c r="OP22" i="39"/>
  <c r="GB87" i="39"/>
  <c r="PQ34" i="39"/>
  <c r="IO68" i="39"/>
  <c r="KM56" i="39"/>
  <c r="OQ44" i="39"/>
  <c r="OT44" i="39"/>
  <c r="JC87" i="39"/>
  <c r="KM20" i="39"/>
  <c r="GA65" i="39"/>
  <c r="KI41" i="39"/>
  <c r="GC89" i="39"/>
  <c r="OO92" i="39"/>
  <c r="FZ96" i="39"/>
  <c r="KR70" i="39"/>
  <c r="Q94" i="39"/>
  <c r="KG69" i="39"/>
  <c r="FZ69" i="39"/>
  <c r="KF78" i="39"/>
  <c r="CE78" i="39"/>
  <c r="KG78" i="39"/>
  <c r="CE34" i="39"/>
  <c r="KF34" i="39"/>
  <c r="HC12" i="39"/>
  <c r="HE12" i="39"/>
  <c r="OH12" i="39"/>
  <c r="OL12" i="39"/>
  <c r="HC28" i="39"/>
  <c r="HE28" i="39"/>
  <c r="OH28" i="39"/>
  <c r="OK28" i="39"/>
  <c r="OQ61" i="39"/>
  <c r="OT61" i="39"/>
  <c r="OJ61" i="39"/>
  <c r="OQ69" i="39"/>
  <c r="OT69" i="39"/>
  <c r="OJ69" i="39"/>
  <c r="GD77" i="39"/>
  <c r="KM77" i="39"/>
  <c r="GD69" i="39"/>
  <c r="KM69" i="39"/>
  <c r="GA60" i="39"/>
  <c r="KH60" i="39"/>
  <c r="GA24" i="39"/>
  <c r="KH24" i="39"/>
  <c r="KR12" i="39"/>
  <c r="GE12" i="39"/>
  <c r="GD41" i="39"/>
  <c r="IU48" i="39"/>
  <c r="Y48" i="39"/>
  <c r="IP76" i="39"/>
  <c r="BK76" i="39"/>
  <c r="AD70" i="39"/>
  <c r="IY70" i="39"/>
  <c r="AD42" i="39"/>
  <c r="IY42" i="39"/>
  <c r="AD18" i="39"/>
  <c r="IY18" i="39"/>
  <c r="CE59" i="39"/>
  <c r="KF59" i="39"/>
  <c r="OO27" i="39"/>
  <c r="M27" i="39"/>
  <c r="HC45" i="39"/>
  <c r="OJ64" i="39"/>
  <c r="OQ64" i="39"/>
  <c r="OT64" i="39"/>
  <c r="GC77" i="39"/>
  <c r="KK77" i="39"/>
  <c r="GB66" i="39"/>
  <c r="KI66" i="39"/>
  <c r="GC61" i="39"/>
  <c r="KK61" i="39"/>
  <c r="GC53" i="39"/>
  <c r="KK53" i="39"/>
  <c r="GB50" i="39"/>
  <c r="KI50" i="39"/>
  <c r="GC45" i="39"/>
  <c r="KK45" i="39"/>
  <c r="GE39" i="39"/>
  <c r="KR39" i="39"/>
  <c r="GA35" i="39"/>
  <c r="KD35" i="39"/>
  <c r="KE35" i="39"/>
  <c r="KH35" i="39"/>
  <c r="GE23" i="39"/>
  <c r="KR23" i="39"/>
  <c r="GA19" i="39"/>
  <c r="KH19" i="39"/>
  <c r="GB14" i="39"/>
  <c r="KI14" i="39"/>
  <c r="KM89" i="39"/>
  <c r="GD89" i="39"/>
  <c r="JO91" i="39"/>
  <c r="GC97" i="39"/>
  <c r="KK97" i="39"/>
  <c r="NT99" i="39"/>
  <c r="NU99" i="39"/>
  <c r="AD51" i="39"/>
  <c r="KM53" i="39"/>
  <c r="GD58" i="39"/>
  <c r="M63" i="39"/>
  <c r="KR83" i="39"/>
  <c r="IO38" i="39"/>
  <c r="IQ38" i="39"/>
  <c r="IQ12" i="39"/>
  <c r="IO12" i="39"/>
  <c r="KG65" i="39"/>
  <c r="FZ65" i="39"/>
  <c r="Q42" i="39"/>
  <c r="OP42" i="39"/>
  <c r="OO55" i="39"/>
  <c r="M55" i="39"/>
  <c r="HC73" i="39"/>
  <c r="HE73" i="39"/>
  <c r="OH73" i="39"/>
  <c r="OL73" i="39"/>
  <c r="M78" i="39"/>
  <c r="OO78" i="39"/>
  <c r="GY117" i="39"/>
  <c r="HK117" i="39"/>
  <c r="HP110" i="39"/>
  <c r="HP108" i="39"/>
  <c r="KM59" i="39"/>
  <c r="GD59" i="39"/>
  <c r="KK28" i="39"/>
  <c r="GC28" i="39"/>
  <c r="KH22" i="39"/>
  <c r="GA22" i="39"/>
  <c r="GB91" i="39"/>
  <c r="KD91" i="39"/>
  <c r="KE91" i="39"/>
  <c r="KI91" i="39"/>
  <c r="NT93" i="39"/>
  <c r="NU93" i="39"/>
  <c r="IQ55" i="39"/>
  <c r="KI102" i="39"/>
  <c r="KH101" i="39"/>
  <c r="IB110" i="39"/>
  <c r="IB108" i="39"/>
  <c r="BK92" i="39"/>
  <c r="CE27" i="39"/>
  <c r="FZ27" i="39"/>
  <c r="KM30" i="39"/>
  <c r="KI101" i="39"/>
  <c r="KM66" i="39"/>
  <c r="PQ70" i="39"/>
  <c r="KR36" i="39"/>
  <c r="KK79" i="39"/>
  <c r="OQ70" i="39"/>
  <c r="OT70" i="39"/>
  <c r="OJ70" i="39"/>
  <c r="OO76" i="39"/>
  <c r="M76" i="39"/>
  <c r="GY106" i="39"/>
  <c r="GZ106" i="39"/>
  <c r="HI106" i="39"/>
  <c r="HK106" i="39"/>
  <c r="GY116" i="39"/>
  <c r="HK116" i="39"/>
  <c r="KG74" i="39"/>
  <c r="FZ74" i="39"/>
  <c r="GB72" i="39"/>
  <c r="KI72" i="39"/>
  <c r="GB64" i="39"/>
  <c r="KI64" i="39"/>
  <c r="GC51" i="39"/>
  <c r="KK51" i="39"/>
  <c r="IU80" i="39"/>
  <c r="Y80" i="39"/>
  <c r="HE96" i="39"/>
  <c r="GA77" i="39"/>
  <c r="KH77" i="39"/>
  <c r="KM70" i="39"/>
  <c r="GD70" i="39"/>
  <c r="GD26" i="39"/>
  <c r="KM26" i="39"/>
  <c r="GE87" i="39"/>
  <c r="KR87" i="39"/>
  <c r="EB92" i="39"/>
  <c r="GT96" i="39"/>
  <c r="GV96" i="39"/>
  <c r="KR101" i="39"/>
  <c r="GE101" i="39"/>
  <c r="IE110" i="39"/>
  <c r="IE108" i="39"/>
  <c r="GD97" i="39"/>
  <c r="M100" i="39"/>
  <c r="KH17" i="39"/>
  <c r="BK48" i="39"/>
  <c r="OK43" i="39"/>
  <c r="OM43" i="39"/>
  <c r="OR43" i="39"/>
  <c r="OU43" i="39"/>
  <c r="OQ56" i="39"/>
  <c r="OT56" i="39"/>
  <c r="OJ56" i="39"/>
  <c r="OP69" i="39"/>
  <c r="Q69" i="39"/>
  <c r="Q77" i="39"/>
  <c r="OP77" i="39"/>
  <c r="GC83" i="39"/>
  <c r="KK83" i="39"/>
  <c r="GE57" i="39"/>
  <c r="KR57" i="39"/>
  <c r="GD54" i="39"/>
  <c r="KM54" i="39"/>
  <c r="GB48" i="39"/>
  <c r="KI48" i="39"/>
  <c r="KR29" i="39"/>
  <c r="GE29" i="39"/>
  <c r="GD10" i="39"/>
  <c r="KM10" i="39"/>
  <c r="IO87" i="39"/>
  <c r="IQ87" i="39"/>
  <c r="KG94" i="39"/>
  <c r="FZ94" i="39"/>
  <c r="HE107" i="39"/>
  <c r="HE86" i="39"/>
  <c r="KI100" i="39"/>
  <c r="HV110" i="39"/>
  <c r="HV108" i="39"/>
  <c r="HE87" i="39"/>
  <c r="HG87" i="39"/>
  <c r="OQ42" i="39"/>
  <c r="OT42" i="39"/>
  <c r="OJ42" i="39"/>
  <c r="GA85" i="39"/>
  <c r="KH85" i="39"/>
  <c r="GE81" i="39"/>
  <c r="KR81" i="39"/>
  <c r="GA69" i="39"/>
  <c r="KH69" i="39"/>
  <c r="GA61" i="39"/>
  <c r="KH61" i="39"/>
  <c r="GC39" i="39"/>
  <c r="KK39" i="39"/>
  <c r="GA25" i="39"/>
  <c r="KH25" i="39"/>
  <c r="GC96" i="39"/>
  <c r="KD96" i="39"/>
  <c r="KE96" i="39"/>
  <c r="KK96" i="39"/>
  <c r="CK108" i="39"/>
  <c r="IQ91" i="39"/>
  <c r="IK110" i="39"/>
  <c r="IK108" i="39"/>
  <c r="GB80" i="39"/>
  <c r="GD62" i="39"/>
  <c r="KI56" i="39"/>
  <c r="KR21" i="39"/>
  <c r="BK96" i="39"/>
  <c r="IQ62" i="39"/>
  <c r="IO62" i="39"/>
  <c r="IU57" i="39"/>
  <c r="Y57" i="39"/>
  <c r="Y70" i="39"/>
  <c r="IU70" i="39"/>
  <c r="IO13" i="39"/>
  <c r="IQ13" i="39"/>
  <c r="HE101" i="39"/>
  <c r="BK56" i="39"/>
  <c r="EB48" i="39"/>
  <c r="GT15" i="39"/>
  <c r="GV15" i="39"/>
  <c r="GX15" i="39"/>
  <c r="GY15" i="39"/>
  <c r="PQ21" i="39"/>
  <c r="HE95" i="39"/>
  <c r="HE90" i="39"/>
  <c r="BK90" i="39"/>
  <c r="GY105" i="39"/>
  <c r="GZ105" i="39"/>
  <c r="X108" i="39"/>
  <c r="GX47" i="21"/>
  <c r="GY47" i="21"/>
  <c r="GZ47" i="21"/>
  <c r="HI47" i="21"/>
  <c r="K57" i="21"/>
  <c r="M57" i="21"/>
  <c r="JC47" i="21"/>
  <c r="AD47" i="21"/>
  <c r="HV47" i="21"/>
  <c r="IQ47" i="21"/>
  <c r="Y47" i="21"/>
  <c r="HV46" i="21"/>
  <c r="HC46" i="21"/>
  <c r="HE46" i="21"/>
  <c r="HG46" i="21"/>
  <c r="BK46" i="21"/>
  <c r="JC46" i="21"/>
  <c r="HY46" i="21"/>
  <c r="K70" i="35"/>
  <c r="M70" i="35"/>
  <c r="HG14" i="39"/>
  <c r="HH14" i="39"/>
  <c r="OM56" i="35"/>
  <c r="OO29" i="39"/>
  <c r="M29" i="39"/>
  <c r="OP14" i="39"/>
  <c r="Q14" i="39"/>
  <c r="OQ38" i="39"/>
  <c r="OT38" i="39"/>
  <c r="OJ38" i="39"/>
  <c r="OP51" i="39"/>
  <c r="Q51" i="39"/>
  <c r="OQ52" i="39"/>
  <c r="OT52" i="39"/>
  <c r="OJ52" i="39"/>
  <c r="OP59" i="39"/>
  <c r="Q59" i="39"/>
  <c r="OO83" i="39"/>
  <c r="M83" i="39"/>
  <c r="Q85" i="39"/>
  <c r="OP85" i="39"/>
  <c r="OJ32" i="31"/>
  <c r="OQ32" i="31"/>
  <c r="OT32" i="31"/>
  <c r="OQ11" i="34"/>
  <c r="OT11" i="34"/>
  <c r="OJ11" i="34"/>
  <c r="OQ34" i="34"/>
  <c r="OT34" i="34"/>
  <c r="OJ34" i="34"/>
  <c r="OP49" i="34"/>
  <c r="Q49" i="34"/>
  <c r="OP30" i="19"/>
  <c r="Q30" i="19"/>
  <c r="OO49" i="19"/>
  <c r="M49" i="19"/>
  <c r="OO40" i="19"/>
  <c r="M40" i="19"/>
  <c r="OO96" i="19"/>
  <c r="M96" i="19"/>
  <c r="OO35" i="19"/>
  <c r="M35" i="19"/>
  <c r="OJ88" i="19"/>
  <c r="OQ88" i="19"/>
  <c r="OT88" i="19"/>
  <c r="OP100" i="19"/>
  <c r="Q100" i="19"/>
  <c r="OP74" i="19"/>
  <c r="Q74" i="19"/>
  <c r="OP51" i="19"/>
  <c r="Q51" i="19"/>
  <c r="OP33" i="19"/>
  <c r="OP126" i="19"/>
  <c r="Q33" i="19"/>
  <c r="OQ57" i="19"/>
  <c r="OT57" i="19"/>
  <c r="OJ57" i="19"/>
  <c r="OP44" i="19"/>
  <c r="Q44" i="19"/>
  <c r="OP13" i="22"/>
  <c r="Q13" i="22"/>
  <c r="OQ9" i="22"/>
  <c r="OT9" i="22"/>
  <c r="OJ9" i="22"/>
  <c r="OQ9" i="33"/>
  <c r="OT9" i="33"/>
  <c r="OJ9" i="33"/>
  <c r="OJ13" i="33"/>
  <c r="IP30" i="35"/>
  <c r="BK30" i="35"/>
  <c r="IP24" i="35"/>
  <c r="BK24" i="35"/>
  <c r="HG100" i="39"/>
  <c r="HH100" i="39"/>
  <c r="PO38" i="19"/>
  <c r="FZ11" i="19"/>
  <c r="KG11" i="19"/>
  <c r="KF24" i="32"/>
  <c r="CE24" i="32"/>
  <c r="FZ28" i="35"/>
  <c r="KG28" i="35"/>
  <c r="Y13" i="39"/>
  <c r="IU13" i="39"/>
  <c r="IO32" i="39"/>
  <c r="IQ32" i="39"/>
  <c r="Y101" i="19"/>
  <c r="IU101" i="19"/>
  <c r="IU97" i="19"/>
  <c r="Y97" i="19"/>
  <c r="Y85" i="19"/>
  <c r="IU85" i="19"/>
  <c r="Y32" i="19"/>
  <c r="IU32" i="19"/>
  <c r="IP69" i="39"/>
  <c r="BK69" i="39"/>
  <c r="Y68" i="39"/>
  <c r="IU68" i="39"/>
  <c r="IU40" i="39"/>
  <c r="Y40" i="39"/>
  <c r="AD41" i="39"/>
  <c r="PQ41" i="39"/>
  <c r="AD17" i="39"/>
  <c r="IY17" i="39"/>
  <c r="OV22" i="21"/>
  <c r="HG13" i="19"/>
  <c r="HT13" i="19"/>
  <c r="HU13" i="19"/>
  <c r="OL66" i="19"/>
  <c r="OM66" i="19"/>
  <c r="KD26" i="35"/>
  <c r="KE26" i="35"/>
  <c r="AT30" i="19"/>
  <c r="AT22" i="19"/>
  <c r="AT14" i="19"/>
  <c r="OL57" i="35"/>
  <c r="OR100" i="19"/>
  <c r="OU100" i="19"/>
  <c r="HG22" i="19"/>
  <c r="HH22" i="19"/>
  <c r="FY47" i="34"/>
  <c r="GJ47" i="34"/>
  <c r="OP65" i="39"/>
  <c r="OL100" i="19"/>
  <c r="OM100" i="19"/>
  <c r="IQ50" i="35"/>
  <c r="FY53" i="35"/>
  <c r="GJ53" i="35"/>
  <c r="OH105" i="19"/>
  <c r="IO82" i="19"/>
  <c r="KG32" i="34"/>
  <c r="M21" i="39"/>
  <c r="OJ29" i="39"/>
  <c r="OJ21" i="39"/>
  <c r="BK36" i="34"/>
  <c r="IK92" i="39"/>
  <c r="FZ59" i="19"/>
  <c r="OO26" i="31"/>
  <c r="OQ27" i="32"/>
  <c r="OT27" i="32"/>
  <c r="Q30" i="39"/>
  <c r="AR63" i="19"/>
  <c r="AR40" i="19"/>
  <c r="AY18" i="32"/>
  <c r="HT53" i="21"/>
  <c r="HG11" i="35"/>
  <c r="HH11" i="35"/>
  <c r="KG12" i="22"/>
  <c r="FZ12" i="22"/>
  <c r="HE18" i="35"/>
  <c r="HG18" i="35"/>
  <c r="HG19" i="32"/>
  <c r="HH19" i="32"/>
  <c r="PQ47" i="21"/>
  <c r="GE28" i="39"/>
  <c r="GB47" i="39"/>
  <c r="KR30" i="35"/>
  <c r="KH96" i="19"/>
  <c r="KM95" i="19"/>
  <c r="KR25" i="19"/>
  <c r="KR126" i="19"/>
  <c r="KI40" i="19"/>
  <c r="KI126" i="19"/>
  <c r="KR34" i="21"/>
  <c r="BK48" i="34"/>
  <c r="BK11" i="22"/>
  <c r="BK25" i="34"/>
  <c r="BK28" i="34"/>
  <c r="AY11" i="22"/>
  <c r="BK15" i="21"/>
  <c r="BK10" i="21"/>
  <c r="BK16" i="21"/>
  <c r="BK21" i="21"/>
  <c r="BJ13" i="33"/>
  <c r="BK43" i="34"/>
  <c r="EB25" i="34"/>
  <c r="PQ29" i="35"/>
  <c r="AR49" i="19"/>
  <c r="AR35" i="19"/>
  <c r="BA56" i="19"/>
  <c r="BD43" i="19"/>
  <c r="BK57" i="19"/>
  <c r="BK47" i="19"/>
  <c r="BK26" i="19"/>
  <c r="BK13" i="19"/>
  <c r="EB89" i="19"/>
  <c r="EB81" i="19"/>
  <c r="EB34" i="19"/>
  <c r="AY97" i="19"/>
  <c r="KR52" i="39"/>
  <c r="KM27" i="35"/>
  <c r="BD49" i="19"/>
  <c r="AT37" i="19"/>
  <c r="PQ86" i="19"/>
  <c r="PQ62" i="19"/>
  <c r="KI75" i="39"/>
  <c r="KD54" i="35"/>
  <c r="KE54" i="35"/>
  <c r="FY109" i="19"/>
  <c r="GJ109" i="19"/>
  <c r="KI123" i="19"/>
  <c r="GC50" i="39"/>
  <c r="KK90" i="19"/>
  <c r="KH104" i="19"/>
  <c r="KI85" i="19"/>
  <c r="KI69" i="19"/>
  <c r="KK19" i="19"/>
  <c r="KK126" i="19"/>
  <c r="AT13" i="22"/>
  <c r="KI29" i="35"/>
  <c r="AV45" i="19"/>
  <c r="KM81" i="39"/>
  <c r="HE45" i="39"/>
  <c r="OH45" i="39"/>
  <c r="HE75" i="39"/>
  <c r="OH75" i="39"/>
  <c r="HE41" i="19"/>
  <c r="BK44" i="35"/>
  <c r="BK42" i="35"/>
  <c r="HE50" i="35"/>
  <c r="OH50" i="35"/>
  <c r="OK50" i="35"/>
  <c r="KM25" i="39"/>
  <c r="BK14" i="39"/>
  <c r="BK19" i="39"/>
  <c r="KM103" i="19"/>
  <c r="KI93" i="19"/>
  <c r="KH72" i="19"/>
  <c r="KH48" i="19"/>
  <c r="KM38" i="19"/>
  <c r="KI37" i="35"/>
  <c r="AR96" i="19"/>
  <c r="AR31" i="19"/>
  <c r="AR23" i="19"/>
  <c r="AT44" i="19"/>
  <c r="HW41" i="21"/>
  <c r="GT74" i="39"/>
  <c r="GV74" i="39"/>
  <c r="GW74" i="39"/>
  <c r="KM73" i="39"/>
  <c r="KK78" i="39"/>
  <c r="KI51" i="39"/>
  <c r="JZ70" i="35"/>
  <c r="JV70" i="35"/>
  <c r="JO38" i="35"/>
  <c r="JO49" i="35"/>
  <c r="JO10" i="33"/>
  <c r="AZ104" i="19"/>
  <c r="BK12" i="39"/>
  <c r="EB66" i="39"/>
  <c r="NM13" i="33"/>
  <c r="NP13" i="33"/>
  <c r="GT15" i="22"/>
  <c r="NT15" i="22"/>
  <c r="NU15" i="22"/>
  <c r="HD70" i="35"/>
  <c r="NT64" i="35"/>
  <c r="NU64" i="35"/>
  <c r="OG13" i="33"/>
  <c r="BK46" i="35"/>
  <c r="KD25" i="35"/>
  <c r="KE25" i="35"/>
  <c r="HX49" i="21"/>
  <c r="OL32" i="35"/>
  <c r="KI27" i="39"/>
  <c r="KH64" i="19"/>
  <c r="KK82" i="19"/>
  <c r="KM30" i="19"/>
  <c r="KM126" i="19"/>
  <c r="KI15" i="32"/>
  <c r="KI29" i="34"/>
  <c r="KM17" i="35"/>
  <c r="KM35" i="35"/>
  <c r="AT33" i="19"/>
  <c r="KH80" i="39"/>
  <c r="BK23" i="39"/>
  <c r="AT65" i="19"/>
  <c r="KR76" i="39"/>
  <c r="KH72" i="39"/>
  <c r="GX46" i="19"/>
  <c r="GY46" i="19"/>
  <c r="II46" i="19"/>
  <c r="GW46" i="19"/>
  <c r="GZ46" i="19"/>
  <c r="IC46" i="19"/>
  <c r="IF46" i="19"/>
  <c r="IE46" i="19"/>
  <c r="II93" i="19"/>
  <c r="IJ93" i="19"/>
  <c r="IO39" i="34"/>
  <c r="FY18" i="21"/>
  <c r="GJ18" i="21"/>
  <c r="OL22" i="21"/>
  <c r="OM22" i="21"/>
  <c r="FY30" i="21"/>
  <c r="GK30" i="21"/>
  <c r="AX48" i="19"/>
  <c r="FY17" i="34"/>
  <c r="GJ17" i="34"/>
  <c r="BF13" i="33"/>
  <c r="BA18" i="32"/>
  <c r="GK15" i="19"/>
  <c r="Y40" i="34"/>
  <c r="Y11" i="34"/>
  <c r="IY21" i="35"/>
  <c r="OH58" i="35"/>
  <c r="OK58" i="35"/>
  <c r="OH88" i="19"/>
  <c r="OL88" i="19"/>
  <c r="Y36" i="21"/>
  <c r="Y32" i="21"/>
  <c r="AD27" i="34"/>
  <c r="GB107" i="19"/>
  <c r="KD107" i="19"/>
  <c r="KE107" i="19"/>
  <c r="IQ43" i="19"/>
  <c r="BK71" i="19"/>
  <c r="IQ71" i="19"/>
  <c r="BK13" i="21"/>
  <c r="M13" i="33"/>
  <c r="FY54" i="34"/>
  <c r="GJ54" i="34"/>
  <c r="FY16" i="21"/>
  <c r="GK16" i="21"/>
  <c r="Y27" i="35"/>
  <c r="IU27" i="35"/>
  <c r="BK40" i="34"/>
  <c r="HG15" i="35"/>
  <c r="HH15" i="35"/>
  <c r="KD58" i="19"/>
  <c r="KE58" i="19"/>
  <c r="IO33" i="19"/>
  <c r="KD9" i="33"/>
  <c r="KE9" i="33"/>
  <c r="KD109" i="19"/>
  <c r="KE109" i="19"/>
  <c r="KD111" i="19"/>
  <c r="KE111" i="19"/>
  <c r="PQ19" i="31"/>
  <c r="Y9" i="21"/>
  <c r="CQ20" i="21"/>
  <c r="IC93" i="39"/>
  <c r="IB93" i="39"/>
  <c r="CQ18" i="34"/>
  <c r="GV12" i="34"/>
  <c r="GX12" i="34"/>
  <c r="GW110" i="19"/>
  <c r="GZ110" i="19"/>
  <c r="AD21" i="35"/>
  <c r="OR12" i="21"/>
  <c r="OU12" i="21"/>
  <c r="IA12" i="33"/>
  <c r="Y13" i="34"/>
  <c r="KG62" i="19"/>
  <c r="HG96" i="19"/>
  <c r="HG32" i="35"/>
  <c r="HT32" i="35"/>
  <c r="HU32" i="35"/>
  <c r="Y47" i="34"/>
  <c r="IC109" i="19"/>
  <c r="IB109" i="19"/>
  <c r="AX26" i="32"/>
  <c r="BA97" i="19"/>
  <c r="FZ29" i="21"/>
  <c r="FY29" i="21"/>
  <c r="IY27" i="34"/>
  <c r="AY38" i="19"/>
  <c r="GT38" i="19"/>
  <c r="IU19" i="35"/>
  <c r="KD47" i="19"/>
  <c r="KE47" i="19"/>
  <c r="IQ65" i="19"/>
  <c r="BK97" i="19"/>
  <c r="AX11" i="32"/>
  <c r="AZ11" i="32"/>
  <c r="IQ37" i="34"/>
  <c r="KD43" i="35"/>
  <c r="KE43" i="35"/>
  <c r="IY19" i="31"/>
  <c r="OR32" i="35"/>
  <c r="OV32" i="35"/>
  <c r="CQ13" i="21"/>
  <c r="GR67" i="34"/>
  <c r="OH25" i="35"/>
  <c r="OK25" i="35"/>
  <c r="OL12" i="21"/>
  <c r="OM12" i="21"/>
  <c r="OH19" i="32"/>
  <c r="KG52" i="39"/>
  <c r="IO40" i="35"/>
  <c r="GX109" i="19"/>
  <c r="GY109" i="19"/>
  <c r="HG44" i="19"/>
  <c r="HT44" i="19"/>
  <c r="Y17" i="35"/>
  <c r="IO51" i="19"/>
  <c r="HG11" i="34"/>
  <c r="HH11" i="34"/>
  <c r="IQ28" i="39"/>
  <c r="IY15" i="34"/>
  <c r="BA11" i="19"/>
  <c r="IO20" i="19"/>
  <c r="HG27" i="19"/>
  <c r="HT27" i="19"/>
  <c r="Y13" i="21"/>
  <c r="Y49" i="35"/>
  <c r="OK15" i="35"/>
  <c r="OM15" i="35"/>
  <c r="BK16" i="34"/>
  <c r="FY34" i="19"/>
  <c r="GK34" i="19"/>
  <c r="OO9" i="39"/>
  <c r="M9" i="39"/>
  <c r="OP18" i="39"/>
  <c r="Q18" i="39"/>
  <c r="Q41" i="39"/>
  <c r="OP41" i="39"/>
  <c r="OQ48" i="39"/>
  <c r="OT48" i="39"/>
  <c r="OJ48" i="39"/>
  <c r="Q78" i="39"/>
  <c r="OP78" i="39"/>
  <c r="II112" i="19"/>
  <c r="IL112" i="19"/>
  <c r="IM112" i="19"/>
  <c r="GW112" i="19"/>
  <c r="IY12" i="33"/>
  <c r="PQ12" i="33"/>
  <c r="OO76" i="19"/>
  <c r="M76" i="19"/>
  <c r="OO34" i="19"/>
  <c r="OO126" i="19"/>
  <c r="M34" i="19"/>
  <c r="OP81" i="19"/>
  <c r="Q81" i="19"/>
  <c r="BK62" i="35"/>
  <c r="HC62" i="35"/>
  <c r="HE62" i="35"/>
  <c r="IQ43" i="35"/>
  <c r="IO43" i="35"/>
  <c r="IP34" i="35"/>
  <c r="BK34" i="35"/>
  <c r="IP23" i="35"/>
  <c r="BK23" i="35"/>
  <c r="Y34" i="34"/>
  <c r="OV44" i="35"/>
  <c r="OR17" i="35"/>
  <c r="OV17" i="35"/>
  <c r="FY34" i="35"/>
  <c r="GJ34" i="35"/>
  <c r="CQ50" i="34"/>
  <c r="AX14" i="22"/>
  <c r="IY24" i="32"/>
  <c r="IC98" i="39"/>
  <c r="Y14" i="31"/>
  <c r="HG37" i="35"/>
  <c r="HT37" i="35"/>
  <c r="HU37" i="35"/>
  <c r="OR15" i="35"/>
  <c r="OV15" i="35"/>
  <c r="HT121" i="19"/>
  <c r="HS121" i="19"/>
  <c r="KD58" i="34"/>
  <c r="KE58" i="34"/>
  <c r="CQ23" i="34"/>
  <c r="KD41" i="34"/>
  <c r="KE41" i="34"/>
  <c r="PQ15" i="34"/>
  <c r="HG11" i="19"/>
  <c r="HH11" i="19"/>
  <c r="IQ28" i="34"/>
  <c r="BA63" i="19"/>
  <c r="HH48" i="21"/>
  <c r="FZ24" i="19"/>
  <c r="FY24" i="19"/>
  <c r="GJ24" i="19"/>
  <c r="AX97" i="19"/>
  <c r="OV41" i="21"/>
  <c r="KD49" i="21"/>
  <c r="KE49" i="21"/>
  <c r="FY70" i="19"/>
  <c r="GK70" i="19"/>
  <c r="IY11" i="34"/>
  <c r="IQ36" i="19"/>
  <c r="AX56" i="19"/>
  <c r="Y59" i="35"/>
  <c r="IQ24" i="21"/>
  <c r="Y31" i="35"/>
  <c r="IU31" i="35"/>
  <c r="BI13" i="33"/>
  <c r="HV9" i="35"/>
  <c r="HZ9" i="35"/>
  <c r="IA9" i="35"/>
  <c r="IO26" i="34"/>
  <c r="HG9" i="31"/>
  <c r="HH9" i="31"/>
  <c r="GX73" i="39"/>
  <c r="GY73" i="39"/>
  <c r="IQ15" i="34"/>
  <c r="KH98" i="19"/>
  <c r="KD99" i="39"/>
  <c r="KE99" i="39"/>
  <c r="PQ11" i="34"/>
  <c r="HG60" i="19"/>
  <c r="HT60" i="19"/>
  <c r="HS60" i="19"/>
  <c r="KD20" i="19"/>
  <c r="KE20" i="19"/>
  <c r="BK39" i="19"/>
  <c r="AD51" i="34"/>
  <c r="HG27" i="35"/>
  <c r="HH27" i="35"/>
  <c r="AD31" i="34"/>
  <c r="AD31" i="32"/>
  <c r="KG65" i="35"/>
  <c r="BD59" i="19"/>
  <c r="BK43" i="19"/>
  <c r="BK33" i="19"/>
  <c r="AV37" i="19"/>
  <c r="AY30" i="19"/>
  <c r="AT47" i="19"/>
  <c r="GT14" i="19"/>
  <c r="GV14" i="19"/>
  <c r="II14" i="19"/>
  <c r="IJ14" i="19"/>
  <c r="GT79" i="19"/>
  <c r="GV79" i="19"/>
  <c r="II79" i="19"/>
  <c r="IJ79" i="19"/>
  <c r="GT14" i="34"/>
  <c r="GV14" i="34"/>
  <c r="GX14" i="34"/>
  <c r="GY14" i="34"/>
  <c r="GT18" i="34"/>
  <c r="GV18" i="34"/>
  <c r="IC18" i="34"/>
  <c r="IF18" i="34"/>
  <c r="IG18" i="34"/>
  <c r="GT26" i="34"/>
  <c r="GV26" i="34"/>
  <c r="GW26" i="34"/>
  <c r="HI26" i="34"/>
  <c r="GT106" i="19"/>
  <c r="GV106" i="19"/>
  <c r="IC106" i="19"/>
  <c r="ID106" i="19"/>
  <c r="BK105" i="19"/>
  <c r="JO12" i="32"/>
  <c r="JZ36" i="32"/>
  <c r="JO9" i="34"/>
  <c r="JO19" i="34"/>
  <c r="JO20" i="34"/>
  <c r="JO23" i="34"/>
  <c r="JO27" i="34"/>
  <c r="JO30" i="34"/>
  <c r="JO31" i="34"/>
  <c r="JO34" i="34"/>
  <c r="JO35" i="34"/>
  <c r="JO37" i="34"/>
  <c r="JO38" i="34"/>
  <c r="JO39" i="34"/>
  <c r="JO42" i="34"/>
  <c r="JO44" i="34"/>
  <c r="JO45" i="34"/>
  <c r="JO53" i="34"/>
  <c r="JO9" i="35"/>
  <c r="KB70" i="35"/>
  <c r="JO12" i="35"/>
  <c r="KA70" i="35"/>
  <c r="JO18" i="35"/>
  <c r="JO19" i="35"/>
  <c r="JO20" i="35"/>
  <c r="JO21" i="35"/>
  <c r="JO22" i="35"/>
  <c r="JO24" i="35"/>
  <c r="JO25" i="35"/>
  <c r="JO26" i="35"/>
  <c r="JO27" i="35"/>
  <c r="JO28" i="35"/>
  <c r="JO29" i="35"/>
  <c r="JO30" i="35"/>
  <c r="JO32" i="35"/>
  <c r="JO33" i="35"/>
  <c r="JO34" i="35"/>
  <c r="JO35" i="35"/>
  <c r="JO36" i="35"/>
  <c r="JO37" i="35"/>
  <c r="JO40" i="35"/>
  <c r="JO42" i="35"/>
  <c r="JO43" i="35"/>
  <c r="JO44" i="35"/>
  <c r="JO45" i="35"/>
  <c r="JO46" i="35"/>
  <c r="JO47" i="35"/>
  <c r="JO48" i="35"/>
  <c r="JO50" i="35"/>
  <c r="JO52" i="35"/>
  <c r="JO53" i="35"/>
  <c r="JO54" i="35"/>
  <c r="JO55" i="35"/>
  <c r="JO59" i="35"/>
  <c r="JO9" i="19"/>
  <c r="JO10" i="22"/>
  <c r="JU13" i="33"/>
  <c r="JZ13" i="33"/>
  <c r="JT13" i="33"/>
  <c r="IO66" i="35"/>
  <c r="FY61" i="35"/>
  <c r="GK61" i="35"/>
  <c r="HG12" i="35"/>
  <c r="HH12" i="35"/>
  <c r="HE52" i="19"/>
  <c r="BK25" i="39"/>
  <c r="AD17" i="19"/>
  <c r="AR55" i="19"/>
  <c r="AR11" i="19"/>
  <c r="BD58" i="19"/>
  <c r="BK36" i="19"/>
  <c r="BK93" i="19"/>
  <c r="BK85" i="19"/>
  <c r="BK77" i="19"/>
  <c r="BK61" i="19"/>
  <c r="BK32" i="19"/>
  <c r="AV14" i="19"/>
  <c r="AZ14" i="19"/>
  <c r="GT17" i="19"/>
  <c r="GV17" i="19"/>
  <c r="GW17" i="19"/>
  <c r="GT18" i="19"/>
  <c r="GV18" i="19"/>
  <c r="IC18" i="19"/>
  <c r="IF18" i="19"/>
  <c r="GT25" i="19"/>
  <c r="GV25" i="19"/>
  <c r="GW25" i="19"/>
  <c r="GT33" i="19"/>
  <c r="GV33" i="19"/>
  <c r="GX33" i="19"/>
  <c r="GY33" i="19"/>
  <c r="GT35" i="19"/>
  <c r="GV35" i="19"/>
  <c r="GW35" i="19"/>
  <c r="GT41" i="19"/>
  <c r="GV41" i="19"/>
  <c r="GX41" i="19"/>
  <c r="GY41" i="19"/>
  <c r="GT43" i="19"/>
  <c r="GV43" i="19"/>
  <c r="IC43" i="19"/>
  <c r="GT44" i="19"/>
  <c r="GV44" i="19"/>
  <c r="GT49" i="19"/>
  <c r="GV49" i="19"/>
  <c r="II49" i="19"/>
  <c r="IH49" i="19"/>
  <c r="GT50" i="19"/>
  <c r="GV50" i="19"/>
  <c r="IC50" i="19"/>
  <c r="GT52" i="19"/>
  <c r="GV52" i="19"/>
  <c r="IC52" i="19"/>
  <c r="ID52" i="19"/>
  <c r="GT57" i="19"/>
  <c r="GV57" i="19"/>
  <c r="GX57" i="19"/>
  <c r="GY57" i="19"/>
  <c r="GT58" i="19"/>
  <c r="GV58" i="19"/>
  <c r="IC58" i="19"/>
  <c r="GT59" i="19"/>
  <c r="GV59" i="19"/>
  <c r="GW59" i="19"/>
  <c r="GT60" i="19"/>
  <c r="GV60" i="19"/>
  <c r="GX60" i="19"/>
  <c r="GY60" i="19"/>
  <c r="HG63" i="19"/>
  <c r="HT63" i="19"/>
  <c r="GT65" i="19"/>
  <c r="GV65" i="19"/>
  <c r="GW65" i="19"/>
  <c r="GT67" i="19"/>
  <c r="GV67" i="19"/>
  <c r="II67" i="19"/>
  <c r="GT68" i="19"/>
  <c r="GV68" i="19"/>
  <c r="IC68" i="19"/>
  <c r="IB68" i="19"/>
  <c r="HF57" i="21"/>
  <c r="HG17" i="21"/>
  <c r="HT17" i="21"/>
  <c r="HG26" i="21"/>
  <c r="HH26" i="21"/>
  <c r="HG27" i="21"/>
  <c r="HG29" i="21"/>
  <c r="HT29" i="21"/>
  <c r="HU29" i="21"/>
  <c r="GT27" i="35"/>
  <c r="GV27" i="35"/>
  <c r="II27" i="35"/>
  <c r="IH27" i="35"/>
  <c r="GT11" i="34"/>
  <c r="GT10" i="33"/>
  <c r="GT94" i="19"/>
  <c r="GV94" i="19"/>
  <c r="IC94" i="19"/>
  <c r="IB94" i="19"/>
  <c r="HG97" i="19"/>
  <c r="HH97" i="19"/>
  <c r="H126" i="19"/>
  <c r="HE102" i="19"/>
  <c r="HE82" i="39"/>
  <c r="HG82" i="39"/>
  <c r="HE36" i="39"/>
  <c r="OH36" i="39"/>
  <c r="HK22" i="33"/>
  <c r="GA50" i="21"/>
  <c r="DV67" i="34"/>
  <c r="EG67" i="34"/>
  <c r="AT18" i="19"/>
  <c r="AT10" i="19"/>
  <c r="HC38" i="39"/>
  <c r="HE38" i="39"/>
  <c r="HC65" i="39"/>
  <c r="HE65" i="39"/>
  <c r="HG65" i="39"/>
  <c r="HC67" i="39"/>
  <c r="HE67" i="39"/>
  <c r="HG67" i="39"/>
  <c r="HC13" i="32"/>
  <c r="HE13" i="32"/>
  <c r="OH13" i="32"/>
  <c r="OL13" i="32"/>
  <c r="HC21" i="32"/>
  <c r="HE21" i="32"/>
  <c r="OH21" i="32"/>
  <c r="OR21" i="32"/>
  <c r="OU21" i="32"/>
  <c r="HC27" i="34"/>
  <c r="HE27" i="34"/>
  <c r="NT37" i="31"/>
  <c r="NU37" i="31"/>
  <c r="NT12" i="33"/>
  <c r="NU12" i="33"/>
  <c r="NT57" i="34"/>
  <c r="NU57" i="34"/>
  <c r="JO61" i="35"/>
  <c r="JO63" i="35"/>
  <c r="HC99" i="19"/>
  <c r="HE99" i="19"/>
  <c r="OH99" i="19"/>
  <c r="HC94" i="19"/>
  <c r="HE94" i="19"/>
  <c r="HG94" i="19"/>
  <c r="HT94" i="19"/>
  <c r="HC89" i="19"/>
  <c r="HE89" i="19"/>
  <c r="OH89" i="19"/>
  <c r="HC79" i="19"/>
  <c r="HE79" i="19"/>
  <c r="HG79" i="19"/>
  <c r="HT79" i="19"/>
  <c r="HC77" i="19"/>
  <c r="HE77" i="19"/>
  <c r="HC73" i="19"/>
  <c r="HE73" i="19"/>
  <c r="HC64" i="19"/>
  <c r="HE64" i="19"/>
  <c r="HC101" i="19"/>
  <c r="HE101" i="19"/>
  <c r="OH101" i="19"/>
  <c r="OR101" i="19"/>
  <c r="HC80" i="19"/>
  <c r="HE80" i="19"/>
  <c r="HG80" i="19"/>
  <c r="HC37" i="19"/>
  <c r="HE37" i="19"/>
  <c r="HC64" i="35"/>
  <c r="HE64" i="35"/>
  <c r="BK21" i="35"/>
  <c r="HC28" i="35"/>
  <c r="HE28" i="35"/>
  <c r="OH28" i="35"/>
  <c r="OR28" i="35"/>
  <c r="OV28" i="35"/>
  <c r="KD62" i="19"/>
  <c r="KE62" i="19"/>
  <c r="KD23" i="21"/>
  <c r="KE23" i="21"/>
  <c r="BA40" i="19"/>
  <c r="NT45" i="35"/>
  <c r="NU45" i="35"/>
  <c r="NT55" i="35"/>
  <c r="NU55" i="35"/>
  <c r="HS72" i="19"/>
  <c r="GX79" i="19"/>
  <c r="GY79" i="19"/>
  <c r="OK11" i="35"/>
  <c r="OL11" i="35"/>
  <c r="OM11" i="35"/>
  <c r="BA104" i="19"/>
  <c r="AY104" i="19"/>
  <c r="CQ53" i="34"/>
  <c r="JO58" i="35"/>
  <c r="JO39" i="35"/>
  <c r="JO31" i="35"/>
  <c r="JO23" i="35"/>
  <c r="JQ70" i="35"/>
  <c r="BK21" i="39"/>
  <c r="IU25" i="39"/>
  <c r="Y25" i="39"/>
  <c r="IO29" i="39"/>
  <c r="IQ29" i="39"/>
  <c r="IO110" i="39"/>
  <c r="IO108" i="39"/>
  <c r="HS110" i="39"/>
  <c r="HS108" i="39"/>
  <c r="OR21" i="35"/>
  <c r="OL21" i="35"/>
  <c r="HH13" i="19"/>
  <c r="AY63" i="19"/>
  <c r="HI46" i="19"/>
  <c r="OK17" i="35"/>
  <c r="OM17" i="35"/>
  <c r="OR66" i="19"/>
  <c r="OV66" i="19"/>
  <c r="OH53" i="19"/>
  <c r="KD34" i="35"/>
  <c r="KE34" i="35"/>
  <c r="AY19" i="19"/>
  <c r="IO99" i="19"/>
  <c r="HG78" i="19"/>
  <c r="HG21" i="35"/>
  <c r="KD59" i="35"/>
  <c r="KE59" i="35"/>
  <c r="AX99" i="19"/>
  <c r="AZ99" i="19"/>
  <c r="IO52" i="35"/>
  <c r="IQ52" i="35"/>
  <c r="HX50" i="34"/>
  <c r="HZ50" i="34"/>
  <c r="HY50" i="34"/>
  <c r="JO9" i="22"/>
  <c r="IQ9" i="39"/>
  <c r="BK70" i="19"/>
  <c r="EB27" i="19"/>
  <c r="HG30" i="19"/>
  <c r="HT30" i="19"/>
  <c r="GT74" i="19"/>
  <c r="GV74" i="19"/>
  <c r="GW74" i="19"/>
  <c r="GZ74" i="19"/>
  <c r="GT75" i="19"/>
  <c r="GV75" i="19"/>
  <c r="II75" i="19"/>
  <c r="GT82" i="19"/>
  <c r="GV82" i="19"/>
  <c r="GW82" i="19"/>
  <c r="GZ82" i="19"/>
  <c r="GT83" i="19"/>
  <c r="GV83" i="19"/>
  <c r="GT89" i="19"/>
  <c r="GV89" i="19"/>
  <c r="GW89" i="19"/>
  <c r="GT91" i="19"/>
  <c r="GV91" i="19"/>
  <c r="GW91" i="19"/>
  <c r="HG12" i="21"/>
  <c r="HG28" i="21"/>
  <c r="HT28" i="21"/>
  <c r="HU28" i="21"/>
  <c r="GS57" i="21"/>
  <c r="GV42" i="21"/>
  <c r="GW42" i="21"/>
  <c r="JB70" i="35"/>
  <c r="JB72" i="35"/>
  <c r="HF70" i="35"/>
  <c r="GS70" i="35"/>
  <c r="GT16" i="35"/>
  <c r="GV16" i="35"/>
  <c r="GW16" i="35"/>
  <c r="GT17" i="35"/>
  <c r="GV17" i="35"/>
  <c r="IC17" i="35"/>
  <c r="IF17" i="35"/>
  <c r="IG17" i="35"/>
  <c r="GT18" i="35"/>
  <c r="GV18" i="35"/>
  <c r="IC18" i="35"/>
  <c r="GT25" i="35"/>
  <c r="GV25" i="35"/>
  <c r="II25" i="35"/>
  <c r="GT48" i="35"/>
  <c r="GV48" i="35"/>
  <c r="II48" i="35"/>
  <c r="GT49" i="35"/>
  <c r="GV49" i="35"/>
  <c r="GW49" i="35"/>
  <c r="GZ49" i="35"/>
  <c r="GT9" i="34"/>
  <c r="GT15" i="34"/>
  <c r="GV15" i="34"/>
  <c r="GX15" i="34"/>
  <c r="GY15" i="34"/>
  <c r="GT16" i="34"/>
  <c r="GV16" i="34"/>
  <c r="GT17" i="34"/>
  <c r="GV17" i="34"/>
  <c r="IC17" i="34"/>
  <c r="IB17" i="34"/>
  <c r="GT32" i="34"/>
  <c r="GV32" i="34"/>
  <c r="II32" i="34"/>
  <c r="GT34" i="34"/>
  <c r="GV34" i="34"/>
  <c r="IC34" i="34"/>
  <c r="GT42" i="34"/>
  <c r="GV42" i="34"/>
  <c r="II42" i="34"/>
  <c r="IJ42" i="34"/>
  <c r="GT48" i="34"/>
  <c r="GV48" i="34"/>
  <c r="IC48" i="34"/>
  <c r="IF48" i="34"/>
  <c r="IG48" i="34"/>
  <c r="HG9" i="33"/>
  <c r="HH9" i="33"/>
  <c r="GT100" i="19"/>
  <c r="GV100" i="19"/>
  <c r="II100" i="19"/>
  <c r="EB101" i="19"/>
  <c r="EB106" i="19"/>
  <c r="EB107" i="19"/>
  <c r="GT104" i="19"/>
  <c r="GV104" i="19"/>
  <c r="II104" i="19"/>
  <c r="IJ104" i="19"/>
  <c r="BK101" i="19"/>
  <c r="JO10" i="19"/>
  <c r="JO11" i="19"/>
  <c r="JO35" i="19"/>
  <c r="JO66" i="19"/>
  <c r="JO67" i="19"/>
  <c r="JO71" i="19"/>
  <c r="JO83" i="19"/>
  <c r="JO84" i="19"/>
  <c r="JO88" i="19"/>
  <c r="HG68" i="19"/>
  <c r="HH68" i="19"/>
  <c r="BK86" i="19"/>
  <c r="BK60" i="19"/>
  <c r="HG103" i="19"/>
  <c r="HH103" i="19"/>
  <c r="GW111" i="19"/>
  <c r="GZ111" i="19"/>
  <c r="IO26" i="35"/>
  <c r="KG30" i="35"/>
  <c r="IO16" i="19"/>
  <c r="IO40" i="39"/>
  <c r="OK21" i="35"/>
  <c r="GT97" i="19"/>
  <c r="GV97" i="19"/>
  <c r="GX97" i="19"/>
  <c r="GY97" i="19"/>
  <c r="IU12" i="22"/>
  <c r="Y12" i="22"/>
  <c r="Y10" i="34"/>
  <c r="IU10" i="34"/>
  <c r="BK56" i="19"/>
  <c r="BK19" i="19"/>
  <c r="KD21" i="34"/>
  <c r="KE21" i="34"/>
  <c r="II111" i="19"/>
  <c r="IJ111" i="19"/>
  <c r="HG100" i="19"/>
  <c r="HT100" i="19"/>
  <c r="HU100" i="19"/>
  <c r="HH47" i="21"/>
  <c r="KD110" i="19"/>
  <c r="KE110" i="19"/>
  <c r="IU25" i="21"/>
  <c r="Y25" i="21"/>
  <c r="GA98" i="19"/>
  <c r="BK81" i="19"/>
  <c r="BK64" i="19"/>
  <c r="BK46" i="19"/>
  <c r="EB92" i="19"/>
  <c r="EB52" i="19"/>
  <c r="EB9" i="19"/>
  <c r="OL77" i="39"/>
  <c r="OH29" i="19"/>
  <c r="OR29" i="19"/>
  <c r="OU29" i="19"/>
  <c r="IQ64" i="19"/>
  <c r="BK99" i="19"/>
  <c r="BK16" i="19"/>
  <c r="IO60" i="19"/>
  <c r="AY99" i="19"/>
  <c r="BA23" i="32"/>
  <c r="U94" i="19"/>
  <c r="AV94" i="19"/>
  <c r="AZ94" i="19"/>
  <c r="AD101" i="19"/>
  <c r="IY101" i="19"/>
  <c r="AD93" i="19"/>
  <c r="IY93" i="19"/>
  <c r="IY85" i="19"/>
  <c r="AD85" i="19"/>
  <c r="AD77" i="19"/>
  <c r="PQ77" i="19"/>
  <c r="AD69" i="19"/>
  <c r="IY69" i="19"/>
  <c r="IY53" i="19"/>
  <c r="AD53" i="19"/>
  <c r="AD20" i="19"/>
  <c r="PQ20" i="19"/>
  <c r="CF12" i="21"/>
  <c r="CQ12" i="21"/>
  <c r="KF12" i="21"/>
  <c r="CE28" i="21"/>
  <c r="KF28" i="21"/>
  <c r="CE85" i="39"/>
  <c r="KF85" i="39"/>
  <c r="CE66" i="39"/>
  <c r="FZ66" i="39"/>
  <c r="KF66" i="39"/>
  <c r="KG41" i="39"/>
  <c r="FZ41" i="39"/>
  <c r="KG33" i="39"/>
  <c r="FZ33" i="39"/>
  <c r="KG25" i="39"/>
  <c r="FZ25" i="39"/>
  <c r="KG17" i="39"/>
  <c r="FZ17" i="39"/>
  <c r="OS11" i="39"/>
  <c r="OS108" i="39"/>
  <c r="OI108" i="39"/>
  <c r="OO11" i="39"/>
  <c r="M11" i="39"/>
  <c r="OP20" i="39"/>
  <c r="Q20" i="39"/>
  <c r="OP12" i="39"/>
  <c r="Q12" i="39"/>
  <c r="OQ11" i="39"/>
  <c r="OT11" i="39"/>
  <c r="OJ11" i="39"/>
  <c r="OO33" i="39"/>
  <c r="M33" i="39"/>
  <c r="M48" i="39"/>
  <c r="OO48" i="39"/>
  <c r="OQ50" i="39"/>
  <c r="OT50" i="39"/>
  <c r="OJ50" i="39"/>
  <c r="OO56" i="39"/>
  <c r="M56" i="39"/>
  <c r="OQ58" i="39"/>
  <c r="OT58" i="39"/>
  <c r="OJ58" i="39"/>
  <c r="OP63" i="39"/>
  <c r="Q63" i="39"/>
  <c r="OP71" i="39"/>
  <c r="Q71" i="39"/>
  <c r="OQ77" i="39"/>
  <c r="OT77" i="39"/>
  <c r="OJ77" i="39"/>
  <c r="OP82" i="39"/>
  <c r="Q82" i="39"/>
  <c r="OO15" i="31"/>
  <c r="M15" i="31"/>
  <c r="OQ17" i="31"/>
  <c r="OT17" i="31"/>
  <c r="OJ17" i="31"/>
  <c r="OQ14" i="32"/>
  <c r="OT14" i="32"/>
  <c r="OJ14" i="32"/>
  <c r="OO16" i="32"/>
  <c r="M16" i="32"/>
  <c r="OO46" i="34"/>
  <c r="M46" i="34"/>
  <c r="IO35" i="31"/>
  <c r="IQ35" i="31"/>
  <c r="IO40" i="31"/>
  <c r="IQ40" i="31"/>
  <c r="FZ37" i="31"/>
  <c r="KG37" i="31"/>
  <c r="U12" i="33"/>
  <c r="S13" i="33"/>
  <c r="KG60" i="34"/>
  <c r="FZ60" i="34"/>
  <c r="FY60" i="34"/>
  <c r="GK60" i="34"/>
  <c r="GY79" i="35"/>
  <c r="HK79" i="35"/>
  <c r="HP72" i="35"/>
  <c r="HP70" i="35"/>
  <c r="M21" i="19"/>
  <c r="OO21" i="19"/>
  <c r="OJ18" i="19"/>
  <c r="OQ18" i="19"/>
  <c r="OT18" i="19"/>
  <c r="OQ10" i="19"/>
  <c r="OT10" i="19"/>
  <c r="OJ10" i="19"/>
  <c r="OO70" i="19"/>
  <c r="M70" i="19"/>
  <c r="OO38" i="19"/>
  <c r="M38" i="19"/>
  <c r="OO106" i="19"/>
  <c r="M106" i="19"/>
  <c r="OJ63" i="19"/>
  <c r="OQ63" i="19"/>
  <c r="OT63" i="19"/>
  <c r="OP98" i="19"/>
  <c r="Q98" i="19"/>
  <c r="OQ36" i="19"/>
  <c r="OT36" i="19"/>
  <c r="OJ36" i="19"/>
  <c r="OJ126" i="19"/>
  <c r="OQ103" i="19"/>
  <c r="OT103" i="19"/>
  <c r="OJ103" i="19"/>
  <c r="OQ85" i="19"/>
  <c r="OT85" i="19"/>
  <c r="OJ85" i="19"/>
  <c r="OJ53" i="19"/>
  <c r="OQ53" i="19"/>
  <c r="OT53" i="19"/>
  <c r="OJ43" i="19"/>
  <c r="OQ43" i="19"/>
  <c r="OT43" i="19"/>
  <c r="OE70" i="35"/>
  <c r="OP53" i="35"/>
  <c r="Q53" i="35"/>
  <c r="IQ32" i="35"/>
  <c r="IO32" i="35"/>
  <c r="IP19" i="35"/>
  <c r="BK19" i="35"/>
  <c r="BK11" i="35"/>
  <c r="IP11" i="35"/>
  <c r="IQ11" i="35"/>
  <c r="OJ30" i="35"/>
  <c r="OJ70" i="35"/>
  <c r="OQ30" i="35"/>
  <c r="OT30" i="35"/>
  <c r="HG28" i="35"/>
  <c r="DV32" i="31"/>
  <c r="DV60" i="31"/>
  <c r="I32" i="31"/>
  <c r="I10" i="35"/>
  <c r="G70" i="35"/>
  <c r="PG28" i="22"/>
  <c r="JC28" i="22"/>
  <c r="KR86" i="39"/>
  <c r="GE86" i="39"/>
  <c r="KD86" i="39"/>
  <c r="KE86" i="39"/>
  <c r="GB85" i="39"/>
  <c r="KI85" i="39"/>
  <c r="GB77" i="39"/>
  <c r="KI77" i="39"/>
  <c r="KK72" i="39"/>
  <c r="GC72" i="39"/>
  <c r="KM67" i="39"/>
  <c r="GD67" i="39"/>
  <c r="GA66" i="39"/>
  <c r="KH66" i="39"/>
  <c r="GA58" i="39"/>
  <c r="KH58" i="39"/>
  <c r="KK56" i="39"/>
  <c r="GC56" i="39"/>
  <c r="FY56" i="39"/>
  <c r="GE54" i="39"/>
  <c r="KR54" i="39"/>
  <c r="KI53" i="39"/>
  <c r="GB53" i="39"/>
  <c r="GD51" i="39"/>
  <c r="KM51" i="39"/>
  <c r="KK48" i="39"/>
  <c r="GC48" i="39"/>
  <c r="GE46" i="39"/>
  <c r="KR46" i="39"/>
  <c r="GB45" i="39"/>
  <c r="KI45" i="39"/>
  <c r="KR42" i="39"/>
  <c r="GE42" i="39"/>
  <c r="KH38" i="39"/>
  <c r="GA38" i="39"/>
  <c r="GB33" i="39"/>
  <c r="KI33" i="39"/>
  <c r="GD31" i="39"/>
  <c r="KD31" i="39"/>
  <c r="KE31" i="39"/>
  <c r="KM31" i="39"/>
  <c r="KH30" i="39"/>
  <c r="GA30" i="39"/>
  <c r="GE26" i="39"/>
  <c r="KR26" i="39"/>
  <c r="GB25" i="39"/>
  <c r="KI25" i="39"/>
  <c r="GC20" i="39"/>
  <c r="KK20" i="39"/>
  <c r="GE18" i="39"/>
  <c r="KR18" i="39"/>
  <c r="GD15" i="39"/>
  <c r="KM15" i="39"/>
  <c r="GA14" i="39"/>
  <c r="KH14" i="39"/>
  <c r="GB9" i="39"/>
  <c r="FY9" i="39"/>
  <c r="CG108" i="39"/>
  <c r="GA47" i="21"/>
  <c r="KH47" i="21"/>
  <c r="GC42" i="21"/>
  <c r="FY42" i="21"/>
  <c r="KK42" i="21"/>
  <c r="GE40" i="21"/>
  <c r="KR40" i="21"/>
  <c r="GB39" i="21"/>
  <c r="FY39" i="21"/>
  <c r="GJ39" i="21"/>
  <c r="KI39" i="21"/>
  <c r="GA36" i="21"/>
  <c r="KD36" i="21"/>
  <c r="KE36" i="21"/>
  <c r="KH36" i="21"/>
  <c r="GC34" i="21"/>
  <c r="KD34" i="21"/>
  <c r="KE34" i="21"/>
  <c r="KK34" i="21"/>
  <c r="GA28" i="21"/>
  <c r="KD28" i="21"/>
  <c r="KE28" i="21"/>
  <c r="KH28" i="21"/>
  <c r="GD21" i="21"/>
  <c r="KM21" i="21"/>
  <c r="GB15" i="21"/>
  <c r="KD15" i="21"/>
  <c r="KE15" i="21"/>
  <c r="KI15" i="21"/>
  <c r="GE11" i="21"/>
  <c r="FY11" i="21"/>
  <c r="GK11" i="21"/>
  <c r="KR11" i="21"/>
  <c r="GC11" i="22"/>
  <c r="KK11" i="22"/>
  <c r="GD9" i="22"/>
  <c r="KM9" i="22"/>
  <c r="GB40" i="31"/>
  <c r="KI40" i="31"/>
  <c r="GD28" i="31"/>
  <c r="KM28" i="31"/>
  <c r="GE23" i="31"/>
  <c r="KR23" i="31"/>
  <c r="GC19" i="31"/>
  <c r="KK19" i="31"/>
  <c r="GD17" i="31"/>
  <c r="KM17" i="31"/>
  <c r="GE9" i="31"/>
  <c r="KR9" i="31"/>
  <c r="EB74" i="19"/>
  <c r="EB46" i="19"/>
  <c r="OH36" i="19"/>
  <c r="OK36" i="19"/>
  <c r="FY64" i="19"/>
  <c r="GK64" i="19"/>
  <c r="BH13" i="33"/>
  <c r="HG40" i="19"/>
  <c r="HT40" i="19"/>
  <c r="HS40" i="19"/>
  <c r="OR77" i="39"/>
  <c r="OR88" i="19"/>
  <c r="OU88" i="19"/>
  <c r="OH58" i="19"/>
  <c r="OL58" i="19"/>
  <c r="HH27" i="19"/>
  <c r="FY59" i="19"/>
  <c r="AY11" i="19"/>
  <c r="FZ100" i="19"/>
  <c r="FY100" i="19"/>
  <c r="GJ100" i="19"/>
  <c r="KG100" i="19"/>
  <c r="KF92" i="19"/>
  <c r="CE92" i="19"/>
  <c r="CE84" i="19"/>
  <c r="KG84" i="19"/>
  <c r="KF84" i="19"/>
  <c r="FZ45" i="34"/>
  <c r="FY45" i="34"/>
  <c r="KG45" i="34"/>
  <c r="Y79" i="19"/>
  <c r="BI108" i="39"/>
  <c r="Y34" i="19"/>
  <c r="HE23" i="35"/>
  <c r="HE39" i="19"/>
  <c r="BK75" i="39"/>
  <c r="IU95" i="19"/>
  <c r="AT49" i="19"/>
  <c r="AX24" i="22"/>
  <c r="AZ24" i="22"/>
  <c r="IQ69" i="35"/>
  <c r="KD68" i="19"/>
  <c r="KE68" i="19"/>
  <c r="HG61" i="19"/>
  <c r="HE59" i="39"/>
  <c r="IU55" i="19"/>
  <c r="AT28" i="19"/>
  <c r="AT12" i="19"/>
  <c r="KD38" i="19"/>
  <c r="KE38" i="19"/>
  <c r="Y10" i="19"/>
  <c r="HE104" i="19"/>
  <c r="OH104" i="19"/>
  <c r="BK68" i="39"/>
  <c r="AR94" i="19"/>
  <c r="AX52" i="19"/>
  <c r="AZ52" i="19"/>
  <c r="BD64" i="19"/>
  <c r="BD56" i="19"/>
  <c r="HE16" i="35"/>
  <c r="IU14" i="19"/>
  <c r="Y22" i="19"/>
  <c r="BK19" i="34"/>
  <c r="M57" i="19"/>
  <c r="KD19" i="19"/>
  <c r="KE19" i="19"/>
  <c r="Y30" i="19"/>
  <c r="BK57" i="39"/>
  <c r="BK73" i="39"/>
  <c r="AY20" i="32"/>
  <c r="AR58" i="19"/>
  <c r="BD19" i="19"/>
  <c r="KR37" i="39"/>
  <c r="PO13" i="39"/>
  <c r="PQ13" i="39"/>
  <c r="Q126" i="19"/>
  <c r="BD68" i="19"/>
  <c r="OL37" i="35"/>
  <c r="OK37" i="35"/>
  <c r="CQ12" i="34"/>
  <c r="IO21" i="19"/>
  <c r="IQ21" i="19"/>
  <c r="EB21" i="19"/>
  <c r="AV62" i="19"/>
  <c r="AY62" i="19"/>
  <c r="AV36" i="19"/>
  <c r="AY36" i="19"/>
  <c r="HS69" i="34"/>
  <c r="HS67" i="34"/>
  <c r="IO69" i="34"/>
  <c r="IO67" i="34"/>
  <c r="HD76" i="34"/>
  <c r="GT11" i="19"/>
  <c r="GV11" i="19"/>
  <c r="GW60" i="19"/>
  <c r="GZ60" i="19"/>
  <c r="GT10" i="34"/>
  <c r="GV10" i="34"/>
  <c r="GX10" i="34"/>
  <c r="GY10" i="34"/>
  <c r="GO67" i="34"/>
  <c r="GO69" i="34"/>
  <c r="GV11" i="34"/>
  <c r="GX11" i="34"/>
  <c r="GY11" i="34"/>
  <c r="JB67" i="34"/>
  <c r="JB69" i="34"/>
  <c r="HW11" i="34"/>
  <c r="HX11" i="34"/>
  <c r="HQ12" i="34"/>
  <c r="HP12" i="34"/>
  <c r="HW12" i="34"/>
  <c r="HV12" i="34"/>
  <c r="GT50" i="34"/>
  <c r="GV50" i="34"/>
  <c r="GW50" i="34"/>
  <c r="GV10" i="33"/>
  <c r="GX10" i="33"/>
  <c r="GY10" i="33"/>
  <c r="GS13" i="33"/>
  <c r="HQ32" i="31"/>
  <c r="HP32" i="31"/>
  <c r="HW32" i="31"/>
  <c r="HX32" i="31"/>
  <c r="IP102" i="19"/>
  <c r="IO102" i="19"/>
  <c r="BK102" i="19"/>
  <c r="AY101" i="19"/>
  <c r="AV101" i="19"/>
  <c r="BK103" i="19"/>
  <c r="IP103" i="19"/>
  <c r="BA101" i="19"/>
  <c r="AX101" i="19"/>
  <c r="KO9" i="33"/>
  <c r="KO13" i="33"/>
  <c r="CM13" i="33"/>
  <c r="KJ9" i="35"/>
  <c r="KJ70" i="35"/>
  <c r="CH70" i="35"/>
  <c r="JT70" i="35"/>
  <c r="JO10" i="35"/>
  <c r="JO11" i="35"/>
  <c r="JY70" i="35"/>
  <c r="JO13" i="35"/>
  <c r="JS70" i="35"/>
  <c r="JO14" i="35"/>
  <c r="JX70" i="35"/>
  <c r="JU70" i="35"/>
  <c r="JO15" i="35"/>
  <c r="JO16" i="35"/>
  <c r="JR70" i="35"/>
  <c r="JO17" i="35"/>
  <c r="JW70" i="35"/>
  <c r="KQ35" i="21"/>
  <c r="CQ35" i="21"/>
  <c r="KL16" i="34"/>
  <c r="CQ16" i="34"/>
  <c r="KJ39" i="34"/>
  <c r="CQ39" i="34"/>
  <c r="KL54" i="34"/>
  <c r="CQ54" i="34"/>
  <c r="IU12" i="34"/>
  <c r="Y12" i="34"/>
  <c r="PQ25" i="21"/>
  <c r="AD25" i="21"/>
  <c r="IY25" i="21"/>
  <c r="AD11" i="22"/>
  <c r="PQ11" i="22"/>
  <c r="IY33" i="34"/>
  <c r="PQ33" i="34"/>
  <c r="AD54" i="34"/>
  <c r="IY54" i="34"/>
  <c r="PQ54" i="34"/>
  <c r="AX46" i="19"/>
  <c r="AY46" i="19"/>
  <c r="IP35" i="19"/>
  <c r="BK35" i="19"/>
  <c r="HH36" i="19"/>
  <c r="HT36" i="19"/>
  <c r="HU36" i="19"/>
  <c r="IQ30" i="31"/>
  <c r="IO30" i="31"/>
  <c r="Y31" i="32"/>
  <c r="IU31" i="32"/>
  <c r="PO13" i="21"/>
  <c r="PO57" i="21"/>
  <c r="AD13" i="21"/>
  <c r="AD10" i="33"/>
  <c r="IY10" i="33"/>
  <c r="AD37" i="34"/>
  <c r="IY37" i="34"/>
  <c r="PQ37" i="34"/>
  <c r="BA54" i="19"/>
  <c r="AX54" i="19"/>
  <c r="BA10" i="19"/>
  <c r="AX10" i="19"/>
  <c r="IO90" i="19"/>
  <c r="IQ90" i="19"/>
  <c r="CQ45" i="34"/>
  <c r="HS47" i="21"/>
  <c r="HU47" i="21"/>
  <c r="IY11" i="22"/>
  <c r="IO15" i="35"/>
  <c r="IQ15" i="35"/>
  <c r="IU25" i="32"/>
  <c r="Y25" i="32"/>
  <c r="AD17" i="21"/>
  <c r="PQ17" i="21"/>
  <c r="IY17" i="21"/>
  <c r="IY33" i="21"/>
  <c r="PQ33" i="21"/>
  <c r="AD33" i="21"/>
  <c r="PQ41" i="34"/>
  <c r="AD41" i="34"/>
  <c r="IY41" i="34"/>
  <c r="BA18" i="19"/>
  <c r="AX18" i="19"/>
  <c r="IQ75" i="19"/>
  <c r="IO75" i="19"/>
  <c r="IQ29" i="19"/>
  <c r="IO29" i="19"/>
  <c r="IP12" i="19"/>
  <c r="IP126" i="19"/>
  <c r="BK12" i="19"/>
  <c r="CQ31" i="34"/>
  <c r="IQ55" i="34"/>
  <c r="AD33" i="34"/>
  <c r="PQ49" i="34"/>
  <c r="GW33" i="19"/>
  <c r="HI33" i="19"/>
  <c r="IY13" i="21"/>
  <c r="HG30" i="21"/>
  <c r="HH30" i="21"/>
  <c r="OH30" i="21"/>
  <c r="OK30" i="21"/>
  <c r="KQ12" i="21"/>
  <c r="KL26" i="34"/>
  <c r="CQ26" i="34"/>
  <c r="IU46" i="34"/>
  <c r="Y46" i="34"/>
  <c r="IY29" i="21"/>
  <c r="PQ29" i="21"/>
  <c r="AD29" i="21"/>
  <c r="IY45" i="34"/>
  <c r="AD45" i="34"/>
  <c r="AX36" i="19"/>
  <c r="BA36" i="19"/>
  <c r="IP98" i="19"/>
  <c r="BK98" i="19"/>
  <c r="IP22" i="19"/>
  <c r="BK22" i="19"/>
  <c r="HR61" i="19"/>
  <c r="HP61" i="19"/>
  <c r="Y20" i="34"/>
  <c r="AD29" i="34"/>
  <c r="CQ51" i="34"/>
  <c r="AD49" i="34"/>
  <c r="Y17" i="21"/>
  <c r="KG15" i="35"/>
  <c r="FZ15" i="35"/>
  <c r="IP30" i="34"/>
  <c r="IO30" i="34"/>
  <c r="BK30" i="34"/>
  <c r="AD13" i="34"/>
  <c r="IY13" i="34"/>
  <c r="PQ13" i="34"/>
  <c r="IY25" i="34"/>
  <c r="AD25" i="34"/>
  <c r="PQ25" i="34"/>
  <c r="BA62" i="19"/>
  <c r="AX62" i="19"/>
  <c r="AX27" i="19"/>
  <c r="AY27" i="19"/>
  <c r="BA27" i="19"/>
  <c r="IY29" i="34"/>
  <c r="FZ49" i="34"/>
  <c r="FY49" i="34"/>
  <c r="GK49" i="34"/>
  <c r="HH24" i="35"/>
  <c r="HS24" i="35"/>
  <c r="IA115" i="19"/>
  <c r="KG42" i="21"/>
  <c r="PQ59" i="19"/>
  <c r="IY91" i="19"/>
  <c r="IQ19" i="19"/>
  <c r="IO19" i="19"/>
  <c r="CQ42" i="34"/>
  <c r="CE30" i="34"/>
  <c r="CQ30" i="34"/>
  <c r="KG37" i="34"/>
  <c r="GW56" i="39"/>
  <c r="AD59" i="19"/>
  <c r="KG34" i="19"/>
  <c r="BA106" i="19"/>
  <c r="AY106" i="19"/>
  <c r="U52" i="19"/>
  <c r="BD52" i="19"/>
  <c r="U46" i="19"/>
  <c r="BD46" i="19"/>
  <c r="U30" i="19"/>
  <c r="AV30" i="19"/>
  <c r="U23" i="19"/>
  <c r="AV23" i="19"/>
  <c r="U15" i="19"/>
  <c r="AV15" i="19"/>
  <c r="BD15" i="19"/>
  <c r="AD83" i="19"/>
  <c r="IY83" i="19"/>
  <c r="AD75" i="19"/>
  <c r="PQ75" i="19"/>
  <c r="IY75" i="19"/>
  <c r="AD67" i="19"/>
  <c r="IY67" i="19"/>
  <c r="AD51" i="19"/>
  <c r="PQ51" i="19"/>
  <c r="IY51" i="19"/>
  <c r="AD26" i="19"/>
  <c r="IY26" i="19"/>
  <c r="PQ26" i="19"/>
  <c r="IY10" i="19"/>
  <c r="PQ10" i="19"/>
  <c r="FZ107" i="19"/>
  <c r="KG107" i="19"/>
  <c r="FZ99" i="19"/>
  <c r="KG99" i="19"/>
  <c r="CE34" i="21"/>
  <c r="CQ34" i="21"/>
  <c r="KF34" i="21"/>
  <c r="FZ17" i="21"/>
  <c r="FY17" i="21"/>
  <c r="KG17" i="21"/>
  <c r="KG12" i="32"/>
  <c r="FZ12" i="32"/>
  <c r="KF22" i="34"/>
  <c r="CE22" i="34"/>
  <c r="KG22" i="34"/>
  <c r="KG12" i="34"/>
  <c r="FZ12" i="34"/>
  <c r="EB25" i="39"/>
  <c r="BD100" i="19"/>
  <c r="PQ83" i="19"/>
  <c r="KF39" i="35"/>
  <c r="HG25" i="21"/>
  <c r="HH25" i="21"/>
  <c r="FZ26" i="21"/>
  <c r="FY26" i="21"/>
  <c r="PQ91" i="19"/>
  <c r="U107" i="19"/>
  <c r="IU29" i="21"/>
  <c r="Y29" i="21"/>
  <c r="IQ10" i="33"/>
  <c r="IO10" i="33"/>
  <c r="Y36" i="34"/>
  <c r="IU36" i="34"/>
  <c r="IU48" i="34"/>
  <c r="Y48" i="34"/>
  <c r="IU10" i="35"/>
  <c r="Y10" i="35"/>
  <c r="IU22" i="35"/>
  <c r="Y22" i="35"/>
  <c r="IU35" i="35"/>
  <c r="Y35" i="35"/>
  <c r="IU39" i="35"/>
  <c r="Y39" i="35"/>
  <c r="Y48" i="35"/>
  <c r="IU48" i="35"/>
  <c r="IU53" i="35"/>
  <c r="Y53" i="35"/>
  <c r="Y30" i="32"/>
  <c r="IU30" i="32"/>
  <c r="IU12" i="32"/>
  <c r="Y12" i="32"/>
  <c r="PQ34" i="21"/>
  <c r="IY34" i="21"/>
  <c r="OV9" i="19"/>
  <c r="OW9" i="19"/>
  <c r="BD62" i="19"/>
  <c r="CD70" i="35"/>
  <c r="KF49" i="35"/>
  <c r="KD52" i="35"/>
  <c r="KE52" i="35"/>
  <c r="OH74" i="19"/>
  <c r="OK74" i="19"/>
  <c r="BD75" i="19"/>
  <c r="AX106" i="19"/>
  <c r="AZ106" i="19"/>
  <c r="BD23" i="19"/>
  <c r="BD92" i="19"/>
  <c r="FZ25" i="35"/>
  <c r="FY25" i="35"/>
  <c r="IY18" i="19"/>
  <c r="IQ27" i="34"/>
  <c r="IO27" i="34"/>
  <c r="HG57" i="35"/>
  <c r="HH57" i="35"/>
  <c r="CD57" i="21"/>
  <c r="AD126" i="19"/>
  <c r="KG59" i="35"/>
  <c r="AD18" i="19"/>
  <c r="Q13" i="33"/>
  <c r="OV48" i="35"/>
  <c r="HD117" i="39"/>
  <c r="IQ41" i="39"/>
  <c r="HC66" i="39"/>
  <c r="HE66" i="39"/>
  <c r="HC85" i="39"/>
  <c r="HE85" i="39"/>
  <c r="GB120" i="19"/>
  <c r="AR30" i="19"/>
  <c r="AR22" i="19"/>
  <c r="AX43" i="19"/>
  <c r="BD38" i="19"/>
  <c r="BK95" i="19"/>
  <c r="KI111" i="19"/>
  <c r="GB118" i="19"/>
  <c r="KF44" i="21"/>
  <c r="PQ115" i="19"/>
  <c r="PQ119" i="19"/>
  <c r="KD54" i="19"/>
  <c r="KE54" i="19"/>
  <c r="OM9" i="19"/>
  <c r="HG87" i="19"/>
  <c r="HT87" i="19"/>
  <c r="FY24" i="21"/>
  <c r="GK24" i="21"/>
  <c r="KD12" i="35"/>
  <c r="KE12" i="35"/>
  <c r="IU91" i="19"/>
  <c r="IQ37" i="39"/>
  <c r="IU47" i="19"/>
  <c r="AR14" i="19"/>
  <c r="AY14" i="19"/>
  <c r="BK30" i="19"/>
  <c r="EB24" i="19"/>
  <c r="EB22" i="19"/>
  <c r="EB51" i="19"/>
  <c r="EB43" i="19"/>
  <c r="BK9" i="19"/>
  <c r="AY18" i="19"/>
  <c r="AY10" i="19"/>
  <c r="EJ127" i="19"/>
  <c r="GT21" i="19"/>
  <c r="GV21" i="19"/>
  <c r="IC21" i="19"/>
  <c r="GT22" i="19"/>
  <c r="GV22" i="19"/>
  <c r="GW22" i="19"/>
  <c r="GT23" i="19"/>
  <c r="GV23" i="19"/>
  <c r="GW23" i="19"/>
  <c r="GZ23" i="19"/>
  <c r="GT27" i="19"/>
  <c r="GV27" i="19"/>
  <c r="II27" i="19"/>
  <c r="GT31" i="19"/>
  <c r="GV31" i="19"/>
  <c r="GX31" i="19"/>
  <c r="GY31" i="19"/>
  <c r="GT69" i="19"/>
  <c r="GV69" i="19"/>
  <c r="GT71" i="19"/>
  <c r="GV71" i="19"/>
  <c r="IC71" i="19"/>
  <c r="IB71" i="19"/>
  <c r="GT72" i="19"/>
  <c r="GV72" i="19"/>
  <c r="II72" i="19"/>
  <c r="IL72" i="19"/>
  <c r="GT76" i="19"/>
  <c r="GV76" i="19"/>
  <c r="GT84" i="19"/>
  <c r="GV84" i="19"/>
  <c r="GT92" i="19"/>
  <c r="GV92" i="19"/>
  <c r="GX92" i="19"/>
  <c r="GY92" i="19"/>
  <c r="GT21" i="21"/>
  <c r="GV21" i="21"/>
  <c r="IC21" i="21"/>
  <c r="GT12" i="35"/>
  <c r="GV12" i="35"/>
  <c r="GX12" i="35"/>
  <c r="GY12" i="35"/>
  <c r="GT19" i="35"/>
  <c r="GV19" i="35"/>
  <c r="GV21" i="35"/>
  <c r="GX21" i="35"/>
  <c r="GY21" i="35"/>
  <c r="GT28" i="35"/>
  <c r="GV28" i="35"/>
  <c r="II28" i="35"/>
  <c r="IJ28" i="35"/>
  <c r="GT30" i="35"/>
  <c r="GV30" i="35"/>
  <c r="GW30" i="35"/>
  <c r="GT35" i="35"/>
  <c r="GV35" i="35"/>
  <c r="GW35" i="35"/>
  <c r="GT45" i="35"/>
  <c r="GV45" i="35"/>
  <c r="GW45" i="35"/>
  <c r="GT57" i="35"/>
  <c r="GV57" i="35"/>
  <c r="IC57" i="35"/>
  <c r="ID57" i="35"/>
  <c r="GT38" i="34"/>
  <c r="GV38" i="34"/>
  <c r="GV9" i="33"/>
  <c r="GT96" i="19"/>
  <c r="GV96" i="19"/>
  <c r="GT102" i="19"/>
  <c r="GV102" i="19"/>
  <c r="IC102" i="19"/>
  <c r="GT105" i="19"/>
  <c r="GV105" i="19"/>
  <c r="GT107" i="19"/>
  <c r="GV107" i="19"/>
  <c r="GX107" i="19"/>
  <c r="GY107" i="19"/>
  <c r="JO13" i="19"/>
  <c r="JO16" i="19"/>
  <c r="JO23" i="19"/>
  <c r="JO38" i="21"/>
  <c r="KH116" i="19"/>
  <c r="Y61" i="39"/>
  <c r="IO47" i="39"/>
  <c r="IU107" i="19"/>
  <c r="IU63" i="19"/>
  <c r="Y64" i="39"/>
  <c r="IU43" i="19"/>
  <c r="BK12" i="22"/>
  <c r="HG14" i="21"/>
  <c r="HH14" i="21"/>
  <c r="U13" i="33"/>
  <c r="IU87" i="19"/>
  <c r="Y72" i="39"/>
  <c r="IQ44" i="39"/>
  <c r="IU18" i="19"/>
  <c r="Q28" i="39"/>
  <c r="BK36" i="21"/>
  <c r="KF9" i="31"/>
  <c r="GE25" i="22"/>
  <c r="AD37" i="39"/>
  <c r="Y26" i="19"/>
  <c r="Y49" i="39"/>
  <c r="DW13" i="33"/>
  <c r="EB86" i="19"/>
  <c r="AV46" i="19"/>
  <c r="BK67" i="39"/>
  <c r="GW24" i="22"/>
  <c r="GX51" i="31"/>
  <c r="GY51" i="31"/>
  <c r="HV42" i="31"/>
  <c r="HZ42" i="31"/>
  <c r="IA42" i="31"/>
  <c r="IQ92" i="19"/>
  <c r="AD11" i="21"/>
  <c r="PQ11" i="21"/>
  <c r="AD15" i="21"/>
  <c r="IY15" i="21"/>
  <c r="PQ15" i="21"/>
  <c r="AD19" i="21"/>
  <c r="IY19" i="21"/>
  <c r="AD31" i="21"/>
  <c r="IY31" i="21"/>
  <c r="AD35" i="21"/>
  <c r="IY35" i="21"/>
  <c r="PQ35" i="21"/>
  <c r="AD39" i="21"/>
  <c r="IY39" i="21"/>
  <c r="IY13" i="32"/>
  <c r="AD13" i="32"/>
  <c r="IY19" i="34"/>
  <c r="AD19" i="34"/>
  <c r="AD23" i="34"/>
  <c r="PQ23" i="34"/>
  <c r="IY23" i="34"/>
  <c r="IY35" i="34"/>
  <c r="AD35" i="34"/>
  <c r="AD43" i="34"/>
  <c r="IY43" i="34"/>
  <c r="AD47" i="34"/>
  <c r="IY47" i="34"/>
  <c r="AD9" i="35"/>
  <c r="PQ9" i="35"/>
  <c r="BA96" i="19"/>
  <c r="AX96" i="19"/>
  <c r="AX31" i="19"/>
  <c r="AY31" i="19"/>
  <c r="BA23" i="19"/>
  <c r="AX23" i="19"/>
  <c r="BE11" i="19"/>
  <c r="BD11" i="19"/>
  <c r="IO88" i="19"/>
  <c r="IQ88" i="19"/>
  <c r="IO67" i="19"/>
  <c r="IQ67" i="19"/>
  <c r="IP48" i="19"/>
  <c r="BK48" i="19"/>
  <c r="IO44" i="19"/>
  <c r="IQ44" i="19"/>
  <c r="IP17" i="19"/>
  <c r="BK17" i="19"/>
  <c r="KD29" i="34"/>
  <c r="KE29" i="34"/>
  <c r="FZ18" i="35"/>
  <c r="FY18" i="35"/>
  <c r="GK18" i="35"/>
  <c r="IP11" i="21"/>
  <c r="BK11" i="21"/>
  <c r="IU16" i="21"/>
  <c r="Y16" i="21"/>
  <c r="IU39" i="21"/>
  <c r="Y39" i="21"/>
  <c r="IQ31" i="32"/>
  <c r="IO31" i="32"/>
  <c r="IU15" i="35"/>
  <c r="Y15" i="35"/>
  <c r="FZ9" i="32"/>
  <c r="KG9" i="32"/>
  <c r="HG47" i="39"/>
  <c r="FY82" i="19"/>
  <c r="GK82" i="19"/>
  <c r="FZ59" i="39"/>
  <c r="FY59" i="39"/>
  <c r="KG59" i="39"/>
  <c r="HG40" i="21"/>
  <c r="OH40" i="21"/>
  <c r="OL40" i="21"/>
  <c r="HG31" i="35"/>
  <c r="HH31" i="35"/>
  <c r="OH31" i="35"/>
  <c r="OL31" i="35"/>
  <c r="Y23" i="34"/>
  <c r="IU23" i="34"/>
  <c r="IO13" i="35"/>
  <c r="IQ13" i="35"/>
  <c r="KD116" i="19"/>
  <c r="KE116" i="19"/>
  <c r="HS53" i="35"/>
  <c r="IC57" i="19"/>
  <c r="IB57" i="19"/>
  <c r="KG22" i="35"/>
  <c r="HT52" i="35"/>
  <c r="HH52" i="35"/>
  <c r="FY26" i="35"/>
  <c r="GK26" i="35"/>
  <c r="IQ25" i="21"/>
  <c r="IO25" i="21"/>
  <c r="OH71" i="19"/>
  <c r="OK71" i="19"/>
  <c r="HG71" i="19"/>
  <c r="OU26" i="21"/>
  <c r="OV26" i="21"/>
  <c r="OR37" i="35"/>
  <c r="OU37" i="35"/>
  <c r="II37" i="19"/>
  <c r="IJ37" i="19"/>
  <c r="GW75" i="19"/>
  <c r="GW57" i="19"/>
  <c r="HI57" i="19"/>
  <c r="OR11" i="35"/>
  <c r="OU11" i="35"/>
  <c r="GK109" i="19"/>
  <c r="GQ70" i="35"/>
  <c r="HG43" i="35"/>
  <c r="HW42" i="21"/>
  <c r="HX42" i="21"/>
  <c r="HW24" i="35"/>
  <c r="BK27" i="21"/>
  <c r="EB25" i="35"/>
  <c r="BK55" i="19"/>
  <c r="JC113" i="19"/>
  <c r="PG113" i="19"/>
  <c r="EB39" i="19"/>
  <c r="GR29" i="22"/>
  <c r="BK22" i="39"/>
  <c r="EB19" i="39"/>
  <c r="GT33" i="39"/>
  <c r="GV33" i="39"/>
  <c r="NO13" i="33"/>
  <c r="GT82" i="39"/>
  <c r="GV82" i="39"/>
  <c r="GT23" i="39"/>
  <c r="GV23" i="39"/>
  <c r="II23" i="39"/>
  <c r="GT56" i="39"/>
  <c r="HC26" i="22"/>
  <c r="HE26" i="22"/>
  <c r="HG26" i="22"/>
  <c r="HH26" i="22"/>
  <c r="FY43" i="35"/>
  <c r="GK43" i="35"/>
  <c r="KD24" i="21"/>
  <c r="KE24" i="21"/>
  <c r="KD69" i="19"/>
  <c r="KE69" i="19"/>
  <c r="HG75" i="19"/>
  <c r="HH75" i="19"/>
  <c r="KD14" i="19"/>
  <c r="KE14" i="19"/>
  <c r="AY105" i="19"/>
  <c r="KF22" i="19"/>
  <c r="KF44" i="35"/>
  <c r="KD86" i="19"/>
  <c r="KE86" i="19"/>
  <c r="KD12" i="34"/>
  <c r="KE12" i="34"/>
  <c r="KD96" i="19"/>
  <c r="KE96" i="19"/>
  <c r="KF54" i="35"/>
  <c r="GB54" i="21"/>
  <c r="KK69" i="35"/>
  <c r="GX45" i="31"/>
  <c r="GY45" i="31"/>
  <c r="HW10" i="33"/>
  <c r="HX10" i="33"/>
  <c r="AZ111" i="19"/>
  <c r="AV10" i="19"/>
  <c r="AZ10" i="19"/>
  <c r="BK61" i="39"/>
  <c r="DX57" i="21"/>
  <c r="EA13" i="33"/>
  <c r="EB9" i="34"/>
  <c r="EB29" i="34"/>
  <c r="EB30" i="34"/>
  <c r="EB33" i="34"/>
  <c r="EB37" i="34"/>
  <c r="EB41" i="34"/>
  <c r="EB45" i="34"/>
  <c r="EB54" i="34"/>
  <c r="EB22" i="35"/>
  <c r="EB23" i="35"/>
  <c r="EB24" i="35"/>
  <c r="EB27" i="35"/>
  <c r="EB35" i="35"/>
  <c r="EB39" i="35"/>
  <c r="EB48" i="35"/>
  <c r="EB53" i="35"/>
  <c r="EB58" i="35"/>
  <c r="Z57" i="21"/>
  <c r="FZ9" i="33"/>
  <c r="FY9" i="33"/>
  <c r="AY25" i="19"/>
  <c r="AX16" i="19"/>
  <c r="BK20" i="19"/>
  <c r="BK69" i="19"/>
  <c r="BK63" i="19"/>
  <c r="BK91" i="19"/>
  <c r="BK83" i="19"/>
  <c r="BK51" i="19"/>
  <c r="BK45" i="19"/>
  <c r="BK28" i="19"/>
  <c r="BK21" i="19"/>
  <c r="BK10" i="19"/>
  <c r="FZ25" i="22"/>
  <c r="BD55" i="19"/>
  <c r="HG17" i="35"/>
  <c r="GB11" i="33"/>
  <c r="GB13" i="33"/>
  <c r="IA62" i="35"/>
  <c r="HY62" i="35"/>
  <c r="GT62" i="35"/>
  <c r="HV62" i="35"/>
  <c r="HX62" i="35"/>
  <c r="GV123" i="19"/>
  <c r="GX50" i="31"/>
  <c r="GY50" i="31"/>
  <c r="GW50" i="31"/>
  <c r="II44" i="31"/>
  <c r="IH44" i="31"/>
  <c r="IQ40" i="34"/>
  <c r="IO40" i="34"/>
  <c r="HH17" i="19"/>
  <c r="HT17" i="19"/>
  <c r="HS17" i="19"/>
  <c r="BA100" i="19"/>
  <c r="AX100" i="19"/>
  <c r="AZ100" i="19"/>
  <c r="OL47" i="34"/>
  <c r="OM47" i="34"/>
  <c r="GW27" i="19"/>
  <c r="GZ27" i="19"/>
  <c r="AD18" i="34"/>
  <c r="OH17" i="19"/>
  <c r="OK17" i="19"/>
  <c r="KD79" i="19"/>
  <c r="KE79" i="19"/>
  <c r="PQ46" i="34"/>
  <c r="AX25" i="19"/>
  <c r="PQ30" i="34"/>
  <c r="IY38" i="34"/>
  <c r="AY100" i="19"/>
  <c r="BA65" i="19"/>
  <c r="AY65" i="19"/>
  <c r="AY43" i="19"/>
  <c r="HQ9" i="33"/>
  <c r="IX13" i="33"/>
  <c r="IX15" i="33"/>
  <c r="OR47" i="34"/>
  <c r="OU47" i="34"/>
  <c r="GW57" i="35"/>
  <c r="GZ57" i="35"/>
  <c r="HG48" i="35"/>
  <c r="PQ18" i="34"/>
  <c r="OH91" i="19"/>
  <c r="GX100" i="39"/>
  <c r="GY100" i="39"/>
  <c r="IO58" i="19"/>
  <c r="OH12" i="19"/>
  <c r="OL12" i="19"/>
  <c r="FY27" i="35"/>
  <c r="GJ27" i="35"/>
  <c r="IQ18" i="19"/>
  <c r="IY42" i="34"/>
  <c r="AY33" i="19"/>
  <c r="PQ38" i="34"/>
  <c r="PQ26" i="34"/>
  <c r="Y14" i="35"/>
  <c r="PQ30" i="21"/>
  <c r="OH54" i="19"/>
  <c r="OL54" i="19"/>
  <c r="OU22" i="21"/>
  <c r="FZ42" i="34"/>
  <c r="FY42" i="34"/>
  <c r="GK42" i="34"/>
  <c r="HG35" i="19"/>
  <c r="PQ42" i="34"/>
  <c r="AY16" i="19"/>
  <c r="AZ56" i="19"/>
  <c r="BK79" i="19"/>
  <c r="BK35" i="21"/>
  <c r="IY30" i="21"/>
  <c r="AX60" i="19"/>
  <c r="IY26" i="21"/>
  <c r="AD26" i="21"/>
  <c r="IO37" i="19"/>
  <c r="IQ37" i="19"/>
  <c r="IF94" i="19"/>
  <c r="IG94" i="19"/>
  <c r="OH32" i="19"/>
  <c r="KG42" i="34"/>
  <c r="OR63" i="19"/>
  <c r="OH87" i="19"/>
  <c r="Y37" i="21"/>
  <c r="IY50" i="34"/>
  <c r="BA52" i="19"/>
  <c r="AY52" i="19"/>
  <c r="BK54" i="19"/>
  <c r="PQ26" i="21"/>
  <c r="IQ87" i="19"/>
  <c r="IO87" i="19"/>
  <c r="IQ89" i="19"/>
  <c r="IO89" i="19"/>
  <c r="FZ49" i="35"/>
  <c r="FY94" i="19"/>
  <c r="GK94" i="19"/>
  <c r="AD50" i="34"/>
  <c r="KD43" i="19"/>
  <c r="KE43" i="19"/>
  <c r="IY30" i="32"/>
  <c r="CF13" i="22"/>
  <c r="KF13" i="22"/>
  <c r="KG10" i="33"/>
  <c r="KG13" i="33"/>
  <c r="FZ10" i="33"/>
  <c r="FY10" i="33"/>
  <c r="CE13" i="33"/>
  <c r="U24" i="19"/>
  <c r="BD24" i="19"/>
  <c r="IY100" i="19"/>
  <c r="PQ100" i="19"/>
  <c r="PQ92" i="19"/>
  <c r="AD92" i="19"/>
  <c r="AD84" i="19"/>
  <c r="IY84" i="19"/>
  <c r="PQ84" i="19"/>
  <c r="PQ68" i="19"/>
  <c r="IY68" i="19"/>
  <c r="PQ60" i="19"/>
  <c r="AD60" i="19"/>
  <c r="AD52" i="19"/>
  <c r="IY52" i="19"/>
  <c r="PQ52" i="19"/>
  <c r="AD44" i="19"/>
  <c r="IY44" i="19"/>
  <c r="IY35" i="19"/>
  <c r="AD35" i="19"/>
  <c r="PQ35" i="19"/>
  <c r="AD27" i="19"/>
  <c r="PQ27" i="19"/>
  <c r="PQ11" i="19"/>
  <c r="AD11" i="19"/>
  <c r="KG76" i="19"/>
  <c r="FZ76" i="19"/>
  <c r="FY76" i="19"/>
  <c r="GJ76" i="19"/>
  <c r="FZ60" i="19"/>
  <c r="KG60" i="19"/>
  <c r="CE44" i="19"/>
  <c r="KF44" i="19"/>
  <c r="FZ31" i="34"/>
  <c r="FY31" i="34"/>
  <c r="KG31" i="34"/>
  <c r="KF13" i="34"/>
  <c r="CE13" i="34"/>
  <c r="KF16" i="35"/>
  <c r="CE16" i="35"/>
  <c r="KG16" i="35"/>
  <c r="IU44" i="39"/>
  <c r="Y44" i="39"/>
  <c r="Y41" i="21"/>
  <c r="IU41" i="21"/>
  <c r="IQ54" i="19"/>
  <c r="HG24" i="32"/>
  <c r="HT24" i="32"/>
  <c r="FY54" i="19"/>
  <c r="IO16" i="34"/>
  <c r="IQ23" i="32"/>
  <c r="OH55" i="35"/>
  <c r="OK55" i="35"/>
  <c r="BK23" i="32"/>
  <c r="OL35" i="19"/>
  <c r="IO79" i="19"/>
  <c r="IY10" i="21"/>
  <c r="IY30" i="34"/>
  <c r="IY26" i="34"/>
  <c r="IY15" i="32"/>
  <c r="AD15" i="32"/>
  <c r="IO49" i="19"/>
  <c r="IQ49" i="19"/>
  <c r="GW58" i="19"/>
  <c r="HI58" i="19"/>
  <c r="HS61" i="34"/>
  <c r="OL24" i="32"/>
  <c r="OM24" i="32"/>
  <c r="IA103" i="39"/>
  <c r="IQ52" i="19"/>
  <c r="OK35" i="19"/>
  <c r="OV56" i="35"/>
  <c r="OW56" i="35"/>
  <c r="KD44" i="35"/>
  <c r="KE44" i="35"/>
  <c r="KD19" i="35"/>
  <c r="KE19" i="35"/>
  <c r="IU10" i="32"/>
  <c r="GC67" i="35"/>
  <c r="IO77" i="39"/>
  <c r="Y11" i="39"/>
  <c r="Y73" i="39"/>
  <c r="NR13" i="33"/>
  <c r="AD69" i="35"/>
  <c r="GV66" i="35"/>
  <c r="GW66" i="35"/>
  <c r="Y30" i="39"/>
  <c r="Y62" i="39"/>
  <c r="Y24" i="39"/>
  <c r="EB97" i="19"/>
  <c r="EB93" i="19"/>
  <c r="EB91" i="19"/>
  <c r="EB85" i="19"/>
  <c r="EB83" i="19"/>
  <c r="EB77" i="19"/>
  <c r="EB75" i="19"/>
  <c r="EB73" i="19"/>
  <c r="EB69" i="19"/>
  <c r="EB67" i="19"/>
  <c r="EB65" i="19"/>
  <c r="EB57" i="19"/>
  <c r="EB53" i="19"/>
  <c r="EB49" i="19"/>
  <c r="EB45" i="19"/>
  <c r="EB40" i="19"/>
  <c r="EB36" i="19"/>
  <c r="EB30" i="19"/>
  <c r="EB28" i="19"/>
  <c r="EB26" i="19"/>
  <c r="EB20" i="19"/>
  <c r="EB18" i="19"/>
  <c r="EB14" i="19"/>
  <c r="EB12" i="19"/>
  <c r="EB100" i="19"/>
  <c r="AY49" i="19"/>
  <c r="AY40" i="19"/>
  <c r="GT12" i="19"/>
  <c r="GV12" i="19"/>
  <c r="GT20" i="19"/>
  <c r="GV20" i="19"/>
  <c r="GW20" i="19"/>
  <c r="GT28" i="19"/>
  <c r="GV28" i="19"/>
  <c r="GT29" i="19"/>
  <c r="GV29" i="19"/>
  <c r="GX29" i="19"/>
  <c r="GY29" i="19"/>
  <c r="GT30" i="19"/>
  <c r="GV30" i="19"/>
  <c r="II30" i="19"/>
  <c r="IH30" i="19"/>
  <c r="GT47" i="19"/>
  <c r="GV47" i="19"/>
  <c r="GT53" i="19"/>
  <c r="GV53" i="19"/>
  <c r="II53" i="19"/>
  <c r="IH53" i="19"/>
  <c r="GT54" i="19"/>
  <c r="GV54" i="19"/>
  <c r="GT55" i="19"/>
  <c r="GV55" i="19"/>
  <c r="GT62" i="19"/>
  <c r="GV62" i="19"/>
  <c r="GT63" i="19"/>
  <c r="GV63" i="19"/>
  <c r="GT70" i="19"/>
  <c r="GV70" i="19"/>
  <c r="GW70" i="19"/>
  <c r="GT77" i="19"/>
  <c r="GV77" i="19"/>
  <c r="II77" i="19"/>
  <c r="GT78" i="19"/>
  <c r="GV78" i="19"/>
  <c r="GW78" i="19"/>
  <c r="HI78" i="19"/>
  <c r="GT85" i="19"/>
  <c r="GV85" i="19"/>
  <c r="GX85" i="19"/>
  <c r="GY85" i="19"/>
  <c r="GT86" i="19"/>
  <c r="GV86" i="19"/>
  <c r="GT87" i="19"/>
  <c r="GV87" i="19"/>
  <c r="IC87" i="19"/>
  <c r="GT10" i="21"/>
  <c r="GV10" i="21"/>
  <c r="GT22" i="21"/>
  <c r="GV22" i="21"/>
  <c r="GT32" i="21"/>
  <c r="GV32" i="21"/>
  <c r="GW32" i="21"/>
  <c r="GT33" i="21"/>
  <c r="GV33" i="21"/>
  <c r="GT40" i="21"/>
  <c r="GV40" i="21"/>
  <c r="GW40" i="21"/>
  <c r="GZ40" i="21"/>
  <c r="GO57" i="21"/>
  <c r="GO59" i="21"/>
  <c r="GT20" i="35"/>
  <c r="GV20" i="35"/>
  <c r="GT37" i="35"/>
  <c r="GV37" i="35"/>
  <c r="IC37" i="35"/>
  <c r="IF37" i="35"/>
  <c r="IG37" i="35"/>
  <c r="GT38" i="35"/>
  <c r="GV38" i="35"/>
  <c r="GT46" i="35"/>
  <c r="GV46" i="35"/>
  <c r="GT47" i="35"/>
  <c r="GV47" i="35"/>
  <c r="HW9" i="34"/>
  <c r="HZ9" i="34"/>
  <c r="GT17" i="31"/>
  <c r="GV17" i="31"/>
  <c r="II17" i="31"/>
  <c r="GT95" i="19"/>
  <c r="GV95" i="19"/>
  <c r="IC95" i="19"/>
  <c r="ID95" i="19"/>
  <c r="EB104" i="19"/>
  <c r="EB105" i="19"/>
  <c r="BK107" i="19"/>
  <c r="GC113" i="19"/>
  <c r="AW29" i="22"/>
  <c r="P57" i="21"/>
  <c r="BK9" i="21"/>
  <c r="BK38" i="21"/>
  <c r="Z29" i="22"/>
  <c r="BK18" i="19"/>
  <c r="OP103" i="39"/>
  <c r="OT103" i="39"/>
  <c r="FZ23" i="22"/>
  <c r="PP10" i="33"/>
  <c r="GW21" i="22"/>
  <c r="HG9" i="35"/>
  <c r="HT9" i="35"/>
  <c r="EB39" i="21"/>
  <c r="DV13" i="33"/>
  <c r="DZ13" i="33"/>
  <c r="BD37" i="19"/>
  <c r="BD20" i="19"/>
  <c r="BD12" i="19"/>
  <c r="BK87" i="19"/>
  <c r="BK23" i="19"/>
  <c r="BK92" i="19"/>
  <c r="BK94" i="19"/>
  <c r="BK89" i="19"/>
  <c r="BK53" i="19"/>
  <c r="BK49" i="19"/>
  <c r="BK90" i="19"/>
  <c r="BK82" i="19"/>
  <c r="BK74" i="19"/>
  <c r="BK66" i="19"/>
  <c r="BK50" i="19"/>
  <c r="BK44" i="19"/>
  <c r="BK40" i="19"/>
  <c r="BK37" i="19"/>
  <c r="EB78" i="19"/>
  <c r="EB68" i="19"/>
  <c r="EB62" i="19"/>
  <c r="EB58" i="19"/>
  <c r="EB48" i="19"/>
  <c r="EB33" i="19"/>
  <c r="EB25" i="19"/>
  <c r="EB17" i="19"/>
  <c r="AY96" i="19"/>
  <c r="AY29" i="19"/>
  <c r="GU126" i="19"/>
  <c r="GT10" i="19"/>
  <c r="GV10" i="19"/>
  <c r="IC10" i="19"/>
  <c r="GT19" i="19"/>
  <c r="GV19" i="19"/>
  <c r="GT26" i="19"/>
  <c r="GV26" i="19"/>
  <c r="GT34" i="19"/>
  <c r="GV34" i="19"/>
  <c r="GT51" i="19"/>
  <c r="GV51" i="19"/>
  <c r="GT66" i="19"/>
  <c r="GV66" i="19"/>
  <c r="GW66" i="19"/>
  <c r="HI66" i="19"/>
  <c r="GT90" i="19"/>
  <c r="GV90" i="19"/>
  <c r="HW90" i="19"/>
  <c r="HG21" i="21"/>
  <c r="GT12" i="21"/>
  <c r="GV12" i="21"/>
  <c r="GT10" i="35"/>
  <c r="GV10" i="35"/>
  <c r="GT26" i="35"/>
  <c r="GT42" i="35"/>
  <c r="GV42" i="35"/>
  <c r="GT43" i="35"/>
  <c r="GV43" i="35"/>
  <c r="GX43" i="35"/>
  <c r="GY43" i="35"/>
  <c r="GT52" i="35"/>
  <c r="GV52" i="35"/>
  <c r="IO49" i="39"/>
  <c r="BK49" i="39"/>
  <c r="BA57" i="19"/>
  <c r="AY20" i="19"/>
  <c r="AT27" i="19"/>
  <c r="AT19" i="19"/>
  <c r="HW21" i="35"/>
  <c r="HV21" i="35"/>
  <c r="IC24" i="22"/>
  <c r="IF24" i="22"/>
  <c r="IE24" i="22"/>
  <c r="IC21" i="22"/>
  <c r="ID21" i="22"/>
  <c r="GX19" i="22"/>
  <c r="II19" i="22"/>
  <c r="IJ19" i="22"/>
  <c r="GA11" i="22"/>
  <c r="KH11" i="22"/>
  <c r="OV21" i="32"/>
  <c r="II31" i="19"/>
  <c r="IJ31" i="19"/>
  <c r="HG106" i="19"/>
  <c r="OH106" i="19"/>
  <c r="FY33" i="34"/>
  <c r="KD33" i="34"/>
  <c r="KE33" i="34"/>
  <c r="IA50" i="34"/>
  <c r="OH20" i="34"/>
  <c r="HG20" i="34"/>
  <c r="HH20" i="34"/>
  <c r="KG46" i="35"/>
  <c r="FZ46" i="35"/>
  <c r="FY46" i="35"/>
  <c r="IQ83" i="39"/>
  <c r="IO83" i="39"/>
  <c r="KG24" i="32"/>
  <c r="FZ24" i="32"/>
  <c r="IQ30" i="19"/>
  <c r="IO30" i="19"/>
  <c r="IO86" i="19"/>
  <c r="IQ86" i="19"/>
  <c r="IP96" i="19"/>
  <c r="BK96" i="19"/>
  <c r="OL28" i="19"/>
  <c r="OK28" i="19"/>
  <c r="OL47" i="39"/>
  <c r="OK47" i="39"/>
  <c r="IB46" i="19"/>
  <c r="OL53" i="35"/>
  <c r="OR53" i="35"/>
  <c r="OU53" i="35"/>
  <c r="IO61" i="19"/>
  <c r="IQ61" i="19"/>
  <c r="GB105" i="19"/>
  <c r="KD105" i="19"/>
  <c r="KE105" i="19"/>
  <c r="KI105" i="19"/>
  <c r="OR76" i="19"/>
  <c r="OH38" i="35"/>
  <c r="HG38" i="35"/>
  <c r="HT38" i="35"/>
  <c r="HS38" i="35"/>
  <c r="KG14" i="19"/>
  <c r="FZ14" i="19"/>
  <c r="FY14" i="19"/>
  <c r="FZ21" i="19"/>
  <c r="FY21" i="19"/>
  <c r="GJ21" i="19"/>
  <c r="OR29" i="21"/>
  <c r="OK29" i="21"/>
  <c r="IO50" i="34"/>
  <c r="OM32" i="35"/>
  <c r="HG47" i="34"/>
  <c r="HT47" i="34"/>
  <c r="HS47" i="34"/>
  <c r="OR57" i="35"/>
  <c r="FY49" i="19"/>
  <c r="GK49" i="19"/>
  <c r="HG48" i="19"/>
  <c r="OH48" i="19"/>
  <c r="OL48" i="19"/>
  <c r="IP22" i="21"/>
  <c r="IQ22" i="21"/>
  <c r="BK22" i="21"/>
  <c r="IQ33" i="21"/>
  <c r="IO33" i="21"/>
  <c r="BB13" i="33"/>
  <c r="JC10" i="33"/>
  <c r="Y50" i="34"/>
  <c r="IU50" i="34"/>
  <c r="IU32" i="35"/>
  <c r="Y32" i="35"/>
  <c r="Y36" i="35"/>
  <c r="IU36" i="35"/>
  <c r="IU54" i="35"/>
  <c r="Y54" i="35"/>
  <c r="IU23" i="32"/>
  <c r="Y23" i="32"/>
  <c r="AX59" i="19"/>
  <c r="AZ59" i="19"/>
  <c r="BA59" i="19"/>
  <c r="AY59" i="19"/>
  <c r="BA51" i="19"/>
  <c r="AY51" i="19"/>
  <c r="IO68" i="19"/>
  <c r="IQ68" i="19"/>
  <c r="EB29" i="19"/>
  <c r="AY45" i="19"/>
  <c r="AX45" i="19"/>
  <c r="IO31" i="35"/>
  <c r="IQ31" i="35"/>
  <c r="OH60" i="19"/>
  <c r="OH27" i="35"/>
  <c r="IU11" i="22"/>
  <c r="Y11" i="22"/>
  <c r="HT27" i="35"/>
  <c r="OH25" i="21"/>
  <c r="FY23" i="34"/>
  <c r="HH37" i="21"/>
  <c r="AZ114" i="19"/>
  <c r="OH11" i="19"/>
  <c r="OL11" i="19"/>
  <c r="HT38" i="31"/>
  <c r="HU38" i="31"/>
  <c r="HS100" i="19"/>
  <c r="OL43" i="35"/>
  <c r="HG20" i="21"/>
  <c r="HT20" i="21"/>
  <c r="Y23" i="35"/>
  <c r="HT81" i="19"/>
  <c r="OK43" i="35"/>
  <c r="HT25" i="21"/>
  <c r="HS25" i="21"/>
  <c r="IO123" i="19"/>
  <c r="FZ47" i="35"/>
  <c r="FY47" i="35"/>
  <c r="GJ47" i="35"/>
  <c r="Y15" i="32"/>
  <c r="OL15" i="19"/>
  <c r="OM15" i="19"/>
  <c r="OH81" i="19"/>
  <c r="OL81" i="19"/>
  <c r="GK53" i="35"/>
  <c r="IO100" i="19"/>
  <c r="HG11" i="21"/>
  <c r="HH11" i="21"/>
  <c r="KD17" i="35"/>
  <c r="KE17" i="35"/>
  <c r="KD56" i="19"/>
  <c r="KE56" i="19"/>
  <c r="HG13" i="21"/>
  <c r="HT13" i="21"/>
  <c r="HU13" i="21"/>
  <c r="HG18" i="21"/>
  <c r="HT18" i="21"/>
  <c r="CE18" i="19"/>
  <c r="KF31" i="35"/>
  <c r="FZ43" i="19"/>
  <c r="BK9" i="33"/>
  <c r="DY57" i="21"/>
  <c r="EB12" i="21"/>
  <c r="EB14" i="21"/>
  <c r="DW57" i="21"/>
  <c r="DV57" i="21"/>
  <c r="EB24" i="21"/>
  <c r="EB36" i="21"/>
  <c r="EB37" i="21"/>
  <c r="EB41" i="21"/>
  <c r="EB10" i="22"/>
  <c r="EB11" i="22"/>
  <c r="EB12" i="22"/>
  <c r="EB13" i="22"/>
  <c r="EB12" i="32"/>
  <c r="EB24" i="32"/>
  <c r="EB9" i="33"/>
  <c r="EB10" i="34"/>
  <c r="EB11" i="34"/>
  <c r="DW67" i="34"/>
  <c r="EB14" i="34"/>
  <c r="EB15" i="34"/>
  <c r="EB16" i="34"/>
  <c r="EB18" i="34"/>
  <c r="EB19" i="34"/>
  <c r="EB20" i="34"/>
  <c r="EB22" i="34"/>
  <c r="EB23" i="34"/>
  <c r="EB24" i="34"/>
  <c r="EB26" i="34"/>
  <c r="EB27" i="34"/>
  <c r="EB28" i="34"/>
  <c r="EB31" i="34"/>
  <c r="EB32" i="34"/>
  <c r="EB34" i="34"/>
  <c r="EB35" i="34"/>
  <c r="EB36" i="34"/>
  <c r="EB38" i="34"/>
  <c r="EB39" i="34"/>
  <c r="EB40" i="34"/>
  <c r="EB42" i="34"/>
  <c r="EB43" i="34"/>
  <c r="EB44" i="34"/>
  <c r="EB46" i="34"/>
  <c r="EB47" i="34"/>
  <c r="EB48" i="34"/>
  <c r="EB50" i="34"/>
  <c r="EB51" i="34"/>
  <c r="EB53" i="34"/>
  <c r="EB55" i="34"/>
  <c r="EB11" i="35"/>
  <c r="EB15" i="35"/>
  <c r="EB17" i="35"/>
  <c r="EB19" i="35"/>
  <c r="EB21" i="35"/>
  <c r="EB26" i="35"/>
  <c r="EB30" i="35"/>
  <c r="EB42" i="35"/>
  <c r="EB57" i="35"/>
  <c r="EH67" i="34"/>
  <c r="EH70" i="35"/>
  <c r="AY21" i="19"/>
  <c r="KF26" i="19"/>
  <c r="BD83" i="19"/>
  <c r="AD99" i="19"/>
  <c r="FZ26" i="19"/>
  <c r="FY26" i="19"/>
  <c r="GK26" i="19"/>
  <c r="FZ75" i="19"/>
  <c r="FY75" i="19"/>
  <c r="EB14" i="35"/>
  <c r="EB16" i="35"/>
  <c r="EG13" i="33"/>
  <c r="EB81" i="39"/>
  <c r="HG19" i="21"/>
  <c r="HT19" i="21"/>
  <c r="AX23" i="32"/>
  <c r="BK19" i="21"/>
  <c r="BK10" i="32"/>
  <c r="AY54" i="19"/>
  <c r="EB95" i="19"/>
  <c r="EB87" i="19"/>
  <c r="EB79" i="19"/>
  <c r="EB71" i="19"/>
  <c r="EB63" i="19"/>
  <c r="EB55" i="19"/>
  <c r="EB47" i="19"/>
  <c r="EB38" i="19"/>
  <c r="EB90" i="19"/>
  <c r="EB82" i="19"/>
  <c r="EB66" i="19"/>
  <c r="EB50" i="19"/>
  <c r="EB41" i="19"/>
  <c r="AY17" i="19"/>
  <c r="IT128" i="19"/>
  <c r="GT15" i="19"/>
  <c r="GV15" i="19"/>
  <c r="IX128" i="19"/>
  <c r="GT24" i="19"/>
  <c r="GV24" i="19"/>
  <c r="GT32" i="19"/>
  <c r="GV32" i="19"/>
  <c r="GT39" i="19"/>
  <c r="GV39" i="19"/>
  <c r="GT40" i="19"/>
  <c r="GV40" i="19"/>
  <c r="II40" i="19"/>
  <c r="GT48" i="19"/>
  <c r="GV48" i="19"/>
  <c r="IC48" i="19"/>
  <c r="IB48" i="19"/>
  <c r="GT56" i="19"/>
  <c r="GV56" i="19"/>
  <c r="IC56" i="19"/>
  <c r="GT64" i="19"/>
  <c r="GV64" i="19"/>
  <c r="GT73" i="19"/>
  <c r="GV73" i="19"/>
  <c r="GW73" i="19"/>
  <c r="GT80" i="19"/>
  <c r="GV80" i="19"/>
  <c r="GT81" i="19"/>
  <c r="GV81" i="19"/>
  <c r="GT88" i="19"/>
  <c r="GV88" i="19"/>
  <c r="GT41" i="21"/>
  <c r="IX70" i="35"/>
  <c r="IX72" i="35"/>
  <c r="IT70" i="35"/>
  <c r="IT72" i="35"/>
  <c r="GT15" i="35"/>
  <c r="GV15" i="35"/>
  <c r="GT31" i="35"/>
  <c r="GV31" i="35"/>
  <c r="GT32" i="35"/>
  <c r="GV32" i="35"/>
  <c r="GT40" i="35"/>
  <c r="GV40" i="35"/>
  <c r="GT58" i="35"/>
  <c r="GV58" i="35"/>
  <c r="GT59" i="35"/>
  <c r="GV59" i="35"/>
  <c r="GT11" i="22"/>
  <c r="GV11" i="22"/>
  <c r="GT98" i="19"/>
  <c r="GV98" i="19"/>
  <c r="GW98" i="19"/>
  <c r="GT99" i="19"/>
  <c r="GV99" i="19"/>
  <c r="EB102" i="19"/>
  <c r="EB103" i="19"/>
  <c r="JO14" i="19"/>
  <c r="JO38" i="19"/>
  <c r="JO43" i="19"/>
  <c r="JO51" i="19"/>
  <c r="JO61" i="19"/>
  <c r="JO63" i="19"/>
  <c r="JO65" i="19"/>
  <c r="JO81" i="19"/>
  <c r="JO99" i="19"/>
  <c r="JO104" i="19"/>
  <c r="AY48" i="19"/>
  <c r="BD18" i="19"/>
  <c r="PQ103" i="39"/>
  <c r="HW61" i="19"/>
  <c r="HG47" i="35"/>
  <c r="FZ44" i="34"/>
  <c r="FY44" i="34"/>
  <c r="BK29" i="19"/>
  <c r="BK14" i="19"/>
  <c r="HG22" i="21"/>
  <c r="KD61" i="35"/>
  <c r="KE61" i="35"/>
  <c r="EB13" i="21"/>
  <c r="KG51" i="19"/>
  <c r="BD47" i="19"/>
  <c r="BK41" i="19"/>
  <c r="BK38" i="19"/>
  <c r="BK34" i="19"/>
  <c r="BK31" i="19"/>
  <c r="GT20" i="39"/>
  <c r="GV20" i="39"/>
  <c r="II20" i="39"/>
  <c r="HC10" i="39"/>
  <c r="HE10" i="39"/>
  <c r="HC26" i="39"/>
  <c r="HE26" i="39"/>
  <c r="HC30" i="39"/>
  <c r="HE30" i="39"/>
  <c r="BH9" i="34"/>
  <c r="HC9" i="34"/>
  <c r="HE9" i="34"/>
  <c r="GE45" i="21"/>
  <c r="GV54" i="21"/>
  <c r="GX54" i="21"/>
  <c r="GY54" i="21"/>
  <c r="HC25" i="22"/>
  <c r="HE25" i="22"/>
  <c r="HG25" i="22"/>
  <c r="IU27" i="22"/>
  <c r="HG23" i="21"/>
  <c r="FZ31" i="35"/>
  <c r="FY31" i="35"/>
  <c r="BK16" i="39"/>
  <c r="EB77" i="39"/>
  <c r="EB69" i="39"/>
  <c r="EB61" i="39"/>
  <c r="EB56" i="39"/>
  <c r="EB53" i="39"/>
  <c r="EB45" i="39"/>
  <c r="EB30" i="39"/>
  <c r="EB18" i="39"/>
  <c r="GT38" i="39"/>
  <c r="GV38" i="39"/>
  <c r="IC38" i="39"/>
  <c r="IF38" i="39"/>
  <c r="GT34" i="39"/>
  <c r="GV34" i="39"/>
  <c r="IC34" i="39"/>
  <c r="EB86" i="39"/>
  <c r="GT48" i="39"/>
  <c r="GV48" i="39"/>
  <c r="GT18" i="39"/>
  <c r="GV18" i="39"/>
  <c r="II18" i="39"/>
  <c r="KD23" i="34"/>
  <c r="KE23" i="34"/>
  <c r="AD10" i="19"/>
  <c r="AX30" i="19"/>
  <c r="EB96" i="19"/>
  <c r="EB94" i="19"/>
  <c r="EB88" i="19"/>
  <c r="EB80" i="19"/>
  <c r="EB76" i="19"/>
  <c r="EB72" i="19"/>
  <c r="EB70" i="19"/>
  <c r="EB64" i="19"/>
  <c r="EB60" i="19"/>
  <c r="EB54" i="19"/>
  <c r="EB44" i="19"/>
  <c r="EB37" i="19"/>
  <c r="EB35" i="19"/>
  <c r="EB31" i="19"/>
  <c r="EB23" i="19"/>
  <c r="EB19" i="19"/>
  <c r="EB15" i="19"/>
  <c r="EB13" i="19"/>
  <c r="EB11" i="19"/>
  <c r="EB98" i="19"/>
  <c r="GV26" i="35"/>
  <c r="GT33" i="35"/>
  <c r="GV33" i="35"/>
  <c r="HW33" i="35"/>
  <c r="GT34" i="35"/>
  <c r="GV34" i="35"/>
  <c r="GT50" i="35"/>
  <c r="GV50" i="35"/>
  <c r="GX50" i="35"/>
  <c r="GY50" i="35"/>
  <c r="HW9" i="33"/>
  <c r="HV9" i="33"/>
  <c r="GT13" i="22"/>
  <c r="GV13" i="22"/>
  <c r="II13" i="22"/>
  <c r="IJ13" i="22"/>
  <c r="GT14" i="22"/>
  <c r="GV14" i="22"/>
  <c r="II14" i="22"/>
  <c r="CC115" i="39"/>
  <c r="KK26" i="22"/>
  <c r="OJ102" i="39"/>
  <c r="OL34" i="21"/>
  <c r="OM34" i="21"/>
  <c r="PQ40" i="34"/>
  <c r="OK13" i="19"/>
  <c r="OL13" i="19"/>
  <c r="OR13" i="19"/>
  <c r="HG50" i="35"/>
  <c r="OL20" i="21"/>
  <c r="OR20" i="21"/>
  <c r="OU20" i="21"/>
  <c r="OK20" i="21"/>
  <c r="IO70" i="19"/>
  <c r="IQ70" i="19"/>
  <c r="OK61" i="19"/>
  <c r="OL61" i="19"/>
  <c r="OR61" i="19"/>
  <c r="IQ15" i="21"/>
  <c r="IO15" i="21"/>
  <c r="IQ20" i="34"/>
  <c r="IO20" i="34"/>
  <c r="AD44" i="34"/>
  <c r="IY44" i="34"/>
  <c r="PQ44" i="34"/>
  <c r="IQ28" i="19"/>
  <c r="IO28" i="19"/>
  <c r="IP33" i="34"/>
  <c r="BK33" i="34"/>
  <c r="Y39" i="34"/>
  <c r="IU39" i="34"/>
  <c r="Y29" i="34"/>
  <c r="IU29" i="34"/>
  <c r="IO54" i="35"/>
  <c r="IQ54" i="35"/>
  <c r="Y29" i="35"/>
  <c r="IU29" i="35"/>
  <c r="IU44" i="34"/>
  <c r="IH52" i="34"/>
  <c r="IL52" i="34"/>
  <c r="IH108" i="19"/>
  <c r="IL108" i="19"/>
  <c r="IJ108" i="19"/>
  <c r="HT100" i="39"/>
  <c r="HU100" i="39"/>
  <c r="HG55" i="19"/>
  <c r="OH55" i="19"/>
  <c r="KD44" i="19"/>
  <c r="KE44" i="19"/>
  <c r="OH26" i="34"/>
  <c r="HG26" i="34"/>
  <c r="GJ25" i="21"/>
  <c r="GK25" i="21"/>
  <c r="KD48" i="35"/>
  <c r="KE48" i="35"/>
  <c r="FY48" i="35"/>
  <c r="OR100" i="39"/>
  <c r="OU100" i="39"/>
  <c r="OK100" i="39"/>
  <c r="GX97" i="39"/>
  <c r="GY97" i="39"/>
  <c r="IO41" i="19"/>
  <c r="IQ41" i="19"/>
  <c r="HU27" i="19"/>
  <c r="IP46" i="34"/>
  <c r="BK46" i="34"/>
  <c r="HG36" i="34"/>
  <c r="OH36" i="34"/>
  <c r="EB9" i="21"/>
  <c r="HT22" i="19"/>
  <c r="HU22" i="19"/>
  <c r="OK93" i="39"/>
  <c r="OR93" i="39"/>
  <c r="OL93" i="39"/>
  <c r="JC25" i="21"/>
  <c r="BB57" i="21"/>
  <c r="IQ12" i="31"/>
  <c r="IO12" i="31"/>
  <c r="EB11" i="21"/>
  <c r="EA57" i="21"/>
  <c r="PQ48" i="34"/>
  <c r="AD48" i="34"/>
  <c r="IY48" i="34"/>
  <c r="OR44" i="34"/>
  <c r="GJ62" i="19"/>
  <c r="IA53" i="34"/>
  <c r="OR11" i="21"/>
  <c r="OU11" i="21"/>
  <c r="OK11" i="21"/>
  <c r="OM11" i="21"/>
  <c r="HG34" i="21"/>
  <c r="OK12" i="35"/>
  <c r="OR12" i="35"/>
  <c r="OU12" i="35"/>
  <c r="OL12" i="35"/>
  <c r="KG55" i="39"/>
  <c r="FZ55" i="39"/>
  <c r="OR30" i="19"/>
  <c r="OU30" i="19"/>
  <c r="OL30" i="19"/>
  <c r="OK30" i="19"/>
  <c r="HG33" i="19"/>
  <c r="HH33" i="19"/>
  <c r="OH33" i="19"/>
  <c r="OK33" i="19"/>
  <c r="FZ51" i="39"/>
  <c r="KG51" i="39"/>
  <c r="AD53" i="34"/>
  <c r="IY53" i="34"/>
  <c r="BK20" i="34"/>
  <c r="HY57" i="34"/>
  <c r="IA57" i="34"/>
  <c r="OK14" i="21"/>
  <c r="OM14" i="21"/>
  <c r="OR14" i="21"/>
  <c r="OU14" i="21"/>
  <c r="KD49" i="19"/>
  <c r="KE49" i="19"/>
  <c r="HS33" i="35"/>
  <c r="OH15" i="21"/>
  <c r="HG15" i="21"/>
  <c r="HH15" i="21"/>
  <c r="AD40" i="34"/>
  <c r="OK18" i="21"/>
  <c r="OL18" i="21"/>
  <c r="OR18" i="21"/>
  <c r="OU18" i="21"/>
  <c r="HG16" i="19"/>
  <c r="HH16" i="19"/>
  <c r="OH16" i="19"/>
  <c r="OR16" i="19"/>
  <c r="OU16" i="19"/>
  <c r="HY123" i="19"/>
  <c r="IA123" i="19"/>
  <c r="IE92" i="39"/>
  <c r="KG11" i="22"/>
  <c r="AY19" i="32"/>
  <c r="IU23" i="21"/>
  <c r="Y23" i="21"/>
  <c r="BK37" i="21"/>
  <c r="EB16" i="19"/>
  <c r="EB10" i="19"/>
  <c r="EB99" i="19"/>
  <c r="AV98" i="19"/>
  <c r="AY98" i="19"/>
  <c r="BA64" i="19"/>
  <c r="AY64" i="19"/>
  <c r="AY24" i="19"/>
  <c r="AV24" i="19"/>
  <c r="AZ24" i="19"/>
  <c r="GT13" i="19"/>
  <c r="GV13" i="19"/>
  <c r="GX13" i="19"/>
  <c r="GY13" i="19"/>
  <c r="GO128" i="19"/>
  <c r="GT16" i="19"/>
  <c r="GV16" i="19"/>
  <c r="II16" i="19"/>
  <c r="GV61" i="19"/>
  <c r="GW61" i="19"/>
  <c r="GT61" i="19"/>
  <c r="GT23" i="21"/>
  <c r="GV23" i="21"/>
  <c r="GX23" i="21"/>
  <c r="GY23" i="21"/>
  <c r="GT22" i="35"/>
  <c r="GV22" i="35"/>
  <c r="GW22" i="35"/>
  <c r="GT23" i="35"/>
  <c r="GV23" i="35"/>
  <c r="GV24" i="35"/>
  <c r="GT24" i="35"/>
  <c r="GT9" i="33"/>
  <c r="GP13" i="33"/>
  <c r="GQ15" i="33"/>
  <c r="AY39" i="19"/>
  <c r="IQ11" i="19"/>
  <c r="IO11" i="19"/>
  <c r="BA11" i="22"/>
  <c r="AV40" i="19"/>
  <c r="IP84" i="19"/>
  <c r="BK84" i="19"/>
  <c r="IP78" i="19"/>
  <c r="BK78" i="19"/>
  <c r="IP73" i="19"/>
  <c r="BK73" i="19"/>
  <c r="IP62" i="19"/>
  <c r="BK62" i="19"/>
  <c r="BK58" i="19"/>
  <c r="FY116" i="19"/>
  <c r="KG96" i="19"/>
  <c r="AX11" i="22"/>
  <c r="BK17" i="32"/>
  <c r="BA19" i="32"/>
  <c r="KG56" i="19"/>
  <c r="FZ56" i="19"/>
  <c r="FY56" i="19"/>
  <c r="GK56" i="19"/>
  <c r="BA49" i="19"/>
  <c r="AX49" i="19"/>
  <c r="AX22" i="19"/>
  <c r="AY22" i="19"/>
  <c r="PQ78" i="19"/>
  <c r="CE87" i="19"/>
  <c r="FZ87" i="19"/>
  <c r="FY87" i="19"/>
  <c r="BK34" i="39"/>
  <c r="IY62" i="19"/>
  <c r="AY17" i="32"/>
  <c r="AV51" i="19"/>
  <c r="AV22" i="19"/>
  <c r="HW56" i="39"/>
  <c r="HC10" i="32"/>
  <c r="HE10" i="32"/>
  <c r="OH10" i="32"/>
  <c r="PQ123" i="19"/>
  <c r="PQ25" i="39"/>
  <c r="PQ77" i="39"/>
  <c r="PQ85" i="39"/>
  <c r="BK89" i="39"/>
  <c r="GT89" i="39"/>
  <c r="GV89" i="39"/>
  <c r="JO90" i="39"/>
  <c r="NT90" i="39"/>
  <c r="NU90" i="39"/>
  <c r="EB91" i="39"/>
  <c r="GT91" i="39"/>
  <c r="GV91" i="39"/>
  <c r="GW91" i="39"/>
  <c r="HC94" i="39"/>
  <c r="HE94" i="39"/>
  <c r="HG94" i="39"/>
  <c r="JO94" i="39"/>
  <c r="NT94" i="39"/>
  <c r="NU94" i="39"/>
  <c r="EB95" i="39"/>
  <c r="NT95" i="39"/>
  <c r="NU95" i="39"/>
  <c r="JO96" i="39"/>
  <c r="NT96" i="39"/>
  <c r="NU96" i="39"/>
  <c r="JO98" i="39"/>
  <c r="NT98" i="39"/>
  <c r="NU98" i="39"/>
  <c r="BK100" i="39"/>
  <c r="JO100" i="39"/>
  <c r="NT100" i="39"/>
  <c r="NU100" i="39"/>
  <c r="EB101" i="39"/>
  <c r="BA121" i="19"/>
  <c r="BA119" i="19"/>
  <c r="FZ40" i="34"/>
  <c r="PQ70" i="19"/>
  <c r="FZ22" i="19"/>
  <c r="FY22" i="19"/>
  <c r="AD29" i="19"/>
  <c r="IY78" i="19"/>
  <c r="IY46" i="19"/>
  <c r="IY70" i="19"/>
  <c r="AD13" i="19"/>
  <c r="EB61" i="19"/>
  <c r="IX57" i="21"/>
  <c r="IX59" i="21"/>
  <c r="GR70" i="35"/>
  <c r="GT11" i="35"/>
  <c r="GV11" i="35"/>
  <c r="GT13" i="35"/>
  <c r="GV13" i="35"/>
  <c r="GT21" i="35"/>
  <c r="GT36" i="35"/>
  <c r="GV36" i="35"/>
  <c r="GT53" i="35"/>
  <c r="GV53" i="35"/>
  <c r="GT54" i="35"/>
  <c r="GV54" i="35"/>
  <c r="II54" i="35"/>
  <c r="GT55" i="35"/>
  <c r="GV55" i="35"/>
  <c r="GT21" i="34"/>
  <c r="GV21" i="34"/>
  <c r="IC21" i="34"/>
  <c r="IF21" i="34"/>
  <c r="GT29" i="34"/>
  <c r="GV29" i="34"/>
  <c r="II29" i="34"/>
  <c r="IJ29" i="34"/>
  <c r="GV21" i="32"/>
  <c r="IC21" i="32"/>
  <c r="JT57" i="21"/>
  <c r="BK79" i="39"/>
  <c r="BK54" i="39"/>
  <c r="BK38" i="39"/>
  <c r="EB70" i="39"/>
  <c r="GT46" i="39"/>
  <c r="GV46" i="39"/>
  <c r="II46" i="39"/>
  <c r="GT21" i="39"/>
  <c r="GV21" i="39"/>
  <c r="GX21" i="39"/>
  <c r="GY21" i="39"/>
  <c r="GT51" i="39"/>
  <c r="GV51" i="39"/>
  <c r="GT66" i="39"/>
  <c r="GV66" i="39"/>
  <c r="II66" i="39"/>
  <c r="GT9" i="39"/>
  <c r="GT28" i="39"/>
  <c r="GV28" i="39"/>
  <c r="GW28" i="39"/>
  <c r="GZ28" i="39"/>
  <c r="GT24" i="39"/>
  <c r="GV24" i="39"/>
  <c r="IX108" i="39"/>
  <c r="IX110" i="39"/>
  <c r="JO20" i="39"/>
  <c r="JO15" i="39"/>
  <c r="JO76" i="39"/>
  <c r="JO52" i="39"/>
  <c r="JO61" i="39"/>
  <c r="JO72" i="39"/>
  <c r="JO56" i="39"/>
  <c r="JO17" i="39"/>
  <c r="JO27" i="39"/>
  <c r="JO40" i="39"/>
  <c r="NT79" i="39"/>
  <c r="NU79" i="39"/>
  <c r="CI108" i="39"/>
  <c r="FZ122" i="19"/>
  <c r="OO45" i="21"/>
  <c r="EB120" i="19"/>
  <c r="HC11" i="33"/>
  <c r="HC13" i="33"/>
  <c r="FY79" i="19"/>
  <c r="GK79" i="19"/>
  <c r="BD32" i="19"/>
  <c r="KG95" i="19"/>
  <c r="IO46" i="39"/>
  <c r="KD76" i="39"/>
  <c r="KE76" i="39"/>
  <c r="IY86" i="19"/>
  <c r="IU24" i="19"/>
  <c r="BE60" i="39"/>
  <c r="NT9" i="35"/>
  <c r="NU9" i="35"/>
  <c r="NT32" i="19"/>
  <c r="NU32" i="19"/>
  <c r="NT88" i="19"/>
  <c r="NU88" i="19"/>
  <c r="NT13" i="21"/>
  <c r="NU13" i="21"/>
  <c r="NT17" i="21"/>
  <c r="NU17" i="21"/>
  <c r="NT19" i="21"/>
  <c r="NU19" i="21"/>
  <c r="NT24" i="21"/>
  <c r="NU24" i="21"/>
  <c r="NT38" i="21"/>
  <c r="NU38" i="21"/>
  <c r="NT41" i="21"/>
  <c r="NU41" i="21"/>
  <c r="NT15" i="32"/>
  <c r="NU15" i="32"/>
  <c r="NT10" i="35"/>
  <c r="NU10" i="35"/>
  <c r="NT22" i="35"/>
  <c r="NU22" i="35"/>
  <c r="NT24" i="35"/>
  <c r="NU24" i="35"/>
  <c r="NT32" i="35"/>
  <c r="NU32" i="35"/>
  <c r="NT36" i="35"/>
  <c r="NT57" i="35"/>
  <c r="NU57" i="35"/>
  <c r="BD70" i="19"/>
  <c r="AX66" i="19"/>
  <c r="Z70" i="35"/>
  <c r="GT13" i="39"/>
  <c r="EB85" i="39"/>
  <c r="GT30" i="39"/>
  <c r="GV30" i="39"/>
  <c r="GT44" i="39"/>
  <c r="GV44" i="39"/>
  <c r="HC50" i="39"/>
  <c r="HE50" i="39"/>
  <c r="HG50" i="39"/>
  <c r="PG57" i="34"/>
  <c r="PH57" i="34"/>
  <c r="PJ57" i="34"/>
  <c r="PL57" i="34"/>
  <c r="FZ54" i="21"/>
  <c r="PH38" i="31"/>
  <c r="PJ38" i="31"/>
  <c r="PL38" i="31"/>
  <c r="PH34" i="32"/>
  <c r="PJ34" i="32"/>
  <c r="PL34" i="32"/>
  <c r="PL36" i="32"/>
  <c r="KD20" i="21"/>
  <c r="KE20" i="21"/>
  <c r="KD84" i="39"/>
  <c r="KE84" i="39"/>
  <c r="PQ54" i="19"/>
  <c r="CE22" i="21"/>
  <c r="KG26" i="34"/>
  <c r="FZ10" i="19"/>
  <c r="FY10" i="19"/>
  <c r="FZ14" i="22"/>
  <c r="IY94" i="19"/>
  <c r="IY54" i="19"/>
  <c r="HG19" i="35"/>
  <c r="IO42" i="39"/>
  <c r="BD87" i="19"/>
  <c r="AD21" i="19"/>
  <c r="KG79" i="19"/>
  <c r="BK59" i="39"/>
  <c r="BK27" i="39"/>
  <c r="EB22" i="39"/>
  <c r="PG37" i="31"/>
  <c r="PH37" i="31"/>
  <c r="PJ37" i="31"/>
  <c r="PL37" i="31"/>
  <c r="HC39" i="21"/>
  <c r="HE39" i="21"/>
  <c r="OH39" i="21"/>
  <c r="FZ26" i="22"/>
  <c r="GB65" i="35"/>
  <c r="GV68" i="35"/>
  <c r="II68" i="35"/>
  <c r="PG62" i="34"/>
  <c r="PH62" i="34"/>
  <c r="PJ62" i="34"/>
  <c r="PL62" i="34"/>
  <c r="PH60" i="34"/>
  <c r="PJ60" i="34"/>
  <c r="PL60" i="34"/>
  <c r="PQ29" i="19"/>
  <c r="FZ18" i="31"/>
  <c r="BD10" i="19"/>
  <c r="Y34" i="39"/>
  <c r="IQ34" i="39"/>
  <c r="BD36" i="19"/>
  <c r="BD28" i="19"/>
  <c r="OA108" i="39"/>
  <c r="HY110" i="39"/>
  <c r="HY108" i="39"/>
  <c r="BK12" i="33"/>
  <c r="NQ13" i="33"/>
  <c r="GD32" i="32"/>
  <c r="GD25" i="22"/>
  <c r="HC44" i="21"/>
  <c r="HE44" i="21"/>
  <c r="GX52" i="31"/>
  <c r="GY52" i="31"/>
  <c r="KD65" i="19"/>
  <c r="KE65" i="19"/>
  <c r="KD55" i="35"/>
  <c r="KE55" i="35"/>
  <c r="HG84" i="19"/>
  <c r="PQ21" i="19"/>
  <c r="BD95" i="19"/>
  <c r="PQ94" i="19"/>
  <c r="KF35" i="35"/>
  <c r="Y50" i="39"/>
  <c r="AD86" i="19"/>
  <c r="IU20" i="19"/>
  <c r="BE56" i="39"/>
  <c r="GV61" i="35"/>
  <c r="GT53" i="21"/>
  <c r="KM114" i="19"/>
  <c r="KG44" i="21"/>
  <c r="KG17" i="22"/>
  <c r="AD68" i="35"/>
  <c r="GD65" i="35"/>
  <c r="GA24" i="22"/>
  <c r="FZ102" i="19"/>
  <c r="BK52" i="39"/>
  <c r="BK50" i="39"/>
  <c r="KF28" i="35"/>
  <c r="BD26" i="19"/>
  <c r="PQ9" i="39"/>
  <c r="NT107" i="39"/>
  <c r="NU107" i="39"/>
  <c r="KM68" i="35"/>
  <c r="HD108" i="39"/>
  <c r="JO103" i="39"/>
  <c r="NQ108" i="39"/>
  <c r="NP108" i="39"/>
  <c r="CP108" i="39"/>
  <c r="CJ108" i="39"/>
  <c r="KR49" i="39"/>
  <c r="CL108" i="39"/>
  <c r="JP108" i="39"/>
  <c r="HZ101" i="39"/>
  <c r="HY101" i="39"/>
  <c r="AD108" i="39"/>
  <c r="HV101" i="39"/>
  <c r="IE97" i="39"/>
  <c r="IC25" i="39"/>
  <c r="GW25" i="39"/>
  <c r="GZ25" i="39"/>
  <c r="II25" i="39"/>
  <c r="IH25" i="39"/>
  <c r="DX108" i="39"/>
  <c r="IU41" i="39"/>
  <c r="Y41" i="39"/>
  <c r="IU82" i="39"/>
  <c r="Y82" i="39"/>
  <c r="IU74" i="39"/>
  <c r="Y74" i="39"/>
  <c r="IU65" i="39"/>
  <c r="Y65" i="39"/>
  <c r="IU23" i="39"/>
  <c r="Y23" i="39"/>
  <c r="IU15" i="39"/>
  <c r="Y15" i="39"/>
  <c r="IQ75" i="39"/>
  <c r="IO75" i="39"/>
  <c r="IQ53" i="39"/>
  <c r="IO53" i="39"/>
  <c r="BK20" i="39"/>
  <c r="IP20" i="39"/>
  <c r="GP108" i="39"/>
  <c r="GS108" i="39"/>
  <c r="JC10" i="39"/>
  <c r="BB108" i="39"/>
  <c r="GT61" i="39"/>
  <c r="GV61" i="39"/>
  <c r="GW61" i="39"/>
  <c r="GZ61" i="39"/>
  <c r="GT36" i="39"/>
  <c r="GV36" i="39"/>
  <c r="GW36" i="39"/>
  <c r="GZ36" i="39"/>
  <c r="U12" i="39"/>
  <c r="S108" i="39"/>
  <c r="U108" i="39"/>
  <c r="GU108" i="39"/>
  <c r="KO18" i="39"/>
  <c r="KO108" i="39"/>
  <c r="CM108" i="39"/>
  <c r="HT53" i="39"/>
  <c r="OH89" i="39"/>
  <c r="OR89" i="39"/>
  <c r="OU89" i="39"/>
  <c r="OH82" i="39"/>
  <c r="OR82" i="39"/>
  <c r="OU82" i="39"/>
  <c r="KG75" i="39"/>
  <c r="FZ75" i="39"/>
  <c r="FY75" i="39"/>
  <c r="GK75" i="39"/>
  <c r="EB46" i="39"/>
  <c r="KJ10" i="39"/>
  <c r="KJ108" i="39"/>
  <c r="CH108" i="39"/>
  <c r="GW17" i="39"/>
  <c r="HI17" i="39"/>
  <c r="OR47" i="39"/>
  <c r="NT103" i="39"/>
  <c r="NU103" i="39"/>
  <c r="IC85" i="39"/>
  <c r="HP56" i="39"/>
  <c r="HR56" i="39"/>
  <c r="IO15" i="39"/>
  <c r="IQ15" i="39"/>
  <c r="HT82" i="39"/>
  <c r="HH82" i="39"/>
  <c r="CN108" i="39"/>
  <c r="IL85" i="39"/>
  <c r="IK85" i="39"/>
  <c r="IH85" i="39"/>
  <c r="IL98" i="39"/>
  <c r="ID92" i="39"/>
  <c r="IJ85" i="39"/>
  <c r="A100" i="39"/>
  <c r="A104" i="39"/>
  <c r="IQ58" i="39"/>
  <c r="IO58" i="39"/>
  <c r="IB92" i="39"/>
  <c r="OH53" i="39"/>
  <c r="OL53" i="39"/>
  <c r="KG58" i="39"/>
  <c r="FZ58" i="39"/>
  <c r="JV108" i="39"/>
  <c r="JO82" i="39"/>
  <c r="KQ15" i="39"/>
  <c r="CO108" i="39"/>
  <c r="FZ57" i="39"/>
  <c r="KG57" i="39"/>
  <c r="OE108" i="39"/>
  <c r="OO26" i="39"/>
  <c r="M26" i="39"/>
  <c r="OO10" i="39"/>
  <c r="K108" i="39"/>
  <c r="M108" i="39"/>
  <c r="OP19" i="39"/>
  <c r="Q19" i="39"/>
  <c r="OQ26" i="39"/>
  <c r="OT26" i="39"/>
  <c r="OJ26" i="39"/>
  <c r="OQ10" i="39"/>
  <c r="OT10" i="39"/>
  <c r="OJ10" i="39"/>
  <c r="OQ35" i="39"/>
  <c r="OT35" i="39"/>
  <c r="OJ35" i="39"/>
  <c r="OQ36" i="39"/>
  <c r="OT36" i="39"/>
  <c r="OJ36" i="39"/>
  <c r="BK37" i="39"/>
  <c r="OO41" i="39"/>
  <c r="M41" i="39"/>
  <c r="OJ45" i="39"/>
  <c r="OQ45" i="39"/>
  <c r="OT45" i="39"/>
  <c r="OO47" i="39"/>
  <c r="M47" i="39"/>
  <c r="OJ53" i="39"/>
  <c r="OQ53" i="39"/>
  <c r="OT53" i="39"/>
  <c r="OP62" i="39"/>
  <c r="Q62" i="39"/>
  <c r="OQ63" i="39"/>
  <c r="OT63" i="39"/>
  <c r="OJ63" i="39"/>
  <c r="HC74" i="39"/>
  <c r="HE74" i="39"/>
  <c r="BK74" i="39"/>
  <c r="OO80" i="39"/>
  <c r="M80" i="39"/>
  <c r="OP81" i="39"/>
  <c r="Q81" i="39"/>
  <c r="IH110" i="39"/>
  <c r="IH108" i="39"/>
  <c r="GY114" i="39"/>
  <c r="HK114" i="39"/>
  <c r="GC81" i="39"/>
  <c r="KK81" i="39"/>
  <c r="GE71" i="39"/>
  <c r="KR71" i="39"/>
  <c r="GB70" i="39"/>
  <c r="KD70" i="39"/>
  <c r="KE70" i="39"/>
  <c r="KI70" i="39"/>
  <c r="GD68" i="39"/>
  <c r="KM68" i="39"/>
  <c r="GC65" i="39"/>
  <c r="KK65" i="39"/>
  <c r="GD60" i="39"/>
  <c r="KM60" i="39"/>
  <c r="GB54" i="39"/>
  <c r="KI54" i="39"/>
  <c r="GD52" i="39"/>
  <c r="KM52" i="39"/>
  <c r="GA51" i="39"/>
  <c r="KH51" i="39"/>
  <c r="GC49" i="39"/>
  <c r="KK49" i="39"/>
  <c r="GD46" i="39"/>
  <c r="KM46" i="39"/>
  <c r="GA45" i="39"/>
  <c r="KH45" i="39"/>
  <c r="GD42" i="39"/>
  <c r="KD42" i="39"/>
  <c r="KE42" i="39"/>
  <c r="KM42" i="39"/>
  <c r="GD34" i="39"/>
  <c r="KD34" i="39"/>
  <c r="KE34" i="39"/>
  <c r="KM34" i="39"/>
  <c r="GA33" i="39"/>
  <c r="KH33" i="39"/>
  <c r="GC23" i="39"/>
  <c r="KD23" i="39"/>
  <c r="KE23" i="39"/>
  <c r="KK23" i="39"/>
  <c r="GB20" i="39"/>
  <c r="KI20" i="39"/>
  <c r="NT88" i="39"/>
  <c r="NU88" i="39"/>
  <c r="NR108" i="39"/>
  <c r="NS108" i="39"/>
  <c r="NT89" i="39"/>
  <c r="NU89" i="39"/>
  <c r="KH92" i="39"/>
  <c r="GA92" i="39"/>
  <c r="GC94" i="39"/>
  <c r="KK94" i="39"/>
  <c r="KM95" i="39"/>
  <c r="GD95" i="39"/>
  <c r="KD95" i="39"/>
  <c r="KE95" i="39"/>
  <c r="IP98" i="39"/>
  <c r="BK98" i="39"/>
  <c r="BK99" i="39"/>
  <c r="HC99" i="39"/>
  <c r="HE99" i="39"/>
  <c r="FZ107" i="39"/>
  <c r="KG107" i="39"/>
  <c r="FZ39" i="39"/>
  <c r="FZ64" i="39"/>
  <c r="BK66" i="39"/>
  <c r="EB72" i="39"/>
  <c r="EB39" i="39"/>
  <c r="DW108" i="39"/>
  <c r="GT42" i="39"/>
  <c r="GV42" i="39"/>
  <c r="GT14" i="39"/>
  <c r="GV14" i="39"/>
  <c r="GW14" i="39"/>
  <c r="GT77" i="39"/>
  <c r="GV77" i="39"/>
  <c r="GT69" i="39"/>
  <c r="GV69" i="39"/>
  <c r="GW69" i="39"/>
  <c r="GT58" i="39"/>
  <c r="GV58" i="39"/>
  <c r="GT19" i="39"/>
  <c r="GV19" i="39"/>
  <c r="GT83" i="39"/>
  <c r="GV83" i="39"/>
  <c r="GT71" i="39"/>
  <c r="GV71" i="39"/>
  <c r="IU67" i="39"/>
  <c r="Y67" i="39"/>
  <c r="GT63" i="39"/>
  <c r="GV63" i="39"/>
  <c r="GT45" i="39"/>
  <c r="GV45" i="39"/>
  <c r="GT40" i="39"/>
  <c r="GV40" i="39"/>
  <c r="GR108" i="39"/>
  <c r="IY81" i="39"/>
  <c r="AD81" i="39"/>
  <c r="PQ81" i="39"/>
  <c r="PQ73" i="39"/>
  <c r="AD73" i="39"/>
  <c r="IY73" i="39"/>
  <c r="AD54" i="39"/>
  <c r="PQ54" i="39"/>
  <c r="AD13" i="39"/>
  <c r="KB108" i="39"/>
  <c r="JO74" i="39"/>
  <c r="JO26" i="39"/>
  <c r="JO18" i="39"/>
  <c r="JR108" i="39"/>
  <c r="KF17" i="39"/>
  <c r="CD108" i="39"/>
  <c r="NT80" i="39"/>
  <c r="NU80" i="39"/>
  <c r="NT78" i="39"/>
  <c r="NU78" i="39"/>
  <c r="NT77" i="39"/>
  <c r="NU77" i="39"/>
  <c r="NT71" i="39"/>
  <c r="NU71" i="39"/>
  <c r="NT69" i="39"/>
  <c r="NU69" i="39"/>
  <c r="NT68" i="39"/>
  <c r="NU68" i="39"/>
  <c r="NT62" i="39"/>
  <c r="NU62" i="39"/>
  <c r="NT60" i="39"/>
  <c r="NU60" i="39"/>
  <c r="NT59" i="39"/>
  <c r="NU59" i="39"/>
  <c r="NT53" i="39"/>
  <c r="NU53" i="39"/>
  <c r="NT51" i="39"/>
  <c r="NU51" i="39"/>
  <c r="NT50" i="39"/>
  <c r="NU50" i="39"/>
  <c r="NT44" i="39"/>
  <c r="NU44" i="39"/>
  <c r="NT42" i="39"/>
  <c r="NU42" i="39"/>
  <c r="NT41" i="39"/>
  <c r="NU41" i="39"/>
  <c r="NT39" i="39"/>
  <c r="NU39" i="39"/>
  <c r="NT32" i="39"/>
  <c r="NU32" i="39"/>
  <c r="NT31" i="39"/>
  <c r="NU31" i="39"/>
  <c r="NT30" i="39"/>
  <c r="NU30" i="39"/>
  <c r="NT24" i="39"/>
  <c r="NU24" i="39"/>
  <c r="NT22" i="39"/>
  <c r="NU22" i="39"/>
  <c r="NT21" i="39"/>
  <c r="NU21" i="39"/>
  <c r="NT15" i="39"/>
  <c r="NU15" i="39"/>
  <c r="NT13" i="39"/>
  <c r="NU13" i="39"/>
  <c r="NT12" i="39"/>
  <c r="NU12" i="39"/>
  <c r="HC21" i="39"/>
  <c r="HE21" i="39"/>
  <c r="HC37" i="39"/>
  <c r="HE37" i="39"/>
  <c r="OH37" i="39"/>
  <c r="HC51" i="39"/>
  <c r="HE51" i="39"/>
  <c r="OH51" i="39"/>
  <c r="HC52" i="39"/>
  <c r="HE52" i="39"/>
  <c r="CE76" i="39"/>
  <c r="KG45" i="39"/>
  <c r="FZ45" i="39"/>
  <c r="KF31" i="39"/>
  <c r="IC101" i="39"/>
  <c r="KG11" i="39"/>
  <c r="FZ11" i="39"/>
  <c r="HQ13" i="39"/>
  <c r="FZ83" i="39"/>
  <c r="FZ14" i="39"/>
  <c r="Q108" i="39"/>
  <c r="FZ23" i="39"/>
  <c r="CE48" i="39"/>
  <c r="KG48" i="39"/>
  <c r="GY104" i="39"/>
  <c r="GZ104" i="39"/>
  <c r="EB78" i="39"/>
  <c r="EB62" i="39"/>
  <c r="EB51" i="39"/>
  <c r="EB49" i="39"/>
  <c r="EB44" i="39"/>
  <c r="EB40" i="39"/>
  <c r="EB37" i="39"/>
  <c r="EB31" i="39"/>
  <c r="EB28" i="39"/>
  <c r="EB26" i="39"/>
  <c r="EB24" i="39"/>
  <c r="EB20" i="39"/>
  <c r="EB17" i="39"/>
  <c r="DY108" i="39"/>
  <c r="EB21" i="39"/>
  <c r="EB13" i="39"/>
  <c r="EA108" i="39"/>
  <c r="EG108" i="39"/>
  <c r="GT80" i="39"/>
  <c r="GV80" i="39"/>
  <c r="KM103" i="39"/>
  <c r="M61" i="39"/>
  <c r="NT40" i="39"/>
  <c r="NU40" i="39"/>
  <c r="NT33" i="39"/>
  <c r="NU33" i="39"/>
  <c r="NM108" i="39"/>
  <c r="HC34" i="39"/>
  <c r="HE34" i="39"/>
  <c r="HC41" i="39"/>
  <c r="HE41" i="39"/>
  <c r="HE72" i="39"/>
  <c r="Q26" i="39"/>
  <c r="OO68" i="39"/>
  <c r="FZ71" i="39"/>
  <c r="BK17" i="39"/>
  <c r="BK81" i="39"/>
  <c r="BK51" i="39"/>
  <c r="BK40" i="39"/>
  <c r="KK18" i="39"/>
  <c r="HG93" i="39"/>
  <c r="HT93" i="39"/>
  <c r="KD75" i="39"/>
  <c r="KE75" i="39"/>
  <c r="Q55" i="39"/>
  <c r="IO70" i="39"/>
  <c r="OJ34" i="39"/>
  <c r="HE71" i="39"/>
  <c r="OH71" i="39"/>
  <c r="OK71" i="39"/>
  <c r="Q10" i="39"/>
  <c r="IY36" i="39"/>
  <c r="HE83" i="39"/>
  <c r="OH83" i="39"/>
  <c r="IO56" i="39"/>
  <c r="EB102" i="39"/>
  <c r="KD32" i="39"/>
  <c r="KE32" i="39"/>
  <c r="HE97" i="39"/>
  <c r="OH97" i="39"/>
  <c r="Y14" i="39"/>
  <c r="BK93" i="39"/>
  <c r="OP79" i="39"/>
  <c r="BE13" i="39"/>
  <c r="OP47" i="39"/>
  <c r="IO14" i="39"/>
  <c r="Y66" i="39"/>
  <c r="GT62" i="39"/>
  <c r="GV62" i="39"/>
  <c r="GT37" i="39"/>
  <c r="GV37" i="39"/>
  <c r="IC37" i="39"/>
  <c r="GT86" i="39"/>
  <c r="GV86" i="39"/>
  <c r="GW86" i="39"/>
  <c r="PQ57" i="39"/>
  <c r="JO69" i="39"/>
  <c r="JO42" i="39"/>
  <c r="JO70" i="39"/>
  <c r="JO62" i="39"/>
  <c r="PQ102" i="39"/>
  <c r="HT35" i="39"/>
  <c r="IH92" i="39"/>
  <c r="FZ32" i="19"/>
  <c r="FY32" i="19"/>
  <c r="KG32" i="19"/>
  <c r="FY97" i="19"/>
  <c r="GJ97" i="19"/>
  <c r="HG46" i="19"/>
  <c r="OH46" i="19"/>
  <c r="OT9" i="35"/>
  <c r="KG52" i="35"/>
  <c r="FZ52" i="35"/>
  <c r="FY52" i="35"/>
  <c r="HS90" i="19"/>
  <c r="OK53" i="35"/>
  <c r="OM53" i="35"/>
  <c r="GW11" i="33"/>
  <c r="GZ11" i="33"/>
  <c r="HH33" i="35"/>
  <c r="HG10" i="33"/>
  <c r="OH10" i="33"/>
  <c r="OH13" i="33"/>
  <c r="FY77" i="19"/>
  <c r="KD77" i="19"/>
  <c r="KE77" i="19"/>
  <c r="HH44" i="19"/>
  <c r="OH44" i="19"/>
  <c r="OL44" i="19"/>
  <c r="FZ12" i="19"/>
  <c r="KG12" i="19"/>
  <c r="IC87" i="39"/>
  <c r="II87" i="39"/>
  <c r="IJ87" i="39"/>
  <c r="HG70" i="39"/>
  <c r="OH70" i="39"/>
  <c r="OR28" i="19"/>
  <c r="HC65" i="19"/>
  <c r="HE65" i="19"/>
  <c r="BK65" i="19"/>
  <c r="GW20" i="35"/>
  <c r="IC20" i="35"/>
  <c r="ID20" i="35"/>
  <c r="IU53" i="34"/>
  <c r="Y53" i="34"/>
  <c r="IU37" i="34"/>
  <c r="Y37" i="34"/>
  <c r="AX27" i="32"/>
  <c r="BA27" i="32"/>
  <c r="AX10" i="32"/>
  <c r="AZ10" i="32"/>
  <c r="AY10" i="32"/>
  <c r="BA10" i="32"/>
  <c r="KO10" i="35"/>
  <c r="KO70" i="35"/>
  <c r="CM70" i="35"/>
  <c r="IU31" i="21"/>
  <c r="Y31" i="21"/>
  <c r="IP16" i="32"/>
  <c r="IQ16" i="32"/>
  <c r="BK16" i="32"/>
  <c r="IP9" i="33"/>
  <c r="BG13" i="33"/>
  <c r="IU54" i="34"/>
  <c r="Y54" i="34"/>
  <c r="IU12" i="35"/>
  <c r="Y12" i="35"/>
  <c r="IU16" i="35"/>
  <c r="Y16" i="35"/>
  <c r="IY12" i="21"/>
  <c r="AD12" i="21"/>
  <c r="AD16" i="21"/>
  <c r="IY16" i="21"/>
  <c r="AD20" i="21"/>
  <c r="PQ20" i="21"/>
  <c r="IY20" i="21"/>
  <c r="AD24" i="21"/>
  <c r="PQ24" i="21"/>
  <c r="PQ28" i="21"/>
  <c r="IY28" i="21"/>
  <c r="IY32" i="21"/>
  <c r="AD32" i="21"/>
  <c r="AD36" i="21"/>
  <c r="PQ36" i="21"/>
  <c r="IY36" i="21"/>
  <c r="PQ40" i="21"/>
  <c r="IY40" i="21"/>
  <c r="IY10" i="22"/>
  <c r="AD10" i="22"/>
  <c r="AD14" i="22"/>
  <c r="IY14" i="22"/>
  <c r="AD11" i="32"/>
  <c r="IY11" i="32"/>
  <c r="HT9" i="33"/>
  <c r="HU9" i="33"/>
  <c r="GJ34" i="19"/>
  <c r="GX29" i="35"/>
  <c r="GY29" i="35"/>
  <c r="GW29" i="35"/>
  <c r="GZ29" i="35"/>
  <c r="II29" i="35"/>
  <c r="IH29" i="35"/>
  <c r="HR9" i="34"/>
  <c r="HP9" i="34"/>
  <c r="IO91" i="19"/>
  <c r="IQ91" i="19"/>
  <c r="GB103" i="19"/>
  <c r="KD103" i="19"/>
  <c r="KE103" i="19"/>
  <c r="KI103" i="19"/>
  <c r="OU35" i="19"/>
  <c r="OV35" i="19"/>
  <c r="IQ23" i="39"/>
  <c r="IO23" i="39"/>
  <c r="HG45" i="35"/>
  <c r="OH45" i="35"/>
  <c r="GW87" i="39"/>
  <c r="IC11" i="33"/>
  <c r="GW58" i="34"/>
  <c r="OV109" i="19"/>
  <c r="OW109" i="19"/>
  <c r="FY49" i="21"/>
  <c r="GK49" i="21"/>
  <c r="IO47" i="19"/>
  <c r="II38" i="19"/>
  <c r="IJ38" i="19"/>
  <c r="OR84" i="19"/>
  <c r="OU84" i="19"/>
  <c r="OK84" i="19"/>
  <c r="OM84" i="19"/>
  <c r="KD18" i="19"/>
  <c r="KE18" i="19"/>
  <c r="HG78" i="39"/>
  <c r="OH78" i="39"/>
  <c r="OH10" i="21"/>
  <c r="HG10" i="21"/>
  <c r="IC110" i="19"/>
  <c r="IF110" i="19"/>
  <c r="IE110" i="19"/>
  <c r="II110" i="19"/>
  <c r="IH110" i="19"/>
  <c r="HS29" i="21"/>
  <c r="HH61" i="34"/>
  <c r="II11" i="33"/>
  <c r="IC58" i="34"/>
  <c r="ID58" i="34"/>
  <c r="OU41" i="21"/>
  <c r="HH49" i="35"/>
  <c r="HT49" i="35"/>
  <c r="HU49" i="35"/>
  <c r="KG17" i="19"/>
  <c r="OM41" i="21"/>
  <c r="IQ110" i="19"/>
  <c r="IO110" i="19"/>
  <c r="KG34" i="39"/>
  <c r="FZ34" i="39"/>
  <c r="OR78" i="19"/>
  <c r="OK78" i="19"/>
  <c r="OM78" i="19"/>
  <c r="IC13" i="39"/>
  <c r="OH46" i="35"/>
  <c r="HG46" i="35"/>
  <c r="FY110" i="19"/>
  <c r="BK25" i="19"/>
  <c r="IY20" i="34"/>
  <c r="BK46" i="39"/>
  <c r="T13" i="33"/>
  <c r="AC13" i="33"/>
  <c r="H13" i="33"/>
  <c r="AY66" i="19"/>
  <c r="AV66" i="19"/>
  <c r="AV44" i="19"/>
  <c r="AV35" i="19"/>
  <c r="AZ35" i="19"/>
  <c r="HQ13" i="21"/>
  <c r="HW13" i="21"/>
  <c r="HX13" i="21"/>
  <c r="GT44" i="35"/>
  <c r="GV44" i="35"/>
  <c r="IQ106" i="19"/>
  <c r="IO106" i="19"/>
  <c r="KL13" i="33"/>
  <c r="FY81" i="19"/>
  <c r="GK81" i="19"/>
  <c r="BD82" i="19"/>
  <c r="KD59" i="39"/>
  <c r="KE59" i="39"/>
  <c r="BD91" i="19"/>
  <c r="Y38" i="39"/>
  <c r="IU38" i="39"/>
  <c r="Y17" i="39"/>
  <c r="IU17" i="39"/>
  <c r="IQ21" i="39"/>
  <c r="IO21" i="39"/>
  <c r="NT46" i="34"/>
  <c r="NU46" i="34"/>
  <c r="NU36" i="35"/>
  <c r="IU94" i="19"/>
  <c r="BD94" i="19"/>
  <c r="Y82" i="19"/>
  <c r="IU82" i="19"/>
  <c r="Y54" i="19"/>
  <c r="BD54" i="19"/>
  <c r="IU54" i="19"/>
  <c r="IU41" i="19"/>
  <c r="Y41" i="19"/>
  <c r="IO73" i="39"/>
  <c r="IQ73" i="39"/>
  <c r="IQ48" i="39"/>
  <c r="IO48" i="39"/>
  <c r="IO35" i="39"/>
  <c r="IQ35" i="39"/>
  <c r="IP18" i="39"/>
  <c r="BK18" i="39"/>
  <c r="IQ79" i="39"/>
  <c r="IO79" i="39"/>
  <c r="IU75" i="39"/>
  <c r="Y75" i="39"/>
  <c r="IU36" i="39"/>
  <c r="Y36" i="39"/>
  <c r="EH108" i="39"/>
  <c r="IT108" i="39"/>
  <c r="IT110" i="39"/>
  <c r="IU51" i="39"/>
  <c r="Y51" i="39"/>
  <c r="CE11" i="35"/>
  <c r="KF11" i="35"/>
  <c r="HZ122" i="19"/>
  <c r="IA122" i="19"/>
  <c r="HX122" i="19"/>
  <c r="U126" i="19"/>
  <c r="BK71" i="39"/>
  <c r="AD41" i="19"/>
  <c r="IU10" i="21"/>
  <c r="Y10" i="21"/>
  <c r="IU15" i="21"/>
  <c r="Y15" i="21"/>
  <c r="AY12" i="19"/>
  <c r="BA12" i="19"/>
  <c r="AX12" i="19"/>
  <c r="AZ12" i="19"/>
  <c r="AZ19" i="32"/>
  <c r="FY54" i="35"/>
  <c r="EB11" i="39"/>
  <c r="U22" i="19"/>
  <c r="X13" i="33"/>
  <c r="FZ24" i="34"/>
  <c r="KG24" i="34"/>
  <c r="FZ33" i="35"/>
  <c r="FY33" i="35"/>
  <c r="KG33" i="35"/>
  <c r="PQ41" i="19"/>
  <c r="IQ25" i="19"/>
  <c r="CE52" i="19"/>
  <c r="KF52" i="19"/>
  <c r="CE35" i="19"/>
  <c r="FZ35" i="19"/>
  <c r="FY35" i="19"/>
  <c r="KF35" i="19"/>
  <c r="KF19" i="19"/>
  <c r="CE19" i="19"/>
  <c r="CE27" i="21"/>
  <c r="FZ27" i="21"/>
  <c r="FY27" i="21"/>
  <c r="KF27" i="21"/>
  <c r="FZ13" i="32"/>
  <c r="KG13" i="32"/>
  <c r="U29" i="19"/>
  <c r="AV29" i="19"/>
  <c r="PQ33" i="19"/>
  <c r="AD33" i="19"/>
  <c r="PQ25" i="19"/>
  <c r="AD25" i="19"/>
  <c r="IY25" i="19"/>
  <c r="P126" i="19"/>
  <c r="AC126" i="19"/>
  <c r="KF91" i="19"/>
  <c r="CE91" i="19"/>
  <c r="KG83" i="19"/>
  <c r="FZ83" i="19"/>
  <c r="FY83" i="19"/>
  <c r="AJ108" i="39"/>
  <c r="HF108" i="39"/>
  <c r="AD75" i="39"/>
  <c r="IY75" i="39"/>
  <c r="PQ67" i="39"/>
  <c r="IY67" i="39"/>
  <c r="AD67" i="39"/>
  <c r="AD58" i="39"/>
  <c r="PQ58" i="39"/>
  <c r="IY58" i="39"/>
  <c r="AD48" i="39"/>
  <c r="PQ48" i="39"/>
  <c r="IY48" i="39"/>
  <c r="IY39" i="39"/>
  <c r="PQ39" i="39"/>
  <c r="IY31" i="39"/>
  <c r="PQ31" i="39"/>
  <c r="AD23" i="39"/>
  <c r="PQ23" i="39"/>
  <c r="AD15" i="39"/>
  <c r="IY15" i="39"/>
  <c r="PQ15" i="39"/>
  <c r="JO30" i="39"/>
  <c r="KF68" i="39"/>
  <c r="BK30" i="39"/>
  <c r="BK77" i="39"/>
  <c r="L13" i="33"/>
  <c r="Q12" i="32"/>
  <c r="M67" i="19"/>
  <c r="PQ19" i="19"/>
  <c r="KF21" i="35"/>
  <c r="Y65" i="35"/>
  <c r="KD32" i="21"/>
  <c r="KE32" i="21"/>
  <c r="OQ16" i="34"/>
  <c r="OT16" i="34"/>
  <c r="Q46" i="34"/>
  <c r="AT97" i="19"/>
  <c r="AT61" i="19"/>
  <c r="PQ99" i="19"/>
  <c r="AX26" i="22"/>
  <c r="KG57" i="31"/>
  <c r="HC119" i="19"/>
  <c r="HE119" i="19"/>
  <c r="HG119" i="19"/>
  <c r="GT50" i="21"/>
  <c r="Q74" i="39"/>
  <c r="OJ12" i="34"/>
  <c r="KG19" i="39"/>
  <c r="BK10" i="39"/>
  <c r="M27" i="34"/>
  <c r="CC20" i="33"/>
  <c r="EB20" i="21"/>
  <c r="EB33" i="21"/>
  <c r="EB10" i="35"/>
  <c r="EB12" i="35"/>
  <c r="EB18" i="35"/>
  <c r="EB28" i="35"/>
  <c r="EB32" i="35"/>
  <c r="EB36" i="35"/>
  <c r="EB40" i="35"/>
  <c r="EB49" i="35"/>
  <c r="EB54" i="35"/>
  <c r="EH57" i="21"/>
  <c r="JO78" i="39"/>
  <c r="JO54" i="39"/>
  <c r="JO46" i="39"/>
  <c r="JO37" i="39"/>
  <c r="JO28" i="39"/>
  <c r="JO31" i="39"/>
  <c r="JO23" i="39"/>
  <c r="JO85" i="39"/>
  <c r="JO68" i="39"/>
  <c r="JO60" i="39"/>
  <c r="JO44" i="39"/>
  <c r="JO35" i="39"/>
  <c r="JO79" i="39"/>
  <c r="JO71" i="39"/>
  <c r="JO55" i="39"/>
  <c r="JO47" i="39"/>
  <c r="JO38" i="39"/>
  <c r="JO83" i="39"/>
  <c r="JO66" i="39"/>
  <c r="JO58" i="39"/>
  <c r="JO50" i="39"/>
  <c r="JO41" i="39"/>
  <c r="JO77" i="39"/>
  <c r="JO53" i="39"/>
  <c r="JO45" i="39"/>
  <c r="JO36" i="39"/>
  <c r="JO80" i="39"/>
  <c r="JO64" i="39"/>
  <c r="JO48" i="39"/>
  <c r="JO39" i="39"/>
  <c r="JO22" i="39"/>
  <c r="JO84" i="39"/>
  <c r="JO25" i="39"/>
  <c r="NT9" i="39"/>
  <c r="NU9" i="39"/>
  <c r="HC22" i="39"/>
  <c r="HE22" i="39"/>
  <c r="OH22" i="39"/>
  <c r="AY25" i="22"/>
  <c r="L67" i="34"/>
  <c r="KM62" i="34"/>
  <c r="AR29" i="32"/>
  <c r="HH49" i="31"/>
  <c r="II51" i="31"/>
  <c r="FY57" i="35"/>
  <c r="GJ57" i="35"/>
  <c r="KD30" i="39"/>
  <c r="KE30" i="39"/>
  <c r="HG63" i="39"/>
  <c r="Q38" i="39"/>
  <c r="M37" i="39"/>
  <c r="OJ57" i="39"/>
  <c r="KG111" i="19"/>
  <c r="BK62" i="39"/>
  <c r="BK70" i="39"/>
  <c r="AV9" i="22"/>
  <c r="M19" i="32"/>
  <c r="M65" i="39"/>
  <c r="Q60" i="39"/>
  <c r="AR45" i="19"/>
  <c r="EB32" i="19"/>
  <c r="HW23" i="35"/>
  <c r="GT39" i="35"/>
  <c r="GV39" i="35"/>
  <c r="GX39" i="35"/>
  <c r="GY39" i="35"/>
  <c r="GT19" i="32"/>
  <c r="GV19" i="32"/>
  <c r="GX19" i="32"/>
  <c r="GY19" i="32"/>
  <c r="DZ32" i="31"/>
  <c r="DZ60" i="31"/>
  <c r="GT49" i="21"/>
  <c r="KK121" i="19"/>
  <c r="GB119" i="19"/>
  <c r="IU122" i="19"/>
  <c r="Y44" i="21"/>
  <c r="Y17" i="22"/>
  <c r="GA65" i="35"/>
  <c r="HC67" i="35"/>
  <c r="HE67" i="35"/>
  <c r="DV108" i="39"/>
  <c r="KD91" i="19"/>
  <c r="KE91" i="19"/>
  <c r="M22" i="39"/>
  <c r="Q52" i="39"/>
  <c r="OJ67" i="39"/>
  <c r="OJ86" i="39"/>
  <c r="BD99" i="19"/>
  <c r="X126" i="19"/>
  <c r="L126" i="19"/>
  <c r="BK41" i="39"/>
  <c r="EB63" i="39"/>
  <c r="EB47" i="39"/>
  <c r="EB10" i="39"/>
  <c r="GT54" i="39"/>
  <c r="GV54" i="39"/>
  <c r="GT60" i="34"/>
  <c r="GT46" i="21"/>
  <c r="IU33" i="32"/>
  <c r="PQ122" i="19"/>
  <c r="OP23" i="39"/>
  <c r="BK35" i="39"/>
  <c r="BK33" i="39"/>
  <c r="Q53" i="39"/>
  <c r="KD27" i="21"/>
  <c r="KE27" i="21"/>
  <c r="IQ65" i="35"/>
  <c r="FZ11" i="33"/>
  <c r="EB15" i="21"/>
  <c r="BD22" i="19"/>
  <c r="BD14" i="19"/>
  <c r="GD119" i="19"/>
  <c r="KH102" i="39"/>
  <c r="GA26" i="22"/>
  <c r="GE65" i="35"/>
  <c r="IA53" i="21"/>
  <c r="HX60" i="34"/>
  <c r="HZ60" i="34"/>
  <c r="HY60" i="34"/>
  <c r="GV59" i="34"/>
  <c r="II59" i="34"/>
  <c r="HZ59" i="34"/>
  <c r="HY59" i="34"/>
  <c r="HV59" i="34"/>
  <c r="GT59" i="34"/>
  <c r="AT29" i="32"/>
  <c r="AT21" i="32"/>
  <c r="HX38" i="31"/>
  <c r="HV38" i="31"/>
  <c r="T57" i="21"/>
  <c r="AC57" i="21"/>
  <c r="AG64" i="21"/>
  <c r="GX30" i="21"/>
  <c r="GY30" i="21"/>
  <c r="HQ47" i="21"/>
  <c r="IC47" i="21"/>
  <c r="IB47" i="21"/>
  <c r="HP41" i="21"/>
  <c r="II47" i="21"/>
  <c r="HZ26" i="21"/>
  <c r="HY26" i="21"/>
  <c r="HX26" i="21"/>
  <c r="HZ47" i="21"/>
  <c r="O57" i="21"/>
  <c r="Q57" i="21"/>
  <c r="GT48" i="21"/>
  <c r="HX54" i="21"/>
  <c r="IA54" i="21"/>
  <c r="HV54" i="21"/>
  <c r="HV50" i="21"/>
  <c r="GV50" i="21"/>
  <c r="HZ50" i="21"/>
  <c r="IA49" i="21"/>
  <c r="HZ48" i="21"/>
  <c r="HX48" i="21"/>
  <c r="OU54" i="39"/>
  <c r="OV54" i="39"/>
  <c r="HI10" i="39"/>
  <c r="GZ10" i="39"/>
  <c r="II43" i="19"/>
  <c r="GW43" i="19"/>
  <c r="OT19" i="39"/>
  <c r="FZ53" i="39"/>
  <c r="KG53" i="39"/>
  <c r="IO20" i="21"/>
  <c r="IQ20" i="21"/>
  <c r="IQ27" i="19"/>
  <c r="IO27" i="19"/>
  <c r="IO57" i="19"/>
  <c r="IQ57" i="19"/>
  <c r="IC22" i="19"/>
  <c r="ID22" i="19"/>
  <c r="II22" i="19"/>
  <c r="IH22" i="19"/>
  <c r="OL40" i="19"/>
  <c r="OM40" i="19"/>
  <c r="GW106" i="19"/>
  <c r="KD22" i="19"/>
  <c r="KE22" i="19"/>
  <c r="HY102" i="39"/>
  <c r="IA102" i="39"/>
  <c r="HP11" i="34"/>
  <c r="IQ38" i="34"/>
  <c r="GW13" i="34"/>
  <c r="OR19" i="21"/>
  <c r="OV19" i="21"/>
  <c r="OL19" i="21"/>
  <c r="OK19" i="21"/>
  <c r="GJ24" i="21"/>
  <c r="FY36" i="21"/>
  <c r="FZ46" i="34"/>
  <c r="KG46" i="34"/>
  <c r="CQ46" i="34"/>
  <c r="II10" i="39"/>
  <c r="IL10" i="39"/>
  <c r="OR40" i="19"/>
  <c r="GX13" i="34"/>
  <c r="GY13" i="34"/>
  <c r="HH118" i="19"/>
  <c r="HT118" i="19"/>
  <c r="HS118" i="19"/>
  <c r="HH9" i="22"/>
  <c r="HT9" i="22"/>
  <c r="HU9" i="22"/>
  <c r="HH96" i="19"/>
  <c r="HT96" i="19"/>
  <c r="OT18" i="21"/>
  <c r="OV18" i="21"/>
  <c r="IC10" i="39"/>
  <c r="GX10" i="39"/>
  <c r="GY10" i="39"/>
  <c r="HI43" i="21"/>
  <c r="ID13" i="34"/>
  <c r="IO13" i="34"/>
  <c r="II13" i="34"/>
  <c r="IH13" i="34"/>
  <c r="HG49" i="34"/>
  <c r="HH49" i="34"/>
  <c r="HI109" i="19"/>
  <c r="GZ109" i="19"/>
  <c r="IC102" i="39"/>
  <c r="GW102" i="39"/>
  <c r="IF43" i="19"/>
  <c r="IG43" i="19"/>
  <c r="ID43" i="19"/>
  <c r="IB43" i="19"/>
  <c r="IO10" i="21"/>
  <c r="IQ10" i="21"/>
  <c r="IO53" i="19"/>
  <c r="IQ53" i="19"/>
  <c r="IO23" i="19"/>
  <c r="IQ23" i="19"/>
  <c r="IF13" i="34"/>
  <c r="HT28" i="19"/>
  <c r="HG54" i="39"/>
  <c r="GX43" i="19"/>
  <c r="GY43" i="19"/>
  <c r="OH75" i="19"/>
  <c r="OL75" i="19"/>
  <c r="II106" i="19"/>
  <c r="GX106" i="19"/>
  <c r="GY106" i="19"/>
  <c r="IJ92" i="39"/>
  <c r="HT92" i="19"/>
  <c r="HS92" i="19"/>
  <c r="HH92" i="19"/>
  <c r="HT15" i="21"/>
  <c r="IO81" i="19"/>
  <c r="HT75" i="19"/>
  <c r="HS75" i="19"/>
  <c r="OH85" i="19"/>
  <c r="HG85" i="19"/>
  <c r="ID108" i="19"/>
  <c r="IF108" i="19"/>
  <c r="IG108" i="19"/>
  <c r="GJ30" i="35"/>
  <c r="GK30" i="35"/>
  <c r="HT105" i="19"/>
  <c r="OK96" i="19"/>
  <c r="OL96" i="19"/>
  <c r="KD80" i="19"/>
  <c r="KE80" i="19"/>
  <c r="KD31" i="19"/>
  <c r="KE31" i="19"/>
  <c r="GK47" i="35"/>
  <c r="GW85" i="39"/>
  <c r="GX85" i="39"/>
  <c r="GY85" i="39"/>
  <c r="FY51" i="19"/>
  <c r="KD51" i="19"/>
  <c r="KE51" i="19"/>
  <c r="FY53" i="21"/>
  <c r="KD53" i="21"/>
  <c r="KE53" i="21"/>
  <c r="OH43" i="21"/>
  <c r="HG43" i="21"/>
  <c r="OH31" i="21"/>
  <c r="HG31" i="21"/>
  <c r="HH31" i="21"/>
  <c r="HG22" i="35"/>
  <c r="HH22" i="35"/>
  <c r="OH22" i="35"/>
  <c r="OK97" i="19"/>
  <c r="OM97" i="19"/>
  <c r="OR97" i="19"/>
  <c r="HG43" i="19"/>
  <c r="OH43" i="19"/>
  <c r="T70" i="35"/>
  <c r="P70" i="35"/>
  <c r="AC70" i="35"/>
  <c r="KN26" i="21"/>
  <c r="CQ26" i="21"/>
  <c r="OL100" i="39"/>
  <c r="OM100" i="39"/>
  <c r="OH30" i="35"/>
  <c r="HG30" i="35"/>
  <c r="HH30" i="35"/>
  <c r="HH63" i="19"/>
  <c r="OL49" i="35"/>
  <c r="OK49" i="35"/>
  <c r="OR49" i="35"/>
  <c r="OU49" i="35"/>
  <c r="KG57" i="19"/>
  <c r="FZ57" i="19"/>
  <c r="FY57" i="19"/>
  <c r="GJ57" i="19"/>
  <c r="KD63" i="35"/>
  <c r="KE63" i="35"/>
  <c r="FY63" i="35"/>
  <c r="OK107" i="19"/>
  <c r="IC54" i="19"/>
  <c r="GX54" i="19"/>
  <c r="GY54" i="19"/>
  <c r="HH61" i="35"/>
  <c r="Y43" i="35"/>
  <c r="AZ21" i="19"/>
  <c r="II16" i="35"/>
  <c r="GX16" i="35"/>
  <c r="GY16" i="35"/>
  <c r="FY43" i="21"/>
  <c r="GK43" i="21"/>
  <c r="KD43" i="21"/>
  <c r="KE43" i="21"/>
  <c r="AZ51" i="19"/>
  <c r="IQ69" i="19"/>
  <c r="IO69" i="19"/>
  <c r="IU18" i="21"/>
  <c r="Y18" i="21"/>
  <c r="Y9" i="33"/>
  <c r="IU9" i="33"/>
  <c r="Y21" i="35"/>
  <c r="IU21" i="35"/>
  <c r="IU38" i="35"/>
  <c r="Y38" i="35"/>
  <c r="Y52" i="35"/>
  <c r="IU52" i="35"/>
  <c r="IU57" i="35"/>
  <c r="Y57" i="35"/>
  <c r="AD18" i="32"/>
  <c r="IY18" i="32"/>
  <c r="PQ15" i="35"/>
  <c r="AD15" i="35"/>
  <c r="IY15" i="35"/>
  <c r="IY19" i="35"/>
  <c r="AD19" i="35"/>
  <c r="PQ19" i="35"/>
  <c r="IY23" i="35"/>
  <c r="AD23" i="35"/>
  <c r="PO23" i="35"/>
  <c r="PQ23" i="35"/>
  <c r="AD27" i="35"/>
  <c r="IY27" i="35"/>
  <c r="PQ27" i="35"/>
  <c r="IY35" i="35"/>
  <c r="AD35" i="35"/>
  <c r="PQ35" i="35"/>
  <c r="PQ39" i="35"/>
  <c r="AD39" i="35"/>
  <c r="IY39" i="35"/>
  <c r="PQ44" i="35"/>
  <c r="AD44" i="35"/>
  <c r="IY48" i="35"/>
  <c r="PQ48" i="35"/>
  <c r="AD48" i="35"/>
  <c r="AD53" i="35"/>
  <c r="PQ53" i="35"/>
  <c r="AD58" i="35"/>
  <c r="IY58" i="35"/>
  <c r="AY55" i="19"/>
  <c r="BA55" i="19"/>
  <c r="AX55" i="19"/>
  <c r="BA47" i="19"/>
  <c r="AY47" i="19"/>
  <c r="AX28" i="19"/>
  <c r="BA28" i="19"/>
  <c r="AP99" i="19"/>
  <c r="AD82" i="39"/>
  <c r="PQ82" i="39"/>
  <c r="PQ74" i="39"/>
  <c r="IY74" i="39"/>
  <c r="AD66" i="39"/>
  <c r="IY66" i="39"/>
  <c r="PQ66" i="39"/>
  <c r="PQ55" i="39"/>
  <c r="AD55" i="39"/>
  <c r="IY55" i="39"/>
  <c r="AD47" i="39"/>
  <c r="IY47" i="39"/>
  <c r="PQ47" i="39"/>
  <c r="IY38" i="39"/>
  <c r="PQ38" i="39"/>
  <c r="AD38" i="39"/>
  <c r="AD30" i="39"/>
  <c r="PQ30" i="39"/>
  <c r="IY30" i="39"/>
  <c r="AD22" i="39"/>
  <c r="PQ22" i="39"/>
  <c r="IY22" i="39"/>
  <c r="JQ108" i="39"/>
  <c r="JO12" i="39"/>
  <c r="JO10" i="39"/>
  <c r="KA108" i="39"/>
  <c r="JZ108" i="39"/>
  <c r="JY108" i="39"/>
  <c r="JX108" i="39"/>
  <c r="JO14" i="39"/>
  <c r="JW108" i="39"/>
  <c r="JU108" i="39"/>
  <c r="JO75" i="39"/>
  <c r="JO67" i="39"/>
  <c r="JO59" i="39"/>
  <c r="JO51" i="39"/>
  <c r="JO34" i="39"/>
  <c r="JO19" i="39"/>
  <c r="JT108" i="39"/>
  <c r="JO73" i="39"/>
  <c r="JO65" i="39"/>
  <c r="JO49" i="39"/>
  <c r="JO24" i="39"/>
  <c r="JS108" i="39"/>
  <c r="JO16" i="39"/>
  <c r="JO86" i="39"/>
  <c r="JO29" i="39"/>
  <c r="JO21" i="39"/>
  <c r="JO13" i="39"/>
  <c r="KG26" i="39"/>
  <c r="FZ26" i="39"/>
  <c r="KG18" i="39"/>
  <c r="FZ18" i="39"/>
  <c r="KT108" i="39"/>
  <c r="FY47" i="19"/>
  <c r="FY22" i="35"/>
  <c r="HZ107" i="39"/>
  <c r="IA107" i="39"/>
  <c r="HV107" i="39"/>
  <c r="OT31" i="35"/>
  <c r="IH112" i="19"/>
  <c r="IJ112" i="19"/>
  <c r="IA111" i="19"/>
  <c r="HY111" i="19"/>
  <c r="PQ11" i="35"/>
  <c r="GW14" i="19"/>
  <c r="Y21" i="21"/>
  <c r="BK59" i="19"/>
  <c r="HC59" i="19"/>
  <c r="HE59" i="19"/>
  <c r="KG68" i="39"/>
  <c r="FZ68" i="39"/>
  <c r="II58" i="31"/>
  <c r="IL58" i="31"/>
  <c r="GX58" i="31"/>
  <c r="GW58" i="31"/>
  <c r="IC58" i="31"/>
  <c r="IC49" i="31"/>
  <c r="IB49" i="31"/>
  <c r="HQ49" i="31"/>
  <c r="HP49" i="31"/>
  <c r="IO31" i="34"/>
  <c r="IO84" i="39"/>
  <c r="FY62" i="39"/>
  <c r="IQ83" i="19"/>
  <c r="IO83" i="19"/>
  <c r="NU81" i="39"/>
  <c r="CQ19" i="21"/>
  <c r="FY91" i="39"/>
  <c r="IO38" i="21"/>
  <c r="IQ38" i="21"/>
  <c r="PQ9" i="22"/>
  <c r="AD9" i="22"/>
  <c r="AD21" i="21"/>
  <c r="PQ21" i="21"/>
  <c r="IY37" i="21"/>
  <c r="AD37" i="21"/>
  <c r="PQ37" i="21"/>
  <c r="PQ17" i="34"/>
  <c r="IY17" i="34"/>
  <c r="IC29" i="35"/>
  <c r="BK11" i="19"/>
  <c r="NU17" i="39"/>
  <c r="NU26" i="39"/>
  <c r="NU35" i="39"/>
  <c r="NU46" i="39"/>
  <c r="NU55" i="39"/>
  <c r="NU73" i="39"/>
  <c r="NU82" i="39"/>
  <c r="OH19" i="35"/>
  <c r="FY62" i="35"/>
  <c r="OH63" i="39"/>
  <c r="OK63" i="39"/>
  <c r="Y27" i="21"/>
  <c r="IU27" i="21"/>
  <c r="AD10" i="31"/>
  <c r="IY10" i="31"/>
  <c r="AD54" i="35"/>
  <c r="IY54" i="35"/>
  <c r="PQ54" i="35"/>
  <c r="NU18" i="39"/>
  <c r="NU27" i="39"/>
  <c r="NU36" i="39"/>
  <c r="NU47" i="39"/>
  <c r="NU65" i="39"/>
  <c r="NU74" i="39"/>
  <c r="NU83" i="39"/>
  <c r="BA9" i="22"/>
  <c r="KD100" i="19"/>
  <c r="KE100" i="19"/>
  <c r="NU10" i="39"/>
  <c r="NU19" i="39"/>
  <c r="NU57" i="39"/>
  <c r="NU66" i="39"/>
  <c r="NU84" i="39"/>
  <c r="FY48" i="21"/>
  <c r="GK48" i="21"/>
  <c r="FZ16" i="35"/>
  <c r="FY16" i="35"/>
  <c r="PI26" i="35"/>
  <c r="PH26" i="35"/>
  <c r="IU45" i="35"/>
  <c r="Y45" i="35"/>
  <c r="IU11" i="32"/>
  <c r="Y11" i="32"/>
  <c r="IY9" i="33"/>
  <c r="PQ9" i="33"/>
  <c r="AD9" i="33"/>
  <c r="AB13" i="33"/>
  <c r="AD13" i="33"/>
  <c r="OP12" i="31"/>
  <c r="Q12" i="31"/>
  <c r="KG68" i="35"/>
  <c r="FZ68" i="35"/>
  <c r="KM69" i="35"/>
  <c r="GD69" i="35"/>
  <c r="KK120" i="19"/>
  <c r="GC120" i="19"/>
  <c r="IY65" i="35"/>
  <c r="AD65" i="35"/>
  <c r="JC66" i="35"/>
  <c r="PG66" i="35"/>
  <c r="KH66" i="35"/>
  <c r="GA66" i="35"/>
  <c r="KH68" i="35"/>
  <c r="GA68" i="35"/>
  <c r="I57" i="21"/>
  <c r="PK26" i="21"/>
  <c r="PK57" i="21"/>
  <c r="PH26" i="21"/>
  <c r="PH57" i="21"/>
  <c r="PJ26" i="21"/>
  <c r="PJ57" i="21"/>
  <c r="FY42" i="35"/>
  <c r="GK42" i="35"/>
  <c r="BK34" i="21"/>
  <c r="BK26" i="21"/>
  <c r="BK39" i="21"/>
  <c r="GT9" i="21"/>
  <c r="GV9" i="21"/>
  <c r="IC9" i="21"/>
  <c r="GT15" i="21"/>
  <c r="GV15" i="21"/>
  <c r="GT16" i="21"/>
  <c r="GV16" i="21"/>
  <c r="GX16" i="21"/>
  <c r="GY16" i="21"/>
  <c r="GT17" i="21"/>
  <c r="GV17" i="21"/>
  <c r="GT18" i="21"/>
  <c r="GV18" i="21"/>
  <c r="GT20" i="21"/>
  <c r="GV20" i="21"/>
  <c r="GX20" i="21"/>
  <c r="GY20" i="21"/>
  <c r="GT25" i="21"/>
  <c r="GV25" i="21"/>
  <c r="GX25" i="21"/>
  <c r="GY25" i="21"/>
  <c r="GT27" i="21"/>
  <c r="GV27" i="21"/>
  <c r="II27" i="21"/>
  <c r="GT28" i="21"/>
  <c r="GV28" i="21"/>
  <c r="GW28" i="21"/>
  <c r="GT29" i="21"/>
  <c r="GV29" i="21"/>
  <c r="IC29" i="21"/>
  <c r="GT31" i="21"/>
  <c r="GV31" i="21"/>
  <c r="IC31" i="21"/>
  <c r="GT34" i="21"/>
  <c r="GV34" i="21"/>
  <c r="GW34" i="21"/>
  <c r="HI34" i="21"/>
  <c r="GT35" i="21"/>
  <c r="GV35" i="21"/>
  <c r="GT36" i="21"/>
  <c r="GV36" i="21"/>
  <c r="GX36" i="21"/>
  <c r="GY36" i="21"/>
  <c r="GT37" i="21"/>
  <c r="GV37" i="21"/>
  <c r="II37" i="21"/>
  <c r="IJ37" i="21"/>
  <c r="GT39" i="21"/>
  <c r="GV39" i="21"/>
  <c r="GT42" i="21"/>
  <c r="KG20" i="31"/>
  <c r="FZ20" i="31"/>
  <c r="KG17" i="32"/>
  <c r="FZ17" i="32"/>
  <c r="KM45" i="21"/>
  <c r="GD45" i="21"/>
  <c r="OJ45" i="21"/>
  <c r="OQ45" i="21"/>
  <c r="OT45" i="21"/>
  <c r="NU34" i="39"/>
  <c r="NU45" i="39"/>
  <c r="NU54" i="39"/>
  <c r="EB27" i="32"/>
  <c r="KD13" i="35"/>
  <c r="KE13" i="35"/>
  <c r="FY37" i="35"/>
  <c r="GJ37" i="35"/>
  <c r="IQ39" i="19"/>
  <c r="CC36" i="22"/>
  <c r="GB33" i="19"/>
  <c r="KD33" i="19"/>
  <c r="KE33" i="19"/>
  <c r="KI33" i="19"/>
  <c r="GD10" i="31"/>
  <c r="KM10" i="31"/>
  <c r="GA32" i="32"/>
  <c r="KD21" i="19"/>
  <c r="KE21" i="19"/>
  <c r="OP30" i="31"/>
  <c r="Q30" i="31"/>
  <c r="OO13" i="32"/>
  <c r="M13" i="32"/>
  <c r="OP40" i="35"/>
  <c r="Q40" i="35"/>
  <c r="JC34" i="31"/>
  <c r="PH34" i="31"/>
  <c r="PK34" i="31"/>
  <c r="PJ34" i="31"/>
  <c r="BB21" i="32"/>
  <c r="JC21" i="32"/>
  <c r="I21" i="32"/>
  <c r="BB50" i="34"/>
  <c r="I50" i="34"/>
  <c r="GA49" i="35"/>
  <c r="KD49" i="35"/>
  <c r="KE49" i="35"/>
  <c r="KH49" i="35"/>
  <c r="GD9" i="35"/>
  <c r="KM9" i="35"/>
  <c r="PP60" i="39"/>
  <c r="AD60" i="39"/>
  <c r="BK82" i="39"/>
  <c r="NT107" i="19"/>
  <c r="NU107" i="19"/>
  <c r="Y36" i="19"/>
  <c r="IU36" i="19"/>
  <c r="CQ11" i="21"/>
  <c r="M13" i="34"/>
  <c r="OO13" i="34"/>
  <c r="OO21" i="34"/>
  <c r="M21" i="34"/>
  <c r="OP33" i="34"/>
  <c r="Q33" i="34"/>
  <c r="GB11" i="19"/>
  <c r="KI11" i="19"/>
  <c r="GD60" i="19"/>
  <c r="KM60" i="19"/>
  <c r="GE73" i="19"/>
  <c r="FY73" i="19"/>
  <c r="KR73" i="19"/>
  <c r="GB74" i="19"/>
  <c r="FY74" i="19"/>
  <c r="KI74" i="19"/>
  <c r="GB90" i="19"/>
  <c r="KI90" i="19"/>
  <c r="GB48" i="34"/>
  <c r="KI48" i="34"/>
  <c r="GC35" i="34"/>
  <c r="KK35" i="34"/>
  <c r="GE25" i="34"/>
  <c r="KR25" i="34"/>
  <c r="GB24" i="34"/>
  <c r="KI24" i="34"/>
  <c r="GB16" i="34"/>
  <c r="KI16" i="34"/>
  <c r="GA13" i="34"/>
  <c r="KD13" i="34"/>
  <c r="KE13" i="34"/>
  <c r="KH13" i="34"/>
  <c r="GE58" i="35"/>
  <c r="KD58" i="35"/>
  <c r="KE58" i="35"/>
  <c r="KR58" i="35"/>
  <c r="Q102" i="39"/>
  <c r="OP102" i="39"/>
  <c r="GD50" i="21"/>
  <c r="KM50" i="21"/>
  <c r="GW53" i="31"/>
  <c r="GX53" i="31"/>
  <c r="GY53" i="31"/>
  <c r="GX46" i="31"/>
  <c r="GY46" i="31"/>
  <c r="GW46" i="31"/>
  <c r="OP45" i="39"/>
  <c r="Q45" i="39"/>
  <c r="OO73" i="39"/>
  <c r="M73" i="39"/>
  <c r="OP28" i="34"/>
  <c r="Q28" i="34"/>
  <c r="FY111" i="19"/>
  <c r="GK111" i="19"/>
  <c r="JO12" i="33"/>
  <c r="OP22" i="19"/>
  <c r="OV22" i="19"/>
  <c r="OW22" i="19"/>
  <c r="Q22" i="19"/>
  <c r="OP12" i="35"/>
  <c r="Q12" i="35"/>
  <c r="OP22" i="35"/>
  <c r="Q22" i="35"/>
  <c r="PK33" i="31"/>
  <c r="PH33" i="31"/>
  <c r="PJ33" i="31"/>
  <c r="BB9" i="35"/>
  <c r="BB70" i="35"/>
  <c r="I9" i="35"/>
  <c r="PH61" i="35"/>
  <c r="PI61" i="35"/>
  <c r="GD99" i="19"/>
  <c r="KM99" i="19"/>
  <c r="GA40" i="35"/>
  <c r="KH40" i="35"/>
  <c r="GE36" i="35"/>
  <c r="KR36" i="35"/>
  <c r="GE28" i="35"/>
  <c r="KD28" i="35"/>
  <c r="KE28" i="35"/>
  <c r="KR28" i="35"/>
  <c r="GD15" i="35"/>
  <c r="FY15" i="35"/>
  <c r="KM15" i="35"/>
  <c r="KR24" i="22"/>
  <c r="GT117" i="19"/>
  <c r="KR113" i="19"/>
  <c r="GE113" i="19"/>
  <c r="KM27" i="22"/>
  <c r="GD27" i="22"/>
  <c r="GD34" i="32"/>
  <c r="KM34" i="32"/>
  <c r="KI66" i="35"/>
  <c r="GB66" i="35"/>
  <c r="OP18" i="34"/>
  <c r="Q18" i="34"/>
  <c r="GC29" i="19"/>
  <c r="KD29" i="19"/>
  <c r="KE29" i="19"/>
  <c r="KK29" i="19"/>
  <c r="GE27" i="19"/>
  <c r="KD27" i="19"/>
  <c r="KE27" i="19"/>
  <c r="KR27" i="19"/>
  <c r="GA23" i="19"/>
  <c r="FY23" i="19"/>
  <c r="KH23" i="19"/>
  <c r="FZ68" i="19"/>
  <c r="FY68" i="19"/>
  <c r="GK68" i="19"/>
  <c r="KG68" i="19"/>
  <c r="GE41" i="19"/>
  <c r="KR41" i="19"/>
  <c r="GB19" i="31"/>
  <c r="KI19" i="31"/>
  <c r="GD9" i="31"/>
  <c r="KM9" i="31"/>
  <c r="OP40" i="21"/>
  <c r="Q40" i="21"/>
  <c r="GB122" i="19"/>
  <c r="GE57" i="31"/>
  <c r="KR23" i="22"/>
  <c r="GE23" i="22"/>
  <c r="OO81" i="39"/>
  <c r="M81" i="39"/>
  <c r="JC15" i="22"/>
  <c r="PH15" i="22"/>
  <c r="PK15" i="22"/>
  <c r="PJ15" i="22"/>
  <c r="PH43" i="31"/>
  <c r="PK43" i="31"/>
  <c r="PJ43" i="31"/>
  <c r="JC60" i="34"/>
  <c r="PG60" i="34"/>
  <c r="GA41" i="39"/>
  <c r="KH41" i="39"/>
  <c r="GB36" i="39"/>
  <c r="KI36" i="39"/>
  <c r="GD18" i="39"/>
  <c r="KM18" i="39"/>
  <c r="GE13" i="39"/>
  <c r="KD13" i="39"/>
  <c r="KE13" i="39"/>
  <c r="KR13" i="39"/>
  <c r="GB12" i="39"/>
  <c r="KI12" i="39"/>
  <c r="GC14" i="22"/>
  <c r="KD14" i="22"/>
  <c r="KE14" i="22"/>
  <c r="KK14" i="22"/>
  <c r="GA9" i="22"/>
  <c r="KH9" i="22"/>
  <c r="GC9" i="31"/>
  <c r="KK9" i="31"/>
  <c r="OO14" i="21"/>
  <c r="M14" i="21"/>
  <c r="OP27" i="21"/>
  <c r="Q27" i="21"/>
  <c r="OP26" i="21"/>
  <c r="OT26" i="21"/>
  <c r="Q26" i="21"/>
  <c r="JC118" i="19"/>
  <c r="PG118" i="19"/>
  <c r="HH45" i="31"/>
  <c r="JO41" i="19"/>
  <c r="JO44" i="19"/>
  <c r="JO45" i="19"/>
  <c r="JO46" i="19"/>
  <c r="JO47" i="19"/>
  <c r="JO48" i="19"/>
  <c r="JO49" i="19"/>
  <c r="JO50" i="19"/>
  <c r="JO52" i="19"/>
  <c r="JO53" i="19"/>
  <c r="JO54" i="19"/>
  <c r="JO55" i="19"/>
  <c r="JO56" i="19"/>
  <c r="JO57" i="19"/>
  <c r="JO58" i="19"/>
  <c r="JO59" i="19"/>
  <c r="JO60" i="19"/>
  <c r="JO62" i="19"/>
  <c r="JO64" i="19"/>
  <c r="JO68" i="19"/>
  <c r="JO69" i="19"/>
  <c r="JO70" i="19"/>
  <c r="JO72" i="19"/>
  <c r="JO73" i="19"/>
  <c r="JO74" i="19"/>
  <c r="JO75" i="19"/>
  <c r="JO76" i="19"/>
  <c r="JO77" i="19"/>
  <c r="JO78" i="19"/>
  <c r="JO79" i="19"/>
  <c r="JO80" i="19"/>
  <c r="JO82" i="19"/>
  <c r="JO85" i="19"/>
  <c r="JO86" i="19"/>
  <c r="JO87" i="19"/>
  <c r="JO89" i="19"/>
  <c r="JO90" i="19"/>
  <c r="JO91" i="19"/>
  <c r="JO92" i="19"/>
  <c r="JO93" i="19"/>
  <c r="JO94" i="19"/>
  <c r="JO95" i="19"/>
  <c r="JO96" i="19"/>
  <c r="JO97" i="19"/>
  <c r="JO98" i="19"/>
  <c r="JO100" i="19"/>
  <c r="JO101" i="19"/>
  <c r="JO102" i="19"/>
  <c r="JO103" i="19"/>
  <c r="JO105" i="19"/>
  <c r="JO106" i="19"/>
  <c r="JO12" i="21"/>
  <c r="JZ57" i="21"/>
  <c r="JO17" i="21"/>
  <c r="KB57" i="21"/>
  <c r="JO18" i="21"/>
  <c r="JO19" i="21"/>
  <c r="JO20" i="21"/>
  <c r="JO21" i="21"/>
  <c r="JO22" i="21"/>
  <c r="JO23" i="21"/>
  <c r="JO24" i="21"/>
  <c r="JO25" i="21"/>
  <c r="JO26" i="21"/>
  <c r="JO27" i="21"/>
  <c r="JO28" i="21"/>
  <c r="JO29" i="21"/>
  <c r="JO30" i="21"/>
  <c r="JO31" i="21"/>
  <c r="JO32" i="21"/>
  <c r="JO33" i="21"/>
  <c r="JO34" i="21"/>
  <c r="JO35" i="21"/>
  <c r="JO36" i="21"/>
  <c r="JO37" i="21"/>
  <c r="JO39" i="21"/>
  <c r="JO40" i="21"/>
  <c r="JO41" i="21"/>
  <c r="JO42" i="21"/>
  <c r="CF14" i="31"/>
  <c r="GA14" i="31"/>
  <c r="OP50" i="34"/>
  <c r="OT50" i="34"/>
  <c r="Q50" i="34"/>
  <c r="OO19" i="19"/>
  <c r="M19" i="19"/>
  <c r="OO12" i="19"/>
  <c r="M12" i="19"/>
  <c r="OO68" i="19"/>
  <c r="M68" i="19"/>
  <c r="GB45" i="19"/>
  <c r="KD45" i="19"/>
  <c r="KE45" i="19"/>
  <c r="KI45" i="19"/>
  <c r="GE52" i="19"/>
  <c r="KD52" i="19"/>
  <c r="KE52" i="19"/>
  <c r="KR52" i="19"/>
  <c r="GD55" i="19"/>
  <c r="KM55" i="19"/>
  <c r="GE84" i="19"/>
  <c r="KD84" i="19"/>
  <c r="KE84" i="19"/>
  <c r="KR84" i="19"/>
  <c r="GC98" i="19"/>
  <c r="KK98" i="19"/>
  <c r="GD29" i="39"/>
  <c r="KM29" i="39"/>
  <c r="GD31" i="21"/>
  <c r="KD31" i="21"/>
  <c r="KE31" i="21"/>
  <c r="KM31" i="21"/>
  <c r="PG122" i="19"/>
  <c r="PG126" i="19"/>
  <c r="JC122" i="19"/>
  <c r="KG62" i="34"/>
  <c r="FZ62" i="34"/>
  <c r="KD37" i="19"/>
  <c r="KE37" i="19"/>
  <c r="JC67" i="35"/>
  <c r="GA34" i="32"/>
  <c r="FY34" i="32"/>
  <c r="GK34" i="32"/>
  <c r="PQ116" i="19"/>
  <c r="PK113" i="19"/>
  <c r="PH113" i="19"/>
  <c r="PJ113" i="19"/>
  <c r="PJ126" i="19"/>
  <c r="PH16" i="22"/>
  <c r="PK16" i="22"/>
  <c r="PJ16" i="22"/>
  <c r="IF45" i="31"/>
  <c r="IE45" i="31"/>
  <c r="ID45" i="31"/>
  <c r="AT10" i="22"/>
  <c r="BK20" i="21"/>
  <c r="BK24" i="21"/>
  <c r="EH13" i="33"/>
  <c r="PQ18" i="21"/>
  <c r="AR15" i="19"/>
  <c r="BD30" i="19"/>
  <c r="KT57" i="21"/>
  <c r="NT9" i="21"/>
  <c r="NU9" i="21"/>
  <c r="NN57" i="21"/>
  <c r="NP57" i="21"/>
  <c r="NT14" i="21"/>
  <c r="NU14" i="21"/>
  <c r="NS57" i="21"/>
  <c r="NM57" i="21"/>
  <c r="NT20" i="21"/>
  <c r="NU20" i="21"/>
  <c r="NT21" i="21"/>
  <c r="NU21" i="21"/>
  <c r="NT27" i="21"/>
  <c r="NU27" i="21"/>
  <c r="NT29" i="21"/>
  <c r="NU29" i="21"/>
  <c r="NT30" i="21"/>
  <c r="NU30" i="21"/>
  <c r="NT31" i="21"/>
  <c r="NU31" i="21"/>
  <c r="NT32" i="21"/>
  <c r="NU32" i="21"/>
  <c r="NT36" i="21"/>
  <c r="NU36" i="21"/>
  <c r="NT37" i="21"/>
  <c r="NU37" i="21"/>
  <c r="NT42" i="21"/>
  <c r="NU42" i="21"/>
  <c r="HC15" i="31"/>
  <c r="HE15" i="31"/>
  <c r="OH15" i="31"/>
  <c r="OR15" i="31"/>
  <c r="OU15" i="31"/>
  <c r="PI111" i="19"/>
  <c r="PI126" i="19"/>
  <c r="PH111" i="19"/>
  <c r="PH126" i="19"/>
  <c r="PH59" i="34"/>
  <c r="PK59" i="34"/>
  <c r="PJ59" i="34"/>
  <c r="KD87" i="19"/>
  <c r="KE87" i="19"/>
  <c r="KD12" i="33"/>
  <c r="KE12" i="33"/>
  <c r="GE122" i="19"/>
  <c r="PK17" i="22"/>
  <c r="PH17" i="22"/>
  <c r="PJ17" i="22"/>
  <c r="IU66" i="35"/>
  <c r="JC114" i="19"/>
  <c r="PG114" i="19"/>
  <c r="PH115" i="19"/>
  <c r="PK115" i="19"/>
  <c r="PJ115" i="19"/>
  <c r="PK102" i="39"/>
  <c r="PK108" i="39"/>
  <c r="PH102" i="39"/>
  <c r="PH108" i="39"/>
  <c r="PJ102" i="39"/>
  <c r="PJ108" i="39"/>
  <c r="HC45" i="21"/>
  <c r="HE45" i="21"/>
  <c r="JC38" i="31"/>
  <c r="PG38" i="31"/>
  <c r="JC34" i="32"/>
  <c r="PG34" i="32"/>
  <c r="PG36" i="32"/>
  <c r="KR68" i="35"/>
  <c r="GX21" i="22"/>
  <c r="GY21" i="22"/>
  <c r="JC26" i="22"/>
  <c r="PG26" i="22"/>
  <c r="JC65" i="35"/>
  <c r="PG65" i="35"/>
  <c r="AR10" i="22"/>
  <c r="BK21" i="31"/>
  <c r="BK25" i="21"/>
  <c r="EB10" i="21"/>
  <c r="EB16" i="21"/>
  <c r="EB23" i="21"/>
  <c r="EB27" i="21"/>
  <c r="EB31" i="21"/>
  <c r="EB35" i="21"/>
  <c r="BA43" i="19"/>
  <c r="BA25" i="19"/>
  <c r="BA16" i="19"/>
  <c r="BE61" i="19"/>
  <c r="BD61" i="19"/>
  <c r="AT52" i="19"/>
  <c r="AT11" i="19"/>
  <c r="KJ13" i="33"/>
  <c r="KA13" i="33"/>
  <c r="JW13" i="33"/>
  <c r="HC61" i="39"/>
  <c r="HE61" i="39"/>
  <c r="PK53" i="34"/>
  <c r="PH53" i="34"/>
  <c r="PJ53" i="34"/>
  <c r="PK63" i="35"/>
  <c r="PH63" i="35"/>
  <c r="PJ63" i="35"/>
  <c r="JC53" i="21"/>
  <c r="PG53" i="21"/>
  <c r="PG57" i="21"/>
  <c r="IU23" i="22"/>
  <c r="FZ117" i="19"/>
  <c r="JC119" i="19"/>
  <c r="PG119" i="19"/>
  <c r="JC24" i="22"/>
  <c r="PH24" i="22"/>
  <c r="PK24" i="22"/>
  <c r="PJ24" i="22"/>
  <c r="PK25" i="22"/>
  <c r="PH25" i="22"/>
  <c r="PJ25" i="22"/>
  <c r="KR27" i="22"/>
  <c r="HC27" i="22"/>
  <c r="HE27" i="22"/>
  <c r="HG27" i="22"/>
  <c r="HH27" i="22"/>
  <c r="GW45" i="31"/>
  <c r="H57" i="21"/>
  <c r="X57" i="21"/>
  <c r="AR14" i="22"/>
  <c r="AT22" i="32"/>
  <c r="CQ16" i="21"/>
  <c r="CC64" i="21"/>
  <c r="AR97" i="19"/>
  <c r="AX41" i="19"/>
  <c r="AZ41" i="19"/>
  <c r="BD35" i="19"/>
  <c r="AT34" i="19"/>
  <c r="GT10" i="22"/>
  <c r="GV10" i="22"/>
  <c r="KB13" i="33"/>
  <c r="BD88" i="19"/>
  <c r="BK78" i="39"/>
  <c r="BK65" i="39"/>
  <c r="BK53" i="39"/>
  <c r="BK32" i="39"/>
  <c r="EB83" i="39"/>
  <c r="EB73" i="39"/>
  <c r="EB65" i="39"/>
  <c r="EB57" i="39"/>
  <c r="EB54" i="39"/>
  <c r="GT50" i="39"/>
  <c r="GV50" i="39"/>
  <c r="BD86" i="19"/>
  <c r="HC19" i="39"/>
  <c r="HE19" i="39"/>
  <c r="JC59" i="31"/>
  <c r="PG59" i="31"/>
  <c r="PI62" i="35"/>
  <c r="PH62" i="35"/>
  <c r="KD29" i="21"/>
  <c r="KE29" i="21"/>
  <c r="JC107" i="39"/>
  <c r="PG107" i="39"/>
  <c r="JC102" i="39"/>
  <c r="GV16" i="22"/>
  <c r="JC23" i="22"/>
  <c r="PG23" i="22"/>
  <c r="II45" i="31"/>
  <c r="IL45" i="31"/>
  <c r="W57" i="21"/>
  <c r="Y57" i="21"/>
  <c r="EB20" i="35"/>
  <c r="EB45" i="35"/>
  <c r="EB59" i="35"/>
  <c r="PQ12" i="21"/>
  <c r="PQ16" i="34"/>
  <c r="AR12" i="19"/>
  <c r="AX40" i="19"/>
  <c r="HW22" i="35"/>
  <c r="Q68" i="19"/>
  <c r="HC16" i="31"/>
  <c r="HE16" i="31"/>
  <c r="OH16" i="31"/>
  <c r="HC19" i="34"/>
  <c r="HE19" i="34"/>
  <c r="HV31" i="22"/>
  <c r="HV29" i="22"/>
  <c r="PK36" i="31"/>
  <c r="PH36" i="31"/>
  <c r="PJ36" i="31"/>
  <c r="JC64" i="35"/>
  <c r="PH64" i="35"/>
  <c r="PK64" i="35"/>
  <c r="PJ64" i="35"/>
  <c r="FY28" i="19"/>
  <c r="GK28" i="19"/>
  <c r="GC44" i="21"/>
  <c r="AD27" i="22"/>
  <c r="AD34" i="32"/>
  <c r="GC11" i="33"/>
  <c r="GC13" i="33"/>
  <c r="JC57" i="31"/>
  <c r="PK57" i="31"/>
  <c r="PH57" i="31"/>
  <c r="PJ57" i="31"/>
  <c r="JC11" i="33"/>
  <c r="PG11" i="33"/>
  <c r="PG13" i="33"/>
  <c r="JC69" i="35"/>
  <c r="PG69" i="35"/>
  <c r="II52" i="31"/>
  <c r="IH52" i="31"/>
  <c r="KL70" i="35"/>
  <c r="OR39" i="35"/>
  <c r="FZ45" i="35"/>
  <c r="FY45" i="35"/>
  <c r="KD45" i="35"/>
  <c r="KE45" i="35"/>
  <c r="JO68" i="35"/>
  <c r="OU44" i="35"/>
  <c r="KD29" i="35"/>
  <c r="KE29" i="35"/>
  <c r="IB17" i="35"/>
  <c r="OM51" i="35"/>
  <c r="KD38" i="35"/>
  <c r="KE38" i="35"/>
  <c r="HV26" i="35"/>
  <c r="HX26" i="35"/>
  <c r="HZ26" i="35"/>
  <c r="IO64" i="35"/>
  <c r="IQ64" i="35"/>
  <c r="IQ27" i="35"/>
  <c r="IO27" i="35"/>
  <c r="HS37" i="35"/>
  <c r="FZ35" i="35"/>
  <c r="FY35" i="35"/>
  <c r="KG35" i="35"/>
  <c r="IE17" i="35"/>
  <c r="KD21" i="35"/>
  <c r="KE21" i="35"/>
  <c r="FY21" i="35"/>
  <c r="GK21" i="35"/>
  <c r="OH29" i="35"/>
  <c r="OK29" i="35"/>
  <c r="HG29" i="35"/>
  <c r="HT11" i="35"/>
  <c r="HT55" i="35"/>
  <c r="HU55" i="35"/>
  <c r="OW41" i="35"/>
  <c r="KD24" i="35"/>
  <c r="KE24" i="35"/>
  <c r="FY50" i="35"/>
  <c r="HC69" i="35"/>
  <c r="HE69" i="35"/>
  <c r="HH53" i="35"/>
  <c r="FY38" i="35"/>
  <c r="IF57" i="35"/>
  <c r="OL39" i="35"/>
  <c r="OM39" i="35"/>
  <c r="OM41" i="35"/>
  <c r="FY10" i="34"/>
  <c r="GJ10" i="34"/>
  <c r="FY50" i="34"/>
  <c r="GK50" i="34"/>
  <c r="HC14" i="34"/>
  <c r="HE14" i="34"/>
  <c r="JC62" i="34"/>
  <c r="IC52" i="34"/>
  <c r="KQ13" i="33"/>
  <c r="JO9" i="33"/>
  <c r="FY12" i="33"/>
  <c r="GK12" i="33"/>
  <c r="KD10" i="33"/>
  <c r="KE10" i="33"/>
  <c r="CG13" i="33"/>
  <c r="KI10" i="33"/>
  <c r="KI13" i="33"/>
  <c r="IT13" i="33"/>
  <c r="IT15" i="33"/>
  <c r="CH13" i="33"/>
  <c r="JQ13" i="33"/>
  <c r="CP13" i="33"/>
  <c r="KR12" i="33"/>
  <c r="KR13" i="33"/>
  <c r="JS13" i="33"/>
  <c r="KK13" i="33"/>
  <c r="KH13" i="33"/>
  <c r="CN13" i="33"/>
  <c r="CO13" i="33"/>
  <c r="KP13" i="33"/>
  <c r="KM33" i="32"/>
  <c r="AY22" i="32"/>
  <c r="OO14" i="32"/>
  <c r="IU27" i="32"/>
  <c r="HH50" i="31"/>
  <c r="HT50" i="31"/>
  <c r="HU50" i="31"/>
  <c r="GW51" i="31"/>
  <c r="IC44" i="31"/>
  <c r="IF44" i="31"/>
  <c r="GX49" i="31"/>
  <c r="IC46" i="31"/>
  <c r="IF46" i="31"/>
  <c r="II46" i="31"/>
  <c r="IH46" i="31"/>
  <c r="OO24" i="31"/>
  <c r="GD41" i="31"/>
  <c r="GB30" i="31"/>
  <c r="GW52" i="31"/>
  <c r="GX44" i="31"/>
  <c r="GY44" i="31"/>
  <c r="GZ44" i="31"/>
  <c r="AY13" i="22"/>
  <c r="AZ18" i="22"/>
  <c r="P29" i="22"/>
  <c r="OU42" i="21"/>
  <c r="OV42" i="21"/>
  <c r="OK16" i="21"/>
  <c r="OR16" i="21"/>
  <c r="OL16" i="21"/>
  <c r="IL30" i="21"/>
  <c r="IM30" i="21"/>
  <c r="IH30" i="21"/>
  <c r="IJ30" i="21"/>
  <c r="HU37" i="21"/>
  <c r="HS37" i="21"/>
  <c r="IQ14" i="21"/>
  <c r="IO14" i="21"/>
  <c r="IP30" i="21"/>
  <c r="BK30" i="21"/>
  <c r="IU38" i="21"/>
  <c r="Y38" i="21"/>
  <c r="DZ57" i="21"/>
  <c r="AD34" i="21"/>
  <c r="AB57" i="21"/>
  <c r="AD57" i="21"/>
  <c r="AD38" i="21"/>
  <c r="IY38" i="21"/>
  <c r="GU57" i="21"/>
  <c r="HS59" i="21"/>
  <c r="HS57" i="21"/>
  <c r="HD66" i="21"/>
  <c r="GT11" i="21"/>
  <c r="GV11" i="21"/>
  <c r="GT13" i="21"/>
  <c r="GV13" i="21"/>
  <c r="GT19" i="21"/>
  <c r="GV19" i="21"/>
  <c r="GT24" i="21"/>
  <c r="GV24" i="21"/>
  <c r="GV26" i="21"/>
  <c r="GT26" i="21"/>
  <c r="GT38" i="21"/>
  <c r="GV38" i="21"/>
  <c r="GT14" i="21"/>
  <c r="GV14" i="21"/>
  <c r="GW14" i="21"/>
  <c r="GP57" i="21"/>
  <c r="GV41" i="21"/>
  <c r="GX41" i="21"/>
  <c r="GY41" i="21"/>
  <c r="GQ57" i="21"/>
  <c r="JO10" i="21"/>
  <c r="JY57" i="21"/>
  <c r="JO15" i="21"/>
  <c r="JR57" i="21"/>
  <c r="KF15" i="21"/>
  <c r="CQ15" i="21"/>
  <c r="CQ30" i="21"/>
  <c r="KF30" i="21"/>
  <c r="CQ21" i="21"/>
  <c r="CQ36" i="21"/>
  <c r="KG30" i="21"/>
  <c r="KN29" i="21"/>
  <c r="CQ29" i="21"/>
  <c r="KJ32" i="21"/>
  <c r="KN33" i="21"/>
  <c r="CQ33" i="21"/>
  <c r="CQ40" i="21"/>
  <c r="IP17" i="21"/>
  <c r="BK17" i="21"/>
  <c r="IU30" i="21"/>
  <c r="Y30" i="21"/>
  <c r="IP41" i="21"/>
  <c r="BK41" i="21"/>
  <c r="EB22" i="21"/>
  <c r="EB25" i="21"/>
  <c r="EB28" i="21"/>
  <c r="EB29" i="21"/>
  <c r="GX21" i="21"/>
  <c r="GY21" i="21"/>
  <c r="HG36" i="21"/>
  <c r="OH36" i="21"/>
  <c r="IO12" i="21"/>
  <c r="IQ12" i="21"/>
  <c r="CL57" i="21"/>
  <c r="KL16" i="21"/>
  <c r="FZ37" i="21"/>
  <c r="FY37" i="21"/>
  <c r="CQ37" i="21"/>
  <c r="OL28" i="21"/>
  <c r="OR28" i="21"/>
  <c r="OV28" i="21"/>
  <c r="OK28" i="21"/>
  <c r="OK40" i="21"/>
  <c r="OM40" i="21"/>
  <c r="OL17" i="21"/>
  <c r="OR17" i="21"/>
  <c r="OU17" i="21"/>
  <c r="OH24" i="21"/>
  <c r="HG24" i="21"/>
  <c r="HH24" i="21"/>
  <c r="BG57" i="21"/>
  <c r="BK12" i="21"/>
  <c r="BF57" i="21"/>
  <c r="OT14" i="21"/>
  <c r="KG23" i="21"/>
  <c r="CQ23" i="21"/>
  <c r="FZ23" i="21"/>
  <c r="FY23" i="21"/>
  <c r="HG16" i="21"/>
  <c r="HT16" i="21"/>
  <c r="OR40" i="21"/>
  <c r="OH9" i="21"/>
  <c r="HG9" i="21"/>
  <c r="OT17" i="21"/>
  <c r="HH18" i="21"/>
  <c r="OT43" i="21"/>
  <c r="BJ57" i="21"/>
  <c r="KG19" i="21"/>
  <c r="FZ19" i="21"/>
  <c r="FY19" i="21"/>
  <c r="OK17" i="21"/>
  <c r="GW21" i="21"/>
  <c r="II22" i="21"/>
  <c r="OH32" i="21"/>
  <c r="HG32" i="21"/>
  <c r="FZ15" i="21"/>
  <c r="FY15" i="21"/>
  <c r="KG15" i="21"/>
  <c r="JP57" i="21"/>
  <c r="JQ57" i="21"/>
  <c r="KD48" i="21"/>
  <c r="KE48" i="21"/>
  <c r="PQ14" i="21"/>
  <c r="AD22" i="21"/>
  <c r="BK23" i="21"/>
  <c r="KQ11" i="21"/>
  <c r="M44" i="21"/>
  <c r="FY20" i="21"/>
  <c r="AD9" i="21"/>
  <c r="PQ22" i="21"/>
  <c r="IY9" i="21"/>
  <c r="AD18" i="21"/>
  <c r="IY14" i="21"/>
  <c r="AD10" i="21"/>
  <c r="KQ108" i="39"/>
  <c r="IQ76" i="39"/>
  <c r="IO76" i="39"/>
  <c r="IQ27" i="39"/>
  <c r="IO27" i="39"/>
  <c r="GW37" i="39"/>
  <c r="OH20" i="39"/>
  <c r="HG20" i="39"/>
  <c r="HG55" i="39"/>
  <c r="II47" i="39"/>
  <c r="IH47" i="39"/>
  <c r="OV43" i="39"/>
  <c r="OT43" i="39"/>
  <c r="HX9" i="39"/>
  <c r="HZ9" i="39"/>
  <c r="HZ108" i="39"/>
  <c r="HZ110" i="39"/>
  <c r="II95" i="39"/>
  <c r="OH21" i="39"/>
  <c r="HG21" i="39"/>
  <c r="FZ31" i="39"/>
  <c r="KG31" i="39"/>
  <c r="II22" i="39"/>
  <c r="IC22" i="39"/>
  <c r="GW22" i="39"/>
  <c r="GX22" i="39"/>
  <c r="GY22" i="39"/>
  <c r="HG46" i="39"/>
  <c r="OH46" i="39"/>
  <c r="OT89" i="39"/>
  <c r="IA87" i="39"/>
  <c r="HY87" i="39"/>
  <c r="KD65" i="39"/>
  <c r="KE65" i="39"/>
  <c r="JO63" i="39"/>
  <c r="HC11" i="39"/>
  <c r="HE11" i="39"/>
  <c r="KD83" i="39"/>
  <c r="KE83" i="39"/>
  <c r="EB52" i="39"/>
  <c r="KD101" i="39"/>
  <c r="KE101" i="39"/>
  <c r="KP108" i="39"/>
  <c r="FZ80" i="39"/>
  <c r="BJ108" i="39"/>
  <c r="GT68" i="39"/>
  <c r="GV68" i="39"/>
  <c r="GT60" i="39"/>
  <c r="GT31" i="39"/>
  <c r="GV31" i="39"/>
  <c r="KL108" i="39"/>
  <c r="FZ44" i="39"/>
  <c r="GT75" i="39"/>
  <c r="GV75" i="39"/>
  <c r="GT72" i="39"/>
  <c r="GV72" i="39"/>
  <c r="GT53" i="39"/>
  <c r="GV53" i="39"/>
  <c r="HW53" i="39"/>
  <c r="GT49" i="39"/>
  <c r="GV49" i="39"/>
  <c r="II49" i="39"/>
  <c r="KN108" i="39"/>
  <c r="HC64" i="39"/>
  <c r="HE64" i="39"/>
  <c r="HG64" i="39"/>
  <c r="HU44" i="19"/>
  <c r="HS44" i="19"/>
  <c r="HS54" i="19"/>
  <c r="IC88" i="19"/>
  <c r="GX88" i="19"/>
  <c r="GY88" i="19"/>
  <c r="II88" i="19"/>
  <c r="GW88" i="19"/>
  <c r="KD71" i="19"/>
  <c r="KE71" i="19"/>
  <c r="FY71" i="19"/>
  <c r="GK71" i="19"/>
  <c r="GW26" i="19"/>
  <c r="IC26" i="19"/>
  <c r="HG93" i="19"/>
  <c r="OH93" i="19"/>
  <c r="OK93" i="19"/>
  <c r="IO94" i="19"/>
  <c r="IQ94" i="19"/>
  <c r="IQ63" i="19"/>
  <c r="IO63" i="19"/>
  <c r="OT49" i="19"/>
  <c r="HG95" i="19"/>
  <c r="OH95" i="19"/>
  <c r="HH111" i="19"/>
  <c r="HT111" i="19"/>
  <c r="HS111" i="19"/>
  <c r="HR38" i="19"/>
  <c r="HP38" i="19"/>
  <c r="GW118" i="19"/>
  <c r="KD106" i="19"/>
  <c r="KE106" i="19"/>
  <c r="AV39" i="19"/>
  <c r="AZ39" i="19"/>
  <c r="KD85" i="19"/>
  <c r="KE85" i="19"/>
  <c r="JB128" i="19"/>
  <c r="JO15" i="19"/>
  <c r="JO18" i="19"/>
  <c r="JO20" i="19"/>
  <c r="JO21" i="19"/>
  <c r="JO22" i="19"/>
  <c r="JO24" i="19"/>
  <c r="JO25" i="19"/>
  <c r="JO26" i="19"/>
  <c r="JO27" i="19"/>
  <c r="JO28" i="19"/>
  <c r="JO29" i="19"/>
  <c r="JO30" i="19"/>
  <c r="JO31" i="19"/>
  <c r="JO32" i="19"/>
  <c r="JO33" i="19"/>
  <c r="JO34" i="19"/>
  <c r="JO36" i="19"/>
  <c r="JO37" i="19"/>
  <c r="JO39" i="19"/>
  <c r="JO40" i="19"/>
  <c r="JO107" i="19"/>
  <c r="HH90" i="19"/>
  <c r="IH46" i="19"/>
  <c r="AZ61" i="19"/>
  <c r="BD103" i="19"/>
  <c r="PQ114" i="19"/>
  <c r="FY30" i="19"/>
  <c r="GK30" i="19"/>
  <c r="FY48" i="19"/>
  <c r="CE66" i="19"/>
  <c r="FZ27" i="19"/>
  <c r="KD28" i="19"/>
  <c r="KE28" i="19"/>
  <c r="EB84" i="19"/>
  <c r="EB56" i="19"/>
  <c r="KM116" i="19"/>
  <c r="GV119" i="19"/>
  <c r="OL63" i="19"/>
  <c r="OM63" i="19"/>
  <c r="AY121" i="19"/>
  <c r="AZ11" i="19"/>
  <c r="KD83" i="19"/>
  <c r="KE83" i="19"/>
  <c r="KD35" i="19"/>
  <c r="KE35" i="19"/>
  <c r="HC117" i="19"/>
  <c r="HE117" i="19"/>
  <c r="HG117" i="19"/>
  <c r="OL68" i="19"/>
  <c r="OK68" i="19"/>
  <c r="IO41" i="34"/>
  <c r="IQ41" i="34"/>
  <c r="GJ79" i="19"/>
  <c r="II42" i="21"/>
  <c r="HG51" i="34"/>
  <c r="OH51" i="34"/>
  <c r="OL51" i="34"/>
  <c r="BD69" i="19"/>
  <c r="IO57" i="34"/>
  <c r="IQ57" i="34"/>
  <c r="IO12" i="34"/>
  <c r="IQ12" i="34"/>
  <c r="HH83" i="19"/>
  <c r="OK37" i="21"/>
  <c r="OM37" i="21"/>
  <c r="OR37" i="21"/>
  <c r="OK42" i="21"/>
  <c r="OL42" i="21"/>
  <c r="IC52" i="39"/>
  <c r="HU38" i="35"/>
  <c r="GX102" i="39"/>
  <c r="GY102" i="39"/>
  <c r="IH98" i="39"/>
  <c r="HH13" i="22"/>
  <c r="II102" i="39"/>
  <c r="IL102" i="39"/>
  <c r="IK102" i="39"/>
  <c r="OV43" i="35"/>
  <c r="OU43" i="35"/>
  <c r="OR27" i="19"/>
  <c r="OU27" i="19"/>
  <c r="OL27" i="19"/>
  <c r="OK27" i="19"/>
  <c r="OR23" i="21"/>
  <c r="OL23" i="21"/>
  <c r="OM23" i="21"/>
  <c r="KG32" i="35"/>
  <c r="FZ32" i="35"/>
  <c r="FY32" i="35"/>
  <c r="GK32" i="35"/>
  <c r="OT49" i="35"/>
  <c r="OR59" i="35"/>
  <c r="OK59" i="35"/>
  <c r="OL59" i="35"/>
  <c r="IQ17" i="35"/>
  <c r="IO17" i="35"/>
  <c r="OH81" i="39"/>
  <c r="HG81" i="39"/>
  <c r="OT33" i="35"/>
  <c r="OV33" i="35"/>
  <c r="IO81" i="39"/>
  <c r="IQ81" i="39"/>
  <c r="KD40" i="39"/>
  <c r="KE40" i="39"/>
  <c r="OH73" i="19"/>
  <c r="OL73" i="19"/>
  <c r="HG73" i="19"/>
  <c r="OT75" i="39"/>
  <c r="FY29" i="34"/>
  <c r="GJ29" i="34"/>
  <c r="FY11" i="34"/>
  <c r="IB108" i="19"/>
  <c r="HI108" i="19"/>
  <c r="GZ108" i="19"/>
  <c r="HG70" i="19"/>
  <c r="OH70" i="19"/>
  <c r="OR92" i="19"/>
  <c r="OK47" i="35"/>
  <c r="OL47" i="35"/>
  <c r="FY50" i="19"/>
  <c r="KD50" i="19"/>
  <c r="KE50" i="19"/>
  <c r="OL92" i="19"/>
  <c r="OM92" i="19"/>
  <c r="OK22" i="19"/>
  <c r="OL22" i="19"/>
  <c r="GZ91" i="19"/>
  <c r="HI91" i="19"/>
  <c r="IQ54" i="21"/>
  <c r="FY63" i="19"/>
  <c r="KD63" i="19"/>
  <c r="KE63" i="19"/>
  <c r="HG24" i="19"/>
  <c r="OH24" i="19"/>
  <c r="OK24" i="19"/>
  <c r="KG13" i="19"/>
  <c r="FZ13" i="19"/>
  <c r="FY13" i="19"/>
  <c r="FY21" i="39"/>
  <c r="KD21" i="39"/>
  <c r="KE21" i="39"/>
  <c r="HT21" i="21"/>
  <c r="HH21" i="21"/>
  <c r="AD23" i="21"/>
  <c r="PQ23" i="21"/>
  <c r="IY23" i="21"/>
  <c r="IY27" i="21"/>
  <c r="PQ27" i="21"/>
  <c r="AD27" i="21"/>
  <c r="IY14" i="32"/>
  <c r="AD14" i="32"/>
  <c r="IY13" i="35"/>
  <c r="AD13" i="35"/>
  <c r="PQ13" i="35"/>
  <c r="PQ17" i="35"/>
  <c r="AD17" i="35"/>
  <c r="IY17" i="35"/>
  <c r="PQ25" i="35"/>
  <c r="IY25" i="35"/>
  <c r="AD25" i="35"/>
  <c r="IY29" i="35"/>
  <c r="AD29" i="35"/>
  <c r="IY37" i="35"/>
  <c r="PQ37" i="35"/>
  <c r="AD37" i="35"/>
  <c r="AD42" i="35"/>
  <c r="IY42" i="35"/>
  <c r="PQ42" i="35"/>
  <c r="PQ46" i="35"/>
  <c r="IY46" i="35"/>
  <c r="AD46" i="35"/>
  <c r="PQ55" i="35"/>
  <c r="IY55" i="35"/>
  <c r="IQ50" i="19"/>
  <c r="IO50" i="19"/>
  <c r="KO63" i="19"/>
  <c r="BE50" i="35"/>
  <c r="BE70" i="35"/>
  <c r="AF70" i="35"/>
  <c r="JO12" i="19"/>
  <c r="JO17" i="19"/>
  <c r="JO19" i="19"/>
  <c r="JO9" i="21"/>
  <c r="JS57" i="21"/>
  <c r="JO11" i="21"/>
  <c r="JV57" i="21"/>
  <c r="JO13" i="21"/>
  <c r="JX57" i="21"/>
  <c r="JU57" i="21"/>
  <c r="JO14" i="21"/>
  <c r="JW57" i="21"/>
  <c r="JO16" i="21"/>
  <c r="KF53" i="19"/>
  <c r="CE53" i="19"/>
  <c r="FZ53" i="19"/>
  <c r="FY53" i="19"/>
  <c r="FZ46" i="19"/>
  <c r="FY46" i="19"/>
  <c r="KG46" i="19"/>
  <c r="CE37" i="19"/>
  <c r="KF37" i="19"/>
  <c r="FZ44" i="35"/>
  <c r="FY44" i="35"/>
  <c r="KG44" i="35"/>
  <c r="IU84" i="39"/>
  <c r="Y84" i="39"/>
  <c r="GT79" i="39"/>
  <c r="GV79" i="39"/>
  <c r="IU71" i="39"/>
  <c r="W108" i="39"/>
  <c r="Y108" i="39"/>
  <c r="GT67" i="39"/>
  <c r="GV67" i="39"/>
  <c r="GQ108" i="39"/>
  <c r="GT64" i="39"/>
  <c r="GV64" i="39"/>
  <c r="GO108" i="39"/>
  <c r="GO110" i="39"/>
  <c r="IQ63" i="39"/>
  <c r="IO63" i="39"/>
  <c r="IQ45" i="39"/>
  <c r="IO45" i="39"/>
  <c r="BK36" i="39"/>
  <c r="BG108" i="39"/>
  <c r="IP36" i="39"/>
  <c r="II91" i="19"/>
  <c r="IC91" i="19"/>
  <c r="HC67" i="19"/>
  <c r="HE67" i="19"/>
  <c r="OH67" i="19"/>
  <c r="BK67" i="19"/>
  <c r="OH26" i="35"/>
  <c r="OK26" i="35"/>
  <c r="HG26" i="35"/>
  <c r="KD35" i="35"/>
  <c r="KE35" i="35"/>
  <c r="GX38" i="19"/>
  <c r="GY38" i="19"/>
  <c r="GZ38" i="19"/>
  <c r="IC38" i="19"/>
  <c r="IQ28" i="35"/>
  <c r="IO28" i="35"/>
  <c r="FZ81" i="39"/>
  <c r="KG81" i="39"/>
  <c r="OM57" i="35"/>
  <c r="HY113" i="19"/>
  <c r="HG79" i="39"/>
  <c r="OH79" i="39"/>
  <c r="IO54" i="21"/>
  <c r="FZ33" i="19"/>
  <c r="KG33" i="19"/>
  <c r="KG31" i="21"/>
  <c r="CQ31" i="21"/>
  <c r="FZ31" i="21"/>
  <c r="KD64" i="35"/>
  <c r="KE64" i="35"/>
  <c r="FY64" i="35"/>
  <c r="GX99" i="39"/>
  <c r="GY99" i="39"/>
  <c r="GW90" i="39"/>
  <c r="HG34" i="19"/>
  <c r="OH34" i="19"/>
  <c r="OL34" i="19"/>
  <c r="IP44" i="34"/>
  <c r="BK44" i="34"/>
  <c r="IU32" i="31"/>
  <c r="Y32" i="31"/>
  <c r="Y51" i="34"/>
  <c r="IU51" i="34"/>
  <c r="IU35" i="34"/>
  <c r="Y35" i="34"/>
  <c r="AD22" i="34"/>
  <c r="PQ22" i="34"/>
  <c r="KD37" i="35"/>
  <c r="KE37" i="35"/>
  <c r="AD13" i="22"/>
  <c r="IY13" i="22"/>
  <c r="CE67" i="19"/>
  <c r="KF67" i="19"/>
  <c r="BK63" i="39"/>
  <c r="EB27" i="39"/>
  <c r="Y33" i="39"/>
  <c r="IU33" i="39"/>
  <c r="Y89" i="19"/>
  <c r="IU89" i="19"/>
  <c r="Y61" i="19"/>
  <c r="IU61" i="19"/>
  <c r="Y25" i="19"/>
  <c r="BD25" i="19"/>
  <c r="CE24" i="31"/>
  <c r="KF24" i="31"/>
  <c r="IQ82" i="39"/>
  <c r="IO82" i="39"/>
  <c r="GT65" i="39"/>
  <c r="GV65" i="39"/>
  <c r="IP31" i="39"/>
  <c r="BK31" i="39"/>
  <c r="IU56" i="39"/>
  <c r="Y56" i="39"/>
  <c r="KD46" i="19"/>
  <c r="KE46" i="19"/>
  <c r="FY46" i="21"/>
  <c r="AV14" i="32"/>
  <c r="AY14" i="32"/>
  <c r="PQ9" i="31"/>
  <c r="AD9" i="31"/>
  <c r="IY9" i="31"/>
  <c r="KG104" i="19"/>
  <c r="FZ104" i="19"/>
  <c r="AD46" i="39"/>
  <c r="PQ46" i="39"/>
  <c r="IY46" i="39"/>
  <c r="PQ29" i="39"/>
  <c r="IY29" i="39"/>
  <c r="AD21" i="39"/>
  <c r="IY21" i="39"/>
  <c r="AD14" i="39"/>
  <c r="IY14" i="39"/>
  <c r="PQ14" i="39"/>
  <c r="JB108" i="39"/>
  <c r="JB110" i="39"/>
  <c r="JO57" i="39"/>
  <c r="CQ9" i="21"/>
  <c r="OT21" i="32"/>
  <c r="KD50" i="35"/>
  <c r="KE50" i="35"/>
  <c r="FY23" i="35"/>
  <c r="HZ21" i="32"/>
  <c r="HY21" i="32"/>
  <c r="HV21" i="32"/>
  <c r="CE19" i="35"/>
  <c r="KF19" i="35"/>
  <c r="IY72" i="39"/>
  <c r="AD72" i="39"/>
  <c r="AD64" i="39"/>
  <c r="IY64" i="39"/>
  <c r="AD53" i="39"/>
  <c r="PQ53" i="39"/>
  <c r="IY53" i="39"/>
  <c r="KD57" i="35"/>
  <c r="KE57" i="35"/>
  <c r="KD46" i="35"/>
  <c r="KE46" i="35"/>
  <c r="AD98" i="19"/>
  <c r="PQ98" i="19"/>
  <c r="IY90" i="19"/>
  <c r="PQ90" i="19"/>
  <c r="PQ82" i="19"/>
  <c r="AD82" i="19"/>
  <c r="IY82" i="19"/>
  <c r="IY74" i="19"/>
  <c r="PQ74" i="19"/>
  <c r="AD74" i="19"/>
  <c r="PQ66" i="19"/>
  <c r="IY66" i="19"/>
  <c r="AD58" i="19"/>
  <c r="IY58" i="19"/>
  <c r="PQ58" i="19"/>
  <c r="AD50" i="19"/>
  <c r="PQ50" i="19"/>
  <c r="IY50" i="19"/>
  <c r="AD43" i="19"/>
  <c r="PQ43" i="19"/>
  <c r="IY43" i="19"/>
  <c r="IY34" i="19"/>
  <c r="PQ34" i="19"/>
  <c r="AD34" i="19"/>
  <c r="KG39" i="35"/>
  <c r="FZ39" i="35"/>
  <c r="FY39" i="35"/>
  <c r="H108" i="39"/>
  <c r="AO108" i="39"/>
  <c r="AZ64" i="19"/>
  <c r="FY112" i="19"/>
  <c r="KD18" i="35"/>
  <c r="KE18" i="35"/>
  <c r="KD42" i="35"/>
  <c r="KE42" i="35"/>
  <c r="IU24" i="31"/>
  <c r="Y24" i="31"/>
  <c r="IO101" i="19"/>
  <c r="IQ101" i="19"/>
  <c r="CE10" i="21"/>
  <c r="KF10" i="21"/>
  <c r="KF58" i="35"/>
  <c r="CE58" i="35"/>
  <c r="IU20" i="39"/>
  <c r="Y20" i="39"/>
  <c r="GT16" i="39"/>
  <c r="GV16" i="39"/>
  <c r="FY13" i="21"/>
  <c r="KD32" i="19"/>
  <c r="KE32" i="19"/>
  <c r="KF10" i="33"/>
  <c r="KF13" i="33"/>
  <c r="CD13" i="33"/>
  <c r="U71" i="19"/>
  <c r="BD71" i="19"/>
  <c r="U55" i="19"/>
  <c r="AV55" i="19"/>
  <c r="IQ67" i="35"/>
  <c r="IO67" i="35"/>
  <c r="BD13" i="19"/>
  <c r="T108" i="39"/>
  <c r="AC108" i="39"/>
  <c r="OO54" i="39"/>
  <c r="Q44" i="39"/>
  <c r="EB26" i="21"/>
  <c r="BD96" i="19"/>
  <c r="GT35" i="39"/>
  <c r="GV35" i="39"/>
  <c r="M52" i="39"/>
  <c r="FY43" i="19"/>
  <c r="GK43" i="19"/>
  <c r="AJ36" i="32"/>
  <c r="L57" i="21"/>
  <c r="X70" i="35"/>
  <c r="CQ29" i="34"/>
  <c r="AB70" i="35"/>
  <c r="AD70" i="35"/>
  <c r="AX29" i="19"/>
  <c r="HW13" i="39"/>
  <c r="HE17" i="39"/>
  <c r="BK23" i="34"/>
  <c r="AJ57" i="21"/>
  <c r="Q56" i="39"/>
  <c r="BK40" i="21"/>
  <c r="EB34" i="21"/>
  <c r="EB29" i="35"/>
  <c r="GU70" i="35"/>
  <c r="JP70" i="35"/>
  <c r="BK9" i="39"/>
  <c r="EB82" i="39"/>
  <c r="EB80" i="39"/>
  <c r="EB76" i="39"/>
  <c r="EB75" i="39"/>
  <c r="EB67" i="39"/>
  <c r="EB64" i="39"/>
  <c r="EB59" i="39"/>
  <c r="EB42" i="39"/>
  <c r="EB35" i="39"/>
  <c r="GT81" i="39"/>
  <c r="GV81" i="39"/>
  <c r="GX81" i="39"/>
  <c r="GY81" i="39"/>
  <c r="AV13" i="19"/>
  <c r="HW10" i="34"/>
  <c r="KD61" i="19"/>
  <c r="KE61" i="19"/>
  <c r="EB42" i="21"/>
  <c r="BF108" i="39"/>
  <c r="BK58" i="39"/>
  <c r="BK39" i="39"/>
  <c r="BK45" i="39"/>
  <c r="BD40" i="19"/>
  <c r="BK28" i="39"/>
  <c r="BK68" i="19"/>
  <c r="AX65" i="19"/>
  <c r="AZ65" i="19"/>
  <c r="HC12" i="22"/>
  <c r="HE12" i="22"/>
  <c r="HG12" i="22"/>
  <c r="HT12" i="22"/>
  <c r="HU12" i="22"/>
  <c r="KM115" i="19"/>
  <c r="HC122" i="19"/>
  <c r="HE122" i="19"/>
  <c r="HG122" i="19"/>
  <c r="NT65" i="35"/>
  <c r="NU65" i="35"/>
  <c r="Y114" i="19"/>
  <c r="EB117" i="19"/>
  <c r="FY55" i="31"/>
  <c r="KD52" i="31"/>
  <c r="KE52" i="31"/>
  <c r="OE13" i="33"/>
  <c r="GC22" i="34"/>
  <c r="M29" i="32"/>
  <c r="AZ22" i="22"/>
  <c r="II48" i="31"/>
  <c r="IU69" i="35"/>
  <c r="HC120" i="19"/>
  <c r="HE120" i="19"/>
  <c r="HG120" i="19"/>
  <c r="HT120" i="19"/>
  <c r="HC54" i="21"/>
  <c r="HE54" i="21"/>
  <c r="HG54" i="21"/>
  <c r="PQ27" i="22"/>
  <c r="KK34" i="32"/>
  <c r="KM67" i="35"/>
  <c r="IC18" i="22"/>
  <c r="IF18" i="22"/>
  <c r="II18" i="22"/>
  <c r="IH18" i="22"/>
  <c r="FY19" i="22"/>
  <c r="GK19" i="22"/>
  <c r="HC29" i="31"/>
  <c r="HE29" i="31"/>
  <c r="OO18" i="32"/>
  <c r="GV62" i="35"/>
  <c r="II62" i="35"/>
  <c r="IL62" i="35"/>
  <c r="IM62" i="35"/>
  <c r="HC10" i="35"/>
  <c r="HE10" i="35"/>
  <c r="NT86" i="39"/>
  <c r="NU86" i="39"/>
  <c r="NT70" i="39"/>
  <c r="NU70" i="39"/>
  <c r="NT61" i="39"/>
  <c r="NU61" i="39"/>
  <c r="NT52" i="39"/>
  <c r="NU52" i="39"/>
  <c r="NT14" i="39"/>
  <c r="NU14" i="39"/>
  <c r="BK85" i="39"/>
  <c r="BA46" i="19"/>
  <c r="BA33" i="19"/>
  <c r="NT28" i="22"/>
  <c r="NU28" i="22"/>
  <c r="GA117" i="19"/>
  <c r="KD117" i="19"/>
  <c r="KE117" i="19"/>
  <c r="KM122" i="19"/>
  <c r="HV122" i="19"/>
  <c r="GA113" i="19"/>
  <c r="GC103" i="39"/>
  <c r="PQ54" i="21"/>
  <c r="KH38" i="31"/>
  <c r="GE11" i="33"/>
  <c r="GE13" i="33"/>
  <c r="KM66" i="35"/>
  <c r="KR66" i="35"/>
  <c r="Y11" i="33"/>
  <c r="GV114" i="19"/>
  <c r="GV103" i="39"/>
  <c r="JC27" i="22"/>
  <c r="KR33" i="32"/>
  <c r="GW48" i="31"/>
  <c r="GD14" i="31"/>
  <c r="GA9" i="31"/>
  <c r="GT101" i="39"/>
  <c r="GB52" i="34"/>
  <c r="KD52" i="34"/>
  <c r="KE52" i="34"/>
  <c r="HH44" i="31"/>
  <c r="IC48" i="31"/>
  <c r="GV117" i="19"/>
  <c r="GW117" i="19"/>
  <c r="HX117" i="19"/>
  <c r="HZ117" i="19"/>
  <c r="HY117" i="19"/>
  <c r="GT115" i="19"/>
  <c r="HV114" i="19"/>
  <c r="HX114" i="19"/>
  <c r="GX113" i="19"/>
  <c r="GY113" i="19"/>
  <c r="GZ113" i="19"/>
  <c r="HI113" i="19"/>
  <c r="GV116" i="19"/>
  <c r="GT122" i="19"/>
  <c r="GV122" i="19"/>
  <c r="IA119" i="19"/>
  <c r="HX119" i="19"/>
  <c r="HV119" i="19"/>
  <c r="IF118" i="19"/>
  <c r="IG118" i="19"/>
  <c r="IB118" i="19"/>
  <c r="GX118" i="19"/>
  <c r="GY118" i="19"/>
  <c r="II118" i="19"/>
  <c r="ID118" i="19"/>
  <c r="IS29" i="22"/>
  <c r="OR22" i="34"/>
  <c r="OK22" i="34"/>
  <c r="OL22" i="34"/>
  <c r="IA60" i="39"/>
  <c r="HY60" i="39"/>
  <c r="GO15" i="33"/>
  <c r="OH38" i="21"/>
  <c r="HG38" i="21"/>
  <c r="IC48" i="35"/>
  <c r="IF48" i="35"/>
  <c r="GX48" i="35"/>
  <c r="GY48" i="35"/>
  <c r="OT14" i="35"/>
  <c r="OQ70" i="35"/>
  <c r="HG53" i="34"/>
  <c r="OH53" i="34"/>
  <c r="OK53" i="34"/>
  <c r="U23" i="21"/>
  <c r="S57" i="21"/>
  <c r="U57" i="21"/>
  <c r="GX58" i="35"/>
  <c r="GY58" i="35"/>
  <c r="II58" i="35"/>
  <c r="GW58" i="35"/>
  <c r="IC58" i="35"/>
  <c r="IB58" i="35"/>
  <c r="KO34" i="21"/>
  <c r="BA13" i="19"/>
  <c r="AY13" i="19"/>
  <c r="AX13" i="19"/>
  <c r="KN38" i="19"/>
  <c r="OH24" i="39"/>
  <c r="HG24" i="39"/>
  <c r="KQ32" i="34"/>
  <c r="CQ32" i="34"/>
  <c r="PQ18" i="35"/>
  <c r="AD18" i="35"/>
  <c r="IY18" i="35"/>
  <c r="HG22" i="34"/>
  <c r="HT22" i="34"/>
  <c r="OR68" i="19"/>
  <c r="OK48" i="35"/>
  <c r="HT74" i="19"/>
  <c r="HH74" i="19"/>
  <c r="OH98" i="19"/>
  <c r="HG98" i="19"/>
  <c r="U13" i="22"/>
  <c r="AV13" i="22"/>
  <c r="BE19" i="21"/>
  <c r="BE57" i="21"/>
  <c r="AF57" i="21"/>
  <c r="KQ55" i="34"/>
  <c r="Y10" i="33"/>
  <c r="IU10" i="33"/>
  <c r="W13" i="33"/>
  <c r="Y13" i="33"/>
  <c r="JC29" i="19"/>
  <c r="JC126" i="19"/>
  <c r="OL48" i="35"/>
  <c r="IJ43" i="21"/>
  <c r="IA118" i="19"/>
  <c r="HY118" i="19"/>
  <c r="HT25" i="35"/>
  <c r="HH25" i="35"/>
  <c r="KP30" i="19"/>
  <c r="IO24" i="34"/>
  <c r="IQ24" i="34"/>
  <c r="PQ14" i="35"/>
  <c r="AD14" i="35"/>
  <c r="IY14" i="35"/>
  <c r="OH31" i="19"/>
  <c r="OU48" i="35"/>
  <c r="HX60" i="39"/>
  <c r="OH33" i="21"/>
  <c r="HG33" i="21"/>
  <c r="BA16" i="32"/>
  <c r="AX16" i="32"/>
  <c r="KO24" i="21"/>
  <c r="CQ24" i="21"/>
  <c r="CM57" i="21"/>
  <c r="KL42" i="21"/>
  <c r="CQ42" i="21"/>
  <c r="CJ57" i="21"/>
  <c r="KJ36" i="34"/>
  <c r="CQ36" i="34"/>
  <c r="OL29" i="21"/>
  <c r="HV60" i="39"/>
  <c r="HG40" i="35"/>
  <c r="OH40" i="35"/>
  <c r="OH37" i="19"/>
  <c r="HG37" i="19"/>
  <c r="KJ41" i="21"/>
  <c r="CQ41" i="21"/>
  <c r="CH57" i="21"/>
  <c r="IB98" i="39"/>
  <c r="ID98" i="39"/>
  <c r="IF98" i="39"/>
  <c r="GW12" i="34"/>
  <c r="KD14" i="34"/>
  <c r="KE14" i="34"/>
  <c r="FY14" i="34"/>
  <c r="II115" i="19"/>
  <c r="IC115" i="19"/>
  <c r="GX115" i="19"/>
  <c r="GY115" i="19"/>
  <c r="GW115" i="19"/>
  <c r="II101" i="19"/>
  <c r="KQ25" i="21"/>
  <c r="CO57" i="21"/>
  <c r="KQ28" i="35"/>
  <c r="KQ70" i="35"/>
  <c r="CO70" i="35"/>
  <c r="AX25" i="32"/>
  <c r="CN70" i="35"/>
  <c r="OK20" i="34"/>
  <c r="OR20" i="34"/>
  <c r="OU20" i="34"/>
  <c r="KD60" i="34"/>
  <c r="KE60" i="34"/>
  <c r="KP70" i="35"/>
  <c r="HR12" i="34"/>
  <c r="HU91" i="19"/>
  <c r="HS91" i="19"/>
  <c r="HW91" i="19"/>
  <c r="HX91" i="19"/>
  <c r="OL29" i="19"/>
  <c r="OL105" i="19"/>
  <c r="OK105" i="19"/>
  <c r="OR105" i="19"/>
  <c r="OR20" i="35"/>
  <c r="OK20" i="35"/>
  <c r="OL20" i="35"/>
  <c r="HT27" i="21"/>
  <c r="HS27" i="21"/>
  <c r="HH27" i="21"/>
  <c r="II27" i="39"/>
  <c r="HH42" i="35"/>
  <c r="II44" i="21"/>
  <c r="IC44" i="21"/>
  <c r="GW44" i="21"/>
  <c r="GX44" i="21"/>
  <c r="GY44" i="21"/>
  <c r="HY121" i="19"/>
  <c r="IA121" i="19"/>
  <c r="OR27" i="21"/>
  <c r="OL27" i="21"/>
  <c r="OM27" i="21"/>
  <c r="HG19" i="19"/>
  <c r="OH19" i="19"/>
  <c r="HG56" i="39"/>
  <c r="OH56" i="39"/>
  <c r="OR56" i="39"/>
  <c r="HT12" i="33"/>
  <c r="HH12" i="33"/>
  <c r="FY14" i="35"/>
  <c r="KD14" i="35"/>
  <c r="KE14" i="35"/>
  <c r="KG86" i="19"/>
  <c r="FZ86" i="19"/>
  <c r="FY86" i="19"/>
  <c r="GJ86" i="19"/>
  <c r="IC59" i="39"/>
  <c r="II59" i="39"/>
  <c r="GW59" i="39"/>
  <c r="GX59" i="39"/>
  <c r="GY59" i="39"/>
  <c r="II71" i="39"/>
  <c r="IC71" i="39"/>
  <c r="ID71" i="39"/>
  <c r="HG16" i="39"/>
  <c r="HH59" i="35"/>
  <c r="HT59" i="35"/>
  <c r="OL13" i="21"/>
  <c r="OK13" i="21"/>
  <c r="OR13" i="21"/>
  <c r="HT66" i="19"/>
  <c r="HH66" i="19"/>
  <c r="II30" i="35"/>
  <c r="OL52" i="35"/>
  <c r="OR52" i="35"/>
  <c r="OV52" i="35"/>
  <c r="OK52" i="35"/>
  <c r="IQ31" i="19"/>
  <c r="IO31" i="19"/>
  <c r="OH108" i="19"/>
  <c r="HG108" i="19"/>
  <c r="KI101" i="19"/>
  <c r="GB101" i="19"/>
  <c r="KD101" i="19"/>
  <c r="KE101" i="19"/>
  <c r="HG104" i="19"/>
  <c r="OU42" i="19"/>
  <c r="OV42" i="19"/>
  <c r="OH20" i="19"/>
  <c r="HG20" i="19"/>
  <c r="FY106" i="19"/>
  <c r="OT62" i="19"/>
  <c r="HZ41" i="21"/>
  <c r="HX41" i="21"/>
  <c r="HV41" i="21"/>
  <c r="GB104" i="19"/>
  <c r="KI104" i="19"/>
  <c r="HG35" i="21"/>
  <c r="OH35" i="21"/>
  <c r="HS27" i="19"/>
  <c r="OH51" i="19"/>
  <c r="HG51" i="19"/>
  <c r="KD23" i="35"/>
  <c r="KE23" i="35"/>
  <c r="HG35" i="35"/>
  <c r="OH35" i="35"/>
  <c r="KG22" i="21"/>
  <c r="FZ22" i="21"/>
  <c r="FY22" i="21"/>
  <c r="CQ22" i="21"/>
  <c r="KD108" i="19"/>
  <c r="KE108" i="19"/>
  <c r="IC15" i="39"/>
  <c r="OR34" i="21"/>
  <c r="KG39" i="21"/>
  <c r="EB9" i="39"/>
  <c r="DZ108" i="39"/>
  <c r="AD24" i="34"/>
  <c r="IY24" i="34"/>
  <c r="BA37" i="19"/>
  <c r="AY37" i="19"/>
  <c r="KG20" i="19"/>
  <c r="FZ20" i="19"/>
  <c r="FY20" i="19"/>
  <c r="IU54" i="39"/>
  <c r="Y54" i="39"/>
  <c r="GT70" i="39"/>
  <c r="GV70" i="39"/>
  <c r="KF54" i="39"/>
  <c r="CE54" i="39"/>
  <c r="KG46" i="39"/>
  <c r="FZ46" i="39"/>
  <c r="CE30" i="39"/>
  <c r="KF30" i="39"/>
  <c r="CE15" i="39"/>
  <c r="KF15" i="39"/>
  <c r="Z108" i="39"/>
  <c r="OJ25" i="39"/>
  <c r="OQ25" i="39"/>
  <c r="OO86" i="39"/>
  <c r="M86" i="39"/>
  <c r="OB108" i="39"/>
  <c r="NZ108" i="39"/>
  <c r="IO34" i="32"/>
  <c r="IQ34" i="32"/>
  <c r="HC65" i="35"/>
  <c r="HE65" i="35"/>
  <c r="BK65" i="35"/>
  <c r="KD82" i="19"/>
  <c r="KE82" i="19"/>
  <c r="FZ45" i="19"/>
  <c r="OM62" i="19"/>
  <c r="KD39" i="34"/>
  <c r="KE39" i="34"/>
  <c r="AD16" i="34"/>
  <c r="BK29" i="39"/>
  <c r="Y17" i="34"/>
  <c r="IU17" i="34"/>
  <c r="BA35" i="19"/>
  <c r="AY35" i="19"/>
  <c r="AY28" i="19"/>
  <c r="AV28" i="19"/>
  <c r="AX20" i="19"/>
  <c r="BA20" i="19"/>
  <c r="AZ37" i="19"/>
  <c r="KD47" i="34"/>
  <c r="KE47" i="34"/>
  <c r="IQ29" i="34"/>
  <c r="CL13" i="33"/>
  <c r="U14" i="22"/>
  <c r="AV14" i="22"/>
  <c r="AZ14" i="22"/>
  <c r="BK29" i="34"/>
  <c r="IP23" i="34"/>
  <c r="AZ112" i="19"/>
  <c r="BA21" i="19"/>
  <c r="Y47" i="35"/>
  <c r="FY108" i="19"/>
  <c r="AX47" i="19"/>
  <c r="IU33" i="35"/>
  <c r="Y33" i="35"/>
  <c r="Y16" i="32"/>
  <c r="IU16" i="32"/>
  <c r="AZ15" i="19"/>
  <c r="CJ70" i="35"/>
  <c r="KD47" i="35"/>
  <c r="KE47" i="35"/>
  <c r="Y14" i="21"/>
  <c r="IU14" i="21"/>
  <c r="PQ33" i="35"/>
  <c r="AD33" i="35"/>
  <c r="PQ50" i="35"/>
  <c r="IY50" i="35"/>
  <c r="KD54" i="34"/>
  <c r="KE54" i="34"/>
  <c r="FY59" i="35"/>
  <c r="FY123" i="19"/>
  <c r="Y25" i="35"/>
  <c r="IU25" i="35"/>
  <c r="BA14" i="19"/>
  <c r="EB21" i="21"/>
  <c r="HT47" i="31"/>
  <c r="HH47" i="31"/>
  <c r="BK64" i="39"/>
  <c r="BK72" i="39"/>
  <c r="HE62" i="39"/>
  <c r="T29" i="22"/>
  <c r="AY11" i="32"/>
  <c r="BK32" i="21"/>
  <c r="BK18" i="21"/>
  <c r="OQ53" i="34"/>
  <c r="OT53" i="34"/>
  <c r="OJ53" i="34"/>
  <c r="JS29" i="22"/>
  <c r="Q60" i="19"/>
  <c r="AT60" i="19"/>
  <c r="KD79" i="39"/>
  <c r="KE79" i="39"/>
  <c r="KD123" i="19"/>
  <c r="KE123" i="19"/>
  <c r="EB17" i="21"/>
  <c r="BK47" i="39"/>
  <c r="BK24" i="34"/>
  <c r="T60" i="31"/>
  <c r="X36" i="32"/>
  <c r="BK50" i="34"/>
  <c r="EB50" i="35"/>
  <c r="KD62" i="35"/>
  <c r="KE62" i="35"/>
  <c r="KD46" i="21"/>
  <c r="KE46" i="21"/>
  <c r="BK21" i="34"/>
  <c r="BK13" i="34"/>
  <c r="AJ13" i="33"/>
  <c r="EB32" i="21"/>
  <c r="EB17" i="31"/>
  <c r="EB21" i="32"/>
  <c r="EB32" i="39"/>
  <c r="BK26" i="39"/>
  <c r="HC23" i="34"/>
  <c r="HE23" i="34"/>
  <c r="HC33" i="34"/>
  <c r="HE33" i="34"/>
  <c r="OH33" i="34"/>
  <c r="HC60" i="34"/>
  <c r="HE60" i="34"/>
  <c r="HG60" i="34"/>
  <c r="KM118" i="19"/>
  <c r="GD118" i="19"/>
  <c r="FZ45" i="21"/>
  <c r="KG45" i="21"/>
  <c r="BK42" i="39"/>
  <c r="GV60" i="39"/>
  <c r="HE10" i="34"/>
  <c r="HG10" i="34"/>
  <c r="HC21" i="34"/>
  <c r="HE21" i="34"/>
  <c r="KI25" i="22"/>
  <c r="GB25" i="22"/>
  <c r="KH27" i="22"/>
  <c r="GA27" i="22"/>
  <c r="GD11" i="33"/>
  <c r="GD13" i="33"/>
  <c r="KM11" i="33"/>
  <c r="KM13" i="33"/>
  <c r="AV49" i="19"/>
  <c r="AZ49" i="19"/>
  <c r="AT94" i="19"/>
  <c r="GV9" i="35"/>
  <c r="GX9" i="35"/>
  <c r="JO18" i="34"/>
  <c r="JO21" i="34"/>
  <c r="JO22" i="34"/>
  <c r="JO24" i="34"/>
  <c r="JO26" i="34"/>
  <c r="JO32" i="34"/>
  <c r="JO40" i="34"/>
  <c r="JO46" i="34"/>
  <c r="BD85" i="19"/>
  <c r="PQ62" i="39"/>
  <c r="OP32" i="31"/>
  <c r="HC40" i="34"/>
  <c r="HE40" i="34"/>
  <c r="OH40" i="34"/>
  <c r="GY73" i="34"/>
  <c r="HK73" i="34"/>
  <c r="HC47" i="19"/>
  <c r="HE47" i="19"/>
  <c r="GA103" i="39"/>
  <c r="KH103" i="39"/>
  <c r="BA16" i="22"/>
  <c r="AY16" i="22"/>
  <c r="KG16" i="22"/>
  <c r="FZ16" i="22"/>
  <c r="FZ67" i="35"/>
  <c r="KG67" i="35"/>
  <c r="AT20" i="19"/>
  <c r="HC9" i="39"/>
  <c r="HE9" i="39"/>
  <c r="HC17" i="34"/>
  <c r="HE17" i="34"/>
  <c r="FZ120" i="19"/>
  <c r="KG120" i="19"/>
  <c r="KK122" i="19"/>
  <c r="GC122" i="19"/>
  <c r="IO62" i="34"/>
  <c r="IQ62" i="34"/>
  <c r="AV96" i="19"/>
  <c r="GR13" i="33"/>
  <c r="GR15" i="33"/>
  <c r="PQ56" i="19"/>
  <c r="PQ48" i="19"/>
  <c r="NT39" i="21"/>
  <c r="NU39" i="21"/>
  <c r="HC59" i="34"/>
  <c r="HE59" i="34"/>
  <c r="HG59" i="34"/>
  <c r="KH32" i="31"/>
  <c r="GA32" i="31"/>
  <c r="JC120" i="19"/>
  <c r="IY62" i="34"/>
  <c r="AD62" i="34"/>
  <c r="BD34" i="19"/>
  <c r="Q9" i="39"/>
  <c r="HC18" i="32"/>
  <c r="HE18" i="32"/>
  <c r="HC15" i="34"/>
  <c r="HE15" i="34"/>
  <c r="PQ28" i="22"/>
  <c r="HC42" i="31"/>
  <c r="HC10" i="22"/>
  <c r="NN13" i="33"/>
  <c r="NT29" i="35"/>
  <c r="NU29" i="35"/>
  <c r="NT38" i="35"/>
  <c r="NU38" i="35"/>
  <c r="KH48" i="34"/>
  <c r="GA48" i="34"/>
  <c r="FZ119" i="19"/>
  <c r="KG119" i="19"/>
  <c r="Y54" i="21"/>
  <c r="IU54" i="21"/>
  <c r="AD38" i="31"/>
  <c r="IY38" i="31"/>
  <c r="PQ38" i="31"/>
  <c r="KI68" i="35"/>
  <c r="GB68" i="35"/>
  <c r="HH18" i="22"/>
  <c r="HT18" i="22"/>
  <c r="HQ18" i="22"/>
  <c r="PQ41" i="35"/>
  <c r="PQ101" i="39"/>
  <c r="BK45" i="21"/>
  <c r="IY54" i="21"/>
  <c r="KI115" i="19"/>
  <c r="BK119" i="19"/>
  <c r="GB121" i="19"/>
  <c r="HC102" i="39"/>
  <c r="HE102" i="39"/>
  <c r="KR54" i="21"/>
  <c r="KD19" i="22"/>
  <c r="KE19" i="22"/>
  <c r="FY21" i="22"/>
  <c r="GJ21" i="22"/>
  <c r="GC25" i="22"/>
  <c r="GA23" i="22"/>
  <c r="EB115" i="19"/>
  <c r="PQ120" i="19"/>
  <c r="GX18" i="22"/>
  <c r="GY18" i="22"/>
  <c r="GZ18" i="22"/>
  <c r="HI18" i="22"/>
  <c r="II53" i="31"/>
  <c r="IL53" i="31"/>
  <c r="GW49" i="31"/>
  <c r="JC111" i="19"/>
  <c r="PQ102" i="19"/>
  <c r="KH33" i="32"/>
  <c r="GV33" i="32"/>
  <c r="II33" i="32"/>
  <c r="IL33" i="32"/>
  <c r="JO11" i="33"/>
  <c r="NT11" i="33"/>
  <c r="HC66" i="35"/>
  <c r="HE66" i="35"/>
  <c r="EB69" i="35"/>
  <c r="IU62" i="34"/>
  <c r="FY18" i="22"/>
  <c r="GJ18" i="22"/>
  <c r="II49" i="31"/>
  <c r="IJ49" i="31"/>
  <c r="IC53" i="31"/>
  <c r="IB53" i="31"/>
  <c r="OO102" i="39"/>
  <c r="AY116" i="19"/>
  <c r="JO117" i="19"/>
  <c r="JC121" i="19"/>
  <c r="FZ103" i="39"/>
  <c r="KG27" i="22"/>
  <c r="GV34" i="32"/>
  <c r="GW34" i="32"/>
  <c r="NT68" i="35"/>
  <c r="NU68" i="35"/>
  <c r="PQ104" i="19"/>
  <c r="PQ111" i="19"/>
  <c r="GB69" i="35"/>
  <c r="OJ109" i="19"/>
  <c r="OM109" i="19"/>
  <c r="IS36" i="32"/>
  <c r="HH31" i="34"/>
  <c r="HT31" i="34"/>
  <c r="IC39" i="39"/>
  <c r="GX39" i="39"/>
  <c r="GY39" i="39"/>
  <c r="GW39" i="39"/>
  <c r="II39" i="39"/>
  <c r="OH31" i="34"/>
  <c r="GW21" i="19"/>
  <c r="OR82" i="19"/>
  <c r="OK82" i="19"/>
  <c r="OM82" i="19"/>
  <c r="OL20" i="34"/>
  <c r="GW11" i="39"/>
  <c r="II39" i="19"/>
  <c r="GX39" i="19"/>
  <c r="GY39" i="19"/>
  <c r="IC20" i="34"/>
  <c r="IB20" i="34"/>
  <c r="IC12" i="39"/>
  <c r="OH11" i="34"/>
  <c r="IO122" i="19"/>
  <c r="HG34" i="35"/>
  <c r="OH34" i="35"/>
  <c r="IC83" i="19"/>
  <c r="GW83" i="19"/>
  <c r="II83" i="19"/>
  <c r="GX83" i="19"/>
  <c r="GY83" i="19"/>
  <c r="HG57" i="19"/>
  <c r="OH57" i="19"/>
  <c r="OH10" i="19"/>
  <c r="OL10" i="19"/>
  <c r="HG10" i="19"/>
  <c r="II50" i="19"/>
  <c r="GW50" i="19"/>
  <c r="GW41" i="19"/>
  <c r="II44" i="19"/>
  <c r="GX44" i="19"/>
  <c r="GY44" i="19"/>
  <c r="HQ44" i="19"/>
  <c r="GW44" i="19"/>
  <c r="HW44" i="19"/>
  <c r="HX44" i="19"/>
  <c r="IC44" i="19"/>
  <c r="HG21" i="19"/>
  <c r="OH21" i="19"/>
  <c r="HG50" i="19"/>
  <c r="OH50" i="19"/>
  <c r="OL15" i="39"/>
  <c r="HG49" i="19"/>
  <c r="OH49" i="19"/>
  <c r="OL49" i="19"/>
  <c r="KD30" i="19"/>
  <c r="KE30" i="19"/>
  <c r="KD22" i="21"/>
  <c r="KE22" i="21"/>
  <c r="AY10" i="22"/>
  <c r="AV10" i="22"/>
  <c r="AZ10" i="22"/>
  <c r="OM42" i="19"/>
  <c r="CQ14" i="21"/>
  <c r="KJ14" i="21"/>
  <c r="IQ42" i="21"/>
  <c r="IO42" i="21"/>
  <c r="OM26" i="21"/>
  <c r="IQ40" i="21"/>
  <c r="IO40" i="21"/>
  <c r="AX24" i="32"/>
  <c r="AZ24" i="32"/>
  <c r="AY24" i="32"/>
  <c r="FY41" i="21"/>
  <c r="IO21" i="21"/>
  <c r="IQ21" i="21"/>
  <c r="KD34" i="34"/>
  <c r="KE34" i="34"/>
  <c r="H29" i="22"/>
  <c r="KD50" i="34"/>
  <c r="KE50" i="34"/>
  <c r="KD39" i="35"/>
  <c r="KE39" i="35"/>
  <c r="FY17" i="35"/>
  <c r="FZ84" i="19"/>
  <c r="FY86" i="39"/>
  <c r="EB30" i="21"/>
  <c r="EB40" i="21"/>
  <c r="KD10" i="34"/>
  <c r="KE10" i="34"/>
  <c r="Y24" i="35"/>
  <c r="KD62" i="39"/>
  <c r="KE62" i="39"/>
  <c r="KD112" i="19"/>
  <c r="KE112" i="19"/>
  <c r="I13" i="33"/>
  <c r="EB18" i="21"/>
  <c r="GT27" i="34"/>
  <c r="GV27" i="34"/>
  <c r="Y18" i="35"/>
  <c r="AZ123" i="19"/>
  <c r="BK38" i="34"/>
  <c r="BK29" i="21"/>
  <c r="BK15" i="32"/>
  <c r="EB16" i="31"/>
  <c r="EA67" i="34"/>
  <c r="EB12" i="34"/>
  <c r="EB13" i="34"/>
  <c r="EB49" i="34"/>
  <c r="EB44" i="35"/>
  <c r="EG70" i="35"/>
  <c r="AD22" i="32"/>
  <c r="IY22" i="32"/>
  <c r="L29" i="22"/>
  <c r="AX21" i="32"/>
  <c r="L70" i="35"/>
  <c r="BK19" i="31"/>
  <c r="PQ17" i="32"/>
  <c r="AD17" i="32"/>
  <c r="Y40" i="21"/>
  <c r="AJ67" i="34"/>
  <c r="EB38" i="21"/>
  <c r="Y34" i="35"/>
  <c r="KD34" i="19"/>
  <c r="KE34" i="19"/>
  <c r="BK47" i="34"/>
  <c r="P13" i="33"/>
  <c r="H70" i="35"/>
  <c r="BK17" i="31"/>
  <c r="BJ67" i="34"/>
  <c r="BK26" i="34"/>
  <c r="BK42" i="34"/>
  <c r="Z67" i="34"/>
  <c r="AG43" i="32"/>
  <c r="EB19" i="21"/>
  <c r="EB47" i="35"/>
  <c r="EB52" i="35"/>
  <c r="EB46" i="35"/>
  <c r="EB55" i="35"/>
  <c r="AY23" i="19"/>
  <c r="HF13" i="33"/>
  <c r="JO50" i="34"/>
  <c r="KA67" i="34"/>
  <c r="JO51" i="34"/>
  <c r="AV48" i="19"/>
  <c r="AZ48" i="19"/>
  <c r="BD53" i="19"/>
  <c r="IT67" i="34"/>
  <c r="IT69" i="34"/>
  <c r="GT44" i="34"/>
  <c r="GV44" i="34"/>
  <c r="II44" i="34"/>
  <c r="GT51" i="34"/>
  <c r="GV51" i="34"/>
  <c r="GT55" i="34"/>
  <c r="GV55" i="34"/>
  <c r="GT9" i="22"/>
  <c r="GV9" i="22"/>
  <c r="GX9" i="22"/>
  <c r="GY9" i="22"/>
  <c r="JZ67" i="34"/>
  <c r="JT67" i="34"/>
  <c r="KB67" i="34"/>
  <c r="EG57" i="21"/>
  <c r="GT30" i="34"/>
  <c r="GV30" i="34"/>
  <c r="GT36" i="34"/>
  <c r="GV36" i="34"/>
  <c r="GX36" i="34"/>
  <c r="GY36" i="34"/>
  <c r="GT39" i="34"/>
  <c r="GV39" i="34"/>
  <c r="GW39" i="34"/>
  <c r="AV25" i="19"/>
  <c r="EB13" i="35"/>
  <c r="GT22" i="34"/>
  <c r="GV22" i="34"/>
  <c r="GT24" i="34"/>
  <c r="GV24" i="34"/>
  <c r="IC24" i="34"/>
  <c r="GT25" i="34"/>
  <c r="GV25" i="34"/>
  <c r="II25" i="34"/>
  <c r="GT49" i="34"/>
  <c r="GV49" i="34"/>
  <c r="U88" i="19"/>
  <c r="BD51" i="19"/>
  <c r="KN13" i="33"/>
  <c r="NT44" i="34"/>
  <c r="NU44" i="34"/>
  <c r="HC37" i="34"/>
  <c r="HE37" i="34"/>
  <c r="JX29" i="22"/>
  <c r="EB60" i="39"/>
  <c r="NT41" i="34"/>
  <c r="NU41" i="34"/>
  <c r="OT9" i="39"/>
  <c r="HC30" i="31"/>
  <c r="HE30" i="31"/>
  <c r="BK22" i="34"/>
  <c r="OP41" i="34"/>
  <c r="OP42" i="34"/>
  <c r="OP19" i="31"/>
  <c r="GV40" i="31"/>
  <c r="FZ27" i="32"/>
  <c r="NT20" i="35"/>
  <c r="NU20" i="35"/>
  <c r="HC35" i="34"/>
  <c r="HE35" i="34"/>
  <c r="NT23" i="21"/>
  <c r="NU23" i="21"/>
  <c r="NT28" i="35"/>
  <c r="NU28" i="35"/>
  <c r="NT30" i="35"/>
  <c r="NU30" i="35"/>
  <c r="NT42" i="35"/>
  <c r="NU42" i="35"/>
  <c r="GT76" i="39"/>
  <c r="GV76" i="39"/>
  <c r="GV12" i="33"/>
  <c r="NT39" i="35"/>
  <c r="NU39" i="35"/>
  <c r="HC84" i="39"/>
  <c r="HE84" i="39"/>
  <c r="HC28" i="34"/>
  <c r="HE28" i="34"/>
  <c r="HD67" i="34"/>
  <c r="IH20" i="22"/>
  <c r="NT37" i="34"/>
  <c r="NU37" i="34"/>
  <c r="NT29" i="34"/>
  <c r="NU29" i="34"/>
  <c r="NT21" i="34"/>
  <c r="NU21" i="34"/>
  <c r="NT9" i="34"/>
  <c r="NU9" i="34"/>
  <c r="CE25" i="31"/>
  <c r="KG25" i="31"/>
  <c r="HC42" i="39"/>
  <c r="HE42" i="39"/>
  <c r="OJ18" i="34"/>
  <c r="HC24" i="34"/>
  <c r="HE24" i="34"/>
  <c r="HC43" i="34"/>
  <c r="HE43" i="34"/>
  <c r="HC50" i="34"/>
  <c r="HE50" i="34"/>
  <c r="HG50" i="34"/>
  <c r="BK55" i="34"/>
  <c r="NQ67" i="34"/>
  <c r="GV48" i="21"/>
  <c r="HQ48" i="21"/>
  <c r="GA10" i="22"/>
  <c r="GA16" i="32"/>
  <c r="IY66" i="35"/>
  <c r="PQ66" i="35"/>
  <c r="AD66" i="35"/>
  <c r="HX67" i="35"/>
  <c r="HV67" i="35"/>
  <c r="HZ67" i="35"/>
  <c r="OQ20" i="21"/>
  <c r="OJ20" i="21"/>
  <c r="IC113" i="19"/>
  <c r="II113" i="19"/>
  <c r="JC54" i="21"/>
  <c r="HC69" i="19"/>
  <c r="IQ26" i="22"/>
  <c r="GD120" i="19"/>
  <c r="KM120" i="19"/>
  <c r="FZ121" i="19"/>
  <c r="KG121" i="19"/>
  <c r="KH25" i="22"/>
  <c r="GA25" i="22"/>
  <c r="GV49" i="21"/>
  <c r="GC114" i="19"/>
  <c r="KK114" i="19"/>
  <c r="GA119" i="19"/>
  <c r="KH119" i="19"/>
  <c r="GV63" i="35"/>
  <c r="OP10" i="22"/>
  <c r="GD10" i="22"/>
  <c r="IO121" i="19"/>
  <c r="IQ121" i="19"/>
  <c r="GB45" i="21"/>
  <c r="KI45" i="21"/>
  <c r="KI24" i="22"/>
  <c r="GB24" i="22"/>
  <c r="KD24" i="22"/>
  <c r="KE24" i="22"/>
  <c r="GA67" i="35"/>
  <c r="KH67" i="35"/>
  <c r="GE26" i="31"/>
  <c r="HC103" i="39"/>
  <c r="HE103" i="39"/>
  <c r="IQ45" i="21"/>
  <c r="IO45" i="21"/>
  <c r="KI16" i="22"/>
  <c r="GB16" i="22"/>
  <c r="HV11" i="33"/>
  <c r="HZ11" i="33"/>
  <c r="HX11" i="33"/>
  <c r="GC68" i="35"/>
  <c r="KK68" i="35"/>
  <c r="KD88" i="19"/>
  <c r="KE88" i="19"/>
  <c r="KD97" i="19"/>
  <c r="KE97" i="19"/>
  <c r="KM33" i="31"/>
  <c r="GC21" i="31"/>
  <c r="GD54" i="21"/>
  <c r="KM54" i="21"/>
  <c r="Y32" i="32"/>
  <c r="IU32" i="32"/>
  <c r="GU67" i="34"/>
  <c r="JO61" i="34"/>
  <c r="NT61" i="34"/>
  <c r="NU61" i="34"/>
  <c r="HE10" i="22"/>
  <c r="OH10" i="22"/>
  <c r="KD49" i="34"/>
  <c r="KE49" i="34"/>
  <c r="CQ41" i="34"/>
  <c r="HZ116" i="19"/>
  <c r="HV116" i="19"/>
  <c r="Y118" i="19"/>
  <c r="IU118" i="19"/>
  <c r="BD121" i="19"/>
  <c r="Y121" i="19"/>
  <c r="PQ11" i="33"/>
  <c r="AD11" i="33"/>
  <c r="IY11" i="33"/>
  <c r="GA69" i="35"/>
  <c r="KH69" i="35"/>
  <c r="KR44" i="21"/>
  <c r="GE44" i="21"/>
  <c r="JC25" i="22"/>
  <c r="BK38" i="31"/>
  <c r="GT67" i="35"/>
  <c r="PQ106" i="19"/>
  <c r="KI116" i="19"/>
  <c r="HC32" i="32"/>
  <c r="HE32" i="32"/>
  <c r="HG32" i="32"/>
  <c r="BK34" i="32"/>
  <c r="PQ68" i="35"/>
  <c r="HC50" i="21"/>
  <c r="PQ32" i="31"/>
  <c r="NT118" i="19"/>
  <c r="NU118" i="19"/>
  <c r="BK103" i="39"/>
  <c r="HC17" i="22"/>
  <c r="HE17" i="22"/>
  <c r="HG17" i="22"/>
  <c r="GE38" i="31"/>
  <c r="KD38" i="31"/>
  <c r="KE38" i="31"/>
  <c r="KR38" i="31"/>
  <c r="JO65" i="35"/>
  <c r="KR50" i="21"/>
  <c r="GE50" i="21"/>
  <c r="IB51" i="31"/>
  <c r="IF51" i="31"/>
  <c r="IG51" i="31"/>
  <c r="ID51" i="31"/>
  <c r="KK117" i="19"/>
  <c r="JO119" i="19"/>
  <c r="CF45" i="21"/>
  <c r="GC45" i="21"/>
  <c r="GT45" i="21"/>
  <c r="KK54" i="21"/>
  <c r="AV26" i="22"/>
  <c r="AY26" i="22"/>
  <c r="EB27" i="22"/>
  <c r="GT11" i="33"/>
  <c r="IY67" i="35"/>
  <c r="AD67" i="35"/>
  <c r="PQ24" i="34"/>
  <c r="KH115" i="19"/>
  <c r="BK118" i="19"/>
  <c r="EB118" i="19"/>
  <c r="EB54" i="21"/>
  <c r="EB67" i="35"/>
  <c r="FZ50" i="21"/>
  <c r="EB50" i="21"/>
  <c r="GV53" i="21"/>
  <c r="HQ53" i="21"/>
  <c r="GT114" i="19"/>
  <c r="JO116" i="19"/>
  <c r="NT117" i="19"/>
  <c r="NU117" i="19"/>
  <c r="PQ45" i="34"/>
  <c r="PQ121" i="19"/>
  <c r="BK66" i="35"/>
  <c r="HZ68" i="35"/>
  <c r="IA68" i="35"/>
  <c r="HV68" i="35"/>
  <c r="Y29" i="32"/>
  <c r="GW55" i="31"/>
  <c r="KI29" i="32"/>
  <c r="HT20" i="22"/>
  <c r="HU20" i="22"/>
  <c r="GX55" i="31"/>
  <c r="GY55" i="31"/>
  <c r="GE62" i="34"/>
  <c r="IC55" i="31"/>
  <c r="IF55" i="31"/>
  <c r="JX67" i="34"/>
  <c r="PO67" i="34"/>
  <c r="Q29" i="32"/>
  <c r="KD18" i="22"/>
  <c r="KE18" i="22"/>
  <c r="HT22" i="22"/>
  <c r="HQ22" i="22"/>
  <c r="HR22" i="22"/>
  <c r="HT52" i="31"/>
  <c r="HS52" i="31"/>
  <c r="IJ55" i="31"/>
  <c r="KH52" i="34"/>
  <c r="PP67" i="34"/>
  <c r="HC114" i="19"/>
  <c r="HE114" i="19"/>
  <c r="HG114" i="19"/>
  <c r="EB116" i="19"/>
  <c r="HC16" i="22"/>
  <c r="HE16" i="22"/>
  <c r="HG16" i="22"/>
  <c r="HC24" i="22"/>
  <c r="HE24" i="22"/>
  <c r="HG24" i="22"/>
  <c r="HH24" i="22"/>
  <c r="GV57" i="31"/>
  <c r="II57" i="31"/>
  <c r="BK67" i="35"/>
  <c r="IW67" i="34"/>
  <c r="IW57" i="21"/>
  <c r="IP11" i="34"/>
  <c r="BK11" i="34"/>
  <c r="BG67" i="34"/>
  <c r="KJ17" i="34"/>
  <c r="CQ17" i="34"/>
  <c r="CH67" i="34"/>
  <c r="AD55" i="34"/>
  <c r="PQ55" i="34"/>
  <c r="IY55" i="34"/>
  <c r="IQ34" i="34"/>
  <c r="IO34" i="34"/>
  <c r="BK34" i="34"/>
  <c r="CQ21" i="34"/>
  <c r="KL21" i="34"/>
  <c r="CJ67" i="34"/>
  <c r="HC52" i="34"/>
  <c r="HE52" i="34"/>
  <c r="BK52" i="34"/>
  <c r="ID21" i="34"/>
  <c r="HR10" i="34"/>
  <c r="HP10" i="34"/>
  <c r="BK10" i="34"/>
  <c r="BF67" i="34"/>
  <c r="IU41" i="34"/>
  <c r="Y41" i="34"/>
  <c r="KO52" i="34"/>
  <c r="CQ52" i="34"/>
  <c r="FY12" i="34"/>
  <c r="Y31" i="34"/>
  <c r="IU31" i="34"/>
  <c r="W67" i="34"/>
  <c r="Y67" i="34"/>
  <c r="KP62" i="34"/>
  <c r="CN67" i="34"/>
  <c r="FY61" i="34"/>
  <c r="KD61" i="34"/>
  <c r="KE61" i="34"/>
  <c r="CQ10" i="34"/>
  <c r="KO10" i="34"/>
  <c r="CM67" i="34"/>
  <c r="AB67" i="34"/>
  <c r="AD67" i="34"/>
  <c r="FY34" i="34"/>
  <c r="IL29" i="34"/>
  <c r="HG42" i="34"/>
  <c r="OH42" i="34"/>
  <c r="KL47" i="34"/>
  <c r="CQ47" i="34"/>
  <c r="KP34" i="34"/>
  <c r="CQ34" i="34"/>
  <c r="KP27" i="34"/>
  <c r="PQ39" i="34"/>
  <c r="IY39" i="34"/>
  <c r="AD39" i="34"/>
  <c r="KF19" i="34"/>
  <c r="CQ19" i="34"/>
  <c r="OQ37" i="34"/>
  <c r="OJ37" i="34"/>
  <c r="OG67" i="34"/>
  <c r="KR38" i="34"/>
  <c r="CQ38" i="34"/>
  <c r="GE38" i="34"/>
  <c r="FY38" i="34"/>
  <c r="GD37" i="34"/>
  <c r="FY37" i="34"/>
  <c r="KM37" i="34"/>
  <c r="CK67" i="34"/>
  <c r="KI26" i="34"/>
  <c r="CG67" i="34"/>
  <c r="GB26" i="34"/>
  <c r="CP67" i="34"/>
  <c r="GE24" i="34"/>
  <c r="IC15" i="34"/>
  <c r="FY59" i="34"/>
  <c r="KD59" i="34"/>
  <c r="KE59" i="34"/>
  <c r="KD44" i="34"/>
  <c r="KE44" i="34"/>
  <c r="HC54" i="34"/>
  <c r="HE54" i="34"/>
  <c r="OH54" i="34"/>
  <c r="BK54" i="34"/>
  <c r="HC58" i="34"/>
  <c r="HE58" i="34"/>
  <c r="HG58" i="34"/>
  <c r="HT58" i="34"/>
  <c r="BK58" i="34"/>
  <c r="DZ67" i="34"/>
  <c r="EB59" i="34"/>
  <c r="KL59" i="34"/>
  <c r="CQ59" i="34"/>
  <c r="IP61" i="34"/>
  <c r="BK61" i="34"/>
  <c r="M61" i="34"/>
  <c r="K67" i="34"/>
  <c r="M67" i="34"/>
  <c r="I15" i="34"/>
  <c r="G67" i="34"/>
  <c r="I67" i="34"/>
  <c r="JC58" i="34"/>
  <c r="CQ40" i="34"/>
  <c r="KH40" i="34"/>
  <c r="GA40" i="34"/>
  <c r="IE48" i="34"/>
  <c r="IC14" i="34"/>
  <c r="FY41" i="34"/>
  <c r="OT9" i="34"/>
  <c r="FY18" i="34"/>
  <c r="KD18" i="34"/>
  <c r="KE18" i="34"/>
  <c r="IY21" i="34"/>
  <c r="AD21" i="34"/>
  <c r="GT43" i="34"/>
  <c r="GV43" i="34"/>
  <c r="GS67" i="34"/>
  <c r="GS69" i="34"/>
  <c r="GT45" i="34"/>
  <c r="GV45" i="34"/>
  <c r="GQ67" i="34"/>
  <c r="GR69" i="34"/>
  <c r="GT46" i="34"/>
  <c r="GV46" i="34"/>
  <c r="GT53" i="34"/>
  <c r="GV53" i="34"/>
  <c r="GV54" i="34"/>
  <c r="JP67" i="34"/>
  <c r="JU67" i="34"/>
  <c r="JO10" i="34"/>
  <c r="JR67" i="34"/>
  <c r="JO11" i="34"/>
  <c r="JO12" i="34"/>
  <c r="JW67" i="34"/>
  <c r="JO14" i="34"/>
  <c r="JY67" i="34"/>
  <c r="JO15" i="34"/>
  <c r="JV67" i="34"/>
  <c r="JS67" i="34"/>
  <c r="NT50" i="34"/>
  <c r="NU50" i="34"/>
  <c r="NO67" i="34"/>
  <c r="II20" i="34"/>
  <c r="GW20" i="34"/>
  <c r="KN43" i="34"/>
  <c r="KN67" i="34"/>
  <c r="CQ43" i="34"/>
  <c r="CL67" i="34"/>
  <c r="KQ44" i="34"/>
  <c r="CQ44" i="34"/>
  <c r="OJ38" i="34"/>
  <c r="OQ38" i="34"/>
  <c r="HG38" i="34"/>
  <c r="OH38" i="34"/>
  <c r="OR38" i="34"/>
  <c r="OU38" i="34"/>
  <c r="IP17" i="34"/>
  <c r="BK17" i="34"/>
  <c r="CQ9" i="34"/>
  <c r="KF9" i="34"/>
  <c r="CD67" i="34"/>
  <c r="KQ24" i="34"/>
  <c r="CQ24" i="34"/>
  <c r="IA60" i="34"/>
  <c r="IQ53" i="34"/>
  <c r="IO53" i="34"/>
  <c r="GW10" i="34"/>
  <c r="II10" i="34"/>
  <c r="IC10" i="34"/>
  <c r="II18" i="34"/>
  <c r="KD20" i="34"/>
  <c r="KE20" i="34"/>
  <c r="FY20" i="34"/>
  <c r="IP45" i="34"/>
  <c r="BK45" i="34"/>
  <c r="S67" i="34"/>
  <c r="U67" i="34"/>
  <c r="U20" i="34"/>
  <c r="AD28" i="34"/>
  <c r="PQ28" i="34"/>
  <c r="IY28" i="34"/>
  <c r="PQ32" i="34"/>
  <c r="IY32" i="34"/>
  <c r="AD32" i="34"/>
  <c r="AD36" i="34"/>
  <c r="IY36" i="34"/>
  <c r="PQ36" i="34"/>
  <c r="NT10" i="34"/>
  <c r="NU10" i="34"/>
  <c r="NP67" i="34"/>
  <c r="OP36" i="34"/>
  <c r="O67" i="34"/>
  <c r="Q67" i="34"/>
  <c r="KI57" i="34"/>
  <c r="GB57" i="34"/>
  <c r="KD57" i="34"/>
  <c r="KE57" i="34"/>
  <c r="KK26" i="34"/>
  <c r="CI67" i="34"/>
  <c r="GC26" i="34"/>
  <c r="GA25" i="34"/>
  <c r="CF67" i="34"/>
  <c r="HX52" i="34"/>
  <c r="HZ52" i="34"/>
  <c r="DX67" i="34"/>
  <c r="GX52" i="34"/>
  <c r="GY52" i="34"/>
  <c r="GW52" i="34"/>
  <c r="AD10" i="34"/>
  <c r="IY10" i="34"/>
  <c r="PQ10" i="34"/>
  <c r="IY14" i="34"/>
  <c r="PQ14" i="34"/>
  <c r="OJ15" i="34"/>
  <c r="OQ15" i="34"/>
  <c r="HC55" i="34"/>
  <c r="HE55" i="34"/>
  <c r="HG55" i="34"/>
  <c r="NT58" i="34"/>
  <c r="NU58" i="34"/>
  <c r="KQ29" i="34"/>
  <c r="IX67" i="34"/>
  <c r="IX69" i="34"/>
  <c r="HF67" i="34"/>
  <c r="FZ53" i="34"/>
  <c r="FY53" i="34"/>
  <c r="KG53" i="34"/>
  <c r="CQ25" i="34"/>
  <c r="JO16" i="34"/>
  <c r="HC13" i="34"/>
  <c r="HE13" i="34"/>
  <c r="HG13" i="34"/>
  <c r="BI67" i="34"/>
  <c r="OS15" i="34"/>
  <c r="OS67" i="34"/>
  <c r="OI67" i="34"/>
  <c r="HC16" i="34"/>
  <c r="HE16" i="34"/>
  <c r="HC18" i="34"/>
  <c r="HE18" i="34"/>
  <c r="BK18" i="34"/>
  <c r="KD31" i="34"/>
  <c r="KE31" i="34"/>
  <c r="BE13" i="34"/>
  <c r="AF67" i="34"/>
  <c r="KQ9" i="34"/>
  <c r="CO67" i="34"/>
  <c r="KQ35" i="34"/>
  <c r="CQ35" i="34"/>
  <c r="CQ37" i="34"/>
  <c r="IU30" i="34"/>
  <c r="Y30" i="34"/>
  <c r="KG15" i="34"/>
  <c r="FZ15" i="34"/>
  <c r="OQ40" i="34"/>
  <c r="OJ40" i="34"/>
  <c r="KP33" i="34"/>
  <c r="CQ33" i="34"/>
  <c r="KG14" i="34"/>
  <c r="CQ14" i="34"/>
  <c r="OF67" i="34"/>
  <c r="OQ39" i="34"/>
  <c r="OJ39" i="34"/>
  <c r="GV9" i="34"/>
  <c r="OQ54" i="34"/>
  <c r="OT54" i="34"/>
  <c r="OJ54" i="34"/>
  <c r="GA43" i="34"/>
  <c r="KH43" i="34"/>
  <c r="GD28" i="34"/>
  <c r="KD28" i="34"/>
  <c r="KE28" i="34"/>
  <c r="KM28" i="34"/>
  <c r="HC62" i="34"/>
  <c r="HE62" i="34"/>
  <c r="HG62" i="34"/>
  <c r="HH62" i="34"/>
  <c r="BK62" i="34"/>
  <c r="JO55" i="34"/>
  <c r="JO48" i="34"/>
  <c r="IU57" i="34"/>
  <c r="Y57" i="34"/>
  <c r="GA30" i="34"/>
  <c r="KD30" i="34"/>
  <c r="KE30" i="34"/>
  <c r="KH30" i="34"/>
  <c r="GC9" i="34"/>
  <c r="KK9" i="34"/>
  <c r="GT33" i="34"/>
  <c r="GV33" i="34"/>
  <c r="JO17" i="34"/>
  <c r="JO25" i="34"/>
  <c r="JO33" i="34"/>
  <c r="CE48" i="34"/>
  <c r="KF48" i="34"/>
  <c r="CE28" i="34"/>
  <c r="KF28" i="34"/>
  <c r="KG16" i="34"/>
  <c r="NT17" i="34"/>
  <c r="NU17" i="34"/>
  <c r="NT49" i="34"/>
  <c r="NU49" i="34"/>
  <c r="HC32" i="34"/>
  <c r="HE32" i="34"/>
  <c r="OP51" i="34"/>
  <c r="Q51" i="34"/>
  <c r="GD46" i="34"/>
  <c r="KD46" i="34"/>
  <c r="KE46" i="34"/>
  <c r="KM46" i="34"/>
  <c r="KG17" i="34"/>
  <c r="IY22" i="34"/>
  <c r="M42" i="34"/>
  <c r="OO42" i="34"/>
  <c r="GB35" i="34"/>
  <c r="KD35" i="34"/>
  <c r="KE35" i="34"/>
  <c r="KI35" i="34"/>
  <c r="GE15" i="34"/>
  <c r="KD15" i="34"/>
  <c r="KE15" i="34"/>
  <c r="KR15" i="34"/>
  <c r="FZ39" i="34"/>
  <c r="FY39" i="34"/>
  <c r="GK39" i="34"/>
  <c r="IU45" i="34"/>
  <c r="Y45" i="34"/>
  <c r="OQ19" i="34"/>
  <c r="OJ19" i="34"/>
  <c r="GD36" i="34"/>
  <c r="FY36" i="34"/>
  <c r="KM36" i="34"/>
  <c r="KD42" i="34"/>
  <c r="KE42" i="34"/>
  <c r="HC25" i="34"/>
  <c r="HE25" i="34"/>
  <c r="GP67" i="34"/>
  <c r="GT47" i="34"/>
  <c r="GV47" i="34"/>
  <c r="JO41" i="34"/>
  <c r="NT19" i="34"/>
  <c r="NU19" i="34"/>
  <c r="HC39" i="34"/>
  <c r="HE39" i="34"/>
  <c r="BK14" i="34"/>
  <c r="BE11" i="34"/>
  <c r="GT23" i="34"/>
  <c r="GV23" i="34"/>
  <c r="NT11" i="34"/>
  <c r="NU11" i="34"/>
  <c r="GV57" i="34"/>
  <c r="FZ58" i="34"/>
  <c r="FY58" i="34"/>
  <c r="GK58" i="34"/>
  <c r="IY61" i="34"/>
  <c r="KR34" i="34"/>
  <c r="EB17" i="34"/>
  <c r="PQ20" i="34"/>
  <c r="HC41" i="34"/>
  <c r="HE41" i="34"/>
  <c r="BK57" i="34"/>
  <c r="EB61" i="34"/>
  <c r="NT62" i="34"/>
  <c r="NU62" i="34"/>
  <c r="NT12" i="34"/>
  <c r="NU12" i="34"/>
  <c r="NT18" i="34"/>
  <c r="NU18" i="34"/>
  <c r="NT36" i="34"/>
  <c r="NU36" i="34"/>
  <c r="NT54" i="34"/>
  <c r="NU54" i="34"/>
  <c r="GV60" i="34"/>
  <c r="GV61" i="34"/>
  <c r="PQ62" i="34"/>
  <c r="EB62" i="34"/>
  <c r="GX84" i="39"/>
  <c r="GY84" i="39"/>
  <c r="GW84" i="39"/>
  <c r="II84" i="39"/>
  <c r="IC84" i="39"/>
  <c r="OR90" i="19"/>
  <c r="OK90" i="19"/>
  <c r="OL90" i="19"/>
  <c r="HH112" i="19"/>
  <c r="HT112" i="19"/>
  <c r="GJ61" i="35"/>
  <c r="HU53" i="39"/>
  <c r="NU113" i="19"/>
  <c r="OL54" i="39"/>
  <c r="OK54" i="39"/>
  <c r="GW28" i="34"/>
  <c r="IC28" i="34"/>
  <c r="GX28" i="34"/>
  <c r="GY28" i="34"/>
  <c r="II28" i="34"/>
  <c r="HT11" i="34"/>
  <c r="FY32" i="34"/>
  <c r="KD32" i="34"/>
  <c r="KE32" i="34"/>
  <c r="NU11" i="35"/>
  <c r="HH116" i="19"/>
  <c r="HT116" i="19"/>
  <c r="IO49" i="34"/>
  <c r="IQ49" i="34"/>
  <c r="OH25" i="19"/>
  <c r="HG25" i="19"/>
  <c r="IC49" i="35"/>
  <c r="IC43" i="21"/>
  <c r="GX43" i="21"/>
  <c r="GY43" i="21"/>
  <c r="KD45" i="34"/>
  <c r="KE45" i="34"/>
  <c r="HG49" i="21"/>
  <c r="IB48" i="34"/>
  <c r="HH32" i="19"/>
  <c r="HT32" i="19"/>
  <c r="GX16" i="34"/>
  <c r="GY16" i="34"/>
  <c r="GW16" i="34"/>
  <c r="II16" i="34"/>
  <c r="IC16" i="34"/>
  <c r="GW17" i="34"/>
  <c r="GX42" i="34"/>
  <c r="GY42" i="34"/>
  <c r="HU63" i="19"/>
  <c r="HS63" i="19"/>
  <c r="HQ63" i="19"/>
  <c r="OK103" i="19"/>
  <c r="OR103" i="19"/>
  <c r="BK12" i="34"/>
  <c r="HC12" i="34"/>
  <c r="IJ58" i="34"/>
  <c r="IH58" i="34"/>
  <c r="IK58" i="34"/>
  <c r="GJ19" i="34"/>
  <c r="GK19" i="34"/>
  <c r="OL98" i="39"/>
  <c r="FY51" i="34"/>
  <c r="KD51" i="34"/>
  <c r="KE51" i="34"/>
  <c r="HT42" i="21"/>
  <c r="HH42" i="21"/>
  <c r="OK83" i="19"/>
  <c r="OR83" i="19"/>
  <c r="OL83" i="19"/>
  <c r="HS20" i="35"/>
  <c r="OL9" i="33"/>
  <c r="OR9" i="33"/>
  <c r="OK9" i="33"/>
  <c r="HS74" i="19"/>
  <c r="HU74" i="19"/>
  <c r="IA58" i="34"/>
  <c r="HY58" i="34"/>
  <c r="HH57" i="34"/>
  <c r="HT57" i="34"/>
  <c r="OK49" i="34"/>
  <c r="OM49" i="34"/>
  <c r="OR49" i="34"/>
  <c r="HH115" i="19"/>
  <c r="HT115" i="19"/>
  <c r="IB106" i="19"/>
  <c r="IF106" i="19"/>
  <c r="IO21" i="34"/>
  <c r="IQ21" i="34"/>
  <c r="HG46" i="34"/>
  <c r="OH46" i="34"/>
  <c r="HG48" i="34"/>
  <c r="OH48" i="34"/>
  <c r="GX17" i="34"/>
  <c r="GY17" i="34"/>
  <c r="OH30" i="34"/>
  <c r="HG30" i="34"/>
  <c r="KD11" i="34"/>
  <c r="HH77" i="39"/>
  <c r="HT77" i="39"/>
  <c r="HU53" i="21"/>
  <c r="HS53" i="21"/>
  <c r="HH113" i="19"/>
  <c r="HT113" i="19"/>
  <c r="OV47" i="35"/>
  <c r="OU47" i="35"/>
  <c r="FY21" i="34"/>
  <c r="HI110" i="19"/>
  <c r="HG49" i="39"/>
  <c r="OH49" i="39"/>
  <c r="OR58" i="35"/>
  <c r="OR58" i="19"/>
  <c r="GX27" i="39"/>
  <c r="GY27" i="39"/>
  <c r="GA13" i="33"/>
  <c r="HT58" i="19"/>
  <c r="HH58" i="19"/>
  <c r="HS48" i="21"/>
  <c r="HU48" i="21"/>
  <c r="IC55" i="39"/>
  <c r="GX55" i="39"/>
  <c r="GY55" i="39"/>
  <c r="II55" i="39"/>
  <c r="GW55" i="39"/>
  <c r="HH39" i="35"/>
  <c r="HT39" i="35"/>
  <c r="HG45" i="19"/>
  <c r="OH45" i="19"/>
  <c r="HT33" i="19"/>
  <c r="HG36" i="35"/>
  <c r="OH36" i="35"/>
  <c r="ID9" i="39"/>
  <c r="GX58" i="34"/>
  <c r="GY58" i="34"/>
  <c r="HU13" i="22"/>
  <c r="GW121" i="19"/>
  <c r="II121" i="19"/>
  <c r="HG58" i="39"/>
  <c r="IC121" i="19"/>
  <c r="IQ32" i="32"/>
  <c r="IO32" i="32"/>
  <c r="HH29" i="19"/>
  <c r="HT29" i="19"/>
  <c r="OV96" i="19"/>
  <c r="OU96" i="19"/>
  <c r="HH93" i="39"/>
  <c r="HH12" i="21"/>
  <c r="HT12" i="21"/>
  <c r="IA114" i="19"/>
  <c r="FY101" i="19"/>
  <c r="HG18" i="19"/>
  <c r="OH18" i="19"/>
  <c r="OH26" i="19"/>
  <c r="HG26" i="19"/>
  <c r="II86" i="19"/>
  <c r="IC86" i="19"/>
  <c r="IC39" i="19"/>
  <c r="GW39" i="19"/>
  <c r="GW13" i="19"/>
  <c r="IC30" i="21"/>
  <c r="GW30" i="21"/>
  <c r="GK57" i="35"/>
  <c r="OH14" i="35"/>
  <c r="HG14" i="35"/>
  <c r="HG14" i="19"/>
  <c r="OH14" i="19"/>
  <c r="GW107" i="19"/>
  <c r="II107" i="19"/>
  <c r="OQ13" i="33"/>
  <c r="OT10" i="33"/>
  <c r="HH41" i="21"/>
  <c r="IC50" i="35"/>
  <c r="OH18" i="35"/>
  <c r="HG54" i="35"/>
  <c r="OH54" i="35"/>
  <c r="HG110" i="19"/>
  <c r="OH110" i="19"/>
  <c r="OL21" i="21"/>
  <c r="OR21" i="21"/>
  <c r="KG16" i="39"/>
  <c r="KN16" i="35"/>
  <c r="KN70" i="35"/>
  <c r="CL70" i="35"/>
  <c r="OH13" i="35"/>
  <c r="HG13" i="35"/>
  <c r="FY99" i="39"/>
  <c r="GX95" i="39"/>
  <c r="GY95" i="39"/>
  <c r="IC95" i="39"/>
  <c r="GW95" i="39"/>
  <c r="HG38" i="19"/>
  <c r="OH38" i="19"/>
  <c r="KD53" i="19"/>
  <c r="KE53" i="19"/>
  <c r="KQ28" i="21"/>
  <c r="CQ28" i="21"/>
  <c r="IU34" i="21"/>
  <c r="Y34" i="21"/>
  <c r="IQ37" i="21"/>
  <c r="IO37" i="21"/>
  <c r="HV38" i="19"/>
  <c r="HX38" i="19"/>
  <c r="OU51" i="35"/>
  <c r="OV51" i="35"/>
  <c r="IO107" i="39"/>
  <c r="IQ107" i="39"/>
  <c r="OH72" i="19"/>
  <c r="IP15" i="19"/>
  <c r="BK15" i="19"/>
  <c r="KJ31" i="19"/>
  <c r="GA12" i="19"/>
  <c r="KH12" i="19"/>
  <c r="KH126" i="19"/>
  <c r="GA89" i="19"/>
  <c r="KH89" i="19"/>
  <c r="GC95" i="19"/>
  <c r="KK95" i="19"/>
  <c r="IJ51" i="31"/>
  <c r="IH51" i="31"/>
  <c r="IL51" i="31"/>
  <c r="IM51" i="31"/>
  <c r="IC47" i="31"/>
  <c r="GX47" i="31"/>
  <c r="GY47" i="31"/>
  <c r="GW47" i="31"/>
  <c r="II47" i="31"/>
  <c r="IJ47" i="31"/>
  <c r="IQ10" i="19"/>
  <c r="IO10" i="19"/>
  <c r="KP17" i="21"/>
  <c r="KP57" i="21"/>
  <c r="CN57" i="21"/>
  <c r="CQ17" i="21"/>
  <c r="GX98" i="39"/>
  <c r="GY98" i="39"/>
  <c r="GW98" i="39"/>
  <c r="AD12" i="34"/>
  <c r="PQ12" i="34"/>
  <c r="IY12" i="34"/>
  <c r="AD10" i="35"/>
  <c r="PQ10" i="35"/>
  <c r="IY10" i="35"/>
  <c r="PQ36" i="35"/>
  <c r="IY36" i="35"/>
  <c r="KO25" i="21"/>
  <c r="CQ25" i="21"/>
  <c r="BE10" i="33"/>
  <c r="BE13" i="33"/>
  <c r="AF13" i="33"/>
  <c r="IQ27" i="21"/>
  <c r="GT31" i="34"/>
  <c r="GV31" i="34"/>
  <c r="OT95" i="39"/>
  <c r="AG20" i="33"/>
  <c r="IQ29" i="21"/>
  <c r="IO29" i="21"/>
  <c r="IQ31" i="21"/>
  <c r="IO31" i="21"/>
  <c r="GT32" i="39"/>
  <c r="GV32" i="39"/>
  <c r="FZ22" i="39"/>
  <c r="KG22" i="39"/>
  <c r="IQ23" i="21"/>
  <c r="IO23" i="21"/>
  <c r="IQ35" i="21"/>
  <c r="IO35" i="21"/>
  <c r="CE29" i="35"/>
  <c r="KF29" i="35"/>
  <c r="IU42" i="39"/>
  <c r="Y42" i="39"/>
  <c r="IQ52" i="39"/>
  <c r="IO52" i="39"/>
  <c r="IO50" i="39"/>
  <c r="IQ50" i="39"/>
  <c r="HG82" i="19"/>
  <c r="CE85" i="19"/>
  <c r="KF85" i="19"/>
  <c r="FZ39" i="19"/>
  <c r="FY39" i="19"/>
  <c r="KG39" i="19"/>
  <c r="KD94" i="39"/>
  <c r="KE94" i="39"/>
  <c r="BK35" i="34"/>
  <c r="IQ19" i="21"/>
  <c r="IO19" i="21"/>
  <c r="Y22" i="34"/>
  <c r="IU22" i="34"/>
  <c r="EB10" i="33"/>
  <c r="IQ14" i="19"/>
  <c r="IO14" i="19"/>
  <c r="FZ38" i="19"/>
  <c r="FY38" i="19"/>
  <c r="KG38" i="19"/>
  <c r="CE55" i="35"/>
  <c r="KF55" i="35"/>
  <c r="IQ48" i="34"/>
  <c r="IO48" i="34"/>
  <c r="IQ38" i="19"/>
  <c r="IO38" i="19"/>
  <c r="KG10" i="22"/>
  <c r="FZ10" i="22"/>
  <c r="BK24" i="32"/>
  <c r="CN36" i="32"/>
  <c r="EB14" i="22"/>
  <c r="NT21" i="35"/>
  <c r="NU21" i="35"/>
  <c r="BK14" i="32"/>
  <c r="IP14" i="32"/>
  <c r="EB34" i="35"/>
  <c r="EB38" i="35"/>
  <c r="EB43" i="35"/>
  <c r="CC77" i="35"/>
  <c r="EB33" i="35"/>
  <c r="BK27" i="31"/>
  <c r="BK19" i="32"/>
  <c r="BK25" i="32"/>
  <c r="BK13" i="22"/>
  <c r="EB37" i="35"/>
  <c r="JO49" i="34"/>
  <c r="AY14" i="22"/>
  <c r="BK32" i="31"/>
  <c r="CC133" i="19"/>
  <c r="EB20" i="32"/>
  <c r="DX13" i="33"/>
  <c r="NT24" i="34"/>
  <c r="NU24" i="34"/>
  <c r="NT27" i="35"/>
  <c r="NU27" i="35"/>
  <c r="OJ15" i="31"/>
  <c r="OQ15" i="31"/>
  <c r="OT15" i="31"/>
  <c r="DX36" i="32"/>
  <c r="EB11" i="32"/>
  <c r="EB23" i="32"/>
  <c r="EB26" i="32"/>
  <c r="EB31" i="32"/>
  <c r="EG36" i="32"/>
  <c r="Y24" i="32"/>
  <c r="IY18" i="31"/>
  <c r="AD25" i="32"/>
  <c r="IY31" i="32"/>
  <c r="GT35" i="34"/>
  <c r="GV35" i="34"/>
  <c r="GT40" i="34"/>
  <c r="GV40" i="34"/>
  <c r="EB38" i="39"/>
  <c r="NT32" i="34"/>
  <c r="NU32" i="34"/>
  <c r="EB9" i="32"/>
  <c r="EH36" i="32"/>
  <c r="JO54" i="34"/>
  <c r="EB41" i="39"/>
  <c r="NT18" i="21"/>
  <c r="NU18" i="21"/>
  <c r="NT22" i="34"/>
  <c r="EB11" i="31"/>
  <c r="GT19" i="34"/>
  <c r="GT41" i="34"/>
  <c r="GV41" i="34"/>
  <c r="DY67" i="34"/>
  <c r="KL29" i="22"/>
  <c r="NT33" i="35"/>
  <c r="NU33" i="35"/>
  <c r="NT34" i="35"/>
  <c r="NU34" i="35"/>
  <c r="NT35" i="35"/>
  <c r="NU35" i="35"/>
  <c r="EB9" i="31"/>
  <c r="AV18" i="19"/>
  <c r="NT15" i="21"/>
  <c r="NT33" i="34"/>
  <c r="NU33" i="34"/>
  <c r="NT40" i="34"/>
  <c r="NU40" i="34"/>
  <c r="KG31" i="32"/>
  <c r="KT36" i="32"/>
  <c r="NT10" i="22"/>
  <c r="NU10" i="22"/>
  <c r="NT13" i="31"/>
  <c r="NU13" i="31"/>
  <c r="NT17" i="31"/>
  <c r="NU17" i="31"/>
  <c r="NT27" i="31"/>
  <c r="NU27" i="31"/>
  <c r="NT28" i="31"/>
  <c r="NU28" i="31"/>
  <c r="NT29" i="31"/>
  <c r="NU29" i="31"/>
  <c r="NQ36" i="32"/>
  <c r="NT18" i="32"/>
  <c r="NU18" i="32"/>
  <c r="GT30" i="32"/>
  <c r="GV30" i="32"/>
  <c r="IC30" i="32"/>
  <c r="NQ57" i="21"/>
  <c r="NT10" i="31"/>
  <c r="NU10" i="31"/>
  <c r="NT21" i="31"/>
  <c r="NU21" i="31"/>
  <c r="NT9" i="32"/>
  <c r="NU9" i="32"/>
  <c r="NT13" i="32"/>
  <c r="NU13" i="32"/>
  <c r="NM36" i="32"/>
  <c r="NT19" i="32"/>
  <c r="NU19" i="32"/>
  <c r="GT21" i="32"/>
  <c r="GT12" i="31"/>
  <c r="GV12" i="31"/>
  <c r="II12" i="31"/>
  <c r="IL12" i="31"/>
  <c r="JO13" i="31"/>
  <c r="JO15" i="31"/>
  <c r="JS36" i="32"/>
  <c r="JO16" i="32"/>
  <c r="JO17" i="32"/>
  <c r="JO19" i="32"/>
  <c r="JO20" i="32"/>
  <c r="JV36" i="32"/>
  <c r="JO24" i="32"/>
  <c r="JR36" i="32"/>
  <c r="JO31" i="32"/>
  <c r="NT23" i="31"/>
  <c r="NU23" i="31"/>
  <c r="GP36" i="32"/>
  <c r="GT14" i="32"/>
  <c r="GV14" i="32"/>
  <c r="HG21" i="32"/>
  <c r="HT21" i="32"/>
  <c r="GT30" i="31"/>
  <c r="GV30" i="31"/>
  <c r="II30" i="31"/>
  <c r="IJ30" i="31"/>
  <c r="KB29" i="22"/>
  <c r="JX36" i="32"/>
  <c r="NU14" i="22"/>
  <c r="CF10" i="31"/>
  <c r="GA10" i="31"/>
  <c r="GV27" i="32"/>
  <c r="II27" i="32"/>
  <c r="GT23" i="31"/>
  <c r="GV23" i="31"/>
  <c r="II23" i="31"/>
  <c r="IJ23" i="31"/>
  <c r="GV31" i="31"/>
  <c r="GW31" i="31"/>
  <c r="IT29" i="22"/>
  <c r="IT31" i="22"/>
  <c r="KA57" i="21"/>
  <c r="KO29" i="22"/>
  <c r="OO26" i="32"/>
  <c r="OP31" i="32"/>
  <c r="EB28" i="22"/>
  <c r="JO60" i="34"/>
  <c r="HC29" i="39"/>
  <c r="HE29" i="39"/>
  <c r="HC57" i="39"/>
  <c r="HE57" i="39"/>
  <c r="HC20" i="32"/>
  <c r="HE20" i="32"/>
  <c r="OH20" i="32"/>
  <c r="HC37" i="31"/>
  <c r="HE37" i="31"/>
  <c r="HG37" i="31"/>
  <c r="II61" i="35"/>
  <c r="IJ61" i="35"/>
  <c r="NT23" i="39"/>
  <c r="HC69" i="39"/>
  <c r="HE69" i="39"/>
  <c r="Q20" i="31"/>
  <c r="OP20" i="31"/>
  <c r="GV34" i="31"/>
  <c r="IC34" i="31"/>
  <c r="GT43" i="31"/>
  <c r="HC33" i="39"/>
  <c r="HE33" i="39"/>
  <c r="GV39" i="31"/>
  <c r="GW39" i="31"/>
  <c r="Y37" i="31"/>
  <c r="IU37" i="31"/>
  <c r="OP18" i="31"/>
  <c r="OO21" i="31"/>
  <c r="AZ28" i="22"/>
  <c r="HC35" i="31"/>
  <c r="HE35" i="31"/>
  <c r="HG35" i="31"/>
  <c r="GV37" i="31"/>
  <c r="II37" i="31"/>
  <c r="IL37" i="31"/>
  <c r="IM37" i="31"/>
  <c r="KI29" i="31"/>
  <c r="GB29" i="31"/>
  <c r="BC36" i="32"/>
  <c r="HC14" i="31"/>
  <c r="HE14" i="31"/>
  <c r="HG14" i="31"/>
  <c r="HC32" i="31"/>
  <c r="HE32" i="31"/>
  <c r="HC14" i="32"/>
  <c r="HE14" i="32"/>
  <c r="AY15" i="22"/>
  <c r="GV36" i="31"/>
  <c r="GX36" i="31"/>
  <c r="GY36" i="31"/>
  <c r="GV43" i="31"/>
  <c r="GW43" i="31"/>
  <c r="EB57" i="34"/>
  <c r="NT59" i="34"/>
  <c r="NU59" i="34"/>
  <c r="GV28" i="22"/>
  <c r="IC28" i="22"/>
  <c r="GV35" i="31"/>
  <c r="IC35" i="31"/>
  <c r="IU36" i="31"/>
  <c r="EB61" i="35"/>
  <c r="JO34" i="31"/>
  <c r="BK36" i="31"/>
  <c r="GV42" i="31"/>
  <c r="GX42" i="31"/>
  <c r="GY42" i="31"/>
  <c r="JO42" i="31"/>
  <c r="BK59" i="31"/>
  <c r="IB62" i="31"/>
  <c r="IB60" i="31"/>
  <c r="NR60" i="31"/>
  <c r="NT40" i="31"/>
  <c r="NU40" i="31"/>
  <c r="JO43" i="31"/>
  <c r="GT59" i="31"/>
  <c r="IH62" i="31"/>
  <c r="IH60" i="31"/>
  <c r="JO59" i="34"/>
  <c r="GV64" i="35"/>
  <c r="GW64" i="35"/>
  <c r="OF29" i="22"/>
  <c r="OQ13" i="22"/>
  <c r="OT13" i="22"/>
  <c r="EB64" i="35"/>
  <c r="OO29" i="22"/>
  <c r="BG70" i="35"/>
  <c r="I31" i="31"/>
  <c r="BB31" i="31"/>
  <c r="EB63" i="35"/>
  <c r="AR9" i="22"/>
  <c r="BF70" i="35"/>
  <c r="GV69" i="35"/>
  <c r="GT69" i="35"/>
  <c r="KR10" i="22"/>
  <c r="GE10" i="22"/>
  <c r="KI44" i="21"/>
  <c r="GB44" i="21"/>
  <c r="OQ44" i="21"/>
  <c r="OJ44" i="21"/>
  <c r="NT120" i="19"/>
  <c r="NU120" i="19"/>
  <c r="KI12" i="22"/>
  <c r="GB12" i="22"/>
  <c r="HV120" i="19"/>
  <c r="HZ120" i="19"/>
  <c r="HX120" i="19"/>
  <c r="KR121" i="19"/>
  <c r="GE121" i="19"/>
  <c r="BD117" i="19"/>
  <c r="Y117" i="19"/>
  <c r="GB16" i="31"/>
  <c r="KH18" i="32"/>
  <c r="KK102" i="39"/>
  <c r="GC102" i="39"/>
  <c r="GB31" i="32"/>
  <c r="GA19" i="32"/>
  <c r="GE17" i="32"/>
  <c r="KD17" i="32"/>
  <c r="KE17" i="32"/>
  <c r="PP70" i="35"/>
  <c r="IO11" i="33"/>
  <c r="IQ11" i="33"/>
  <c r="JC68" i="35"/>
  <c r="AY122" i="19"/>
  <c r="AV122" i="19"/>
  <c r="AZ122" i="19"/>
  <c r="GC27" i="22"/>
  <c r="KK27" i="22"/>
  <c r="W70" i="35"/>
  <c r="Y70" i="35"/>
  <c r="BA23" i="22"/>
  <c r="AX23" i="22"/>
  <c r="AZ23" i="22"/>
  <c r="U122" i="19"/>
  <c r="BD122" i="19"/>
  <c r="IP102" i="39"/>
  <c r="BK102" i="39"/>
  <c r="GE17" i="22"/>
  <c r="KR17" i="22"/>
  <c r="GV120" i="19"/>
  <c r="GT120" i="19"/>
  <c r="GD121" i="19"/>
  <c r="KM121" i="19"/>
  <c r="KG29" i="32"/>
  <c r="FZ29" i="32"/>
  <c r="PQ59" i="31"/>
  <c r="PQ13" i="32"/>
  <c r="PQ21" i="32"/>
  <c r="PQ30" i="32"/>
  <c r="KI103" i="39"/>
  <c r="GB103" i="39"/>
  <c r="GT103" i="39"/>
  <c r="HZ26" i="22"/>
  <c r="HY26" i="22"/>
  <c r="HX26" i="22"/>
  <c r="PQ10" i="22"/>
  <c r="PQ14" i="22"/>
  <c r="NT22" i="31"/>
  <c r="NU22" i="31"/>
  <c r="PQ22" i="31"/>
  <c r="EB121" i="19"/>
  <c r="JO54" i="21"/>
  <c r="JO33" i="32"/>
  <c r="AD50" i="21"/>
  <c r="IQ114" i="19"/>
  <c r="IO114" i="19"/>
  <c r="Y119" i="19"/>
  <c r="KR119" i="19"/>
  <c r="GE119" i="19"/>
  <c r="EB113" i="19"/>
  <c r="GT113" i="19"/>
  <c r="OJ108" i="19"/>
  <c r="FZ102" i="39"/>
  <c r="KG102" i="39"/>
  <c r="KH44" i="21"/>
  <c r="GA44" i="21"/>
  <c r="AD25" i="22"/>
  <c r="IY25" i="22"/>
  <c r="AD33" i="32"/>
  <c r="IY33" i="32"/>
  <c r="Y34" i="32"/>
  <c r="IU34" i="32"/>
  <c r="KK66" i="35"/>
  <c r="PQ16" i="31"/>
  <c r="GC115" i="19"/>
  <c r="KK115" i="19"/>
  <c r="NT121" i="19"/>
  <c r="NU121" i="19"/>
  <c r="BA25" i="22"/>
  <c r="AX25" i="22"/>
  <c r="AZ25" i="22"/>
  <c r="HF29" i="22"/>
  <c r="KI114" i="19"/>
  <c r="AV121" i="19"/>
  <c r="AZ121" i="19"/>
  <c r="GT17" i="22"/>
  <c r="NT26" i="22"/>
  <c r="NU26" i="22"/>
  <c r="Y38" i="31"/>
  <c r="IU38" i="31"/>
  <c r="JO32" i="32"/>
  <c r="NN36" i="32"/>
  <c r="JO66" i="35"/>
  <c r="NT67" i="35"/>
  <c r="NU67" i="35"/>
  <c r="IA29" i="32"/>
  <c r="HY29" i="32"/>
  <c r="KR120" i="19"/>
  <c r="GU29" i="22"/>
  <c r="JO16" i="22"/>
  <c r="GQ29" i="22"/>
  <c r="JV29" i="22"/>
  <c r="NT23" i="22"/>
  <c r="NU23" i="22"/>
  <c r="JC32" i="32"/>
  <c r="JC50" i="21"/>
  <c r="GB17" i="22"/>
  <c r="PQ23" i="22"/>
  <c r="GB27" i="22"/>
  <c r="KI27" i="22"/>
  <c r="PQ65" i="35"/>
  <c r="KH62" i="34"/>
  <c r="CQ62" i="34"/>
  <c r="GA62" i="34"/>
  <c r="BA29" i="32"/>
  <c r="HV29" i="32"/>
  <c r="HC29" i="32"/>
  <c r="HE29" i="32"/>
  <c r="OH29" i="32"/>
  <c r="GE16" i="22"/>
  <c r="KR16" i="22"/>
  <c r="GP29" i="22"/>
  <c r="KI62" i="34"/>
  <c r="GV62" i="34"/>
  <c r="HZ62" i="34"/>
  <c r="HV62" i="34"/>
  <c r="JO62" i="34"/>
  <c r="BB52" i="34"/>
  <c r="PK52" i="34"/>
  <c r="I52" i="34"/>
  <c r="HX29" i="32"/>
  <c r="IA54" i="31"/>
  <c r="JO25" i="22"/>
  <c r="NT25" i="22"/>
  <c r="NU25" i="22"/>
  <c r="GT62" i="34"/>
  <c r="FY20" i="22"/>
  <c r="GK20" i="22"/>
  <c r="KD20" i="22"/>
  <c r="KE20" i="22"/>
  <c r="EB16" i="22"/>
  <c r="JO24" i="22"/>
  <c r="BK26" i="22"/>
  <c r="EB32" i="32"/>
  <c r="PQ32" i="32"/>
  <c r="ID19" i="22"/>
  <c r="IH55" i="31"/>
  <c r="IK55" i="31"/>
  <c r="JO17" i="22"/>
  <c r="CJ29" i="22"/>
  <c r="NS29" i="22"/>
  <c r="IU57" i="31"/>
  <c r="HC68" i="35"/>
  <c r="HE68" i="35"/>
  <c r="EB68" i="35"/>
  <c r="GT68" i="35"/>
  <c r="A29" i="32"/>
  <c r="A30" i="32"/>
  <c r="A31" i="32"/>
  <c r="A32" i="32"/>
  <c r="A33" i="32"/>
  <c r="A34" i="32"/>
  <c r="A35" i="32"/>
  <c r="GT65" i="35"/>
  <c r="KK62" i="34"/>
  <c r="GC29" i="32"/>
  <c r="IF19" i="22"/>
  <c r="IE19" i="22"/>
  <c r="HH21" i="22"/>
  <c r="HH58" i="31"/>
  <c r="BK68" i="35"/>
  <c r="FY44" i="31"/>
  <c r="GK44" i="31"/>
  <c r="HH53" i="31"/>
  <c r="PQ57" i="31"/>
  <c r="IW108" i="39"/>
  <c r="IW13" i="33"/>
  <c r="IW70" i="35"/>
  <c r="P36" i="32"/>
  <c r="L36" i="32"/>
  <c r="H36" i="32"/>
  <c r="T36" i="32"/>
  <c r="AC36" i="32"/>
  <c r="AY25" i="32"/>
  <c r="AV25" i="32"/>
  <c r="AZ25" i="32"/>
  <c r="GD26" i="32"/>
  <c r="KM26" i="32"/>
  <c r="KG15" i="32"/>
  <c r="FZ15" i="32"/>
  <c r="GR36" i="32"/>
  <c r="HX32" i="32"/>
  <c r="HV32" i="32"/>
  <c r="HZ32" i="32"/>
  <c r="JC33" i="32"/>
  <c r="KK11" i="32"/>
  <c r="GC11" i="32"/>
  <c r="Q17" i="32"/>
  <c r="OP17" i="32"/>
  <c r="GD12" i="32"/>
  <c r="KM12" i="32"/>
  <c r="OO11" i="32"/>
  <c r="M11" i="32"/>
  <c r="OO12" i="32"/>
  <c r="M12" i="32"/>
  <c r="OP15" i="32"/>
  <c r="Q15" i="32"/>
  <c r="OP16" i="32"/>
  <c r="Q16" i="32"/>
  <c r="OJ17" i="32"/>
  <c r="OQ17" i="32"/>
  <c r="OT17" i="32"/>
  <c r="GD21" i="32"/>
  <c r="KM21" i="32"/>
  <c r="GA15" i="32"/>
  <c r="KH15" i="32"/>
  <c r="KR13" i="32"/>
  <c r="GE13" i="32"/>
  <c r="GC12" i="32"/>
  <c r="KK12" i="32"/>
  <c r="BK31" i="32"/>
  <c r="IO19" i="32"/>
  <c r="IQ19" i="32"/>
  <c r="NT17" i="32"/>
  <c r="NU17" i="32"/>
  <c r="OJ16" i="32"/>
  <c r="GC21" i="32"/>
  <c r="KK21" i="32"/>
  <c r="GB16" i="32"/>
  <c r="KI16" i="32"/>
  <c r="KR14" i="32"/>
  <c r="GE14" i="32"/>
  <c r="GY45" i="32"/>
  <c r="HK45" i="32"/>
  <c r="HP38" i="32"/>
  <c r="HP36" i="32"/>
  <c r="DV36" i="32"/>
  <c r="HR27" i="32"/>
  <c r="HP27" i="32"/>
  <c r="AX33" i="32"/>
  <c r="AZ33" i="32"/>
  <c r="BA33" i="32"/>
  <c r="AY33" i="32"/>
  <c r="IU20" i="32"/>
  <c r="Y20" i="32"/>
  <c r="GT26" i="32"/>
  <c r="GV26" i="32"/>
  <c r="II26" i="32"/>
  <c r="IH26" i="32"/>
  <c r="HW27" i="32"/>
  <c r="AW36" i="32"/>
  <c r="GA20" i="32"/>
  <c r="CE30" i="32"/>
  <c r="KF30" i="32"/>
  <c r="KF22" i="32"/>
  <c r="CE22" i="32"/>
  <c r="FZ16" i="32"/>
  <c r="KG16" i="32"/>
  <c r="NT11" i="32"/>
  <c r="NU11" i="32"/>
  <c r="NO36" i="32"/>
  <c r="HC9" i="32"/>
  <c r="HE9" i="32"/>
  <c r="O36" i="32"/>
  <c r="Q36" i="32"/>
  <c r="KK25" i="32"/>
  <c r="GC25" i="32"/>
  <c r="GE23" i="32"/>
  <c r="KR23" i="32"/>
  <c r="GY43" i="32"/>
  <c r="HK43" i="32"/>
  <c r="GY44" i="32"/>
  <c r="HK44" i="32"/>
  <c r="HY38" i="32"/>
  <c r="HY36" i="32"/>
  <c r="GY42" i="32"/>
  <c r="HK42" i="32"/>
  <c r="GB30" i="32"/>
  <c r="KI30" i="32"/>
  <c r="IP21" i="32"/>
  <c r="BK21" i="32"/>
  <c r="EB15" i="32"/>
  <c r="EB22" i="32"/>
  <c r="KG33" i="32"/>
  <c r="FZ33" i="32"/>
  <c r="CH36" i="32"/>
  <c r="EB25" i="32"/>
  <c r="HG25" i="32"/>
  <c r="OH25" i="32"/>
  <c r="OP18" i="32"/>
  <c r="Q18" i="32"/>
  <c r="KH14" i="32"/>
  <c r="GA14" i="32"/>
  <c r="AY21" i="32"/>
  <c r="AV21" i="32"/>
  <c r="GT13" i="32"/>
  <c r="GV13" i="32"/>
  <c r="KB36" i="32"/>
  <c r="JO27" i="32"/>
  <c r="JO22" i="32"/>
  <c r="JO14" i="32"/>
  <c r="GE26" i="32"/>
  <c r="KR26" i="32"/>
  <c r="GT27" i="32"/>
  <c r="KI17" i="32"/>
  <c r="AD26" i="32"/>
  <c r="IY26" i="32"/>
  <c r="OQ22" i="32"/>
  <c r="OT22" i="32"/>
  <c r="OJ22" i="32"/>
  <c r="GE15" i="32"/>
  <c r="KR15" i="32"/>
  <c r="BA34" i="32"/>
  <c r="AX34" i="32"/>
  <c r="AZ12" i="32"/>
  <c r="EB17" i="32"/>
  <c r="GC26" i="32"/>
  <c r="KK26" i="32"/>
  <c r="IY9" i="32"/>
  <c r="AD9" i="32"/>
  <c r="HH24" i="32"/>
  <c r="IO33" i="32"/>
  <c r="OJ13" i="32"/>
  <c r="KM23" i="32"/>
  <c r="BA14" i="32"/>
  <c r="AX14" i="32"/>
  <c r="HC12" i="32"/>
  <c r="HE12" i="32"/>
  <c r="AR22" i="32"/>
  <c r="M22" i="32"/>
  <c r="OO23" i="32"/>
  <c r="GB19" i="32"/>
  <c r="KI19" i="32"/>
  <c r="KH29" i="32"/>
  <c r="GA29" i="32"/>
  <c r="GC31" i="32"/>
  <c r="KK31" i="32"/>
  <c r="GA30" i="32"/>
  <c r="KH30" i="32"/>
  <c r="IO29" i="32"/>
  <c r="IQ29" i="32"/>
  <c r="OO30" i="32"/>
  <c r="M30" i="32"/>
  <c r="AD10" i="32"/>
  <c r="GE27" i="32"/>
  <c r="OO21" i="32"/>
  <c r="M21" i="32"/>
  <c r="OP25" i="32"/>
  <c r="Q25" i="32"/>
  <c r="OP26" i="32"/>
  <c r="Q26" i="32"/>
  <c r="OQ31" i="32"/>
  <c r="OT31" i="32"/>
  <c r="OJ31" i="32"/>
  <c r="GA13" i="32"/>
  <c r="KH13" i="32"/>
  <c r="EB29" i="32"/>
  <c r="BB29" i="32"/>
  <c r="I29" i="32"/>
  <c r="PQ25" i="32"/>
  <c r="AX13" i="32"/>
  <c r="AZ13" i="32"/>
  <c r="BA13" i="32"/>
  <c r="IQ30" i="32"/>
  <c r="IO30" i="32"/>
  <c r="IU17" i="32"/>
  <c r="Y17" i="32"/>
  <c r="IU13" i="32"/>
  <c r="Y13" i="32"/>
  <c r="NT20" i="32"/>
  <c r="NU20" i="32"/>
  <c r="NR36" i="32"/>
  <c r="OP10" i="32"/>
  <c r="Q10" i="32"/>
  <c r="OP24" i="32"/>
  <c r="OV24" i="32"/>
  <c r="Q24" i="32"/>
  <c r="GB20" i="32"/>
  <c r="KI20" i="32"/>
  <c r="NT29" i="32"/>
  <c r="NU29" i="32"/>
  <c r="BK27" i="32"/>
  <c r="CC43" i="32"/>
  <c r="EB14" i="32"/>
  <c r="EB16" i="32"/>
  <c r="AB36" i="32"/>
  <c r="AD36" i="32"/>
  <c r="GU36" i="32"/>
  <c r="HF36" i="32"/>
  <c r="FZ25" i="32"/>
  <c r="JP36" i="32"/>
  <c r="JO26" i="32"/>
  <c r="JW36" i="32"/>
  <c r="JO21" i="32"/>
  <c r="BK13" i="32"/>
  <c r="GA11" i="32"/>
  <c r="PQ11" i="32"/>
  <c r="PQ15" i="32"/>
  <c r="PQ19" i="32"/>
  <c r="AV22" i="32"/>
  <c r="AY12" i="32"/>
  <c r="AR23" i="32"/>
  <c r="AT23" i="32"/>
  <c r="AS36" i="32"/>
  <c r="BK18" i="32"/>
  <c r="HC15" i="32"/>
  <c r="HE15" i="32"/>
  <c r="HG15" i="32"/>
  <c r="HC16" i="32"/>
  <c r="HE16" i="32"/>
  <c r="GE20" i="32"/>
  <c r="GT32" i="32"/>
  <c r="JT36" i="32"/>
  <c r="JO29" i="32"/>
  <c r="BK26" i="32"/>
  <c r="EB30" i="32"/>
  <c r="JO18" i="32"/>
  <c r="JO25" i="32"/>
  <c r="NT24" i="32"/>
  <c r="NU24" i="32"/>
  <c r="NT25" i="32"/>
  <c r="NU25" i="32"/>
  <c r="OP13" i="32"/>
  <c r="AZ18" i="32"/>
  <c r="JO10" i="32"/>
  <c r="JO11" i="32"/>
  <c r="JY36" i="32"/>
  <c r="HC11" i="32"/>
  <c r="HE11" i="32"/>
  <c r="HC34" i="32"/>
  <c r="HE34" i="32"/>
  <c r="HG34" i="32"/>
  <c r="OH31" i="32"/>
  <c r="HG31" i="32"/>
  <c r="GX32" i="32"/>
  <c r="GY32" i="32"/>
  <c r="II32" i="32"/>
  <c r="GW32" i="32"/>
  <c r="GE31" i="32"/>
  <c r="KR31" i="32"/>
  <c r="KI23" i="32"/>
  <c r="GB23" i="32"/>
  <c r="IB32" i="32"/>
  <c r="IF32" i="32"/>
  <c r="ID32" i="32"/>
  <c r="KH9" i="32"/>
  <c r="CF36" i="32"/>
  <c r="GA9" i="32"/>
  <c r="GC24" i="32"/>
  <c r="KK24" i="32"/>
  <c r="OH26" i="32"/>
  <c r="HG26" i="32"/>
  <c r="HG23" i="32"/>
  <c r="OH23" i="32"/>
  <c r="BE10" i="32"/>
  <c r="BE36" i="32"/>
  <c r="AF36" i="32"/>
  <c r="IO18" i="32"/>
  <c r="IQ18" i="32"/>
  <c r="KI22" i="32"/>
  <c r="GB22" i="32"/>
  <c r="GA21" i="32"/>
  <c r="KH21" i="32"/>
  <c r="KI12" i="32"/>
  <c r="GB12" i="32"/>
  <c r="CG36" i="32"/>
  <c r="GA10" i="32"/>
  <c r="KH10" i="32"/>
  <c r="PQ23" i="32"/>
  <c r="AD23" i="32"/>
  <c r="PQ29" i="32"/>
  <c r="AD29" i="32"/>
  <c r="IY29" i="32"/>
  <c r="HG22" i="32"/>
  <c r="OH22" i="32"/>
  <c r="KJ36" i="32"/>
  <c r="JO23" i="32"/>
  <c r="AV20" i="32"/>
  <c r="AU36" i="32"/>
  <c r="S36" i="32"/>
  <c r="U36" i="32"/>
  <c r="U33" i="32"/>
  <c r="BK29" i="32"/>
  <c r="BF36" i="32"/>
  <c r="CD36" i="32"/>
  <c r="KF14" i="32"/>
  <c r="CE14" i="32"/>
  <c r="KP36" i="32"/>
  <c r="BA15" i="32"/>
  <c r="AX15" i="32"/>
  <c r="AZ15" i="32"/>
  <c r="AY15" i="32"/>
  <c r="AQ36" i="32"/>
  <c r="KQ36" i="32"/>
  <c r="KM29" i="32"/>
  <c r="GD29" i="32"/>
  <c r="CK36" i="32"/>
  <c r="AO36" i="32"/>
  <c r="AV26" i="32"/>
  <c r="AY26" i="32"/>
  <c r="HC27" i="32"/>
  <c r="HE27" i="32"/>
  <c r="BH36" i="32"/>
  <c r="NT32" i="32"/>
  <c r="NU32" i="32"/>
  <c r="CJ36" i="32"/>
  <c r="KL10" i="32"/>
  <c r="KL36" i="32"/>
  <c r="OT11" i="32"/>
  <c r="IO27" i="32"/>
  <c r="IQ27" i="32"/>
  <c r="KN24" i="32"/>
  <c r="KN36" i="32"/>
  <c r="CL36" i="32"/>
  <c r="IQ26" i="32"/>
  <c r="IO26" i="32"/>
  <c r="Y21" i="32"/>
  <c r="IU21" i="32"/>
  <c r="GT18" i="32"/>
  <c r="GV18" i="32"/>
  <c r="GT22" i="32"/>
  <c r="GV22" i="32"/>
  <c r="GT23" i="32"/>
  <c r="GV23" i="32"/>
  <c r="GT24" i="32"/>
  <c r="GV24" i="32"/>
  <c r="GT25" i="32"/>
  <c r="GV25" i="32"/>
  <c r="OJ26" i="32"/>
  <c r="KI32" i="32"/>
  <c r="GB32" i="32"/>
  <c r="KO10" i="32"/>
  <c r="KO36" i="32"/>
  <c r="CM36" i="32"/>
  <c r="IQ12" i="32"/>
  <c r="IO12" i="32"/>
  <c r="PQ20" i="32"/>
  <c r="AD20" i="32"/>
  <c r="IY20" i="32"/>
  <c r="JO13" i="32"/>
  <c r="JQ36" i="32"/>
  <c r="OT29" i="32"/>
  <c r="CO36" i="32"/>
  <c r="GS36" i="32"/>
  <c r="BG36" i="32"/>
  <c r="IQ15" i="32"/>
  <c r="IO15" i="32"/>
  <c r="IQ17" i="32"/>
  <c r="IO17" i="32"/>
  <c r="IY23" i="32"/>
  <c r="IP20" i="32"/>
  <c r="BK20" i="32"/>
  <c r="EB18" i="32"/>
  <c r="EB19" i="32"/>
  <c r="HC30" i="32"/>
  <c r="HE30" i="32"/>
  <c r="BK30" i="32"/>
  <c r="GD30" i="32"/>
  <c r="KM30" i="32"/>
  <c r="GB21" i="32"/>
  <c r="KI21" i="32"/>
  <c r="KR19" i="32"/>
  <c r="GE19" i="32"/>
  <c r="KR18" i="32"/>
  <c r="GE18" i="32"/>
  <c r="KD18" i="32"/>
  <c r="KE18" i="32"/>
  <c r="CP36" i="32"/>
  <c r="GB11" i="32"/>
  <c r="KI11" i="32"/>
  <c r="GB10" i="32"/>
  <c r="KI10" i="32"/>
  <c r="PQ10" i="32"/>
  <c r="PQ14" i="32"/>
  <c r="PQ18" i="32"/>
  <c r="PQ22" i="32"/>
  <c r="BA31" i="32"/>
  <c r="AX31" i="32"/>
  <c r="IP9" i="32"/>
  <c r="BK9" i="32"/>
  <c r="Y19" i="32"/>
  <c r="IU19" i="32"/>
  <c r="NS36" i="32"/>
  <c r="NP36" i="32"/>
  <c r="GD25" i="32"/>
  <c r="KM25" i="32"/>
  <c r="KI24" i="32"/>
  <c r="GB24" i="32"/>
  <c r="GA22" i="32"/>
  <c r="KH22" i="32"/>
  <c r="GC14" i="32"/>
  <c r="KK14" i="32"/>
  <c r="GC13" i="32"/>
  <c r="KK13" i="32"/>
  <c r="CI36" i="32"/>
  <c r="KG18" i="32"/>
  <c r="FZ18" i="32"/>
  <c r="AY30" i="32"/>
  <c r="AX30" i="32"/>
  <c r="AZ30" i="32"/>
  <c r="Q19" i="32"/>
  <c r="OP19" i="32"/>
  <c r="OP20" i="32"/>
  <c r="Q20" i="32"/>
  <c r="AV34" i="32"/>
  <c r="AY34" i="32"/>
  <c r="U22" i="32"/>
  <c r="KA36" i="32"/>
  <c r="OI36" i="32"/>
  <c r="OS17" i="32"/>
  <c r="OS36" i="32"/>
  <c r="OK21" i="32"/>
  <c r="OL21" i="32"/>
  <c r="OH17" i="32"/>
  <c r="HG17" i="32"/>
  <c r="BA17" i="32"/>
  <c r="AX17" i="32"/>
  <c r="AZ17" i="32"/>
  <c r="IQ22" i="32"/>
  <c r="IO22" i="32"/>
  <c r="GO36" i="32"/>
  <c r="GT11" i="32"/>
  <c r="GV11" i="32"/>
  <c r="GT15" i="32"/>
  <c r="GV15" i="32"/>
  <c r="GT16" i="32"/>
  <c r="GV16" i="32"/>
  <c r="GT17" i="32"/>
  <c r="GV17" i="32"/>
  <c r="JB36" i="32"/>
  <c r="JB38" i="32"/>
  <c r="JU36" i="32"/>
  <c r="GE32" i="32"/>
  <c r="KR32" i="32"/>
  <c r="EB33" i="32"/>
  <c r="NT33" i="32"/>
  <c r="NU33" i="32"/>
  <c r="PP36" i="32"/>
  <c r="AV31" i="32"/>
  <c r="AY31" i="32"/>
  <c r="EB10" i="32"/>
  <c r="GT9" i="32"/>
  <c r="GV9" i="32"/>
  <c r="GQ36" i="32"/>
  <c r="GT10" i="32"/>
  <c r="GV10" i="32"/>
  <c r="JO30" i="32"/>
  <c r="JO15" i="32"/>
  <c r="NT21" i="32"/>
  <c r="NU21" i="32"/>
  <c r="OO25" i="32"/>
  <c r="M25" i="32"/>
  <c r="OJ29" i="32"/>
  <c r="PQ26" i="32"/>
  <c r="HS38" i="32"/>
  <c r="HS36" i="32"/>
  <c r="HD45" i="32"/>
  <c r="GT12" i="32"/>
  <c r="GV12" i="32"/>
  <c r="GT20" i="32"/>
  <c r="GV20" i="32"/>
  <c r="FZ20" i="32"/>
  <c r="KG20" i="32"/>
  <c r="NT23" i="32"/>
  <c r="NU23" i="32"/>
  <c r="NT26" i="32"/>
  <c r="NU26" i="32"/>
  <c r="NT30" i="32"/>
  <c r="NU30" i="32"/>
  <c r="OE36" i="32"/>
  <c r="OF36" i="32"/>
  <c r="OO24" i="32"/>
  <c r="M24" i="32"/>
  <c r="AX32" i="32"/>
  <c r="AZ32" i="32"/>
  <c r="AY32" i="32"/>
  <c r="AV29" i="32"/>
  <c r="AZ29" i="32"/>
  <c r="AY29" i="32"/>
  <c r="BK12" i="32"/>
  <c r="AV16" i="32"/>
  <c r="AY16" i="32"/>
  <c r="BA12" i="32"/>
  <c r="GT31" i="32"/>
  <c r="GV31" i="32"/>
  <c r="JO9" i="32"/>
  <c r="OO15" i="32"/>
  <c r="M15" i="32"/>
  <c r="HD36" i="32"/>
  <c r="G36" i="32"/>
  <c r="I36" i="32"/>
  <c r="KG34" i="32"/>
  <c r="AV27" i="32"/>
  <c r="AY27" i="32"/>
  <c r="AX20" i="32"/>
  <c r="BA20" i="32"/>
  <c r="BA9" i="32"/>
  <c r="AX9" i="32"/>
  <c r="AX22" i="32"/>
  <c r="IU22" i="32"/>
  <c r="Y22" i="32"/>
  <c r="IU18" i="32"/>
  <c r="Y18" i="32"/>
  <c r="OJ12" i="32"/>
  <c r="OG36" i="32"/>
  <c r="OP30" i="32"/>
  <c r="Q30" i="32"/>
  <c r="PO36" i="32"/>
  <c r="PQ33" i="32"/>
  <c r="EB13" i="32"/>
  <c r="IX36" i="32"/>
  <c r="IX38" i="32"/>
  <c r="BI36" i="32"/>
  <c r="EB34" i="32"/>
  <c r="BJ36" i="32"/>
  <c r="NT34" i="32"/>
  <c r="NU34" i="32"/>
  <c r="Z36" i="32"/>
  <c r="IT36" i="32"/>
  <c r="IT38" i="32"/>
  <c r="NT22" i="32"/>
  <c r="NU22" i="32"/>
  <c r="NT27" i="32"/>
  <c r="NU27" i="32"/>
  <c r="NT31" i="32"/>
  <c r="NU31" i="32"/>
  <c r="GV29" i="32"/>
  <c r="GT29" i="32"/>
  <c r="GC33" i="32"/>
  <c r="K36" i="32"/>
  <c r="M36" i="32"/>
  <c r="AP36" i="32"/>
  <c r="DY36" i="32"/>
  <c r="KR29" i="32"/>
  <c r="W36" i="32"/>
  <c r="Y36" i="32"/>
  <c r="DW36" i="32"/>
  <c r="HV34" i="32"/>
  <c r="EA36" i="32"/>
  <c r="HZ34" i="32"/>
  <c r="EB42" i="31"/>
  <c r="GT57" i="31"/>
  <c r="HX43" i="31"/>
  <c r="HZ43" i="31"/>
  <c r="IA43" i="31"/>
  <c r="EB36" i="31"/>
  <c r="EB43" i="31"/>
  <c r="EB59" i="31"/>
  <c r="IO59" i="31"/>
  <c r="IQ59" i="31"/>
  <c r="IQ21" i="31"/>
  <c r="IO21" i="31"/>
  <c r="KH33" i="31"/>
  <c r="IQ42" i="31"/>
  <c r="Y15" i="31"/>
  <c r="IU15" i="31"/>
  <c r="EB23" i="31"/>
  <c r="EB27" i="31"/>
  <c r="EG60" i="31"/>
  <c r="M18" i="31"/>
  <c r="OO18" i="31"/>
  <c r="OO19" i="31"/>
  <c r="HZ35" i="31"/>
  <c r="IA35" i="31"/>
  <c r="HX35" i="31"/>
  <c r="HV35" i="31"/>
  <c r="Y40" i="31"/>
  <c r="IU40" i="31"/>
  <c r="KK40" i="31"/>
  <c r="GA39" i="31"/>
  <c r="GE31" i="31"/>
  <c r="GB28" i="31"/>
  <c r="GE20" i="31"/>
  <c r="KR20" i="31"/>
  <c r="AD13" i="31"/>
  <c r="IY13" i="31"/>
  <c r="JY60" i="31"/>
  <c r="JO18" i="31"/>
  <c r="GE36" i="31"/>
  <c r="KR36" i="31"/>
  <c r="GD31" i="31"/>
  <c r="KM31" i="31"/>
  <c r="Q15" i="31"/>
  <c r="OP15" i="31"/>
  <c r="Y21" i="31"/>
  <c r="HH46" i="31"/>
  <c r="HT46" i="31"/>
  <c r="HU46" i="31"/>
  <c r="IO11" i="31"/>
  <c r="FZ35" i="31"/>
  <c r="JC41" i="31"/>
  <c r="IQ17" i="31"/>
  <c r="IO17" i="31"/>
  <c r="CE27" i="31"/>
  <c r="KF27" i="31"/>
  <c r="KG9" i="31"/>
  <c r="FZ9" i="31"/>
  <c r="OO10" i="31"/>
  <c r="M10" i="31"/>
  <c r="GE59" i="31"/>
  <c r="KR59" i="31"/>
  <c r="GA25" i="31"/>
  <c r="KH25" i="31"/>
  <c r="KD46" i="31"/>
  <c r="KE46" i="31"/>
  <c r="FY46" i="31"/>
  <c r="GK46" i="31"/>
  <c r="KH34" i="31"/>
  <c r="KH59" i="31"/>
  <c r="GS60" i="31"/>
  <c r="FZ41" i="31"/>
  <c r="KG41" i="31"/>
  <c r="HE42" i="31"/>
  <c r="HG42" i="31"/>
  <c r="KD58" i="31"/>
  <c r="KE58" i="31"/>
  <c r="FY58" i="31"/>
  <c r="KK43" i="31"/>
  <c r="FZ36" i="31"/>
  <c r="KR17" i="31"/>
  <c r="KM30" i="31"/>
  <c r="AD12" i="31"/>
  <c r="KH43" i="31"/>
  <c r="KR42" i="31"/>
  <c r="JC42" i="31"/>
  <c r="OJ10" i="31"/>
  <c r="KK31" i="31"/>
  <c r="Q21" i="31"/>
  <c r="NT14" i="31"/>
  <c r="NU14" i="31"/>
  <c r="NT18" i="31"/>
  <c r="NU18" i="31"/>
  <c r="NT20" i="31"/>
  <c r="NU20" i="31"/>
  <c r="NT26" i="31"/>
  <c r="NU26" i="31"/>
  <c r="CF18" i="31"/>
  <c r="CF13" i="31"/>
  <c r="OP9" i="31"/>
  <c r="Q9" i="31"/>
  <c r="HC18" i="31"/>
  <c r="HE18" i="31"/>
  <c r="HG18" i="31"/>
  <c r="JO35" i="31"/>
  <c r="PQ13" i="31"/>
  <c r="PQ30" i="31"/>
  <c r="PQ40" i="31"/>
  <c r="HS58" i="31"/>
  <c r="HU58" i="31"/>
  <c r="HQ58" i="31"/>
  <c r="GT29" i="31"/>
  <c r="GV29" i="31"/>
  <c r="GY58" i="31"/>
  <c r="CE21" i="31"/>
  <c r="FZ39" i="31"/>
  <c r="Y11" i="31"/>
  <c r="KR15" i="31"/>
  <c r="BK9" i="31"/>
  <c r="PQ23" i="31"/>
  <c r="AD23" i="31"/>
  <c r="JO14" i="31"/>
  <c r="NT11" i="31"/>
  <c r="NU11" i="31"/>
  <c r="M13" i="31"/>
  <c r="OO13" i="31"/>
  <c r="OQ14" i="31"/>
  <c r="OT14" i="31"/>
  <c r="OJ14" i="31"/>
  <c r="EB40" i="31"/>
  <c r="GT40" i="31"/>
  <c r="IU41" i="31"/>
  <c r="Y41" i="31"/>
  <c r="GE30" i="31"/>
  <c r="KR30" i="31"/>
  <c r="FY51" i="31"/>
  <c r="GK51" i="31"/>
  <c r="KD51" i="31"/>
  <c r="KE51" i="31"/>
  <c r="HY44" i="31"/>
  <c r="IA44" i="31"/>
  <c r="OJ28" i="31"/>
  <c r="OQ28" i="31"/>
  <c r="OT28" i="31"/>
  <c r="KI34" i="31"/>
  <c r="KM35" i="31"/>
  <c r="Y28" i="31"/>
  <c r="OJ31" i="31"/>
  <c r="OQ31" i="31"/>
  <c r="H60" i="31"/>
  <c r="X60" i="31"/>
  <c r="IY35" i="31"/>
  <c r="AD35" i="31"/>
  <c r="GC41" i="31"/>
  <c r="KK41" i="31"/>
  <c r="HD69" i="31"/>
  <c r="KH23" i="31"/>
  <c r="IU25" i="31"/>
  <c r="JC36" i="31"/>
  <c r="KR11" i="31"/>
  <c r="BK31" i="31"/>
  <c r="IY12" i="31"/>
  <c r="AD31" i="31"/>
  <c r="IY31" i="31"/>
  <c r="HC26" i="31"/>
  <c r="HE26" i="31"/>
  <c r="HG26" i="31"/>
  <c r="HC28" i="31"/>
  <c r="HE28" i="31"/>
  <c r="GE35" i="31"/>
  <c r="GA27" i="31"/>
  <c r="GE25" i="31"/>
  <c r="GD16" i="31"/>
  <c r="KM16" i="31"/>
  <c r="GB11" i="31"/>
  <c r="KI11" i="31"/>
  <c r="PQ35" i="31"/>
  <c r="KD53" i="31"/>
  <c r="KE53" i="31"/>
  <c r="NO60" i="31"/>
  <c r="NT34" i="31"/>
  <c r="NU34" i="31"/>
  <c r="GT42" i="31"/>
  <c r="KD49" i="31"/>
  <c r="KE49" i="31"/>
  <c r="HE20" i="31"/>
  <c r="HG20" i="31"/>
  <c r="OP26" i="31"/>
  <c r="OP29" i="31"/>
  <c r="IA52" i="31"/>
  <c r="IA58" i="31"/>
  <c r="HY58" i="31"/>
  <c r="BK11" i="31"/>
  <c r="GT15" i="31"/>
  <c r="GV15" i="31"/>
  <c r="IC15" i="31"/>
  <c r="ID15" i="31"/>
  <c r="BK20" i="31"/>
  <c r="PQ33" i="31"/>
  <c r="NT36" i="31"/>
  <c r="NU36" i="31"/>
  <c r="PQ42" i="31"/>
  <c r="IY57" i="31"/>
  <c r="HT51" i="31"/>
  <c r="HS51" i="31"/>
  <c r="IA47" i="31"/>
  <c r="IA46" i="31"/>
  <c r="HY46" i="31"/>
  <c r="IO43" i="31"/>
  <c r="IQ43" i="31"/>
  <c r="JC43" i="31"/>
  <c r="BK43" i="31"/>
  <c r="Y43" i="31"/>
  <c r="IO41" i="31"/>
  <c r="IQ41" i="31"/>
  <c r="HC41" i="31"/>
  <c r="HE41" i="31"/>
  <c r="HG41" i="31"/>
  <c r="HT41" i="31"/>
  <c r="IO39" i="31"/>
  <c r="IQ39" i="31"/>
  <c r="GD23" i="31"/>
  <c r="KM23" i="31"/>
  <c r="II59" i="31"/>
  <c r="GW59" i="31"/>
  <c r="GX59" i="31"/>
  <c r="GY59" i="31"/>
  <c r="IC59" i="31"/>
  <c r="HG31" i="31"/>
  <c r="GA26" i="31"/>
  <c r="KH26" i="31"/>
  <c r="GE24" i="31"/>
  <c r="KR24" i="31"/>
  <c r="GC23" i="31"/>
  <c r="KK23" i="31"/>
  <c r="GE19" i="31"/>
  <c r="KR19" i="31"/>
  <c r="KK18" i="31"/>
  <c r="GC18" i="31"/>
  <c r="GT22" i="31"/>
  <c r="GV22" i="31"/>
  <c r="GX22" i="31"/>
  <c r="GY22" i="31"/>
  <c r="FZ22" i="31"/>
  <c r="KG22" i="31"/>
  <c r="GD18" i="31"/>
  <c r="KM18" i="31"/>
  <c r="HS53" i="31"/>
  <c r="HU53" i="31"/>
  <c r="HQ53" i="31"/>
  <c r="HR53" i="31"/>
  <c r="IQ16" i="31"/>
  <c r="IO16" i="31"/>
  <c r="CH60" i="31"/>
  <c r="GV33" i="31"/>
  <c r="GT33" i="31"/>
  <c r="HC33" i="31"/>
  <c r="HE33" i="31"/>
  <c r="HG33" i="31"/>
  <c r="HT33" i="31"/>
  <c r="HC34" i="31"/>
  <c r="HE34" i="31"/>
  <c r="HG34" i="31"/>
  <c r="HH34" i="31"/>
  <c r="Y16" i="31"/>
  <c r="IU16" i="31"/>
  <c r="PQ17" i="31"/>
  <c r="IY17" i="31"/>
  <c r="AD17" i="31"/>
  <c r="IY28" i="31"/>
  <c r="AD28" i="31"/>
  <c r="GT9" i="31"/>
  <c r="GV9" i="31"/>
  <c r="II9" i="31"/>
  <c r="GT10" i="31"/>
  <c r="GV10" i="31"/>
  <c r="GO60" i="31"/>
  <c r="GO62" i="31"/>
  <c r="GT11" i="31"/>
  <c r="GV11" i="31"/>
  <c r="GT16" i="31"/>
  <c r="GV16" i="31"/>
  <c r="GW16" i="31"/>
  <c r="GT18" i="31"/>
  <c r="GV18" i="31"/>
  <c r="IC18" i="31"/>
  <c r="GT19" i="31"/>
  <c r="GV19" i="31"/>
  <c r="GT25" i="31"/>
  <c r="GV25" i="31"/>
  <c r="GT26" i="31"/>
  <c r="GV26" i="31"/>
  <c r="II26" i="31"/>
  <c r="GT27" i="31"/>
  <c r="GV27" i="31"/>
  <c r="II27" i="31"/>
  <c r="GT28" i="31"/>
  <c r="GV28" i="31"/>
  <c r="GV32" i="31"/>
  <c r="GT32" i="31"/>
  <c r="JO12" i="31"/>
  <c r="JO29" i="31"/>
  <c r="JO30" i="31"/>
  <c r="JO31" i="31"/>
  <c r="KG32" i="31"/>
  <c r="FZ32" i="31"/>
  <c r="FZ15" i="31"/>
  <c r="KG15" i="31"/>
  <c r="JO28" i="31"/>
  <c r="JO19" i="31"/>
  <c r="JO11" i="31"/>
  <c r="OQ13" i="31"/>
  <c r="OT13" i="31"/>
  <c r="OJ13" i="31"/>
  <c r="OQ16" i="31"/>
  <c r="OT16" i="31"/>
  <c r="OJ16" i="31"/>
  <c r="OQ18" i="31"/>
  <c r="OJ18" i="31"/>
  <c r="OQ25" i="31"/>
  <c r="OT25" i="31"/>
  <c r="OJ25" i="31"/>
  <c r="OP27" i="31"/>
  <c r="Q27" i="31"/>
  <c r="GT34" i="31"/>
  <c r="EB35" i="31"/>
  <c r="GT35" i="31"/>
  <c r="KD45" i="31"/>
  <c r="KE45" i="31"/>
  <c r="HG22" i="31"/>
  <c r="OH22" i="31"/>
  <c r="HG15" i="31"/>
  <c r="IP15" i="31"/>
  <c r="BK15" i="31"/>
  <c r="AD25" i="31"/>
  <c r="PQ25" i="31"/>
  <c r="GU60" i="31"/>
  <c r="GR60" i="31"/>
  <c r="GT20" i="31"/>
  <c r="GV20" i="31"/>
  <c r="KG31" i="31"/>
  <c r="FZ31" i="31"/>
  <c r="KG14" i="31"/>
  <c r="FZ14" i="31"/>
  <c r="JO27" i="31"/>
  <c r="JO10" i="31"/>
  <c r="GB20" i="31"/>
  <c r="KI20" i="31"/>
  <c r="HY48" i="31"/>
  <c r="IA48" i="31"/>
  <c r="KK28" i="31"/>
  <c r="GC28" i="31"/>
  <c r="GD24" i="31"/>
  <c r="KM24" i="31"/>
  <c r="GB18" i="31"/>
  <c r="KI18" i="31"/>
  <c r="IU18" i="31"/>
  <c r="Y18" i="31"/>
  <c r="OP25" i="31"/>
  <c r="Q25" i="31"/>
  <c r="OO27" i="31"/>
  <c r="M27" i="31"/>
  <c r="OO30" i="31"/>
  <c r="M30" i="31"/>
  <c r="OK15" i="31"/>
  <c r="CL60" i="31"/>
  <c r="HC43" i="31"/>
  <c r="HE43" i="31"/>
  <c r="HG43" i="31"/>
  <c r="HT43" i="31"/>
  <c r="FZ19" i="31"/>
  <c r="KG19" i="31"/>
  <c r="KP15" i="31"/>
  <c r="KP60" i="31"/>
  <c r="CN60" i="31"/>
  <c r="IO13" i="31"/>
  <c r="IQ13" i="31"/>
  <c r="JO32" i="31"/>
  <c r="HV41" i="31"/>
  <c r="HZ41" i="31"/>
  <c r="JO41" i="31"/>
  <c r="OP22" i="31"/>
  <c r="Q22" i="31"/>
  <c r="HT9" i="31"/>
  <c r="IA56" i="31"/>
  <c r="HY56" i="31"/>
  <c r="GD19" i="31"/>
  <c r="AD36" i="31"/>
  <c r="IY36" i="31"/>
  <c r="KI17" i="31"/>
  <c r="GB17" i="31"/>
  <c r="CG60" i="31"/>
  <c r="GC22" i="31"/>
  <c r="KD22" i="31"/>
  <c r="KE22" i="31"/>
  <c r="GT21" i="31"/>
  <c r="GV21" i="31"/>
  <c r="KG13" i="31"/>
  <c r="FZ13" i="31"/>
  <c r="JO26" i="31"/>
  <c r="IO62" i="31"/>
  <c r="IO60" i="31"/>
  <c r="BK24" i="31"/>
  <c r="BK14" i="31"/>
  <c r="IO28" i="31"/>
  <c r="IQ28" i="31"/>
  <c r="EB21" i="31"/>
  <c r="HF60" i="31"/>
  <c r="GT14" i="31"/>
  <c r="GV14" i="31"/>
  <c r="HX31" i="31"/>
  <c r="HZ31" i="31"/>
  <c r="HY31" i="31"/>
  <c r="JV60" i="31"/>
  <c r="JO20" i="31"/>
  <c r="FZ12" i="31"/>
  <c r="KG12" i="31"/>
  <c r="JO9" i="31"/>
  <c r="JO25" i="31"/>
  <c r="JO16" i="31"/>
  <c r="OP17" i="31"/>
  <c r="Q17" i="31"/>
  <c r="HC19" i="31"/>
  <c r="HE19" i="31"/>
  <c r="HG19" i="31"/>
  <c r="OQ20" i="31"/>
  <c r="OJ20" i="31"/>
  <c r="HC24" i="31"/>
  <c r="HE24" i="31"/>
  <c r="HG24" i="31"/>
  <c r="HD60" i="31"/>
  <c r="IU39" i="31"/>
  <c r="Y39" i="31"/>
  <c r="HZ59" i="31"/>
  <c r="HX59" i="31"/>
  <c r="HV59" i="31"/>
  <c r="GA41" i="31"/>
  <c r="KH41" i="31"/>
  <c r="GD39" i="31"/>
  <c r="KM39" i="31"/>
  <c r="GC36" i="31"/>
  <c r="KK36" i="31"/>
  <c r="GB35" i="31"/>
  <c r="KI35" i="31"/>
  <c r="GC11" i="31"/>
  <c r="KK11" i="31"/>
  <c r="EB22" i="31"/>
  <c r="IX60" i="31"/>
  <c r="IX62" i="31"/>
  <c r="HQ22" i="31"/>
  <c r="IY29" i="31"/>
  <c r="AD29" i="31"/>
  <c r="PQ29" i="31"/>
  <c r="JW60" i="31"/>
  <c r="FZ30" i="31"/>
  <c r="KG30" i="31"/>
  <c r="OO9" i="31"/>
  <c r="M9" i="31"/>
  <c r="OQ26" i="31"/>
  <c r="OT26" i="31"/>
  <c r="OJ26" i="31"/>
  <c r="BG60" i="31"/>
  <c r="KG34" i="31"/>
  <c r="FZ34" i="31"/>
  <c r="GC24" i="31"/>
  <c r="KK24" i="31"/>
  <c r="GA21" i="31"/>
  <c r="KH21" i="31"/>
  <c r="IU22" i="31"/>
  <c r="Y22" i="31"/>
  <c r="FY53" i="31"/>
  <c r="GK53" i="31"/>
  <c r="KD55" i="31"/>
  <c r="KE55" i="31"/>
  <c r="P60" i="31"/>
  <c r="KK30" i="31"/>
  <c r="KF15" i="31"/>
  <c r="IP23" i="31"/>
  <c r="IO23" i="31"/>
  <c r="BK23" i="31"/>
  <c r="IO32" i="31"/>
  <c r="IQ32" i="31"/>
  <c r="AG67" i="31"/>
  <c r="BK39" i="31"/>
  <c r="KG42" i="31"/>
  <c r="FZ42" i="31"/>
  <c r="AD43" i="31"/>
  <c r="PQ43" i="31"/>
  <c r="HC59" i="31"/>
  <c r="HE59" i="31"/>
  <c r="HG59" i="31"/>
  <c r="JC37" i="31"/>
  <c r="KI42" i="31"/>
  <c r="GB42" i="31"/>
  <c r="GC39" i="31"/>
  <c r="GA35" i="31"/>
  <c r="KH35" i="31"/>
  <c r="GB32" i="31"/>
  <c r="KI32" i="31"/>
  <c r="KK16" i="31"/>
  <c r="GC16" i="31"/>
  <c r="GB13" i="31"/>
  <c r="KI13" i="31"/>
  <c r="KI9" i="31"/>
  <c r="GB9" i="31"/>
  <c r="PQ10" i="31"/>
  <c r="PQ18" i="31"/>
  <c r="PQ31" i="31"/>
  <c r="PQ39" i="31"/>
  <c r="IU12" i="31"/>
  <c r="Y12" i="31"/>
  <c r="IU10" i="31"/>
  <c r="Y10" i="31"/>
  <c r="IQ24" i="31"/>
  <c r="IO24" i="31"/>
  <c r="IU26" i="31"/>
  <c r="Y26" i="31"/>
  <c r="HZ36" i="31"/>
  <c r="HY36" i="31"/>
  <c r="HV36" i="31"/>
  <c r="KN60" i="31"/>
  <c r="HC40" i="31"/>
  <c r="HE40" i="31"/>
  <c r="HG40" i="31"/>
  <c r="BK40" i="31"/>
  <c r="GA42" i="31"/>
  <c r="KH42" i="31"/>
  <c r="GA36" i="31"/>
  <c r="KH36" i="31"/>
  <c r="GE34" i="31"/>
  <c r="KR34" i="31"/>
  <c r="GC33" i="31"/>
  <c r="KD33" i="31"/>
  <c r="KE33" i="31"/>
  <c r="KK33" i="31"/>
  <c r="KK17" i="31"/>
  <c r="GC17" i="31"/>
  <c r="GE12" i="31"/>
  <c r="KR12" i="31"/>
  <c r="GE10" i="31"/>
  <c r="KR10" i="31"/>
  <c r="FZ38" i="31"/>
  <c r="KG38" i="31"/>
  <c r="AD14" i="31"/>
  <c r="IY14" i="31"/>
  <c r="GT13" i="31"/>
  <c r="GV13" i="31"/>
  <c r="JO17" i="31"/>
  <c r="HC12" i="31"/>
  <c r="HE12" i="31"/>
  <c r="OH12" i="31"/>
  <c r="EB33" i="31"/>
  <c r="EB34" i="31"/>
  <c r="GT37" i="31"/>
  <c r="JC39" i="31"/>
  <c r="IP22" i="31"/>
  <c r="BK22" i="31"/>
  <c r="M16" i="31"/>
  <c r="IY39" i="31"/>
  <c r="L60" i="31"/>
  <c r="IU17" i="31"/>
  <c r="Y17" i="31"/>
  <c r="KA60" i="31"/>
  <c r="BK42" i="31"/>
  <c r="GE37" i="31"/>
  <c r="KD37" i="31"/>
  <c r="KE37" i="31"/>
  <c r="KR37" i="31"/>
  <c r="GD34" i="31"/>
  <c r="KM34" i="31"/>
  <c r="GC20" i="31"/>
  <c r="KK20" i="31"/>
  <c r="GE18" i="31"/>
  <c r="KR18" i="31"/>
  <c r="AE60" i="31"/>
  <c r="Y9" i="31"/>
  <c r="IU9" i="31"/>
  <c r="IU13" i="31"/>
  <c r="Y13" i="31"/>
  <c r="Z60" i="31"/>
  <c r="IY15" i="31"/>
  <c r="AD15" i="31"/>
  <c r="PQ26" i="31"/>
  <c r="IY26" i="31"/>
  <c r="GT24" i="31"/>
  <c r="GV24" i="31"/>
  <c r="GT31" i="31"/>
  <c r="HC11" i="31"/>
  <c r="HE11" i="31"/>
  <c r="OO20" i="31"/>
  <c r="M20" i="31"/>
  <c r="JO59" i="31"/>
  <c r="IQ38" i="31"/>
  <c r="IO38" i="31"/>
  <c r="HH56" i="31"/>
  <c r="HT56" i="31"/>
  <c r="HC13" i="31"/>
  <c r="HE13" i="31"/>
  <c r="OH13" i="31"/>
  <c r="HC21" i="31"/>
  <c r="HE21" i="31"/>
  <c r="HC23" i="31"/>
  <c r="HE23" i="31"/>
  <c r="HG23" i="31"/>
  <c r="JP60" i="31"/>
  <c r="EB41" i="31"/>
  <c r="NT43" i="31"/>
  <c r="NU43" i="31"/>
  <c r="BK37" i="31"/>
  <c r="NT59" i="31"/>
  <c r="NU59" i="31"/>
  <c r="KK57" i="31"/>
  <c r="KJ60" i="31"/>
  <c r="BK13" i="31"/>
  <c r="CC67" i="31"/>
  <c r="IU19" i="31"/>
  <c r="Y19" i="31"/>
  <c r="EB14" i="31"/>
  <c r="AC60" i="31"/>
  <c r="NT16" i="31"/>
  <c r="NU16" i="31"/>
  <c r="NP60" i="31"/>
  <c r="NQ60" i="31"/>
  <c r="NT24" i="31"/>
  <c r="NU24" i="31"/>
  <c r="NT31" i="31"/>
  <c r="NU31" i="31"/>
  <c r="IU35" i="31"/>
  <c r="Y35" i="31"/>
  <c r="GD13" i="31"/>
  <c r="BK12" i="31"/>
  <c r="IO10" i="31"/>
  <c r="IQ10" i="31"/>
  <c r="BK35" i="31"/>
  <c r="KT60" i="31"/>
  <c r="IY42" i="31"/>
  <c r="AD42" i="31"/>
  <c r="NT42" i="31"/>
  <c r="NU42" i="31"/>
  <c r="PP60" i="31"/>
  <c r="EB10" i="31"/>
  <c r="EB13" i="31"/>
  <c r="EB18" i="31"/>
  <c r="EB30" i="31"/>
  <c r="JO24" i="31"/>
  <c r="NT25" i="31"/>
  <c r="NU25" i="31"/>
  <c r="BK34" i="31"/>
  <c r="GT36" i="31"/>
  <c r="NT41" i="31"/>
  <c r="NU41" i="31"/>
  <c r="JO37" i="31"/>
  <c r="PQ28" i="31"/>
  <c r="BK30" i="31"/>
  <c r="EB20" i="31"/>
  <c r="JO23" i="31"/>
  <c r="BF60" i="31"/>
  <c r="EH60" i="31"/>
  <c r="NT35" i="31"/>
  <c r="NU35" i="31"/>
  <c r="EB37" i="31"/>
  <c r="FY56" i="31"/>
  <c r="GK56" i="31"/>
  <c r="BK28" i="31"/>
  <c r="DY60" i="31"/>
  <c r="EB19" i="31"/>
  <c r="EB28" i="31"/>
  <c r="JO21" i="31"/>
  <c r="HC27" i="31"/>
  <c r="HE27" i="31"/>
  <c r="EB57" i="31"/>
  <c r="FY52" i="31"/>
  <c r="GJ52" i="31"/>
  <c r="FY49" i="31"/>
  <c r="GJ49" i="31"/>
  <c r="HX36" i="31"/>
  <c r="PQ36" i="31"/>
  <c r="IY34" i="31"/>
  <c r="PQ34" i="31"/>
  <c r="Y34" i="31"/>
  <c r="NT33" i="31"/>
  <c r="NU33" i="31"/>
  <c r="IQ33" i="31"/>
  <c r="BK33" i="31"/>
  <c r="JC33" i="31"/>
  <c r="W60" i="31"/>
  <c r="Y60" i="31"/>
  <c r="O60" i="31"/>
  <c r="Q60" i="31"/>
  <c r="IO9" i="31"/>
  <c r="JC40" i="31"/>
  <c r="OJ27" i="31"/>
  <c r="OQ27" i="31"/>
  <c r="HX40" i="31"/>
  <c r="HV40" i="31"/>
  <c r="HZ40" i="31"/>
  <c r="GE41" i="31"/>
  <c r="KR41" i="31"/>
  <c r="HS36" i="31"/>
  <c r="HU36" i="31"/>
  <c r="IQ20" i="31"/>
  <c r="IO20" i="31"/>
  <c r="KQ60" i="31"/>
  <c r="Y29" i="31"/>
  <c r="IU29" i="31"/>
  <c r="KO28" i="31"/>
  <c r="KO60" i="31"/>
  <c r="CM60" i="31"/>
  <c r="PQ27" i="31"/>
  <c r="IY27" i="31"/>
  <c r="AD27" i="31"/>
  <c r="GA16" i="31"/>
  <c r="KH16" i="31"/>
  <c r="OT9" i="31"/>
  <c r="HC10" i="31"/>
  <c r="BK10" i="31"/>
  <c r="BI60" i="31"/>
  <c r="OQ11" i="31"/>
  <c r="OJ11" i="31"/>
  <c r="OT21" i="31"/>
  <c r="OP23" i="31"/>
  <c r="Q23" i="31"/>
  <c r="OQ19" i="31"/>
  <c r="OJ19" i="31"/>
  <c r="OO23" i="31"/>
  <c r="M23" i="31"/>
  <c r="KM57" i="31"/>
  <c r="GD57" i="31"/>
  <c r="OL15" i="31"/>
  <c r="OK9" i="31"/>
  <c r="HH36" i="31"/>
  <c r="EA60" i="31"/>
  <c r="IQ9" i="31"/>
  <c r="K60" i="31"/>
  <c r="M60" i="31"/>
  <c r="EB15" i="31"/>
  <c r="EB25" i="31"/>
  <c r="DX60" i="31"/>
  <c r="PQ20" i="31"/>
  <c r="AD20" i="31"/>
  <c r="IY20" i="31"/>
  <c r="KH15" i="31"/>
  <c r="GA15" i="31"/>
  <c r="OE60" i="31"/>
  <c r="OF60" i="31"/>
  <c r="OJ9" i="31"/>
  <c r="OG60" i="31"/>
  <c r="KK27" i="31"/>
  <c r="GC27" i="31"/>
  <c r="GB26" i="31"/>
  <c r="KI26" i="31"/>
  <c r="KR13" i="31"/>
  <c r="CP60" i="31"/>
  <c r="GB10" i="31"/>
  <c r="KI10" i="31"/>
  <c r="IO19" i="31"/>
  <c r="IQ19" i="31"/>
  <c r="CO60" i="31"/>
  <c r="OR9" i="31"/>
  <c r="DW60" i="31"/>
  <c r="IQ31" i="31"/>
  <c r="NM60" i="31"/>
  <c r="IP18" i="31"/>
  <c r="BK18" i="31"/>
  <c r="BE17" i="31"/>
  <c r="BE60" i="31"/>
  <c r="AF60" i="31"/>
  <c r="JB60" i="31"/>
  <c r="JB62" i="31"/>
  <c r="HW34" i="31"/>
  <c r="GP60" i="31"/>
  <c r="GT39" i="31"/>
  <c r="GD29" i="31"/>
  <c r="CK60" i="31"/>
  <c r="KM29" i="31"/>
  <c r="HV57" i="31"/>
  <c r="HX57" i="31"/>
  <c r="HZ57" i="31"/>
  <c r="OJ24" i="31"/>
  <c r="OQ24" i="31"/>
  <c r="HC25" i="31"/>
  <c r="HE25" i="31"/>
  <c r="BH60" i="31"/>
  <c r="IQ37" i="31"/>
  <c r="IO37" i="31"/>
  <c r="CJ60" i="31"/>
  <c r="IO31" i="31"/>
  <c r="BK25" i="31"/>
  <c r="OH17" i="31"/>
  <c r="HG17" i="31"/>
  <c r="IU33" i="31"/>
  <c r="EB39" i="31"/>
  <c r="HZ39" i="31"/>
  <c r="HV39" i="31"/>
  <c r="GB31" i="31"/>
  <c r="KI31" i="31"/>
  <c r="GC29" i="31"/>
  <c r="KK29" i="31"/>
  <c r="JT60" i="31"/>
  <c r="KB60" i="31"/>
  <c r="I16" i="31"/>
  <c r="G60" i="31"/>
  <c r="I60" i="31"/>
  <c r="GB43" i="31"/>
  <c r="KI43" i="31"/>
  <c r="HY51" i="31"/>
  <c r="IA51" i="31"/>
  <c r="HU44" i="31"/>
  <c r="HQ44" i="31"/>
  <c r="HS44" i="31"/>
  <c r="S60" i="31"/>
  <c r="U60" i="31"/>
  <c r="U11" i="31"/>
  <c r="PQ21" i="31"/>
  <c r="IY21" i="31"/>
  <c r="OS13" i="31"/>
  <c r="OS60" i="31"/>
  <c r="OI60" i="31"/>
  <c r="OO17" i="31"/>
  <c r="M17" i="31"/>
  <c r="HV37" i="31"/>
  <c r="HZ37" i="31"/>
  <c r="HX37" i="31"/>
  <c r="JX60" i="31"/>
  <c r="BK57" i="31"/>
  <c r="HC57" i="31"/>
  <c r="HE57" i="31"/>
  <c r="HG57" i="31"/>
  <c r="GW54" i="31"/>
  <c r="II54" i="31"/>
  <c r="GX54" i="31"/>
  <c r="GY54" i="31"/>
  <c r="IC54" i="31"/>
  <c r="IU31" i="31"/>
  <c r="Y31" i="31"/>
  <c r="BJ60" i="31"/>
  <c r="OO28" i="31"/>
  <c r="M28" i="31"/>
  <c r="OP31" i="31"/>
  <c r="Q31" i="31"/>
  <c r="JU60" i="31"/>
  <c r="JO33" i="31"/>
  <c r="JR60" i="31"/>
  <c r="JZ60" i="31"/>
  <c r="KK25" i="31"/>
  <c r="GC25" i="31"/>
  <c r="PO60" i="31"/>
  <c r="JO22" i="31"/>
  <c r="JQ60" i="31"/>
  <c r="IQ14" i="31"/>
  <c r="IO14" i="31"/>
  <c r="IQ25" i="31"/>
  <c r="IO25" i="31"/>
  <c r="EB31" i="31"/>
  <c r="NT15" i="31"/>
  <c r="NU15" i="31"/>
  <c r="NN60" i="31"/>
  <c r="IY33" i="31"/>
  <c r="AD33" i="31"/>
  <c r="IU23" i="31"/>
  <c r="Y23" i="31"/>
  <c r="EB26" i="31"/>
  <c r="OQ30" i="31"/>
  <c r="OJ30" i="31"/>
  <c r="AD37" i="31"/>
  <c r="PQ37" i="31"/>
  <c r="GD40" i="31"/>
  <c r="KM40" i="31"/>
  <c r="GC10" i="31"/>
  <c r="CI60" i="31"/>
  <c r="HW22" i="31"/>
  <c r="KD44" i="31"/>
  <c r="KE44" i="31"/>
  <c r="BK29" i="31"/>
  <c r="IP26" i="31"/>
  <c r="BK26" i="31"/>
  <c r="IY24" i="31"/>
  <c r="PQ24" i="31"/>
  <c r="AD24" i="31"/>
  <c r="KG11" i="31"/>
  <c r="FZ11" i="31"/>
  <c r="NS60" i="31"/>
  <c r="OP16" i="31"/>
  <c r="Q16" i="31"/>
  <c r="JO40" i="31"/>
  <c r="IY41" i="31"/>
  <c r="AD41" i="31"/>
  <c r="PQ41" i="31"/>
  <c r="GT41" i="31"/>
  <c r="GV41" i="31"/>
  <c r="GB15" i="31"/>
  <c r="KI15" i="31"/>
  <c r="IQ57" i="31"/>
  <c r="IO57" i="31"/>
  <c r="GA57" i="31"/>
  <c r="KH57" i="31"/>
  <c r="IH50" i="31"/>
  <c r="IJ50" i="31"/>
  <c r="IL50" i="31"/>
  <c r="IA53" i="31"/>
  <c r="HY53" i="31"/>
  <c r="FZ10" i="31"/>
  <c r="KG10" i="31"/>
  <c r="NT12" i="31"/>
  <c r="OP10" i="31"/>
  <c r="Q10" i="31"/>
  <c r="OO12" i="31"/>
  <c r="HV33" i="31"/>
  <c r="HZ33" i="31"/>
  <c r="HX33" i="31"/>
  <c r="JS60" i="31"/>
  <c r="GC59" i="31"/>
  <c r="GB23" i="31"/>
  <c r="GE14" i="31"/>
  <c r="EB38" i="31"/>
  <c r="KI57" i="31"/>
  <c r="ID52" i="31"/>
  <c r="IF52" i="31"/>
  <c r="IB52" i="31"/>
  <c r="FY54" i="31"/>
  <c r="KD54" i="31"/>
  <c r="KE54" i="31"/>
  <c r="KD56" i="31"/>
  <c r="KE56" i="31"/>
  <c r="AJ60" i="31"/>
  <c r="AD11" i="31"/>
  <c r="IY11" i="31"/>
  <c r="AB60" i="31"/>
  <c r="AD60" i="31"/>
  <c r="CF12" i="31"/>
  <c r="CD60" i="31"/>
  <c r="OQ12" i="31"/>
  <c r="OJ12" i="31"/>
  <c r="IT60" i="31"/>
  <c r="IT62" i="31"/>
  <c r="JO36" i="31"/>
  <c r="GQ60" i="31"/>
  <c r="JO39" i="31"/>
  <c r="GY69" i="31"/>
  <c r="GY68" i="31"/>
  <c r="GY66" i="31"/>
  <c r="GY67" i="31"/>
  <c r="HP62" i="31"/>
  <c r="HP60" i="31"/>
  <c r="HY62" i="31"/>
  <c r="HY60" i="31"/>
  <c r="GY65" i="31"/>
  <c r="IE62" i="31"/>
  <c r="IE60" i="31"/>
  <c r="KM26" i="31"/>
  <c r="GD26" i="31"/>
  <c r="GB24" i="31"/>
  <c r="KI24" i="31"/>
  <c r="HY50" i="31"/>
  <c r="IA50" i="31"/>
  <c r="IB50" i="31"/>
  <c r="IF50" i="31"/>
  <c r="ID50" i="31"/>
  <c r="KL60" i="31"/>
  <c r="EB29" i="31"/>
  <c r="NT19" i="31"/>
  <c r="NU19" i="31"/>
  <c r="GY48" i="31"/>
  <c r="KM38" i="31"/>
  <c r="NT30" i="31"/>
  <c r="NU30" i="31"/>
  <c r="JO38" i="31"/>
  <c r="FY47" i="31"/>
  <c r="KD48" i="31"/>
  <c r="KE48" i="31"/>
  <c r="FY48" i="31"/>
  <c r="EB24" i="31"/>
  <c r="CF20" i="31"/>
  <c r="KI38" i="31"/>
  <c r="GV38" i="31"/>
  <c r="GT38" i="31"/>
  <c r="IA49" i="31"/>
  <c r="HY49" i="31"/>
  <c r="HH54" i="31"/>
  <c r="HT54" i="31"/>
  <c r="KD47" i="31"/>
  <c r="KE47" i="31"/>
  <c r="IA45" i="31"/>
  <c r="HY45" i="31"/>
  <c r="EB12" i="31"/>
  <c r="GY49" i="31"/>
  <c r="II56" i="31"/>
  <c r="GX56" i="31"/>
  <c r="GY56" i="31"/>
  <c r="GW56" i="31"/>
  <c r="IC56" i="31"/>
  <c r="IH45" i="31"/>
  <c r="IA55" i="31"/>
  <c r="HY55" i="31"/>
  <c r="IO52" i="31"/>
  <c r="IQ52" i="31"/>
  <c r="FY45" i="31"/>
  <c r="KD50" i="31"/>
  <c r="KE50" i="31"/>
  <c r="FY50" i="31"/>
  <c r="IQ56" i="31"/>
  <c r="IO56" i="31"/>
  <c r="IM55" i="31"/>
  <c r="HH48" i="31"/>
  <c r="HT48" i="31"/>
  <c r="HU45" i="31"/>
  <c r="HS45" i="31"/>
  <c r="HQ45" i="31"/>
  <c r="HH55" i="31"/>
  <c r="HT55" i="31"/>
  <c r="NO29" i="22"/>
  <c r="NQ29" i="22"/>
  <c r="NR29" i="22"/>
  <c r="NP29" i="22"/>
  <c r="HY28" i="22"/>
  <c r="Y28" i="22"/>
  <c r="AD28" i="22"/>
  <c r="IY28" i="22"/>
  <c r="IO27" i="22"/>
  <c r="EB26" i="22"/>
  <c r="GT25" i="22"/>
  <c r="GX25" i="22"/>
  <c r="GY25" i="22"/>
  <c r="GZ25" i="22"/>
  <c r="HI25" i="22"/>
  <c r="IU25" i="22"/>
  <c r="HX25" i="22"/>
  <c r="HZ25" i="22"/>
  <c r="W29" i="22"/>
  <c r="Y29" i="22"/>
  <c r="IJ24" i="22"/>
  <c r="IH24" i="22"/>
  <c r="IL24" i="22"/>
  <c r="GX24" i="22"/>
  <c r="GY24" i="22"/>
  <c r="EB23" i="22"/>
  <c r="BK23" i="22"/>
  <c r="HC23" i="22"/>
  <c r="HE23" i="22"/>
  <c r="HG23" i="22"/>
  <c r="HH23" i="22"/>
  <c r="IA21" i="22"/>
  <c r="HY21" i="22"/>
  <c r="HV17" i="22"/>
  <c r="GV17" i="22"/>
  <c r="EB17" i="22"/>
  <c r="HZ17" i="22"/>
  <c r="BK17" i="22"/>
  <c r="AP29" i="22"/>
  <c r="BJ29" i="22"/>
  <c r="PO29" i="22"/>
  <c r="DY29" i="22"/>
  <c r="EA29" i="22"/>
  <c r="GT16" i="22"/>
  <c r="DZ29" i="22"/>
  <c r="AZ16" i="22"/>
  <c r="S29" i="22"/>
  <c r="U29" i="22"/>
  <c r="IU16" i="22"/>
  <c r="HU21" i="22"/>
  <c r="HQ21" i="22"/>
  <c r="HS21" i="22"/>
  <c r="KP13" i="22"/>
  <c r="KP29" i="22"/>
  <c r="CN29" i="22"/>
  <c r="KJ17" i="22"/>
  <c r="KJ29" i="22"/>
  <c r="CH29" i="22"/>
  <c r="OH11" i="22"/>
  <c r="HG11" i="22"/>
  <c r="Q11" i="22"/>
  <c r="OP11" i="22"/>
  <c r="AR11" i="22"/>
  <c r="GD16" i="22"/>
  <c r="KM16" i="22"/>
  <c r="HC14" i="22"/>
  <c r="HE14" i="22"/>
  <c r="BK14" i="22"/>
  <c r="BH29" i="22"/>
  <c r="IP16" i="22"/>
  <c r="BK16" i="22"/>
  <c r="KH16" i="22"/>
  <c r="GA16" i="22"/>
  <c r="AY27" i="22"/>
  <c r="AU29" i="22"/>
  <c r="AV27" i="22"/>
  <c r="AZ27" i="22"/>
  <c r="KG24" i="22"/>
  <c r="FZ24" i="22"/>
  <c r="CE29" i="22"/>
  <c r="GT26" i="22"/>
  <c r="GV26" i="22"/>
  <c r="JQ29" i="22"/>
  <c r="JO26" i="22"/>
  <c r="AT14" i="22"/>
  <c r="AS29" i="22"/>
  <c r="BK28" i="22"/>
  <c r="BF29" i="22"/>
  <c r="IB31" i="22"/>
  <c r="IB29" i="22"/>
  <c r="GY36" i="22"/>
  <c r="HK36" i="22"/>
  <c r="IE31" i="22"/>
  <c r="IE29" i="22"/>
  <c r="GV23" i="22"/>
  <c r="GT23" i="22"/>
  <c r="IX29" i="22"/>
  <c r="IX31" i="22"/>
  <c r="JU29" i="22"/>
  <c r="JO23" i="22"/>
  <c r="IQ24" i="22"/>
  <c r="IO24" i="22"/>
  <c r="JO11" i="22"/>
  <c r="CL29" i="22"/>
  <c r="AB29" i="22"/>
  <c r="AD29" i="22"/>
  <c r="GY19" i="22"/>
  <c r="GZ19" i="22"/>
  <c r="GY34" i="22"/>
  <c r="HK34" i="22"/>
  <c r="HC28" i="22"/>
  <c r="HE28" i="22"/>
  <c r="HG28" i="22"/>
  <c r="OH9" i="22"/>
  <c r="JP29" i="22"/>
  <c r="GT28" i="22"/>
  <c r="GD15" i="22"/>
  <c r="FY15" i="22"/>
  <c r="KM15" i="22"/>
  <c r="HZ27" i="22"/>
  <c r="HX27" i="22"/>
  <c r="ID20" i="22"/>
  <c r="IB20" i="22"/>
  <c r="IF20" i="22"/>
  <c r="HS19" i="22"/>
  <c r="HU19" i="22"/>
  <c r="HQ19" i="22"/>
  <c r="AD17" i="22"/>
  <c r="CP29" i="22"/>
  <c r="BA12" i="22"/>
  <c r="AX12" i="22"/>
  <c r="U11" i="22"/>
  <c r="AV11" i="22"/>
  <c r="AQ29" i="22"/>
  <c r="KQ11" i="22"/>
  <c r="KQ29" i="22"/>
  <c r="CO29" i="22"/>
  <c r="JZ29" i="22"/>
  <c r="HD29" i="22"/>
  <c r="KM17" i="22"/>
  <c r="IY16" i="22"/>
  <c r="AD16" i="22"/>
  <c r="PQ16" i="22"/>
  <c r="KH17" i="22"/>
  <c r="GA17" i="22"/>
  <c r="GY20" i="22"/>
  <c r="GZ20" i="22"/>
  <c r="IO9" i="22"/>
  <c r="IQ9" i="22"/>
  <c r="JO28" i="22"/>
  <c r="OL13" i="22"/>
  <c r="OM13" i="22"/>
  <c r="IU26" i="22"/>
  <c r="Y26" i="22"/>
  <c r="IC25" i="22"/>
  <c r="EB25" i="22"/>
  <c r="BK25" i="22"/>
  <c r="IO25" i="22"/>
  <c r="PQ17" i="22"/>
  <c r="HS9" i="22"/>
  <c r="AC29" i="22"/>
  <c r="CG29" i="22"/>
  <c r="IP13" i="22"/>
  <c r="G29" i="22"/>
  <c r="I29" i="22"/>
  <c r="AJ29" i="22"/>
  <c r="EH29" i="22"/>
  <c r="JB29" i="22"/>
  <c r="JB31" i="22"/>
  <c r="CM29" i="22"/>
  <c r="KF29" i="22"/>
  <c r="JT29" i="22"/>
  <c r="JY29" i="22"/>
  <c r="JO13" i="22"/>
  <c r="O29" i="22"/>
  <c r="Q29" i="22"/>
  <c r="JO15" i="22"/>
  <c r="BK9" i="22"/>
  <c r="BI29" i="22"/>
  <c r="GD13" i="22"/>
  <c r="KM13" i="22"/>
  <c r="CK29" i="22"/>
  <c r="PP29" i="22"/>
  <c r="HV16" i="22"/>
  <c r="HZ16" i="22"/>
  <c r="JW29" i="22"/>
  <c r="NN29" i="22"/>
  <c r="NT17" i="22"/>
  <c r="NU17" i="22"/>
  <c r="IA20" i="22"/>
  <c r="HY20" i="22"/>
  <c r="HX15" i="22"/>
  <c r="IK31" i="22"/>
  <c r="IK29" i="22"/>
  <c r="IH31" i="22"/>
  <c r="IH29" i="22"/>
  <c r="M9" i="22"/>
  <c r="K29" i="22"/>
  <c r="M29" i="22"/>
  <c r="HZ23" i="22"/>
  <c r="HX23" i="22"/>
  <c r="AD24" i="22"/>
  <c r="PQ24" i="22"/>
  <c r="II25" i="22"/>
  <c r="HS13" i="22"/>
  <c r="IO23" i="22"/>
  <c r="KN9" i="22"/>
  <c r="KN29" i="22"/>
  <c r="GC23" i="22"/>
  <c r="IQ14" i="22"/>
  <c r="DX29" i="22"/>
  <c r="KI11" i="22"/>
  <c r="GS29" i="22"/>
  <c r="KA29" i="22"/>
  <c r="JO12" i="22"/>
  <c r="JO14" i="22"/>
  <c r="OJ12" i="22"/>
  <c r="OQ12" i="22"/>
  <c r="OG29" i="22"/>
  <c r="GC13" i="22"/>
  <c r="CI29" i="22"/>
  <c r="IQ17" i="22"/>
  <c r="IU24" i="22"/>
  <c r="Y24" i="22"/>
  <c r="HX24" i="22"/>
  <c r="HV24" i="22"/>
  <c r="NT24" i="22"/>
  <c r="NU24" i="22"/>
  <c r="GV27" i="22"/>
  <c r="GT27" i="22"/>
  <c r="OR13" i="22"/>
  <c r="OU13" i="22"/>
  <c r="CF29" i="22"/>
  <c r="X29" i="22"/>
  <c r="GY35" i="22"/>
  <c r="HK35" i="22"/>
  <c r="AT9" i="22"/>
  <c r="CD29" i="22"/>
  <c r="IP12" i="22"/>
  <c r="BG29" i="22"/>
  <c r="HS31" i="22"/>
  <c r="HS29" i="22"/>
  <c r="HD38" i="22"/>
  <c r="GT12" i="22"/>
  <c r="GV12" i="22"/>
  <c r="KI9" i="22"/>
  <c r="JR29" i="22"/>
  <c r="KI28" i="22"/>
  <c r="GB28" i="22"/>
  <c r="KD28" i="22"/>
  <c r="KE28" i="22"/>
  <c r="HY24" i="22"/>
  <c r="IA24" i="22"/>
  <c r="BE23" i="22"/>
  <c r="BE29" i="22"/>
  <c r="AF29" i="22"/>
  <c r="BK24" i="22"/>
  <c r="KR26" i="22"/>
  <c r="GE26" i="22"/>
  <c r="PQ26" i="22"/>
  <c r="BK27" i="22"/>
  <c r="AY12" i="22"/>
  <c r="IY12" i="22"/>
  <c r="PQ12" i="22"/>
  <c r="OI29" i="22"/>
  <c r="AO29" i="22"/>
  <c r="IP10" i="22"/>
  <c r="BK10" i="22"/>
  <c r="EB9" i="22"/>
  <c r="EG29" i="22"/>
  <c r="KT29" i="22"/>
  <c r="NM29" i="22"/>
  <c r="NT12" i="22"/>
  <c r="NU12" i="22"/>
  <c r="DV29" i="22"/>
  <c r="GO29" i="22"/>
  <c r="OS29" i="22"/>
  <c r="OP9" i="22"/>
  <c r="GE11" i="22"/>
  <c r="KR11" i="22"/>
  <c r="IL21" i="22"/>
  <c r="IJ21" i="22"/>
  <c r="IH21" i="22"/>
  <c r="AG36" i="22"/>
  <c r="KD22" i="22"/>
  <c r="KE22" i="22"/>
  <c r="FY22" i="22"/>
  <c r="AZ19" i="22"/>
  <c r="IK20" i="22"/>
  <c r="IM20" i="22"/>
  <c r="GW22" i="22"/>
  <c r="II22" i="22"/>
  <c r="GX22" i="22"/>
  <c r="GY22" i="22"/>
  <c r="IC22" i="22"/>
  <c r="KD21" i="22"/>
  <c r="KE21" i="22"/>
  <c r="DW29" i="22"/>
  <c r="HY18" i="22"/>
  <c r="IA18" i="22"/>
  <c r="EB15" i="22"/>
  <c r="GV15" i="22"/>
  <c r="IO15" i="22"/>
  <c r="IQ15" i="22"/>
  <c r="HT15" i="22"/>
  <c r="HH15" i="22"/>
  <c r="PQ15" i="22"/>
  <c r="BB29" i="22"/>
  <c r="AZ15" i="22"/>
  <c r="HZ15" i="22"/>
  <c r="HV15" i="22"/>
  <c r="BK15" i="22"/>
  <c r="Y15" i="22"/>
  <c r="IA66" i="35"/>
  <c r="HY66" i="35"/>
  <c r="HV66" i="35"/>
  <c r="GX66" i="35"/>
  <c r="GY66" i="35"/>
  <c r="GZ66" i="35"/>
  <c r="DY70" i="35"/>
  <c r="HZ63" i="35"/>
  <c r="HX63" i="35"/>
  <c r="GT63" i="35"/>
  <c r="GO70" i="35"/>
  <c r="GO72" i="35"/>
  <c r="DV70" i="35"/>
  <c r="DW70" i="35"/>
  <c r="IQ68" i="35"/>
  <c r="O70" i="35"/>
  <c r="Q70" i="35"/>
  <c r="BH70" i="35"/>
  <c r="IU68" i="35"/>
  <c r="EB65" i="35"/>
  <c r="HZ65" i="35"/>
  <c r="GV65" i="35"/>
  <c r="AJ70" i="35"/>
  <c r="I70" i="35"/>
  <c r="BJ70" i="35"/>
  <c r="HX65" i="35"/>
  <c r="IC62" i="35"/>
  <c r="IA61" i="35"/>
  <c r="HY61" i="35"/>
  <c r="HV61" i="35"/>
  <c r="HX61" i="35"/>
  <c r="GW61" i="35"/>
  <c r="DX70" i="35"/>
  <c r="HY69" i="35"/>
  <c r="IA69" i="35"/>
  <c r="DZ70" i="35"/>
  <c r="HX69" i="35"/>
  <c r="HV69" i="35"/>
  <c r="EA70" i="35"/>
  <c r="II9" i="35"/>
  <c r="GT9" i="35"/>
  <c r="GP70" i="35"/>
  <c r="HH9" i="35"/>
  <c r="EB9" i="35"/>
  <c r="BK9" i="35"/>
  <c r="S70" i="35"/>
  <c r="U70" i="35"/>
  <c r="OH9" i="35"/>
  <c r="IU9" i="35"/>
  <c r="HX9" i="35"/>
  <c r="IY9" i="35"/>
  <c r="BK33" i="32"/>
  <c r="HC33" i="32"/>
  <c r="DZ36" i="32"/>
  <c r="HY33" i="32"/>
  <c r="IA33" i="32"/>
  <c r="HX33" i="32"/>
  <c r="IW60" i="31"/>
  <c r="OL31" i="39"/>
  <c r="OR31" i="39"/>
  <c r="OK31" i="39"/>
  <c r="OM31" i="39"/>
  <c r="IY126" i="19"/>
  <c r="OT32" i="19"/>
  <c r="OT126" i="19"/>
  <c r="OQ126" i="19"/>
  <c r="IJ45" i="31"/>
  <c r="HQ38" i="31"/>
  <c r="KG93" i="19"/>
  <c r="II12" i="34"/>
  <c r="OL35" i="39"/>
  <c r="OR34" i="34"/>
  <c r="II14" i="35"/>
  <c r="GW12" i="39"/>
  <c r="CQ39" i="21"/>
  <c r="HT31" i="21"/>
  <c r="GX101" i="19"/>
  <c r="GY101" i="19"/>
  <c r="IC12" i="34"/>
  <c r="IF12" i="34"/>
  <c r="IH88" i="39"/>
  <c r="II99" i="39"/>
  <c r="GK24" i="19"/>
  <c r="GW47" i="39"/>
  <c r="KG38" i="21"/>
  <c r="OL107" i="19"/>
  <c r="HH54" i="19"/>
  <c r="HS32" i="35"/>
  <c r="IC100" i="39"/>
  <c r="IF100" i="39"/>
  <c r="IG100" i="39"/>
  <c r="OL76" i="19"/>
  <c r="AZ16" i="19"/>
  <c r="OV100" i="19"/>
  <c r="OW100" i="19"/>
  <c r="GE126" i="19"/>
  <c r="AX126" i="19"/>
  <c r="GB126" i="19"/>
  <c r="GS31" i="22"/>
  <c r="II50" i="35"/>
  <c r="HT49" i="34"/>
  <c r="OK35" i="39"/>
  <c r="OK34" i="34"/>
  <c r="GW14" i="34"/>
  <c r="GW14" i="35"/>
  <c r="II12" i="39"/>
  <c r="HS36" i="19"/>
  <c r="IL43" i="21"/>
  <c r="IL88" i="39"/>
  <c r="GW99" i="39"/>
  <c r="HI99" i="39"/>
  <c r="GX18" i="39"/>
  <c r="GY18" i="39"/>
  <c r="HQ54" i="19"/>
  <c r="GX47" i="39"/>
  <c r="GY47" i="39"/>
  <c r="CQ38" i="21"/>
  <c r="HI100" i="39"/>
  <c r="HK100" i="39"/>
  <c r="OM37" i="35"/>
  <c r="EB126" i="19"/>
  <c r="GX93" i="19"/>
  <c r="GY93" i="19"/>
  <c r="GA126" i="19"/>
  <c r="KF126" i="19"/>
  <c r="AP126" i="19"/>
  <c r="FY74" i="39"/>
  <c r="GK74" i="39"/>
  <c r="GR31" i="22"/>
  <c r="GW50" i="35"/>
  <c r="GJ36" i="19"/>
  <c r="OR25" i="39"/>
  <c r="GP69" i="34"/>
  <c r="II14" i="34"/>
  <c r="OK15" i="39"/>
  <c r="HT31" i="19"/>
  <c r="HG23" i="19"/>
  <c r="HW54" i="19"/>
  <c r="HX54" i="19"/>
  <c r="HH20" i="35"/>
  <c r="FY60" i="19"/>
  <c r="ID111" i="19"/>
  <c r="GW93" i="19"/>
  <c r="GZ93" i="19"/>
  <c r="IB97" i="39"/>
  <c r="GW97" i="39"/>
  <c r="HI97" i="39"/>
  <c r="AZ23" i="32"/>
  <c r="KG20" i="35"/>
  <c r="OH18" i="39"/>
  <c r="II94" i="19"/>
  <c r="IJ94" i="19"/>
  <c r="II60" i="19"/>
  <c r="IJ60" i="19"/>
  <c r="GK54" i="34"/>
  <c r="FZ27" i="34"/>
  <c r="FY27" i="34"/>
  <c r="GJ27" i="34"/>
  <c r="NU9" i="19"/>
  <c r="NU126" i="19"/>
  <c r="NT126" i="19"/>
  <c r="HG34" i="34"/>
  <c r="CE126" i="19"/>
  <c r="BE126" i="19"/>
  <c r="IQ11" i="32"/>
  <c r="HW20" i="35"/>
  <c r="OK25" i="39"/>
  <c r="AZ26" i="22"/>
  <c r="AZ13" i="22"/>
  <c r="IC37" i="19"/>
  <c r="GX102" i="19"/>
  <c r="GY102" i="19"/>
  <c r="FY9" i="19"/>
  <c r="HT56" i="19"/>
  <c r="HU56" i="19"/>
  <c r="PK126" i="19"/>
  <c r="GX48" i="19"/>
  <c r="GY48" i="19"/>
  <c r="GK18" i="21"/>
  <c r="FY102" i="19"/>
  <c r="AZ60" i="19"/>
  <c r="GW103" i="19"/>
  <c r="HG31" i="39"/>
  <c r="HT31" i="39"/>
  <c r="GX59" i="19"/>
  <c r="GY59" i="19"/>
  <c r="GX49" i="19"/>
  <c r="GY49" i="19"/>
  <c r="JO126" i="19"/>
  <c r="HT15" i="19"/>
  <c r="HW15" i="19"/>
  <c r="GC126" i="19"/>
  <c r="AV126" i="19"/>
  <c r="AR126" i="19"/>
  <c r="AT126" i="19"/>
  <c r="HS38" i="31"/>
  <c r="HH58" i="35"/>
  <c r="HQ20" i="35"/>
  <c r="OH32" i="39"/>
  <c r="IC101" i="19"/>
  <c r="GW37" i="19"/>
  <c r="KD9" i="19"/>
  <c r="OH94" i="39"/>
  <c r="AZ44" i="19"/>
  <c r="IC17" i="19"/>
  <c r="IF17" i="19"/>
  <c r="IE17" i="19"/>
  <c r="ID97" i="39"/>
  <c r="OL44" i="34"/>
  <c r="OM44" i="34"/>
  <c r="II103" i="19"/>
  <c r="IJ103" i="19"/>
  <c r="IJ27" i="35"/>
  <c r="HY64" i="35"/>
  <c r="IC103" i="19"/>
  <c r="AZ27" i="19"/>
  <c r="II65" i="19"/>
  <c r="HH32" i="35"/>
  <c r="HH72" i="19"/>
  <c r="OH42" i="35"/>
  <c r="HG44" i="34"/>
  <c r="HH44" i="34"/>
  <c r="KD64" i="39"/>
  <c r="KE64" i="39"/>
  <c r="KD17" i="39"/>
  <c r="KE17" i="39"/>
  <c r="KD44" i="39"/>
  <c r="KE44" i="39"/>
  <c r="BA126" i="19"/>
  <c r="KP126" i="19"/>
  <c r="HC126" i="19"/>
  <c r="KN126" i="19"/>
  <c r="HH60" i="19"/>
  <c r="BK126" i="19"/>
  <c r="AZ9" i="19"/>
  <c r="IU126" i="19"/>
  <c r="HT26" i="22"/>
  <c r="HG25" i="39"/>
  <c r="CQ27" i="34"/>
  <c r="HT30" i="21"/>
  <c r="GW95" i="19"/>
  <c r="II100" i="39"/>
  <c r="HQ32" i="35"/>
  <c r="HP32" i="35"/>
  <c r="OK45" i="34"/>
  <c r="OM45" i="34"/>
  <c r="AZ62" i="19"/>
  <c r="AZ36" i="19"/>
  <c r="IC14" i="35"/>
  <c r="ID14" i="35"/>
  <c r="GS59" i="21"/>
  <c r="AY126" i="19"/>
  <c r="KJ126" i="19"/>
  <c r="KO126" i="19"/>
  <c r="HW94" i="19"/>
  <c r="HV94" i="19"/>
  <c r="HQ94" i="19"/>
  <c r="HH94" i="19"/>
  <c r="GW94" i="19"/>
  <c r="OH94" i="19"/>
  <c r="OR94" i="19"/>
  <c r="IH94" i="19"/>
  <c r="II57" i="19"/>
  <c r="IH57" i="19"/>
  <c r="ID94" i="19"/>
  <c r="IC33" i="19"/>
  <c r="ID33" i="19"/>
  <c r="HI60" i="19"/>
  <c r="II33" i="19"/>
  <c r="IH33" i="19"/>
  <c r="GK17" i="19"/>
  <c r="HH100" i="19"/>
  <c r="IL22" i="19"/>
  <c r="GX94" i="19"/>
  <c r="GY94" i="19"/>
  <c r="OK14" i="39"/>
  <c r="OR14" i="39"/>
  <c r="OL14" i="39"/>
  <c r="GJ61" i="19"/>
  <c r="GK61" i="19"/>
  <c r="FY105" i="19"/>
  <c r="GK105" i="19"/>
  <c r="FZ69" i="19"/>
  <c r="FY69" i="19"/>
  <c r="HH20" i="21"/>
  <c r="IL13" i="22"/>
  <c r="EB32" i="31"/>
  <c r="KG19" i="32"/>
  <c r="IF9" i="39"/>
  <c r="OK56" i="39"/>
  <c r="AZ20" i="19"/>
  <c r="GW9" i="39"/>
  <c r="IC90" i="39"/>
  <c r="IC37" i="21"/>
  <c r="GW78" i="39"/>
  <c r="GZ78" i="39"/>
  <c r="IC17" i="39"/>
  <c r="IF17" i="39"/>
  <c r="IG17" i="39"/>
  <c r="GX41" i="39"/>
  <c r="GY41" i="39"/>
  <c r="GX36" i="19"/>
  <c r="GY36" i="19"/>
  <c r="IC56" i="39"/>
  <c r="HW36" i="19"/>
  <c r="KD100" i="39"/>
  <c r="KE100" i="39"/>
  <c r="HG92" i="39"/>
  <c r="AZ58" i="19"/>
  <c r="AZ97" i="19"/>
  <c r="AZ47" i="19"/>
  <c r="GK47" i="34"/>
  <c r="HH76" i="19"/>
  <c r="OR56" i="19"/>
  <c r="KD60" i="39"/>
  <c r="KE60" i="39"/>
  <c r="KD71" i="39"/>
  <c r="KE71" i="39"/>
  <c r="AZ43" i="19"/>
  <c r="FY45" i="19"/>
  <c r="HU88" i="19"/>
  <c r="KG55" i="34"/>
  <c r="IC23" i="21"/>
  <c r="IB23" i="21"/>
  <c r="GW29" i="19"/>
  <c r="IL111" i="19"/>
  <c r="IK111" i="19"/>
  <c r="AZ9" i="22"/>
  <c r="II17" i="39"/>
  <c r="IH17" i="39"/>
  <c r="FY71" i="39"/>
  <c r="FZ79" i="39"/>
  <c r="FY79" i="39"/>
  <c r="GJ79" i="39"/>
  <c r="IC25" i="19"/>
  <c r="IF25" i="19"/>
  <c r="IC79" i="19"/>
  <c r="IB79" i="19"/>
  <c r="FY50" i="39"/>
  <c r="KG32" i="39"/>
  <c r="HG13" i="32"/>
  <c r="HT13" i="32"/>
  <c r="HS13" i="32"/>
  <c r="IC32" i="34"/>
  <c r="IB32" i="34"/>
  <c r="OH29" i="34"/>
  <c r="GZ93" i="39"/>
  <c r="CQ55" i="34"/>
  <c r="HW88" i="19"/>
  <c r="HV88" i="19"/>
  <c r="FY17" i="39"/>
  <c r="GJ17" i="39"/>
  <c r="IC67" i="35"/>
  <c r="ID67" i="35"/>
  <c r="IC29" i="19"/>
  <c r="IH111" i="19"/>
  <c r="OH88" i="39"/>
  <c r="KD81" i="39"/>
  <c r="KE81" i="39"/>
  <c r="GW68" i="19"/>
  <c r="GZ68" i="19"/>
  <c r="GX56" i="39"/>
  <c r="GY56" i="39"/>
  <c r="GZ56" i="39"/>
  <c r="HI56" i="39"/>
  <c r="OR25" i="35"/>
  <c r="OU25" i="35"/>
  <c r="IC107" i="19"/>
  <c r="ID107" i="19"/>
  <c r="KG80" i="19"/>
  <c r="GX93" i="39"/>
  <c r="GY93" i="39"/>
  <c r="II34" i="31"/>
  <c r="OK13" i="32"/>
  <c r="HH109" i="19"/>
  <c r="HK109" i="19"/>
  <c r="HU17" i="19"/>
  <c r="OM34" i="34"/>
  <c r="II67" i="35"/>
  <c r="IF20" i="35"/>
  <c r="HS28" i="21"/>
  <c r="IF93" i="39"/>
  <c r="HQ88" i="19"/>
  <c r="HG45" i="39"/>
  <c r="HH45" i="39"/>
  <c r="FY55" i="19"/>
  <c r="GX67" i="35"/>
  <c r="GY67" i="35"/>
  <c r="GZ67" i="35"/>
  <c r="GX78" i="39"/>
  <c r="GY78" i="39"/>
  <c r="HI57" i="35"/>
  <c r="HK57" i="35"/>
  <c r="II41" i="39"/>
  <c r="II36" i="19"/>
  <c r="FZ16" i="19"/>
  <c r="FY16" i="19"/>
  <c r="GK16" i="19"/>
  <c r="OL25" i="35"/>
  <c r="OM25" i="35"/>
  <c r="GX89" i="19"/>
  <c r="GY89" i="19"/>
  <c r="GW79" i="19"/>
  <c r="II93" i="39"/>
  <c r="IH93" i="39"/>
  <c r="KD80" i="39"/>
  <c r="KE80" i="39"/>
  <c r="FY90" i="39"/>
  <c r="FY47" i="39"/>
  <c r="GX26" i="34"/>
  <c r="GY26" i="34"/>
  <c r="HU47" i="34"/>
  <c r="II9" i="39"/>
  <c r="HT20" i="34"/>
  <c r="HS20" i="34"/>
  <c r="ID93" i="39"/>
  <c r="HG97" i="39"/>
  <c r="GX32" i="21"/>
  <c r="GY32" i="21"/>
  <c r="II78" i="39"/>
  <c r="IK109" i="19"/>
  <c r="GW41" i="39"/>
  <c r="HI41" i="39"/>
  <c r="IC36" i="19"/>
  <c r="OL56" i="19"/>
  <c r="OM56" i="19"/>
  <c r="OH80" i="19"/>
  <c r="OR80" i="19"/>
  <c r="OV80" i="19"/>
  <c r="KD19" i="39"/>
  <c r="KE19" i="39"/>
  <c r="GX9" i="39"/>
  <c r="GY9" i="39"/>
  <c r="II90" i="39"/>
  <c r="FY31" i="39"/>
  <c r="HH28" i="21"/>
  <c r="GW52" i="19"/>
  <c r="OM35" i="19"/>
  <c r="IC11" i="34"/>
  <c r="IB11" i="34"/>
  <c r="HH88" i="19"/>
  <c r="OH40" i="39"/>
  <c r="HG40" i="39"/>
  <c r="GK88" i="19"/>
  <c r="GJ88" i="19"/>
  <c r="HS44" i="35"/>
  <c r="HU44" i="35"/>
  <c r="IB58" i="19"/>
  <c r="ID58" i="19"/>
  <c r="OL27" i="39"/>
  <c r="OK27" i="39"/>
  <c r="HV91" i="19"/>
  <c r="IF21" i="22"/>
  <c r="JF21" i="22"/>
  <c r="JJ21" i="22"/>
  <c r="GX34" i="31"/>
  <c r="GY34" i="31"/>
  <c r="OR98" i="39"/>
  <c r="OR17" i="19"/>
  <c r="IJ22" i="19"/>
  <c r="IL42" i="34"/>
  <c r="OL74" i="19"/>
  <c r="OM74" i="19"/>
  <c r="II48" i="19"/>
  <c r="HU12" i="19"/>
  <c r="GW28" i="35"/>
  <c r="HT31" i="35"/>
  <c r="AZ45" i="19"/>
  <c r="HG89" i="19"/>
  <c r="HH89" i="19"/>
  <c r="HW12" i="19"/>
  <c r="FY28" i="35"/>
  <c r="FY94" i="39"/>
  <c r="GK94" i="39"/>
  <c r="FY35" i="39"/>
  <c r="OO70" i="35"/>
  <c r="IC112" i="19"/>
  <c r="GX112" i="19"/>
  <c r="GY112" i="19"/>
  <c r="GZ112" i="19"/>
  <c r="HI112" i="19"/>
  <c r="GZ48" i="31"/>
  <c r="HI48" i="31"/>
  <c r="GW34" i="39"/>
  <c r="OU28" i="35"/>
  <c r="IG45" i="31"/>
  <c r="GW34" i="31"/>
  <c r="IC27" i="39"/>
  <c r="FY122" i="19"/>
  <c r="GJ122" i="19"/>
  <c r="GX95" i="19"/>
  <c r="GY95" i="19"/>
  <c r="HG39" i="21"/>
  <c r="HG51" i="39"/>
  <c r="GW48" i="19"/>
  <c r="GZ48" i="19"/>
  <c r="FY34" i="39"/>
  <c r="GJ34" i="39"/>
  <c r="HW32" i="35"/>
  <c r="HZ32" i="35"/>
  <c r="OV37" i="35"/>
  <c r="OW37" i="35"/>
  <c r="IL94" i="19"/>
  <c r="IM94" i="19"/>
  <c r="ID46" i="19"/>
  <c r="II58" i="19"/>
  <c r="OR15" i="19"/>
  <c r="IC75" i="19"/>
  <c r="IB75" i="19"/>
  <c r="FY107" i="19"/>
  <c r="GJ107" i="19"/>
  <c r="KG49" i="34"/>
  <c r="OL36" i="19"/>
  <c r="OM36" i="19"/>
  <c r="HG98" i="39"/>
  <c r="IC60" i="19"/>
  <c r="KD14" i="39"/>
  <c r="KE14" i="39"/>
  <c r="HS13" i="19"/>
  <c r="HG107" i="19"/>
  <c r="HH107" i="19"/>
  <c r="AZ50" i="19"/>
  <c r="KG14" i="21"/>
  <c r="FZ14" i="21"/>
  <c r="FY14" i="21"/>
  <c r="HW72" i="19"/>
  <c r="HX72" i="19"/>
  <c r="IE94" i="19"/>
  <c r="IH13" i="22"/>
  <c r="FY22" i="39"/>
  <c r="OM103" i="19"/>
  <c r="IC42" i="34"/>
  <c r="IB42" i="34"/>
  <c r="II21" i="34"/>
  <c r="IB21" i="34"/>
  <c r="IC35" i="19"/>
  <c r="IB35" i="19"/>
  <c r="II34" i="39"/>
  <c r="GW48" i="35"/>
  <c r="HH38" i="35"/>
  <c r="IC42" i="21"/>
  <c r="AZ40" i="19"/>
  <c r="OR74" i="19"/>
  <c r="OU74" i="19"/>
  <c r="GW72" i="19"/>
  <c r="HI72" i="19"/>
  <c r="GW13" i="39"/>
  <c r="GZ13" i="39"/>
  <c r="IB107" i="19"/>
  <c r="IG46" i="19"/>
  <c r="HQ36" i="19"/>
  <c r="HR36" i="19"/>
  <c r="GX75" i="19"/>
  <c r="GY75" i="19"/>
  <c r="OR45" i="34"/>
  <c r="OU45" i="34"/>
  <c r="OV77" i="39"/>
  <c r="OH48" i="39"/>
  <c r="GX26" i="39"/>
  <c r="GY26" i="39"/>
  <c r="II26" i="39"/>
  <c r="GW26" i="39"/>
  <c r="IC26" i="39"/>
  <c r="GZ24" i="22"/>
  <c r="GW33" i="32"/>
  <c r="GW13" i="22"/>
  <c r="HI88" i="39"/>
  <c r="HZ91" i="19"/>
  <c r="IA91" i="19"/>
  <c r="GW42" i="34"/>
  <c r="GX21" i="34"/>
  <c r="GY21" i="34"/>
  <c r="GX35" i="19"/>
  <c r="GY35" i="19"/>
  <c r="GX34" i="39"/>
  <c r="GY34" i="39"/>
  <c r="II35" i="35"/>
  <c r="IL35" i="35"/>
  <c r="GX20" i="39"/>
  <c r="GY20" i="39"/>
  <c r="OL93" i="19"/>
  <c r="OM93" i="19"/>
  <c r="IL93" i="39"/>
  <c r="IM93" i="39"/>
  <c r="GR128" i="19"/>
  <c r="II39" i="35"/>
  <c r="GW18" i="39"/>
  <c r="IF109" i="19"/>
  <c r="IC85" i="19"/>
  <c r="IF85" i="19"/>
  <c r="OR75" i="19"/>
  <c r="OV75" i="19"/>
  <c r="GX42" i="21"/>
  <c r="GY42" i="21"/>
  <c r="GZ42" i="21"/>
  <c r="HI42" i="21"/>
  <c r="KD9" i="22"/>
  <c r="KE9" i="22"/>
  <c r="GX72" i="19"/>
  <c r="GY72" i="19"/>
  <c r="GX22" i="19"/>
  <c r="GY22" i="19"/>
  <c r="OW41" i="21"/>
  <c r="HT15" i="35"/>
  <c r="HU15" i="35"/>
  <c r="OR11" i="19"/>
  <c r="OV11" i="19"/>
  <c r="IC28" i="35"/>
  <c r="IF107" i="19"/>
  <c r="IG107" i="19"/>
  <c r="OL94" i="19"/>
  <c r="GJ64" i="19"/>
  <c r="IC16" i="35"/>
  <c r="IF16" i="35"/>
  <c r="ID109" i="19"/>
  <c r="OV63" i="19"/>
  <c r="HH91" i="19"/>
  <c r="GX35" i="35"/>
  <c r="GY35" i="35"/>
  <c r="HH44" i="35"/>
  <c r="HT97" i="19"/>
  <c r="HW97" i="19"/>
  <c r="HX97" i="19"/>
  <c r="GX58" i="19"/>
  <c r="GY58" i="19"/>
  <c r="HT53" i="19"/>
  <c r="II97" i="39"/>
  <c r="HG45" i="34"/>
  <c r="HH45" i="34"/>
  <c r="HG15" i="39"/>
  <c r="HH15" i="39"/>
  <c r="FZ12" i="35"/>
  <c r="FY12" i="35"/>
  <c r="GK12" i="35"/>
  <c r="KG12" i="35"/>
  <c r="IB18" i="22"/>
  <c r="HY68" i="35"/>
  <c r="KD26" i="22"/>
  <c r="KE26" i="22"/>
  <c r="GX13" i="22"/>
  <c r="GY13" i="22"/>
  <c r="IC13" i="22"/>
  <c r="HR32" i="31"/>
  <c r="HW13" i="22"/>
  <c r="HZ13" i="22"/>
  <c r="GW21" i="34"/>
  <c r="II35" i="19"/>
  <c r="IL35" i="19"/>
  <c r="IC35" i="35"/>
  <c r="IK30" i="21"/>
  <c r="HQ91" i="19"/>
  <c r="IJ93" i="39"/>
  <c r="HZ42" i="21"/>
  <c r="IA42" i="21"/>
  <c r="IC18" i="39"/>
  <c r="OK75" i="19"/>
  <c r="OM75" i="19"/>
  <c r="OV11" i="35"/>
  <c r="OW11" i="35"/>
  <c r="HQ72" i="19"/>
  <c r="HP72" i="19"/>
  <c r="IC72" i="19"/>
  <c r="OR71" i="39"/>
  <c r="HT14" i="39"/>
  <c r="HU14" i="39"/>
  <c r="OK11" i="19"/>
  <c r="OM11" i="19"/>
  <c r="KG27" i="39"/>
  <c r="GX28" i="35"/>
  <c r="GY28" i="35"/>
  <c r="GK27" i="35"/>
  <c r="OL71" i="19"/>
  <c r="HH29" i="21"/>
  <c r="GZ45" i="31"/>
  <c r="GX24" i="34"/>
  <c r="GY24" i="34"/>
  <c r="HG73" i="39"/>
  <c r="HV42" i="21"/>
  <c r="IH42" i="34"/>
  <c r="IO22" i="21"/>
  <c r="IB17" i="19"/>
  <c r="OR31" i="35"/>
  <c r="OU31" i="35"/>
  <c r="OU15" i="35"/>
  <c r="OW15" i="35"/>
  <c r="II13" i="39"/>
  <c r="HH12" i="19"/>
  <c r="IB58" i="34"/>
  <c r="IF58" i="34"/>
  <c r="IE58" i="34"/>
  <c r="IL87" i="39"/>
  <c r="IH87" i="39"/>
  <c r="GJ24" i="35"/>
  <c r="GK24" i="35"/>
  <c r="OV12" i="21"/>
  <c r="OW12" i="21"/>
  <c r="IC41" i="19"/>
  <c r="GW45" i="19"/>
  <c r="II23" i="21"/>
  <c r="IH23" i="21"/>
  <c r="GX14" i="19"/>
  <c r="GY14" i="19"/>
  <c r="IF111" i="19"/>
  <c r="IE111" i="19"/>
  <c r="HU121" i="19"/>
  <c r="IH94" i="39"/>
  <c r="II101" i="39"/>
  <c r="IH101" i="39"/>
  <c r="GW101" i="39"/>
  <c r="KD90" i="39"/>
  <c r="KE90" i="39"/>
  <c r="GK34" i="35"/>
  <c r="OH79" i="19"/>
  <c r="OL79" i="19"/>
  <c r="KD11" i="21"/>
  <c r="KE11" i="21"/>
  <c r="II41" i="19"/>
  <c r="II45" i="19"/>
  <c r="OH80" i="39"/>
  <c r="OK80" i="39"/>
  <c r="GJ38" i="21"/>
  <c r="IJ94" i="39"/>
  <c r="HT26" i="21"/>
  <c r="HQ26" i="21"/>
  <c r="KD58" i="39"/>
  <c r="KE58" i="39"/>
  <c r="FY98" i="39"/>
  <c r="GJ98" i="39"/>
  <c r="HY9" i="35"/>
  <c r="OT31" i="31"/>
  <c r="IC57" i="39"/>
  <c r="ID57" i="39"/>
  <c r="HS100" i="39"/>
  <c r="IH31" i="19"/>
  <c r="IC45" i="19"/>
  <c r="IB45" i="19"/>
  <c r="PG29" i="22"/>
  <c r="FY19" i="39"/>
  <c r="GK19" i="39"/>
  <c r="FY65" i="39"/>
  <c r="IC107" i="39"/>
  <c r="ID107" i="39"/>
  <c r="HQ121" i="19"/>
  <c r="HP121" i="19"/>
  <c r="GW104" i="19"/>
  <c r="HI104" i="19"/>
  <c r="KD53" i="39"/>
  <c r="KE53" i="39"/>
  <c r="HH17" i="21"/>
  <c r="KD11" i="39"/>
  <c r="KE11" i="39"/>
  <c r="KG14" i="35"/>
  <c r="PO70" i="35"/>
  <c r="II57" i="39"/>
  <c r="IH57" i="39"/>
  <c r="OR12" i="39"/>
  <c r="IL31" i="19"/>
  <c r="GW107" i="39"/>
  <c r="GZ107" i="39"/>
  <c r="HI107" i="39"/>
  <c r="HQ100" i="19"/>
  <c r="HP100" i="19"/>
  <c r="FY96" i="39"/>
  <c r="GK96" i="39"/>
  <c r="FY24" i="39"/>
  <c r="GK24" i="39"/>
  <c r="FY88" i="39"/>
  <c r="IL18" i="22"/>
  <c r="IM18" i="22"/>
  <c r="GX57" i="39"/>
  <c r="GY57" i="39"/>
  <c r="OK12" i="39"/>
  <c r="OM12" i="39"/>
  <c r="HH16" i="21"/>
  <c r="GW21" i="32"/>
  <c r="IL93" i="19"/>
  <c r="IM93" i="19"/>
  <c r="OK53" i="39"/>
  <c r="IO11" i="35"/>
  <c r="II107" i="39"/>
  <c r="IJ107" i="39"/>
  <c r="HG12" i="39"/>
  <c r="HH12" i="39"/>
  <c r="IC14" i="19"/>
  <c r="II59" i="19"/>
  <c r="AZ98" i="19"/>
  <c r="IJ18" i="22"/>
  <c r="HI36" i="19"/>
  <c r="GX104" i="19"/>
  <c r="GY104" i="19"/>
  <c r="IH93" i="19"/>
  <c r="HU92" i="19"/>
  <c r="GP15" i="33"/>
  <c r="IB94" i="39"/>
  <c r="GJ11" i="21"/>
  <c r="OL55" i="35"/>
  <c r="OM55" i="35"/>
  <c r="FY58" i="39"/>
  <c r="GZ50" i="31"/>
  <c r="HI50" i="31"/>
  <c r="IC59" i="19"/>
  <c r="AZ54" i="19"/>
  <c r="KD25" i="39"/>
  <c r="KE25" i="39"/>
  <c r="FY66" i="39"/>
  <c r="GJ66" i="39"/>
  <c r="KD47" i="39"/>
  <c r="KE47" i="39"/>
  <c r="KD10" i="39"/>
  <c r="KE10" i="39"/>
  <c r="FY84" i="39"/>
  <c r="FY60" i="39"/>
  <c r="KD93" i="39"/>
  <c r="KE93" i="39"/>
  <c r="KD22" i="39"/>
  <c r="KE22" i="39"/>
  <c r="FY61" i="39"/>
  <c r="KG33" i="21"/>
  <c r="FZ33" i="21"/>
  <c r="FY33" i="21"/>
  <c r="OW48" i="35"/>
  <c r="IF94" i="39"/>
  <c r="GW23" i="21"/>
  <c r="HI23" i="21"/>
  <c r="OR55" i="35"/>
  <c r="OU55" i="35"/>
  <c r="KD42" i="21"/>
  <c r="KE42" i="21"/>
  <c r="FZ58" i="19"/>
  <c r="FY58" i="19"/>
  <c r="KD38" i="39"/>
  <c r="KE38" i="39"/>
  <c r="KD48" i="39"/>
  <c r="KE48" i="39"/>
  <c r="KD50" i="39"/>
  <c r="KE50" i="39"/>
  <c r="KD67" i="39"/>
  <c r="KE67" i="39"/>
  <c r="KD107" i="39"/>
  <c r="KE107" i="39"/>
  <c r="OR24" i="35"/>
  <c r="OL24" i="35"/>
  <c r="OK24" i="35"/>
  <c r="GZ89" i="19"/>
  <c r="HI89" i="19"/>
  <c r="GJ25" i="35"/>
  <c r="GK25" i="35"/>
  <c r="OR92" i="39"/>
  <c r="OL92" i="39"/>
  <c r="OK92" i="39"/>
  <c r="IH23" i="31"/>
  <c r="HT19" i="32"/>
  <c r="HW19" i="32"/>
  <c r="IH103" i="19"/>
  <c r="IC33" i="35"/>
  <c r="ID33" i="35"/>
  <c r="HT30" i="35"/>
  <c r="IL65" i="19"/>
  <c r="GW29" i="39"/>
  <c r="GZ29" i="39"/>
  <c r="HG66" i="35"/>
  <c r="OH66" i="35"/>
  <c r="KG84" i="39"/>
  <c r="OR33" i="19"/>
  <c r="OU33" i="19"/>
  <c r="GW52" i="39"/>
  <c r="GZ52" i="39"/>
  <c r="FY80" i="39"/>
  <c r="HW100" i="39"/>
  <c r="HX100" i="39"/>
  <c r="HW37" i="35"/>
  <c r="HV37" i="35"/>
  <c r="GX54" i="35"/>
  <c r="GY54" i="35"/>
  <c r="FY37" i="39"/>
  <c r="FY83" i="39"/>
  <c r="GJ83" i="39"/>
  <c r="HQ100" i="39"/>
  <c r="HP100" i="39"/>
  <c r="IH79" i="19"/>
  <c r="IF75" i="19"/>
  <c r="GW92" i="19"/>
  <c r="HH48" i="39"/>
  <c r="II89" i="19"/>
  <c r="GX18" i="19"/>
  <c r="GY18" i="19"/>
  <c r="FY72" i="39"/>
  <c r="GK72" i="39"/>
  <c r="FY25" i="39"/>
  <c r="GK25" i="39"/>
  <c r="HG62" i="35"/>
  <c r="HT62" i="35"/>
  <c r="OH62" i="35"/>
  <c r="HG63" i="35"/>
  <c r="OH63" i="35"/>
  <c r="OL61" i="35"/>
  <c r="OK61" i="35"/>
  <c r="OR61" i="35"/>
  <c r="AZ11" i="22"/>
  <c r="IL30" i="31"/>
  <c r="IM30" i="31"/>
  <c r="IO16" i="32"/>
  <c r="HG68" i="35"/>
  <c r="HH68" i="35"/>
  <c r="OH68" i="35"/>
  <c r="GX11" i="39"/>
  <c r="IL103" i="19"/>
  <c r="HI93" i="19"/>
  <c r="II33" i="35"/>
  <c r="GK10" i="34"/>
  <c r="IC29" i="39"/>
  <c r="IB29" i="39"/>
  <c r="HT68" i="19"/>
  <c r="HQ92" i="19"/>
  <c r="II45" i="35"/>
  <c r="IL52" i="39"/>
  <c r="GJ30" i="21"/>
  <c r="KD61" i="39"/>
  <c r="KE61" i="39"/>
  <c r="FY10" i="39"/>
  <c r="GJ10" i="39"/>
  <c r="OR27" i="39"/>
  <c r="GJ49" i="21"/>
  <c r="II74" i="39"/>
  <c r="IJ74" i="39"/>
  <c r="HH37" i="35"/>
  <c r="GJ16" i="21"/>
  <c r="FZ9" i="21"/>
  <c r="FY9" i="21"/>
  <c r="GK9" i="21"/>
  <c r="IC89" i="19"/>
  <c r="IF89" i="19"/>
  <c r="IG89" i="19"/>
  <c r="GW18" i="19"/>
  <c r="ID18" i="19"/>
  <c r="KG13" i="35"/>
  <c r="FZ13" i="35"/>
  <c r="FY13" i="35"/>
  <c r="FZ26" i="32"/>
  <c r="IC11" i="39"/>
  <c r="ID11" i="39"/>
  <c r="GK29" i="34"/>
  <c r="OL56" i="39"/>
  <c r="OM56" i="39"/>
  <c r="GX29" i="39"/>
  <c r="GY29" i="39"/>
  <c r="AZ96" i="19"/>
  <c r="HG65" i="35"/>
  <c r="OH65" i="35"/>
  <c r="II15" i="39"/>
  <c r="GX45" i="35"/>
  <c r="GY45" i="35"/>
  <c r="IH52" i="39"/>
  <c r="OW26" i="21"/>
  <c r="II23" i="19"/>
  <c r="KD68" i="39"/>
  <c r="KE68" i="39"/>
  <c r="GR72" i="35"/>
  <c r="OK44" i="39"/>
  <c r="OV88" i="19"/>
  <c r="OW22" i="21"/>
  <c r="GX67" i="19"/>
  <c r="GY67" i="19"/>
  <c r="IB18" i="19"/>
  <c r="KD39" i="39"/>
  <c r="KD27" i="39"/>
  <c r="KE27" i="39"/>
  <c r="FY57" i="39"/>
  <c r="KD69" i="39"/>
  <c r="KE69" i="39"/>
  <c r="KD85" i="39"/>
  <c r="KE85" i="39"/>
  <c r="GX94" i="39"/>
  <c r="GY94" i="39"/>
  <c r="GW94" i="39"/>
  <c r="FZ65" i="19"/>
  <c r="FY65" i="19"/>
  <c r="GJ65" i="19"/>
  <c r="KG65" i="19"/>
  <c r="HY42" i="31"/>
  <c r="HZ11" i="34"/>
  <c r="GW15" i="34"/>
  <c r="GZ15" i="34"/>
  <c r="IC30" i="19"/>
  <c r="GW15" i="39"/>
  <c r="GZ15" i="39"/>
  <c r="OV11" i="21"/>
  <c r="OW11" i="21"/>
  <c r="OV44" i="39"/>
  <c r="OW44" i="39"/>
  <c r="IF14" i="35"/>
  <c r="IG14" i="35"/>
  <c r="IC100" i="19"/>
  <c r="IB14" i="35"/>
  <c r="GZ53" i="31"/>
  <c r="HI53" i="31"/>
  <c r="HK53" i="31"/>
  <c r="IC23" i="19"/>
  <c r="HG67" i="35"/>
  <c r="HH67" i="35"/>
  <c r="OH67" i="35"/>
  <c r="GW67" i="19"/>
  <c r="GZ67" i="19"/>
  <c r="HG28" i="39"/>
  <c r="OL44" i="39"/>
  <c r="IC92" i="19"/>
  <c r="II18" i="19"/>
  <c r="IC67" i="19"/>
  <c r="ID67" i="19"/>
  <c r="FY28" i="39"/>
  <c r="GK28" i="39"/>
  <c r="KD89" i="39"/>
  <c r="KE89" i="39"/>
  <c r="KD82" i="39"/>
  <c r="KE82" i="39"/>
  <c r="FY100" i="39"/>
  <c r="FY55" i="39"/>
  <c r="FY107" i="39"/>
  <c r="FY101" i="39"/>
  <c r="GK101" i="39"/>
  <c r="FY63" i="39"/>
  <c r="FY49" i="39"/>
  <c r="GK49" i="39"/>
  <c r="HI92" i="39"/>
  <c r="HG64" i="35"/>
  <c r="OH64" i="35"/>
  <c r="PQ38" i="19"/>
  <c r="PQ126" i="19"/>
  <c r="FY69" i="39"/>
  <c r="KD66" i="39"/>
  <c r="KE66" i="39"/>
  <c r="FY87" i="39"/>
  <c r="GJ87" i="39"/>
  <c r="FY97" i="39"/>
  <c r="GJ97" i="39"/>
  <c r="FZ10" i="35"/>
  <c r="FY10" i="35"/>
  <c r="KG10" i="35"/>
  <c r="KG32" i="21"/>
  <c r="FZ32" i="21"/>
  <c r="FY32" i="21"/>
  <c r="IC45" i="35"/>
  <c r="KD36" i="39"/>
  <c r="KE36" i="39"/>
  <c r="GX23" i="19"/>
  <c r="GY23" i="19"/>
  <c r="HG101" i="19"/>
  <c r="HT101" i="19"/>
  <c r="II26" i="34"/>
  <c r="II15" i="34"/>
  <c r="IH15" i="34"/>
  <c r="GZ26" i="34"/>
  <c r="GX50" i="19"/>
  <c r="GY50" i="19"/>
  <c r="FY36" i="39"/>
  <c r="OV62" i="19"/>
  <c r="OW62" i="19"/>
  <c r="OR42" i="35"/>
  <c r="FY93" i="39"/>
  <c r="GJ93" i="39"/>
  <c r="GX100" i="19"/>
  <c r="GY100" i="19"/>
  <c r="OW44" i="35"/>
  <c r="HT89" i="19"/>
  <c r="OR28" i="39"/>
  <c r="OV28" i="39"/>
  <c r="HT44" i="34"/>
  <c r="HU44" i="34"/>
  <c r="GJ70" i="19"/>
  <c r="II92" i="19"/>
  <c r="IH92" i="19"/>
  <c r="ID75" i="19"/>
  <c r="HW92" i="19"/>
  <c r="HV92" i="19"/>
  <c r="GW100" i="19"/>
  <c r="HI100" i="19"/>
  <c r="OL28" i="39"/>
  <c r="OM28" i="39"/>
  <c r="FY64" i="39"/>
  <c r="IC26" i="34"/>
  <c r="GX52" i="39"/>
  <c r="GY52" i="39"/>
  <c r="OL33" i="19"/>
  <c r="OM33" i="19"/>
  <c r="HG69" i="35"/>
  <c r="HH69" i="35"/>
  <c r="OH69" i="35"/>
  <c r="PG108" i="39"/>
  <c r="IC77" i="19"/>
  <c r="OM43" i="35"/>
  <c r="HW52" i="35"/>
  <c r="HX52" i="35"/>
  <c r="AZ31" i="19"/>
  <c r="HG27" i="39"/>
  <c r="HT27" i="39"/>
  <c r="HG44" i="39"/>
  <c r="HH44" i="39"/>
  <c r="IC46" i="21"/>
  <c r="GX46" i="21"/>
  <c r="GY46" i="21"/>
  <c r="GW46" i="21"/>
  <c r="II46" i="21"/>
  <c r="HT62" i="19"/>
  <c r="HH62" i="19"/>
  <c r="GK87" i="39"/>
  <c r="OH68" i="39"/>
  <c r="HG68" i="39"/>
  <c r="OK89" i="39"/>
  <c r="KD54" i="39"/>
  <c r="KE54" i="39"/>
  <c r="HG90" i="39"/>
  <c r="OH90" i="39"/>
  <c r="KG66" i="39"/>
  <c r="FY38" i="39"/>
  <c r="GJ38" i="39"/>
  <c r="KD55" i="39"/>
  <c r="KE55" i="39"/>
  <c r="KD63" i="39"/>
  <c r="KE63" i="39"/>
  <c r="OR73" i="39"/>
  <c r="OU73" i="39"/>
  <c r="FY14" i="39"/>
  <c r="GJ14" i="39"/>
  <c r="FY39" i="39"/>
  <c r="GK39" i="39"/>
  <c r="KD15" i="39"/>
  <c r="KE15" i="39"/>
  <c r="KD26" i="39"/>
  <c r="KE26" i="39"/>
  <c r="OH95" i="39"/>
  <c r="HG95" i="39"/>
  <c r="IC86" i="39"/>
  <c r="GX91" i="39"/>
  <c r="GY91" i="39"/>
  <c r="OK73" i="39"/>
  <c r="OM73" i="39"/>
  <c r="OV71" i="39"/>
  <c r="KD28" i="39"/>
  <c r="KE28" i="39"/>
  <c r="KD49" i="39"/>
  <c r="KE49" i="39"/>
  <c r="A106" i="39"/>
  <c r="A105" i="39"/>
  <c r="KD56" i="39"/>
  <c r="KE56" i="39"/>
  <c r="KD88" i="39"/>
  <c r="KE88" i="39"/>
  <c r="OH86" i="39"/>
  <c r="HG86" i="39"/>
  <c r="BH108" i="39"/>
  <c r="IB88" i="39"/>
  <c r="ID88" i="39"/>
  <c r="IF88" i="39"/>
  <c r="IC73" i="39"/>
  <c r="II73" i="39"/>
  <c r="OH65" i="39"/>
  <c r="OK65" i="39"/>
  <c r="II86" i="39"/>
  <c r="IL86" i="39"/>
  <c r="II91" i="39"/>
  <c r="IL91" i="39"/>
  <c r="IC28" i="39"/>
  <c r="IB28" i="39"/>
  <c r="BK13" i="39"/>
  <c r="KD87" i="39"/>
  <c r="KE87" i="39"/>
  <c r="OH107" i="39"/>
  <c r="HG107" i="39"/>
  <c r="GX96" i="39"/>
  <c r="GY96" i="39"/>
  <c r="IC96" i="39"/>
  <c r="GW96" i="39"/>
  <c r="II96" i="39"/>
  <c r="KD46" i="39"/>
  <c r="KE46" i="39"/>
  <c r="HG36" i="39"/>
  <c r="HT36" i="39"/>
  <c r="KD98" i="39"/>
  <c r="KE98" i="39"/>
  <c r="GJ75" i="39"/>
  <c r="OH60" i="39"/>
  <c r="OL60" i="39"/>
  <c r="IC91" i="39"/>
  <c r="IB91" i="39"/>
  <c r="GX28" i="39"/>
  <c r="GY28" i="39"/>
  <c r="FY11" i="39"/>
  <c r="GJ11" i="39"/>
  <c r="KD97" i="39"/>
  <c r="KE97" i="39"/>
  <c r="FZ78" i="39"/>
  <c r="FY78" i="39"/>
  <c r="GJ78" i="39"/>
  <c r="KD24" i="39"/>
  <c r="KE24" i="39"/>
  <c r="OH23" i="39"/>
  <c r="HG23" i="39"/>
  <c r="FZ42" i="39"/>
  <c r="FY42" i="39"/>
  <c r="KG42" i="39"/>
  <c r="HT87" i="39"/>
  <c r="HH87" i="39"/>
  <c r="FY44" i="39"/>
  <c r="KD57" i="39"/>
  <c r="KE57" i="39"/>
  <c r="II28" i="39"/>
  <c r="IL28" i="39"/>
  <c r="IK28" i="39"/>
  <c r="BK60" i="39"/>
  <c r="BK108" i="39"/>
  <c r="FY89" i="39"/>
  <c r="GK89" i="39"/>
  <c r="HG75" i="39"/>
  <c r="HT75" i="39"/>
  <c r="HW75" i="39"/>
  <c r="KD92" i="39"/>
  <c r="KE92" i="39"/>
  <c r="OH67" i="39"/>
  <c r="FY82" i="39"/>
  <c r="HG96" i="39"/>
  <c r="OH96" i="39"/>
  <c r="FZ67" i="39"/>
  <c r="FY67" i="39"/>
  <c r="KG67" i="39"/>
  <c r="KG73" i="39"/>
  <c r="FZ73" i="39"/>
  <c r="FY73" i="39"/>
  <c r="FY27" i="39"/>
  <c r="GJ27" i="39"/>
  <c r="FY26" i="39"/>
  <c r="GZ87" i="39"/>
  <c r="HI87" i="39"/>
  <c r="OU77" i="39"/>
  <c r="OW77" i="39"/>
  <c r="HI105" i="39"/>
  <c r="HK105" i="39"/>
  <c r="HG101" i="39"/>
  <c r="OH101" i="39"/>
  <c r="HG39" i="39"/>
  <c r="OH39" i="39"/>
  <c r="OH91" i="39"/>
  <c r="HG91" i="39"/>
  <c r="HI111" i="19"/>
  <c r="HK111" i="19"/>
  <c r="AZ30" i="19"/>
  <c r="OM21" i="35"/>
  <c r="IK112" i="19"/>
  <c r="GX74" i="39"/>
  <c r="GY74" i="39"/>
  <c r="IC74" i="39"/>
  <c r="HH46" i="21"/>
  <c r="HT46" i="21"/>
  <c r="KD34" i="32"/>
  <c r="KE34" i="32"/>
  <c r="OW88" i="19"/>
  <c r="OR50" i="35"/>
  <c r="OL50" i="35"/>
  <c r="OM50" i="35"/>
  <c r="BB60" i="31"/>
  <c r="PI31" i="31"/>
  <c r="PI60" i="31"/>
  <c r="IQ24" i="35"/>
  <c r="IO24" i="35"/>
  <c r="IO69" i="39"/>
  <c r="IQ69" i="39"/>
  <c r="OH41" i="19"/>
  <c r="HG41" i="19"/>
  <c r="IQ30" i="35"/>
  <c r="IO30" i="35"/>
  <c r="OH76" i="39"/>
  <c r="HG76" i="39"/>
  <c r="HT15" i="39"/>
  <c r="HI25" i="19"/>
  <c r="GZ25" i="19"/>
  <c r="ID34" i="34"/>
  <c r="IF34" i="34"/>
  <c r="IB34" i="34"/>
  <c r="HZ12" i="19"/>
  <c r="IA12" i="19"/>
  <c r="HX12" i="19"/>
  <c r="HV12" i="19"/>
  <c r="IG25" i="19"/>
  <c r="IE25" i="19"/>
  <c r="HT80" i="19"/>
  <c r="HQ80" i="19"/>
  <c r="HH80" i="19"/>
  <c r="IC66" i="35"/>
  <c r="ID18" i="22"/>
  <c r="OR13" i="32"/>
  <c r="OU13" i="32"/>
  <c r="AZ26" i="32"/>
  <c r="AZ14" i="32"/>
  <c r="HS94" i="19"/>
  <c r="II54" i="21"/>
  <c r="IJ54" i="21"/>
  <c r="ID58" i="35"/>
  <c r="ID48" i="34"/>
  <c r="GX18" i="34"/>
  <c r="GY18" i="34"/>
  <c r="KK57" i="21"/>
  <c r="IC104" i="19"/>
  <c r="IB104" i="19"/>
  <c r="OK29" i="19"/>
  <c r="II95" i="19"/>
  <c r="GX37" i="21"/>
  <c r="GY37" i="21"/>
  <c r="GW85" i="19"/>
  <c r="HQ53" i="19"/>
  <c r="GW54" i="35"/>
  <c r="OM49" i="35"/>
  <c r="OL71" i="39"/>
  <c r="OM71" i="39"/>
  <c r="GX17" i="19"/>
  <c r="GY17" i="19"/>
  <c r="GX52" i="19"/>
  <c r="GY52" i="19"/>
  <c r="IL27" i="35"/>
  <c r="IM27" i="35"/>
  <c r="IF52" i="19"/>
  <c r="IG52" i="19"/>
  <c r="AZ101" i="19"/>
  <c r="II25" i="19"/>
  <c r="IJ25" i="19"/>
  <c r="HT11" i="19"/>
  <c r="HW11" i="19"/>
  <c r="GK40" i="19"/>
  <c r="IB37" i="35"/>
  <c r="GX68" i="19"/>
  <c r="GY68" i="19"/>
  <c r="AZ23" i="19"/>
  <c r="OH64" i="19"/>
  <c r="HG64" i="19"/>
  <c r="OK19" i="32"/>
  <c r="OL19" i="32"/>
  <c r="IF58" i="35"/>
  <c r="IG58" i="35"/>
  <c r="HW22" i="19"/>
  <c r="GJ56" i="19"/>
  <c r="II37" i="35"/>
  <c r="IL37" i="35"/>
  <c r="GJ26" i="35"/>
  <c r="II48" i="34"/>
  <c r="IL48" i="34"/>
  <c r="HV11" i="34"/>
  <c r="II49" i="35"/>
  <c r="IJ49" i="35"/>
  <c r="GK17" i="34"/>
  <c r="HT45" i="34"/>
  <c r="HW75" i="19"/>
  <c r="HV75" i="19"/>
  <c r="II21" i="19"/>
  <c r="IH21" i="19"/>
  <c r="OM22" i="34"/>
  <c r="GX53" i="19"/>
  <c r="GY53" i="19"/>
  <c r="OM27" i="19"/>
  <c r="IE43" i="19"/>
  <c r="HI82" i="19"/>
  <c r="OU63" i="19"/>
  <c r="IB107" i="39"/>
  <c r="HW25" i="21"/>
  <c r="HZ25" i="21"/>
  <c r="IC54" i="35"/>
  <c r="ID54" i="35"/>
  <c r="GX90" i="19"/>
  <c r="GY90" i="19"/>
  <c r="IL33" i="19"/>
  <c r="OK80" i="19"/>
  <c r="GX34" i="34"/>
  <c r="GY34" i="34"/>
  <c r="ID37" i="35"/>
  <c r="II87" i="19"/>
  <c r="IL87" i="19"/>
  <c r="HQ90" i="19"/>
  <c r="HR90" i="19"/>
  <c r="HT12" i="35"/>
  <c r="HS12" i="35"/>
  <c r="HT107" i="19"/>
  <c r="OV45" i="34"/>
  <c r="OW45" i="34"/>
  <c r="HG99" i="19"/>
  <c r="HT99" i="19"/>
  <c r="AZ46" i="19"/>
  <c r="GX65" i="19"/>
  <c r="GY65" i="19"/>
  <c r="IC49" i="19"/>
  <c r="OH38" i="39"/>
  <c r="HG38" i="39"/>
  <c r="OV16" i="19"/>
  <c r="OW16" i="19"/>
  <c r="IL19" i="22"/>
  <c r="IM19" i="22"/>
  <c r="II66" i="35"/>
  <c r="IH19" i="22"/>
  <c r="OR19" i="32"/>
  <c r="GX37" i="35"/>
  <c r="GY37" i="35"/>
  <c r="GW48" i="34"/>
  <c r="GZ48" i="34"/>
  <c r="HI49" i="35"/>
  <c r="HQ74" i="19"/>
  <c r="HR74" i="19"/>
  <c r="GX49" i="35"/>
  <c r="GY49" i="35"/>
  <c r="GW59" i="34"/>
  <c r="KJ67" i="34"/>
  <c r="HT14" i="21"/>
  <c r="HU14" i="21"/>
  <c r="GX21" i="19"/>
  <c r="GY21" i="19"/>
  <c r="IJ29" i="35"/>
  <c r="HQ118" i="19"/>
  <c r="HP118" i="19"/>
  <c r="GW53" i="19"/>
  <c r="HI53" i="19"/>
  <c r="HU25" i="21"/>
  <c r="KN57" i="21"/>
  <c r="OU17" i="35"/>
  <c r="OW17" i="35"/>
  <c r="IQ102" i="19"/>
  <c r="II90" i="19"/>
  <c r="IH90" i="19"/>
  <c r="IJ33" i="19"/>
  <c r="II34" i="34"/>
  <c r="IL34" i="34"/>
  <c r="IF11" i="34"/>
  <c r="IE11" i="34"/>
  <c r="GZ104" i="19"/>
  <c r="GX50" i="34"/>
  <c r="GY50" i="34"/>
  <c r="OL80" i="19"/>
  <c r="HQ81" i="19"/>
  <c r="HR81" i="19"/>
  <c r="OV25" i="35"/>
  <c r="OW25" i="35"/>
  <c r="HH40" i="19"/>
  <c r="GW34" i="34"/>
  <c r="II17" i="19"/>
  <c r="KD39" i="21"/>
  <c r="KE39" i="21"/>
  <c r="JP71" i="35"/>
  <c r="OK28" i="35"/>
  <c r="OL28" i="35"/>
  <c r="HG77" i="19"/>
  <c r="OH77" i="19"/>
  <c r="OH102" i="19"/>
  <c r="HG102" i="19"/>
  <c r="OL53" i="34"/>
  <c r="II52" i="19"/>
  <c r="IB52" i="19"/>
  <c r="FY11" i="22"/>
  <c r="GK11" i="22"/>
  <c r="GW37" i="35"/>
  <c r="GZ37" i="35"/>
  <c r="GX27" i="21"/>
  <c r="GY27" i="21"/>
  <c r="HQ17" i="19"/>
  <c r="HR17" i="19"/>
  <c r="HW74" i="19"/>
  <c r="HV74" i="19"/>
  <c r="HW49" i="35"/>
  <c r="GK27" i="34"/>
  <c r="GX59" i="34"/>
  <c r="GY59" i="34"/>
  <c r="KD118" i="19"/>
  <c r="KE118" i="19"/>
  <c r="IC30" i="35"/>
  <c r="IF30" i="35"/>
  <c r="IL29" i="35"/>
  <c r="KD72" i="39"/>
  <c r="KE72" i="39"/>
  <c r="IC53" i="19"/>
  <c r="IF53" i="19"/>
  <c r="OO57" i="21"/>
  <c r="FY41" i="39"/>
  <c r="GJ41" i="39"/>
  <c r="OV12" i="35"/>
  <c r="OW12" i="35"/>
  <c r="OK31" i="35"/>
  <c r="OM31" i="35"/>
  <c r="IF107" i="39"/>
  <c r="IE107" i="39"/>
  <c r="IL53" i="19"/>
  <c r="IK53" i="19"/>
  <c r="HG71" i="39"/>
  <c r="HT71" i="39"/>
  <c r="HS71" i="39"/>
  <c r="IL49" i="19"/>
  <c r="ID68" i="19"/>
  <c r="GX74" i="19"/>
  <c r="GY74" i="19"/>
  <c r="IC27" i="35"/>
  <c r="ID27" i="35"/>
  <c r="HI74" i="19"/>
  <c r="HK74" i="19"/>
  <c r="BK13" i="33"/>
  <c r="OU32" i="35"/>
  <c r="OW32" i="35"/>
  <c r="II68" i="19"/>
  <c r="IJ68" i="19"/>
  <c r="HW17" i="19"/>
  <c r="IC21" i="35"/>
  <c r="IF21" i="35"/>
  <c r="IC82" i="19"/>
  <c r="GW18" i="34"/>
  <c r="HI18" i="34"/>
  <c r="IQ23" i="35"/>
  <c r="IO23" i="35"/>
  <c r="AZ18" i="19"/>
  <c r="HW60" i="19"/>
  <c r="HZ60" i="19"/>
  <c r="OL58" i="35"/>
  <c r="OM58" i="35"/>
  <c r="GJ96" i="19"/>
  <c r="HU40" i="19"/>
  <c r="IG17" i="19"/>
  <c r="OH64" i="39"/>
  <c r="GX30" i="35"/>
  <c r="GY30" i="35"/>
  <c r="II85" i="19"/>
  <c r="IL85" i="19"/>
  <c r="GP59" i="21"/>
  <c r="IE37" i="35"/>
  <c r="OM96" i="19"/>
  <c r="IJ53" i="19"/>
  <c r="IB18" i="34"/>
  <c r="IE18" i="34"/>
  <c r="IC65" i="19"/>
  <c r="ID65" i="19"/>
  <c r="HT89" i="39"/>
  <c r="HU89" i="39"/>
  <c r="IC74" i="19"/>
  <c r="ID74" i="19"/>
  <c r="GW27" i="35"/>
  <c r="GZ27" i="35"/>
  <c r="HT103" i="19"/>
  <c r="HW103" i="19"/>
  <c r="HW31" i="35"/>
  <c r="HV31" i="35"/>
  <c r="GX48" i="34"/>
  <c r="GY48" i="34"/>
  <c r="GW25" i="35"/>
  <c r="GX82" i="19"/>
  <c r="GY82" i="19"/>
  <c r="GX25" i="19"/>
  <c r="GY25" i="19"/>
  <c r="GS128" i="19"/>
  <c r="IJ49" i="19"/>
  <c r="OK88" i="19"/>
  <c r="OM88" i="19"/>
  <c r="OH27" i="34"/>
  <c r="HG27" i="34"/>
  <c r="HT123" i="19"/>
  <c r="HQ123" i="19"/>
  <c r="HH123" i="19"/>
  <c r="IL46" i="19"/>
  <c r="IJ46" i="19"/>
  <c r="IB21" i="22"/>
  <c r="GX28" i="22"/>
  <c r="GY28" i="22"/>
  <c r="IG110" i="19"/>
  <c r="GZ58" i="34"/>
  <c r="HS44" i="34"/>
  <c r="GW68" i="35"/>
  <c r="AZ25" i="19"/>
  <c r="HI68" i="19"/>
  <c r="HK68" i="19"/>
  <c r="HQ37" i="35"/>
  <c r="HP37" i="35"/>
  <c r="ID17" i="19"/>
  <c r="OR81" i="19"/>
  <c r="ID18" i="34"/>
  <c r="GK100" i="19"/>
  <c r="IF68" i="19"/>
  <c r="IG68" i="19"/>
  <c r="II74" i="19"/>
  <c r="IH74" i="19"/>
  <c r="HW53" i="19"/>
  <c r="HW27" i="35"/>
  <c r="HV27" i="35"/>
  <c r="GX27" i="35"/>
  <c r="GY27" i="35"/>
  <c r="II82" i="19"/>
  <c r="IH82" i="19"/>
  <c r="GW49" i="19"/>
  <c r="OH52" i="19"/>
  <c r="HG52" i="19"/>
  <c r="IQ34" i="35"/>
  <c r="IO34" i="35"/>
  <c r="HZ54" i="19"/>
  <c r="HV54" i="19"/>
  <c r="IC16" i="22"/>
  <c r="ID16" i="22"/>
  <c r="GX16" i="22"/>
  <c r="GY16" i="22"/>
  <c r="GW10" i="22"/>
  <c r="GZ10" i="22"/>
  <c r="II10" i="22"/>
  <c r="IL10" i="22"/>
  <c r="HG52" i="39"/>
  <c r="HH52" i="39"/>
  <c r="OH52" i="39"/>
  <c r="OR52" i="39"/>
  <c r="OL87" i="19"/>
  <c r="OR87" i="19"/>
  <c r="OU87" i="19"/>
  <c r="OK87" i="19"/>
  <c r="HT17" i="35"/>
  <c r="HQ17" i="35"/>
  <c r="HH17" i="35"/>
  <c r="IF18" i="35"/>
  <c r="ID18" i="35"/>
  <c r="GJ9" i="39"/>
  <c r="GK9" i="39"/>
  <c r="HW81" i="19"/>
  <c r="II10" i="33"/>
  <c r="IL10" i="33"/>
  <c r="IC10" i="33"/>
  <c r="IF10" i="33"/>
  <c r="GW10" i="33"/>
  <c r="HU17" i="21"/>
  <c r="HS17" i="21"/>
  <c r="FY9" i="22"/>
  <c r="GK9" i="22"/>
  <c r="OU19" i="21"/>
  <c r="IC68" i="35"/>
  <c r="IF68" i="35"/>
  <c r="IG109" i="19"/>
  <c r="IE109" i="19"/>
  <c r="OU92" i="19"/>
  <c r="OV92" i="19"/>
  <c r="IO48" i="19"/>
  <c r="IQ48" i="19"/>
  <c r="GW9" i="33"/>
  <c r="II9" i="33"/>
  <c r="IC9" i="33"/>
  <c r="IF9" i="33"/>
  <c r="GX9" i="33"/>
  <c r="GY9" i="33"/>
  <c r="GW19" i="35"/>
  <c r="HI19" i="35"/>
  <c r="GX19" i="35"/>
  <c r="GY19" i="35"/>
  <c r="GW69" i="19"/>
  <c r="GX69" i="19"/>
  <c r="GY69" i="19"/>
  <c r="HZ36" i="19"/>
  <c r="HV36" i="19"/>
  <c r="GJ42" i="21"/>
  <c r="GK42" i="21"/>
  <c r="GX10" i="22"/>
  <c r="GY10" i="22"/>
  <c r="ID48" i="31"/>
  <c r="IB48" i="31"/>
  <c r="HU52" i="35"/>
  <c r="HS52" i="35"/>
  <c r="IL97" i="39"/>
  <c r="IM97" i="39"/>
  <c r="IH97" i="39"/>
  <c r="IJ97" i="39"/>
  <c r="GW32" i="34"/>
  <c r="GZ32" i="34"/>
  <c r="GX32" i="34"/>
  <c r="GY32" i="34"/>
  <c r="GW18" i="35"/>
  <c r="II18" i="35"/>
  <c r="GX18" i="35"/>
  <c r="GY18" i="35"/>
  <c r="HS30" i="19"/>
  <c r="HU30" i="19"/>
  <c r="OR53" i="19"/>
  <c r="OL53" i="19"/>
  <c r="OK53" i="19"/>
  <c r="OV21" i="35"/>
  <c r="OU21" i="35"/>
  <c r="GX68" i="35"/>
  <c r="GY68" i="35"/>
  <c r="GK29" i="21"/>
  <c r="GJ29" i="21"/>
  <c r="OU94" i="19"/>
  <c r="OV94" i="19"/>
  <c r="IJ27" i="19"/>
  <c r="IL27" i="19"/>
  <c r="IK27" i="19"/>
  <c r="IH27" i="19"/>
  <c r="GJ62" i="39"/>
  <c r="GK62" i="39"/>
  <c r="GJ58" i="19"/>
  <c r="GK58" i="19"/>
  <c r="HH30" i="19"/>
  <c r="GZ17" i="19"/>
  <c r="HI17" i="19"/>
  <c r="GZ18" i="34"/>
  <c r="HG16" i="35"/>
  <c r="OH16" i="35"/>
  <c r="FZ92" i="19"/>
  <c r="FY92" i="19"/>
  <c r="GJ92" i="19"/>
  <c r="KG92" i="19"/>
  <c r="KD47" i="21"/>
  <c r="KE47" i="21"/>
  <c r="FY47" i="21"/>
  <c r="KD77" i="39"/>
  <c r="KE77" i="39"/>
  <c r="FY77" i="39"/>
  <c r="KG85" i="39"/>
  <c r="FZ85" i="39"/>
  <c r="FY85" i="39"/>
  <c r="GK85" i="39"/>
  <c r="HI16" i="35"/>
  <c r="GZ16" i="35"/>
  <c r="IH77" i="19"/>
  <c r="IJ77" i="19"/>
  <c r="IL77" i="19"/>
  <c r="GZ18" i="39"/>
  <c r="HI18" i="39"/>
  <c r="HS21" i="21"/>
  <c r="HU21" i="21"/>
  <c r="IC119" i="19"/>
  <c r="IF119" i="19"/>
  <c r="IG119" i="19"/>
  <c r="II119" i="19"/>
  <c r="IL119" i="19"/>
  <c r="IB18" i="35"/>
  <c r="KD40" i="35"/>
  <c r="KE40" i="35"/>
  <c r="FY40" i="35"/>
  <c r="GJ40" i="35"/>
  <c r="GW45" i="39"/>
  <c r="II45" i="39"/>
  <c r="IH45" i="39"/>
  <c r="IC45" i="39"/>
  <c r="IF45" i="39"/>
  <c r="GX45" i="39"/>
  <c r="GY45" i="39"/>
  <c r="GZ59" i="19"/>
  <c r="HI59" i="19"/>
  <c r="IQ19" i="35"/>
  <c r="IO19" i="35"/>
  <c r="AZ34" i="32"/>
  <c r="OK58" i="19"/>
  <c r="OM58" i="19"/>
  <c r="OK16" i="19"/>
  <c r="OV14" i="21"/>
  <c r="HX32" i="35"/>
  <c r="OV47" i="34"/>
  <c r="OW47" i="34"/>
  <c r="FY53" i="39"/>
  <c r="GK53" i="39"/>
  <c r="GX77" i="19"/>
  <c r="GY77" i="19"/>
  <c r="II12" i="35"/>
  <c r="IL12" i="35"/>
  <c r="KD21" i="21"/>
  <c r="KE21" i="21"/>
  <c r="FY21" i="21"/>
  <c r="FZ28" i="21"/>
  <c r="FY28" i="21"/>
  <c r="KG28" i="21"/>
  <c r="HV9" i="34"/>
  <c r="KK29" i="22"/>
  <c r="GX17" i="35"/>
  <c r="GY17" i="35"/>
  <c r="HU111" i="19"/>
  <c r="HZ94" i="19"/>
  <c r="OL16" i="19"/>
  <c r="HX9" i="34"/>
  <c r="HU60" i="19"/>
  <c r="II70" i="19"/>
  <c r="IL70" i="19"/>
  <c r="GJ49" i="19"/>
  <c r="IK27" i="35"/>
  <c r="KG35" i="19"/>
  <c r="IC97" i="19"/>
  <c r="ID97" i="19"/>
  <c r="HX21" i="35"/>
  <c r="HK47" i="21"/>
  <c r="GJ74" i="39"/>
  <c r="II21" i="21"/>
  <c r="IH21" i="21"/>
  <c r="HV32" i="35"/>
  <c r="IF67" i="19"/>
  <c r="IE67" i="19"/>
  <c r="HT11" i="21"/>
  <c r="HS11" i="21"/>
  <c r="II73" i="19"/>
  <c r="HU81" i="19"/>
  <c r="HH31" i="39"/>
  <c r="II50" i="34"/>
  <c r="IJ50" i="34"/>
  <c r="GW77" i="19"/>
  <c r="HI77" i="19"/>
  <c r="PO108" i="39"/>
  <c r="HU94" i="19"/>
  <c r="II43" i="35"/>
  <c r="IL43" i="35"/>
  <c r="GJ49" i="34"/>
  <c r="IL37" i="19"/>
  <c r="IM37" i="19"/>
  <c r="HT57" i="35"/>
  <c r="HW57" i="35"/>
  <c r="IC50" i="34"/>
  <c r="IF50" i="34"/>
  <c r="IG50" i="34"/>
  <c r="OM47" i="39"/>
  <c r="OM71" i="19"/>
  <c r="HT28" i="35"/>
  <c r="HH28" i="35"/>
  <c r="HH21" i="35"/>
  <c r="HT21" i="35"/>
  <c r="II17" i="35"/>
  <c r="IH17" i="35"/>
  <c r="HH99" i="19"/>
  <c r="HQ111" i="19"/>
  <c r="HP111" i="19"/>
  <c r="HX94" i="19"/>
  <c r="OW21" i="32"/>
  <c r="GX91" i="19"/>
  <c r="GY91" i="19"/>
  <c r="IC49" i="39"/>
  <c r="IF49" i="39"/>
  <c r="OW33" i="35"/>
  <c r="HZ21" i="35"/>
  <c r="IA21" i="35"/>
  <c r="GK21" i="19"/>
  <c r="IC36" i="39"/>
  <c r="IF36" i="39"/>
  <c r="FZ13" i="33"/>
  <c r="IB67" i="19"/>
  <c r="GX73" i="19"/>
  <c r="GY73" i="19"/>
  <c r="GJ94" i="19"/>
  <c r="IJ30" i="19"/>
  <c r="GW23" i="39"/>
  <c r="GZ23" i="39"/>
  <c r="HW27" i="19"/>
  <c r="HZ27" i="19"/>
  <c r="IH37" i="19"/>
  <c r="IQ30" i="34"/>
  <c r="KD40" i="21"/>
  <c r="KE40" i="21"/>
  <c r="FY40" i="21"/>
  <c r="GA12" i="21"/>
  <c r="KH12" i="21"/>
  <c r="OM77" i="39"/>
  <c r="HT78" i="19"/>
  <c r="HQ78" i="19"/>
  <c r="HR78" i="19"/>
  <c r="HH78" i="19"/>
  <c r="IP70" i="35"/>
  <c r="IP72" i="35"/>
  <c r="GW17" i="35"/>
  <c r="GZ17" i="35"/>
  <c r="OV27" i="19"/>
  <c r="OW27" i="19"/>
  <c r="HQ33" i="35"/>
  <c r="HR33" i="35"/>
  <c r="ID17" i="34"/>
  <c r="OU66" i="19"/>
  <c r="OM29" i="21"/>
  <c r="GP128" i="19"/>
  <c r="OU80" i="19"/>
  <c r="OW80" i="19"/>
  <c r="HI36" i="39"/>
  <c r="GX36" i="39"/>
  <c r="GY36" i="39"/>
  <c r="HQ37" i="21"/>
  <c r="HR37" i="21"/>
  <c r="IB16" i="35"/>
  <c r="IC73" i="19"/>
  <c r="IF73" i="19"/>
  <c r="HS81" i="19"/>
  <c r="HW80" i="19"/>
  <c r="HH19" i="21"/>
  <c r="HQ27" i="19"/>
  <c r="HP27" i="19"/>
  <c r="GK20" i="35"/>
  <c r="IL30" i="19"/>
  <c r="KD9" i="39"/>
  <c r="KE9" i="39"/>
  <c r="GZ33" i="19"/>
  <c r="HK33" i="19"/>
  <c r="II11" i="34"/>
  <c r="OH86" i="19"/>
  <c r="HG86" i="19"/>
  <c r="HG59" i="39"/>
  <c r="OH59" i="39"/>
  <c r="OH39" i="19"/>
  <c r="HG39" i="19"/>
  <c r="GW39" i="35"/>
  <c r="HI39" i="35"/>
  <c r="GZ97" i="39"/>
  <c r="GW33" i="35"/>
  <c r="GZ33" i="35"/>
  <c r="IF17" i="34"/>
  <c r="IG17" i="34"/>
  <c r="HP36" i="19"/>
  <c r="GW30" i="19"/>
  <c r="GW97" i="19"/>
  <c r="GZ58" i="19"/>
  <c r="II36" i="39"/>
  <c r="IJ36" i="39"/>
  <c r="IB57" i="35"/>
  <c r="ID17" i="35"/>
  <c r="ID16" i="35"/>
  <c r="II29" i="19"/>
  <c r="OV53" i="35"/>
  <c r="OW53" i="35"/>
  <c r="HW59" i="35"/>
  <c r="HV59" i="35"/>
  <c r="IC31" i="19"/>
  <c r="IF31" i="19"/>
  <c r="IE31" i="19"/>
  <c r="II57" i="35"/>
  <c r="IL57" i="35"/>
  <c r="OR36" i="19"/>
  <c r="OV36" i="19"/>
  <c r="GW11" i="34"/>
  <c r="HH61" i="19"/>
  <c r="HT61" i="19"/>
  <c r="OH23" i="35"/>
  <c r="HG23" i="35"/>
  <c r="GJ59" i="19"/>
  <c r="GK59" i="19"/>
  <c r="EB13" i="33"/>
  <c r="IC39" i="35"/>
  <c r="HS42" i="35"/>
  <c r="HQ60" i="19"/>
  <c r="HP60" i="19"/>
  <c r="II17" i="34"/>
  <c r="IH17" i="34"/>
  <c r="GX33" i="35"/>
  <c r="GY33" i="35"/>
  <c r="OO67" i="34"/>
  <c r="GJ48" i="21"/>
  <c r="GX30" i="19"/>
  <c r="GY30" i="19"/>
  <c r="GJ12" i="35"/>
  <c r="II97" i="19"/>
  <c r="IL97" i="19"/>
  <c r="IK94" i="39"/>
  <c r="OL17" i="19"/>
  <c r="OM17" i="19"/>
  <c r="HI27" i="19"/>
  <c r="HK27" i="19"/>
  <c r="FY27" i="19"/>
  <c r="GJ27" i="19"/>
  <c r="HW100" i="19"/>
  <c r="IB20" i="35"/>
  <c r="JC13" i="33"/>
  <c r="JC15" i="33"/>
  <c r="IF58" i="19"/>
  <c r="IG58" i="19"/>
  <c r="GJ82" i="19"/>
  <c r="OK79" i="19"/>
  <c r="OM79" i="19"/>
  <c r="OW35" i="19"/>
  <c r="GW31" i="19"/>
  <c r="GZ31" i="19"/>
  <c r="GX57" i="35"/>
  <c r="GY57" i="35"/>
  <c r="IC25" i="35"/>
  <c r="GX25" i="35"/>
  <c r="GY25" i="35"/>
  <c r="IG21" i="35"/>
  <c r="IE21" i="35"/>
  <c r="IC11" i="19"/>
  <c r="IF11" i="19"/>
  <c r="II11" i="19"/>
  <c r="GX11" i="19"/>
  <c r="GY11" i="19"/>
  <c r="GW11" i="19"/>
  <c r="GZ11" i="19"/>
  <c r="IJ44" i="31"/>
  <c r="GJ43" i="35"/>
  <c r="GK86" i="19"/>
  <c r="IJ33" i="32"/>
  <c r="IL44" i="31"/>
  <c r="IM44" i="31"/>
  <c r="HU27" i="21"/>
  <c r="IB38" i="39"/>
  <c r="GW40" i="19"/>
  <c r="HI40" i="19"/>
  <c r="IL60" i="19"/>
  <c r="IM60" i="19"/>
  <c r="FY31" i="21"/>
  <c r="GJ31" i="21"/>
  <c r="GK76" i="19"/>
  <c r="HT16" i="19"/>
  <c r="HW16" i="19"/>
  <c r="HX16" i="19"/>
  <c r="IE52" i="19"/>
  <c r="II78" i="19"/>
  <c r="IL78" i="19"/>
  <c r="II66" i="19"/>
  <c r="HW30" i="19"/>
  <c r="IC43" i="35"/>
  <c r="ID43" i="35"/>
  <c r="HQ30" i="19"/>
  <c r="IC69" i="19"/>
  <c r="IC27" i="19"/>
  <c r="GX27" i="19"/>
  <c r="GY27" i="19"/>
  <c r="HH18" i="39"/>
  <c r="HT18" i="39"/>
  <c r="IL82" i="19"/>
  <c r="IH33" i="32"/>
  <c r="IH49" i="31"/>
  <c r="IC17" i="31"/>
  <c r="ID17" i="31"/>
  <c r="GW16" i="19"/>
  <c r="OV74" i="19"/>
  <c r="OW74" i="19"/>
  <c r="HH79" i="19"/>
  <c r="HQ59" i="35"/>
  <c r="HR59" i="35"/>
  <c r="ID57" i="19"/>
  <c r="HQ52" i="35"/>
  <c r="HP52" i="35"/>
  <c r="GX66" i="19"/>
  <c r="GY66" i="19"/>
  <c r="GW21" i="35"/>
  <c r="GZ21" i="35"/>
  <c r="HI21" i="35"/>
  <c r="ID11" i="34"/>
  <c r="FZ30" i="34"/>
  <c r="FY30" i="34"/>
  <c r="KG30" i="34"/>
  <c r="IL49" i="31"/>
  <c r="IK49" i="31"/>
  <c r="KD24" i="32"/>
  <c r="KE24" i="32"/>
  <c r="KD16" i="32"/>
  <c r="KE16" i="32"/>
  <c r="GJ32" i="35"/>
  <c r="IE17" i="39"/>
  <c r="IF71" i="19"/>
  <c r="IE71" i="19"/>
  <c r="OK12" i="19"/>
  <c r="OM12" i="19"/>
  <c r="HG83" i="39"/>
  <c r="IF57" i="19"/>
  <c r="IE57" i="19"/>
  <c r="GZ78" i="19"/>
  <c r="HW13" i="33"/>
  <c r="HW15" i="33"/>
  <c r="GJ81" i="19"/>
  <c r="GZ17" i="39"/>
  <c r="II71" i="19"/>
  <c r="OM13" i="19"/>
  <c r="II84" i="19"/>
  <c r="GW84" i="19"/>
  <c r="GX84" i="19"/>
  <c r="GY84" i="19"/>
  <c r="IC84" i="19"/>
  <c r="IO103" i="19"/>
  <c r="IQ103" i="19"/>
  <c r="HV32" i="31"/>
  <c r="HH12" i="22"/>
  <c r="IG19" i="22"/>
  <c r="ID71" i="19"/>
  <c r="OR12" i="19"/>
  <c r="OV12" i="19"/>
  <c r="IB12" i="34"/>
  <c r="HH87" i="19"/>
  <c r="AZ28" i="19"/>
  <c r="IF33" i="19"/>
  <c r="IE33" i="19"/>
  <c r="HQ15" i="21"/>
  <c r="HR15" i="21"/>
  <c r="OM27" i="39"/>
  <c r="GK39" i="21"/>
  <c r="GW71" i="19"/>
  <c r="HI71" i="19"/>
  <c r="GJ18" i="35"/>
  <c r="GZ57" i="19"/>
  <c r="OM76" i="19"/>
  <c r="OR71" i="19"/>
  <c r="IC105" i="19"/>
  <c r="GW105" i="19"/>
  <c r="GX105" i="19"/>
  <c r="GY105" i="19"/>
  <c r="II105" i="19"/>
  <c r="GW76" i="19"/>
  <c r="GX76" i="19"/>
  <c r="GY76" i="19"/>
  <c r="IC76" i="19"/>
  <c r="II76" i="19"/>
  <c r="OH85" i="39"/>
  <c r="HG85" i="39"/>
  <c r="IB25" i="19"/>
  <c r="ID25" i="19"/>
  <c r="IQ22" i="19"/>
  <c r="IO22" i="19"/>
  <c r="IQ35" i="19"/>
  <c r="IO35" i="19"/>
  <c r="GZ58" i="31"/>
  <c r="GX33" i="32"/>
  <c r="GY33" i="32"/>
  <c r="GZ33" i="32"/>
  <c r="HI33" i="32"/>
  <c r="IC33" i="32"/>
  <c r="ID33" i="32"/>
  <c r="HT27" i="22"/>
  <c r="IH30" i="31"/>
  <c r="JO13" i="33"/>
  <c r="OV31" i="35"/>
  <c r="OW31" i="35"/>
  <c r="IB33" i="19"/>
  <c r="IH43" i="35"/>
  <c r="GX71" i="19"/>
  <c r="GY71" i="19"/>
  <c r="IL79" i="19"/>
  <c r="IK79" i="19"/>
  <c r="II21" i="35"/>
  <c r="II102" i="19"/>
  <c r="GW102" i="19"/>
  <c r="HG66" i="39"/>
  <c r="OH66" i="39"/>
  <c r="PQ13" i="21"/>
  <c r="PQ57" i="21"/>
  <c r="HI94" i="19"/>
  <c r="GZ94" i="19"/>
  <c r="GW96" i="19"/>
  <c r="GX96" i="19"/>
  <c r="GY96" i="19"/>
  <c r="II96" i="19"/>
  <c r="IC96" i="19"/>
  <c r="FZ34" i="21"/>
  <c r="FY34" i="21"/>
  <c r="KG34" i="21"/>
  <c r="HZ32" i="31"/>
  <c r="HY32" i="31"/>
  <c r="KD27" i="31"/>
  <c r="KE27" i="31"/>
  <c r="AZ22" i="32"/>
  <c r="GW38" i="39"/>
  <c r="KI70" i="35"/>
  <c r="OM29" i="19"/>
  <c r="IH60" i="19"/>
  <c r="OK81" i="19"/>
  <c r="OM81" i="19"/>
  <c r="IC78" i="19"/>
  <c r="IB78" i="19"/>
  <c r="GZ66" i="19"/>
  <c r="HK66" i="19"/>
  <c r="OR30" i="21"/>
  <c r="OL30" i="21"/>
  <c r="OM30" i="21"/>
  <c r="HX12" i="34"/>
  <c r="HZ12" i="34"/>
  <c r="II19" i="35"/>
  <c r="IC19" i="35"/>
  <c r="FZ22" i="34"/>
  <c r="FY22" i="34"/>
  <c r="CQ22" i="34"/>
  <c r="IL104" i="19"/>
  <c r="IH104" i="19"/>
  <c r="IJ25" i="35"/>
  <c r="IL25" i="35"/>
  <c r="IH25" i="35"/>
  <c r="OV84" i="19"/>
  <c r="OW84" i="19"/>
  <c r="GZ21" i="22"/>
  <c r="HI21" i="22"/>
  <c r="GX78" i="19"/>
  <c r="GY78" i="19"/>
  <c r="HX36" i="19"/>
  <c r="II69" i="19"/>
  <c r="IC12" i="35"/>
  <c r="GW12" i="35"/>
  <c r="OR18" i="39"/>
  <c r="OL18" i="39"/>
  <c r="OK18" i="39"/>
  <c r="IO98" i="19"/>
  <c r="IQ98" i="19"/>
  <c r="IQ12" i="19"/>
  <c r="IQ126" i="19"/>
  <c r="IO12" i="19"/>
  <c r="ID24" i="22"/>
  <c r="IB24" i="22"/>
  <c r="IG24" i="22"/>
  <c r="IF53" i="31"/>
  <c r="IE53" i="31"/>
  <c r="ID53" i="31"/>
  <c r="GJ22" i="19"/>
  <c r="GK22" i="19"/>
  <c r="HX33" i="35"/>
  <c r="HZ33" i="35"/>
  <c r="IA33" i="35"/>
  <c r="HV33" i="35"/>
  <c r="HQ15" i="35"/>
  <c r="HR15" i="35"/>
  <c r="HV10" i="33"/>
  <c r="HZ10" i="33"/>
  <c r="II82" i="39"/>
  <c r="GX82" i="39"/>
  <c r="GY82" i="39"/>
  <c r="IC82" i="39"/>
  <c r="GW82" i="39"/>
  <c r="IL56" i="39"/>
  <c r="IH56" i="39"/>
  <c r="IJ56" i="39"/>
  <c r="HQ20" i="22"/>
  <c r="HP20" i="22"/>
  <c r="IL23" i="31"/>
  <c r="AZ21" i="32"/>
  <c r="HH43" i="35"/>
  <c r="HT43" i="35"/>
  <c r="HW43" i="35"/>
  <c r="HH40" i="21"/>
  <c r="HT40" i="21"/>
  <c r="IO17" i="19"/>
  <c r="IQ17" i="19"/>
  <c r="II33" i="39"/>
  <c r="IC33" i="39"/>
  <c r="GX33" i="39"/>
  <c r="GY33" i="39"/>
  <c r="GW33" i="39"/>
  <c r="GZ35" i="35"/>
  <c r="HI35" i="35"/>
  <c r="GX35" i="31"/>
  <c r="GY35" i="31"/>
  <c r="HU13" i="32"/>
  <c r="GJ42" i="35"/>
  <c r="GK37" i="35"/>
  <c r="PK70" i="35"/>
  <c r="FY14" i="22"/>
  <c r="GJ14" i="22"/>
  <c r="GJ16" i="19"/>
  <c r="IC66" i="19"/>
  <c r="HH71" i="19"/>
  <c r="HT71" i="19"/>
  <c r="FY28" i="31"/>
  <c r="GJ28" i="31"/>
  <c r="GW35" i="31"/>
  <c r="FY24" i="34"/>
  <c r="GJ24" i="34"/>
  <c r="GX69" i="39"/>
  <c r="GY69" i="39"/>
  <c r="GK97" i="19"/>
  <c r="HI28" i="39"/>
  <c r="IF48" i="19"/>
  <c r="IE48" i="19"/>
  <c r="IQ11" i="21"/>
  <c r="IO11" i="21"/>
  <c r="ID21" i="35"/>
  <c r="IB21" i="35"/>
  <c r="II35" i="31"/>
  <c r="IJ35" i="31"/>
  <c r="GC57" i="21"/>
  <c r="II69" i="39"/>
  <c r="IJ69" i="39"/>
  <c r="HS9" i="33"/>
  <c r="HK60" i="19"/>
  <c r="ID48" i="19"/>
  <c r="OM30" i="19"/>
  <c r="HU48" i="39"/>
  <c r="HS48" i="39"/>
  <c r="IC23" i="31"/>
  <c r="ID23" i="31"/>
  <c r="IC69" i="39"/>
  <c r="IB69" i="39"/>
  <c r="IC28" i="21"/>
  <c r="IB28" i="21"/>
  <c r="IE18" i="19"/>
  <c r="IG18" i="19"/>
  <c r="KL57" i="21"/>
  <c r="IC23" i="39"/>
  <c r="GX23" i="39"/>
  <c r="GY23" i="39"/>
  <c r="HX24" i="35"/>
  <c r="HV24" i="35"/>
  <c r="HZ24" i="35"/>
  <c r="GZ75" i="19"/>
  <c r="HI75" i="19"/>
  <c r="HH47" i="39"/>
  <c r="HT47" i="39"/>
  <c r="IC123" i="19"/>
  <c r="GW123" i="19"/>
  <c r="GX123" i="19"/>
  <c r="GY123" i="19"/>
  <c r="II123" i="19"/>
  <c r="GZ46" i="31"/>
  <c r="HI46" i="31"/>
  <c r="HK46" i="31"/>
  <c r="AZ27" i="32"/>
  <c r="HI23" i="19"/>
  <c r="IG107" i="39"/>
  <c r="OM28" i="19"/>
  <c r="GX26" i="19"/>
  <c r="GY26" i="19"/>
  <c r="II26" i="19"/>
  <c r="IL26" i="19"/>
  <c r="GW46" i="35"/>
  <c r="II46" i="35"/>
  <c r="GX46" i="35"/>
  <c r="GY46" i="35"/>
  <c r="IC46" i="35"/>
  <c r="IC22" i="21"/>
  <c r="GX22" i="21"/>
  <c r="GY22" i="21"/>
  <c r="GW22" i="21"/>
  <c r="GZ22" i="21"/>
  <c r="GX63" i="19"/>
  <c r="GY63" i="19"/>
  <c r="IC63" i="19"/>
  <c r="IB63" i="19"/>
  <c r="GW63" i="19"/>
  <c r="GZ63" i="19"/>
  <c r="II63" i="19"/>
  <c r="IH63" i="19"/>
  <c r="HW63" i="19"/>
  <c r="HX63" i="19"/>
  <c r="GX28" i="19"/>
  <c r="GY28" i="19"/>
  <c r="IC28" i="19"/>
  <c r="GW28" i="19"/>
  <c r="II28" i="19"/>
  <c r="GK54" i="19"/>
  <c r="GJ54" i="19"/>
  <c r="HH35" i="19"/>
  <c r="HT35" i="19"/>
  <c r="HQ35" i="19"/>
  <c r="HR35" i="19"/>
  <c r="HS105" i="19"/>
  <c r="HQ105" i="19"/>
  <c r="HR105" i="19"/>
  <c r="HU105" i="19"/>
  <c r="HW105" i="19"/>
  <c r="HX105" i="19"/>
  <c r="HT10" i="33"/>
  <c r="HU10" i="33"/>
  <c r="HH10" i="33"/>
  <c r="OL29" i="32"/>
  <c r="OR29" i="32"/>
  <c r="OU29" i="32"/>
  <c r="GK108" i="19"/>
  <c r="GJ108" i="19"/>
  <c r="OL101" i="19"/>
  <c r="OK101" i="19"/>
  <c r="IC61" i="35"/>
  <c r="GX61" i="35"/>
  <c r="GY61" i="35"/>
  <c r="GZ61" i="35"/>
  <c r="IC66" i="39"/>
  <c r="ID66" i="39"/>
  <c r="GW66" i="39"/>
  <c r="GX66" i="39"/>
  <c r="GY66" i="39"/>
  <c r="OL36" i="34"/>
  <c r="OK36" i="34"/>
  <c r="OR36" i="34"/>
  <c r="OU36" i="34"/>
  <c r="II48" i="39"/>
  <c r="IH48" i="39"/>
  <c r="IC48" i="39"/>
  <c r="GX48" i="39"/>
  <c r="GY48" i="39"/>
  <c r="GW48" i="39"/>
  <c r="IF14" i="19"/>
  <c r="IB14" i="19"/>
  <c r="GX10" i="35"/>
  <c r="GY10" i="35"/>
  <c r="IC10" i="35"/>
  <c r="GW10" i="35"/>
  <c r="II10" i="35"/>
  <c r="GX19" i="19"/>
  <c r="GY19" i="19"/>
  <c r="GW19" i="19"/>
  <c r="II19" i="19"/>
  <c r="IC19" i="19"/>
  <c r="II38" i="35"/>
  <c r="IC38" i="35"/>
  <c r="GX38" i="35"/>
  <c r="GY38" i="35"/>
  <c r="GW38" i="35"/>
  <c r="HQ38" i="35"/>
  <c r="HR38" i="35"/>
  <c r="HW38" i="35"/>
  <c r="HX38" i="35"/>
  <c r="GX10" i="21"/>
  <c r="GY10" i="21"/>
  <c r="GW10" i="21"/>
  <c r="GZ10" i="21"/>
  <c r="IC10" i="21"/>
  <c r="IF10" i="21"/>
  <c r="II10" i="21"/>
  <c r="IL10" i="21"/>
  <c r="II62" i="19"/>
  <c r="IC62" i="19"/>
  <c r="GX62" i="19"/>
  <c r="GY62" i="19"/>
  <c r="HW62" i="19"/>
  <c r="GW62" i="19"/>
  <c r="GZ62" i="19"/>
  <c r="GX20" i="19"/>
  <c r="GY20" i="19"/>
  <c r="IC20" i="19"/>
  <c r="IB20" i="19"/>
  <c r="II20" i="19"/>
  <c r="IJ20" i="19"/>
  <c r="IL75" i="19"/>
  <c r="IH75" i="19"/>
  <c r="IJ75" i="19"/>
  <c r="HU24" i="32"/>
  <c r="HS24" i="32"/>
  <c r="OK32" i="19"/>
  <c r="OR32" i="19"/>
  <c r="OL32" i="19"/>
  <c r="IF37" i="19"/>
  <c r="ID37" i="19"/>
  <c r="IB37" i="19"/>
  <c r="OU36" i="19"/>
  <c r="GW35" i="21"/>
  <c r="GX35" i="21"/>
  <c r="GY35" i="21"/>
  <c r="II35" i="21"/>
  <c r="IL35" i="21"/>
  <c r="IC35" i="21"/>
  <c r="IF35" i="21"/>
  <c r="GX18" i="21"/>
  <c r="GY18" i="21"/>
  <c r="II18" i="21"/>
  <c r="OU47" i="39"/>
  <c r="OV47" i="39"/>
  <c r="IF21" i="32"/>
  <c r="IE21" i="32"/>
  <c r="IB21" i="32"/>
  <c r="II13" i="35"/>
  <c r="IC13" i="35"/>
  <c r="IF13" i="35"/>
  <c r="HZ56" i="39"/>
  <c r="HX56" i="39"/>
  <c r="HV56" i="39"/>
  <c r="IC54" i="21"/>
  <c r="GW54" i="21"/>
  <c r="GZ54" i="21"/>
  <c r="HI54" i="21"/>
  <c r="GX98" i="19"/>
  <c r="GY98" i="19"/>
  <c r="IC98" i="19"/>
  <c r="II98" i="19"/>
  <c r="IJ98" i="19"/>
  <c r="II56" i="19"/>
  <c r="GW56" i="19"/>
  <c r="GZ56" i="19"/>
  <c r="GX56" i="19"/>
  <c r="GY56" i="19"/>
  <c r="OL89" i="19"/>
  <c r="OR89" i="19"/>
  <c r="OV89" i="19"/>
  <c r="OK89" i="19"/>
  <c r="GX63" i="35"/>
  <c r="GY63" i="35"/>
  <c r="IC63" i="35"/>
  <c r="ID59" i="31"/>
  <c r="IF59" i="31"/>
  <c r="GK55" i="31"/>
  <c r="GJ55" i="31"/>
  <c r="IL91" i="19"/>
  <c r="IM91" i="19"/>
  <c r="IJ91" i="19"/>
  <c r="IK52" i="39"/>
  <c r="IM52" i="39"/>
  <c r="IK42" i="34"/>
  <c r="IM42" i="34"/>
  <c r="OH45" i="21"/>
  <c r="OK45" i="21"/>
  <c r="HG45" i="21"/>
  <c r="HH45" i="21"/>
  <c r="IC17" i="21"/>
  <c r="IF17" i="21"/>
  <c r="II17" i="21"/>
  <c r="IJ17" i="21"/>
  <c r="OW18" i="21"/>
  <c r="OM19" i="21"/>
  <c r="IC19" i="39"/>
  <c r="IB19" i="39"/>
  <c r="GX19" i="39"/>
  <c r="GY19" i="39"/>
  <c r="OU76" i="19"/>
  <c r="OV76" i="19"/>
  <c r="OW76" i="19"/>
  <c r="GJ11" i="34"/>
  <c r="GK11" i="34"/>
  <c r="IK108" i="19"/>
  <c r="IM108" i="19"/>
  <c r="HT38" i="34"/>
  <c r="HW38" i="34"/>
  <c r="HH38" i="34"/>
  <c r="GK38" i="34"/>
  <c r="GJ38" i="34"/>
  <c r="OR53" i="34"/>
  <c r="OV53" i="34"/>
  <c r="GK12" i="34"/>
  <c r="GJ12" i="34"/>
  <c r="HH53" i="34"/>
  <c r="HT53" i="34"/>
  <c r="HQ53" i="34"/>
  <c r="IL48" i="31"/>
  <c r="IK48" i="31"/>
  <c r="IH48" i="31"/>
  <c r="IJ48" i="31"/>
  <c r="HI22" i="39"/>
  <c r="GZ22" i="39"/>
  <c r="OL29" i="35"/>
  <c r="OM29" i="35"/>
  <c r="OR29" i="35"/>
  <c r="OU29" i="35"/>
  <c r="IA32" i="35"/>
  <c r="HY32" i="35"/>
  <c r="IF49" i="31"/>
  <c r="ID49" i="31"/>
  <c r="IB54" i="19"/>
  <c r="ID54" i="19"/>
  <c r="IF54" i="19"/>
  <c r="IG54" i="19"/>
  <c r="ID56" i="19"/>
  <c r="IB56" i="19"/>
  <c r="IF56" i="19"/>
  <c r="IG56" i="19"/>
  <c r="ID77" i="19"/>
  <c r="IB77" i="19"/>
  <c r="IF77" i="19"/>
  <c r="IG77" i="19"/>
  <c r="FY45" i="39"/>
  <c r="GJ45" i="39"/>
  <c r="KD45" i="39"/>
  <c r="KE45" i="39"/>
  <c r="KD52" i="39"/>
  <c r="KE52" i="39"/>
  <c r="FY52" i="39"/>
  <c r="GJ52" i="39"/>
  <c r="OU61" i="19"/>
  <c r="OV61" i="19"/>
  <c r="OR38" i="35"/>
  <c r="OL38" i="35"/>
  <c r="OK38" i="35"/>
  <c r="HX90" i="19"/>
  <c r="HZ90" i="19"/>
  <c r="IA90" i="19"/>
  <c r="HV90" i="19"/>
  <c r="HS56" i="19"/>
  <c r="HQ56" i="19"/>
  <c r="HW56" i="19"/>
  <c r="HX56" i="19"/>
  <c r="IF58" i="31"/>
  <c r="JF58" i="31"/>
  <c r="JJ58" i="31"/>
  <c r="IB58" i="31"/>
  <c r="ID14" i="19"/>
  <c r="OV44" i="34"/>
  <c r="OU44" i="34"/>
  <c r="OM44" i="39"/>
  <c r="OK27" i="35"/>
  <c r="OL27" i="35"/>
  <c r="OR27" i="35"/>
  <c r="OV27" i="35"/>
  <c r="OU29" i="21"/>
  <c r="OV29" i="21"/>
  <c r="ID55" i="31"/>
  <c r="IB55" i="31"/>
  <c r="GW36" i="34"/>
  <c r="GZ36" i="34"/>
  <c r="II36" i="34"/>
  <c r="IJ36" i="34"/>
  <c r="IC36" i="34"/>
  <c r="IF102" i="39"/>
  <c r="IE102" i="39"/>
  <c r="ID102" i="39"/>
  <c r="OL10" i="33"/>
  <c r="OL13" i="33"/>
  <c r="OK10" i="33"/>
  <c r="OK13" i="33"/>
  <c r="OR10" i="33"/>
  <c r="OV10" i="33"/>
  <c r="GK23" i="34"/>
  <c r="GJ23" i="34"/>
  <c r="GZ118" i="19"/>
  <c r="HI118" i="19"/>
  <c r="FY49" i="35"/>
  <c r="GZ101" i="39"/>
  <c r="BE108" i="39"/>
  <c r="OM61" i="19"/>
  <c r="GZ50" i="34"/>
  <c r="HI50" i="34"/>
  <c r="GW10" i="19"/>
  <c r="GX10" i="19"/>
  <c r="II10" i="19"/>
  <c r="GW87" i="19"/>
  <c r="GX87" i="19"/>
  <c r="GY87" i="19"/>
  <c r="II55" i="19"/>
  <c r="IC55" i="19"/>
  <c r="GX55" i="19"/>
  <c r="GY55" i="19"/>
  <c r="GW55" i="19"/>
  <c r="GW12" i="19"/>
  <c r="IC12" i="19"/>
  <c r="II12" i="19"/>
  <c r="GX12" i="19"/>
  <c r="GY12" i="19"/>
  <c r="HQ12" i="19"/>
  <c r="FZ44" i="19"/>
  <c r="FY44" i="19"/>
  <c r="GJ44" i="19"/>
  <c r="KG44" i="19"/>
  <c r="HI103" i="19"/>
  <c r="GZ103" i="19"/>
  <c r="HW15" i="21"/>
  <c r="HZ15" i="21"/>
  <c r="HY15" i="21"/>
  <c r="II20" i="35"/>
  <c r="GX20" i="35"/>
  <c r="GY20" i="35"/>
  <c r="GW86" i="19"/>
  <c r="GX86" i="19"/>
  <c r="GY86" i="19"/>
  <c r="II54" i="19"/>
  <c r="GW54" i="19"/>
  <c r="OU15" i="19"/>
  <c r="OV15" i="19"/>
  <c r="OR54" i="19"/>
  <c r="OK54" i="19"/>
  <c r="OM54" i="19"/>
  <c r="OK91" i="19"/>
  <c r="OR91" i="19"/>
  <c r="OL91" i="19"/>
  <c r="HP22" i="22"/>
  <c r="HS20" i="22"/>
  <c r="GX30" i="31"/>
  <c r="GY30" i="31"/>
  <c r="OH13" i="34"/>
  <c r="KH108" i="39"/>
  <c r="OM20" i="35"/>
  <c r="AZ66" i="19"/>
  <c r="IC90" i="19"/>
  <c r="GW90" i="19"/>
  <c r="IB95" i="19"/>
  <c r="IF95" i="19"/>
  <c r="GA13" i="22"/>
  <c r="KD13" i="22"/>
  <c r="KE13" i="22"/>
  <c r="KH13" i="22"/>
  <c r="KH29" i="22"/>
  <c r="HR9" i="33"/>
  <c r="HP9" i="33"/>
  <c r="HU22" i="22"/>
  <c r="HQ24" i="32"/>
  <c r="HP24" i="32"/>
  <c r="GW27" i="32"/>
  <c r="HT24" i="22"/>
  <c r="HQ24" i="22"/>
  <c r="HP24" i="22"/>
  <c r="IY13" i="33"/>
  <c r="IY15" i="33"/>
  <c r="GC70" i="35"/>
  <c r="GA108" i="39"/>
  <c r="OT70" i="35"/>
  <c r="JC108" i="39"/>
  <c r="JC110" i="39"/>
  <c r="FY68" i="39"/>
  <c r="GJ68" i="39"/>
  <c r="GX52" i="35"/>
  <c r="GY52" i="35"/>
  <c r="IC52" i="35"/>
  <c r="II52" i="35"/>
  <c r="GW52" i="35"/>
  <c r="GX17" i="31"/>
  <c r="GY17" i="31"/>
  <c r="GW17" i="31"/>
  <c r="II40" i="21"/>
  <c r="IC40" i="21"/>
  <c r="GX40" i="21"/>
  <c r="GY40" i="21"/>
  <c r="IC47" i="19"/>
  <c r="GW47" i="19"/>
  <c r="II47" i="19"/>
  <c r="GX47" i="19"/>
  <c r="GY47" i="19"/>
  <c r="FZ13" i="34"/>
  <c r="FY13" i="34"/>
  <c r="CQ13" i="34"/>
  <c r="KG13" i="34"/>
  <c r="IJ57" i="35"/>
  <c r="IH57" i="35"/>
  <c r="GX64" i="35"/>
  <c r="GY64" i="35"/>
  <c r="HS22" i="22"/>
  <c r="IC30" i="31"/>
  <c r="IB30" i="31"/>
  <c r="IC27" i="32"/>
  <c r="ID27" i="32"/>
  <c r="GJ111" i="19"/>
  <c r="HQ61" i="35"/>
  <c r="HP61" i="35"/>
  <c r="GW43" i="35"/>
  <c r="II51" i="19"/>
  <c r="GX51" i="19"/>
  <c r="GY51" i="19"/>
  <c r="IC51" i="19"/>
  <c r="GW51" i="19"/>
  <c r="PP13" i="33"/>
  <c r="PQ10" i="33"/>
  <c r="PQ13" i="33"/>
  <c r="IH58" i="19"/>
  <c r="IJ58" i="19"/>
  <c r="IL58" i="19"/>
  <c r="HT48" i="35"/>
  <c r="HH48" i="35"/>
  <c r="GW30" i="31"/>
  <c r="FY38" i="31"/>
  <c r="GK38" i="31"/>
  <c r="JC31" i="31"/>
  <c r="JC60" i="31"/>
  <c r="JC62" i="31"/>
  <c r="FY23" i="39"/>
  <c r="GJ23" i="39"/>
  <c r="GX42" i="35"/>
  <c r="GY42" i="35"/>
  <c r="GW42" i="35"/>
  <c r="II42" i="35"/>
  <c r="IC42" i="35"/>
  <c r="II34" i="19"/>
  <c r="GW34" i="19"/>
  <c r="GX34" i="19"/>
  <c r="GY34" i="19"/>
  <c r="IC34" i="19"/>
  <c r="IC47" i="35"/>
  <c r="GW47" i="35"/>
  <c r="GX47" i="35"/>
  <c r="GY47" i="35"/>
  <c r="II47" i="35"/>
  <c r="II32" i="21"/>
  <c r="IC32" i="21"/>
  <c r="GX70" i="19"/>
  <c r="GY70" i="19"/>
  <c r="IC70" i="19"/>
  <c r="GJ83" i="19"/>
  <c r="GK83" i="19"/>
  <c r="HH13" i="32"/>
  <c r="HS59" i="35"/>
  <c r="GX38" i="39"/>
  <c r="GY38" i="39"/>
  <c r="HQ40" i="19"/>
  <c r="HU20" i="34"/>
  <c r="IH29" i="34"/>
  <c r="IC40" i="19"/>
  <c r="IB40" i="19"/>
  <c r="OR93" i="19"/>
  <c r="OU93" i="19"/>
  <c r="GJ71" i="19"/>
  <c r="KD74" i="19"/>
  <c r="KE74" i="19"/>
  <c r="HH13" i="21"/>
  <c r="HS13" i="21"/>
  <c r="HI29" i="35"/>
  <c r="IM57" i="35"/>
  <c r="IK57" i="35"/>
  <c r="HT48" i="19"/>
  <c r="HH48" i="19"/>
  <c r="OR60" i="19"/>
  <c r="OL60" i="19"/>
  <c r="IA26" i="22"/>
  <c r="HR49" i="31"/>
  <c r="HG12" i="31"/>
  <c r="HT12" i="31"/>
  <c r="FY37" i="31"/>
  <c r="GJ37" i="31"/>
  <c r="KD27" i="22"/>
  <c r="KE27" i="22"/>
  <c r="HG67" i="19"/>
  <c r="HU59" i="35"/>
  <c r="HK58" i="19"/>
  <c r="IC29" i="34"/>
  <c r="ID29" i="34"/>
  <c r="OR51" i="34"/>
  <c r="KD25" i="22"/>
  <c r="KE25" i="22"/>
  <c r="GX28" i="21"/>
  <c r="GY28" i="21"/>
  <c r="OW43" i="35"/>
  <c r="HU11" i="21"/>
  <c r="HQ27" i="35"/>
  <c r="HP27" i="35"/>
  <c r="ID100" i="39"/>
  <c r="IC21" i="39"/>
  <c r="ID21" i="39"/>
  <c r="OM53" i="39"/>
  <c r="II34" i="35"/>
  <c r="GX34" i="35"/>
  <c r="GY34" i="35"/>
  <c r="GW34" i="35"/>
  <c r="IC34" i="35"/>
  <c r="GJ31" i="35"/>
  <c r="GK31" i="35"/>
  <c r="HT47" i="35"/>
  <c r="HH47" i="35"/>
  <c r="GX40" i="35"/>
  <c r="GY40" i="35"/>
  <c r="IC40" i="35"/>
  <c r="II40" i="35"/>
  <c r="GW40" i="35"/>
  <c r="IC81" i="19"/>
  <c r="II81" i="19"/>
  <c r="GX81" i="19"/>
  <c r="GY81" i="19"/>
  <c r="GW81" i="19"/>
  <c r="II32" i="19"/>
  <c r="GW32" i="19"/>
  <c r="IC32" i="19"/>
  <c r="GX32" i="19"/>
  <c r="GY32" i="19"/>
  <c r="BH67" i="34"/>
  <c r="IO96" i="19"/>
  <c r="IQ96" i="19"/>
  <c r="HX9" i="33"/>
  <c r="HX13" i="33"/>
  <c r="HX15" i="33"/>
  <c r="OK48" i="19"/>
  <c r="OM48" i="19"/>
  <c r="HI78" i="39"/>
  <c r="IA59" i="34"/>
  <c r="HW40" i="19"/>
  <c r="HZ40" i="19"/>
  <c r="BK9" i="34"/>
  <c r="GX29" i="34"/>
  <c r="GY29" i="34"/>
  <c r="II28" i="21"/>
  <c r="IL28" i="21"/>
  <c r="OH12" i="22"/>
  <c r="OU107" i="19"/>
  <c r="OW107" i="19"/>
  <c r="IH72" i="19"/>
  <c r="CQ27" i="21"/>
  <c r="GJ72" i="19"/>
  <c r="IB100" i="39"/>
  <c r="IE100" i="39"/>
  <c r="GJ26" i="19"/>
  <c r="II21" i="39"/>
  <c r="IJ21" i="39"/>
  <c r="HT23" i="21"/>
  <c r="HH23" i="21"/>
  <c r="HZ61" i="19"/>
  <c r="HV61" i="19"/>
  <c r="HX61" i="19"/>
  <c r="IC32" i="35"/>
  <c r="GX32" i="35"/>
  <c r="GY32" i="35"/>
  <c r="II32" i="35"/>
  <c r="GW32" i="35"/>
  <c r="GX80" i="19"/>
  <c r="GY80" i="19"/>
  <c r="GW80" i="19"/>
  <c r="II80" i="19"/>
  <c r="IC80" i="19"/>
  <c r="IC24" i="19"/>
  <c r="II24" i="19"/>
  <c r="GW24" i="19"/>
  <c r="GX24" i="19"/>
  <c r="GY24" i="19"/>
  <c r="GK14" i="19"/>
  <c r="GJ14" i="19"/>
  <c r="IC59" i="35"/>
  <c r="GX59" i="35"/>
  <c r="GY59" i="35"/>
  <c r="II59" i="35"/>
  <c r="GW59" i="35"/>
  <c r="GJ75" i="19"/>
  <c r="GK75" i="19"/>
  <c r="GJ19" i="22"/>
  <c r="HH41" i="31"/>
  <c r="KD9" i="31"/>
  <c r="KE9" i="31"/>
  <c r="KD19" i="31"/>
  <c r="KE19" i="31"/>
  <c r="IA21" i="32"/>
  <c r="HZ9" i="33"/>
  <c r="HZ13" i="33"/>
  <c r="HZ15" i="33"/>
  <c r="OR48" i="19"/>
  <c r="OU48" i="19"/>
  <c r="HS27" i="35"/>
  <c r="II29" i="21"/>
  <c r="IH29" i="21"/>
  <c r="HT12" i="39"/>
  <c r="HQ12" i="39"/>
  <c r="GW29" i="34"/>
  <c r="HI29" i="34"/>
  <c r="HQ20" i="34"/>
  <c r="HR20" i="34"/>
  <c r="GT13" i="33"/>
  <c r="GT15" i="33"/>
  <c r="HH120" i="19"/>
  <c r="IJ72" i="19"/>
  <c r="IL14" i="19"/>
  <c r="IM14" i="19"/>
  <c r="OU28" i="21"/>
  <c r="KG27" i="21"/>
  <c r="HI40" i="21"/>
  <c r="HE11" i="33"/>
  <c r="HG11" i="33"/>
  <c r="ID110" i="19"/>
  <c r="OV100" i="39"/>
  <c r="OW100" i="39"/>
  <c r="GW21" i="39"/>
  <c r="HI21" i="39"/>
  <c r="IC26" i="35"/>
  <c r="GX26" i="35"/>
  <c r="GY26" i="35"/>
  <c r="GW26" i="35"/>
  <c r="II26" i="35"/>
  <c r="IC20" i="39"/>
  <c r="GW20" i="39"/>
  <c r="II31" i="35"/>
  <c r="IC31" i="35"/>
  <c r="GX31" i="35"/>
  <c r="GY31" i="35"/>
  <c r="GW31" i="35"/>
  <c r="IG75" i="19"/>
  <c r="IE75" i="19"/>
  <c r="IE16" i="35"/>
  <c r="IG16" i="35"/>
  <c r="JC57" i="21"/>
  <c r="JC59" i="21"/>
  <c r="KK108" i="39"/>
  <c r="HU27" i="35"/>
  <c r="GX29" i="21"/>
  <c r="GY29" i="21"/>
  <c r="IA117" i="19"/>
  <c r="HQ22" i="19"/>
  <c r="HP22" i="19"/>
  <c r="OK51" i="34"/>
  <c r="OM51" i="34"/>
  <c r="II81" i="39"/>
  <c r="GJ43" i="19"/>
  <c r="HT24" i="21"/>
  <c r="HW24" i="21"/>
  <c r="GW49" i="39"/>
  <c r="IH14" i="19"/>
  <c r="HW11" i="21"/>
  <c r="HZ11" i="21"/>
  <c r="FY117" i="19"/>
  <c r="GJ117" i="19"/>
  <c r="KR108" i="39"/>
  <c r="OP57" i="21"/>
  <c r="OP108" i="39"/>
  <c r="GD70" i="35"/>
  <c r="OK60" i="19"/>
  <c r="IB110" i="19"/>
  <c r="FY65" i="35"/>
  <c r="GX61" i="19"/>
  <c r="GY61" i="19"/>
  <c r="GZ61" i="19"/>
  <c r="HH47" i="34"/>
  <c r="GZ52" i="31"/>
  <c r="HI52" i="31"/>
  <c r="HK52" i="31"/>
  <c r="OM12" i="35"/>
  <c r="HW48" i="39"/>
  <c r="HQ48" i="39"/>
  <c r="HT22" i="21"/>
  <c r="HH22" i="21"/>
  <c r="IC99" i="19"/>
  <c r="GW99" i="19"/>
  <c r="II99" i="19"/>
  <c r="GX99" i="19"/>
  <c r="GY99" i="19"/>
  <c r="GX15" i="35"/>
  <c r="GY15" i="35"/>
  <c r="IC15" i="35"/>
  <c r="II15" i="35"/>
  <c r="GW15" i="35"/>
  <c r="IC64" i="19"/>
  <c r="GW64" i="19"/>
  <c r="II64" i="19"/>
  <c r="GX64" i="19"/>
  <c r="GY64" i="19"/>
  <c r="IC15" i="19"/>
  <c r="II15" i="19"/>
  <c r="GX15" i="19"/>
  <c r="GY15" i="19"/>
  <c r="GW15" i="19"/>
  <c r="OL99" i="19"/>
  <c r="OK99" i="19"/>
  <c r="OR99" i="19"/>
  <c r="GK33" i="34"/>
  <c r="GJ33" i="34"/>
  <c r="ID17" i="39"/>
  <c r="ID38" i="39"/>
  <c r="HS22" i="19"/>
  <c r="KD25" i="34"/>
  <c r="KE25" i="34"/>
  <c r="GX40" i="19"/>
  <c r="GY40" i="19"/>
  <c r="GW81" i="39"/>
  <c r="GZ81" i="39"/>
  <c r="HT22" i="35"/>
  <c r="HS22" i="35"/>
  <c r="AZ55" i="19"/>
  <c r="GX49" i="39"/>
  <c r="GY49" i="39"/>
  <c r="GX9" i="21"/>
  <c r="GY9" i="21"/>
  <c r="OW42" i="21"/>
  <c r="KG18" i="19"/>
  <c r="KG126" i="19"/>
  <c r="FZ18" i="19"/>
  <c r="FY18" i="19"/>
  <c r="GJ18" i="19"/>
  <c r="IF66" i="19"/>
  <c r="IB66" i="19"/>
  <c r="ID66" i="19"/>
  <c r="OK106" i="19"/>
  <c r="OR106" i="19"/>
  <c r="OL106" i="19"/>
  <c r="HT23" i="22"/>
  <c r="HQ23" i="22"/>
  <c r="IB17" i="39"/>
  <c r="II38" i="39"/>
  <c r="IH38" i="39"/>
  <c r="HW20" i="34"/>
  <c r="HV20" i="34"/>
  <c r="IB67" i="35"/>
  <c r="IC81" i="39"/>
  <c r="IF81" i="39"/>
  <c r="OV49" i="35"/>
  <c r="OW49" i="35"/>
  <c r="OW63" i="19"/>
  <c r="OM17" i="21"/>
  <c r="OV17" i="21"/>
  <c r="OW17" i="21"/>
  <c r="KM108" i="39"/>
  <c r="OM18" i="21"/>
  <c r="OM93" i="39"/>
  <c r="OL25" i="21"/>
  <c r="OR25" i="21"/>
  <c r="OK25" i="21"/>
  <c r="OV57" i="35"/>
  <c r="OU57" i="35"/>
  <c r="HH106" i="19"/>
  <c r="HT106" i="19"/>
  <c r="GZ39" i="34"/>
  <c r="HI39" i="34"/>
  <c r="FY9" i="31"/>
  <c r="GK9" i="31"/>
  <c r="GK116" i="19"/>
  <c r="GJ116" i="19"/>
  <c r="ID58" i="31"/>
  <c r="FY17" i="32"/>
  <c r="GK17" i="32"/>
  <c r="KG87" i="19"/>
  <c r="HS55" i="35"/>
  <c r="HW21" i="21"/>
  <c r="HZ21" i="21"/>
  <c r="GK57" i="19"/>
  <c r="OR63" i="39"/>
  <c r="OU63" i="39"/>
  <c r="IC20" i="21"/>
  <c r="IB20" i="21"/>
  <c r="ID41" i="39"/>
  <c r="GK102" i="19"/>
  <c r="GJ102" i="19"/>
  <c r="OH44" i="21"/>
  <c r="HG44" i="21"/>
  <c r="IQ84" i="19"/>
  <c r="IO84" i="19"/>
  <c r="HI28" i="35"/>
  <c r="GZ28" i="35"/>
  <c r="HH26" i="34"/>
  <c r="HK26" i="34"/>
  <c r="HT26" i="34"/>
  <c r="GZ52" i="19"/>
  <c r="HI52" i="19"/>
  <c r="IJ36" i="19"/>
  <c r="IL36" i="19"/>
  <c r="IH36" i="19"/>
  <c r="HW13" i="19"/>
  <c r="HQ13" i="19"/>
  <c r="II13" i="19"/>
  <c r="GW16" i="22"/>
  <c r="GZ16" i="22"/>
  <c r="HS50" i="31"/>
  <c r="GJ30" i="19"/>
  <c r="IF71" i="39"/>
  <c r="IE71" i="39"/>
  <c r="HW55" i="35"/>
  <c r="HV55" i="35"/>
  <c r="GV126" i="19"/>
  <c r="FY52" i="34"/>
  <c r="GK52" i="34"/>
  <c r="FY46" i="39"/>
  <c r="GJ46" i="39"/>
  <c r="OL63" i="39"/>
  <c r="OM63" i="39"/>
  <c r="FY95" i="39"/>
  <c r="GK95" i="39"/>
  <c r="IL110" i="19"/>
  <c r="IK110" i="19"/>
  <c r="II61" i="39"/>
  <c r="IL61" i="39"/>
  <c r="IM61" i="39"/>
  <c r="GJ10" i="19"/>
  <c r="GK10" i="19"/>
  <c r="II51" i="39"/>
  <c r="IC51" i="39"/>
  <c r="GW51" i="39"/>
  <c r="GX51" i="39"/>
  <c r="GY51" i="39"/>
  <c r="GX21" i="32"/>
  <c r="GY21" i="32"/>
  <c r="II21" i="32"/>
  <c r="GW13" i="35"/>
  <c r="GX13" i="35"/>
  <c r="GY13" i="35"/>
  <c r="IF27" i="35"/>
  <c r="OL26" i="34"/>
  <c r="OR26" i="34"/>
  <c r="OK26" i="34"/>
  <c r="IF36" i="19"/>
  <c r="ID36" i="19"/>
  <c r="IB36" i="19"/>
  <c r="IO46" i="34"/>
  <c r="IQ46" i="34"/>
  <c r="FY23" i="22"/>
  <c r="HQ50" i="31"/>
  <c r="HP50" i="31"/>
  <c r="IB71" i="39"/>
  <c r="HQ55" i="35"/>
  <c r="GJ21" i="35"/>
  <c r="HI61" i="39"/>
  <c r="GD108" i="39"/>
  <c r="FY18" i="39"/>
  <c r="GK18" i="39"/>
  <c r="IJ110" i="19"/>
  <c r="IC61" i="39"/>
  <c r="IB61" i="39"/>
  <c r="IA101" i="39"/>
  <c r="HH84" i="19"/>
  <c r="HT84" i="19"/>
  <c r="IC11" i="35"/>
  <c r="II11" i="35"/>
  <c r="GW11" i="35"/>
  <c r="GX11" i="35"/>
  <c r="GY11" i="35"/>
  <c r="GX89" i="39"/>
  <c r="GY89" i="39"/>
  <c r="II89" i="39"/>
  <c r="IC89" i="39"/>
  <c r="GW89" i="39"/>
  <c r="AZ22" i="19"/>
  <c r="GJ69" i="39"/>
  <c r="GK69" i="39"/>
  <c r="IQ62" i="19"/>
  <c r="IO62" i="19"/>
  <c r="OU93" i="39"/>
  <c r="OV93" i="39"/>
  <c r="HT36" i="34"/>
  <c r="HH36" i="34"/>
  <c r="IQ33" i="34"/>
  <c r="IO33" i="34"/>
  <c r="IJ52" i="19"/>
  <c r="IL52" i="19"/>
  <c r="IH52" i="19"/>
  <c r="HT50" i="35"/>
  <c r="HH50" i="35"/>
  <c r="IC36" i="35"/>
  <c r="GW36" i="35"/>
  <c r="II36" i="35"/>
  <c r="GX36" i="35"/>
  <c r="GY36" i="35"/>
  <c r="IB16" i="22"/>
  <c r="FZ25" i="31"/>
  <c r="FY25" i="31"/>
  <c r="IJ10" i="39"/>
  <c r="OM20" i="21"/>
  <c r="FZ48" i="39"/>
  <c r="FY48" i="39"/>
  <c r="OJ108" i="39"/>
  <c r="GW41" i="21"/>
  <c r="GZ41" i="21"/>
  <c r="HI41" i="21"/>
  <c r="OV30" i="19"/>
  <c r="OW30" i="19"/>
  <c r="GJ28" i="19"/>
  <c r="GW36" i="21"/>
  <c r="GZ36" i="21"/>
  <c r="OH50" i="39"/>
  <c r="GX61" i="39"/>
  <c r="GY61" i="39"/>
  <c r="GW46" i="39"/>
  <c r="IC46" i="39"/>
  <c r="GX46" i="39"/>
  <c r="GY46" i="39"/>
  <c r="II61" i="19"/>
  <c r="IC61" i="19"/>
  <c r="HV27" i="19"/>
  <c r="OL55" i="19"/>
  <c r="OR55" i="19"/>
  <c r="OK55" i="19"/>
  <c r="KG29" i="22"/>
  <c r="FY27" i="22"/>
  <c r="GK27" i="22"/>
  <c r="IF16" i="22"/>
  <c r="IG16" i="22"/>
  <c r="HG13" i="31"/>
  <c r="HT13" i="31"/>
  <c r="KD30" i="31"/>
  <c r="KE30" i="31"/>
  <c r="PG52" i="34"/>
  <c r="PG67" i="34"/>
  <c r="PH52" i="34"/>
  <c r="PJ52" i="34"/>
  <c r="PL52" i="34"/>
  <c r="PL67" i="34"/>
  <c r="IH10" i="39"/>
  <c r="IC39" i="34"/>
  <c r="ID39" i="34"/>
  <c r="IF41" i="39"/>
  <c r="IE41" i="39"/>
  <c r="FY70" i="39"/>
  <c r="GK70" i="39"/>
  <c r="GX44" i="39"/>
  <c r="GY44" i="39"/>
  <c r="GW44" i="39"/>
  <c r="II44" i="39"/>
  <c r="IC44" i="39"/>
  <c r="HT28" i="39"/>
  <c r="HH28" i="39"/>
  <c r="GX55" i="35"/>
  <c r="GY55" i="35"/>
  <c r="IC55" i="35"/>
  <c r="II55" i="35"/>
  <c r="GW55" i="35"/>
  <c r="IO73" i="19"/>
  <c r="IQ73" i="19"/>
  <c r="IC24" i="35"/>
  <c r="GW24" i="35"/>
  <c r="II24" i="35"/>
  <c r="GX24" i="35"/>
  <c r="GY24" i="35"/>
  <c r="GX16" i="19"/>
  <c r="GY16" i="19"/>
  <c r="IC16" i="19"/>
  <c r="IB28" i="35"/>
  <c r="ID28" i="35"/>
  <c r="IF28" i="35"/>
  <c r="HH34" i="21"/>
  <c r="HT34" i="21"/>
  <c r="HW34" i="21"/>
  <c r="HX34" i="21"/>
  <c r="GS72" i="35"/>
  <c r="GJ48" i="35"/>
  <c r="GK48" i="35"/>
  <c r="HH55" i="19"/>
  <c r="HT55" i="19"/>
  <c r="OU13" i="19"/>
  <c r="OV13" i="19"/>
  <c r="GW42" i="31"/>
  <c r="GZ42" i="31"/>
  <c r="GJ80" i="19"/>
  <c r="IL28" i="35"/>
  <c r="IK28" i="35"/>
  <c r="KM57" i="21"/>
  <c r="HQ21" i="21"/>
  <c r="GK11" i="39"/>
  <c r="OL82" i="39"/>
  <c r="GZ102" i="39"/>
  <c r="HI102" i="39"/>
  <c r="HQ53" i="39"/>
  <c r="HP53" i="39"/>
  <c r="HT19" i="35"/>
  <c r="HH19" i="35"/>
  <c r="IC30" i="39"/>
  <c r="II30" i="39"/>
  <c r="GW30" i="39"/>
  <c r="GX30" i="39"/>
  <c r="GY30" i="39"/>
  <c r="IC24" i="39"/>
  <c r="GW24" i="39"/>
  <c r="II24" i="39"/>
  <c r="GX24" i="39"/>
  <c r="GY24" i="39"/>
  <c r="GW23" i="35"/>
  <c r="GX23" i="35"/>
  <c r="GY23" i="35"/>
  <c r="IC23" i="35"/>
  <c r="II23" i="35"/>
  <c r="IH12" i="35"/>
  <c r="IJ12" i="35"/>
  <c r="OR15" i="21"/>
  <c r="OK15" i="21"/>
  <c r="OL15" i="21"/>
  <c r="HH67" i="39"/>
  <c r="HT67" i="39"/>
  <c r="JP14" i="33"/>
  <c r="II22" i="35"/>
  <c r="GX22" i="35"/>
  <c r="GY22" i="35"/>
  <c r="GZ22" i="35"/>
  <c r="HI22" i="35"/>
  <c r="HK22" i="35"/>
  <c r="II16" i="22"/>
  <c r="IJ16" i="22"/>
  <c r="II42" i="31"/>
  <c r="IJ42" i="31"/>
  <c r="CE60" i="31"/>
  <c r="HG29" i="32"/>
  <c r="HT29" i="32"/>
  <c r="HQ29" i="32"/>
  <c r="JO70" i="35"/>
  <c r="IC13" i="19"/>
  <c r="IB13" i="19"/>
  <c r="IH28" i="35"/>
  <c r="KD22" i="34"/>
  <c r="KE22" i="34"/>
  <c r="IC22" i="35"/>
  <c r="ID22" i="35"/>
  <c r="OM16" i="21"/>
  <c r="FY50" i="21"/>
  <c r="GJ50" i="21"/>
  <c r="GT126" i="19"/>
  <c r="GT128" i="19"/>
  <c r="OR53" i="39"/>
  <c r="OU53" i="39"/>
  <c r="GW53" i="35"/>
  <c r="HQ53" i="35"/>
  <c r="HW53" i="35"/>
  <c r="IC53" i="35"/>
  <c r="II53" i="35"/>
  <c r="GX53" i="35"/>
  <c r="GY53" i="35"/>
  <c r="IO78" i="19"/>
  <c r="IQ78" i="19"/>
  <c r="IM52" i="34"/>
  <c r="IK52" i="34"/>
  <c r="GP110" i="39"/>
  <c r="IH102" i="39"/>
  <c r="II80" i="39"/>
  <c r="GX80" i="39"/>
  <c r="GY80" i="39"/>
  <c r="IC80" i="39"/>
  <c r="GW80" i="39"/>
  <c r="GX14" i="39"/>
  <c r="GY14" i="39"/>
  <c r="IK97" i="39"/>
  <c r="FY81" i="39"/>
  <c r="GK81" i="39"/>
  <c r="OW43" i="39"/>
  <c r="FY92" i="39"/>
  <c r="OL89" i="39"/>
  <c r="II19" i="39"/>
  <c r="IL19" i="39"/>
  <c r="OH26" i="39"/>
  <c r="HG26" i="39"/>
  <c r="IF101" i="39"/>
  <c r="ID101" i="39"/>
  <c r="IB101" i="39"/>
  <c r="GX42" i="39"/>
  <c r="GY42" i="39"/>
  <c r="GW42" i="39"/>
  <c r="II42" i="39"/>
  <c r="IC42" i="39"/>
  <c r="OV35" i="39"/>
  <c r="OW35" i="39"/>
  <c r="OH30" i="39"/>
  <c r="HG30" i="39"/>
  <c r="HU82" i="39"/>
  <c r="HW82" i="39"/>
  <c r="HS82" i="39"/>
  <c r="HQ82" i="39"/>
  <c r="HY9" i="39"/>
  <c r="IJ102" i="39"/>
  <c r="IC14" i="39"/>
  <c r="IF14" i="39"/>
  <c r="GX86" i="39"/>
  <c r="GY86" i="39"/>
  <c r="KD18" i="39"/>
  <c r="KE18" i="39"/>
  <c r="OV82" i="39"/>
  <c r="OW82" i="39"/>
  <c r="HI25" i="39"/>
  <c r="GW19" i="39"/>
  <c r="HI19" i="39"/>
  <c r="OH10" i="39"/>
  <c r="HG10" i="39"/>
  <c r="GW71" i="39"/>
  <c r="GX71" i="39"/>
  <c r="GY71" i="39"/>
  <c r="IF85" i="39"/>
  <c r="ID85" i="39"/>
  <c r="IB85" i="39"/>
  <c r="IJ25" i="39"/>
  <c r="IL25" i="39"/>
  <c r="OL88" i="39"/>
  <c r="OK88" i="39"/>
  <c r="OR88" i="39"/>
  <c r="FZ76" i="39"/>
  <c r="FY76" i="39"/>
  <c r="GK76" i="39"/>
  <c r="KG76" i="39"/>
  <c r="II83" i="39"/>
  <c r="GW83" i="39"/>
  <c r="IC83" i="39"/>
  <c r="GX83" i="39"/>
  <c r="GY83" i="39"/>
  <c r="OH99" i="39"/>
  <c r="HG99" i="39"/>
  <c r="KD20" i="39"/>
  <c r="KE20" i="39"/>
  <c r="FY20" i="39"/>
  <c r="FY51" i="39"/>
  <c r="KD51" i="39"/>
  <c r="KE51" i="39"/>
  <c r="OH74" i="39"/>
  <c r="HG74" i="39"/>
  <c r="IL23" i="39"/>
  <c r="IH23" i="39"/>
  <c r="IJ23" i="39"/>
  <c r="HH88" i="39"/>
  <c r="HT88" i="39"/>
  <c r="IL100" i="39"/>
  <c r="IJ100" i="39"/>
  <c r="IH100" i="39"/>
  <c r="GK27" i="39"/>
  <c r="KI108" i="39"/>
  <c r="GZ99" i="39"/>
  <c r="HS53" i="39"/>
  <c r="HG37" i="39"/>
  <c r="HT37" i="39"/>
  <c r="GJ24" i="39"/>
  <c r="HQ31" i="39"/>
  <c r="HR31" i="39"/>
  <c r="OV89" i="39"/>
  <c r="OW89" i="39"/>
  <c r="GK79" i="39"/>
  <c r="IM85" i="39"/>
  <c r="GX37" i="39"/>
  <c r="GY37" i="39"/>
  <c r="II37" i="39"/>
  <c r="HG72" i="39"/>
  <c r="OH72" i="39"/>
  <c r="HI104" i="39"/>
  <c r="HK104" i="39"/>
  <c r="II40" i="39"/>
  <c r="GX40" i="39"/>
  <c r="GY40" i="39"/>
  <c r="GW40" i="39"/>
  <c r="IC40" i="39"/>
  <c r="GW58" i="39"/>
  <c r="IC58" i="39"/>
  <c r="GX58" i="39"/>
  <c r="GY58" i="39"/>
  <c r="II58" i="39"/>
  <c r="GS110" i="39"/>
  <c r="OK82" i="39"/>
  <c r="II14" i="39"/>
  <c r="IH14" i="39"/>
  <c r="OU28" i="39"/>
  <c r="OW28" i="39"/>
  <c r="GX62" i="39"/>
  <c r="GY62" i="39"/>
  <c r="II62" i="39"/>
  <c r="GW62" i="39"/>
  <c r="IC62" i="39"/>
  <c r="OH41" i="39"/>
  <c r="HG41" i="39"/>
  <c r="HP13" i="39"/>
  <c r="HR13" i="39"/>
  <c r="IO98" i="39"/>
  <c r="IQ98" i="39"/>
  <c r="GK97" i="39"/>
  <c r="ID25" i="39"/>
  <c r="IF25" i="39"/>
  <c r="IB25" i="39"/>
  <c r="HS89" i="39"/>
  <c r="OH34" i="39"/>
  <c r="HG34" i="39"/>
  <c r="GK32" i="39"/>
  <c r="GJ32" i="39"/>
  <c r="HH50" i="39"/>
  <c r="HT50" i="39"/>
  <c r="IC63" i="39"/>
  <c r="GW63" i="39"/>
  <c r="II63" i="39"/>
  <c r="GX63" i="39"/>
  <c r="GY63" i="39"/>
  <c r="IC77" i="39"/>
  <c r="GX77" i="39"/>
  <c r="GY77" i="39"/>
  <c r="II77" i="39"/>
  <c r="GW77" i="39"/>
  <c r="FY33" i="39"/>
  <c r="KD33" i="39"/>
  <c r="KE33" i="39"/>
  <c r="A103" i="39"/>
  <c r="A101" i="39"/>
  <c r="A107" i="39"/>
  <c r="IM98" i="39"/>
  <c r="IK98" i="39"/>
  <c r="IQ20" i="39"/>
  <c r="IO20" i="39"/>
  <c r="OH14" i="32"/>
  <c r="OR14" i="32"/>
  <c r="HG14" i="32"/>
  <c r="HH14" i="32"/>
  <c r="GW44" i="35"/>
  <c r="II44" i="35"/>
  <c r="IH44" i="35"/>
  <c r="GX44" i="35"/>
  <c r="GY44" i="35"/>
  <c r="IC44" i="35"/>
  <c r="IB44" i="35"/>
  <c r="HW44" i="35"/>
  <c r="HX44" i="35"/>
  <c r="HQ44" i="35"/>
  <c r="HP44" i="35"/>
  <c r="FZ91" i="19"/>
  <c r="FY91" i="19"/>
  <c r="KG91" i="19"/>
  <c r="HH78" i="39"/>
  <c r="HT78" i="39"/>
  <c r="OL70" i="39"/>
  <c r="OR70" i="39"/>
  <c r="OK70" i="39"/>
  <c r="HG22" i="39"/>
  <c r="HT22" i="39"/>
  <c r="IJ52" i="31"/>
  <c r="IC64" i="35"/>
  <c r="IF64" i="35"/>
  <c r="IC10" i="22"/>
  <c r="ID10" i="22"/>
  <c r="IL52" i="31"/>
  <c r="IM52" i="31"/>
  <c r="IB23" i="31"/>
  <c r="HG16" i="31"/>
  <c r="HH16" i="31"/>
  <c r="KH14" i="31"/>
  <c r="OR34" i="19"/>
  <c r="OV34" i="19"/>
  <c r="OL24" i="19"/>
  <c r="OM24" i="19"/>
  <c r="IF23" i="21"/>
  <c r="IG23" i="21"/>
  <c r="HG54" i="34"/>
  <c r="HT54" i="34"/>
  <c r="OH10" i="34"/>
  <c r="OK10" i="34"/>
  <c r="HQ45" i="34"/>
  <c r="HP45" i="34"/>
  <c r="ID12" i="34"/>
  <c r="OT102" i="39"/>
  <c r="IF67" i="35"/>
  <c r="IG67" i="35"/>
  <c r="GK78" i="19"/>
  <c r="GJ68" i="19"/>
  <c r="IL47" i="39"/>
  <c r="IM47" i="39"/>
  <c r="AZ29" i="19"/>
  <c r="IB102" i="39"/>
  <c r="IL13" i="34"/>
  <c r="JC29" i="22"/>
  <c r="JC31" i="22"/>
  <c r="HH63" i="39"/>
  <c r="HT63" i="39"/>
  <c r="GJ27" i="21"/>
  <c r="GK27" i="21"/>
  <c r="IO18" i="39"/>
  <c r="IQ18" i="39"/>
  <c r="HZ13" i="21"/>
  <c r="HV13" i="21"/>
  <c r="OK46" i="35"/>
  <c r="OR46" i="35"/>
  <c r="OL46" i="35"/>
  <c r="HS49" i="35"/>
  <c r="HQ49" i="35"/>
  <c r="HI74" i="39"/>
  <c r="GZ74" i="39"/>
  <c r="HT45" i="35"/>
  <c r="HH45" i="35"/>
  <c r="IJ17" i="39"/>
  <c r="IL17" i="39"/>
  <c r="GK32" i="19"/>
  <c r="GJ32" i="19"/>
  <c r="HS35" i="39"/>
  <c r="HU35" i="39"/>
  <c r="GK77" i="19"/>
  <c r="GJ77" i="19"/>
  <c r="IL50" i="34"/>
  <c r="II64" i="35"/>
  <c r="IJ64" i="35"/>
  <c r="KD32" i="31"/>
  <c r="KE32" i="31"/>
  <c r="OK29" i="32"/>
  <c r="OK34" i="19"/>
  <c r="OR24" i="19"/>
  <c r="OU24" i="19"/>
  <c r="IJ18" i="21"/>
  <c r="KO67" i="34"/>
  <c r="GW119" i="19"/>
  <c r="IJ47" i="39"/>
  <c r="GX119" i="19"/>
  <c r="GY119" i="19"/>
  <c r="KD41" i="39"/>
  <c r="KE41" i="39"/>
  <c r="GW37" i="21"/>
  <c r="GZ37" i="21"/>
  <c r="GK90" i="39"/>
  <c r="GJ90" i="39"/>
  <c r="IL101" i="39"/>
  <c r="KG19" i="19"/>
  <c r="FZ19" i="19"/>
  <c r="FY19" i="19"/>
  <c r="GJ54" i="35"/>
  <c r="GK54" i="35"/>
  <c r="HP13" i="21"/>
  <c r="HR13" i="21"/>
  <c r="IL11" i="33"/>
  <c r="IH11" i="33"/>
  <c r="IJ11" i="33"/>
  <c r="OR78" i="39"/>
  <c r="OK78" i="39"/>
  <c r="OL78" i="39"/>
  <c r="HW15" i="35"/>
  <c r="HS15" i="35"/>
  <c r="ID11" i="33"/>
  <c r="IF11" i="33"/>
  <c r="IB11" i="33"/>
  <c r="OV28" i="19"/>
  <c r="OU28" i="19"/>
  <c r="GK52" i="35"/>
  <c r="GJ52" i="35"/>
  <c r="ID78" i="19"/>
  <c r="GJ88" i="39"/>
  <c r="GK88" i="39"/>
  <c r="IM30" i="19"/>
  <c r="IK30" i="19"/>
  <c r="GE70" i="35"/>
  <c r="GJ33" i="35"/>
  <c r="GK33" i="35"/>
  <c r="GZ48" i="39"/>
  <c r="HI48" i="39"/>
  <c r="HT70" i="39"/>
  <c r="HW70" i="39"/>
  <c r="HH70" i="39"/>
  <c r="GJ19" i="39"/>
  <c r="IB44" i="31"/>
  <c r="IE51" i="31"/>
  <c r="GZ51" i="31"/>
  <c r="HI51" i="31"/>
  <c r="GX23" i="31"/>
  <c r="GY23" i="31"/>
  <c r="IF48" i="31"/>
  <c r="IG48" i="31"/>
  <c r="IJ58" i="31"/>
  <c r="GW25" i="21"/>
  <c r="GZ25" i="21"/>
  <c r="ID32" i="34"/>
  <c r="GJ58" i="34"/>
  <c r="KG53" i="19"/>
  <c r="IE14" i="35"/>
  <c r="KF57" i="21"/>
  <c r="FY33" i="19"/>
  <c r="GJ33" i="19"/>
  <c r="OM47" i="35"/>
  <c r="HW37" i="21"/>
  <c r="GX54" i="39"/>
  <c r="GY54" i="39"/>
  <c r="GW54" i="39"/>
  <c r="II54" i="39"/>
  <c r="IC54" i="39"/>
  <c r="HI101" i="39"/>
  <c r="KG11" i="35"/>
  <c r="FZ11" i="35"/>
  <c r="FY11" i="35"/>
  <c r="GJ11" i="35"/>
  <c r="HI65" i="19"/>
  <c r="GZ65" i="19"/>
  <c r="OK44" i="19"/>
  <c r="OM44" i="19"/>
  <c r="OR44" i="19"/>
  <c r="OR46" i="19"/>
  <c r="OL46" i="19"/>
  <c r="OK46" i="19"/>
  <c r="ID44" i="31"/>
  <c r="GW23" i="31"/>
  <c r="GZ23" i="31"/>
  <c r="IH58" i="31"/>
  <c r="OV29" i="19"/>
  <c r="OW29" i="19"/>
  <c r="IF32" i="34"/>
  <c r="IE32" i="34"/>
  <c r="HK112" i="19"/>
  <c r="HZ100" i="39"/>
  <c r="IA100" i="39"/>
  <c r="HY122" i="19"/>
  <c r="KD113" i="19"/>
  <c r="KE113" i="19"/>
  <c r="OU71" i="39"/>
  <c r="IH37" i="21"/>
  <c r="GJ17" i="21"/>
  <c r="GK17" i="21"/>
  <c r="GK110" i="19"/>
  <c r="GJ110" i="19"/>
  <c r="IF13" i="39"/>
  <c r="ID13" i="39"/>
  <c r="IB13" i="39"/>
  <c r="OU78" i="19"/>
  <c r="OV78" i="19"/>
  <c r="HH10" i="21"/>
  <c r="HT10" i="21"/>
  <c r="IH38" i="19"/>
  <c r="IL38" i="19"/>
  <c r="FY103" i="19"/>
  <c r="IB87" i="39"/>
  <c r="IF87" i="39"/>
  <c r="ID87" i="39"/>
  <c r="HH46" i="19"/>
  <c r="HK46" i="19"/>
  <c r="HT46" i="19"/>
  <c r="HV23" i="35"/>
  <c r="HZ23" i="35"/>
  <c r="HX23" i="35"/>
  <c r="AT36" i="32"/>
  <c r="OU75" i="19"/>
  <c r="OW75" i="19"/>
  <c r="HU118" i="19"/>
  <c r="HH22" i="34"/>
  <c r="GJ50" i="34"/>
  <c r="FY84" i="19"/>
  <c r="GK84" i="19"/>
  <c r="HV100" i="39"/>
  <c r="HR32" i="35"/>
  <c r="IL37" i="21"/>
  <c r="IM37" i="21"/>
  <c r="PJ70" i="35"/>
  <c r="FZ52" i="19"/>
  <c r="FY52" i="19"/>
  <c r="KG52" i="19"/>
  <c r="GJ25" i="19"/>
  <c r="GK25" i="19"/>
  <c r="IF93" i="19"/>
  <c r="ID93" i="19"/>
  <c r="IB93" i="19"/>
  <c r="OK10" i="21"/>
  <c r="OL10" i="21"/>
  <c r="OR10" i="21"/>
  <c r="IJ67" i="19"/>
  <c r="IL67" i="19"/>
  <c r="IH67" i="19"/>
  <c r="IO9" i="33"/>
  <c r="IP13" i="33"/>
  <c r="IP15" i="33"/>
  <c r="IQ9" i="33"/>
  <c r="IQ13" i="33"/>
  <c r="IQ15" i="33"/>
  <c r="GZ55" i="31"/>
  <c r="HI55" i="31"/>
  <c r="HK55" i="31"/>
  <c r="IE108" i="19"/>
  <c r="IB119" i="19"/>
  <c r="HZ52" i="35"/>
  <c r="HY52" i="35"/>
  <c r="BD126" i="19"/>
  <c r="IJ13" i="34"/>
  <c r="IP57" i="21"/>
  <c r="IP59" i="21"/>
  <c r="PG60" i="31"/>
  <c r="KD65" i="35"/>
  <c r="KE65" i="35"/>
  <c r="HT46" i="35"/>
  <c r="HH46" i="35"/>
  <c r="IF87" i="19"/>
  <c r="ID87" i="19"/>
  <c r="IB87" i="19"/>
  <c r="OL45" i="35"/>
  <c r="OK45" i="35"/>
  <c r="OR45" i="35"/>
  <c r="HI20" i="35"/>
  <c r="GZ20" i="35"/>
  <c r="OH65" i="19"/>
  <c r="HG65" i="19"/>
  <c r="IC59" i="34"/>
  <c r="IF59" i="34"/>
  <c r="IL59" i="34"/>
  <c r="IJ59" i="34"/>
  <c r="IH59" i="34"/>
  <c r="IC34" i="32"/>
  <c r="ID34" i="32"/>
  <c r="II34" i="32"/>
  <c r="IH34" i="32"/>
  <c r="GX34" i="32"/>
  <c r="GY34" i="32"/>
  <c r="GZ34" i="32"/>
  <c r="ID21" i="32"/>
  <c r="GZ28" i="21"/>
  <c r="HI28" i="21"/>
  <c r="IF31" i="21"/>
  <c r="IE31" i="21"/>
  <c r="IB31" i="21"/>
  <c r="HX11" i="21"/>
  <c r="ID47" i="21"/>
  <c r="HR47" i="21"/>
  <c r="HP47" i="21"/>
  <c r="HW28" i="21"/>
  <c r="HZ28" i="21"/>
  <c r="HQ28" i="21"/>
  <c r="IA26" i="21"/>
  <c r="GZ34" i="21"/>
  <c r="II34" i="21"/>
  <c r="IL34" i="21"/>
  <c r="IC14" i="21"/>
  <c r="IB14" i="21"/>
  <c r="IF47" i="21"/>
  <c r="IC34" i="21"/>
  <c r="GX34" i="21"/>
  <c r="GY34" i="21"/>
  <c r="IJ47" i="21"/>
  <c r="IL47" i="21"/>
  <c r="IH47" i="21"/>
  <c r="IA47" i="21"/>
  <c r="HY47" i="21"/>
  <c r="IA50" i="21"/>
  <c r="HY50" i="21"/>
  <c r="II50" i="21"/>
  <c r="IC50" i="21"/>
  <c r="GX50" i="21"/>
  <c r="GY50" i="21"/>
  <c r="GW50" i="21"/>
  <c r="HY48" i="21"/>
  <c r="IA48" i="21"/>
  <c r="II16" i="39"/>
  <c r="IJ16" i="39"/>
  <c r="GW16" i="39"/>
  <c r="HI16" i="39"/>
  <c r="GK60" i="19"/>
  <c r="GJ60" i="19"/>
  <c r="GJ45" i="35"/>
  <c r="GK45" i="35"/>
  <c r="GJ55" i="19"/>
  <c r="GK55" i="19"/>
  <c r="GK15" i="35"/>
  <c r="GJ15" i="35"/>
  <c r="GK73" i="19"/>
  <c r="GJ73" i="19"/>
  <c r="HR72" i="19"/>
  <c r="IA9" i="39"/>
  <c r="IA108" i="39"/>
  <c r="IA110" i="39"/>
  <c r="HI48" i="19"/>
  <c r="HK48" i="19"/>
  <c r="PQ60" i="39"/>
  <c r="PQ108" i="39"/>
  <c r="PP108" i="39"/>
  <c r="PH21" i="32"/>
  <c r="PK21" i="32"/>
  <c r="PJ21" i="32"/>
  <c r="GX17" i="21"/>
  <c r="GY17" i="21"/>
  <c r="GW17" i="21"/>
  <c r="KD66" i="35"/>
  <c r="KE66" i="35"/>
  <c r="GJ62" i="35"/>
  <c r="GK62" i="35"/>
  <c r="GK98" i="39"/>
  <c r="GJ47" i="19"/>
  <c r="GK47" i="19"/>
  <c r="GJ63" i="35"/>
  <c r="GK63" i="35"/>
  <c r="OV97" i="19"/>
  <c r="OU97" i="19"/>
  <c r="OV56" i="19"/>
  <c r="OU56" i="19"/>
  <c r="IJ48" i="19"/>
  <c r="IH48" i="19"/>
  <c r="IL48" i="19"/>
  <c r="GK63" i="39"/>
  <c r="GJ63" i="39"/>
  <c r="FY66" i="35"/>
  <c r="GX31" i="21"/>
  <c r="GY31" i="21"/>
  <c r="II31" i="21"/>
  <c r="HW89" i="19"/>
  <c r="HS89" i="19"/>
  <c r="HQ89" i="19"/>
  <c r="HU89" i="19"/>
  <c r="GJ53" i="21"/>
  <c r="GK53" i="21"/>
  <c r="IJ106" i="19"/>
  <c r="IH106" i="19"/>
  <c r="IL106" i="19"/>
  <c r="IH53" i="31"/>
  <c r="IK53" i="31"/>
  <c r="IG46" i="31"/>
  <c r="HY35" i="31"/>
  <c r="PH31" i="31"/>
  <c r="PH60" i="31"/>
  <c r="PJ31" i="31"/>
  <c r="PJ60" i="31"/>
  <c r="PL31" i="31"/>
  <c r="PL60" i="31"/>
  <c r="ID31" i="21"/>
  <c r="HH58" i="34"/>
  <c r="GW31" i="21"/>
  <c r="GZ31" i="21"/>
  <c r="GE108" i="39"/>
  <c r="OM68" i="19"/>
  <c r="KD9" i="35"/>
  <c r="KE9" i="35"/>
  <c r="FY9" i="35"/>
  <c r="GW29" i="21"/>
  <c r="HW29" i="21"/>
  <c r="HQ29" i="21"/>
  <c r="GW15" i="21"/>
  <c r="II15" i="21"/>
  <c r="IC15" i="21"/>
  <c r="GX15" i="21"/>
  <c r="GY15" i="21"/>
  <c r="OK19" i="35"/>
  <c r="OL19" i="35"/>
  <c r="OR19" i="35"/>
  <c r="IB29" i="35"/>
  <c r="ID29" i="35"/>
  <c r="IF29" i="35"/>
  <c r="GJ96" i="39"/>
  <c r="HU61" i="35"/>
  <c r="HS61" i="35"/>
  <c r="OR30" i="35"/>
  <c r="OK30" i="35"/>
  <c r="OL30" i="35"/>
  <c r="OL22" i="35"/>
  <c r="OR22" i="35"/>
  <c r="OK22" i="35"/>
  <c r="KD73" i="19"/>
  <c r="KE73" i="19"/>
  <c r="IM111" i="19"/>
  <c r="IH23" i="19"/>
  <c r="IJ23" i="19"/>
  <c r="IL23" i="19"/>
  <c r="FY36" i="35"/>
  <c r="OU40" i="19"/>
  <c r="OV40" i="19"/>
  <c r="GZ13" i="34"/>
  <c r="HI13" i="34"/>
  <c r="IH21" i="39"/>
  <c r="GB57" i="21"/>
  <c r="PI9" i="35"/>
  <c r="PI70" i="35"/>
  <c r="PH9" i="35"/>
  <c r="PH70" i="35"/>
  <c r="JC9" i="35"/>
  <c r="JC70" i="35"/>
  <c r="JC72" i="35"/>
  <c r="HI14" i="19"/>
  <c r="GZ14" i="19"/>
  <c r="IF72" i="19"/>
  <c r="IB72" i="19"/>
  <c r="ID72" i="19"/>
  <c r="GJ46" i="31"/>
  <c r="GJ44" i="31"/>
  <c r="IC26" i="32"/>
  <c r="ID26" i="32"/>
  <c r="IB22" i="19"/>
  <c r="OK10" i="19"/>
  <c r="OM10" i="19"/>
  <c r="HW31" i="39"/>
  <c r="HZ31" i="39"/>
  <c r="GZ23" i="21"/>
  <c r="FY11" i="33"/>
  <c r="GX25" i="34"/>
  <c r="GY25" i="34"/>
  <c r="KD36" i="35"/>
  <c r="KE36" i="35"/>
  <c r="KR70" i="35"/>
  <c r="GJ12" i="33"/>
  <c r="GJ23" i="19"/>
  <c r="GK23" i="19"/>
  <c r="FY90" i="19"/>
  <c r="KD90" i="19"/>
  <c r="KE90" i="19"/>
  <c r="FY11" i="19"/>
  <c r="KD11" i="19"/>
  <c r="KE11" i="19"/>
  <c r="GW9" i="21"/>
  <c r="II9" i="21"/>
  <c r="KD15" i="35"/>
  <c r="KE15" i="35"/>
  <c r="HG59" i="19"/>
  <c r="OH59" i="19"/>
  <c r="JP109" i="39"/>
  <c r="OU27" i="39"/>
  <c r="OV27" i="39"/>
  <c r="GJ51" i="19"/>
  <c r="GK51" i="19"/>
  <c r="ID23" i="19"/>
  <c r="IB23" i="19"/>
  <c r="IF23" i="19"/>
  <c r="IF10" i="39"/>
  <c r="ID10" i="39"/>
  <c r="IB10" i="39"/>
  <c r="OL75" i="39"/>
  <c r="OR75" i="39"/>
  <c r="OK75" i="39"/>
  <c r="HW17" i="21"/>
  <c r="OW54" i="39"/>
  <c r="IC16" i="21"/>
  <c r="II16" i="21"/>
  <c r="HT54" i="39"/>
  <c r="HH54" i="39"/>
  <c r="HQ36" i="31"/>
  <c r="HP36" i="31"/>
  <c r="GW26" i="32"/>
  <c r="GZ26" i="32"/>
  <c r="GX26" i="32"/>
  <c r="GY26" i="32"/>
  <c r="IL26" i="32"/>
  <c r="IM26" i="32"/>
  <c r="PH29" i="32"/>
  <c r="PK29" i="32"/>
  <c r="PJ29" i="32"/>
  <c r="HY107" i="39"/>
  <c r="IF22" i="19"/>
  <c r="IE22" i="19"/>
  <c r="OR10" i="19"/>
  <c r="OU10" i="19"/>
  <c r="OK73" i="19"/>
  <c r="OM73" i="19"/>
  <c r="KD11" i="33"/>
  <c r="KE11" i="33"/>
  <c r="KE13" i="33"/>
  <c r="IC25" i="34"/>
  <c r="ID25" i="34"/>
  <c r="GJ60" i="34"/>
  <c r="KD60" i="19"/>
  <c r="KE60" i="19"/>
  <c r="GW16" i="21"/>
  <c r="GZ16" i="21"/>
  <c r="PG70" i="35"/>
  <c r="FY29" i="39"/>
  <c r="KD29" i="39"/>
  <c r="KE29" i="39"/>
  <c r="GJ37" i="39"/>
  <c r="GK37" i="39"/>
  <c r="GW39" i="21"/>
  <c r="GX39" i="21"/>
  <c r="GY39" i="21"/>
  <c r="II39" i="21"/>
  <c r="IC39" i="21"/>
  <c r="IC27" i="21"/>
  <c r="GW27" i="21"/>
  <c r="GK22" i="35"/>
  <c r="GJ22" i="35"/>
  <c r="IJ29" i="19"/>
  <c r="IH29" i="19"/>
  <c r="IL29" i="19"/>
  <c r="IL73" i="19"/>
  <c r="IH73" i="19"/>
  <c r="IJ73" i="19"/>
  <c r="HH85" i="19"/>
  <c r="HT85" i="19"/>
  <c r="HU75" i="19"/>
  <c r="HQ75" i="19"/>
  <c r="HW28" i="19"/>
  <c r="HU28" i="19"/>
  <c r="HS28" i="19"/>
  <c r="HQ28" i="19"/>
  <c r="HU96" i="19"/>
  <c r="HS96" i="19"/>
  <c r="HW96" i="19"/>
  <c r="HQ96" i="19"/>
  <c r="HS19" i="21"/>
  <c r="HU19" i="21"/>
  <c r="AZ31" i="32"/>
  <c r="HG61" i="39"/>
  <c r="OH61" i="39"/>
  <c r="GK18" i="22"/>
  <c r="IJ26" i="32"/>
  <c r="OR73" i="19"/>
  <c r="OV73" i="19"/>
  <c r="GW25" i="34"/>
  <c r="GZ25" i="34"/>
  <c r="HV44" i="19"/>
  <c r="GK17" i="39"/>
  <c r="OW14" i="21"/>
  <c r="OH19" i="39"/>
  <c r="HG19" i="39"/>
  <c r="PJ29" i="22"/>
  <c r="KD99" i="19"/>
  <c r="KE99" i="19"/>
  <c r="FY99" i="19"/>
  <c r="PK60" i="31"/>
  <c r="IC25" i="21"/>
  <c r="II25" i="21"/>
  <c r="HQ25" i="21"/>
  <c r="GK56" i="39"/>
  <c r="GJ56" i="39"/>
  <c r="IH16" i="35"/>
  <c r="IJ16" i="35"/>
  <c r="IL16" i="35"/>
  <c r="OL31" i="21"/>
  <c r="OR31" i="21"/>
  <c r="OK31" i="21"/>
  <c r="GZ85" i="39"/>
  <c r="HI85" i="39"/>
  <c r="OK85" i="19"/>
  <c r="OL85" i="19"/>
  <c r="OR85" i="19"/>
  <c r="IL78" i="39"/>
  <c r="IH78" i="39"/>
  <c r="IJ78" i="39"/>
  <c r="HS15" i="21"/>
  <c r="HU15" i="21"/>
  <c r="GZ43" i="19"/>
  <c r="HI43" i="19"/>
  <c r="GZ106" i="19"/>
  <c r="HI106" i="19"/>
  <c r="GJ51" i="31"/>
  <c r="GX37" i="31"/>
  <c r="GY37" i="31"/>
  <c r="IB46" i="31"/>
  <c r="IE46" i="31"/>
  <c r="GS62" i="31"/>
  <c r="KK67" i="34"/>
  <c r="KD50" i="21"/>
  <c r="KE50" i="21"/>
  <c r="HZ44" i="19"/>
  <c r="IA44" i="19"/>
  <c r="IM102" i="39"/>
  <c r="JO108" i="39"/>
  <c r="GJ43" i="21"/>
  <c r="HV22" i="35"/>
  <c r="HZ22" i="35"/>
  <c r="HX22" i="35"/>
  <c r="KD98" i="19"/>
  <c r="KE98" i="19"/>
  <c r="FY98" i="19"/>
  <c r="PK29" i="22"/>
  <c r="PH50" i="34"/>
  <c r="PK50" i="34"/>
  <c r="PK67" i="34"/>
  <c r="PJ50" i="34"/>
  <c r="JC50" i="34"/>
  <c r="KD55" i="19"/>
  <c r="KE55" i="19"/>
  <c r="IC36" i="21"/>
  <c r="II36" i="21"/>
  <c r="II20" i="21"/>
  <c r="GW20" i="21"/>
  <c r="OM107" i="19"/>
  <c r="OL43" i="19"/>
  <c r="OK43" i="19"/>
  <c r="OR43" i="19"/>
  <c r="HH43" i="21"/>
  <c r="HK43" i="21"/>
  <c r="HT43" i="21"/>
  <c r="HP15" i="35"/>
  <c r="GK31" i="19"/>
  <c r="GJ31" i="19"/>
  <c r="HI29" i="19"/>
  <c r="GZ29" i="19"/>
  <c r="ID73" i="19"/>
  <c r="HZ72" i="19"/>
  <c r="IF78" i="39"/>
  <c r="IB78" i="39"/>
  <c r="IE13" i="34"/>
  <c r="IG13" i="34"/>
  <c r="OU81" i="19"/>
  <c r="OV81" i="19"/>
  <c r="IK10" i="39"/>
  <c r="IM10" i="39"/>
  <c r="IJ43" i="19"/>
  <c r="IL43" i="19"/>
  <c r="IH43" i="19"/>
  <c r="FY16" i="34"/>
  <c r="KD16" i="34"/>
  <c r="KE16" i="34"/>
  <c r="GK91" i="39"/>
  <c r="GJ91" i="39"/>
  <c r="IL61" i="35"/>
  <c r="HQ52" i="31"/>
  <c r="HP52" i="31"/>
  <c r="GW27" i="31"/>
  <c r="ID46" i="31"/>
  <c r="OP70" i="35"/>
  <c r="IH91" i="19"/>
  <c r="KD48" i="34"/>
  <c r="KE48" i="34"/>
  <c r="OM28" i="21"/>
  <c r="GJ9" i="21"/>
  <c r="GX50" i="39"/>
  <c r="GY50" i="39"/>
  <c r="II50" i="39"/>
  <c r="GW50" i="39"/>
  <c r="IC50" i="39"/>
  <c r="KD12" i="39"/>
  <c r="KE12" i="39"/>
  <c r="FY12" i="39"/>
  <c r="PH29" i="22"/>
  <c r="FY41" i="19"/>
  <c r="KD41" i="19"/>
  <c r="KE41" i="19"/>
  <c r="GW18" i="21"/>
  <c r="IC18" i="21"/>
  <c r="GJ26" i="21"/>
  <c r="GK26" i="21"/>
  <c r="IJ90" i="19"/>
  <c r="FY13" i="39"/>
  <c r="GJ26" i="39"/>
  <c r="GK26" i="39"/>
  <c r="HH43" i="19"/>
  <c r="HT43" i="19"/>
  <c r="OR43" i="21"/>
  <c r="OL43" i="21"/>
  <c r="OK43" i="21"/>
  <c r="KD23" i="19"/>
  <c r="KE23" i="19"/>
  <c r="IF29" i="19"/>
  <c r="IB29" i="19"/>
  <c r="ID29" i="19"/>
  <c r="GZ73" i="19"/>
  <c r="HI73" i="19"/>
  <c r="FY29" i="19"/>
  <c r="GJ36" i="21"/>
  <c r="GK36" i="21"/>
  <c r="HI22" i="19"/>
  <c r="GZ22" i="19"/>
  <c r="HV52" i="35"/>
  <c r="OU39" i="35"/>
  <c r="OV39" i="35"/>
  <c r="IF45" i="35"/>
  <c r="ID45" i="35"/>
  <c r="IB45" i="35"/>
  <c r="GZ45" i="35"/>
  <c r="HI45" i="35"/>
  <c r="OR26" i="35"/>
  <c r="OV26" i="35"/>
  <c r="HU11" i="35"/>
  <c r="HS11" i="35"/>
  <c r="HQ11" i="35"/>
  <c r="HW11" i="35"/>
  <c r="GZ54" i="35"/>
  <c r="HI54" i="35"/>
  <c r="IH54" i="35"/>
  <c r="IJ54" i="35"/>
  <c r="IL54" i="35"/>
  <c r="OM59" i="35"/>
  <c r="IB54" i="35"/>
  <c r="IB68" i="35"/>
  <c r="IE68" i="35"/>
  <c r="KK70" i="35"/>
  <c r="IG57" i="35"/>
  <c r="IE57" i="35"/>
  <c r="IA26" i="35"/>
  <c r="HY26" i="35"/>
  <c r="OL26" i="35"/>
  <c r="OM26" i="35"/>
  <c r="GJ38" i="35"/>
  <c r="GK38" i="35"/>
  <c r="GJ50" i="35"/>
  <c r="GK50" i="35"/>
  <c r="HH29" i="35"/>
  <c r="HT29" i="35"/>
  <c r="OW28" i="35"/>
  <c r="KM70" i="35"/>
  <c r="BE67" i="34"/>
  <c r="IB52" i="34"/>
  <c r="IF52" i="34"/>
  <c r="ID52" i="34"/>
  <c r="HG14" i="34"/>
  <c r="OH14" i="34"/>
  <c r="GJ10" i="33"/>
  <c r="GK10" i="33"/>
  <c r="KF14" i="33"/>
  <c r="IJ53" i="31"/>
  <c r="IL46" i="31"/>
  <c r="IM46" i="31"/>
  <c r="IJ46" i="31"/>
  <c r="IC43" i="31"/>
  <c r="IB43" i="31"/>
  <c r="KD21" i="31"/>
  <c r="KE21" i="31"/>
  <c r="FY14" i="31"/>
  <c r="GW22" i="31"/>
  <c r="GZ22" i="31"/>
  <c r="HI22" i="31"/>
  <c r="HX13" i="22"/>
  <c r="KD10" i="22"/>
  <c r="KE10" i="22"/>
  <c r="II19" i="21"/>
  <c r="GW19" i="21"/>
  <c r="IC19" i="21"/>
  <c r="GX19" i="21"/>
  <c r="GY19" i="21"/>
  <c r="HW19" i="21"/>
  <c r="HQ19" i="21"/>
  <c r="GX24" i="21"/>
  <c r="GY24" i="21"/>
  <c r="GW24" i="21"/>
  <c r="II24" i="21"/>
  <c r="IJ24" i="21"/>
  <c r="IC24" i="21"/>
  <c r="IF24" i="21"/>
  <c r="IL21" i="21"/>
  <c r="IK21" i="21"/>
  <c r="IY57" i="21"/>
  <c r="IY59" i="21"/>
  <c r="HT9" i="21"/>
  <c r="HH9" i="21"/>
  <c r="HS16" i="21"/>
  <c r="HU16" i="21"/>
  <c r="HQ16" i="21"/>
  <c r="HW16" i="21"/>
  <c r="ID21" i="21"/>
  <c r="IF21" i="21"/>
  <c r="IB21" i="21"/>
  <c r="GR59" i="21"/>
  <c r="GQ59" i="21"/>
  <c r="II12" i="21"/>
  <c r="GX12" i="21"/>
  <c r="GY12" i="21"/>
  <c r="GW12" i="21"/>
  <c r="IC12" i="21"/>
  <c r="GK20" i="21"/>
  <c r="GJ20" i="21"/>
  <c r="OR9" i="21"/>
  <c r="OL9" i="21"/>
  <c r="OK9" i="21"/>
  <c r="GK37" i="21"/>
  <c r="GJ37" i="21"/>
  <c r="IC41" i="21"/>
  <c r="II41" i="21"/>
  <c r="II26" i="21"/>
  <c r="GW26" i="21"/>
  <c r="IC26" i="21"/>
  <c r="GX26" i="21"/>
  <c r="GY26" i="21"/>
  <c r="IH17" i="21"/>
  <c r="GW11" i="21"/>
  <c r="GX11" i="21"/>
  <c r="GY11" i="21"/>
  <c r="IC11" i="21"/>
  <c r="II11" i="21"/>
  <c r="IO30" i="21"/>
  <c r="IQ30" i="21"/>
  <c r="HP37" i="21"/>
  <c r="OM42" i="21"/>
  <c r="IJ23" i="21"/>
  <c r="HX25" i="21"/>
  <c r="IQ17" i="21"/>
  <c r="IO17" i="21"/>
  <c r="HQ17" i="21"/>
  <c r="IC33" i="21"/>
  <c r="GW33" i="21"/>
  <c r="II33" i="21"/>
  <c r="GX33" i="21"/>
  <c r="GY33" i="21"/>
  <c r="KO57" i="21"/>
  <c r="GK15" i="21"/>
  <c r="GJ15" i="21"/>
  <c r="GZ32" i="21"/>
  <c r="HI32" i="21"/>
  <c r="GK23" i="21"/>
  <c r="GJ23" i="21"/>
  <c r="II14" i="21"/>
  <c r="GX14" i="21"/>
  <c r="GY14" i="21"/>
  <c r="IB35" i="21"/>
  <c r="HQ11" i="21"/>
  <c r="OU16" i="21"/>
  <c r="OV16" i="21"/>
  <c r="GZ21" i="21"/>
  <c r="HI21" i="21"/>
  <c r="HT32" i="21"/>
  <c r="HH32" i="21"/>
  <c r="HU18" i="21"/>
  <c r="HW18" i="21"/>
  <c r="HQ18" i="21"/>
  <c r="HS18" i="21"/>
  <c r="OK36" i="21"/>
  <c r="OR36" i="21"/>
  <c r="OL36" i="21"/>
  <c r="II38" i="21"/>
  <c r="IC38" i="21"/>
  <c r="GW38" i="21"/>
  <c r="GX38" i="21"/>
  <c r="GY38" i="21"/>
  <c r="IH35" i="21"/>
  <c r="IJ35" i="21"/>
  <c r="ID9" i="21"/>
  <c r="IB9" i="21"/>
  <c r="IF9" i="21"/>
  <c r="OK24" i="21"/>
  <c r="OL24" i="21"/>
  <c r="OR24" i="21"/>
  <c r="OK32" i="21"/>
  <c r="OR32" i="21"/>
  <c r="OL32" i="21"/>
  <c r="GK19" i="21"/>
  <c r="GJ19" i="21"/>
  <c r="HH36" i="21"/>
  <c r="HT36" i="21"/>
  <c r="JO57" i="21"/>
  <c r="KJ57" i="21"/>
  <c r="IL22" i="21"/>
  <c r="IH22" i="21"/>
  <c r="IJ22" i="21"/>
  <c r="OV40" i="21"/>
  <c r="OU40" i="21"/>
  <c r="IO41" i="21"/>
  <c r="IQ41" i="21"/>
  <c r="GW13" i="21"/>
  <c r="IC13" i="21"/>
  <c r="GX13" i="21"/>
  <c r="GY13" i="21"/>
  <c r="II13" i="21"/>
  <c r="HG13" i="39"/>
  <c r="OH13" i="39"/>
  <c r="GK65" i="39"/>
  <c r="GJ65" i="39"/>
  <c r="GJ31" i="39"/>
  <c r="GK31" i="39"/>
  <c r="IB36" i="39"/>
  <c r="ID36" i="39"/>
  <c r="OR55" i="39"/>
  <c r="OK55" i="39"/>
  <c r="OL55" i="39"/>
  <c r="GK45" i="39"/>
  <c r="IC68" i="39"/>
  <c r="II68" i="39"/>
  <c r="GX68" i="39"/>
  <c r="GY68" i="39"/>
  <c r="GW68" i="39"/>
  <c r="GK41" i="39"/>
  <c r="GK38" i="39"/>
  <c r="HI91" i="39"/>
  <c r="GZ91" i="39"/>
  <c r="IB22" i="39"/>
  <c r="ID22" i="39"/>
  <c r="IF22" i="39"/>
  <c r="HT21" i="39"/>
  <c r="HH21" i="39"/>
  <c r="OR45" i="39"/>
  <c r="OK45" i="39"/>
  <c r="OL45" i="39"/>
  <c r="IF69" i="39"/>
  <c r="IB86" i="39"/>
  <c r="IF86" i="39"/>
  <c r="ID86" i="39"/>
  <c r="GJ35" i="39"/>
  <c r="GK35" i="39"/>
  <c r="HT94" i="39"/>
  <c r="HH94" i="39"/>
  <c r="IJ22" i="39"/>
  <c r="IL22" i="39"/>
  <c r="IH22" i="39"/>
  <c r="OK21" i="39"/>
  <c r="OR21" i="39"/>
  <c r="OL21" i="39"/>
  <c r="IG94" i="39"/>
  <c r="IE94" i="39"/>
  <c r="GZ69" i="39"/>
  <c r="HI69" i="39"/>
  <c r="IC53" i="39"/>
  <c r="GW53" i="39"/>
  <c r="II53" i="39"/>
  <c r="GX53" i="39"/>
  <c r="GY53" i="39"/>
  <c r="IL46" i="39"/>
  <c r="IJ46" i="39"/>
  <c r="IH46" i="39"/>
  <c r="OK94" i="39"/>
  <c r="OL94" i="39"/>
  <c r="OR94" i="39"/>
  <c r="HT80" i="39"/>
  <c r="HH80" i="39"/>
  <c r="IF47" i="39"/>
  <c r="ID47" i="39"/>
  <c r="IB47" i="39"/>
  <c r="HH20" i="39"/>
  <c r="HT20" i="39"/>
  <c r="IC72" i="39"/>
  <c r="GW72" i="39"/>
  <c r="II72" i="39"/>
  <c r="GX72" i="39"/>
  <c r="GY72" i="39"/>
  <c r="GZ86" i="39"/>
  <c r="HI86" i="39"/>
  <c r="OR46" i="39"/>
  <c r="OL46" i="39"/>
  <c r="OK46" i="39"/>
  <c r="IH95" i="39"/>
  <c r="IL95" i="39"/>
  <c r="IJ95" i="39"/>
  <c r="GK57" i="39"/>
  <c r="GJ57" i="39"/>
  <c r="OR20" i="39"/>
  <c r="OK20" i="39"/>
  <c r="OL20" i="39"/>
  <c r="GW75" i="39"/>
  <c r="II75" i="39"/>
  <c r="GX75" i="39"/>
  <c r="GY75" i="39"/>
  <c r="IC75" i="39"/>
  <c r="OH11" i="39"/>
  <c r="HG11" i="39"/>
  <c r="OR51" i="39"/>
  <c r="OL51" i="39"/>
  <c r="OK51" i="39"/>
  <c r="HT60" i="39"/>
  <c r="HH60" i="39"/>
  <c r="HH46" i="39"/>
  <c r="HT46" i="39"/>
  <c r="GZ47" i="39"/>
  <c r="HI47" i="39"/>
  <c r="IB37" i="39"/>
  <c r="ID37" i="39"/>
  <c r="IF37" i="39"/>
  <c r="HH51" i="39"/>
  <c r="HT51" i="39"/>
  <c r="HI37" i="39"/>
  <c r="GZ37" i="39"/>
  <c r="IC31" i="39"/>
  <c r="II31" i="39"/>
  <c r="GX31" i="39"/>
  <c r="GY31" i="39"/>
  <c r="GW31" i="39"/>
  <c r="HT68" i="39"/>
  <c r="HH68" i="39"/>
  <c r="HT55" i="39"/>
  <c r="HH55" i="39"/>
  <c r="OR95" i="19"/>
  <c r="OK95" i="19"/>
  <c r="OL95" i="19"/>
  <c r="IL100" i="19"/>
  <c r="IH100" i="19"/>
  <c r="IJ100" i="19"/>
  <c r="KG66" i="19"/>
  <c r="FZ66" i="19"/>
  <c r="FY66" i="19"/>
  <c r="GJ66" i="19"/>
  <c r="HH95" i="19"/>
  <c r="HT95" i="19"/>
  <c r="ID26" i="19"/>
  <c r="IB26" i="19"/>
  <c r="IF26" i="19"/>
  <c r="IF88" i="19"/>
  <c r="ID88" i="19"/>
  <c r="IB88" i="19"/>
  <c r="HK91" i="19"/>
  <c r="GK48" i="19"/>
  <c r="GJ48" i="19"/>
  <c r="HI26" i="19"/>
  <c r="GZ26" i="19"/>
  <c r="HR54" i="19"/>
  <c r="HP54" i="19"/>
  <c r="IC117" i="19"/>
  <c r="IF117" i="19"/>
  <c r="IH26" i="19"/>
  <c r="IB100" i="19"/>
  <c r="ID100" i="19"/>
  <c r="IF100" i="19"/>
  <c r="OW42" i="19"/>
  <c r="GZ100" i="19"/>
  <c r="HY54" i="19"/>
  <c r="IA54" i="19"/>
  <c r="HX100" i="19"/>
  <c r="HZ100" i="19"/>
  <c r="HV100" i="19"/>
  <c r="GZ88" i="19"/>
  <c r="HI88" i="19"/>
  <c r="IY128" i="19"/>
  <c r="HH93" i="19"/>
  <c r="HT93" i="19"/>
  <c r="IH88" i="19"/>
  <c r="IL88" i="19"/>
  <c r="IJ88" i="19"/>
  <c r="GW43" i="34"/>
  <c r="GX43" i="34"/>
  <c r="GY43" i="34"/>
  <c r="II43" i="34"/>
  <c r="IJ43" i="34"/>
  <c r="IC43" i="34"/>
  <c r="HT17" i="22"/>
  <c r="HH17" i="22"/>
  <c r="HT42" i="31"/>
  <c r="HQ42" i="31"/>
  <c r="HH42" i="31"/>
  <c r="FY25" i="22"/>
  <c r="IH47" i="31"/>
  <c r="IC37" i="31"/>
  <c r="IF37" i="31"/>
  <c r="KH10" i="31"/>
  <c r="GX15" i="31"/>
  <c r="GY15" i="31"/>
  <c r="IB15" i="31"/>
  <c r="KI57" i="21"/>
  <c r="OV20" i="34"/>
  <c r="OW20" i="34"/>
  <c r="KR57" i="21"/>
  <c r="IU128" i="19"/>
  <c r="GX117" i="19"/>
  <c r="GY117" i="19"/>
  <c r="GZ117" i="19"/>
  <c r="HI117" i="19"/>
  <c r="HS120" i="19"/>
  <c r="HU120" i="19"/>
  <c r="OH17" i="39"/>
  <c r="HG17" i="39"/>
  <c r="II35" i="39"/>
  <c r="GX35" i="39"/>
  <c r="GY35" i="39"/>
  <c r="GW35" i="39"/>
  <c r="HW35" i="39"/>
  <c r="IC35" i="39"/>
  <c r="HQ35" i="39"/>
  <c r="GK80" i="39"/>
  <c r="GJ80" i="39"/>
  <c r="GK46" i="35"/>
  <c r="GJ46" i="35"/>
  <c r="IQ44" i="34"/>
  <c r="IO44" i="34"/>
  <c r="GZ90" i="39"/>
  <c r="HI90" i="39"/>
  <c r="IH39" i="35"/>
  <c r="IL39" i="35"/>
  <c r="IJ39" i="35"/>
  <c r="OR79" i="39"/>
  <c r="OK79" i="39"/>
  <c r="OL79" i="39"/>
  <c r="IF102" i="19"/>
  <c r="IB102" i="19"/>
  <c r="ID102" i="19"/>
  <c r="IB98" i="19"/>
  <c r="IF98" i="19"/>
  <c r="ID98" i="19"/>
  <c r="GJ35" i="35"/>
  <c r="GK35" i="35"/>
  <c r="GJ46" i="19"/>
  <c r="GK46" i="19"/>
  <c r="GK9" i="19"/>
  <c r="GJ9" i="19"/>
  <c r="IE36" i="39"/>
  <c r="IG36" i="39"/>
  <c r="GJ71" i="39"/>
  <c r="GK71" i="39"/>
  <c r="IB52" i="39"/>
  <c r="IF52" i="39"/>
  <c r="ID52" i="39"/>
  <c r="IK22" i="19"/>
  <c r="IM22" i="19"/>
  <c r="IH42" i="21"/>
  <c r="IJ42" i="21"/>
  <c r="IL42" i="21"/>
  <c r="FZ58" i="35"/>
  <c r="FY58" i="35"/>
  <c r="KG58" i="35"/>
  <c r="II79" i="39"/>
  <c r="GX79" i="39"/>
  <c r="GY79" i="39"/>
  <c r="IC79" i="39"/>
  <c r="GW79" i="39"/>
  <c r="GJ50" i="19"/>
  <c r="GK50" i="19"/>
  <c r="GW9" i="35"/>
  <c r="HW9" i="22"/>
  <c r="HX9" i="22"/>
  <c r="HG10" i="22"/>
  <c r="HT10" i="22"/>
  <c r="IL47" i="31"/>
  <c r="IM47" i="31"/>
  <c r="GW15" i="31"/>
  <c r="HI15" i="31"/>
  <c r="IH37" i="31"/>
  <c r="IK37" i="31"/>
  <c r="II36" i="31"/>
  <c r="IH36" i="31"/>
  <c r="GZ47" i="31"/>
  <c r="HI47" i="31"/>
  <c r="GC67" i="34"/>
  <c r="GW44" i="34"/>
  <c r="GZ44" i="34"/>
  <c r="FY118" i="19"/>
  <c r="GK118" i="19"/>
  <c r="OM48" i="35"/>
  <c r="GK112" i="19"/>
  <c r="GJ112" i="19"/>
  <c r="IH99" i="39"/>
  <c r="IL99" i="39"/>
  <c r="IJ99" i="39"/>
  <c r="HY42" i="21"/>
  <c r="HT79" i="39"/>
  <c r="HH79" i="39"/>
  <c r="HT24" i="19"/>
  <c r="HH24" i="19"/>
  <c r="HI85" i="19"/>
  <c r="GZ85" i="19"/>
  <c r="GJ74" i="19"/>
  <c r="GK74" i="19"/>
  <c r="IK72" i="19"/>
  <c r="IM72" i="19"/>
  <c r="HI52" i="39"/>
  <c r="HT51" i="34"/>
  <c r="HW51" i="34"/>
  <c r="HH51" i="34"/>
  <c r="IF42" i="21"/>
  <c r="ID42" i="21"/>
  <c r="IB42" i="21"/>
  <c r="IC9" i="35"/>
  <c r="IF9" i="35"/>
  <c r="ID68" i="35"/>
  <c r="GK21" i="22"/>
  <c r="GZ49" i="31"/>
  <c r="HI49" i="31"/>
  <c r="HK49" i="31"/>
  <c r="OH19" i="31"/>
  <c r="OL19" i="31"/>
  <c r="IJ37" i="31"/>
  <c r="IC36" i="31"/>
  <c r="IF36" i="31"/>
  <c r="HH29" i="34"/>
  <c r="HQ44" i="34"/>
  <c r="HR44" i="34"/>
  <c r="BK57" i="21"/>
  <c r="HV13" i="39"/>
  <c r="HX13" i="39"/>
  <c r="HZ13" i="39"/>
  <c r="GK13" i="21"/>
  <c r="GJ13" i="21"/>
  <c r="CQ10" i="21"/>
  <c r="FZ10" i="21"/>
  <c r="FY10" i="21"/>
  <c r="KG10" i="21"/>
  <c r="CE57" i="21"/>
  <c r="GK23" i="35"/>
  <c r="GJ23" i="35"/>
  <c r="KG24" i="31"/>
  <c r="FZ24" i="31"/>
  <c r="FY24" i="31"/>
  <c r="GJ24" i="31"/>
  <c r="GZ37" i="19"/>
  <c r="HI37" i="19"/>
  <c r="HH26" i="35"/>
  <c r="HT26" i="35"/>
  <c r="II64" i="39"/>
  <c r="GX64" i="39"/>
  <c r="GY64" i="39"/>
  <c r="IC64" i="39"/>
  <c r="GW64" i="39"/>
  <c r="OM22" i="19"/>
  <c r="OR70" i="19"/>
  <c r="OK70" i="19"/>
  <c r="OL70" i="19"/>
  <c r="OU23" i="21"/>
  <c r="OV23" i="21"/>
  <c r="HT23" i="19"/>
  <c r="HH23" i="19"/>
  <c r="GK107" i="39"/>
  <c r="GJ107" i="39"/>
  <c r="GK39" i="35"/>
  <c r="GJ39" i="35"/>
  <c r="IB90" i="39"/>
  <c r="IF90" i="39"/>
  <c r="ID90" i="39"/>
  <c r="GK40" i="39"/>
  <c r="GJ40" i="39"/>
  <c r="HS12" i="22"/>
  <c r="AR29" i="22"/>
  <c r="II9" i="22"/>
  <c r="IH9" i="22"/>
  <c r="GW36" i="31"/>
  <c r="GZ36" i="31"/>
  <c r="ID30" i="35"/>
  <c r="JC128" i="19"/>
  <c r="GQ128" i="19"/>
  <c r="HX10" i="34"/>
  <c r="HZ10" i="34"/>
  <c r="HV10" i="34"/>
  <c r="GX16" i="39"/>
  <c r="GY16" i="39"/>
  <c r="IC16" i="39"/>
  <c r="IY108" i="39"/>
  <c r="IY110" i="39"/>
  <c r="IB18" i="39"/>
  <c r="IF18" i="39"/>
  <c r="ID18" i="39"/>
  <c r="OK39" i="21"/>
  <c r="OL39" i="21"/>
  <c r="OR39" i="21"/>
  <c r="IF38" i="19"/>
  <c r="ID38" i="19"/>
  <c r="IB38" i="19"/>
  <c r="IF91" i="19"/>
  <c r="ID91" i="19"/>
  <c r="IB91" i="19"/>
  <c r="GR110" i="39"/>
  <c r="GQ110" i="39"/>
  <c r="GK63" i="19"/>
  <c r="GJ63" i="19"/>
  <c r="HH70" i="19"/>
  <c r="HT70" i="19"/>
  <c r="GJ55" i="34"/>
  <c r="GK55" i="34"/>
  <c r="OV59" i="35"/>
  <c r="OU59" i="35"/>
  <c r="HY21" i="35"/>
  <c r="OL23" i="19"/>
  <c r="OK23" i="19"/>
  <c r="HU83" i="19"/>
  <c r="HW83" i="19"/>
  <c r="HS83" i="19"/>
  <c r="HQ83" i="19"/>
  <c r="GB70" i="35"/>
  <c r="OO108" i="39"/>
  <c r="OM105" i="19"/>
  <c r="GJ73" i="39"/>
  <c r="GK73" i="39"/>
  <c r="HH73" i="39"/>
  <c r="HT73" i="39"/>
  <c r="IQ31" i="39"/>
  <c r="IO31" i="39"/>
  <c r="IF99" i="39"/>
  <c r="IB99" i="39"/>
  <c r="ID99" i="39"/>
  <c r="ID37" i="21"/>
  <c r="IF37" i="21"/>
  <c r="IB37" i="21"/>
  <c r="IH18" i="39"/>
  <c r="IL18" i="39"/>
  <c r="IJ18" i="39"/>
  <c r="HT39" i="21"/>
  <c r="HH39" i="21"/>
  <c r="IC67" i="39"/>
  <c r="GX67" i="39"/>
  <c r="GY67" i="39"/>
  <c r="II67" i="39"/>
  <c r="GW67" i="39"/>
  <c r="GJ44" i="35"/>
  <c r="GK44" i="35"/>
  <c r="HH73" i="19"/>
  <c r="HT73" i="19"/>
  <c r="HH81" i="39"/>
  <c r="HT81" i="39"/>
  <c r="IK35" i="21"/>
  <c r="IM35" i="21"/>
  <c r="IC9" i="22"/>
  <c r="ID9" i="22"/>
  <c r="GW37" i="31"/>
  <c r="KQ57" i="21"/>
  <c r="IY29" i="22"/>
  <c r="IY31" i="22"/>
  <c r="GW9" i="22"/>
  <c r="HI9" i="22"/>
  <c r="IB59" i="31"/>
  <c r="FY20" i="32"/>
  <c r="GK20" i="32"/>
  <c r="IB30" i="35"/>
  <c r="GZ52" i="34"/>
  <c r="HI52" i="34"/>
  <c r="IH98" i="19"/>
  <c r="OM52" i="35"/>
  <c r="IC103" i="39"/>
  <c r="GX103" i="39"/>
  <c r="GY103" i="39"/>
  <c r="II103" i="39"/>
  <c r="GW103" i="39"/>
  <c r="HG10" i="35"/>
  <c r="OH10" i="35"/>
  <c r="GK47" i="39"/>
  <c r="GJ47" i="39"/>
  <c r="GJ35" i="19"/>
  <c r="GK35" i="19"/>
  <c r="IC65" i="39"/>
  <c r="II65" i="39"/>
  <c r="GX65" i="39"/>
  <c r="GY65" i="39"/>
  <c r="GW65" i="39"/>
  <c r="HH34" i="19"/>
  <c r="HT34" i="19"/>
  <c r="GJ64" i="35"/>
  <c r="GK64" i="35"/>
  <c r="HI14" i="39"/>
  <c r="GZ14" i="39"/>
  <c r="IL49" i="39"/>
  <c r="IJ49" i="39"/>
  <c r="IH49" i="39"/>
  <c r="GK21" i="39"/>
  <c r="GJ21" i="39"/>
  <c r="FY113" i="19"/>
  <c r="OL81" i="39"/>
  <c r="OK81" i="39"/>
  <c r="OR81" i="39"/>
  <c r="OW28" i="21"/>
  <c r="HU76" i="19"/>
  <c r="HS76" i="19"/>
  <c r="HW76" i="19"/>
  <c r="HQ76" i="19"/>
  <c r="IH61" i="35"/>
  <c r="KF60" i="31"/>
  <c r="KD14" i="32"/>
  <c r="KE14" i="32"/>
  <c r="GX30" i="32"/>
  <c r="GY30" i="32"/>
  <c r="JP58" i="21"/>
  <c r="EB108" i="39"/>
  <c r="II117" i="19"/>
  <c r="IJ117" i="19"/>
  <c r="IC114" i="19"/>
  <c r="II114" i="19"/>
  <c r="GW114" i="19"/>
  <c r="GX114" i="19"/>
  <c r="GY114" i="19"/>
  <c r="GW62" i="35"/>
  <c r="GX62" i="35"/>
  <c r="GY62" i="35"/>
  <c r="FZ19" i="35"/>
  <c r="FY19" i="35"/>
  <c r="GK19" i="35"/>
  <c r="KG19" i="35"/>
  <c r="GK46" i="21"/>
  <c r="GJ46" i="21"/>
  <c r="KG67" i="19"/>
  <c r="FZ67" i="19"/>
  <c r="FY67" i="19"/>
  <c r="IL90" i="39"/>
  <c r="IH90" i="39"/>
  <c r="IJ90" i="39"/>
  <c r="IL45" i="35"/>
  <c r="IJ45" i="35"/>
  <c r="IH45" i="35"/>
  <c r="HI98" i="19"/>
  <c r="GZ98" i="19"/>
  <c r="IQ36" i="39"/>
  <c r="IO36" i="39"/>
  <c r="KG37" i="19"/>
  <c r="FZ37" i="19"/>
  <c r="FY37" i="19"/>
  <c r="GJ13" i="19"/>
  <c r="GK13" i="19"/>
  <c r="OV37" i="21"/>
  <c r="OU37" i="21"/>
  <c r="HR53" i="19"/>
  <c r="HP53" i="19"/>
  <c r="HK113" i="19"/>
  <c r="IE118" i="19"/>
  <c r="IC116" i="19"/>
  <c r="GW116" i="19"/>
  <c r="GX116" i="19"/>
  <c r="GY116" i="19"/>
  <c r="II116" i="19"/>
  <c r="GX122" i="19"/>
  <c r="GY122" i="19"/>
  <c r="GW122" i="19"/>
  <c r="II122" i="19"/>
  <c r="IC122" i="19"/>
  <c r="IL118" i="19"/>
  <c r="IH118" i="19"/>
  <c r="IJ118" i="19"/>
  <c r="HI14" i="21"/>
  <c r="GZ14" i="21"/>
  <c r="OL108" i="19"/>
  <c r="OR108" i="19"/>
  <c r="OK108" i="19"/>
  <c r="OU101" i="19"/>
  <c r="OV101" i="19"/>
  <c r="HH56" i="39"/>
  <c r="HT56" i="39"/>
  <c r="HU52" i="31"/>
  <c r="GX57" i="31"/>
  <c r="GY57" i="31"/>
  <c r="KF67" i="34"/>
  <c r="GX44" i="34"/>
  <c r="GY44" i="34"/>
  <c r="OM20" i="34"/>
  <c r="HT119" i="19"/>
  <c r="HH119" i="19"/>
  <c r="HG62" i="39"/>
  <c r="OH62" i="39"/>
  <c r="KG54" i="39"/>
  <c r="FZ54" i="39"/>
  <c r="FY54" i="39"/>
  <c r="OV34" i="21"/>
  <c r="OU34" i="21"/>
  <c r="FY104" i="19"/>
  <c r="KD104" i="19"/>
  <c r="KE104" i="19"/>
  <c r="GK106" i="19"/>
  <c r="GJ106" i="19"/>
  <c r="OL20" i="19"/>
  <c r="OK20" i="19"/>
  <c r="OR20" i="19"/>
  <c r="HH83" i="39"/>
  <c r="HT83" i="39"/>
  <c r="HW66" i="19"/>
  <c r="HU66" i="19"/>
  <c r="HS66" i="19"/>
  <c r="HQ66" i="19"/>
  <c r="OU105" i="19"/>
  <c r="OV105" i="19"/>
  <c r="OL40" i="35"/>
  <c r="OR40" i="35"/>
  <c r="OK40" i="35"/>
  <c r="IL95" i="19"/>
  <c r="IJ95" i="19"/>
  <c r="IH95" i="19"/>
  <c r="GZ48" i="35"/>
  <c r="HI48" i="35"/>
  <c r="KD122" i="19"/>
  <c r="KE122" i="19"/>
  <c r="IJ62" i="35"/>
  <c r="IC39" i="31"/>
  <c r="IF39" i="31"/>
  <c r="II39" i="31"/>
  <c r="IH39" i="31"/>
  <c r="HH33" i="31"/>
  <c r="GW57" i="31"/>
  <c r="IK51" i="31"/>
  <c r="OW51" i="35"/>
  <c r="HK93" i="39"/>
  <c r="HU17" i="35"/>
  <c r="OM98" i="39"/>
  <c r="ID48" i="35"/>
  <c r="CE67" i="34"/>
  <c r="CQ67" i="34"/>
  <c r="OH50" i="34"/>
  <c r="OL50" i="34"/>
  <c r="HT117" i="19"/>
  <c r="HH117" i="19"/>
  <c r="IL67" i="35"/>
  <c r="IJ67" i="35"/>
  <c r="IH67" i="35"/>
  <c r="HH60" i="34"/>
  <c r="HT60" i="34"/>
  <c r="HQ60" i="34"/>
  <c r="GJ60" i="39"/>
  <c r="GK60" i="39"/>
  <c r="GS15" i="33"/>
  <c r="HI13" i="39"/>
  <c r="OR35" i="35"/>
  <c r="OL35" i="35"/>
  <c r="OK35" i="35"/>
  <c r="GK64" i="39"/>
  <c r="GJ64" i="39"/>
  <c r="GJ84" i="39"/>
  <c r="GK84" i="39"/>
  <c r="OL83" i="39"/>
  <c r="OR83" i="39"/>
  <c r="OK83" i="39"/>
  <c r="OU13" i="21"/>
  <c r="OV13" i="21"/>
  <c r="GZ9" i="39"/>
  <c r="HI9" i="39"/>
  <c r="GZ59" i="39"/>
  <c r="HI59" i="39"/>
  <c r="HU68" i="19"/>
  <c r="HQ68" i="19"/>
  <c r="HW68" i="19"/>
  <c r="HS68" i="19"/>
  <c r="IB101" i="19"/>
  <c r="IF101" i="19"/>
  <c r="ID101" i="19"/>
  <c r="GJ14" i="34"/>
  <c r="GK14" i="34"/>
  <c r="HT40" i="35"/>
  <c r="HH40" i="35"/>
  <c r="HS30" i="21"/>
  <c r="HU30" i="21"/>
  <c r="HQ30" i="21"/>
  <c r="HW30" i="21"/>
  <c r="GJ50" i="39"/>
  <c r="GK50" i="39"/>
  <c r="OV68" i="19"/>
  <c r="OU68" i="19"/>
  <c r="HI95" i="19"/>
  <c r="GZ95" i="19"/>
  <c r="HI58" i="35"/>
  <c r="GZ58" i="35"/>
  <c r="IL48" i="35"/>
  <c r="IH48" i="35"/>
  <c r="IJ48" i="35"/>
  <c r="HG102" i="39"/>
  <c r="OH102" i="39"/>
  <c r="IH9" i="39"/>
  <c r="IL9" i="39"/>
  <c r="IJ9" i="39"/>
  <c r="OU27" i="21"/>
  <c r="OV27" i="21"/>
  <c r="OR45" i="21"/>
  <c r="IU29" i="22"/>
  <c r="IU31" i="22"/>
  <c r="GX39" i="31"/>
  <c r="GY39" i="31"/>
  <c r="GZ39" i="31"/>
  <c r="HI39" i="31"/>
  <c r="PQ70" i="35"/>
  <c r="HW17" i="35"/>
  <c r="HV17" i="35"/>
  <c r="IB48" i="35"/>
  <c r="OP67" i="34"/>
  <c r="KD24" i="34"/>
  <c r="KE24" i="34"/>
  <c r="EB57" i="21"/>
  <c r="GK48" i="39"/>
  <c r="GJ48" i="39"/>
  <c r="GK45" i="19"/>
  <c r="GJ45" i="19"/>
  <c r="KF108" i="39"/>
  <c r="II70" i="39"/>
  <c r="GX70" i="39"/>
  <c r="GY70" i="39"/>
  <c r="GW70" i="39"/>
  <c r="IC70" i="39"/>
  <c r="HH35" i="35"/>
  <c r="HT35" i="35"/>
  <c r="GK28" i="35"/>
  <c r="GJ28" i="35"/>
  <c r="HT51" i="19"/>
  <c r="HH51" i="19"/>
  <c r="IH81" i="39"/>
  <c r="IL81" i="39"/>
  <c r="IJ81" i="39"/>
  <c r="HH104" i="19"/>
  <c r="HK104" i="19"/>
  <c r="HT104" i="19"/>
  <c r="OM13" i="21"/>
  <c r="IK29" i="35"/>
  <c r="IM29" i="35"/>
  <c r="OK32" i="39"/>
  <c r="OL32" i="39"/>
  <c r="OR32" i="39"/>
  <c r="IL59" i="39"/>
  <c r="IH59" i="39"/>
  <c r="IJ59" i="39"/>
  <c r="GK14" i="35"/>
  <c r="GJ14" i="35"/>
  <c r="HW42" i="35"/>
  <c r="HU42" i="35"/>
  <c r="OV20" i="35"/>
  <c r="OU20" i="35"/>
  <c r="HI101" i="19"/>
  <c r="GZ101" i="19"/>
  <c r="HH33" i="21"/>
  <c r="HT33" i="21"/>
  <c r="IU13" i="33"/>
  <c r="IU15" i="33"/>
  <c r="HH98" i="19"/>
  <c r="HT98" i="19"/>
  <c r="IH58" i="35"/>
  <c r="IJ58" i="35"/>
  <c r="IL58" i="35"/>
  <c r="HT38" i="21"/>
  <c r="HH38" i="21"/>
  <c r="OV22" i="34"/>
  <c r="OU22" i="34"/>
  <c r="HS47" i="31"/>
  <c r="HU47" i="31"/>
  <c r="IL71" i="39"/>
  <c r="IJ71" i="39"/>
  <c r="IH71" i="39"/>
  <c r="OV42" i="35"/>
  <c r="OU42" i="35"/>
  <c r="IG93" i="39"/>
  <c r="IE93" i="39"/>
  <c r="AZ13" i="19"/>
  <c r="GQ38" i="32"/>
  <c r="HS17" i="35"/>
  <c r="KD38" i="34"/>
  <c r="KE38" i="34"/>
  <c r="HW44" i="34"/>
  <c r="HX44" i="34"/>
  <c r="OU52" i="35"/>
  <c r="OW52" i="35"/>
  <c r="HH66" i="35"/>
  <c r="HT66" i="35"/>
  <c r="OH23" i="34"/>
  <c r="HG23" i="34"/>
  <c r="FZ15" i="39"/>
  <c r="FY15" i="39"/>
  <c r="KG15" i="39"/>
  <c r="CE108" i="39"/>
  <c r="OR51" i="19"/>
  <c r="OL51" i="19"/>
  <c r="OK51" i="19"/>
  <c r="GK36" i="39"/>
  <c r="GJ36" i="39"/>
  <c r="IA41" i="21"/>
  <c r="HY41" i="21"/>
  <c r="OK104" i="19"/>
  <c r="OR104" i="19"/>
  <c r="OL104" i="19"/>
  <c r="IL13" i="35"/>
  <c r="IH13" i="35"/>
  <c r="IJ13" i="35"/>
  <c r="HH32" i="39"/>
  <c r="HT32" i="39"/>
  <c r="HW32" i="39"/>
  <c r="ID59" i="39"/>
  <c r="IB59" i="39"/>
  <c r="IF59" i="39"/>
  <c r="IJ101" i="19"/>
  <c r="IH101" i="19"/>
  <c r="IL101" i="19"/>
  <c r="GZ115" i="19"/>
  <c r="HI115" i="19"/>
  <c r="OR33" i="21"/>
  <c r="OK33" i="21"/>
  <c r="OL33" i="21"/>
  <c r="OK40" i="39"/>
  <c r="OR40" i="39"/>
  <c r="OL40" i="39"/>
  <c r="OR98" i="19"/>
  <c r="OL98" i="19"/>
  <c r="OK98" i="19"/>
  <c r="OR38" i="21"/>
  <c r="OL38" i="21"/>
  <c r="OK38" i="21"/>
  <c r="HH20" i="19"/>
  <c r="HT20" i="19"/>
  <c r="BK70" i="35"/>
  <c r="HS18" i="22"/>
  <c r="AT29" i="22"/>
  <c r="II43" i="31"/>
  <c r="IL43" i="31"/>
  <c r="IC57" i="31"/>
  <c r="IB57" i="31"/>
  <c r="FY27" i="32"/>
  <c r="GJ27" i="32"/>
  <c r="HT62" i="34"/>
  <c r="HS62" i="34"/>
  <c r="NU11" i="33"/>
  <c r="NU13" i="33"/>
  <c r="NT13" i="33"/>
  <c r="HG9" i="39"/>
  <c r="OH9" i="39"/>
  <c r="HH64" i="39"/>
  <c r="HT64" i="39"/>
  <c r="OR35" i="21"/>
  <c r="OK35" i="21"/>
  <c r="OL35" i="21"/>
  <c r="GZ97" i="19"/>
  <c r="HI97" i="19"/>
  <c r="OW66" i="19"/>
  <c r="HT16" i="39"/>
  <c r="HH16" i="39"/>
  <c r="HU31" i="21"/>
  <c r="HS31" i="21"/>
  <c r="HW31" i="21"/>
  <c r="HQ31" i="21"/>
  <c r="HU12" i="33"/>
  <c r="HS12" i="33"/>
  <c r="OL19" i="19"/>
  <c r="OR19" i="19"/>
  <c r="OK19" i="19"/>
  <c r="GZ44" i="21"/>
  <c r="HI44" i="21"/>
  <c r="GZ45" i="19"/>
  <c r="HI45" i="19"/>
  <c r="HT40" i="39"/>
  <c r="HH40" i="39"/>
  <c r="HS25" i="35"/>
  <c r="HQ25" i="35"/>
  <c r="HU25" i="35"/>
  <c r="HW25" i="35"/>
  <c r="HT24" i="39"/>
  <c r="HH24" i="39"/>
  <c r="OK97" i="39"/>
  <c r="OL97" i="39"/>
  <c r="OR97" i="39"/>
  <c r="KD37" i="34"/>
  <c r="KE37" i="34"/>
  <c r="OT25" i="39"/>
  <c r="OQ108" i="39"/>
  <c r="OU17" i="19"/>
  <c r="OV17" i="19"/>
  <c r="IK88" i="39"/>
  <c r="IM88" i="39"/>
  <c r="GX43" i="31"/>
  <c r="GY43" i="31"/>
  <c r="GZ43" i="31"/>
  <c r="OH18" i="31"/>
  <c r="OL18" i="31"/>
  <c r="HG15" i="34"/>
  <c r="OH15" i="34"/>
  <c r="HG21" i="34"/>
  <c r="OH21" i="34"/>
  <c r="GK123" i="19"/>
  <c r="GJ123" i="19"/>
  <c r="FZ30" i="39"/>
  <c r="FY30" i="39"/>
  <c r="KG30" i="39"/>
  <c r="IL15" i="39"/>
  <c r="IH15" i="39"/>
  <c r="IJ15" i="39"/>
  <c r="OR64" i="39"/>
  <c r="OK64" i="39"/>
  <c r="OL64" i="39"/>
  <c r="IB48" i="39"/>
  <c r="ID48" i="39"/>
  <c r="IF48" i="39"/>
  <c r="IF35" i="35"/>
  <c r="ID35" i="35"/>
  <c r="IB35" i="35"/>
  <c r="HT35" i="21"/>
  <c r="HH35" i="21"/>
  <c r="GZ30" i="35"/>
  <c r="HI30" i="35"/>
  <c r="OR16" i="39"/>
  <c r="OL16" i="39"/>
  <c r="OK16" i="39"/>
  <c r="HI70" i="19"/>
  <c r="GZ70" i="19"/>
  <c r="HH19" i="19"/>
  <c r="HT19" i="19"/>
  <c r="IF44" i="21"/>
  <c r="IB44" i="21"/>
  <c r="ID44" i="21"/>
  <c r="IH27" i="39"/>
  <c r="IL27" i="39"/>
  <c r="IJ27" i="39"/>
  <c r="IK31" i="19"/>
  <c r="IM31" i="19"/>
  <c r="HQ27" i="21"/>
  <c r="HW27" i="21"/>
  <c r="HP91" i="19"/>
  <c r="HR91" i="19"/>
  <c r="ID115" i="19"/>
  <c r="IB115" i="19"/>
  <c r="IF115" i="19"/>
  <c r="IJ45" i="19"/>
  <c r="IL45" i="19"/>
  <c r="IH45" i="19"/>
  <c r="OR24" i="39"/>
  <c r="OK24" i="39"/>
  <c r="OL24" i="39"/>
  <c r="HT97" i="39"/>
  <c r="HH97" i="39"/>
  <c r="GX60" i="39"/>
  <c r="GY60" i="39"/>
  <c r="II60" i="39"/>
  <c r="IC60" i="39"/>
  <c r="GW60" i="39"/>
  <c r="ID15" i="39"/>
  <c r="IB15" i="39"/>
  <c r="IF15" i="39"/>
  <c r="IG98" i="39"/>
  <c r="IE98" i="39"/>
  <c r="OK37" i="19"/>
  <c r="OR37" i="19"/>
  <c r="OL37" i="19"/>
  <c r="HP88" i="19"/>
  <c r="HR88" i="19"/>
  <c r="IH62" i="35"/>
  <c r="IK62" i="35"/>
  <c r="HU18" i="22"/>
  <c r="IQ23" i="31"/>
  <c r="FY17" i="31"/>
  <c r="GJ17" i="31"/>
  <c r="KD26" i="32"/>
  <c r="KE26" i="32"/>
  <c r="HQ47" i="31"/>
  <c r="FY46" i="34"/>
  <c r="GK46" i="34"/>
  <c r="IC44" i="34"/>
  <c r="IF44" i="34"/>
  <c r="GE57" i="21"/>
  <c r="HG47" i="19"/>
  <c r="OH47" i="19"/>
  <c r="GK59" i="35"/>
  <c r="GJ59" i="35"/>
  <c r="IO23" i="34"/>
  <c r="IQ23" i="34"/>
  <c r="IG20" i="35"/>
  <c r="IE20" i="35"/>
  <c r="GK20" i="19"/>
  <c r="GJ20" i="19"/>
  <c r="IH20" i="39"/>
  <c r="IL20" i="39"/>
  <c r="IJ20" i="39"/>
  <c r="HT108" i="19"/>
  <c r="HH108" i="19"/>
  <c r="HK108" i="19"/>
  <c r="IL30" i="35"/>
  <c r="IH30" i="35"/>
  <c r="IJ30" i="35"/>
  <c r="IL44" i="21"/>
  <c r="IH44" i="21"/>
  <c r="IJ44" i="21"/>
  <c r="HI27" i="39"/>
  <c r="GZ27" i="39"/>
  <c r="IL115" i="19"/>
  <c r="IJ115" i="19"/>
  <c r="IH115" i="19"/>
  <c r="HT37" i="19"/>
  <c r="HH37" i="19"/>
  <c r="IK93" i="39"/>
  <c r="OR31" i="19"/>
  <c r="OL31" i="19"/>
  <c r="OK31" i="19"/>
  <c r="IM43" i="21"/>
  <c r="IK43" i="21"/>
  <c r="HX88" i="19"/>
  <c r="HW31" i="19"/>
  <c r="HQ31" i="19"/>
  <c r="HU31" i="19"/>
  <c r="HS31" i="19"/>
  <c r="HT16" i="22"/>
  <c r="HH16" i="22"/>
  <c r="GW13" i="32"/>
  <c r="GZ13" i="32"/>
  <c r="HW13" i="32"/>
  <c r="GK37" i="34"/>
  <c r="GJ37" i="34"/>
  <c r="HE70" i="35"/>
  <c r="OK49" i="19"/>
  <c r="OM49" i="19"/>
  <c r="GW63" i="35"/>
  <c r="GZ63" i="35"/>
  <c r="HI63" i="35"/>
  <c r="KM29" i="22"/>
  <c r="BA29" i="22"/>
  <c r="HV13" i="22"/>
  <c r="FY33" i="31"/>
  <c r="GK33" i="31"/>
  <c r="IF23" i="31"/>
  <c r="IG23" i="31"/>
  <c r="IC22" i="31"/>
  <c r="ID22" i="31"/>
  <c r="GX31" i="31"/>
  <c r="GY31" i="31"/>
  <c r="GZ31" i="31"/>
  <c r="HI31" i="31"/>
  <c r="FY33" i="32"/>
  <c r="GK33" i="32"/>
  <c r="GR38" i="32"/>
  <c r="OM21" i="21"/>
  <c r="IF29" i="39"/>
  <c r="IG29" i="39"/>
  <c r="II24" i="34"/>
  <c r="IH24" i="34"/>
  <c r="KD36" i="34"/>
  <c r="KE36" i="34"/>
  <c r="GV45" i="21"/>
  <c r="GT57" i="21"/>
  <c r="GT59" i="21"/>
  <c r="KD67" i="35"/>
  <c r="KE67" i="35"/>
  <c r="GA70" i="35"/>
  <c r="FY67" i="35"/>
  <c r="FY120" i="19"/>
  <c r="KD120" i="19"/>
  <c r="KE120" i="19"/>
  <c r="OH43" i="34"/>
  <c r="HG43" i="34"/>
  <c r="GX76" i="39"/>
  <c r="GY76" i="39"/>
  <c r="IC76" i="39"/>
  <c r="GW76" i="39"/>
  <c r="II76" i="39"/>
  <c r="II40" i="31"/>
  <c r="GX40" i="31"/>
  <c r="GY40" i="31"/>
  <c r="IC40" i="31"/>
  <c r="GW40" i="31"/>
  <c r="GJ85" i="39"/>
  <c r="GK16" i="35"/>
  <c r="GJ16" i="35"/>
  <c r="IK65" i="19"/>
  <c r="IM65" i="19"/>
  <c r="GZ14" i="35"/>
  <c r="HI14" i="35"/>
  <c r="HW87" i="19"/>
  <c r="HS87" i="19"/>
  <c r="HQ87" i="19"/>
  <c r="HU87" i="19"/>
  <c r="IB41" i="19"/>
  <c r="IF41" i="19"/>
  <c r="ID41" i="19"/>
  <c r="IL83" i="19"/>
  <c r="IH83" i="19"/>
  <c r="IJ83" i="19"/>
  <c r="IH12" i="39"/>
  <c r="IJ12" i="39"/>
  <c r="IL12" i="39"/>
  <c r="IL39" i="19"/>
  <c r="IJ39" i="19"/>
  <c r="IH39" i="19"/>
  <c r="IH34" i="39"/>
  <c r="IJ34" i="39"/>
  <c r="IL34" i="39"/>
  <c r="HU31" i="34"/>
  <c r="HS31" i="34"/>
  <c r="OH37" i="34"/>
  <c r="HG37" i="34"/>
  <c r="HS30" i="35"/>
  <c r="HQ30" i="35"/>
  <c r="HU30" i="35"/>
  <c r="HW30" i="35"/>
  <c r="ID44" i="19"/>
  <c r="IB44" i="19"/>
  <c r="IF44" i="19"/>
  <c r="HH10" i="19"/>
  <c r="HT10" i="19"/>
  <c r="HQ14" i="21"/>
  <c r="HI31" i="21"/>
  <c r="OP29" i="22"/>
  <c r="IB17" i="31"/>
  <c r="OM15" i="31"/>
  <c r="GW30" i="32"/>
  <c r="HI30" i="32"/>
  <c r="OT36" i="32"/>
  <c r="FY102" i="39"/>
  <c r="GJ102" i="39"/>
  <c r="OR49" i="19"/>
  <c r="OV49" i="19"/>
  <c r="KR67" i="34"/>
  <c r="KH45" i="21"/>
  <c r="GA45" i="21"/>
  <c r="CQ45" i="21"/>
  <c r="CF57" i="21"/>
  <c r="HE50" i="21"/>
  <c r="HC57" i="21"/>
  <c r="IA116" i="19"/>
  <c r="HY116" i="19"/>
  <c r="II49" i="21"/>
  <c r="GW49" i="21"/>
  <c r="GX49" i="21"/>
  <c r="GY49" i="21"/>
  <c r="IC49" i="21"/>
  <c r="OH24" i="34"/>
  <c r="HG24" i="34"/>
  <c r="IC22" i="34"/>
  <c r="GW22" i="34"/>
  <c r="II22" i="34"/>
  <c r="GX22" i="34"/>
  <c r="GY22" i="34"/>
  <c r="GJ9" i="33"/>
  <c r="GK9" i="33"/>
  <c r="GW27" i="34"/>
  <c r="II27" i="34"/>
  <c r="GX27" i="34"/>
  <c r="GY27" i="34"/>
  <c r="IC27" i="34"/>
  <c r="HH49" i="19"/>
  <c r="HT49" i="19"/>
  <c r="IB83" i="19"/>
  <c r="ID83" i="19"/>
  <c r="IF83" i="19"/>
  <c r="IF34" i="39"/>
  <c r="ID34" i="39"/>
  <c r="IB34" i="39"/>
  <c r="KD69" i="35"/>
  <c r="KE69" i="35"/>
  <c r="FY69" i="35"/>
  <c r="OT20" i="21"/>
  <c r="OV20" i="21"/>
  <c r="GJ61" i="39"/>
  <c r="GK61" i="39"/>
  <c r="GK17" i="35"/>
  <c r="GJ17" i="35"/>
  <c r="IH41" i="19"/>
  <c r="IJ41" i="19"/>
  <c r="IL41" i="19"/>
  <c r="HI83" i="19"/>
  <c r="GZ83" i="19"/>
  <c r="IE54" i="19"/>
  <c r="OR31" i="34"/>
  <c r="OL31" i="34"/>
  <c r="OK31" i="34"/>
  <c r="HC70" i="35"/>
  <c r="OH26" i="31"/>
  <c r="OR26" i="31"/>
  <c r="HT39" i="31"/>
  <c r="HQ39" i="31"/>
  <c r="HR39" i="31"/>
  <c r="II31" i="31"/>
  <c r="IJ31" i="31"/>
  <c r="KD25" i="31"/>
  <c r="KE25" i="31"/>
  <c r="II30" i="32"/>
  <c r="IL30" i="32"/>
  <c r="GJ34" i="32"/>
  <c r="AR36" i="32"/>
  <c r="GJ39" i="34"/>
  <c r="OK38" i="34"/>
  <c r="HH114" i="19"/>
  <c r="HT114" i="19"/>
  <c r="HE69" i="19"/>
  <c r="HE126" i="19"/>
  <c r="GJ31" i="34"/>
  <c r="GK31" i="34"/>
  <c r="OK37" i="39"/>
  <c r="OR37" i="39"/>
  <c r="OL37" i="39"/>
  <c r="GK22" i="21"/>
  <c r="GJ22" i="21"/>
  <c r="OM15" i="39"/>
  <c r="HI44" i="19"/>
  <c r="GZ44" i="19"/>
  <c r="HI50" i="19"/>
  <c r="GZ50" i="19"/>
  <c r="OK34" i="35"/>
  <c r="OR34" i="35"/>
  <c r="OL34" i="35"/>
  <c r="OR11" i="34"/>
  <c r="OL11" i="34"/>
  <c r="OK11" i="34"/>
  <c r="ID20" i="34"/>
  <c r="IF20" i="34"/>
  <c r="IH66" i="39"/>
  <c r="IL66" i="39"/>
  <c r="IJ66" i="39"/>
  <c r="HI30" i="19"/>
  <c r="GZ30" i="19"/>
  <c r="GZ34" i="39"/>
  <c r="HI34" i="39"/>
  <c r="IL29" i="39"/>
  <c r="IJ29" i="39"/>
  <c r="IH29" i="39"/>
  <c r="OW47" i="35"/>
  <c r="OL38" i="34"/>
  <c r="OM35" i="39"/>
  <c r="OM25" i="39"/>
  <c r="FY25" i="34"/>
  <c r="GJ25" i="34"/>
  <c r="OM53" i="34"/>
  <c r="HY67" i="35"/>
  <c r="IA67" i="35"/>
  <c r="GW48" i="21"/>
  <c r="II48" i="21"/>
  <c r="IC48" i="21"/>
  <c r="GX48" i="21"/>
  <c r="GY48" i="21"/>
  <c r="OH42" i="39"/>
  <c r="HG42" i="39"/>
  <c r="HG28" i="34"/>
  <c r="OH28" i="34"/>
  <c r="GK41" i="21"/>
  <c r="GJ41" i="21"/>
  <c r="OU15" i="39"/>
  <c r="OV15" i="39"/>
  <c r="GZ35" i="19"/>
  <c r="HI35" i="19"/>
  <c r="HR44" i="19"/>
  <c r="HP44" i="19"/>
  <c r="HT34" i="35"/>
  <c r="HH34" i="35"/>
  <c r="GZ20" i="19"/>
  <c r="HI20" i="19"/>
  <c r="HQ9" i="22"/>
  <c r="HI11" i="39"/>
  <c r="GZ11" i="39"/>
  <c r="GZ21" i="19"/>
  <c r="HI21" i="19"/>
  <c r="IJ39" i="39"/>
  <c r="IH39" i="39"/>
  <c r="IL39" i="39"/>
  <c r="GV70" i="35"/>
  <c r="KD27" i="32"/>
  <c r="KE27" i="32"/>
  <c r="KM67" i="34"/>
  <c r="GD57" i="21"/>
  <c r="KD54" i="21"/>
  <c r="KE54" i="21"/>
  <c r="FY54" i="21"/>
  <c r="KD68" i="35"/>
  <c r="KE68" i="35"/>
  <c r="FY68" i="35"/>
  <c r="OH103" i="39"/>
  <c r="HG103" i="39"/>
  <c r="OH84" i="39"/>
  <c r="HG84" i="39"/>
  <c r="HG35" i="34"/>
  <c r="OH35" i="34"/>
  <c r="II39" i="34"/>
  <c r="GX39" i="34"/>
  <c r="GY39" i="34"/>
  <c r="II55" i="34"/>
  <c r="GW55" i="34"/>
  <c r="GX55" i="34"/>
  <c r="GY55" i="34"/>
  <c r="IC55" i="34"/>
  <c r="GJ58" i="39"/>
  <c r="GK58" i="39"/>
  <c r="OR21" i="19"/>
  <c r="OK21" i="19"/>
  <c r="OL21" i="19"/>
  <c r="ID50" i="19"/>
  <c r="IB50" i="19"/>
  <c r="IF50" i="19"/>
  <c r="OK57" i="19"/>
  <c r="OL57" i="19"/>
  <c r="OR57" i="19"/>
  <c r="IL21" i="19"/>
  <c r="HI66" i="39"/>
  <c r="GZ66" i="39"/>
  <c r="ID30" i="19"/>
  <c r="IB30" i="19"/>
  <c r="IF30" i="19"/>
  <c r="GZ39" i="39"/>
  <c r="HI39" i="39"/>
  <c r="GJ20" i="22"/>
  <c r="HT68" i="35"/>
  <c r="HS68" i="35"/>
  <c r="AY29" i="22"/>
  <c r="II63" i="35"/>
  <c r="IJ63" i="35"/>
  <c r="HR24" i="22"/>
  <c r="HS46" i="31"/>
  <c r="KD16" i="31"/>
  <c r="KE16" i="31"/>
  <c r="II22" i="31"/>
  <c r="IL22" i="31"/>
  <c r="FY30" i="31"/>
  <c r="GJ30" i="31"/>
  <c r="GJ42" i="34"/>
  <c r="GW24" i="34"/>
  <c r="GZ24" i="34"/>
  <c r="JP68" i="34"/>
  <c r="GX53" i="21"/>
  <c r="GY53" i="21"/>
  <c r="IC53" i="21"/>
  <c r="II53" i="21"/>
  <c r="GW53" i="21"/>
  <c r="HH54" i="21"/>
  <c r="HT54" i="21"/>
  <c r="IH113" i="19"/>
  <c r="IL113" i="19"/>
  <c r="IJ113" i="19"/>
  <c r="GX51" i="34"/>
  <c r="GY51" i="34"/>
  <c r="II51" i="34"/>
  <c r="GW51" i="34"/>
  <c r="HQ51" i="34"/>
  <c r="IC51" i="34"/>
  <c r="GJ59" i="39"/>
  <c r="GK59" i="39"/>
  <c r="GJ86" i="39"/>
  <c r="GK86" i="39"/>
  <c r="HZ75" i="19"/>
  <c r="OL50" i="19"/>
  <c r="OK50" i="19"/>
  <c r="OR50" i="19"/>
  <c r="IH40" i="19"/>
  <c r="IJ40" i="19"/>
  <c r="IL40" i="19"/>
  <c r="HT21" i="19"/>
  <c r="HH21" i="19"/>
  <c r="IH44" i="19"/>
  <c r="IL44" i="19"/>
  <c r="IJ44" i="19"/>
  <c r="IH50" i="19"/>
  <c r="IL50" i="19"/>
  <c r="IJ50" i="19"/>
  <c r="HH57" i="19"/>
  <c r="HT57" i="19"/>
  <c r="ID12" i="39"/>
  <c r="IF12" i="39"/>
  <c r="IB12" i="39"/>
  <c r="OV82" i="19"/>
  <c r="OU82" i="19"/>
  <c r="IY70" i="35"/>
  <c r="IY72" i="35"/>
  <c r="IP60" i="31"/>
  <c r="IP62" i="31"/>
  <c r="IC31" i="31"/>
  <c r="IF31" i="31"/>
  <c r="IG31" i="31"/>
  <c r="KD29" i="32"/>
  <c r="KE29" i="32"/>
  <c r="HQ46" i="31"/>
  <c r="HR46" i="31"/>
  <c r="IP29" i="22"/>
  <c r="IP31" i="22"/>
  <c r="AX29" i="22"/>
  <c r="KD30" i="32"/>
  <c r="KE30" i="32"/>
  <c r="JP127" i="19"/>
  <c r="JO67" i="34"/>
  <c r="OW96" i="19"/>
  <c r="ID29" i="39"/>
  <c r="IP67" i="34"/>
  <c r="IP69" i="34"/>
  <c r="KP67" i="34"/>
  <c r="HT122" i="19"/>
  <c r="HH122" i="19"/>
  <c r="IA11" i="33"/>
  <c r="HY11" i="33"/>
  <c r="KH70" i="35"/>
  <c r="KD114" i="19"/>
  <c r="KE114" i="19"/>
  <c r="FY114" i="19"/>
  <c r="ID113" i="19"/>
  <c r="IB113" i="19"/>
  <c r="IF113" i="19"/>
  <c r="II12" i="33"/>
  <c r="GW12" i="33"/>
  <c r="HQ12" i="33"/>
  <c r="GX12" i="33"/>
  <c r="GV13" i="33"/>
  <c r="IC12" i="33"/>
  <c r="II49" i="34"/>
  <c r="GX49" i="34"/>
  <c r="GY49" i="34"/>
  <c r="IC49" i="34"/>
  <c r="GW49" i="34"/>
  <c r="GX30" i="34"/>
  <c r="GY30" i="34"/>
  <c r="IC30" i="34"/>
  <c r="GW30" i="34"/>
  <c r="II30" i="34"/>
  <c r="IL44" i="34"/>
  <c r="IJ44" i="34"/>
  <c r="IH44" i="34"/>
  <c r="IH14" i="35"/>
  <c r="IL14" i="35"/>
  <c r="IJ14" i="35"/>
  <c r="HH50" i="19"/>
  <c r="HT50" i="19"/>
  <c r="HI41" i="19"/>
  <c r="GZ41" i="19"/>
  <c r="GZ12" i="39"/>
  <c r="HI12" i="39"/>
  <c r="IB21" i="19"/>
  <c r="ID21" i="19"/>
  <c r="IF21" i="19"/>
  <c r="OU23" i="19"/>
  <c r="OV23" i="19"/>
  <c r="IB39" i="39"/>
  <c r="IF39" i="39"/>
  <c r="ID39" i="39"/>
  <c r="GW47" i="34"/>
  <c r="GX47" i="34"/>
  <c r="GY47" i="34"/>
  <c r="II47" i="34"/>
  <c r="IC47" i="34"/>
  <c r="HW47" i="34"/>
  <c r="HQ47" i="34"/>
  <c r="IC53" i="34"/>
  <c r="GW53" i="34"/>
  <c r="II53" i="34"/>
  <c r="GX53" i="34"/>
  <c r="GY53" i="34"/>
  <c r="HG52" i="34"/>
  <c r="OH52" i="34"/>
  <c r="OT39" i="34"/>
  <c r="OT15" i="34"/>
  <c r="HG32" i="34"/>
  <c r="OH32" i="34"/>
  <c r="KL67" i="34"/>
  <c r="OK33" i="34"/>
  <c r="OR33" i="34"/>
  <c r="OL33" i="34"/>
  <c r="FY43" i="34"/>
  <c r="KD43" i="34"/>
  <c r="KE43" i="34"/>
  <c r="OH9" i="34"/>
  <c r="HG9" i="34"/>
  <c r="HT10" i="34"/>
  <c r="HH10" i="34"/>
  <c r="OH18" i="34"/>
  <c r="HG18" i="34"/>
  <c r="IB39" i="34"/>
  <c r="IJ18" i="34"/>
  <c r="IH18" i="34"/>
  <c r="IL18" i="34"/>
  <c r="HI20" i="34"/>
  <c r="GZ20" i="34"/>
  <c r="GW46" i="34"/>
  <c r="II46" i="34"/>
  <c r="IC46" i="34"/>
  <c r="GX46" i="34"/>
  <c r="GY46" i="34"/>
  <c r="HI14" i="34"/>
  <c r="GZ14" i="34"/>
  <c r="KD40" i="34"/>
  <c r="KE40" i="34"/>
  <c r="FY40" i="34"/>
  <c r="IG21" i="34"/>
  <c r="IE21" i="34"/>
  <c r="OH41" i="34"/>
  <c r="HG41" i="34"/>
  <c r="HH50" i="34"/>
  <c r="HT50" i="34"/>
  <c r="GJ59" i="34"/>
  <c r="GK59" i="34"/>
  <c r="OV51" i="34"/>
  <c r="OU51" i="34"/>
  <c r="CQ48" i="34"/>
  <c r="FZ48" i="34"/>
  <c r="FY48" i="34"/>
  <c r="KG48" i="34"/>
  <c r="IA52" i="34"/>
  <c r="HY52" i="34"/>
  <c r="IO45" i="34"/>
  <c r="IQ45" i="34"/>
  <c r="OU34" i="34"/>
  <c r="OV34" i="34"/>
  <c r="GK41" i="34"/>
  <c r="GJ41" i="34"/>
  <c r="HU45" i="34"/>
  <c r="HW45" i="34"/>
  <c r="KI67" i="34"/>
  <c r="EB67" i="34"/>
  <c r="IY67" i="34"/>
  <c r="IY69" i="34"/>
  <c r="GD67" i="34"/>
  <c r="HG25" i="34"/>
  <c r="OH25" i="34"/>
  <c r="FY15" i="34"/>
  <c r="KQ67" i="34"/>
  <c r="OH17" i="34"/>
  <c r="HG17" i="34"/>
  <c r="FY35" i="34"/>
  <c r="OT38" i="34"/>
  <c r="OV38" i="34"/>
  <c r="IL20" i="34"/>
  <c r="IH20" i="34"/>
  <c r="IJ20" i="34"/>
  <c r="IB14" i="34"/>
  <c r="ID14" i="34"/>
  <c r="IF14" i="34"/>
  <c r="HQ58" i="34"/>
  <c r="HU58" i="34"/>
  <c r="HS58" i="34"/>
  <c r="GK44" i="34"/>
  <c r="GJ44" i="34"/>
  <c r="IF15" i="34"/>
  <c r="IB15" i="34"/>
  <c r="ID15" i="34"/>
  <c r="GX60" i="34"/>
  <c r="GY60" i="34"/>
  <c r="II60" i="34"/>
  <c r="GW60" i="34"/>
  <c r="IC60" i="34"/>
  <c r="OR40" i="34"/>
  <c r="OU40" i="34"/>
  <c r="OK40" i="34"/>
  <c r="OL40" i="34"/>
  <c r="OT19" i="34"/>
  <c r="OT40" i="34"/>
  <c r="GB67" i="34"/>
  <c r="GJ18" i="34"/>
  <c r="GK18" i="34"/>
  <c r="FY57" i="34"/>
  <c r="GK57" i="34"/>
  <c r="KH67" i="34"/>
  <c r="PQ67" i="34"/>
  <c r="OH55" i="34"/>
  <c r="OR55" i="34"/>
  <c r="HG39" i="34"/>
  <c r="OH39" i="34"/>
  <c r="GJ53" i="34"/>
  <c r="GK53" i="34"/>
  <c r="GW38" i="34"/>
  <c r="IC38" i="34"/>
  <c r="GX38" i="34"/>
  <c r="GY38" i="34"/>
  <c r="II38" i="34"/>
  <c r="ID10" i="34"/>
  <c r="IF10" i="34"/>
  <c r="IB10" i="34"/>
  <c r="IH14" i="34"/>
  <c r="IJ14" i="34"/>
  <c r="IL14" i="34"/>
  <c r="GK34" i="34"/>
  <c r="GJ34" i="34"/>
  <c r="IQ11" i="34"/>
  <c r="IO11" i="34"/>
  <c r="GK20" i="34"/>
  <c r="GJ20" i="34"/>
  <c r="HG19" i="34"/>
  <c r="OH19" i="34"/>
  <c r="HG40" i="34"/>
  <c r="HH40" i="34"/>
  <c r="GT67" i="34"/>
  <c r="GT69" i="34"/>
  <c r="HG33" i="34"/>
  <c r="HT33" i="34"/>
  <c r="IC9" i="34"/>
  <c r="II9" i="34"/>
  <c r="GX9" i="34"/>
  <c r="GY9" i="34"/>
  <c r="GW9" i="34"/>
  <c r="GX37" i="34"/>
  <c r="GY37" i="34"/>
  <c r="GW37" i="34"/>
  <c r="IC37" i="34"/>
  <c r="II37" i="34"/>
  <c r="OJ67" i="34"/>
  <c r="IL10" i="34"/>
  <c r="IJ10" i="34"/>
  <c r="IH10" i="34"/>
  <c r="IC45" i="34"/>
  <c r="GX45" i="34"/>
  <c r="GY45" i="34"/>
  <c r="GW45" i="34"/>
  <c r="II45" i="34"/>
  <c r="OQ67" i="34"/>
  <c r="IJ15" i="34"/>
  <c r="IO61" i="34"/>
  <c r="IQ61" i="34"/>
  <c r="HQ61" i="34"/>
  <c r="OR42" i="34"/>
  <c r="OK42" i="34"/>
  <c r="OL42" i="34"/>
  <c r="GJ61" i="34"/>
  <c r="GK61" i="34"/>
  <c r="OR29" i="34"/>
  <c r="OL29" i="34"/>
  <c r="OK29" i="34"/>
  <c r="IH21" i="34"/>
  <c r="IJ21" i="34"/>
  <c r="IL21" i="34"/>
  <c r="IK29" i="34"/>
  <c r="IM29" i="34"/>
  <c r="HT59" i="34"/>
  <c r="HH59" i="34"/>
  <c r="HI21" i="34"/>
  <c r="GZ21" i="34"/>
  <c r="HI15" i="34"/>
  <c r="OT37" i="34"/>
  <c r="IE12" i="34"/>
  <c r="IG12" i="34"/>
  <c r="GQ69" i="34"/>
  <c r="HS45" i="34"/>
  <c r="IC61" i="34"/>
  <c r="GX61" i="34"/>
  <c r="GY61" i="34"/>
  <c r="II61" i="34"/>
  <c r="GW61" i="34"/>
  <c r="GW57" i="34"/>
  <c r="II57" i="34"/>
  <c r="GX57" i="34"/>
  <c r="GY57" i="34"/>
  <c r="IC57" i="34"/>
  <c r="GJ36" i="34"/>
  <c r="GK36" i="34"/>
  <c r="FZ28" i="34"/>
  <c r="KG28" i="34"/>
  <c r="CQ28" i="34"/>
  <c r="KD9" i="34"/>
  <c r="KE9" i="34"/>
  <c r="FY9" i="34"/>
  <c r="GE67" i="34"/>
  <c r="HY9" i="34"/>
  <c r="IA9" i="34"/>
  <c r="GZ10" i="34"/>
  <c r="IO17" i="34"/>
  <c r="IQ17" i="34"/>
  <c r="IC54" i="34"/>
  <c r="GW54" i="34"/>
  <c r="II54" i="34"/>
  <c r="GX54" i="34"/>
  <c r="GY54" i="34"/>
  <c r="HX20" i="34"/>
  <c r="OR50" i="34"/>
  <c r="FY26" i="34"/>
  <c r="KD26" i="34"/>
  <c r="KE26" i="34"/>
  <c r="HT42" i="34"/>
  <c r="HH42" i="34"/>
  <c r="GW32" i="39"/>
  <c r="GX32" i="39"/>
  <c r="GY32" i="39"/>
  <c r="IC32" i="39"/>
  <c r="II32" i="39"/>
  <c r="GV108" i="39"/>
  <c r="HG32" i="31"/>
  <c r="HT32" i="31"/>
  <c r="OH32" i="31"/>
  <c r="OR32" i="31"/>
  <c r="OU32" i="31"/>
  <c r="GW40" i="34"/>
  <c r="GX40" i="34"/>
  <c r="GY40" i="34"/>
  <c r="IC40" i="34"/>
  <c r="II40" i="34"/>
  <c r="HI58" i="34"/>
  <c r="HU51" i="31"/>
  <c r="KI29" i="22"/>
  <c r="AZ12" i="22"/>
  <c r="AZ29" i="22"/>
  <c r="GX14" i="22"/>
  <c r="GY14" i="22"/>
  <c r="GK49" i="31"/>
  <c r="GW26" i="31"/>
  <c r="HI26" i="31"/>
  <c r="II15" i="31"/>
  <c r="IL15" i="31"/>
  <c r="IH12" i="31"/>
  <c r="FY42" i="31"/>
  <c r="GJ42" i="31"/>
  <c r="IF15" i="31"/>
  <c r="IE15" i="31"/>
  <c r="OM21" i="32"/>
  <c r="FY18" i="32"/>
  <c r="GK18" i="32"/>
  <c r="HH21" i="32"/>
  <c r="GX27" i="32"/>
  <c r="GY27" i="32"/>
  <c r="OH15" i="32"/>
  <c r="OL15" i="32"/>
  <c r="EB36" i="32"/>
  <c r="GX62" i="34"/>
  <c r="GY62" i="34"/>
  <c r="II62" i="34"/>
  <c r="GW62" i="34"/>
  <c r="IC62" i="34"/>
  <c r="FY62" i="34"/>
  <c r="KD62" i="34"/>
  <c r="KE62" i="34"/>
  <c r="KD12" i="22"/>
  <c r="KE12" i="22"/>
  <c r="FY12" i="22"/>
  <c r="OH16" i="34"/>
  <c r="HG16" i="34"/>
  <c r="GV19" i="34"/>
  <c r="IQ14" i="32"/>
  <c r="IO14" i="32"/>
  <c r="IL16" i="19"/>
  <c r="IJ16" i="19"/>
  <c r="IH16" i="19"/>
  <c r="HI95" i="39"/>
  <c r="GZ95" i="39"/>
  <c r="OU21" i="21"/>
  <c r="OV21" i="21"/>
  <c r="OK54" i="35"/>
  <c r="OR54" i="35"/>
  <c r="OL54" i="35"/>
  <c r="HT14" i="19"/>
  <c r="HH14" i="19"/>
  <c r="IH27" i="21"/>
  <c r="IJ27" i="21"/>
  <c r="IL27" i="21"/>
  <c r="OM34" i="19"/>
  <c r="HP94" i="19"/>
  <c r="HR94" i="19"/>
  <c r="HI30" i="21"/>
  <c r="GZ30" i="21"/>
  <c r="IL11" i="39"/>
  <c r="IH11" i="39"/>
  <c r="IJ11" i="39"/>
  <c r="IE9" i="39"/>
  <c r="IG9" i="39"/>
  <c r="HQ39" i="35"/>
  <c r="HU39" i="35"/>
  <c r="HW39" i="35"/>
  <c r="HS39" i="35"/>
  <c r="ID55" i="39"/>
  <c r="IB55" i="39"/>
  <c r="IF55" i="39"/>
  <c r="IF27" i="39"/>
  <c r="ID27" i="39"/>
  <c r="IB27" i="39"/>
  <c r="OV58" i="19"/>
  <c r="OU58" i="19"/>
  <c r="OR49" i="39"/>
  <c r="OK49" i="39"/>
  <c r="OL49" i="39"/>
  <c r="IH32" i="34"/>
  <c r="IJ32" i="34"/>
  <c r="IL32" i="34"/>
  <c r="IM75" i="19"/>
  <c r="IK75" i="19"/>
  <c r="GA67" i="34"/>
  <c r="HQ77" i="39"/>
  <c r="HW77" i="39"/>
  <c r="HS77" i="39"/>
  <c r="HU77" i="39"/>
  <c r="OL30" i="34"/>
  <c r="OR30" i="34"/>
  <c r="OK30" i="34"/>
  <c r="OV49" i="34"/>
  <c r="OU49" i="34"/>
  <c r="ID26" i="34"/>
  <c r="IB26" i="34"/>
  <c r="IF26" i="34"/>
  <c r="OM9" i="33"/>
  <c r="GJ51" i="34"/>
  <c r="GK51" i="34"/>
  <c r="BK67" i="34"/>
  <c r="HZ63" i="19"/>
  <c r="ID42" i="34"/>
  <c r="GK65" i="35"/>
  <c r="GJ65" i="35"/>
  <c r="IL49" i="35"/>
  <c r="HR22" i="19"/>
  <c r="HI28" i="34"/>
  <c r="GZ28" i="34"/>
  <c r="HQ22" i="34"/>
  <c r="HU22" i="34"/>
  <c r="HW22" i="34"/>
  <c r="HS22" i="34"/>
  <c r="OR31" i="31"/>
  <c r="OV31" i="31"/>
  <c r="OV9" i="31"/>
  <c r="OL31" i="31"/>
  <c r="OM31" i="31"/>
  <c r="KD25" i="32"/>
  <c r="KE25" i="32"/>
  <c r="KD23" i="32"/>
  <c r="KE23" i="32"/>
  <c r="OW24" i="32"/>
  <c r="KR36" i="32"/>
  <c r="GQ31" i="22"/>
  <c r="GW28" i="22"/>
  <c r="II28" i="22"/>
  <c r="KG55" i="35"/>
  <c r="FZ55" i="35"/>
  <c r="FY55" i="35"/>
  <c r="GJ39" i="19"/>
  <c r="GK39" i="19"/>
  <c r="GT108" i="39"/>
  <c r="GT110" i="39"/>
  <c r="OJ57" i="21"/>
  <c r="HI16" i="19"/>
  <c r="GZ16" i="19"/>
  <c r="IF95" i="39"/>
  <c r="IB95" i="39"/>
  <c r="ID95" i="39"/>
  <c r="HH54" i="35"/>
  <c r="HT54" i="35"/>
  <c r="IF44" i="35"/>
  <c r="ID30" i="21"/>
  <c r="IB30" i="21"/>
  <c r="IF30" i="21"/>
  <c r="HI13" i="19"/>
  <c r="GZ13" i="19"/>
  <c r="HH26" i="19"/>
  <c r="HT26" i="19"/>
  <c r="IB29" i="21"/>
  <c r="IF29" i="21"/>
  <c r="ID29" i="21"/>
  <c r="HW33" i="19"/>
  <c r="HQ33" i="19"/>
  <c r="HU33" i="19"/>
  <c r="HS33" i="19"/>
  <c r="OR45" i="19"/>
  <c r="OK45" i="19"/>
  <c r="OL45" i="19"/>
  <c r="GZ38" i="39"/>
  <c r="HI38" i="39"/>
  <c r="HP48" i="21"/>
  <c r="HR48" i="21"/>
  <c r="HH49" i="39"/>
  <c r="HT49" i="39"/>
  <c r="GK21" i="34"/>
  <c r="GJ21" i="34"/>
  <c r="OL48" i="34"/>
  <c r="OR48" i="34"/>
  <c r="OK48" i="34"/>
  <c r="HU42" i="21"/>
  <c r="HS42" i="21"/>
  <c r="ID16" i="34"/>
  <c r="IF16" i="34"/>
  <c r="IB16" i="34"/>
  <c r="OK54" i="34"/>
  <c r="OL54" i="34"/>
  <c r="OR54" i="34"/>
  <c r="IF33" i="35"/>
  <c r="HP55" i="35"/>
  <c r="HR55" i="35"/>
  <c r="NT70" i="35"/>
  <c r="IF43" i="34"/>
  <c r="ID43" i="34"/>
  <c r="IB43" i="34"/>
  <c r="OV25" i="39"/>
  <c r="OU25" i="39"/>
  <c r="OL20" i="32"/>
  <c r="OK20" i="32"/>
  <c r="OR20" i="32"/>
  <c r="OU20" i="32"/>
  <c r="OL22" i="39"/>
  <c r="OR22" i="39"/>
  <c r="OK22" i="39"/>
  <c r="KD95" i="19"/>
  <c r="KE95" i="19"/>
  <c r="FY95" i="19"/>
  <c r="OR72" i="19"/>
  <c r="OL72" i="19"/>
  <c r="OK72" i="19"/>
  <c r="GK69" i="19"/>
  <c r="GJ69" i="19"/>
  <c r="IM87" i="39"/>
  <c r="IK87" i="39"/>
  <c r="HH18" i="35"/>
  <c r="HT18" i="35"/>
  <c r="OR36" i="39"/>
  <c r="OL36" i="39"/>
  <c r="OK36" i="39"/>
  <c r="OL26" i="19"/>
  <c r="OK26" i="19"/>
  <c r="OR26" i="19"/>
  <c r="HQ99" i="19"/>
  <c r="HU99" i="19"/>
  <c r="HS99" i="19"/>
  <c r="HW99" i="19"/>
  <c r="HP17" i="35"/>
  <c r="HR17" i="35"/>
  <c r="OK36" i="35"/>
  <c r="OL36" i="35"/>
  <c r="OR36" i="35"/>
  <c r="HT45" i="19"/>
  <c r="HH45" i="19"/>
  <c r="KE11" i="34"/>
  <c r="HH48" i="34"/>
  <c r="HT48" i="34"/>
  <c r="OL13" i="34"/>
  <c r="OR13" i="34"/>
  <c r="OK13" i="34"/>
  <c r="OU9" i="33"/>
  <c r="OV9" i="33"/>
  <c r="OU98" i="39"/>
  <c r="OV98" i="39"/>
  <c r="HI42" i="34"/>
  <c r="GZ42" i="34"/>
  <c r="IH16" i="34"/>
  <c r="IL16" i="34"/>
  <c r="IJ16" i="34"/>
  <c r="IG58" i="34"/>
  <c r="IJ33" i="35"/>
  <c r="IL33" i="35"/>
  <c r="IH33" i="35"/>
  <c r="HV49" i="35"/>
  <c r="HX49" i="35"/>
  <c r="HZ49" i="35"/>
  <c r="NU70" i="35"/>
  <c r="HU11" i="34"/>
  <c r="HS11" i="34"/>
  <c r="HR40" i="19"/>
  <c r="HP40" i="19"/>
  <c r="KD119" i="19"/>
  <c r="KE119" i="19"/>
  <c r="FY119" i="19"/>
  <c r="GW14" i="22"/>
  <c r="HI14" i="22"/>
  <c r="II19" i="32"/>
  <c r="IJ19" i="32"/>
  <c r="KD44" i="21"/>
  <c r="FY44" i="21"/>
  <c r="GB108" i="39"/>
  <c r="FY103" i="39"/>
  <c r="KD103" i="39"/>
  <c r="KE103" i="39"/>
  <c r="GX69" i="35"/>
  <c r="GY69" i="35"/>
  <c r="GW69" i="35"/>
  <c r="IC69" i="35"/>
  <c r="II69" i="35"/>
  <c r="OH57" i="39"/>
  <c r="HG57" i="39"/>
  <c r="NU22" i="34"/>
  <c r="NU67" i="34"/>
  <c r="NT67" i="34"/>
  <c r="GK38" i="19"/>
  <c r="GJ38" i="19"/>
  <c r="FZ85" i="19"/>
  <c r="FY85" i="19"/>
  <c r="KG85" i="19"/>
  <c r="IO15" i="19"/>
  <c r="IQ15" i="19"/>
  <c r="IP128" i="19"/>
  <c r="HQ15" i="19"/>
  <c r="GK53" i="19"/>
  <c r="GJ53" i="19"/>
  <c r="GJ99" i="39"/>
  <c r="GK99" i="39"/>
  <c r="OK18" i="35"/>
  <c r="OR18" i="35"/>
  <c r="OL18" i="35"/>
  <c r="OT13" i="33"/>
  <c r="HI39" i="19"/>
  <c r="GZ39" i="19"/>
  <c r="OR18" i="19"/>
  <c r="OK18" i="19"/>
  <c r="OL18" i="19"/>
  <c r="JF111" i="19"/>
  <c r="JJ111" i="19"/>
  <c r="IJ121" i="19"/>
  <c r="IH121" i="19"/>
  <c r="IL121" i="19"/>
  <c r="HT36" i="35"/>
  <c r="HH36" i="35"/>
  <c r="GZ57" i="39"/>
  <c r="HI57" i="39"/>
  <c r="IU57" i="21"/>
  <c r="IU59" i="21"/>
  <c r="IE106" i="19"/>
  <c r="IG106" i="19"/>
  <c r="HT13" i="34"/>
  <c r="HH13" i="34"/>
  <c r="GZ16" i="34"/>
  <c r="HI16" i="34"/>
  <c r="HH49" i="21"/>
  <c r="HT49" i="21"/>
  <c r="GJ45" i="34"/>
  <c r="GK45" i="34"/>
  <c r="IJ10" i="21"/>
  <c r="HH25" i="19"/>
  <c r="HK25" i="19"/>
  <c r="HT25" i="19"/>
  <c r="HX22" i="19"/>
  <c r="HV22" i="19"/>
  <c r="HZ22" i="19"/>
  <c r="IH11" i="19"/>
  <c r="IL11" i="19"/>
  <c r="IJ11" i="19"/>
  <c r="ID84" i="39"/>
  <c r="IF84" i="39"/>
  <c r="IB84" i="39"/>
  <c r="GP31" i="22"/>
  <c r="HQ51" i="31"/>
  <c r="HR51" i="31"/>
  <c r="OH14" i="31"/>
  <c r="OL14" i="31"/>
  <c r="IF17" i="31"/>
  <c r="IE17" i="31"/>
  <c r="GW12" i="31"/>
  <c r="OP36" i="32"/>
  <c r="GW19" i="32"/>
  <c r="GZ19" i="32"/>
  <c r="FY16" i="32"/>
  <c r="JC52" i="34"/>
  <c r="BB67" i="34"/>
  <c r="OT44" i="21"/>
  <c r="OQ57" i="21"/>
  <c r="OH69" i="39"/>
  <c r="HG69" i="39"/>
  <c r="HG29" i="39"/>
  <c r="OH29" i="39"/>
  <c r="HG20" i="32"/>
  <c r="GW23" i="34"/>
  <c r="II23" i="34"/>
  <c r="GX23" i="34"/>
  <c r="GY23" i="34"/>
  <c r="IC23" i="34"/>
  <c r="KE39" i="39"/>
  <c r="GK22" i="39"/>
  <c r="GJ22" i="39"/>
  <c r="FY89" i="19"/>
  <c r="KD89" i="19"/>
  <c r="KE89" i="19"/>
  <c r="OR65" i="39"/>
  <c r="IH50" i="35"/>
  <c r="IL50" i="35"/>
  <c r="IJ50" i="35"/>
  <c r="HT67" i="19"/>
  <c r="HH67" i="19"/>
  <c r="IF39" i="19"/>
  <c r="ID39" i="19"/>
  <c r="IB39" i="19"/>
  <c r="HH18" i="19"/>
  <c r="HT18" i="19"/>
  <c r="OV14" i="39"/>
  <c r="OU14" i="39"/>
  <c r="GZ121" i="19"/>
  <c r="HI121" i="19"/>
  <c r="GZ55" i="39"/>
  <c r="HI55" i="39"/>
  <c r="HV56" i="19"/>
  <c r="HQ58" i="19"/>
  <c r="HU58" i="19"/>
  <c r="HS58" i="19"/>
  <c r="HW58" i="19"/>
  <c r="HS109" i="19"/>
  <c r="HW109" i="19"/>
  <c r="HQ109" i="19"/>
  <c r="HU109" i="19"/>
  <c r="IH48" i="34"/>
  <c r="HK49" i="35"/>
  <c r="HE108" i="39"/>
  <c r="OL46" i="34"/>
  <c r="OR46" i="34"/>
  <c r="OK46" i="34"/>
  <c r="HS57" i="34"/>
  <c r="HQ57" i="34"/>
  <c r="HU57" i="34"/>
  <c r="IL12" i="34"/>
  <c r="IH12" i="34"/>
  <c r="IJ12" i="34"/>
  <c r="HI11" i="33"/>
  <c r="OV83" i="19"/>
  <c r="OU83" i="19"/>
  <c r="HS79" i="19"/>
  <c r="HW79" i="19"/>
  <c r="HQ79" i="19"/>
  <c r="HU79" i="19"/>
  <c r="ID10" i="21"/>
  <c r="OK25" i="19"/>
  <c r="OL25" i="19"/>
  <c r="OR25" i="19"/>
  <c r="HS116" i="19"/>
  <c r="HU116" i="19"/>
  <c r="HQ116" i="19"/>
  <c r="OM38" i="35"/>
  <c r="IE48" i="35"/>
  <c r="IG48" i="35"/>
  <c r="GK32" i="34"/>
  <c r="GJ32" i="34"/>
  <c r="IL28" i="34"/>
  <c r="IJ28" i="34"/>
  <c r="IH28" i="34"/>
  <c r="IH84" i="39"/>
  <c r="IL84" i="39"/>
  <c r="IJ84" i="39"/>
  <c r="HX40" i="19"/>
  <c r="FY115" i="19"/>
  <c r="KD115" i="19"/>
  <c r="KE115" i="19"/>
  <c r="EB70" i="35"/>
  <c r="OJ29" i="22"/>
  <c r="GA29" i="22"/>
  <c r="KK60" i="31"/>
  <c r="OV15" i="31"/>
  <c r="OW15" i="31"/>
  <c r="IC12" i="31"/>
  <c r="GX12" i="31"/>
  <c r="GY12" i="31"/>
  <c r="FY23" i="32"/>
  <c r="GK23" i="32"/>
  <c r="IY36" i="32"/>
  <c r="IY38" i="32"/>
  <c r="IC19" i="32"/>
  <c r="ID19" i="32"/>
  <c r="KD11" i="32"/>
  <c r="KE11" i="32"/>
  <c r="FY26" i="32"/>
  <c r="GK26" i="32"/>
  <c r="KD121" i="19"/>
  <c r="KE121" i="19"/>
  <c r="FY121" i="19"/>
  <c r="IQ102" i="39"/>
  <c r="IO102" i="39"/>
  <c r="IP108" i="39"/>
  <c r="IP110" i="39"/>
  <c r="GC108" i="39"/>
  <c r="KD102" i="39"/>
  <c r="KE102" i="39"/>
  <c r="NU23" i="39"/>
  <c r="NU108" i="39"/>
  <c r="NT108" i="39"/>
  <c r="II41" i="34"/>
  <c r="GW41" i="34"/>
  <c r="GX41" i="34"/>
  <c r="GY41" i="34"/>
  <c r="IC41" i="34"/>
  <c r="NU15" i="21"/>
  <c r="NU57" i="21"/>
  <c r="NT57" i="21"/>
  <c r="GW35" i="34"/>
  <c r="IC35" i="34"/>
  <c r="II35" i="34"/>
  <c r="GX35" i="34"/>
  <c r="GY35" i="34"/>
  <c r="GK100" i="39"/>
  <c r="GJ100" i="39"/>
  <c r="HT82" i="19"/>
  <c r="HH82" i="19"/>
  <c r="HK82" i="19"/>
  <c r="KF70" i="35"/>
  <c r="IF47" i="31"/>
  <c r="ID47" i="31"/>
  <c r="IB47" i="31"/>
  <c r="GK87" i="19"/>
  <c r="GJ87" i="19"/>
  <c r="HH13" i="35"/>
  <c r="HT13" i="35"/>
  <c r="HT65" i="39"/>
  <c r="HH65" i="39"/>
  <c r="IF50" i="35"/>
  <c r="ID50" i="35"/>
  <c r="IB50" i="35"/>
  <c r="HS41" i="21"/>
  <c r="IH107" i="19"/>
  <c r="IL107" i="19"/>
  <c r="IJ107" i="19"/>
  <c r="IB39" i="35"/>
  <c r="IF39" i="35"/>
  <c r="ID39" i="35"/>
  <c r="OK67" i="19"/>
  <c r="OL67" i="19"/>
  <c r="OR67" i="19"/>
  <c r="ID86" i="19"/>
  <c r="IF86" i="19"/>
  <c r="IB86" i="19"/>
  <c r="HW12" i="21"/>
  <c r="HS12" i="21"/>
  <c r="HU12" i="21"/>
  <c r="HQ12" i="21"/>
  <c r="IL54" i="21"/>
  <c r="OU58" i="35"/>
  <c r="OV58" i="35"/>
  <c r="GK93" i="19"/>
  <c r="GJ93" i="19"/>
  <c r="HQ113" i="19"/>
  <c r="HS113" i="19"/>
  <c r="HU113" i="19"/>
  <c r="HI48" i="34"/>
  <c r="HT25" i="39"/>
  <c r="HH25" i="39"/>
  <c r="HH46" i="34"/>
  <c r="HT46" i="34"/>
  <c r="HC108" i="39"/>
  <c r="GY12" i="34"/>
  <c r="GZ12" i="34"/>
  <c r="OM83" i="19"/>
  <c r="OV103" i="19"/>
  <c r="OU103" i="19"/>
  <c r="GZ17" i="34"/>
  <c r="HI17" i="34"/>
  <c r="IE34" i="34"/>
  <c r="IG34" i="34"/>
  <c r="HZ53" i="39"/>
  <c r="HV53" i="39"/>
  <c r="HX53" i="39"/>
  <c r="IU108" i="39"/>
  <c r="IU110" i="39"/>
  <c r="HI11" i="19"/>
  <c r="OM90" i="19"/>
  <c r="GZ84" i="39"/>
  <c r="HI84" i="39"/>
  <c r="KD15" i="22"/>
  <c r="KE15" i="22"/>
  <c r="KR29" i="22"/>
  <c r="IC14" i="22"/>
  <c r="IB14" i="22"/>
  <c r="IJ12" i="31"/>
  <c r="OO36" i="32"/>
  <c r="FY19" i="32"/>
  <c r="GJ19" i="32"/>
  <c r="OQ36" i="32"/>
  <c r="HY120" i="19"/>
  <c r="IA120" i="19"/>
  <c r="HG33" i="39"/>
  <c r="OH33" i="39"/>
  <c r="IC33" i="34"/>
  <c r="II33" i="34"/>
  <c r="GW33" i="34"/>
  <c r="GX33" i="34"/>
  <c r="GY33" i="34"/>
  <c r="FY10" i="22"/>
  <c r="ID10" i="19"/>
  <c r="IF10" i="19"/>
  <c r="IB10" i="19"/>
  <c r="KG29" i="35"/>
  <c r="FZ29" i="35"/>
  <c r="CE70" i="35"/>
  <c r="GX31" i="34"/>
  <c r="GY31" i="34"/>
  <c r="IC31" i="34"/>
  <c r="HQ31" i="34"/>
  <c r="HW31" i="34"/>
  <c r="GW31" i="34"/>
  <c r="II31" i="34"/>
  <c r="HI98" i="39"/>
  <c r="GZ98" i="39"/>
  <c r="KD12" i="19"/>
  <c r="FY12" i="19"/>
  <c r="OK38" i="19"/>
  <c r="OL38" i="19"/>
  <c r="OR38" i="19"/>
  <c r="OK13" i="35"/>
  <c r="OR13" i="35"/>
  <c r="OL13" i="35"/>
  <c r="FY16" i="39"/>
  <c r="OK110" i="19"/>
  <c r="OR110" i="19"/>
  <c r="OL110" i="19"/>
  <c r="GZ50" i="35"/>
  <c r="HI50" i="35"/>
  <c r="HI107" i="19"/>
  <c r="GZ107" i="19"/>
  <c r="HT14" i="35"/>
  <c r="HH14" i="35"/>
  <c r="HI38" i="19"/>
  <c r="IH86" i="19"/>
  <c r="IL86" i="19"/>
  <c r="IJ86" i="19"/>
  <c r="GK101" i="19"/>
  <c r="GJ101" i="19"/>
  <c r="GY11" i="39"/>
  <c r="HS29" i="19"/>
  <c r="HQ29" i="19"/>
  <c r="HU29" i="19"/>
  <c r="HW29" i="19"/>
  <c r="HR42" i="35"/>
  <c r="HP42" i="35"/>
  <c r="IK103" i="19"/>
  <c r="IM103" i="19"/>
  <c r="OR58" i="39"/>
  <c r="OL58" i="39"/>
  <c r="OK58" i="39"/>
  <c r="IL55" i="39"/>
  <c r="IH55" i="39"/>
  <c r="IJ55" i="39"/>
  <c r="HS58" i="35"/>
  <c r="HW58" i="35"/>
  <c r="HU58" i="35"/>
  <c r="HQ58" i="35"/>
  <c r="HQ115" i="19"/>
  <c r="HS115" i="19"/>
  <c r="HU115" i="19"/>
  <c r="IG38" i="39"/>
  <c r="IE38" i="39"/>
  <c r="HX20" i="35"/>
  <c r="HZ20" i="35"/>
  <c r="HV20" i="35"/>
  <c r="HR63" i="19"/>
  <c r="HP63" i="19"/>
  <c r="IA11" i="34"/>
  <c r="HY11" i="34"/>
  <c r="HQ32" i="19"/>
  <c r="HS32" i="19"/>
  <c r="HW32" i="19"/>
  <c r="HU32" i="19"/>
  <c r="IB36" i="34"/>
  <c r="IF36" i="34"/>
  <c r="ID36" i="34"/>
  <c r="OV56" i="39"/>
  <c r="OU56" i="39"/>
  <c r="OM54" i="39"/>
  <c r="ID24" i="34"/>
  <c r="IB24" i="34"/>
  <c r="IF24" i="34"/>
  <c r="HU112" i="19"/>
  <c r="HQ112" i="19"/>
  <c r="HS112" i="19"/>
  <c r="OV90" i="19"/>
  <c r="OU90" i="19"/>
  <c r="GK52" i="31"/>
  <c r="FY32" i="31"/>
  <c r="GK32" i="31"/>
  <c r="IC42" i="31"/>
  <c r="JO36" i="32"/>
  <c r="FY29" i="32"/>
  <c r="GK29" i="32"/>
  <c r="KD12" i="32"/>
  <c r="KE12" i="32"/>
  <c r="HY62" i="34"/>
  <c r="IA62" i="34"/>
  <c r="GX120" i="19"/>
  <c r="GY120" i="19"/>
  <c r="GW120" i="19"/>
  <c r="IC120" i="19"/>
  <c r="II120" i="19"/>
  <c r="HQ120" i="19"/>
  <c r="IU67" i="34"/>
  <c r="IU69" i="34"/>
  <c r="HH38" i="19"/>
  <c r="HT38" i="19"/>
  <c r="HH110" i="19"/>
  <c r="HK110" i="19"/>
  <c r="HT110" i="19"/>
  <c r="OR14" i="19"/>
  <c r="OL14" i="19"/>
  <c r="OK14" i="19"/>
  <c r="IL17" i="35"/>
  <c r="OK14" i="35"/>
  <c r="OL14" i="35"/>
  <c r="OR14" i="35"/>
  <c r="IE30" i="35"/>
  <c r="IG30" i="35"/>
  <c r="HU93" i="39"/>
  <c r="HS93" i="39"/>
  <c r="HW93" i="39"/>
  <c r="HQ93" i="39"/>
  <c r="IB11" i="39"/>
  <c r="HS20" i="21"/>
  <c r="HU20" i="21"/>
  <c r="HW20" i="21"/>
  <c r="HQ20" i="21"/>
  <c r="HS29" i="34"/>
  <c r="HW29" i="34"/>
  <c r="HU29" i="34"/>
  <c r="HQ29" i="34"/>
  <c r="ID121" i="19"/>
  <c r="IB121" i="19"/>
  <c r="IF121" i="19"/>
  <c r="OW19" i="21"/>
  <c r="HT58" i="39"/>
  <c r="HH58" i="39"/>
  <c r="HK36" i="19"/>
  <c r="GJ11" i="33"/>
  <c r="GK11" i="33"/>
  <c r="FY13" i="33"/>
  <c r="HQ49" i="34"/>
  <c r="HS49" i="34"/>
  <c r="HW49" i="34"/>
  <c r="HU49" i="34"/>
  <c r="OV12" i="39"/>
  <c r="OU12" i="39"/>
  <c r="HP53" i="21"/>
  <c r="HR53" i="21"/>
  <c r="HT30" i="34"/>
  <c r="HH30" i="34"/>
  <c r="HI73" i="39"/>
  <c r="GZ73" i="39"/>
  <c r="IJ25" i="34"/>
  <c r="IH25" i="34"/>
  <c r="IL25" i="34"/>
  <c r="HT55" i="34"/>
  <c r="HH55" i="34"/>
  <c r="IJ26" i="34"/>
  <c r="IH26" i="34"/>
  <c r="IL26" i="34"/>
  <c r="HP20" i="35"/>
  <c r="HR20" i="35"/>
  <c r="OV31" i="39"/>
  <c r="OU31" i="39"/>
  <c r="HE12" i="34"/>
  <c r="HC67" i="34"/>
  <c r="IB43" i="21"/>
  <c r="IF43" i="21"/>
  <c r="ID43" i="21"/>
  <c r="ID49" i="35"/>
  <c r="IB49" i="35"/>
  <c r="IF49" i="35"/>
  <c r="ID28" i="34"/>
  <c r="IB28" i="34"/>
  <c r="IF28" i="34"/>
  <c r="GS38" i="32"/>
  <c r="JC29" i="32"/>
  <c r="JC36" i="32"/>
  <c r="JC38" i="32"/>
  <c r="OR10" i="32"/>
  <c r="OL10" i="32"/>
  <c r="OK10" i="32"/>
  <c r="KM36" i="32"/>
  <c r="KD21" i="32"/>
  <c r="KE21" i="32"/>
  <c r="KD20" i="32"/>
  <c r="KE20" i="32"/>
  <c r="OH18" i="32"/>
  <c r="HG18" i="32"/>
  <c r="OR25" i="32"/>
  <c r="OL25" i="32"/>
  <c r="OK25" i="32"/>
  <c r="HG9" i="32"/>
  <c r="OH9" i="32"/>
  <c r="IA32" i="32"/>
  <c r="HY32" i="32"/>
  <c r="KF36" i="32"/>
  <c r="FY11" i="32"/>
  <c r="GJ11" i="32"/>
  <c r="HQ13" i="32"/>
  <c r="HR13" i="32"/>
  <c r="HG12" i="32"/>
  <c r="OH12" i="32"/>
  <c r="KD15" i="32"/>
  <c r="KE15" i="32"/>
  <c r="NU36" i="32"/>
  <c r="OH16" i="32"/>
  <c r="HG16" i="32"/>
  <c r="IC13" i="32"/>
  <c r="IB13" i="32"/>
  <c r="IQ21" i="32"/>
  <c r="IO21" i="32"/>
  <c r="HH25" i="32"/>
  <c r="HT25" i="32"/>
  <c r="HW25" i="32"/>
  <c r="FZ30" i="32"/>
  <c r="KG30" i="32"/>
  <c r="HG10" i="32"/>
  <c r="HH10" i="32"/>
  <c r="II13" i="32"/>
  <c r="IL13" i="32"/>
  <c r="HX27" i="32"/>
  <c r="HV27" i="32"/>
  <c r="HZ27" i="32"/>
  <c r="FY12" i="32"/>
  <c r="GJ12" i="32"/>
  <c r="GX13" i="32"/>
  <c r="GY13" i="32"/>
  <c r="GJ17" i="32"/>
  <c r="FY15" i="32"/>
  <c r="BB36" i="32"/>
  <c r="HG11" i="32"/>
  <c r="OH11" i="32"/>
  <c r="KG22" i="32"/>
  <c r="FZ22" i="32"/>
  <c r="FY22" i="32"/>
  <c r="II14" i="32"/>
  <c r="IC14" i="32"/>
  <c r="GW14" i="32"/>
  <c r="GX14" i="32"/>
  <c r="GY14" i="32"/>
  <c r="IC11" i="32"/>
  <c r="GX11" i="32"/>
  <c r="GY11" i="32"/>
  <c r="GW11" i="32"/>
  <c r="II11" i="32"/>
  <c r="IC9" i="32"/>
  <c r="GX9" i="32"/>
  <c r="GY9" i="32"/>
  <c r="II9" i="32"/>
  <c r="GW9" i="32"/>
  <c r="GV36" i="32"/>
  <c r="IC23" i="32"/>
  <c r="GX23" i="32"/>
  <c r="GY23" i="32"/>
  <c r="GW23" i="32"/>
  <c r="II23" i="32"/>
  <c r="GX20" i="32"/>
  <c r="GY20" i="32"/>
  <c r="II20" i="32"/>
  <c r="IC20" i="32"/>
  <c r="GW20" i="32"/>
  <c r="OM13" i="32"/>
  <c r="KD33" i="32"/>
  <c r="KE33" i="32"/>
  <c r="HH17" i="32"/>
  <c r="HT17" i="32"/>
  <c r="IP36" i="32"/>
  <c r="IP38" i="32"/>
  <c r="KI36" i="32"/>
  <c r="II25" i="32"/>
  <c r="GX25" i="32"/>
  <c r="GY25" i="32"/>
  <c r="IC25" i="32"/>
  <c r="GW25" i="32"/>
  <c r="HU21" i="32"/>
  <c r="HS21" i="32"/>
  <c r="HQ21" i="32"/>
  <c r="FY25" i="32"/>
  <c r="KG14" i="32"/>
  <c r="CE36" i="32"/>
  <c r="FZ14" i="32"/>
  <c r="OR26" i="32"/>
  <c r="OK26" i="32"/>
  <c r="OL26" i="32"/>
  <c r="HV13" i="32"/>
  <c r="HZ13" i="32"/>
  <c r="HX13" i="32"/>
  <c r="HH31" i="32"/>
  <c r="HT31" i="32"/>
  <c r="IC10" i="32"/>
  <c r="II10" i="32"/>
  <c r="GX10" i="32"/>
  <c r="GY10" i="32"/>
  <c r="GW10" i="32"/>
  <c r="HT34" i="32"/>
  <c r="HH34" i="32"/>
  <c r="BK36" i="32"/>
  <c r="GP38" i="32"/>
  <c r="GO38" i="32"/>
  <c r="OK17" i="32"/>
  <c r="OL17" i="32"/>
  <c r="OR17" i="32"/>
  <c r="KD22" i="32"/>
  <c r="KE22" i="32"/>
  <c r="OL14" i="32"/>
  <c r="GB36" i="32"/>
  <c r="HG30" i="32"/>
  <c r="OH30" i="32"/>
  <c r="IH27" i="32"/>
  <c r="IL27" i="32"/>
  <c r="IJ27" i="32"/>
  <c r="KD9" i="32"/>
  <c r="FY9" i="32"/>
  <c r="GA36" i="32"/>
  <c r="HH15" i="32"/>
  <c r="HT15" i="32"/>
  <c r="OR31" i="32"/>
  <c r="OK31" i="32"/>
  <c r="OL31" i="32"/>
  <c r="GX15" i="32"/>
  <c r="GY15" i="32"/>
  <c r="IC15" i="32"/>
  <c r="II15" i="32"/>
  <c r="GW15" i="32"/>
  <c r="GW31" i="32"/>
  <c r="GX31" i="32"/>
  <c r="GY31" i="32"/>
  <c r="II31" i="32"/>
  <c r="IC31" i="32"/>
  <c r="GW29" i="32"/>
  <c r="II29" i="32"/>
  <c r="GX29" i="32"/>
  <c r="GY29" i="32"/>
  <c r="IC29" i="32"/>
  <c r="AX36" i="32"/>
  <c r="AZ9" i="32"/>
  <c r="AZ16" i="32"/>
  <c r="AV36" i="32"/>
  <c r="OJ36" i="32"/>
  <c r="FY21" i="32"/>
  <c r="JP37" i="32"/>
  <c r="GT36" i="32"/>
  <c r="GT38" i="32"/>
  <c r="OU19" i="32"/>
  <c r="OV19" i="32"/>
  <c r="AY36" i="32"/>
  <c r="GE36" i="32"/>
  <c r="HT26" i="32"/>
  <c r="HH26" i="32"/>
  <c r="IU36" i="32"/>
  <c r="IU38" i="32"/>
  <c r="PQ36" i="32"/>
  <c r="BA36" i="32"/>
  <c r="GW12" i="32"/>
  <c r="II12" i="32"/>
  <c r="IC12" i="32"/>
  <c r="GX12" i="32"/>
  <c r="GY12" i="32"/>
  <c r="FY32" i="32"/>
  <c r="KD32" i="32"/>
  <c r="KE32" i="32"/>
  <c r="GW24" i="32"/>
  <c r="IC24" i="32"/>
  <c r="II24" i="32"/>
  <c r="HW24" i="32"/>
  <c r="GX24" i="32"/>
  <c r="GY24" i="32"/>
  <c r="II18" i="32"/>
  <c r="GX18" i="32"/>
  <c r="GY18" i="32"/>
  <c r="IC18" i="32"/>
  <c r="GW18" i="32"/>
  <c r="NT36" i="32"/>
  <c r="AZ20" i="32"/>
  <c r="KD19" i="32"/>
  <c r="KE19" i="32"/>
  <c r="KH36" i="32"/>
  <c r="FY30" i="32"/>
  <c r="GW17" i="32"/>
  <c r="II17" i="32"/>
  <c r="GX17" i="32"/>
  <c r="GY17" i="32"/>
  <c r="IC17" i="32"/>
  <c r="KK36" i="32"/>
  <c r="IO9" i="32"/>
  <c r="IQ9" i="32"/>
  <c r="OH27" i="32"/>
  <c r="HG27" i="32"/>
  <c r="OK22" i="32"/>
  <c r="OL22" i="32"/>
  <c r="OR22" i="32"/>
  <c r="IE32" i="32"/>
  <c r="IG32" i="32"/>
  <c r="GZ32" i="32"/>
  <c r="II22" i="32"/>
  <c r="GW22" i="32"/>
  <c r="IC22" i="32"/>
  <c r="GX22" i="32"/>
  <c r="GY22" i="32"/>
  <c r="IF30" i="32"/>
  <c r="IB30" i="32"/>
  <c r="ID30" i="32"/>
  <c r="HH23" i="32"/>
  <c r="HT23" i="32"/>
  <c r="KD31" i="32"/>
  <c r="KE31" i="32"/>
  <c r="FY31" i="32"/>
  <c r="HH32" i="32"/>
  <c r="HT32" i="32"/>
  <c r="OV29" i="32"/>
  <c r="OW29" i="32"/>
  <c r="II16" i="32"/>
  <c r="GW16" i="32"/>
  <c r="IC16" i="32"/>
  <c r="GX16" i="32"/>
  <c r="GY16" i="32"/>
  <c r="FY13" i="32"/>
  <c r="KD13" i="32"/>
  <c r="KE13" i="32"/>
  <c r="GC36" i="32"/>
  <c r="IO20" i="32"/>
  <c r="IQ20" i="32"/>
  <c r="FY24" i="32"/>
  <c r="HH22" i="32"/>
  <c r="HT22" i="32"/>
  <c r="KD10" i="32"/>
  <c r="KE10" i="32"/>
  <c r="FY10" i="32"/>
  <c r="OR23" i="32"/>
  <c r="OK23" i="32"/>
  <c r="OL23" i="32"/>
  <c r="IL32" i="32"/>
  <c r="IJ32" i="32"/>
  <c r="IH32" i="32"/>
  <c r="GD36" i="32"/>
  <c r="IF34" i="32"/>
  <c r="IA34" i="32"/>
  <c r="HY34" i="32"/>
  <c r="HY43" i="31"/>
  <c r="GP62" i="31"/>
  <c r="HT20" i="31"/>
  <c r="HS20" i="31"/>
  <c r="HH20" i="31"/>
  <c r="HI58" i="31"/>
  <c r="HK58" i="31"/>
  <c r="OH28" i="31"/>
  <c r="HG28" i="31"/>
  <c r="II29" i="31"/>
  <c r="GW29" i="31"/>
  <c r="GX29" i="31"/>
  <c r="GY29" i="31"/>
  <c r="IC29" i="31"/>
  <c r="ID29" i="31"/>
  <c r="KD11" i="31"/>
  <c r="KE11" i="31"/>
  <c r="KD41" i="31"/>
  <c r="KE41" i="31"/>
  <c r="GA13" i="31"/>
  <c r="FY13" i="31"/>
  <c r="GK13" i="31"/>
  <c r="KH13" i="31"/>
  <c r="HT34" i="31"/>
  <c r="HQ34" i="31"/>
  <c r="HP34" i="31"/>
  <c r="GA18" i="31"/>
  <c r="FY18" i="31"/>
  <c r="KH18" i="31"/>
  <c r="GJ53" i="31"/>
  <c r="OH24" i="31"/>
  <c r="OL24" i="31"/>
  <c r="IB31" i="31"/>
  <c r="KD34" i="31"/>
  <c r="KE34" i="31"/>
  <c r="GK58" i="31"/>
  <c r="GJ58" i="31"/>
  <c r="IE31" i="31"/>
  <c r="GJ56" i="31"/>
  <c r="ID31" i="31"/>
  <c r="OH23" i="31"/>
  <c r="OR23" i="31"/>
  <c r="OH20" i="31"/>
  <c r="OK20" i="31"/>
  <c r="KD18" i="31"/>
  <c r="KE18" i="31"/>
  <c r="HR58" i="31"/>
  <c r="HP58" i="31"/>
  <c r="ID35" i="31"/>
  <c r="IF35" i="31"/>
  <c r="IB35" i="31"/>
  <c r="II16" i="31"/>
  <c r="IH16" i="31"/>
  <c r="IM58" i="31"/>
  <c r="IK58" i="31"/>
  <c r="GQ62" i="31"/>
  <c r="FY34" i="31"/>
  <c r="GJ34" i="31"/>
  <c r="KD39" i="31"/>
  <c r="KE39" i="31"/>
  <c r="HW9" i="31"/>
  <c r="HV9" i="31"/>
  <c r="FZ21" i="31"/>
  <c r="FY21" i="31"/>
  <c r="GJ21" i="31"/>
  <c r="KG21" i="31"/>
  <c r="KG27" i="31"/>
  <c r="FZ27" i="31"/>
  <c r="FY27" i="31"/>
  <c r="GK27" i="31"/>
  <c r="HP53" i="31"/>
  <c r="HH43" i="31"/>
  <c r="PQ60" i="31"/>
  <c r="GW25" i="31"/>
  <c r="II25" i="31"/>
  <c r="GX25" i="31"/>
  <c r="GY25" i="31"/>
  <c r="IC25" i="31"/>
  <c r="GX10" i="31"/>
  <c r="GY10" i="31"/>
  <c r="GW10" i="31"/>
  <c r="IC10" i="31"/>
  <c r="II10" i="31"/>
  <c r="II13" i="31"/>
  <c r="IC13" i="31"/>
  <c r="GX13" i="31"/>
  <c r="GY13" i="31"/>
  <c r="GW13" i="31"/>
  <c r="GX24" i="31"/>
  <c r="GY24" i="31"/>
  <c r="GW24" i="31"/>
  <c r="IC24" i="31"/>
  <c r="II24" i="31"/>
  <c r="GX11" i="31"/>
  <c r="GY11" i="31"/>
  <c r="GW11" i="31"/>
  <c r="II11" i="31"/>
  <c r="IC11" i="31"/>
  <c r="IC16" i="31"/>
  <c r="IF16" i="31"/>
  <c r="IA36" i="31"/>
  <c r="KD28" i="31"/>
  <c r="KE28" i="31"/>
  <c r="GX9" i="31"/>
  <c r="GY9" i="31"/>
  <c r="KD36" i="31"/>
  <c r="KE36" i="31"/>
  <c r="FY36" i="31"/>
  <c r="IM48" i="31"/>
  <c r="FY11" i="31"/>
  <c r="GK11" i="31"/>
  <c r="IC9" i="31"/>
  <c r="IF9" i="31"/>
  <c r="KR60" i="31"/>
  <c r="OH29" i="31"/>
  <c r="HG29" i="31"/>
  <c r="KD42" i="31"/>
  <c r="KE42" i="31"/>
  <c r="HY41" i="31"/>
  <c r="IA41" i="31"/>
  <c r="HT22" i="31"/>
  <c r="HH22" i="31"/>
  <c r="IC27" i="31"/>
  <c r="GX27" i="31"/>
  <c r="GY27" i="31"/>
  <c r="HH18" i="31"/>
  <c r="HT18" i="31"/>
  <c r="HQ18" i="31"/>
  <c r="HH31" i="31"/>
  <c r="HT31" i="31"/>
  <c r="IC32" i="31"/>
  <c r="GW32" i="31"/>
  <c r="II32" i="31"/>
  <c r="GX32" i="31"/>
  <c r="GY32" i="31"/>
  <c r="II33" i="31"/>
  <c r="GX33" i="31"/>
  <c r="GY33" i="31"/>
  <c r="GW33" i="31"/>
  <c r="IC33" i="31"/>
  <c r="GV60" i="31"/>
  <c r="GW9" i="31"/>
  <c r="GZ9" i="31"/>
  <c r="HI16" i="31"/>
  <c r="GZ16" i="31"/>
  <c r="EB60" i="31"/>
  <c r="GX18" i="31"/>
  <c r="GY18" i="31"/>
  <c r="HS56" i="31"/>
  <c r="HQ56" i="31"/>
  <c r="HU56" i="31"/>
  <c r="KD17" i="31"/>
  <c r="KE17" i="31"/>
  <c r="FY19" i="31"/>
  <c r="IC26" i="31"/>
  <c r="GX26" i="31"/>
  <c r="GY26" i="31"/>
  <c r="OL22" i="31"/>
  <c r="OK22" i="31"/>
  <c r="OR22" i="31"/>
  <c r="GD60" i="31"/>
  <c r="II18" i="31"/>
  <c r="IL18" i="31"/>
  <c r="GT60" i="31"/>
  <c r="GT62" i="31"/>
  <c r="IA31" i="31"/>
  <c r="HH40" i="31"/>
  <c r="HT40" i="31"/>
  <c r="OT20" i="31"/>
  <c r="HH15" i="31"/>
  <c r="HT15" i="31"/>
  <c r="FY22" i="31"/>
  <c r="FY35" i="31"/>
  <c r="KD35" i="31"/>
  <c r="KE35" i="31"/>
  <c r="GX21" i="31"/>
  <c r="GY21" i="31"/>
  <c r="IC21" i="31"/>
  <c r="II21" i="31"/>
  <c r="GW21" i="31"/>
  <c r="FY39" i="31"/>
  <c r="GJ39" i="31"/>
  <c r="HT35" i="31"/>
  <c r="HH35" i="31"/>
  <c r="GW14" i="31"/>
  <c r="IC14" i="31"/>
  <c r="GX14" i="31"/>
  <c r="GY14" i="31"/>
  <c r="II14" i="31"/>
  <c r="GK17" i="31"/>
  <c r="IJ17" i="31"/>
  <c r="IL17" i="31"/>
  <c r="IH17" i="31"/>
  <c r="KM60" i="31"/>
  <c r="GW18" i="31"/>
  <c r="GZ18" i="31"/>
  <c r="FY41" i="31"/>
  <c r="GJ41" i="31"/>
  <c r="HH59" i="31"/>
  <c r="HT59" i="31"/>
  <c r="HR22" i="31"/>
  <c r="HP22" i="31"/>
  <c r="GZ59" i="31"/>
  <c r="HI59" i="31"/>
  <c r="OH27" i="31"/>
  <c r="HG27" i="31"/>
  <c r="OH21" i="31"/>
  <c r="HG21" i="31"/>
  <c r="IO15" i="31"/>
  <c r="IQ15" i="31"/>
  <c r="JO60" i="31"/>
  <c r="GW20" i="31"/>
  <c r="GX20" i="31"/>
  <c r="GY20" i="31"/>
  <c r="II20" i="31"/>
  <c r="IC20" i="31"/>
  <c r="IC28" i="31"/>
  <c r="GW28" i="31"/>
  <c r="GX28" i="31"/>
  <c r="GY28" i="31"/>
  <c r="II28" i="31"/>
  <c r="GX16" i="31"/>
  <c r="GY16" i="31"/>
  <c r="HQ9" i="31"/>
  <c r="HR9" i="31"/>
  <c r="HG11" i="31"/>
  <c r="OH11" i="31"/>
  <c r="IO22" i="31"/>
  <c r="IQ22" i="31"/>
  <c r="HT37" i="31"/>
  <c r="HH37" i="31"/>
  <c r="IA59" i="31"/>
  <c r="HY59" i="31"/>
  <c r="HS9" i="31"/>
  <c r="HU9" i="31"/>
  <c r="OT18" i="31"/>
  <c r="GX19" i="31"/>
  <c r="GY19" i="31"/>
  <c r="GW19" i="31"/>
  <c r="II19" i="31"/>
  <c r="IC19" i="31"/>
  <c r="IL59" i="31"/>
  <c r="IH59" i="31"/>
  <c r="IJ59" i="31"/>
  <c r="HS33" i="31"/>
  <c r="HU33" i="31"/>
  <c r="HQ33" i="31"/>
  <c r="GJ14" i="31"/>
  <c r="GK14" i="31"/>
  <c r="HI45" i="31"/>
  <c r="HK45" i="31"/>
  <c r="HK48" i="31"/>
  <c r="HU54" i="31"/>
  <c r="HS54" i="31"/>
  <c r="HQ54" i="31"/>
  <c r="GK48" i="31"/>
  <c r="GJ48" i="31"/>
  <c r="IG50" i="31"/>
  <c r="IE50" i="31"/>
  <c r="IE52" i="31"/>
  <c r="IG52" i="31"/>
  <c r="FY10" i="31"/>
  <c r="HV22" i="31"/>
  <c r="HX22" i="31"/>
  <c r="HZ22" i="31"/>
  <c r="HS43" i="31"/>
  <c r="HU43" i="31"/>
  <c r="HQ43" i="31"/>
  <c r="KD15" i="31"/>
  <c r="KE15" i="31"/>
  <c r="HI30" i="31"/>
  <c r="GZ30" i="31"/>
  <c r="IF34" i="31"/>
  <c r="IB34" i="31"/>
  <c r="ID34" i="31"/>
  <c r="FY16" i="31"/>
  <c r="HU55" i="31"/>
  <c r="HQ55" i="31"/>
  <c r="HS55" i="31"/>
  <c r="GZ56" i="31"/>
  <c r="IM53" i="31"/>
  <c r="HI44" i="31"/>
  <c r="HK44" i="31"/>
  <c r="IH57" i="31"/>
  <c r="IL57" i="31"/>
  <c r="IJ57" i="31"/>
  <c r="HH26" i="31"/>
  <c r="HT26" i="31"/>
  <c r="HK50" i="31"/>
  <c r="HU48" i="31"/>
  <c r="HS48" i="31"/>
  <c r="HQ48" i="31"/>
  <c r="HK66" i="31"/>
  <c r="OT12" i="31"/>
  <c r="FY57" i="31"/>
  <c r="KD57" i="31"/>
  <c r="KE57" i="31"/>
  <c r="HI27" i="31"/>
  <c r="GZ27" i="31"/>
  <c r="KD10" i="31"/>
  <c r="FY29" i="31"/>
  <c r="KD29" i="31"/>
  <c r="KE29" i="31"/>
  <c r="FY15" i="31"/>
  <c r="HH24" i="31"/>
  <c r="HT24" i="31"/>
  <c r="IK23" i="31"/>
  <c r="IM23" i="31"/>
  <c r="HG25" i="31"/>
  <c r="OH25" i="31"/>
  <c r="GZ34" i="31"/>
  <c r="HI34" i="31"/>
  <c r="HP38" i="31"/>
  <c r="HR38" i="31"/>
  <c r="HX34" i="31"/>
  <c r="HZ34" i="31"/>
  <c r="HV34" i="31"/>
  <c r="HR45" i="31"/>
  <c r="HP45" i="31"/>
  <c r="JF45" i="31"/>
  <c r="JJ45" i="31"/>
  <c r="IK45" i="31"/>
  <c r="IM45" i="31"/>
  <c r="GX38" i="31"/>
  <c r="GY38" i="31"/>
  <c r="IC38" i="31"/>
  <c r="GW38" i="31"/>
  <c r="II38" i="31"/>
  <c r="HK68" i="31"/>
  <c r="OO60" i="31"/>
  <c r="IK50" i="31"/>
  <c r="IM50" i="31"/>
  <c r="IL27" i="31"/>
  <c r="IJ27" i="31"/>
  <c r="IH27" i="31"/>
  <c r="GC60" i="31"/>
  <c r="IF54" i="31"/>
  <c r="ID54" i="31"/>
  <c r="IB54" i="31"/>
  <c r="IA37" i="31"/>
  <c r="HY37" i="31"/>
  <c r="HH17" i="31"/>
  <c r="HT17" i="31"/>
  <c r="OT24" i="31"/>
  <c r="BK60" i="31"/>
  <c r="HG30" i="31"/>
  <c r="OH30" i="31"/>
  <c r="IC41" i="31"/>
  <c r="GX41" i="31"/>
  <c r="GY41" i="31"/>
  <c r="GW41" i="31"/>
  <c r="II41" i="31"/>
  <c r="IH26" i="31"/>
  <c r="IL26" i="31"/>
  <c r="IJ26" i="31"/>
  <c r="HK67" i="31"/>
  <c r="GK50" i="31"/>
  <c r="GJ50" i="31"/>
  <c r="IE55" i="31"/>
  <c r="IG55" i="31"/>
  <c r="IE44" i="31"/>
  <c r="IG44" i="31"/>
  <c r="HK69" i="31"/>
  <c r="KH12" i="31"/>
  <c r="GA12" i="31"/>
  <c r="CF60" i="31"/>
  <c r="KD14" i="31"/>
  <c r="KE14" i="31"/>
  <c r="GE60" i="31"/>
  <c r="OT30" i="31"/>
  <c r="JP61" i="31"/>
  <c r="KD43" i="31"/>
  <c r="KE43" i="31"/>
  <c r="FY43" i="31"/>
  <c r="FY31" i="31"/>
  <c r="KD31" i="31"/>
  <c r="KE31" i="31"/>
  <c r="OR17" i="31"/>
  <c r="OK17" i="31"/>
  <c r="OL17" i="31"/>
  <c r="IB18" i="31"/>
  <c r="ID18" i="31"/>
  <c r="IF18" i="31"/>
  <c r="IM12" i="31"/>
  <c r="IK12" i="31"/>
  <c r="KI60" i="31"/>
  <c r="HH19" i="31"/>
  <c r="HT19" i="31"/>
  <c r="HE10" i="31"/>
  <c r="HC60" i="31"/>
  <c r="OT27" i="31"/>
  <c r="HH13" i="31"/>
  <c r="HQ41" i="31"/>
  <c r="HU41" i="31"/>
  <c r="HS41" i="31"/>
  <c r="IH56" i="31"/>
  <c r="IL56" i="31"/>
  <c r="IJ56" i="31"/>
  <c r="HY33" i="31"/>
  <c r="IA33" i="31"/>
  <c r="OT11" i="31"/>
  <c r="GA20" i="31"/>
  <c r="KH20" i="31"/>
  <c r="GK47" i="31"/>
  <c r="GJ47" i="31"/>
  <c r="KD23" i="31"/>
  <c r="KE23" i="31"/>
  <c r="FY23" i="31"/>
  <c r="OP60" i="31"/>
  <c r="IJ54" i="31"/>
  <c r="IH54" i="31"/>
  <c r="IL54" i="31"/>
  <c r="IJ43" i="31"/>
  <c r="KD24" i="31"/>
  <c r="KE24" i="31"/>
  <c r="HT14" i="31"/>
  <c r="HH14" i="31"/>
  <c r="IH34" i="31"/>
  <c r="IJ34" i="31"/>
  <c r="IL34" i="31"/>
  <c r="OL12" i="31"/>
  <c r="OK12" i="31"/>
  <c r="OR12" i="31"/>
  <c r="OU12" i="31"/>
  <c r="GB60" i="31"/>
  <c r="OJ60" i="31"/>
  <c r="OM9" i="31"/>
  <c r="HH23" i="31"/>
  <c r="HT23" i="31"/>
  <c r="HY40" i="31"/>
  <c r="IA40" i="31"/>
  <c r="OL13" i="31"/>
  <c r="OK13" i="31"/>
  <c r="OR13" i="31"/>
  <c r="IU60" i="31"/>
  <c r="IU62" i="31"/>
  <c r="HT57" i="31"/>
  <c r="HH57" i="31"/>
  <c r="OU9" i="31"/>
  <c r="OT19" i="31"/>
  <c r="KD26" i="31"/>
  <c r="KE26" i="31"/>
  <c r="FY26" i="31"/>
  <c r="IH9" i="31"/>
  <c r="IL9" i="31"/>
  <c r="IJ9" i="31"/>
  <c r="GJ45" i="31"/>
  <c r="GK45" i="31"/>
  <c r="IM49" i="31"/>
  <c r="IB56" i="31"/>
  <c r="IF56" i="31"/>
  <c r="ID56" i="31"/>
  <c r="HK65" i="31"/>
  <c r="IY60" i="31"/>
  <c r="IY62" i="31"/>
  <c r="GK54" i="31"/>
  <c r="GJ54" i="31"/>
  <c r="KD59" i="31"/>
  <c r="KE59" i="31"/>
  <c r="FY59" i="31"/>
  <c r="NU12" i="31"/>
  <c r="NU60" i="31"/>
  <c r="NT60" i="31"/>
  <c r="IO26" i="31"/>
  <c r="IQ26" i="31"/>
  <c r="KD40" i="31"/>
  <c r="KE40" i="31"/>
  <c r="FY40" i="31"/>
  <c r="GZ54" i="31"/>
  <c r="HP44" i="31"/>
  <c r="HR44" i="31"/>
  <c r="IA39" i="31"/>
  <c r="HY39" i="31"/>
  <c r="HY57" i="31"/>
  <c r="IA57" i="31"/>
  <c r="IO18" i="31"/>
  <c r="IQ18" i="31"/>
  <c r="OQ60" i="31"/>
  <c r="GR62" i="31"/>
  <c r="OR16" i="31"/>
  <c r="OL16" i="31"/>
  <c r="OK16" i="31"/>
  <c r="NU29" i="22"/>
  <c r="AV29" i="22"/>
  <c r="EB29" i="22"/>
  <c r="HH25" i="22"/>
  <c r="HK25" i="22"/>
  <c r="HT25" i="22"/>
  <c r="IA25" i="22"/>
  <c r="HY25" i="22"/>
  <c r="IK24" i="22"/>
  <c r="IM24" i="22"/>
  <c r="IC17" i="22"/>
  <c r="GX17" i="22"/>
  <c r="GY17" i="22"/>
  <c r="II17" i="22"/>
  <c r="GW17" i="22"/>
  <c r="IA17" i="22"/>
  <c r="HY17" i="22"/>
  <c r="GT29" i="22"/>
  <c r="GT31" i="22"/>
  <c r="GJ15" i="22"/>
  <c r="GK15" i="22"/>
  <c r="GC29" i="22"/>
  <c r="FY13" i="22"/>
  <c r="HP21" i="22"/>
  <c r="HR21" i="22"/>
  <c r="PQ29" i="22"/>
  <c r="IG18" i="22"/>
  <c r="IE18" i="22"/>
  <c r="GZ22" i="22"/>
  <c r="HI22" i="22"/>
  <c r="HR18" i="22"/>
  <c r="HP18" i="22"/>
  <c r="JF18" i="22"/>
  <c r="JJ18" i="22"/>
  <c r="HS26" i="22"/>
  <c r="HU26" i="22"/>
  <c r="HQ26" i="22"/>
  <c r="IO13" i="22"/>
  <c r="IQ13" i="22"/>
  <c r="HQ13" i="22"/>
  <c r="HI19" i="22"/>
  <c r="HK19" i="22"/>
  <c r="ID13" i="22"/>
  <c r="IB13" i="22"/>
  <c r="IF13" i="22"/>
  <c r="IM13" i="22"/>
  <c r="IK13" i="22"/>
  <c r="FY26" i="22"/>
  <c r="IE20" i="22"/>
  <c r="IG20" i="22"/>
  <c r="FY24" i="22"/>
  <c r="FZ29" i="22"/>
  <c r="HQ27" i="22"/>
  <c r="HU27" i="22"/>
  <c r="HS27" i="22"/>
  <c r="HI20" i="22"/>
  <c r="HK20" i="22"/>
  <c r="GJ23" i="22"/>
  <c r="GK23" i="22"/>
  <c r="HY13" i="22"/>
  <c r="IA13" i="22"/>
  <c r="HE29" i="22"/>
  <c r="HQ12" i="22"/>
  <c r="IQ12" i="22"/>
  <c r="IO12" i="22"/>
  <c r="OQ29" i="22"/>
  <c r="OT12" i="22"/>
  <c r="GD29" i="22"/>
  <c r="GW23" i="22"/>
  <c r="GX23" i="22"/>
  <c r="GY23" i="22"/>
  <c r="IC23" i="22"/>
  <c r="II23" i="22"/>
  <c r="OH14" i="22"/>
  <c r="HG14" i="22"/>
  <c r="OR10" i="22"/>
  <c r="OK10" i="22"/>
  <c r="OL10" i="22"/>
  <c r="NT29" i="22"/>
  <c r="GO31" i="22"/>
  <c r="HY27" i="22"/>
  <c r="IA27" i="22"/>
  <c r="JP30" i="22"/>
  <c r="HQ17" i="22"/>
  <c r="HS17" i="22"/>
  <c r="HU17" i="22"/>
  <c r="IO16" i="22"/>
  <c r="IQ16" i="22"/>
  <c r="HT11" i="22"/>
  <c r="HH11" i="22"/>
  <c r="HT28" i="22"/>
  <c r="HH28" i="22"/>
  <c r="KD11" i="22"/>
  <c r="GE29" i="22"/>
  <c r="GX11" i="22"/>
  <c r="GY11" i="22"/>
  <c r="GW11" i="22"/>
  <c r="IC11" i="22"/>
  <c r="II11" i="22"/>
  <c r="BK29" i="22"/>
  <c r="IE21" i="22"/>
  <c r="IM21" i="22"/>
  <c r="IK21" i="22"/>
  <c r="IB28" i="22"/>
  <c r="ID28" i="22"/>
  <c r="IF28" i="22"/>
  <c r="GJ9" i="22"/>
  <c r="ID25" i="22"/>
  <c r="IF25" i="22"/>
  <c r="IB25" i="22"/>
  <c r="GZ13" i="22"/>
  <c r="HI13" i="22"/>
  <c r="HR19" i="22"/>
  <c r="HP19" i="22"/>
  <c r="HC29" i="22"/>
  <c r="GW26" i="22"/>
  <c r="II26" i="22"/>
  <c r="IC26" i="22"/>
  <c r="GX26" i="22"/>
  <c r="GY26" i="22"/>
  <c r="GJ27" i="22"/>
  <c r="KD23" i="22"/>
  <c r="KE23" i="22"/>
  <c r="OR11" i="22"/>
  <c r="OL11" i="22"/>
  <c r="OK11" i="22"/>
  <c r="IL14" i="22"/>
  <c r="IJ14" i="22"/>
  <c r="IH14" i="22"/>
  <c r="IH22" i="22"/>
  <c r="IJ22" i="22"/>
  <c r="IL22" i="22"/>
  <c r="FY17" i="22"/>
  <c r="KD17" i="22"/>
  <c r="KE17" i="22"/>
  <c r="FY16" i="22"/>
  <c r="KD16" i="22"/>
  <c r="KE16" i="22"/>
  <c r="IC12" i="22"/>
  <c r="GW12" i="22"/>
  <c r="II12" i="22"/>
  <c r="GX12" i="22"/>
  <c r="GY12" i="22"/>
  <c r="HW12" i="22"/>
  <c r="FY28" i="22"/>
  <c r="IA16" i="22"/>
  <c r="HY16" i="22"/>
  <c r="HK18" i="22"/>
  <c r="GK25" i="22"/>
  <c r="GJ25" i="22"/>
  <c r="JO29" i="22"/>
  <c r="IL25" i="22"/>
  <c r="IH25" i="22"/>
  <c r="IJ25" i="22"/>
  <c r="IO10" i="22"/>
  <c r="IQ10" i="22"/>
  <c r="IF22" i="22"/>
  <c r="ID22" i="22"/>
  <c r="IB22" i="22"/>
  <c r="GJ22" i="22"/>
  <c r="GK22" i="22"/>
  <c r="II27" i="22"/>
  <c r="IC27" i="22"/>
  <c r="GX27" i="22"/>
  <c r="GY27" i="22"/>
  <c r="GW27" i="22"/>
  <c r="IA23" i="22"/>
  <c r="HY23" i="22"/>
  <c r="OL9" i="22"/>
  <c r="OK9" i="22"/>
  <c r="OR9" i="22"/>
  <c r="GB29" i="22"/>
  <c r="HI10" i="22"/>
  <c r="OV13" i="22"/>
  <c r="OW13" i="22"/>
  <c r="HI24" i="22"/>
  <c r="HK24" i="22"/>
  <c r="GV29" i="22"/>
  <c r="II15" i="22"/>
  <c r="IC15" i="22"/>
  <c r="GW15" i="22"/>
  <c r="GX15" i="22"/>
  <c r="HS15" i="22"/>
  <c r="HQ15" i="22"/>
  <c r="HU15" i="22"/>
  <c r="HY15" i="22"/>
  <c r="IA15" i="22"/>
  <c r="HI66" i="35"/>
  <c r="HK66" i="35"/>
  <c r="IH66" i="35"/>
  <c r="IJ66" i="35"/>
  <c r="IL66" i="35"/>
  <c r="IB66" i="35"/>
  <c r="ID66" i="35"/>
  <c r="IF66" i="35"/>
  <c r="GZ64" i="35"/>
  <c r="HI64" i="35"/>
  <c r="GT70" i="35"/>
  <c r="GT72" i="35"/>
  <c r="HY63" i="35"/>
  <c r="IA63" i="35"/>
  <c r="IF63" i="35"/>
  <c r="ID63" i="35"/>
  <c r="IB63" i="35"/>
  <c r="IJ68" i="35"/>
  <c r="IL68" i="35"/>
  <c r="IH68" i="35"/>
  <c r="IG68" i="35"/>
  <c r="HQ68" i="35"/>
  <c r="IC65" i="35"/>
  <c r="GW65" i="35"/>
  <c r="II65" i="35"/>
  <c r="GX65" i="35"/>
  <c r="GY65" i="35"/>
  <c r="IA65" i="35"/>
  <c r="HY65" i="35"/>
  <c r="IB62" i="35"/>
  <c r="ID62" i="35"/>
  <c r="IF62" i="35"/>
  <c r="GQ72" i="35"/>
  <c r="GP72" i="35"/>
  <c r="IH9" i="35"/>
  <c r="IJ9" i="35"/>
  <c r="IL9" i="35"/>
  <c r="GY9" i="35"/>
  <c r="IU70" i="35"/>
  <c r="IU72" i="35"/>
  <c r="OL9" i="35"/>
  <c r="OR9" i="35"/>
  <c r="OK9" i="35"/>
  <c r="HS9" i="35"/>
  <c r="HU9" i="35"/>
  <c r="HQ9" i="35"/>
  <c r="HE33" i="32"/>
  <c r="HC36" i="32"/>
  <c r="IK33" i="32"/>
  <c r="IM33" i="32"/>
  <c r="HV15" i="19"/>
  <c r="HX15" i="19"/>
  <c r="HZ15" i="19"/>
  <c r="HY15" i="19"/>
  <c r="KD13" i="33"/>
  <c r="OV32" i="19"/>
  <c r="IH65" i="19"/>
  <c r="IJ65" i="19"/>
  <c r="FZ126" i="19"/>
  <c r="IA52" i="35"/>
  <c r="AZ126" i="19"/>
  <c r="IB103" i="19"/>
  <c r="IF103" i="19"/>
  <c r="ID103" i="19"/>
  <c r="II126" i="19"/>
  <c r="HK88" i="39"/>
  <c r="ID44" i="35"/>
  <c r="GY10" i="19"/>
  <c r="GX126" i="19"/>
  <c r="KE9" i="19"/>
  <c r="KD126" i="19"/>
  <c r="HU31" i="39"/>
  <c r="HS31" i="39"/>
  <c r="FY126" i="19"/>
  <c r="GW126" i="19"/>
  <c r="OL42" i="35"/>
  <c r="OK42" i="35"/>
  <c r="OM42" i="35"/>
  <c r="IC126" i="19"/>
  <c r="HT34" i="34"/>
  <c r="HH34" i="34"/>
  <c r="OM92" i="39"/>
  <c r="OK94" i="19"/>
  <c r="OM94" i="19"/>
  <c r="HS15" i="19"/>
  <c r="HU15" i="19"/>
  <c r="HK40" i="21"/>
  <c r="HI31" i="19"/>
  <c r="HK18" i="39"/>
  <c r="HY12" i="19"/>
  <c r="HP35" i="19"/>
  <c r="HR111" i="19"/>
  <c r="HP74" i="19"/>
  <c r="HV63" i="19"/>
  <c r="HK35" i="35"/>
  <c r="IH78" i="19"/>
  <c r="GZ72" i="19"/>
  <c r="HK72" i="19"/>
  <c r="IG33" i="19"/>
  <c r="HW35" i="19"/>
  <c r="HZ35" i="19"/>
  <c r="IJ78" i="19"/>
  <c r="IE107" i="19"/>
  <c r="GK27" i="19"/>
  <c r="HR100" i="19"/>
  <c r="HS35" i="19"/>
  <c r="HK23" i="19"/>
  <c r="HU35" i="19"/>
  <c r="GZ77" i="19"/>
  <c r="OV33" i="19"/>
  <c r="HK78" i="19"/>
  <c r="HV60" i="19"/>
  <c r="IJ57" i="19"/>
  <c r="IL57" i="19"/>
  <c r="IH87" i="19"/>
  <c r="GK67" i="39"/>
  <c r="GJ67" i="39"/>
  <c r="HI26" i="32"/>
  <c r="HI13" i="32"/>
  <c r="GJ101" i="39"/>
  <c r="HZ20" i="34"/>
  <c r="HI29" i="39"/>
  <c r="HZ88" i="19"/>
  <c r="IA88" i="19"/>
  <c r="GJ94" i="39"/>
  <c r="IJ86" i="39"/>
  <c r="HT45" i="39"/>
  <c r="IB73" i="19"/>
  <c r="IF78" i="19"/>
  <c r="IJ101" i="39"/>
  <c r="OR80" i="39"/>
  <c r="OU80" i="39"/>
  <c r="JF49" i="31"/>
  <c r="JJ49" i="31"/>
  <c r="OR60" i="39"/>
  <c r="OU60" i="39"/>
  <c r="OM32" i="19"/>
  <c r="GK107" i="19"/>
  <c r="HK21" i="22"/>
  <c r="OV10" i="19"/>
  <c r="IL57" i="39"/>
  <c r="IF42" i="34"/>
  <c r="IE42" i="34"/>
  <c r="IB57" i="39"/>
  <c r="OL52" i="39"/>
  <c r="ID85" i="19"/>
  <c r="ID69" i="39"/>
  <c r="IH69" i="39"/>
  <c r="IH74" i="39"/>
  <c r="GZ41" i="39"/>
  <c r="HX27" i="19"/>
  <c r="OU11" i="19"/>
  <c r="OW11" i="19"/>
  <c r="IG57" i="19"/>
  <c r="IJ82" i="19"/>
  <c r="HR121" i="19"/>
  <c r="HS14" i="39"/>
  <c r="ID23" i="21"/>
  <c r="GZ39" i="35"/>
  <c r="IJ57" i="39"/>
  <c r="IF57" i="39"/>
  <c r="IE57" i="39"/>
  <c r="GJ52" i="34"/>
  <c r="IH35" i="35"/>
  <c r="IB85" i="19"/>
  <c r="IL69" i="39"/>
  <c r="HX37" i="35"/>
  <c r="IL74" i="39"/>
  <c r="IF79" i="19"/>
  <c r="IG79" i="19"/>
  <c r="IF56" i="39"/>
  <c r="JF56" i="39"/>
  <c r="JJ56" i="39"/>
  <c r="IB56" i="39"/>
  <c r="ID56" i="39"/>
  <c r="HR24" i="32"/>
  <c r="GJ105" i="19"/>
  <c r="GK40" i="35"/>
  <c r="IJ35" i="35"/>
  <c r="ID53" i="19"/>
  <c r="HZ37" i="35"/>
  <c r="IA37" i="35"/>
  <c r="HW14" i="39"/>
  <c r="HX14" i="39"/>
  <c r="HQ14" i="39"/>
  <c r="GK34" i="39"/>
  <c r="IH41" i="39"/>
  <c r="IJ41" i="39"/>
  <c r="IL41" i="39"/>
  <c r="IA32" i="31"/>
  <c r="IG21" i="22"/>
  <c r="IE56" i="19"/>
  <c r="IK18" i="22"/>
  <c r="IL107" i="39"/>
  <c r="OW94" i="19"/>
  <c r="GZ9" i="33"/>
  <c r="HI9" i="33"/>
  <c r="HK9" i="33"/>
  <c r="OM14" i="39"/>
  <c r="IH86" i="39"/>
  <c r="OV55" i="35"/>
  <c r="OW55" i="35"/>
  <c r="IH107" i="39"/>
  <c r="ID79" i="19"/>
  <c r="HT92" i="39"/>
  <c r="HH92" i="39"/>
  <c r="HK92" i="39"/>
  <c r="JF53" i="31"/>
  <c r="JJ53" i="31"/>
  <c r="HK56" i="39"/>
  <c r="OL80" i="39"/>
  <c r="OM80" i="39"/>
  <c r="OK60" i="39"/>
  <c r="OM60" i="39"/>
  <c r="GZ79" i="19"/>
  <c r="HI79" i="19"/>
  <c r="HK79" i="19"/>
  <c r="IB112" i="19"/>
  <c r="IF112" i="19"/>
  <c r="ID112" i="19"/>
  <c r="HI10" i="21"/>
  <c r="IH16" i="39"/>
  <c r="JG51" i="31"/>
  <c r="JK51" i="31"/>
  <c r="OV13" i="33"/>
  <c r="IH35" i="19"/>
  <c r="IF45" i="19"/>
  <c r="HI15" i="39"/>
  <c r="GJ49" i="39"/>
  <c r="GK122" i="19"/>
  <c r="IB53" i="19"/>
  <c r="GJ28" i="39"/>
  <c r="HV72" i="19"/>
  <c r="HH101" i="19"/>
  <c r="HU16" i="19"/>
  <c r="IB31" i="19"/>
  <c r="HS97" i="19"/>
  <c r="OL48" i="39"/>
  <c r="OK48" i="39"/>
  <c r="OM48" i="39"/>
  <c r="OR48" i="39"/>
  <c r="GJ14" i="21"/>
  <c r="GK14" i="21"/>
  <c r="HU31" i="35"/>
  <c r="HQ31" i="35"/>
  <c r="HS31" i="35"/>
  <c r="JF19" i="22"/>
  <c r="JJ19" i="22"/>
  <c r="JF44" i="31"/>
  <c r="JJ44" i="31"/>
  <c r="HQ19" i="32"/>
  <c r="HP19" i="32"/>
  <c r="HY9" i="33"/>
  <c r="OR13" i="33"/>
  <c r="GK25" i="34"/>
  <c r="IJ35" i="19"/>
  <c r="ID45" i="19"/>
  <c r="GK93" i="39"/>
  <c r="IF91" i="39"/>
  <c r="IG91" i="39"/>
  <c r="HQ16" i="19"/>
  <c r="HP16" i="19"/>
  <c r="GZ68" i="35"/>
  <c r="HR20" i="22"/>
  <c r="HS19" i="32"/>
  <c r="IA9" i="33"/>
  <c r="HX55" i="35"/>
  <c r="ID44" i="34"/>
  <c r="ID35" i="19"/>
  <c r="HQ97" i="19"/>
  <c r="HP97" i="19"/>
  <c r="IK94" i="19"/>
  <c r="IJ13" i="39"/>
  <c r="IH13" i="39"/>
  <c r="IL13" i="39"/>
  <c r="HU19" i="32"/>
  <c r="HI32" i="34"/>
  <c r="OU12" i="19"/>
  <c r="HZ55" i="35"/>
  <c r="HY55" i="35"/>
  <c r="IF35" i="19"/>
  <c r="HK93" i="19"/>
  <c r="OU10" i="33"/>
  <c r="OW10" i="33"/>
  <c r="GZ10" i="33"/>
  <c r="HI10" i="33"/>
  <c r="HK10" i="33"/>
  <c r="IJ92" i="19"/>
  <c r="HK17" i="19"/>
  <c r="HU97" i="19"/>
  <c r="GK66" i="39"/>
  <c r="GJ72" i="39"/>
  <c r="HT67" i="35"/>
  <c r="HS16" i="19"/>
  <c r="GK83" i="39"/>
  <c r="IL92" i="19"/>
  <c r="ID26" i="39"/>
  <c r="IF26" i="39"/>
  <c r="IB26" i="39"/>
  <c r="IK19" i="22"/>
  <c r="IF11" i="39"/>
  <c r="HY91" i="19"/>
  <c r="OR10" i="34"/>
  <c r="OV10" i="34"/>
  <c r="IH91" i="39"/>
  <c r="IL23" i="21"/>
  <c r="HT45" i="21"/>
  <c r="HS45" i="21"/>
  <c r="IL21" i="39"/>
  <c r="IM21" i="39"/>
  <c r="JF94" i="19"/>
  <c r="JJ94" i="19"/>
  <c r="OM16" i="19"/>
  <c r="HU53" i="19"/>
  <c r="HS53" i="19"/>
  <c r="HI26" i="39"/>
  <c r="GZ26" i="39"/>
  <c r="HT98" i="39"/>
  <c r="HH98" i="39"/>
  <c r="HK98" i="39"/>
  <c r="JF58" i="34"/>
  <c r="JJ58" i="34"/>
  <c r="OK52" i="39"/>
  <c r="OL10" i="34"/>
  <c r="OM10" i="34"/>
  <c r="IJ91" i="39"/>
  <c r="ID91" i="39"/>
  <c r="IG11" i="34"/>
  <c r="HK89" i="19"/>
  <c r="IH26" i="39"/>
  <c r="IL26" i="39"/>
  <c r="IJ26" i="39"/>
  <c r="IB60" i="19"/>
  <c r="IF60" i="19"/>
  <c r="ID60" i="19"/>
  <c r="IF33" i="32"/>
  <c r="IG33" i="32"/>
  <c r="HU27" i="39"/>
  <c r="HS27" i="39"/>
  <c r="HI68" i="35"/>
  <c r="HT52" i="39"/>
  <c r="ID28" i="39"/>
  <c r="HH62" i="35"/>
  <c r="GJ33" i="21"/>
  <c r="GK33" i="21"/>
  <c r="GK31" i="21"/>
  <c r="IH34" i="34"/>
  <c r="ID30" i="31"/>
  <c r="IH35" i="31"/>
  <c r="IL17" i="34"/>
  <c r="IJ48" i="34"/>
  <c r="IA15" i="19"/>
  <c r="HR118" i="19"/>
  <c r="IE89" i="19"/>
  <c r="IF28" i="39"/>
  <c r="IJ34" i="34"/>
  <c r="IM53" i="19"/>
  <c r="HU12" i="35"/>
  <c r="IL68" i="19"/>
  <c r="IM68" i="19"/>
  <c r="OR79" i="19"/>
  <c r="OU79" i="19"/>
  <c r="IH59" i="19"/>
  <c r="IL59" i="19"/>
  <c r="IJ59" i="19"/>
  <c r="HU26" i="21"/>
  <c r="HS26" i="21"/>
  <c r="IF30" i="31"/>
  <c r="IL35" i="31"/>
  <c r="IM35" i="31"/>
  <c r="IH36" i="34"/>
  <c r="ID20" i="19"/>
  <c r="GK92" i="19"/>
  <c r="HP105" i="19"/>
  <c r="GJ25" i="39"/>
  <c r="IH68" i="19"/>
  <c r="HX92" i="19"/>
  <c r="HQ11" i="19"/>
  <c r="OM24" i="35"/>
  <c r="HX60" i="19"/>
  <c r="IB44" i="34"/>
  <c r="IL15" i="34"/>
  <c r="IL36" i="34"/>
  <c r="HY94" i="19"/>
  <c r="JF22" i="19"/>
  <c r="JJ22" i="19"/>
  <c r="IG71" i="19"/>
  <c r="IF20" i="19"/>
  <c r="IE20" i="19"/>
  <c r="IK93" i="19"/>
  <c r="HH75" i="39"/>
  <c r="IE68" i="19"/>
  <c r="HQ89" i="39"/>
  <c r="HW89" i="39"/>
  <c r="HX89" i="39"/>
  <c r="HZ92" i="19"/>
  <c r="IG111" i="19"/>
  <c r="JG111" i="19"/>
  <c r="JK111" i="19"/>
  <c r="IQ70" i="35"/>
  <c r="IQ72" i="35"/>
  <c r="HH27" i="39"/>
  <c r="GZ59" i="34"/>
  <c r="HI59" i="34"/>
  <c r="HK87" i="39"/>
  <c r="IJ9" i="22"/>
  <c r="IK30" i="31"/>
  <c r="IL9" i="22"/>
  <c r="HT69" i="35"/>
  <c r="HQ69" i="35"/>
  <c r="IA94" i="19"/>
  <c r="HK50" i="34"/>
  <c r="GK65" i="19"/>
  <c r="GK126" i="19"/>
  <c r="OU32" i="19"/>
  <c r="HI67" i="19"/>
  <c r="GK14" i="22"/>
  <c r="GJ89" i="39"/>
  <c r="GZ21" i="32"/>
  <c r="HI21" i="32"/>
  <c r="IF74" i="19"/>
  <c r="IG74" i="19"/>
  <c r="HR100" i="39"/>
  <c r="HK31" i="19"/>
  <c r="IJ74" i="19"/>
  <c r="OV24" i="35"/>
  <c r="OU24" i="35"/>
  <c r="IB59" i="19"/>
  <c r="IF59" i="19"/>
  <c r="ID59" i="19"/>
  <c r="GK37" i="31"/>
  <c r="HP17" i="19"/>
  <c r="IB33" i="35"/>
  <c r="HR44" i="35"/>
  <c r="GK117" i="19"/>
  <c r="HI22" i="21"/>
  <c r="ID9" i="33"/>
  <c r="IB21" i="39"/>
  <c r="IB74" i="19"/>
  <c r="GK10" i="39"/>
  <c r="IL74" i="19"/>
  <c r="IM74" i="19"/>
  <c r="IB10" i="21"/>
  <c r="HX59" i="35"/>
  <c r="IM28" i="35"/>
  <c r="HW71" i="39"/>
  <c r="HZ71" i="39"/>
  <c r="IB36" i="31"/>
  <c r="HP78" i="19"/>
  <c r="IF97" i="19"/>
  <c r="IG97" i="19"/>
  <c r="IE59" i="31"/>
  <c r="HY11" i="21"/>
  <c r="IA11" i="21"/>
  <c r="JF24" i="22"/>
  <c r="JJ24" i="22"/>
  <c r="ID13" i="35"/>
  <c r="OR65" i="35"/>
  <c r="OK65" i="35"/>
  <c r="OM65" i="35"/>
  <c r="OL65" i="35"/>
  <c r="OK66" i="35"/>
  <c r="OR66" i="35"/>
  <c r="OL66" i="35"/>
  <c r="OK14" i="32"/>
  <c r="OM14" i="32"/>
  <c r="IB13" i="35"/>
  <c r="IG67" i="19"/>
  <c r="HV11" i="21"/>
  <c r="IE119" i="19"/>
  <c r="HP81" i="19"/>
  <c r="OM87" i="19"/>
  <c r="HU62" i="19"/>
  <c r="HS62" i="19"/>
  <c r="OK64" i="35"/>
  <c r="OR64" i="35"/>
  <c r="OL64" i="35"/>
  <c r="HH65" i="35"/>
  <c r="HT65" i="35"/>
  <c r="GJ13" i="35"/>
  <c r="GK13" i="35"/>
  <c r="HR92" i="19"/>
  <c r="HP92" i="19"/>
  <c r="OR68" i="35"/>
  <c r="OL68" i="35"/>
  <c r="OK68" i="35"/>
  <c r="OR63" i="35"/>
  <c r="OL63" i="35"/>
  <c r="OK63" i="35"/>
  <c r="IH89" i="19"/>
  <c r="IL89" i="19"/>
  <c r="IJ89" i="19"/>
  <c r="IK26" i="32"/>
  <c r="HI23" i="31"/>
  <c r="HV21" i="21"/>
  <c r="OM53" i="19"/>
  <c r="OW92" i="19"/>
  <c r="GK10" i="35"/>
  <c r="GJ10" i="35"/>
  <c r="HT64" i="35"/>
  <c r="HH64" i="35"/>
  <c r="HK64" i="35"/>
  <c r="HH63" i="35"/>
  <c r="HT63" i="35"/>
  <c r="IL98" i="19"/>
  <c r="IK98" i="19"/>
  <c r="HY90" i="19"/>
  <c r="OW44" i="34"/>
  <c r="IH46" i="21"/>
  <c r="IL46" i="21"/>
  <c r="IJ46" i="21"/>
  <c r="OR67" i="35"/>
  <c r="OK67" i="35"/>
  <c r="OL67" i="35"/>
  <c r="GZ92" i="19"/>
  <c r="HI92" i="19"/>
  <c r="OU92" i="39"/>
  <c r="OV92" i="39"/>
  <c r="GZ46" i="21"/>
  <c r="HI46" i="21"/>
  <c r="HI94" i="39"/>
  <c r="GZ94" i="39"/>
  <c r="HI18" i="19"/>
  <c r="GZ18" i="19"/>
  <c r="OK62" i="35"/>
  <c r="OR62" i="35"/>
  <c r="OL62" i="35"/>
  <c r="IB45" i="39"/>
  <c r="IB97" i="19"/>
  <c r="ID35" i="21"/>
  <c r="IK37" i="21"/>
  <c r="JF72" i="19"/>
  <c r="JJ72" i="19"/>
  <c r="GK44" i="19"/>
  <c r="IG53" i="31"/>
  <c r="JG53" i="31"/>
  <c r="JK53" i="31"/>
  <c r="HQ62" i="19"/>
  <c r="IB89" i="19"/>
  <c r="ID89" i="19"/>
  <c r="HK31" i="31"/>
  <c r="GK27" i="32"/>
  <c r="HU24" i="22"/>
  <c r="OU10" i="34"/>
  <c r="OW10" i="34"/>
  <c r="ID45" i="39"/>
  <c r="HR52" i="35"/>
  <c r="HT44" i="39"/>
  <c r="HU44" i="39"/>
  <c r="IB46" i="21"/>
  <c r="ID46" i="21"/>
  <c r="IF46" i="21"/>
  <c r="IH18" i="19"/>
  <c r="IL18" i="19"/>
  <c r="IJ18" i="19"/>
  <c r="OU61" i="35"/>
  <c r="OV61" i="35"/>
  <c r="HS24" i="22"/>
  <c r="OK69" i="35"/>
  <c r="OR69" i="35"/>
  <c r="OL69" i="35"/>
  <c r="GJ32" i="21"/>
  <c r="GK32" i="21"/>
  <c r="IB92" i="19"/>
  <c r="ID92" i="19"/>
  <c r="IF92" i="19"/>
  <c r="OM61" i="35"/>
  <c r="OL65" i="39"/>
  <c r="HH36" i="39"/>
  <c r="IJ45" i="39"/>
  <c r="GJ18" i="39"/>
  <c r="IJ28" i="39"/>
  <c r="HT91" i="39"/>
  <c r="HH91" i="39"/>
  <c r="HH23" i="39"/>
  <c r="HT23" i="39"/>
  <c r="OR90" i="39"/>
  <c r="OK90" i="39"/>
  <c r="OL90" i="39"/>
  <c r="OR91" i="39"/>
  <c r="OL91" i="39"/>
  <c r="OK91" i="39"/>
  <c r="GK14" i="39"/>
  <c r="IH28" i="39"/>
  <c r="HH39" i="39"/>
  <c r="HT39" i="39"/>
  <c r="GK82" i="39"/>
  <c r="GJ82" i="39"/>
  <c r="GJ44" i="39"/>
  <c r="GK44" i="39"/>
  <c r="IL73" i="39"/>
  <c r="IJ73" i="39"/>
  <c r="IH73" i="39"/>
  <c r="HT86" i="39"/>
  <c r="HH86" i="39"/>
  <c r="HK86" i="39"/>
  <c r="OR39" i="39"/>
  <c r="OL39" i="39"/>
  <c r="OK39" i="39"/>
  <c r="HT96" i="39"/>
  <c r="HH96" i="39"/>
  <c r="HP31" i="39"/>
  <c r="GJ39" i="39"/>
  <c r="HH71" i="39"/>
  <c r="OV73" i="39"/>
  <c r="OW73" i="39"/>
  <c r="OM89" i="39"/>
  <c r="OK101" i="39"/>
  <c r="OR101" i="39"/>
  <c r="OL101" i="39"/>
  <c r="OR67" i="39"/>
  <c r="OK67" i="39"/>
  <c r="OL67" i="39"/>
  <c r="IB73" i="39"/>
  <c r="ID73" i="39"/>
  <c r="IF73" i="39"/>
  <c r="IM28" i="39"/>
  <c r="GK78" i="39"/>
  <c r="HI23" i="39"/>
  <c r="HH101" i="39"/>
  <c r="HK101" i="39"/>
  <c r="HT101" i="39"/>
  <c r="HU87" i="39"/>
  <c r="HS87" i="39"/>
  <c r="HQ87" i="39"/>
  <c r="JF87" i="39"/>
  <c r="JJ87" i="39"/>
  <c r="IL96" i="39"/>
  <c r="IH96" i="39"/>
  <c r="IJ96" i="39"/>
  <c r="IE88" i="39"/>
  <c r="IG88" i="39"/>
  <c r="HT95" i="39"/>
  <c r="HH95" i="39"/>
  <c r="HK95" i="39"/>
  <c r="OR68" i="39"/>
  <c r="OL68" i="39"/>
  <c r="OK68" i="39"/>
  <c r="OL96" i="39"/>
  <c r="OK96" i="39"/>
  <c r="OR96" i="39"/>
  <c r="OL23" i="39"/>
  <c r="OK23" i="39"/>
  <c r="OR23" i="39"/>
  <c r="HT107" i="39"/>
  <c r="HH107" i="39"/>
  <c r="HK107" i="39"/>
  <c r="HT90" i="39"/>
  <c r="HH90" i="39"/>
  <c r="HK90" i="39"/>
  <c r="OL86" i="39"/>
  <c r="OK86" i="39"/>
  <c r="OR86" i="39"/>
  <c r="HK28" i="39"/>
  <c r="GZ96" i="39"/>
  <c r="HI96" i="39"/>
  <c r="OK95" i="39"/>
  <c r="OR95" i="39"/>
  <c r="OL95" i="39"/>
  <c r="OL107" i="39"/>
  <c r="OR107" i="39"/>
  <c r="OK107" i="39"/>
  <c r="OW71" i="39"/>
  <c r="ID96" i="39"/>
  <c r="IB96" i="39"/>
  <c r="IF96" i="39"/>
  <c r="IE10" i="33"/>
  <c r="IG10" i="33"/>
  <c r="HP80" i="19"/>
  <c r="HR80" i="19"/>
  <c r="IM85" i="19"/>
  <c r="IK85" i="19"/>
  <c r="HV11" i="19"/>
  <c r="HX11" i="19"/>
  <c r="HZ11" i="19"/>
  <c r="IA11" i="19"/>
  <c r="OM29" i="32"/>
  <c r="IB74" i="39"/>
  <c r="IF74" i="39"/>
  <c r="ID74" i="39"/>
  <c r="JF20" i="22"/>
  <c r="JJ20" i="22"/>
  <c r="IL34" i="32"/>
  <c r="IK34" i="32"/>
  <c r="IG31" i="21"/>
  <c r="HI36" i="34"/>
  <c r="HK36" i="34"/>
  <c r="IF39" i="34"/>
  <c r="KH57" i="21"/>
  <c r="HU71" i="39"/>
  <c r="IB9" i="33"/>
  <c r="IL90" i="19"/>
  <c r="IK90" i="19"/>
  <c r="IE50" i="34"/>
  <c r="IG31" i="19"/>
  <c r="IM27" i="19"/>
  <c r="IB65" i="19"/>
  <c r="IH50" i="34"/>
  <c r="IM79" i="19"/>
  <c r="GZ35" i="31"/>
  <c r="HI35" i="31"/>
  <c r="HT41" i="19"/>
  <c r="HH41" i="19"/>
  <c r="HK41" i="19"/>
  <c r="GZ9" i="35"/>
  <c r="HI9" i="35"/>
  <c r="IK47" i="31"/>
  <c r="IH54" i="21"/>
  <c r="HQ71" i="39"/>
  <c r="HR71" i="39"/>
  <c r="GT16" i="33"/>
  <c r="HX31" i="35"/>
  <c r="HZ31" i="35"/>
  <c r="HY31" i="35"/>
  <c r="HQ12" i="35"/>
  <c r="IJ85" i="19"/>
  <c r="OR41" i="19"/>
  <c r="OK41" i="19"/>
  <c r="OL41" i="19"/>
  <c r="OU50" i="35"/>
  <c r="OV50" i="35"/>
  <c r="GK12" i="32"/>
  <c r="HI24" i="34"/>
  <c r="IH16" i="22"/>
  <c r="ID43" i="31"/>
  <c r="IH10" i="21"/>
  <c r="HZ74" i="19"/>
  <c r="IA74" i="19"/>
  <c r="GJ84" i="19"/>
  <c r="IF66" i="39"/>
  <c r="IH20" i="19"/>
  <c r="IL45" i="39"/>
  <c r="IM45" i="39"/>
  <c r="OV60" i="39"/>
  <c r="OW60" i="39"/>
  <c r="GZ53" i="19"/>
  <c r="IF54" i="35"/>
  <c r="OV87" i="19"/>
  <c r="OW87" i="19"/>
  <c r="ID31" i="19"/>
  <c r="IH85" i="19"/>
  <c r="HS15" i="39"/>
  <c r="HU15" i="39"/>
  <c r="HQ15" i="39"/>
  <c r="HW15" i="39"/>
  <c r="IL16" i="22"/>
  <c r="IF43" i="31"/>
  <c r="IG43" i="31"/>
  <c r="HX74" i="19"/>
  <c r="HI37" i="35"/>
  <c r="IE58" i="35"/>
  <c r="GZ40" i="19"/>
  <c r="HK40" i="19"/>
  <c r="IB66" i="39"/>
  <c r="HK57" i="19"/>
  <c r="IL20" i="19"/>
  <c r="HK97" i="39"/>
  <c r="IH97" i="19"/>
  <c r="IF22" i="35"/>
  <c r="IG22" i="35"/>
  <c r="ID49" i="39"/>
  <c r="IF21" i="39"/>
  <c r="HI56" i="19"/>
  <c r="HK56" i="19"/>
  <c r="IB10" i="33"/>
  <c r="IJ21" i="21"/>
  <c r="HW12" i="35"/>
  <c r="HT76" i="39"/>
  <c r="HH76" i="39"/>
  <c r="IF10" i="22"/>
  <c r="HT16" i="31"/>
  <c r="HW16" i="31"/>
  <c r="HZ16" i="31"/>
  <c r="GJ33" i="32"/>
  <c r="HI25" i="34"/>
  <c r="OU49" i="19"/>
  <c r="IK61" i="39"/>
  <c r="GZ28" i="22"/>
  <c r="HI28" i="22"/>
  <c r="IH49" i="35"/>
  <c r="HI17" i="35"/>
  <c r="OU53" i="34"/>
  <c r="OW53" i="34"/>
  <c r="IL63" i="19"/>
  <c r="IM63" i="19"/>
  <c r="IJ97" i="19"/>
  <c r="IB22" i="35"/>
  <c r="IB49" i="39"/>
  <c r="ID50" i="34"/>
  <c r="ID10" i="33"/>
  <c r="OL76" i="39"/>
  <c r="OK76" i="39"/>
  <c r="OR76" i="39"/>
  <c r="HS46" i="21"/>
  <c r="HU46" i="21"/>
  <c r="HQ46" i="21"/>
  <c r="HK51" i="31"/>
  <c r="HS12" i="39"/>
  <c r="GK24" i="34"/>
  <c r="IF65" i="19"/>
  <c r="IE65" i="19"/>
  <c r="IB50" i="34"/>
  <c r="IK87" i="19"/>
  <c r="IM87" i="19"/>
  <c r="HR123" i="19"/>
  <c r="HP123" i="19"/>
  <c r="HW14" i="21"/>
  <c r="HV14" i="21"/>
  <c r="HR37" i="35"/>
  <c r="IJ34" i="32"/>
  <c r="IE17" i="34"/>
  <c r="HP33" i="35"/>
  <c r="GJ53" i="39"/>
  <c r="HV40" i="19"/>
  <c r="IF29" i="34"/>
  <c r="IE29" i="34"/>
  <c r="HS14" i="21"/>
  <c r="IF104" i="19"/>
  <c r="IG104" i="19"/>
  <c r="GK33" i="19"/>
  <c r="HV25" i="21"/>
  <c r="OU89" i="19"/>
  <c r="HR27" i="19"/>
  <c r="IK37" i="19"/>
  <c r="HU57" i="35"/>
  <c r="IJ87" i="19"/>
  <c r="IK46" i="19"/>
  <c r="IM46" i="19"/>
  <c r="HV17" i="19"/>
  <c r="HZ17" i="19"/>
  <c r="HX17" i="19"/>
  <c r="OK64" i="19"/>
  <c r="OR64" i="19"/>
  <c r="OL64" i="19"/>
  <c r="IF49" i="19"/>
  <c r="IB49" i="19"/>
  <c r="ID49" i="19"/>
  <c r="ID104" i="19"/>
  <c r="HS57" i="35"/>
  <c r="IL64" i="35"/>
  <c r="IK64" i="35"/>
  <c r="IG17" i="31"/>
  <c r="IK74" i="19"/>
  <c r="HV38" i="35"/>
  <c r="HH54" i="34"/>
  <c r="IB29" i="34"/>
  <c r="GK66" i="19"/>
  <c r="GJ81" i="39"/>
  <c r="GZ21" i="39"/>
  <c r="HK21" i="39"/>
  <c r="HQ103" i="19"/>
  <c r="HP103" i="19"/>
  <c r="HQ57" i="35"/>
  <c r="HP57" i="35"/>
  <c r="JF92" i="19"/>
  <c r="JJ92" i="19"/>
  <c r="HH52" i="19"/>
  <c r="HK52" i="19"/>
  <c r="HT52" i="19"/>
  <c r="IK49" i="19"/>
  <c r="IM49" i="19"/>
  <c r="IB82" i="19"/>
  <c r="ID82" i="19"/>
  <c r="IF82" i="19"/>
  <c r="IJ17" i="34"/>
  <c r="IH64" i="35"/>
  <c r="GJ11" i="22"/>
  <c r="IJ24" i="34"/>
  <c r="IE77" i="19"/>
  <c r="GK50" i="21"/>
  <c r="HQ38" i="34"/>
  <c r="HP38" i="34"/>
  <c r="GA57" i="21"/>
  <c r="IL44" i="35"/>
  <c r="IK44" i="35"/>
  <c r="HQ24" i="21"/>
  <c r="ID17" i="21"/>
  <c r="HK29" i="35"/>
  <c r="HI62" i="19"/>
  <c r="HK62" i="19"/>
  <c r="HP90" i="19"/>
  <c r="HS103" i="19"/>
  <c r="HX27" i="35"/>
  <c r="IL25" i="19"/>
  <c r="IM25" i="19"/>
  <c r="OK52" i="19"/>
  <c r="OR52" i="19"/>
  <c r="OL52" i="19"/>
  <c r="HS123" i="19"/>
  <c r="HU123" i="19"/>
  <c r="HH102" i="19"/>
  <c r="HT102" i="19"/>
  <c r="IH17" i="19"/>
  <c r="IL17" i="19"/>
  <c r="IJ17" i="19"/>
  <c r="OM80" i="19"/>
  <c r="IJ17" i="35"/>
  <c r="HG70" i="35"/>
  <c r="IB27" i="35"/>
  <c r="HV53" i="19"/>
  <c r="HZ53" i="19"/>
  <c r="OM28" i="35"/>
  <c r="HH10" i="22"/>
  <c r="IH10" i="22"/>
  <c r="OV13" i="32"/>
  <c r="IH37" i="35"/>
  <c r="OV48" i="19"/>
  <c r="OW48" i="19"/>
  <c r="HS38" i="34"/>
  <c r="HU53" i="34"/>
  <c r="IJ48" i="39"/>
  <c r="IK14" i="19"/>
  <c r="IB17" i="21"/>
  <c r="HU103" i="19"/>
  <c r="HZ27" i="35"/>
  <c r="JF27" i="35"/>
  <c r="JJ27" i="35"/>
  <c r="IH25" i="19"/>
  <c r="HX53" i="19"/>
  <c r="HI49" i="19"/>
  <c r="GZ49" i="19"/>
  <c r="HT27" i="34"/>
  <c r="HH27" i="34"/>
  <c r="HI25" i="35"/>
  <c r="GZ25" i="35"/>
  <c r="OK102" i="19"/>
  <c r="OL102" i="19"/>
  <c r="OR102" i="19"/>
  <c r="GZ34" i="34"/>
  <c r="HI34" i="34"/>
  <c r="HU107" i="19"/>
  <c r="HW107" i="19"/>
  <c r="HQ107" i="19"/>
  <c r="HS107" i="19"/>
  <c r="IK33" i="19"/>
  <c r="IM33" i="19"/>
  <c r="HU80" i="19"/>
  <c r="HS80" i="19"/>
  <c r="IL17" i="21"/>
  <c r="IK17" i="21"/>
  <c r="IB10" i="22"/>
  <c r="IJ10" i="22"/>
  <c r="IE16" i="22"/>
  <c r="HI33" i="35"/>
  <c r="HK33" i="35"/>
  <c r="IJ37" i="35"/>
  <c r="HZ56" i="19"/>
  <c r="IA56" i="19"/>
  <c r="HZ59" i="35"/>
  <c r="HI25" i="21"/>
  <c r="HK25" i="21"/>
  <c r="HU38" i="34"/>
  <c r="HX17" i="35"/>
  <c r="HS53" i="34"/>
  <c r="HX75" i="19"/>
  <c r="IJ21" i="19"/>
  <c r="IJ63" i="19"/>
  <c r="IL48" i="39"/>
  <c r="OM40" i="39"/>
  <c r="OL27" i="34"/>
  <c r="OR27" i="34"/>
  <c r="OK27" i="34"/>
  <c r="OL77" i="19"/>
  <c r="OR77" i="19"/>
  <c r="OK77" i="19"/>
  <c r="HH38" i="39"/>
  <c r="HK38" i="39"/>
  <c r="HT38" i="39"/>
  <c r="OM19" i="32"/>
  <c r="HU62" i="35"/>
  <c r="HS62" i="35"/>
  <c r="HQ62" i="35"/>
  <c r="OK50" i="34"/>
  <c r="OM50" i="34"/>
  <c r="HH64" i="19"/>
  <c r="HT64" i="19"/>
  <c r="HI63" i="19"/>
  <c r="JF91" i="19"/>
  <c r="JJ91" i="19"/>
  <c r="GT129" i="19"/>
  <c r="IK91" i="19"/>
  <c r="HI27" i="35"/>
  <c r="HK27" i="35"/>
  <c r="OW21" i="35"/>
  <c r="HH77" i="19"/>
  <c r="HT77" i="19"/>
  <c r="OK38" i="39"/>
  <c r="OR38" i="39"/>
  <c r="OL38" i="39"/>
  <c r="HS11" i="19"/>
  <c r="HU11" i="19"/>
  <c r="OK86" i="19"/>
  <c r="OL86" i="19"/>
  <c r="OR86" i="19"/>
  <c r="IB33" i="32"/>
  <c r="HR60" i="19"/>
  <c r="HX21" i="21"/>
  <c r="IF40" i="19"/>
  <c r="IG40" i="19"/>
  <c r="OH70" i="35"/>
  <c r="ID61" i="39"/>
  <c r="HK118" i="19"/>
  <c r="OM27" i="35"/>
  <c r="HU61" i="19"/>
  <c r="HS61" i="19"/>
  <c r="HZ80" i="19"/>
  <c r="HX80" i="19"/>
  <c r="HV80" i="19"/>
  <c r="OK23" i="35"/>
  <c r="OR23" i="35"/>
  <c r="OL23" i="35"/>
  <c r="HR61" i="35"/>
  <c r="HU68" i="35"/>
  <c r="GJ23" i="32"/>
  <c r="HR53" i="39"/>
  <c r="HP59" i="35"/>
  <c r="GK46" i="39"/>
  <c r="HI81" i="39"/>
  <c r="IF61" i="39"/>
  <c r="HK34" i="21"/>
  <c r="ID25" i="35"/>
  <c r="IB25" i="35"/>
  <c r="IF25" i="35"/>
  <c r="IH11" i="34"/>
  <c r="IJ11" i="34"/>
  <c r="IL11" i="34"/>
  <c r="IM43" i="35"/>
  <c r="IK43" i="35"/>
  <c r="GJ28" i="21"/>
  <c r="GK28" i="21"/>
  <c r="OV53" i="19"/>
  <c r="OU53" i="19"/>
  <c r="HZ97" i="19"/>
  <c r="HV97" i="19"/>
  <c r="GK28" i="31"/>
  <c r="JF75" i="19"/>
  <c r="JJ75" i="19"/>
  <c r="IH119" i="19"/>
  <c r="IH70" i="19"/>
  <c r="HZ44" i="35"/>
  <c r="IA44" i="35"/>
  <c r="HQ70" i="39"/>
  <c r="HP70" i="39"/>
  <c r="ID14" i="39"/>
  <c r="HR27" i="35"/>
  <c r="IE58" i="19"/>
  <c r="GZ19" i="35"/>
  <c r="HK19" i="35"/>
  <c r="OW61" i="19"/>
  <c r="GZ123" i="19"/>
  <c r="HI123" i="19"/>
  <c r="HK123" i="19"/>
  <c r="IJ43" i="35"/>
  <c r="GZ11" i="34"/>
  <c r="HI11" i="34"/>
  <c r="HH39" i="19"/>
  <c r="HK39" i="19"/>
  <c r="HT39" i="19"/>
  <c r="HS28" i="35"/>
  <c r="HU28" i="35"/>
  <c r="HW28" i="35"/>
  <c r="HQ28" i="35"/>
  <c r="GJ21" i="21"/>
  <c r="GK21" i="21"/>
  <c r="OR16" i="35"/>
  <c r="OL16" i="35"/>
  <c r="OK16" i="35"/>
  <c r="HZ81" i="19"/>
  <c r="HV81" i="19"/>
  <c r="HX81" i="19"/>
  <c r="GK40" i="21"/>
  <c r="GJ40" i="21"/>
  <c r="HR50" i="31"/>
  <c r="JG50" i="31"/>
  <c r="JK50" i="31"/>
  <c r="IG59" i="31"/>
  <c r="OU31" i="31"/>
  <c r="OW31" i="31"/>
  <c r="GJ38" i="31"/>
  <c r="IB25" i="34"/>
  <c r="IJ119" i="19"/>
  <c r="IJ70" i="19"/>
  <c r="HV44" i="35"/>
  <c r="IL14" i="39"/>
  <c r="IK14" i="39"/>
  <c r="OV29" i="35"/>
  <c r="IH36" i="39"/>
  <c r="OL39" i="19"/>
  <c r="OR39" i="19"/>
  <c r="OK39" i="19"/>
  <c r="HS78" i="19"/>
  <c r="HU78" i="19"/>
  <c r="HH16" i="35"/>
  <c r="HK16" i="35"/>
  <c r="HT16" i="35"/>
  <c r="IL9" i="33"/>
  <c r="IH9" i="33"/>
  <c r="IJ9" i="33"/>
  <c r="OH29" i="22"/>
  <c r="JF50" i="31"/>
  <c r="JJ50" i="31"/>
  <c r="IF25" i="34"/>
  <c r="IG25" i="34"/>
  <c r="IE29" i="39"/>
  <c r="HQ62" i="34"/>
  <c r="HR62" i="34"/>
  <c r="ID63" i="19"/>
  <c r="ID14" i="21"/>
  <c r="IH28" i="21"/>
  <c r="ID117" i="19"/>
  <c r="IJ14" i="39"/>
  <c r="IH61" i="39"/>
  <c r="IF43" i="35"/>
  <c r="HW78" i="19"/>
  <c r="OK59" i="39"/>
  <c r="OR59" i="39"/>
  <c r="OL59" i="39"/>
  <c r="GJ77" i="39"/>
  <c r="GK77" i="39"/>
  <c r="IA36" i="19"/>
  <c r="HY36" i="19"/>
  <c r="HP9" i="31"/>
  <c r="HK36" i="39"/>
  <c r="HP38" i="35"/>
  <c r="HP44" i="34"/>
  <c r="IF63" i="19"/>
  <c r="IF14" i="21"/>
  <c r="IE14" i="21"/>
  <c r="GK11" i="35"/>
  <c r="OW34" i="21"/>
  <c r="IB117" i="19"/>
  <c r="IG48" i="19"/>
  <c r="GZ71" i="19"/>
  <c r="HK71" i="19"/>
  <c r="IL36" i="39"/>
  <c r="OV79" i="19"/>
  <c r="OW79" i="19"/>
  <c r="HT59" i="39"/>
  <c r="HH59" i="39"/>
  <c r="HK59" i="39"/>
  <c r="IK77" i="19"/>
  <c r="IM77" i="19"/>
  <c r="HW27" i="39"/>
  <c r="HQ27" i="39"/>
  <c r="IL18" i="35"/>
  <c r="IH18" i="35"/>
  <c r="IJ18" i="35"/>
  <c r="HU21" i="35"/>
  <c r="HS21" i="35"/>
  <c r="IF14" i="22"/>
  <c r="HY100" i="39"/>
  <c r="ID119" i="19"/>
  <c r="HI16" i="22"/>
  <c r="HK16" i="22"/>
  <c r="IB43" i="35"/>
  <c r="OM101" i="19"/>
  <c r="HS10" i="33"/>
  <c r="HK94" i="19"/>
  <c r="HT23" i="35"/>
  <c r="HH23" i="35"/>
  <c r="HH86" i="19"/>
  <c r="HT86" i="19"/>
  <c r="KD12" i="21"/>
  <c r="KE12" i="21"/>
  <c r="FY12" i="21"/>
  <c r="HI45" i="39"/>
  <c r="GZ45" i="39"/>
  <c r="GJ47" i="21"/>
  <c r="GK47" i="21"/>
  <c r="HI18" i="35"/>
  <c r="GZ18" i="35"/>
  <c r="GZ69" i="19"/>
  <c r="HI69" i="19"/>
  <c r="IJ10" i="33"/>
  <c r="IH10" i="33"/>
  <c r="IE18" i="35"/>
  <c r="IG18" i="35"/>
  <c r="GK22" i="34"/>
  <c r="GJ22" i="34"/>
  <c r="GZ102" i="19"/>
  <c r="HI102" i="19"/>
  <c r="HH85" i="39"/>
  <c r="HT85" i="39"/>
  <c r="HI105" i="19"/>
  <c r="GZ105" i="19"/>
  <c r="HR30" i="19"/>
  <c r="HP30" i="19"/>
  <c r="IE58" i="31"/>
  <c r="JM58" i="31"/>
  <c r="HW12" i="39"/>
  <c r="HZ12" i="39"/>
  <c r="JF12" i="39"/>
  <c r="JJ12" i="39"/>
  <c r="IJ38" i="39"/>
  <c r="HZ17" i="35"/>
  <c r="JF17" i="35"/>
  <c r="JJ17" i="35"/>
  <c r="HV44" i="34"/>
  <c r="HI44" i="34"/>
  <c r="HK44" i="34"/>
  <c r="OL45" i="21"/>
  <c r="IB14" i="39"/>
  <c r="IJ44" i="35"/>
  <c r="HK21" i="35"/>
  <c r="HK78" i="39"/>
  <c r="OV53" i="39"/>
  <c r="OW53" i="39"/>
  <c r="OV18" i="39"/>
  <c r="OU18" i="39"/>
  <c r="IJ102" i="19"/>
  <c r="IH102" i="19"/>
  <c r="IL102" i="19"/>
  <c r="OK85" i="39"/>
  <c r="OR85" i="39"/>
  <c r="OL85" i="39"/>
  <c r="IF105" i="19"/>
  <c r="ID105" i="19"/>
  <c r="IB105" i="19"/>
  <c r="IF84" i="19"/>
  <c r="ID84" i="19"/>
  <c r="IB84" i="19"/>
  <c r="IG22" i="19"/>
  <c r="HQ43" i="35"/>
  <c r="HR43" i="35"/>
  <c r="HV30" i="19"/>
  <c r="HX30" i="19"/>
  <c r="HZ30" i="19"/>
  <c r="JF30" i="19"/>
  <c r="JJ30" i="19"/>
  <c r="GK30" i="31"/>
  <c r="HS42" i="31"/>
  <c r="IG21" i="32"/>
  <c r="HU12" i="39"/>
  <c r="IB11" i="19"/>
  <c r="HK13" i="34"/>
  <c r="HZ38" i="35"/>
  <c r="IA38" i="35"/>
  <c r="IE23" i="21"/>
  <c r="IL38" i="39"/>
  <c r="IK38" i="39"/>
  <c r="ID40" i="19"/>
  <c r="IJ28" i="21"/>
  <c r="HI37" i="21"/>
  <c r="HK37" i="21"/>
  <c r="IJ26" i="19"/>
  <c r="HI36" i="21"/>
  <c r="HQ34" i="21"/>
  <c r="HR34" i="21"/>
  <c r="GK68" i="39"/>
  <c r="IB12" i="35"/>
  <c r="ID12" i="35"/>
  <c r="IF12" i="35"/>
  <c r="IJ19" i="35"/>
  <c r="IH19" i="35"/>
  <c r="IL19" i="35"/>
  <c r="GJ34" i="21"/>
  <c r="GK34" i="21"/>
  <c r="ID76" i="19"/>
  <c r="IF76" i="19"/>
  <c r="IB76" i="19"/>
  <c r="OU71" i="19"/>
  <c r="OV71" i="19"/>
  <c r="HI84" i="19"/>
  <c r="GZ84" i="19"/>
  <c r="HS18" i="39"/>
  <c r="HU18" i="39"/>
  <c r="HW18" i="39"/>
  <c r="HQ18" i="39"/>
  <c r="IJ66" i="19"/>
  <c r="IH66" i="19"/>
  <c r="IL66" i="19"/>
  <c r="GZ12" i="35"/>
  <c r="HI12" i="35"/>
  <c r="GZ14" i="22"/>
  <c r="HU23" i="22"/>
  <c r="HS23" i="22"/>
  <c r="HR36" i="31"/>
  <c r="HP51" i="31"/>
  <c r="JM51" i="31"/>
  <c r="HH32" i="31"/>
  <c r="HK13" i="32"/>
  <c r="GJ76" i="39"/>
  <c r="OV24" i="19"/>
  <c r="OW24" i="19"/>
  <c r="ID11" i="19"/>
  <c r="ID126" i="19"/>
  <c r="OU27" i="35"/>
  <c r="OW27" i="35"/>
  <c r="HK26" i="19"/>
  <c r="HH37" i="39"/>
  <c r="HK37" i="39"/>
  <c r="IK60" i="19"/>
  <c r="HZ105" i="19"/>
  <c r="IA105" i="19"/>
  <c r="IE67" i="35"/>
  <c r="IF20" i="21"/>
  <c r="IG20" i="21"/>
  <c r="KG57" i="21"/>
  <c r="HE13" i="33"/>
  <c r="GK23" i="39"/>
  <c r="HP15" i="21"/>
  <c r="IH69" i="19"/>
  <c r="IL69" i="19"/>
  <c r="IJ69" i="19"/>
  <c r="IM25" i="35"/>
  <c r="IK25" i="35"/>
  <c r="IA12" i="34"/>
  <c r="HY12" i="34"/>
  <c r="IB96" i="19"/>
  <c r="IF96" i="19"/>
  <c r="ID96" i="19"/>
  <c r="IJ84" i="19"/>
  <c r="IH84" i="19"/>
  <c r="IL84" i="19"/>
  <c r="HK25" i="39"/>
  <c r="IH21" i="35"/>
  <c r="IJ21" i="35"/>
  <c r="IL21" i="35"/>
  <c r="HH12" i="31"/>
  <c r="JF51" i="31"/>
  <c r="JJ51" i="31"/>
  <c r="HK35" i="31"/>
  <c r="IF27" i="32"/>
  <c r="IE27" i="32"/>
  <c r="GZ16" i="39"/>
  <c r="HK16" i="39"/>
  <c r="GZ27" i="32"/>
  <c r="HI27" i="32"/>
  <c r="HP20" i="34"/>
  <c r="OH57" i="21"/>
  <c r="OV93" i="19"/>
  <c r="OW93" i="19"/>
  <c r="HV105" i="19"/>
  <c r="ID20" i="21"/>
  <c r="GK52" i="39"/>
  <c r="HV15" i="21"/>
  <c r="IH34" i="21"/>
  <c r="ID28" i="21"/>
  <c r="IF28" i="21"/>
  <c r="IG28" i="21"/>
  <c r="HY33" i="35"/>
  <c r="GJ70" i="39"/>
  <c r="OM25" i="21"/>
  <c r="IL96" i="19"/>
  <c r="IH96" i="19"/>
  <c r="IJ96" i="19"/>
  <c r="GZ76" i="19"/>
  <c r="HI76" i="19"/>
  <c r="IK44" i="31"/>
  <c r="JM44" i="31"/>
  <c r="IB27" i="32"/>
  <c r="HT14" i="32"/>
  <c r="HS14" i="32"/>
  <c r="GJ29" i="32"/>
  <c r="OU26" i="35"/>
  <c r="OW26" i="35"/>
  <c r="OV36" i="34"/>
  <c r="HX15" i="21"/>
  <c r="IJ34" i="21"/>
  <c r="IA15" i="21"/>
  <c r="OK66" i="39"/>
  <c r="OL66" i="39"/>
  <c r="OR66" i="39"/>
  <c r="IJ105" i="19"/>
  <c r="IL105" i="19"/>
  <c r="IH105" i="19"/>
  <c r="IJ71" i="19"/>
  <c r="IH71" i="19"/>
  <c r="IL71" i="19"/>
  <c r="IB27" i="19"/>
  <c r="ID27" i="19"/>
  <c r="IF27" i="19"/>
  <c r="OM18" i="35"/>
  <c r="IF19" i="35"/>
  <c r="ID19" i="35"/>
  <c r="IB19" i="35"/>
  <c r="IL76" i="19"/>
  <c r="IJ76" i="19"/>
  <c r="IH76" i="19"/>
  <c r="IK82" i="19"/>
  <c r="IM82" i="19"/>
  <c r="HZ44" i="34"/>
  <c r="JF44" i="34"/>
  <c r="JJ44" i="34"/>
  <c r="IL24" i="21"/>
  <c r="IM24" i="21"/>
  <c r="OM18" i="39"/>
  <c r="IM104" i="19"/>
  <c r="IK104" i="19"/>
  <c r="OU30" i="21"/>
  <c r="OV30" i="21"/>
  <c r="HI96" i="19"/>
  <c r="GZ96" i="19"/>
  <c r="HT66" i="39"/>
  <c r="HH66" i="39"/>
  <c r="IB69" i="19"/>
  <c r="IF69" i="19"/>
  <c r="ID69" i="19"/>
  <c r="IG58" i="31"/>
  <c r="IK52" i="31"/>
  <c r="IL42" i="31"/>
  <c r="IK42" i="31"/>
  <c r="IH42" i="31"/>
  <c r="IB19" i="32"/>
  <c r="HU62" i="34"/>
  <c r="OM91" i="19"/>
  <c r="OW29" i="21"/>
  <c r="HU47" i="39"/>
  <c r="HW47" i="39"/>
  <c r="HS47" i="39"/>
  <c r="HQ47" i="39"/>
  <c r="IF23" i="39"/>
  <c r="IB23" i="39"/>
  <c r="ID23" i="39"/>
  <c r="HS40" i="21"/>
  <c r="HU40" i="21"/>
  <c r="HW40" i="21"/>
  <c r="HQ40" i="21"/>
  <c r="HY10" i="33"/>
  <c r="IA10" i="33"/>
  <c r="IA13" i="33"/>
  <c r="IA15" i="33"/>
  <c r="HI33" i="39"/>
  <c r="GZ33" i="39"/>
  <c r="HU43" i="35"/>
  <c r="HS43" i="35"/>
  <c r="GZ29" i="34"/>
  <c r="HK29" i="34"/>
  <c r="OW47" i="39"/>
  <c r="HK75" i="19"/>
  <c r="IF33" i="39"/>
  <c r="ID33" i="39"/>
  <c r="IB33" i="39"/>
  <c r="IM56" i="39"/>
  <c r="IK56" i="39"/>
  <c r="KG108" i="39"/>
  <c r="KF109" i="39"/>
  <c r="IA24" i="35"/>
  <c r="HY24" i="35"/>
  <c r="HS71" i="19"/>
  <c r="HU71" i="19"/>
  <c r="HW71" i="19"/>
  <c r="HQ71" i="19"/>
  <c r="IL33" i="39"/>
  <c r="IH33" i="39"/>
  <c r="IJ33" i="39"/>
  <c r="GZ82" i="39"/>
  <c r="HI82" i="39"/>
  <c r="GJ27" i="31"/>
  <c r="IG102" i="39"/>
  <c r="IJ61" i="39"/>
  <c r="HK103" i="19"/>
  <c r="ID82" i="39"/>
  <c r="IB82" i="39"/>
  <c r="IF82" i="39"/>
  <c r="IL82" i="39"/>
  <c r="IJ82" i="39"/>
  <c r="IH82" i="39"/>
  <c r="IL63" i="35"/>
  <c r="IM63" i="35"/>
  <c r="IH63" i="35"/>
  <c r="IL123" i="19"/>
  <c r="IH123" i="19"/>
  <c r="IJ123" i="19"/>
  <c r="ID123" i="19"/>
  <c r="IB123" i="19"/>
  <c r="IF123" i="19"/>
  <c r="IJ39" i="31"/>
  <c r="GZ37" i="31"/>
  <c r="HI37" i="31"/>
  <c r="JF47" i="31"/>
  <c r="JJ47" i="31"/>
  <c r="GJ13" i="34"/>
  <c r="GK13" i="34"/>
  <c r="HT10" i="32"/>
  <c r="HS10" i="32"/>
  <c r="IF47" i="35"/>
  <c r="IB47" i="35"/>
  <c r="ID47" i="35"/>
  <c r="HU48" i="35"/>
  <c r="HW48" i="35"/>
  <c r="HQ48" i="35"/>
  <c r="HS48" i="35"/>
  <c r="IL40" i="21"/>
  <c r="IH40" i="21"/>
  <c r="IJ40" i="21"/>
  <c r="IH54" i="19"/>
  <c r="IJ54" i="19"/>
  <c r="IL54" i="19"/>
  <c r="GZ55" i="19"/>
  <c r="HI55" i="19"/>
  <c r="HI10" i="19"/>
  <c r="GZ10" i="19"/>
  <c r="OU38" i="35"/>
  <c r="OV38" i="35"/>
  <c r="IL18" i="21"/>
  <c r="IH18" i="21"/>
  <c r="IJ62" i="19"/>
  <c r="IL62" i="19"/>
  <c r="IH62" i="19"/>
  <c r="GZ10" i="35"/>
  <c r="HI10" i="35"/>
  <c r="HZ57" i="35"/>
  <c r="HV57" i="35"/>
  <c r="HX57" i="35"/>
  <c r="GZ28" i="19"/>
  <c r="HI28" i="19"/>
  <c r="IK61" i="35"/>
  <c r="IF70" i="19"/>
  <c r="ID70" i="19"/>
  <c r="IB70" i="19"/>
  <c r="IB34" i="19"/>
  <c r="IF34" i="19"/>
  <c r="ID34" i="19"/>
  <c r="IK58" i="19"/>
  <c r="IM58" i="19"/>
  <c r="IH51" i="19"/>
  <c r="IL51" i="19"/>
  <c r="IJ51" i="19"/>
  <c r="GZ17" i="31"/>
  <c r="HI17" i="31"/>
  <c r="OU91" i="19"/>
  <c r="OV91" i="19"/>
  <c r="HP56" i="19"/>
  <c r="HR56" i="19"/>
  <c r="IJ56" i="19"/>
  <c r="IH56" i="19"/>
  <c r="IL56" i="19"/>
  <c r="IA56" i="39"/>
  <c r="HY56" i="39"/>
  <c r="IF38" i="35"/>
  <c r="ID38" i="35"/>
  <c r="IB38" i="35"/>
  <c r="ID10" i="35"/>
  <c r="IF10" i="35"/>
  <c r="IB10" i="35"/>
  <c r="IF28" i="19"/>
  <c r="IB28" i="19"/>
  <c r="ID28" i="19"/>
  <c r="GZ43" i="35"/>
  <c r="HI43" i="35"/>
  <c r="GZ86" i="19"/>
  <c r="HI86" i="19"/>
  <c r="IB55" i="19"/>
  <c r="ID55" i="19"/>
  <c r="IF55" i="19"/>
  <c r="GK49" i="35"/>
  <c r="GJ49" i="35"/>
  <c r="OM10" i="33"/>
  <c r="OM13" i="33"/>
  <c r="OM89" i="19"/>
  <c r="IG35" i="21"/>
  <c r="IE35" i="21"/>
  <c r="IG37" i="19"/>
  <c r="IE37" i="19"/>
  <c r="IL38" i="35"/>
  <c r="IH38" i="35"/>
  <c r="IJ38" i="35"/>
  <c r="IF22" i="21"/>
  <c r="ID22" i="21"/>
  <c r="IB22" i="21"/>
  <c r="OT108" i="39"/>
  <c r="OM55" i="19"/>
  <c r="ID32" i="21"/>
  <c r="IF32" i="21"/>
  <c r="IB32" i="21"/>
  <c r="HI34" i="19"/>
  <c r="GZ34" i="19"/>
  <c r="IH47" i="19"/>
  <c r="IJ47" i="19"/>
  <c r="IL47" i="19"/>
  <c r="GZ52" i="35"/>
  <c r="HI52" i="35"/>
  <c r="HR12" i="19"/>
  <c r="HP12" i="19"/>
  <c r="IJ55" i="19"/>
  <c r="IL55" i="19"/>
  <c r="IH55" i="19"/>
  <c r="IE49" i="31"/>
  <c r="JM49" i="31"/>
  <c r="IG49" i="31"/>
  <c r="JG49" i="31"/>
  <c r="JK49" i="31"/>
  <c r="IB19" i="19"/>
  <c r="ID19" i="19"/>
  <c r="IF19" i="19"/>
  <c r="IB46" i="35"/>
  <c r="IF46" i="35"/>
  <c r="ID46" i="35"/>
  <c r="IH32" i="21"/>
  <c r="IJ32" i="21"/>
  <c r="IL32" i="21"/>
  <c r="IJ34" i="19"/>
  <c r="IL34" i="19"/>
  <c r="IH34" i="19"/>
  <c r="HX43" i="35"/>
  <c r="HV43" i="35"/>
  <c r="HZ43" i="35"/>
  <c r="HI47" i="19"/>
  <c r="GZ47" i="19"/>
  <c r="IH52" i="35"/>
  <c r="IJ52" i="35"/>
  <c r="IL52" i="35"/>
  <c r="IE95" i="19"/>
  <c r="IG95" i="19"/>
  <c r="OV54" i="19"/>
  <c r="OU54" i="19"/>
  <c r="IH20" i="35"/>
  <c r="IL20" i="35"/>
  <c r="JF20" i="35"/>
  <c r="JJ20" i="35"/>
  <c r="IJ20" i="35"/>
  <c r="IL19" i="19"/>
  <c r="IJ19" i="19"/>
  <c r="IH19" i="19"/>
  <c r="IG14" i="19"/>
  <c r="IE14" i="19"/>
  <c r="IF61" i="35"/>
  <c r="JF61" i="35"/>
  <c r="JJ61" i="35"/>
  <c r="IB61" i="35"/>
  <c r="ID61" i="35"/>
  <c r="IL47" i="35"/>
  <c r="IH47" i="35"/>
  <c r="IJ47" i="35"/>
  <c r="ID42" i="35"/>
  <c r="IB42" i="35"/>
  <c r="IF42" i="35"/>
  <c r="IB47" i="19"/>
  <c r="IF47" i="19"/>
  <c r="ID47" i="19"/>
  <c r="IF52" i="35"/>
  <c r="IB52" i="35"/>
  <c r="ID52" i="35"/>
  <c r="IL12" i="19"/>
  <c r="IJ12" i="19"/>
  <c r="IH12" i="19"/>
  <c r="GZ87" i="19"/>
  <c r="HI87" i="19"/>
  <c r="GZ35" i="21"/>
  <c r="HI35" i="21"/>
  <c r="HX62" i="19"/>
  <c r="HZ62" i="19"/>
  <c r="HV62" i="19"/>
  <c r="HI19" i="19"/>
  <c r="GZ19" i="19"/>
  <c r="IH46" i="35"/>
  <c r="IL46" i="35"/>
  <c r="IJ46" i="35"/>
  <c r="OM15" i="21"/>
  <c r="GZ23" i="35"/>
  <c r="HI23" i="35"/>
  <c r="IJ42" i="35"/>
  <c r="IH42" i="35"/>
  <c r="IL42" i="35"/>
  <c r="HI51" i="19"/>
  <c r="GZ51" i="19"/>
  <c r="HI90" i="19"/>
  <c r="GZ90" i="19"/>
  <c r="OW15" i="19"/>
  <c r="ID12" i="19"/>
  <c r="IF12" i="19"/>
  <c r="IF126" i="19"/>
  <c r="IB12" i="19"/>
  <c r="IL10" i="19"/>
  <c r="IH10" i="19"/>
  <c r="IJ10" i="19"/>
  <c r="ID19" i="39"/>
  <c r="IF19" i="39"/>
  <c r="ID54" i="21"/>
  <c r="IB54" i="21"/>
  <c r="IF54" i="21"/>
  <c r="OW36" i="19"/>
  <c r="OM36" i="34"/>
  <c r="GZ46" i="35"/>
  <c r="HI46" i="35"/>
  <c r="HK77" i="19"/>
  <c r="GZ119" i="19"/>
  <c r="HI47" i="35"/>
  <c r="GZ47" i="35"/>
  <c r="HI42" i="35"/>
  <c r="GZ42" i="35"/>
  <c r="IF51" i="19"/>
  <c r="IB51" i="19"/>
  <c r="ID51" i="19"/>
  <c r="IB40" i="21"/>
  <c r="IF40" i="21"/>
  <c r="ID40" i="21"/>
  <c r="ID90" i="19"/>
  <c r="IB90" i="19"/>
  <c r="IF90" i="19"/>
  <c r="HI54" i="19"/>
  <c r="GZ54" i="19"/>
  <c r="GZ12" i="19"/>
  <c r="HI12" i="19"/>
  <c r="IB62" i="19"/>
  <c r="ID62" i="19"/>
  <c r="IF62" i="19"/>
  <c r="GZ38" i="35"/>
  <c r="HI38" i="35"/>
  <c r="IL10" i="35"/>
  <c r="IJ10" i="35"/>
  <c r="IH10" i="35"/>
  <c r="IL28" i="19"/>
  <c r="IJ28" i="19"/>
  <c r="IH28" i="19"/>
  <c r="IA92" i="19"/>
  <c r="HY92" i="19"/>
  <c r="JG20" i="22"/>
  <c r="JK20" i="22"/>
  <c r="HI61" i="19"/>
  <c r="HK61" i="19"/>
  <c r="IH22" i="31"/>
  <c r="OV25" i="21"/>
  <c r="OU25" i="21"/>
  <c r="GZ15" i="35"/>
  <c r="HI15" i="35"/>
  <c r="IJ22" i="31"/>
  <c r="HK47" i="31"/>
  <c r="HU42" i="31"/>
  <c r="HU20" i="31"/>
  <c r="IL24" i="34"/>
  <c r="IK24" i="34"/>
  <c r="IJ29" i="21"/>
  <c r="OU34" i="19"/>
  <c r="OW34" i="19"/>
  <c r="HK37" i="19"/>
  <c r="HV34" i="21"/>
  <c r="OM43" i="19"/>
  <c r="OM30" i="35"/>
  <c r="OU106" i="19"/>
  <c r="OV106" i="19"/>
  <c r="IL15" i="35"/>
  <c r="IJ15" i="35"/>
  <c r="IH15" i="35"/>
  <c r="HS22" i="21"/>
  <c r="HU22" i="21"/>
  <c r="HW22" i="21"/>
  <c r="HQ22" i="21"/>
  <c r="IH31" i="35"/>
  <c r="IJ31" i="35"/>
  <c r="IL31" i="35"/>
  <c r="GZ24" i="19"/>
  <c r="HI24" i="19"/>
  <c r="IJ32" i="35"/>
  <c r="IL32" i="35"/>
  <c r="IH32" i="35"/>
  <c r="IH81" i="19"/>
  <c r="IJ81" i="19"/>
  <c r="IL81" i="19"/>
  <c r="IL16" i="39"/>
  <c r="IK16" i="39"/>
  <c r="IJ15" i="31"/>
  <c r="IH18" i="31"/>
  <c r="IE48" i="31"/>
  <c r="IB26" i="32"/>
  <c r="IL29" i="21"/>
  <c r="IM29" i="21"/>
  <c r="IG71" i="39"/>
  <c r="ID81" i="39"/>
  <c r="HZ34" i="21"/>
  <c r="HY34" i="21"/>
  <c r="GJ95" i="39"/>
  <c r="PJ67" i="34"/>
  <c r="HK23" i="21"/>
  <c r="HS106" i="19"/>
  <c r="HU106" i="19"/>
  <c r="HQ106" i="19"/>
  <c r="HW106" i="19"/>
  <c r="OM106" i="19"/>
  <c r="IL15" i="19"/>
  <c r="IJ15" i="19"/>
  <c r="IH15" i="19"/>
  <c r="ID15" i="35"/>
  <c r="IF15" i="35"/>
  <c r="IB15" i="35"/>
  <c r="HR48" i="39"/>
  <c r="HP48" i="39"/>
  <c r="GZ20" i="39"/>
  <c r="HI20" i="39"/>
  <c r="HI59" i="35"/>
  <c r="GZ59" i="35"/>
  <c r="IH24" i="19"/>
  <c r="IL24" i="19"/>
  <c r="IJ24" i="19"/>
  <c r="IB81" i="19"/>
  <c r="ID81" i="19"/>
  <c r="IF81" i="19"/>
  <c r="HQ48" i="19"/>
  <c r="HS48" i="19"/>
  <c r="HU48" i="19"/>
  <c r="HW48" i="19"/>
  <c r="IG66" i="19"/>
  <c r="IE66" i="19"/>
  <c r="IB64" i="19"/>
  <c r="IF64" i="19"/>
  <c r="ID64" i="19"/>
  <c r="IF26" i="35"/>
  <c r="ID26" i="35"/>
  <c r="IB26" i="35"/>
  <c r="HI81" i="19"/>
  <c r="GZ81" i="19"/>
  <c r="OM39" i="21"/>
  <c r="GZ15" i="19"/>
  <c r="HI15" i="19"/>
  <c r="HQ47" i="35"/>
  <c r="HS47" i="35"/>
  <c r="HU47" i="35"/>
  <c r="HW47" i="35"/>
  <c r="OU60" i="19"/>
  <c r="OV60" i="19"/>
  <c r="ID64" i="35"/>
  <c r="HP39" i="31"/>
  <c r="ID39" i="31"/>
  <c r="HP46" i="31"/>
  <c r="IH15" i="31"/>
  <c r="IL36" i="31"/>
  <c r="IK36" i="31"/>
  <c r="HS39" i="31"/>
  <c r="IF26" i="32"/>
  <c r="IE26" i="32"/>
  <c r="IF13" i="19"/>
  <c r="IB81" i="39"/>
  <c r="HU22" i="35"/>
  <c r="GJ118" i="19"/>
  <c r="HK28" i="21"/>
  <c r="OM70" i="39"/>
  <c r="GK18" i="19"/>
  <c r="OV99" i="19"/>
  <c r="OU99" i="19"/>
  <c r="IF15" i="19"/>
  <c r="ID15" i="19"/>
  <c r="IB15" i="19"/>
  <c r="HX48" i="39"/>
  <c r="HV48" i="39"/>
  <c r="HZ48" i="39"/>
  <c r="IF20" i="39"/>
  <c r="ID20" i="39"/>
  <c r="IB20" i="39"/>
  <c r="IL59" i="35"/>
  <c r="IH59" i="35"/>
  <c r="IJ59" i="35"/>
  <c r="ID24" i="19"/>
  <c r="IB24" i="19"/>
  <c r="IF24" i="19"/>
  <c r="IF32" i="35"/>
  <c r="ID32" i="35"/>
  <c r="IB32" i="35"/>
  <c r="GZ40" i="35"/>
  <c r="HI40" i="35"/>
  <c r="IB34" i="35"/>
  <c r="IF34" i="35"/>
  <c r="ID34" i="35"/>
  <c r="HI42" i="31"/>
  <c r="HK42" i="31"/>
  <c r="IM10" i="33"/>
  <c r="IK10" i="33"/>
  <c r="GZ32" i="35"/>
  <c r="HI32" i="35"/>
  <c r="IM61" i="35"/>
  <c r="IB64" i="35"/>
  <c r="IB39" i="31"/>
  <c r="GJ9" i="31"/>
  <c r="IJ36" i="31"/>
  <c r="HU39" i="31"/>
  <c r="HI19" i="32"/>
  <c r="HK19" i="32"/>
  <c r="GJ13" i="33"/>
  <c r="IE28" i="21"/>
  <c r="HZ14" i="39"/>
  <c r="HY14" i="39"/>
  <c r="ID13" i="19"/>
  <c r="JF44" i="19"/>
  <c r="JJ44" i="19"/>
  <c r="PH67" i="34"/>
  <c r="JF10" i="33"/>
  <c r="JJ10" i="33"/>
  <c r="GZ19" i="39"/>
  <c r="OM26" i="34"/>
  <c r="OM99" i="19"/>
  <c r="IL26" i="35"/>
  <c r="IJ26" i="35"/>
  <c r="IH26" i="35"/>
  <c r="IB80" i="19"/>
  <c r="IF80" i="19"/>
  <c r="ID80" i="19"/>
  <c r="IB32" i="19"/>
  <c r="IF32" i="19"/>
  <c r="ID32" i="19"/>
  <c r="IH40" i="35"/>
  <c r="IL40" i="35"/>
  <c r="IJ40" i="35"/>
  <c r="HI34" i="35"/>
  <c r="GZ34" i="35"/>
  <c r="IF99" i="19"/>
  <c r="ID99" i="19"/>
  <c r="IB99" i="19"/>
  <c r="IB31" i="35"/>
  <c r="IF31" i="35"/>
  <c r="ID31" i="35"/>
  <c r="HW23" i="21"/>
  <c r="HQ23" i="21"/>
  <c r="HU23" i="21"/>
  <c r="HS23" i="21"/>
  <c r="GZ9" i="22"/>
  <c r="HK9" i="22"/>
  <c r="GZ30" i="32"/>
  <c r="HV14" i="39"/>
  <c r="IQ128" i="19"/>
  <c r="HY44" i="19"/>
  <c r="FZ57" i="21"/>
  <c r="ID24" i="21"/>
  <c r="HK53" i="19"/>
  <c r="IQ108" i="39"/>
  <c r="IQ110" i="39"/>
  <c r="OW57" i="35"/>
  <c r="IH64" i="19"/>
  <c r="IJ64" i="19"/>
  <c r="IL64" i="19"/>
  <c r="IH99" i="19"/>
  <c r="IL99" i="19"/>
  <c r="IJ99" i="19"/>
  <c r="OM60" i="19"/>
  <c r="GZ49" i="39"/>
  <c r="HI49" i="39"/>
  <c r="ID59" i="35"/>
  <c r="IB59" i="35"/>
  <c r="IF59" i="35"/>
  <c r="IL80" i="19"/>
  <c r="IJ80" i="19"/>
  <c r="IH80" i="19"/>
  <c r="OL12" i="22"/>
  <c r="OR12" i="22"/>
  <c r="OK12" i="22"/>
  <c r="GZ32" i="19"/>
  <c r="HI32" i="19"/>
  <c r="ID40" i="35"/>
  <c r="IB40" i="35"/>
  <c r="IF40" i="35"/>
  <c r="IB34" i="32"/>
  <c r="GK21" i="31"/>
  <c r="HK41" i="21"/>
  <c r="IH24" i="21"/>
  <c r="OW59" i="35"/>
  <c r="HK20" i="35"/>
  <c r="GZ64" i="19"/>
  <c r="HI64" i="19"/>
  <c r="HI99" i="19"/>
  <c r="GZ99" i="19"/>
  <c r="HS24" i="21"/>
  <c r="HU24" i="21"/>
  <c r="HI31" i="35"/>
  <c r="GZ31" i="35"/>
  <c r="GZ26" i="35"/>
  <c r="HI26" i="35"/>
  <c r="HI80" i="19"/>
  <c r="GZ80" i="19"/>
  <c r="HY61" i="19"/>
  <c r="IA61" i="19"/>
  <c r="IL32" i="19"/>
  <c r="IH32" i="19"/>
  <c r="IJ32" i="19"/>
  <c r="IL34" i="35"/>
  <c r="IJ34" i="35"/>
  <c r="IH34" i="35"/>
  <c r="OK18" i="31"/>
  <c r="OM18" i="31"/>
  <c r="HK67" i="19"/>
  <c r="HX35" i="19"/>
  <c r="HV16" i="19"/>
  <c r="HK85" i="19"/>
  <c r="IM110" i="19"/>
  <c r="OM46" i="35"/>
  <c r="HV53" i="35"/>
  <c r="HX53" i="35"/>
  <c r="HZ53" i="35"/>
  <c r="IH24" i="39"/>
  <c r="IL24" i="39"/>
  <c r="IJ24" i="39"/>
  <c r="HW19" i="35"/>
  <c r="HS19" i="35"/>
  <c r="HU19" i="35"/>
  <c r="HQ19" i="35"/>
  <c r="HP21" i="21"/>
  <c r="HR21" i="21"/>
  <c r="OW13" i="19"/>
  <c r="IL55" i="35"/>
  <c r="IJ55" i="35"/>
  <c r="IH55" i="35"/>
  <c r="OV55" i="19"/>
  <c r="OU55" i="19"/>
  <c r="IL61" i="19"/>
  <c r="IH61" i="19"/>
  <c r="IJ61" i="19"/>
  <c r="HU50" i="35"/>
  <c r="HQ50" i="35"/>
  <c r="HW50" i="35"/>
  <c r="HS50" i="35"/>
  <c r="IB89" i="39"/>
  <c r="ID89" i="39"/>
  <c r="IF89" i="39"/>
  <c r="IG27" i="35"/>
  <c r="IE27" i="35"/>
  <c r="OK44" i="21"/>
  <c r="OK57" i="21"/>
  <c r="OR44" i="21"/>
  <c r="OR57" i="21"/>
  <c r="OL44" i="21"/>
  <c r="GZ55" i="35"/>
  <c r="HI55" i="35"/>
  <c r="ID37" i="31"/>
  <c r="OR18" i="31"/>
  <c r="OU18" i="31"/>
  <c r="IM21" i="21"/>
  <c r="HV35" i="19"/>
  <c r="OV63" i="39"/>
  <c r="OW63" i="39"/>
  <c r="HZ16" i="19"/>
  <c r="HY16" i="19"/>
  <c r="HP53" i="35"/>
  <c r="HR53" i="35"/>
  <c r="GZ24" i="39"/>
  <c r="HI24" i="39"/>
  <c r="ID55" i="35"/>
  <c r="IF55" i="35"/>
  <c r="IB55" i="35"/>
  <c r="OW93" i="39"/>
  <c r="IH89" i="39"/>
  <c r="IL89" i="39"/>
  <c r="IJ89" i="39"/>
  <c r="GZ51" i="39"/>
  <c r="HI51" i="39"/>
  <c r="IL13" i="19"/>
  <c r="IH13" i="19"/>
  <c r="IJ13" i="19"/>
  <c r="HW26" i="34"/>
  <c r="HQ26" i="34"/>
  <c r="HU26" i="34"/>
  <c r="HS26" i="34"/>
  <c r="HS84" i="19"/>
  <c r="HU84" i="19"/>
  <c r="HQ84" i="19"/>
  <c r="HW84" i="19"/>
  <c r="HT44" i="21"/>
  <c r="HH44" i="21"/>
  <c r="HK44" i="21"/>
  <c r="IB37" i="31"/>
  <c r="HH29" i="32"/>
  <c r="JG24" i="22"/>
  <c r="JK24" i="22"/>
  <c r="IG41" i="39"/>
  <c r="OW78" i="19"/>
  <c r="OM82" i="39"/>
  <c r="HI53" i="35"/>
  <c r="GZ53" i="35"/>
  <c r="IM12" i="35"/>
  <c r="IK12" i="35"/>
  <c r="ID24" i="39"/>
  <c r="IF24" i="39"/>
  <c r="IB24" i="39"/>
  <c r="HS34" i="21"/>
  <c r="HU34" i="21"/>
  <c r="IJ24" i="35"/>
  <c r="IL24" i="35"/>
  <c r="IH24" i="35"/>
  <c r="IF46" i="39"/>
  <c r="IB46" i="39"/>
  <c r="ID46" i="39"/>
  <c r="IM52" i="19"/>
  <c r="IK52" i="19"/>
  <c r="IE36" i="19"/>
  <c r="IG36" i="19"/>
  <c r="JF36" i="19"/>
  <c r="JJ36" i="19"/>
  <c r="IB51" i="39"/>
  <c r="IF51" i="39"/>
  <c r="ID51" i="39"/>
  <c r="IG65" i="19"/>
  <c r="HR13" i="19"/>
  <c r="HP13" i="19"/>
  <c r="IF16" i="19"/>
  <c r="IB16" i="19"/>
  <c r="ID16" i="19"/>
  <c r="OK15" i="32"/>
  <c r="IQ57" i="21"/>
  <c r="IQ59" i="21"/>
  <c r="IL23" i="35"/>
  <c r="IJ23" i="35"/>
  <c r="IH23" i="35"/>
  <c r="GZ24" i="35"/>
  <c r="HI46" i="39"/>
  <c r="GZ46" i="39"/>
  <c r="IJ36" i="35"/>
  <c r="IL36" i="35"/>
  <c r="IH36" i="35"/>
  <c r="IJ51" i="39"/>
  <c r="IL51" i="39"/>
  <c r="IH51" i="39"/>
  <c r="HZ13" i="19"/>
  <c r="HV13" i="19"/>
  <c r="HX13" i="19"/>
  <c r="HK28" i="35"/>
  <c r="IB61" i="19"/>
  <c r="ID61" i="19"/>
  <c r="IF61" i="19"/>
  <c r="HS36" i="34"/>
  <c r="HU36" i="34"/>
  <c r="OR15" i="32"/>
  <c r="OU15" i="32"/>
  <c r="HR45" i="34"/>
  <c r="JF35" i="19"/>
  <c r="JJ35" i="19"/>
  <c r="JF47" i="21"/>
  <c r="JJ47" i="21"/>
  <c r="IJ22" i="35"/>
  <c r="IL22" i="35"/>
  <c r="IH22" i="35"/>
  <c r="IB23" i="35"/>
  <c r="ID23" i="35"/>
  <c r="IF23" i="35"/>
  <c r="HI30" i="39"/>
  <c r="GZ30" i="39"/>
  <c r="HX103" i="19"/>
  <c r="HV103" i="19"/>
  <c r="HZ103" i="19"/>
  <c r="IG28" i="35"/>
  <c r="IE28" i="35"/>
  <c r="IB24" i="35"/>
  <c r="IF24" i="35"/>
  <c r="ID24" i="35"/>
  <c r="HW28" i="39"/>
  <c r="HS28" i="39"/>
  <c r="HQ28" i="39"/>
  <c r="HU28" i="39"/>
  <c r="IA27" i="19"/>
  <c r="HY27" i="19"/>
  <c r="HI36" i="35"/>
  <c r="GZ36" i="35"/>
  <c r="HI11" i="35"/>
  <c r="GZ11" i="35"/>
  <c r="OV26" i="34"/>
  <c r="OU26" i="34"/>
  <c r="HU67" i="39"/>
  <c r="HQ67" i="39"/>
  <c r="HS67" i="39"/>
  <c r="HW67" i="39"/>
  <c r="HI44" i="39"/>
  <c r="GZ44" i="39"/>
  <c r="HI89" i="39"/>
  <c r="GZ89" i="39"/>
  <c r="OL55" i="34"/>
  <c r="IG32" i="34"/>
  <c r="HW36" i="34"/>
  <c r="HZ36" i="34"/>
  <c r="OM108" i="19"/>
  <c r="HZ89" i="39"/>
  <c r="HY89" i="39"/>
  <c r="OM10" i="21"/>
  <c r="JF100" i="39"/>
  <c r="JJ100" i="39"/>
  <c r="IJ30" i="39"/>
  <c r="IL30" i="39"/>
  <c r="IH30" i="39"/>
  <c r="HQ55" i="19"/>
  <c r="HU55" i="19"/>
  <c r="HW55" i="19"/>
  <c r="HS55" i="19"/>
  <c r="IF44" i="39"/>
  <c r="IB44" i="39"/>
  <c r="ID44" i="39"/>
  <c r="OR50" i="39"/>
  <c r="OL50" i="39"/>
  <c r="OK50" i="39"/>
  <c r="IB36" i="35"/>
  <c r="ID36" i="35"/>
  <c r="IF36" i="35"/>
  <c r="IL11" i="35"/>
  <c r="IH11" i="35"/>
  <c r="IJ11" i="35"/>
  <c r="GZ13" i="35"/>
  <c r="HI13" i="35"/>
  <c r="IK36" i="19"/>
  <c r="IM36" i="19"/>
  <c r="IB53" i="35"/>
  <c r="ID53" i="35"/>
  <c r="IF53" i="35"/>
  <c r="OU15" i="21"/>
  <c r="OV15" i="21"/>
  <c r="GW70" i="35"/>
  <c r="HQ36" i="34"/>
  <c r="HR36" i="34"/>
  <c r="JF21" i="21"/>
  <c r="JJ21" i="21"/>
  <c r="HK73" i="19"/>
  <c r="HK106" i="19"/>
  <c r="IJ53" i="35"/>
  <c r="IL53" i="35"/>
  <c r="IH53" i="35"/>
  <c r="IF30" i="39"/>
  <c r="ID30" i="39"/>
  <c r="IB30" i="39"/>
  <c r="IL44" i="39"/>
  <c r="IJ44" i="39"/>
  <c r="IH44" i="39"/>
  <c r="JF27" i="19"/>
  <c r="JJ27" i="19"/>
  <c r="ID11" i="35"/>
  <c r="IF11" i="35"/>
  <c r="IB11" i="35"/>
  <c r="IJ21" i="32"/>
  <c r="IH21" i="32"/>
  <c r="IL21" i="32"/>
  <c r="JF21" i="32"/>
  <c r="JJ21" i="32"/>
  <c r="GW108" i="39"/>
  <c r="HQ75" i="39"/>
  <c r="HP75" i="39"/>
  <c r="IJ19" i="39"/>
  <c r="IM107" i="39"/>
  <c r="IK107" i="39"/>
  <c r="GJ33" i="39"/>
  <c r="GK33" i="39"/>
  <c r="IF63" i="39"/>
  <c r="IB63" i="39"/>
  <c r="ID63" i="39"/>
  <c r="GZ62" i="39"/>
  <c r="HI62" i="39"/>
  <c r="ID58" i="39"/>
  <c r="IB58" i="39"/>
  <c r="IF58" i="39"/>
  <c r="OL72" i="39"/>
  <c r="OK72" i="39"/>
  <c r="OR72" i="39"/>
  <c r="HT74" i="39"/>
  <c r="HH74" i="39"/>
  <c r="HK74" i="39"/>
  <c r="HT30" i="39"/>
  <c r="HH30" i="39"/>
  <c r="GZ42" i="39"/>
  <c r="HI42" i="39"/>
  <c r="OL74" i="39"/>
  <c r="OK74" i="39"/>
  <c r="OR74" i="39"/>
  <c r="ID83" i="39"/>
  <c r="IB83" i="39"/>
  <c r="IF83" i="39"/>
  <c r="IM25" i="39"/>
  <c r="IK25" i="39"/>
  <c r="GZ71" i="39"/>
  <c r="HI71" i="39"/>
  <c r="IF40" i="39"/>
  <c r="IB40" i="39"/>
  <c r="ID40" i="39"/>
  <c r="IH37" i="39"/>
  <c r="IL37" i="39"/>
  <c r="IJ37" i="39"/>
  <c r="HS88" i="39"/>
  <c r="HW88" i="39"/>
  <c r="HU88" i="39"/>
  <c r="HQ88" i="39"/>
  <c r="GZ83" i="39"/>
  <c r="HI83" i="39"/>
  <c r="HH10" i="39"/>
  <c r="HK10" i="39"/>
  <c r="HT10" i="39"/>
  <c r="GZ80" i="39"/>
  <c r="HI80" i="39"/>
  <c r="HV31" i="39"/>
  <c r="IK47" i="39"/>
  <c r="OM46" i="39"/>
  <c r="IE25" i="39"/>
  <c r="IG25" i="39"/>
  <c r="GZ40" i="39"/>
  <c r="HI40" i="39"/>
  <c r="GJ51" i="39"/>
  <c r="GK51" i="39"/>
  <c r="IJ83" i="39"/>
  <c r="IL83" i="39"/>
  <c r="IH83" i="39"/>
  <c r="OL10" i="39"/>
  <c r="OK10" i="39"/>
  <c r="OR10" i="39"/>
  <c r="HP14" i="39"/>
  <c r="HR14" i="39"/>
  <c r="IF80" i="39"/>
  <c r="IB80" i="39"/>
  <c r="ID80" i="39"/>
  <c r="GZ58" i="39"/>
  <c r="HI58" i="39"/>
  <c r="HX31" i="39"/>
  <c r="HK48" i="39"/>
  <c r="IB77" i="39"/>
  <c r="ID77" i="39"/>
  <c r="IF77" i="39"/>
  <c r="GK20" i="39"/>
  <c r="GJ20" i="39"/>
  <c r="HR82" i="39"/>
  <c r="HP82" i="39"/>
  <c r="IE101" i="39"/>
  <c r="IG101" i="39"/>
  <c r="GJ92" i="39"/>
  <c r="GK92" i="39"/>
  <c r="OM55" i="39"/>
  <c r="HT34" i="39"/>
  <c r="HH34" i="39"/>
  <c r="HK34" i="39"/>
  <c r="HH41" i="39"/>
  <c r="HK41" i="39"/>
  <c r="HT41" i="39"/>
  <c r="IJ40" i="39"/>
  <c r="IL40" i="39"/>
  <c r="IH40" i="39"/>
  <c r="IG85" i="39"/>
  <c r="IE85" i="39"/>
  <c r="HH26" i="39"/>
  <c r="HT26" i="39"/>
  <c r="IH80" i="39"/>
  <c r="IL80" i="39"/>
  <c r="IJ80" i="39"/>
  <c r="HI77" i="39"/>
  <c r="GZ77" i="39"/>
  <c r="IM100" i="39"/>
  <c r="JG100" i="39"/>
  <c r="JK100" i="39"/>
  <c r="IK100" i="39"/>
  <c r="OK30" i="39"/>
  <c r="OR30" i="39"/>
  <c r="OL30" i="39"/>
  <c r="IJ77" i="39"/>
  <c r="IH77" i="39"/>
  <c r="IL77" i="39"/>
  <c r="GK102" i="39"/>
  <c r="HH22" i="39"/>
  <c r="HK22" i="39"/>
  <c r="OV80" i="39"/>
  <c r="OW80" i="39"/>
  <c r="IH19" i="39"/>
  <c r="IJ63" i="39"/>
  <c r="IH63" i="39"/>
  <c r="IL63" i="39"/>
  <c r="OR34" i="39"/>
  <c r="OL34" i="39"/>
  <c r="OK34" i="39"/>
  <c r="OK41" i="39"/>
  <c r="OR41" i="39"/>
  <c r="OL41" i="39"/>
  <c r="IJ58" i="39"/>
  <c r="IH58" i="39"/>
  <c r="IL58" i="39"/>
  <c r="GK42" i="39"/>
  <c r="GJ42" i="39"/>
  <c r="HT99" i="39"/>
  <c r="HH99" i="39"/>
  <c r="HK99" i="39"/>
  <c r="OU88" i="39"/>
  <c r="OV88" i="39"/>
  <c r="HP89" i="39"/>
  <c r="HR89" i="39"/>
  <c r="HV82" i="39"/>
  <c r="HZ82" i="39"/>
  <c r="HX82" i="39"/>
  <c r="ID42" i="39"/>
  <c r="IB42" i="39"/>
  <c r="IF42" i="39"/>
  <c r="OR26" i="39"/>
  <c r="OL26" i="39"/>
  <c r="OK26" i="39"/>
  <c r="HQ50" i="39"/>
  <c r="HU50" i="39"/>
  <c r="HW50" i="39"/>
  <c r="HS50" i="39"/>
  <c r="IH62" i="39"/>
  <c r="IJ62" i="39"/>
  <c r="IL62" i="39"/>
  <c r="HT72" i="39"/>
  <c r="HH72" i="39"/>
  <c r="GZ63" i="39"/>
  <c r="HI63" i="39"/>
  <c r="IF62" i="39"/>
  <c r="IB62" i="39"/>
  <c r="ID62" i="39"/>
  <c r="IM23" i="39"/>
  <c r="IK23" i="39"/>
  <c r="OR99" i="39"/>
  <c r="OK99" i="39"/>
  <c r="OL99" i="39"/>
  <c r="OM88" i="39"/>
  <c r="IJ42" i="39"/>
  <c r="IL42" i="39"/>
  <c r="IH42" i="39"/>
  <c r="OK19" i="31"/>
  <c r="OM19" i="31"/>
  <c r="GJ57" i="34"/>
  <c r="OM43" i="21"/>
  <c r="OW81" i="19"/>
  <c r="OK65" i="19"/>
  <c r="OL65" i="19"/>
  <c r="OR65" i="19"/>
  <c r="IG93" i="19"/>
  <c r="IE93" i="19"/>
  <c r="HQ46" i="19"/>
  <c r="HW46" i="19"/>
  <c r="HU46" i="19"/>
  <c r="HS46" i="19"/>
  <c r="OW89" i="19"/>
  <c r="HZ15" i="35"/>
  <c r="HX15" i="35"/>
  <c r="HV15" i="35"/>
  <c r="IK50" i="34"/>
  <c r="IM50" i="34"/>
  <c r="OU46" i="35"/>
  <c r="OV46" i="35"/>
  <c r="HW63" i="39"/>
  <c r="HQ63" i="39"/>
  <c r="HU63" i="39"/>
  <c r="HS63" i="39"/>
  <c r="GZ44" i="35"/>
  <c r="HI44" i="35"/>
  <c r="OR19" i="31"/>
  <c r="OU19" i="31"/>
  <c r="GJ11" i="31"/>
  <c r="HK45" i="19"/>
  <c r="IC108" i="39"/>
  <c r="IC110" i="39"/>
  <c r="OM37" i="19"/>
  <c r="IM67" i="19"/>
  <c r="IK67" i="19"/>
  <c r="IL117" i="19"/>
  <c r="IK117" i="19"/>
  <c r="HV37" i="21"/>
  <c r="HZ37" i="21"/>
  <c r="HX37" i="21"/>
  <c r="OW28" i="19"/>
  <c r="OM78" i="39"/>
  <c r="GJ91" i="19"/>
  <c r="GK91" i="19"/>
  <c r="HK29" i="19"/>
  <c r="OU45" i="35"/>
  <c r="OV45" i="35"/>
  <c r="IE87" i="19"/>
  <c r="IG87" i="19"/>
  <c r="OU10" i="21"/>
  <c r="OV10" i="21"/>
  <c r="IG87" i="39"/>
  <c r="IE87" i="39"/>
  <c r="IG78" i="19"/>
  <c r="IE78" i="19"/>
  <c r="OU78" i="39"/>
  <c r="OV78" i="39"/>
  <c r="GJ19" i="19"/>
  <c r="GK19" i="19"/>
  <c r="IM17" i="39"/>
  <c r="IK17" i="39"/>
  <c r="HR49" i="35"/>
  <c r="HP49" i="35"/>
  <c r="HY13" i="21"/>
  <c r="IA13" i="21"/>
  <c r="OM79" i="39"/>
  <c r="HK88" i="19"/>
  <c r="OM45" i="35"/>
  <c r="IM38" i="19"/>
  <c r="IK38" i="19"/>
  <c r="OM46" i="19"/>
  <c r="IF54" i="39"/>
  <c r="IB54" i="39"/>
  <c r="ID54" i="39"/>
  <c r="OM22" i="35"/>
  <c r="JM53" i="31"/>
  <c r="IL54" i="39"/>
  <c r="IJ54" i="39"/>
  <c r="IH54" i="39"/>
  <c r="IE11" i="33"/>
  <c r="IG11" i="33"/>
  <c r="OV70" i="39"/>
  <c r="OU70" i="39"/>
  <c r="HK13" i="19"/>
  <c r="GT111" i="39"/>
  <c r="HQ32" i="39"/>
  <c r="HR32" i="39"/>
  <c r="OW27" i="21"/>
  <c r="HK91" i="39"/>
  <c r="HY23" i="35"/>
  <c r="IA23" i="35"/>
  <c r="HW10" i="21"/>
  <c r="HQ10" i="21"/>
  <c r="HS10" i="21"/>
  <c r="HU10" i="21"/>
  <c r="IE13" i="39"/>
  <c r="IG13" i="39"/>
  <c r="OU46" i="19"/>
  <c r="OV46" i="19"/>
  <c r="HI54" i="39"/>
  <c r="GZ54" i="39"/>
  <c r="IM11" i="33"/>
  <c r="IK11" i="33"/>
  <c r="IK101" i="39"/>
  <c r="IM101" i="39"/>
  <c r="HU45" i="35"/>
  <c r="HS45" i="35"/>
  <c r="HW45" i="35"/>
  <c r="HQ45" i="35"/>
  <c r="HK117" i="19"/>
  <c r="OW40" i="19"/>
  <c r="HH65" i="19"/>
  <c r="HK65" i="19"/>
  <c r="HT65" i="19"/>
  <c r="IK74" i="39"/>
  <c r="IM74" i="39"/>
  <c r="HW46" i="35"/>
  <c r="HS46" i="35"/>
  <c r="HQ46" i="35"/>
  <c r="HU46" i="35"/>
  <c r="GJ103" i="19"/>
  <c r="GK103" i="19"/>
  <c r="OV44" i="19"/>
  <c r="OU44" i="19"/>
  <c r="IM78" i="19"/>
  <c r="IK78" i="19"/>
  <c r="HS70" i="39"/>
  <c r="HU70" i="39"/>
  <c r="IK19" i="39"/>
  <c r="IM19" i="39"/>
  <c r="IK13" i="34"/>
  <c r="IM13" i="34"/>
  <c r="HS78" i="39"/>
  <c r="HU78" i="39"/>
  <c r="HW78" i="39"/>
  <c r="HQ78" i="39"/>
  <c r="GT70" i="34"/>
  <c r="ID59" i="34"/>
  <c r="IB59" i="34"/>
  <c r="IK59" i="34"/>
  <c r="IM59" i="34"/>
  <c r="IE59" i="34"/>
  <c r="IG59" i="34"/>
  <c r="HX28" i="21"/>
  <c r="IG47" i="21"/>
  <c r="IE47" i="21"/>
  <c r="HP28" i="21"/>
  <c r="HR28" i="21"/>
  <c r="IB34" i="21"/>
  <c r="ID34" i="21"/>
  <c r="IF34" i="21"/>
  <c r="HV28" i="21"/>
  <c r="HI16" i="21"/>
  <c r="HK16" i="21"/>
  <c r="IM47" i="21"/>
  <c r="IK47" i="21"/>
  <c r="HK42" i="21"/>
  <c r="GZ26" i="21"/>
  <c r="GT60" i="21"/>
  <c r="GZ50" i="21"/>
  <c r="HI50" i="21"/>
  <c r="IB50" i="21"/>
  <c r="IF50" i="21"/>
  <c r="ID50" i="21"/>
  <c r="IJ50" i="21"/>
  <c r="IH50" i="21"/>
  <c r="IL50" i="21"/>
  <c r="GK24" i="31"/>
  <c r="ID36" i="31"/>
  <c r="JM111" i="19"/>
  <c r="OW37" i="21"/>
  <c r="OM36" i="21"/>
  <c r="OW16" i="21"/>
  <c r="GK29" i="19"/>
  <c r="GJ29" i="19"/>
  <c r="GJ13" i="39"/>
  <c r="GK13" i="39"/>
  <c r="IE78" i="39"/>
  <c r="IG78" i="39"/>
  <c r="HS43" i="21"/>
  <c r="HQ43" i="21"/>
  <c r="HW43" i="21"/>
  <c r="HU43" i="21"/>
  <c r="IA22" i="35"/>
  <c r="HY22" i="35"/>
  <c r="HR25" i="21"/>
  <c r="HP25" i="21"/>
  <c r="OL19" i="39"/>
  <c r="OR19" i="39"/>
  <c r="OK19" i="39"/>
  <c r="HP75" i="19"/>
  <c r="HR75" i="19"/>
  <c r="IM73" i="19"/>
  <c r="IK73" i="19"/>
  <c r="IG23" i="19"/>
  <c r="IE23" i="19"/>
  <c r="HI9" i="21"/>
  <c r="GZ9" i="21"/>
  <c r="HP89" i="19"/>
  <c r="HR89" i="19"/>
  <c r="OW56" i="19"/>
  <c r="GK52" i="19"/>
  <c r="GJ52" i="19"/>
  <c r="PJ36" i="32"/>
  <c r="IK29" i="19"/>
  <c r="IM29" i="19"/>
  <c r="OU22" i="35"/>
  <c r="OV22" i="35"/>
  <c r="ID14" i="22"/>
  <c r="JF52" i="31"/>
  <c r="JJ52" i="31"/>
  <c r="IL39" i="31"/>
  <c r="JF39" i="31"/>
  <c r="JJ39" i="31"/>
  <c r="OW40" i="21"/>
  <c r="HK22" i="19"/>
  <c r="HQ43" i="19"/>
  <c r="HU43" i="19"/>
  <c r="HW43" i="19"/>
  <c r="HS43" i="19"/>
  <c r="OV43" i="19"/>
  <c r="OU43" i="19"/>
  <c r="IL20" i="21"/>
  <c r="IH20" i="21"/>
  <c r="IJ20" i="21"/>
  <c r="HK43" i="19"/>
  <c r="ID25" i="21"/>
  <c r="IB25" i="21"/>
  <c r="IF25" i="21"/>
  <c r="HQ85" i="19"/>
  <c r="HW85" i="19"/>
  <c r="HS85" i="19"/>
  <c r="HU85" i="19"/>
  <c r="HI27" i="21"/>
  <c r="GZ27" i="21"/>
  <c r="HQ54" i="39"/>
  <c r="HW54" i="39"/>
  <c r="HS54" i="39"/>
  <c r="HU54" i="39"/>
  <c r="OM75" i="39"/>
  <c r="OW27" i="39"/>
  <c r="GK11" i="19"/>
  <c r="GJ11" i="19"/>
  <c r="GJ126" i="19"/>
  <c r="HS101" i="19"/>
  <c r="HQ101" i="19"/>
  <c r="HU101" i="19"/>
  <c r="HW101" i="19"/>
  <c r="IG29" i="35"/>
  <c r="IE29" i="35"/>
  <c r="IL15" i="21"/>
  <c r="IJ15" i="21"/>
  <c r="IH15" i="21"/>
  <c r="IM106" i="19"/>
  <c r="IK106" i="19"/>
  <c r="HZ89" i="19"/>
  <c r="HX89" i="19"/>
  <c r="HV89" i="19"/>
  <c r="GJ66" i="35"/>
  <c r="GK66" i="35"/>
  <c r="OW97" i="19"/>
  <c r="PH36" i="32"/>
  <c r="JF46" i="31"/>
  <c r="JJ46" i="31"/>
  <c r="HR52" i="31"/>
  <c r="JG52" i="31"/>
  <c r="JK52" i="31"/>
  <c r="OK24" i="31"/>
  <c r="OM24" i="31"/>
  <c r="GZ15" i="31"/>
  <c r="HK15" i="31"/>
  <c r="GJ32" i="31"/>
  <c r="IJ13" i="32"/>
  <c r="GJ46" i="34"/>
  <c r="OW20" i="35"/>
  <c r="GK12" i="39"/>
  <c r="GJ12" i="39"/>
  <c r="IK43" i="19"/>
  <c r="IM43" i="19"/>
  <c r="IK34" i="34"/>
  <c r="IM34" i="34"/>
  <c r="IJ36" i="21"/>
  <c r="IL36" i="21"/>
  <c r="IH36" i="21"/>
  <c r="GK98" i="19"/>
  <c r="GJ98" i="19"/>
  <c r="IM78" i="39"/>
  <c r="IK78" i="39"/>
  <c r="IK16" i="35"/>
  <c r="IM16" i="35"/>
  <c r="HP96" i="19"/>
  <c r="HR96" i="19"/>
  <c r="HP28" i="19"/>
  <c r="HR28" i="19"/>
  <c r="ID27" i="21"/>
  <c r="IB27" i="21"/>
  <c r="IF27" i="21"/>
  <c r="GK29" i="39"/>
  <c r="GJ29" i="39"/>
  <c r="PK36" i="32"/>
  <c r="IH16" i="21"/>
  <c r="IJ16" i="21"/>
  <c r="IL16" i="21"/>
  <c r="OU75" i="39"/>
  <c r="OV75" i="39"/>
  <c r="HI15" i="21"/>
  <c r="GZ15" i="21"/>
  <c r="IJ31" i="21"/>
  <c r="IH31" i="21"/>
  <c r="IL31" i="21"/>
  <c r="OU43" i="21"/>
  <c r="OV43" i="21"/>
  <c r="GJ16" i="34"/>
  <c r="GK16" i="34"/>
  <c r="GZ20" i="21"/>
  <c r="HI20" i="21"/>
  <c r="IF22" i="31"/>
  <c r="IG22" i="31"/>
  <c r="OR24" i="31"/>
  <c r="OU24" i="31"/>
  <c r="HI9" i="31"/>
  <c r="ID57" i="31"/>
  <c r="KF127" i="19"/>
  <c r="IH43" i="34"/>
  <c r="OM94" i="39"/>
  <c r="OM24" i="21"/>
  <c r="IG61" i="39"/>
  <c r="IE61" i="39"/>
  <c r="HY72" i="19"/>
  <c r="IA72" i="19"/>
  <c r="ID36" i="21"/>
  <c r="IB36" i="21"/>
  <c r="IF36" i="21"/>
  <c r="OU85" i="19"/>
  <c r="OV85" i="19"/>
  <c r="GJ99" i="19"/>
  <c r="GK99" i="19"/>
  <c r="OR61" i="39"/>
  <c r="OK61" i="39"/>
  <c r="OL61" i="39"/>
  <c r="HX96" i="19"/>
  <c r="HV96" i="19"/>
  <c r="HZ96" i="19"/>
  <c r="IB39" i="21"/>
  <c r="ID39" i="21"/>
  <c r="IF39" i="21"/>
  <c r="IF16" i="21"/>
  <c r="ID16" i="21"/>
  <c r="IB16" i="21"/>
  <c r="OL59" i="19"/>
  <c r="OR59" i="19"/>
  <c r="OK59" i="19"/>
  <c r="GK90" i="19"/>
  <c r="GJ90" i="19"/>
  <c r="GK36" i="35"/>
  <c r="GJ36" i="35"/>
  <c r="HR29" i="21"/>
  <c r="HP29" i="21"/>
  <c r="GJ41" i="19"/>
  <c r="GK41" i="19"/>
  <c r="IF15" i="21"/>
  <c r="IB15" i="21"/>
  <c r="ID15" i="21"/>
  <c r="OK14" i="31"/>
  <c r="OM14" i="31"/>
  <c r="JG46" i="31"/>
  <c r="JK46" i="31"/>
  <c r="IF57" i="31"/>
  <c r="IG57" i="31"/>
  <c r="ID9" i="31"/>
  <c r="IL43" i="34"/>
  <c r="IM43" i="34"/>
  <c r="OU73" i="19"/>
  <c r="OW73" i="19"/>
  <c r="OM64" i="39"/>
  <c r="OM35" i="21"/>
  <c r="HK98" i="19"/>
  <c r="OW33" i="19"/>
  <c r="OW23" i="21"/>
  <c r="IG9" i="33"/>
  <c r="IE9" i="33"/>
  <c r="IF50" i="39"/>
  <c r="ID50" i="39"/>
  <c r="IB50" i="39"/>
  <c r="HK85" i="39"/>
  <c r="HH61" i="39"/>
  <c r="HK61" i="39"/>
  <c r="HT61" i="39"/>
  <c r="IH39" i="21"/>
  <c r="IJ39" i="21"/>
  <c r="IL39" i="21"/>
  <c r="HH59" i="19"/>
  <c r="HK59" i="19"/>
  <c r="HT59" i="19"/>
  <c r="IG72" i="19"/>
  <c r="IE72" i="19"/>
  <c r="IM23" i="19"/>
  <c r="IK23" i="19"/>
  <c r="OU30" i="35"/>
  <c r="OV30" i="35"/>
  <c r="OV19" i="35"/>
  <c r="OU19" i="35"/>
  <c r="HV29" i="21"/>
  <c r="HZ29" i="21"/>
  <c r="HX29" i="21"/>
  <c r="IK48" i="19"/>
  <c r="IM48" i="19"/>
  <c r="IH25" i="21"/>
  <c r="IJ25" i="21"/>
  <c r="IL25" i="21"/>
  <c r="HX17" i="21"/>
  <c r="HZ17" i="21"/>
  <c r="HV17" i="21"/>
  <c r="HK58" i="34"/>
  <c r="ID18" i="21"/>
  <c r="IB18" i="21"/>
  <c r="IF18" i="21"/>
  <c r="GZ50" i="39"/>
  <c r="HI50" i="39"/>
  <c r="HT11" i="33"/>
  <c r="HH11" i="33"/>
  <c r="HK11" i="33"/>
  <c r="HG13" i="33"/>
  <c r="OM85" i="19"/>
  <c r="OM31" i="21"/>
  <c r="HZ28" i="19"/>
  <c r="HX28" i="19"/>
  <c r="HV28" i="19"/>
  <c r="HU75" i="39"/>
  <c r="HS75" i="39"/>
  <c r="GZ29" i="21"/>
  <c r="HI29" i="21"/>
  <c r="GZ17" i="21"/>
  <c r="HI17" i="21"/>
  <c r="IG29" i="19"/>
  <c r="IE29" i="19"/>
  <c r="HI18" i="21"/>
  <c r="GZ18" i="21"/>
  <c r="IJ50" i="39"/>
  <c r="IH50" i="39"/>
  <c r="IL50" i="39"/>
  <c r="IE73" i="19"/>
  <c r="IG73" i="19"/>
  <c r="OV31" i="21"/>
  <c r="OU31" i="21"/>
  <c r="HT19" i="39"/>
  <c r="HH19" i="39"/>
  <c r="HK19" i="39"/>
  <c r="GZ39" i="21"/>
  <c r="HI39" i="21"/>
  <c r="IG10" i="39"/>
  <c r="IE10" i="39"/>
  <c r="IJ9" i="21"/>
  <c r="IH9" i="21"/>
  <c r="IL9" i="21"/>
  <c r="OM19" i="35"/>
  <c r="GJ9" i="35"/>
  <c r="GK9" i="35"/>
  <c r="HK54" i="35"/>
  <c r="HK45" i="35"/>
  <c r="GJ19" i="35"/>
  <c r="IE45" i="35"/>
  <c r="IG45" i="35"/>
  <c r="OW39" i="35"/>
  <c r="HU29" i="35"/>
  <c r="HW29" i="35"/>
  <c r="HQ29" i="35"/>
  <c r="HS29" i="35"/>
  <c r="HZ11" i="35"/>
  <c r="HX11" i="35"/>
  <c r="HV11" i="35"/>
  <c r="HP11" i="35"/>
  <c r="HR11" i="35"/>
  <c r="IM54" i="35"/>
  <c r="IK54" i="35"/>
  <c r="JF33" i="35"/>
  <c r="JJ33" i="35"/>
  <c r="OM35" i="35"/>
  <c r="IG54" i="35"/>
  <c r="IE54" i="35"/>
  <c r="OR14" i="34"/>
  <c r="OL14" i="34"/>
  <c r="OK14" i="34"/>
  <c r="HT14" i="34"/>
  <c r="HH14" i="34"/>
  <c r="HK14" i="34"/>
  <c r="IQ67" i="34"/>
  <c r="IQ69" i="34"/>
  <c r="IG52" i="34"/>
  <c r="IE52" i="34"/>
  <c r="IF19" i="32"/>
  <c r="IE19" i="32"/>
  <c r="OV20" i="32"/>
  <c r="OW20" i="32"/>
  <c r="IK46" i="31"/>
  <c r="KF30" i="22"/>
  <c r="HK22" i="21"/>
  <c r="GZ13" i="21"/>
  <c r="HI13" i="21"/>
  <c r="HK13" i="21"/>
  <c r="CQ57" i="21"/>
  <c r="IB24" i="21"/>
  <c r="ID13" i="21"/>
  <c r="IB13" i="21"/>
  <c r="IF13" i="21"/>
  <c r="GZ38" i="21"/>
  <c r="HI38" i="21"/>
  <c r="HK32" i="21"/>
  <c r="HK36" i="21"/>
  <c r="OM9" i="21"/>
  <c r="IH12" i="21"/>
  <c r="IL12" i="21"/>
  <c r="IJ12" i="21"/>
  <c r="IB38" i="21"/>
  <c r="ID38" i="21"/>
  <c r="IF38" i="21"/>
  <c r="HP18" i="21"/>
  <c r="HR18" i="21"/>
  <c r="HU32" i="21"/>
  <c r="HQ32" i="21"/>
  <c r="HW32" i="21"/>
  <c r="HS32" i="21"/>
  <c r="IA25" i="21"/>
  <c r="HY25" i="21"/>
  <c r="IJ41" i="21"/>
  <c r="IH41" i="21"/>
  <c r="IL41" i="21"/>
  <c r="HR19" i="21"/>
  <c r="HP19" i="21"/>
  <c r="IK22" i="21"/>
  <c r="IM22" i="21"/>
  <c r="OV32" i="21"/>
  <c r="OU32" i="21"/>
  <c r="IG9" i="21"/>
  <c r="IE9" i="21"/>
  <c r="IL38" i="21"/>
  <c r="IH38" i="21"/>
  <c r="IJ38" i="21"/>
  <c r="HZ18" i="21"/>
  <c r="HV18" i="21"/>
  <c r="HX18" i="21"/>
  <c r="IL33" i="21"/>
  <c r="IJ33" i="21"/>
  <c r="IH33" i="21"/>
  <c r="IB41" i="21"/>
  <c r="IF41" i="21"/>
  <c r="ID41" i="21"/>
  <c r="OU9" i="21"/>
  <c r="OV9" i="21"/>
  <c r="HZ19" i="21"/>
  <c r="HV19" i="21"/>
  <c r="HX19" i="21"/>
  <c r="GZ48" i="21"/>
  <c r="HI48" i="21"/>
  <c r="HK48" i="21"/>
  <c r="OM32" i="21"/>
  <c r="HK21" i="21"/>
  <c r="GZ33" i="21"/>
  <c r="HI33" i="21"/>
  <c r="IM23" i="21"/>
  <c r="IK23" i="21"/>
  <c r="IH11" i="21"/>
  <c r="IL11" i="21"/>
  <c r="IJ11" i="21"/>
  <c r="ID26" i="21"/>
  <c r="IF26" i="21"/>
  <c r="IB26" i="21"/>
  <c r="IE17" i="21"/>
  <c r="IG17" i="21"/>
  <c r="HQ9" i="21"/>
  <c r="HS9" i="21"/>
  <c r="HU9" i="21"/>
  <c r="HW9" i="21"/>
  <c r="OU36" i="21"/>
  <c r="OV36" i="21"/>
  <c r="IL14" i="21"/>
  <c r="IH14" i="21"/>
  <c r="IJ14" i="21"/>
  <c r="IB33" i="21"/>
  <c r="ID33" i="21"/>
  <c r="IF33" i="21"/>
  <c r="IB11" i="21"/>
  <c r="ID11" i="21"/>
  <c r="IF11" i="21"/>
  <c r="HP26" i="21"/>
  <c r="HR26" i="21"/>
  <c r="IG21" i="21"/>
  <c r="IE21" i="21"/>
  <c r="IB19" i="21"/>
  <c r="ID19" i="21"/>
  <c r="IF19" i="21"/>
  <c r="HS36" i="21"/>
  <c r="HU36" i="21"/>
  <c r="HQ36" i="21"/>
  <c r="HW36" i="21"/>
  <c r="HR17" i="21"/>
  <c r="HP17" i="21"/>
  <c r="HI26" i="21"/>
  <c r="HK26" i="21"/>
  <c r="ID12" i="21"/>
  <c r="IF12" i="21"/>
  <c r="IB12" i="21"/>
  <c r="GZ19" i="21"/>
  <c r="HI19" i="21"/>
  <c r="OM33" i="21"/>
  <c r="IH13" i="21"/>
  <c r="IL13" i="21"/>
  <c r="IJ13" i="21"/>
  <c r="HP11" i="21"/>
  <c r="HR11" i="21"/>
  <c r="HI11" i="21"/>
  <c r="GZ11" i="21"/>
  <c r="IJ26" i="21"/>
  <c r="IH26" i="21"/>
  <c r="IL26" i="21"/>
  <c r="GZ12" i="21"/>
  <c r="HI12" i="21"/>
  <c r="IM34" i="21"/>
  <c r="IK34" i="21"/>
  <c r="HX16" i="21"/>
  <c r="HV16" i="21"/>
  <c r="HZ16" i="21"/>
  <c r="IH19" i="21"/>
  <c r="IL19" i="21"/>
  <c r="IJ19" i="21"/>
  <c r="OW13" i="21"/>
  <c r="OV24" i="21"/>
  <c r="OU24" i="21"/>
  <c r="HP16" i="21"/>
  <c r="HR16" i="21"/>
  <c r="HI24" i="21"/>
  <c r="GZ24" i="21"/>
  <c r="HK47" i="39"/>
  <c r="HS68" i="39"/>
  <c r="HW68" i="39"/>
  <c r="HU68" i="39"/>
  <c r="HQ68" i="39"/>
  <c r="HQ46" i="39"/>
  <c r="HU46" i="39"/>
  <c r="HS46" i="39"/>
  <c r="HW46" i="39"/>
  <c r="OR11" i="39"/>
  <c r="OL11" i="39"/>
  <c r="OK11" i="39"/>
  <c r="OM20" i="39"/>
  <c r="IL72" i="39"/>
  <c r="IJ72" i="39"/>
  <c r="IH72" i="39"/>
  <c r="OU94" i="39"/>
  <c r="OV94" i="39"/>
  <c r="IG86" i="39"/>
  <c r="IE86" i="39"/>
  <c r="OU45" i="39"/>
  <c r="OV45" i="39"/>
  <c r="IH68" i="39"/>
  <c r="IL68" i="39"/>
  <c r="IJ68" i="39"/>
  <c r="OV55" i="39"/>
  <c r="OU55" i="39"/>
  <c r="IE37" i="39"/>
  <c r="IG37" i="39"/>
  <c r="HX75" i="39"/>
  <c r="HV75" i="39"/>
  <c r="HZ75" i="39"/>
  <c r="IK95" i="39"/>
  <c r="IM95" i="39"/>
  <c r="HI72" i="39"/>
  <c r="GZ72" i="39"/>
  <c r="IG47" i="39"/>
  <c r="IE47" i="39"/>
  <c r="IM22" i="39"/>
  <c r="IK22" i="39"/>
  <c r="ID68" i="39"/>
  <c r="IB68" i="39"/>
  <c r="IF68" i="39"/>
  <c r="HU55" i="39"/>
  <c r="HS55" i="39"/>
  <c r="HW55" i="39"/>
  <c r="HQ55" i="39"/>
  <c r="HU51" i="39"/>
  <c r="HS51" i="39"/>
  <c r="HQ51" i="39"/>
  <c r="HW51" i="39"/>
  <c r="OU20" i="39"/>
  <c r="OV20" i="39"/>
  <c r="ID72" i="39"/>
  <c r="IB72" i="39"/>
  <c r="IF72" i="39"/>
  <c r="IM46" i="39"/>
  <c r="IK46" i="39"/>
  <c r="HQ21" i="39"/>
  <c r="HS21" i="39"/>
  <c r="HU21" i="39"/>
  <c r="HW21" i="39"/>
  <c r="IK69" i="39"/>
  <c r="IM69" i="39"/>
  <c r="HI31" i="39"/>
  <c r="GZ31" i="39"/>
  <c r="HS60" i="39"/>
  <c r="HU60" i="39"/>
  <c r="IB75" i="39"/>
  <c r="ID75" i="39"/>
  <c r="IF75" i="39"/>
  <c r="HS20" i="39"/>
  <c r="HW20" i="39"/>
  <c r="HU20" i="39"/>
  <c r="HQ20" i="39"/>
  <c r="IE69" i="39"/>
  <c r="IG69" i="39"/>
  <c r="IE22" i="39"/>
  <c r="IG22" i="39"/>
  <c r="IK91" i="39"/>
  <c r="IM91" i="39"/>
  <c r="OM51" i="39"/>
  <c r="IE28" i="39"/>
  <c r="IG28" i="39"/>
  <c r="IJ53" i="39"/>
  <c r="IL53" i="39"/>
  <c r="IH53" i="39"/>
  <c r="HS94" i="39"/>
  <c r="HU94" i="39"/>
  <c r="HW94" i="39"/>
  <c r="HQ94" i="39"/>
  <c r="IJ31" i="39"/>
  <c r="IH31" i="39"/>
  <c r="IL31" i="39"/>
  <c r="IJ75" i="39"/>
  <c r="IL75" i="39"/>
  <c r="IH75" i="39"/>
  <c r="GZ53" i="39"/>
  <c r="HI53" i="39"/>
  <c r="OM49" i="39"/>
  <c r="OM81" i="39"/>
  <c r="ID31" i="39"/>
  <c r="IF31" i="39"/>
  <c r="IB31" i="39"/>
  <c r="OV51" i="39"/>
  <c r="OU51" i="39"/>
  <c r="GZ75" i="39"/>
  <c r="HI75" i="39"/>
  <c r="IK86" i="39"/>
  <c r="IM86" i="39"/>
  <c r="IF53" i="39"/>
  <c r="IB53" i="39"/>
  <c r="ID53" i="39"/>
  <c r="OU21" i="39"/>
  <c r="OV21" i="39"/>
  <c r="OM45" i="39"/>
  <c r="GZ68" i="39"/>
  <c r="HI68" i="39"/>
  <c r="OR13" i="39"/>
  <c r="OK13" i="39"/>
  <c r="OL13" i="39"/>
  <c r="HH11" i="39"/>
  <c r="HK11" i="39"/>
  <c r="HT11" i="39"/>
  <c r="OV46" i="39"/>
  <c r="OU46" i="39"/>
  <c r="HU80" i="39"/>
  <c r="HS80" i="39"/>
  <c r="HW80" i="39"/>
  <c r="HQ80" i="39"/>
  <c r="OM21" i="39"/>
  <c r="HS45" i="39"/>
  <c r="HQ45" i="39"/>
  <c r="HW45" i="39"/>
  <c r="HU45" i="39"/>
  <c r="HH13" i="39"/>
  <c r="HK13" i="39"/>
  <c r="HT13" i="39"/>
  <c r="HK52" i="39"/>
  <c r="IA100" i="19"/>
  <c r="HY100" i="19"/>
  <c r="IK100" i="19"/>
  <c r="IM100" i="19"/>
  <c r="HK39" i="39"/>
  <c r="HW93" i="19"/>
  <c r="HS93" i="19"/>
  <c r="HU93" i="19"/>
  <c r="HQ93" i="19"/>
  <c r="HK37" i="31"/>
  <c r="IK26" i="19"/>
  <c r="IM26" i="19"/>
  <c r="IG88" i="19"/>
  <c r="IE88" i="19"/>
  <c r="GZ57" i="31"/>
  <c r="HI57" i="31"/>
  <c r="HK48" i="35"/>
  <c r="GZ114" i="19"/>
  <c r="HI114" i="19"/>
  <c r="IM88" i="19"/>
  <c r="IK88" i="19"/>
  <c r="HK100" i="19"/>
  <c r="IE26" i="19"/>
  <c r="IG26" i="19"/>
  <c r="OM95" i="19"/>
  <c r="HK115" i="19"/>
  <c r="OM104" i="19"/>
  <c r="HK58" i="35"/>
  <c r="OV95" i="19"/>
  <c r="OU95" i="19"/>
  <c r="GZ49" i="21"/>
  <c r="HI49" i="21"/>
  <c r="OM23" i="19"/>
  <c r="JF100" i="19"/>
  <c r="JJ100" i="19"/>
  <c r="IG100" i="19"/>
  <c r="IE100" i="19"/>
  <c r="HK30" i="19"/>
  <c r="OM19" i="19"/>
  <c r="HK14" i="21"/>
  <c r="HS95" i="19"/>
  <c r="HU95" i="19"/>
  <c r="HW95" i="19"/>
  <c r="HQ95" i="19"/>
  <c r="IK45" i="35"/>
  <c r="IM45" i="35"/>
  <c r="IH43" i="31"/>
  <c r="HR34" i="31"/>
  <c r="IJ18" i="31"/>
  <c r="HQ20" i="31"/>
  <c r="HR20" i="31"/>
  <c r="IF13" i="32"/>
  <c r="JF13" i="32"/>
  <c r="JJ13" i="32"/>
  <c r="HK70" i="19"/>
  <c r="OW22" i="34"/>
  <c r="OM40" i="35"/>
  <c r="IH117" i="19"/>
  <c r="IE49" i="39"/>
  <c r="IG49" i="39"/>
  <c r="GZ62" i="35"/>
  <c r="HI62" i="35"/>
  <c r="HK62" i="35"/>
  <c r="IK49" i="39"/>
  <c r="IM49" i="39"/>
  <c r="IF67" i="39"/>
  <c r="IB67" i="39"/>
  <c r="ID67" i="39"/>
  <c r="HS23" i="19"/>
  <c r="HU23" i="19"/>
  <c r="HW23" i="19"/>
  <c r="HQ23" i="19"/>
  <c r="OU70" i="19"/>
  <c r="OV70" i="19"/>
  <c r="HZ24" i="21"/>
  <c r="JF24" i="21"/>
  <c r="JJ24" i="21"/>
  <c r="HV24" i="21"/>
  <c r="HX24" i="21"/>
  <c r="HY13" i="39"/>
  <c r="IA13" i="39"/>
  <c r="HU24" i="19"/>
  <c r="HW24" i="19"/>
  <c r="HS24" i="19"/>
  <c r="HQ24" i="19"/>
  <c r="IJ79" i="39"/>
  <c r="IL79" i="39"/>
  <c r="IH79" i="39"/>
  <c r="IG85" i="19"/>
  <c r="IE85" i="19"/>
  <c r="IE98" i="19"/>
  <c r="IG98" i="19"/>
  <c r="IJ35" i="39"/>
  <c r="IL35" i="39"/>
  <c r="IH35" i="39"/>
  <c r="IG18" i="39"/>
  <c r="IE18" i="39"/>
  <c r="IB9" i="22"/>
  <c r="GK41" i="31"/>
  <c r="HU34" i="31"/>
  <c r="ID13" i="32"/>
  <c r="OM52" i="39"/>
  <c r="HK81" i="39"/>
  <c r="IE53" i="19"/>
  <c r="IG53" i="19"/>
  <c r="JF53" i="19"/>
  <c r="JJ53" i="19"/>
  <c r="GJ67" i="19"/>
  <c r="GK67" i="19"/>
  <c r="GK113" i="19"/>
  <c r="GJ113" i="19"/>
  <c r="HK14" i="39"/>
  <c r="HI65" i="39"/>
  <c r="GZ65" i="39"/>
  <c r="OR10" i="35"/>
  <c r="OK10" i="35"/>
  <c r="OL10" i="35"/>
  <c r="HP83" i="19"/>
  <c r="HR83" i="19"/>
  <c r="IG90" i="39"/>
  <c r="IE90" i="39"/>
  <c r="HP24" i="21"/>
  <c r="HR24" i="21"/>
  <c r="HS51" i="34"/>
  <c r="HU51" i="34"/>
  <c r="IM39" i="35"/>
  <c r="IK39" i="35"/>
  <c r="HT17" i="39"/>
  <c r="HH17" i="39"/>
  <c r="HK17" i="39"/>
  <c r="HS70" i="19"/>
  <c r="HW70" i="19"/>
  <c r="HU70" i="19"/>
  <c r="HQ70" i="19"/>
  <c r="HV9" i="22"/>
  <c r="IF9" i="22"/>
  <c r="IG9" i="22"/>
  <c r="HS34" i="31"/>
  <c r="HK27" i="39"/>
  <c r="HK95" i="19"/>
  <c r="HT10" i="35"/>
  <c r="HH10" i="35"/>
  <c r="HQ81" i="39"/>
  <c r="HW81" i="39"/>
  <c r="HU81" i="39"/>
  <c r="HS81" i="39"/>
  <c r="IE37" i="21"/>
  <c r="IG37" i="21"/>
  <c r="IG38" i="19"/>
  <c r="IE38" i="19"/>
  <c r="HU26" i="35"/>
  <c r="HQ26" i="35"/>
  <c r="HS26" i="35"/>
  <c r="HS79" i="39"/>
  <c r="HQ79" i="39"/>
  <c r="HW79" i="39"/>
  <c r="HU79" i="39"/>
  <c r="GJ58" i="35"/>
  <c r="GK58" i="35"/>
  <c r="OK17" i="39"/>
  <c r="OR17" i="39"/>
  <c r="OL17" i="39"/>
  <c r="IK18" i="39"/>
  <c r="IM18" i="39"/>
  <c r="IB9" i="35"/>
  <c r="HZ9" i="22"/>
  <c r="IA9" i="22"/>
  <c r="GK42" i="31"/>
  <c r="KG70" i="35"/>
  <c r="KF71" i="35"/>
  <c r="IL114" i="19"/>
  <c r="IM114" i="19"/>
  <c r="IH114" i="19"/>
  <c r="IJ114" i="19"/>
  <c r="HR76" i="19"/>
  <c r="HP76" i="19"/>
  <c r="IJ65" i="39"/>
  <c r="IL65" i="39"/>
  <c r="IH65" i="39"/>
  <c r="HU73" i="39"/>
  <c r="HS73" i="39"/>
  <c r="HQ73" i="39"/>
  <c r="HW73" i="39"/>
  <c r="HZ83" i="19"/>
  <c r="JF83" i="19"/>
  <c r="JJ83" i="19"/>
  <c r="HX83" i="19"/>
  <c r="HV83" i="19"/>
  <c r="OV39" i="21"/>
  <c r="OU39" i="21"/>
  <c r="OW32" i="19"/>
  <c r="HP35" i="39"/>
  <c r="HR35" i="39"/>
  <c r="HQ67" i="35"/>
  <c r="HU67" i="35"/>
  <c r="HS67" i="35"/>
  <c r="IG91" i="19"/>
  <c r="JG91" i="19"/>
  <c r="JK91" i="19"/>
  <c r="IE91" i="19"/>
  <c r="IE42" i="21"/>
  <c r="IG42" i="21"/>
  <c r="ID9" i="35"/>
  <c r="HX9" i="31"/>
  <c r="OL23" i="31"/>
  <c r="IH30" i="32"/>
  <c r="JF42" i="21"/>
  <c r="JJ42" i="21"/>
  <c r="OM33" i="34"/>
  <c r="HK101" i="19"/>
  <c r="GK37" i="19"/>
  <c r="GJ37" i="19"/>
  <c r="IF114" i="19"/>
  <c r="IG114" i="19"/>
  <c r="IB114" i="19"/>
  <c r="ID114" i="19"/>
  <c r="HV76" i="19"/>
  <c r="HZ76" i="19"/>
  <c r="HX76" i="19"/>
  <c r="OU81" i="39"/>
  <c r="OV81" i="39"/>
  <c r="IF65" i="39"/>
  <c r="IB65" i="39"/>
  <c r="ID65" i="39"/>
  <c r="IL103" i="39"/>
  <c r="IJ103" i="39"/>
  <c r="IH103" i="39"/>
  <c r="IB16" i="39"/>
  <c r="IF16" i="39"/>
  <c r="ID16" i="39"/>
  <c r="GZ64" i="39"/>
  <c r="HI64" i="39"/>
  <c r="GK10" i="21"/>
  <c r="GJ10" i="21"/>
  <c r="IE102" i="19"/>
  <c r="IG102" i="19"/>
  <c r="ID35" i="39"/>
  <c r="IF35" i="39"/>
  <c r="IB35" i="39"/>
  <c r="IL64" i="39"/>
  <c r="IH64" i="39"/>
  <c r="IJ64" i="39"/>
  <c r="OV79" i="39"/>
  <c r="OU79" i="39"/>
  <c r="IB22" i="31"/>
  <c r="HZ9" i="31"/>
  <c r="IA9" i="31"/>
  <c r="OK23" i="31"/>
  <c r="HW20" i="31"/>
  <c r="HV20" i="31"/>
  <c r="IJ30" i="32"/>
  <c r="GK11" i="32"/>
  <c r="GJ20" i="32"/>
  <c r="GZ103" i="39"/>
  <c r="HI103" i="39"/>
  <c r="GZ67" i="39"/>
  <c r="HI67" i="39"/>
  <c r="HS39" i="21"/>
  <c r="HU39" i="21"/>
  <c r="HQ39" i="21"/>
  <c r="HW39" i="21"/>
  <c r="ID64" i="39"/>
  <c r="IF64" i="39"/>
  <c r="IB64" i="39"/>
  <c r="HI79" i="39"/>
  <c r="GZ79" i="39"/>
  <c r="HV35" i="39"/>
  <c r="HZ35" i="39"/>
  <c r="HX35" i="39"/>
  <c r="HS34" i="19"/>
  <c r="HW34" i="19"/>
  <c r="HQ34" i="19"/>
  <c r="HU34" i="19"/>
  <c r="HY10" i="34"/>
  <c r="IA10" i="34"/>
  <c r="HK23" i="31"/>
  <c r="OM14" i="19"/>
  <c r="OM29" i="34"/>
  <c r="OM50" i="19"/>
  <c r="HK35" i="19"/>
  <c r="OM32" i="39"/>
  <c r="IK90" i="39"/>
  <c r="IM90" i="39"/>
  <c r="IB103" i="39"/>
  <c r="IF103" i="39"/>
  <c r="ID103" i="39"/>
  <c r="HU73" i="19"/>
  <c r="HW73" i="19"/>
  <c r="HS73" i="19"/>
  <c r="HQ73" i="19"/>
  <c r="IL67" i="39"/>
  <c r="IH67" i="39"/>
  <c r="IJ67" i="39"/>
  <c r="IG99" i="39"/>
  <c r="IE99" i="39"/>
  <c r="OW29" i="35"/>
  <c r="OM70" i="19"/>
  <c r="IM99" i="39"/>
  <c r="IK99" i="39"/>
  <c r="IB79" i="39"/>
  <c r="ID79" i="39"/>
  <c r="IF79" i="39"/>
  <c r="IM42" i="21"/>
  <c r="IK42" i="21"/>
  <c r="IG52" i="39"/>
  <c r="IE52" i="39"/>
  <c r="GZ35" i="39"/>
  <c r="HI35" i="39"/>
  <c r="HI43" i="34"/>
  <c r="GZ43" i="34"/>
  <c r="IM117" i="19"/>
  <c r="IE117" i="19"/>
  <c r="IG117" i="19"/>
  <c r="IH116" i="19"/>
  <c r="IL116" i="19"/>
  <c r="IJ116" i="19"/>
  <c r="GZ116" i="19"/>
  <c r="ID116" i="19"/>
  <c r="IB116" i="19"/>
  <c r="IF116" i="19"/>
  <c r="IF122" i="19"/>
  <c r="ID122" i="19"/>
  <c r="IB122" i="19"/>
  <c r="IL122" i="19"/>
  <c r="IJ122" i="19"/>
  <c r="IH122" i="19"/>
  <c r="GZ122" i="19"/>
  <c r="HI122" i="19"/>
  <c r="IK118" i="19"/>
  <c r="JM118" i="19"/>
  <c r="JF118" i="19"/>
  <c r="JJ118" i="19"/>
  <c r="IM118" i="19"/>
  <c r="JG118" i="19"/>
  <c r="JK118" i="19"/>
  <c r="GK18" i="31"/>
  <c r="GJ18" i="31"/>
  <c r="HP31" i="19"/>
  <c r="HR31" i="19"/>
  <c r="IK115" i="19"/>
  <c r="IM115" i="19"/>
  <c r="IK30" i="35"/>
  <c r="IM30" i="35"/>
  <c r="IM48" i="39"/>
  <c r="IG35" i="35"/>
  <c r="IE35" i="35"/>
  <c r="GK15" i="39"/>
  <c r="GJ15" i="39"/>
  <c r="IK28" i="21"/>
  <c r="IM28" i="21"/>
  <c r="HV42" i="35"/>
  <c r="HX42" i="35"/>
  <c r="HZ42" i="35"/>
  <c r="IL70" i="39"/>
  <c r="IH70" i="39"/>
  <c r="IJ70" i="39"/>
  <c r="IM48" i="35"/>
  <c r="IK48" i="35"/>
  <c r="HX68" i="19"/>
  <c r="HV68" i="19"/>
  <c r="HZ68" i="19"/>
  <c r="OU35" i="35"/>
  <c r="OV35" i="35"/>
  <c r="OW9" i="31"/>
  <c r="OK55" i="34"/>
  <c r="HK12" i="39"/>
  <c r="OM11" i="34"/>
  <c r="HK44" i="19"/>
  <c r="KD70" i="35"/>
  <c r="HZ31" i="19"/>
  <c r="JF31" i="19"/>
  <c r="JJ31" i="19"/>
  <c r="HV31" i="19"/>
  <c r="HX31" i="19"/>
  <c r="OV31" i="19"/>
  <c r="OU31" i="19"/>
  <c r="IA28" i="21"/>
  <c r="HY28" i="21"/>
  <c r="GZ60" i="39"/>
  <c r="HI60" i="39"/>
  <c r="IE48" i="39"/>
  <c r="IG48" i="39"/>
  <c r="IK15" i="39"/>
  <c r="IM15" i="39"/>
  <c r="OM97" i="39"/>
  <c r="OV19" i="19"/>
  <c r="OU19" i="19"/>
  <c r="OV98" i="19"/>
  <c r="OU98" i="19"/>
  <c r="OM51" i="19"/>
  <c r="OW42" i="35"/>
  <c r="HU38" i="21"/>
  <c r="HS38" i="21"/>
  <c r="HW38" i="21"/>
  <c r="HQ38" i="21"/>
  <c r="HQ98" i="19"/>
  <c r="HW98" i="19"/>
  <c r="HS98" i="19"/>
  <c r="HU98" i="19"/>
  <c r="IE13" i="35"/>
  <c r="IG13" i="35"/>
  <c r="HV30" i="21"/>
  <c r="HX30" i="21"/>
  <c r="HZ30" i="21"/>
  <c r="HP68" i="19"/>
  <c r="HR68" i="19"/>
  <c r="HU60" i="34"/>
  <c r="HS60" i="34"/>
  <c r="OV20" i="19"/>
  <c r="OU20" i="19"/>
  <c r="OK62" i="39"/>
  <c r="OR62" i="39"/>
  <c r="OL62" i="39"/>
  <c r="IG81" i="39"/>
  <c r="IE81" i="39"/>
  <c r="GJ33" i="31"/>
  <c r="HK14" i="35"/>
  <c r="OM110" i="19"/>
  <c r="KE70" i="35"/>
  <c r="HY88" i="19"/>
  <c r="IF60" i="39"/>
  <c r="ID60" i="39"/>
  <c r="IB60" i="39"/>
  <c r="HZ27" i="21"/>
  <c r="HV27" i="21"/>
  <c r="HX27" i="21"/>
  <c r="IK35" i="35"/>
  <c r="IM35" i="35"/>
  <c r="OL9" i="39"/>
  <c r="OR9" i="39"/>
  <c r="OK9" i="39"/>
  <c r="HU20" i="19"/>
  <c r="HS20" i="19"/>
  <c r="HQ20" i="19"/>
  <c r="HW20" i="19"/>
  <c r="IK58" i="35"/>
  <c r="IM58" i="35"/>
  <c r="IK9" i="39"/>
  <c r="IM9" i="39"/>
  <c r="HP30" i="21"/>
  <c r="HR30" i="21"/>
  <c r="OM20" i="19"/>
  <c r="IG24" i="21"/>
  <c r="IE24" i="21"/>
  <c r="HH62" i="39"/>
  <c r="HT62" i="39"/>
  <c r="OW101" i="19"/>
  <c r="OW49" i="19"/>
  <c r="HP25" i="35"/>
  <c r="HR25" i="35"/>
  <c r="HQ25" i="32"/>
  <c r="HR25" i="32"/>
  <c r="OM58" i="39"/>
  <c r="FZ108" i="39"/>
  <c r="OT67" i="34"/>
  <c r="OM57" i="19"/>
  <c r="HW108" i="19"/>
  <c r="HQ108" i="19"/>
  <c r="HU108" i="19"/>
  <c r="HS108" i="19"/>
  <c r="HK15" i="39"/>
  <c r="IL60" i="39"/>
  <c r="IJ60" i="39"/>
  <c r="IH60" i="39"/>
  <c r="OM24" i="39"/>
  <c r="HR27" i="21"/>
  <c r="HP27" i="21"/>
  <c r="IE44" i="21"/>
  <c r="IG44" i="21"/>
  <c r="HK30" i="35"/>
  <c r="IM97" i="19"/>
  <c r="IK97" i="19"/>
  <c r="OK21" i="34"/>
  <c r="OR21" i="34"/>
  <c r="OL21" i="34"/>
  <c r="HQ24" i="39"/>
  <c r="HS24" i="39"/>
  <c r="HW24" i="39"/>
  <c r="HU24" i="39"/>
  <c r="HU40" i="39"/>
  <c r="HW40" i="39"/>
  <c r="HS40" i="39"/>
  <c r="HQ40" i="39"/>
  <c r="HH9" i="39"/>
  <c r="HK9" i="39"/>
  <c r="HT9" i="39"/>
  <c r="OU51" i="19"/>
  <c r="OV51" i="19"/>
  <c r="HH23" i="34"/>
  <c r="HT23" i="34"/>
  <c r="HQ51" i="19"/>
  <c r="HW51" i="19"/>
  <c r="HU51" i="19"/>
  <c r="HS51" i="19"/>
  <c r="IG101" i="19"/>
  <c r="IE101" i="19"/>
  <c r="HR66" i="19"/>
  <c r="HP66" i="19"/>
  <c r="GJ18" i="32"/>
  <c r="GK13" i="33"/>
  <c r="OW23" i="19"/>
  <c r="GZ40" i="31"/>
  <c r="HI40" i="31"/>
  <c r="IG45" i="19"/>
  <c r="IE45" i="19"/>
  <c r="OU24" i="39"/>
  <c r="OV24" i="39"/>
  <c r="HU19" i="19"/>
  <c r="HS19" i="19"/>
  <c r="HW19" i="19"/>
  <c r="HQ19" i="19"/>
  <c r="OM16" i="39"/>
  <c r="IE45" i="39"/>
  <c r="IG45" i="39"/>
  <c r="HH21" i="34"/>
  <c r="HK21" i="34"/>
  <c r="HT21" i="34"/>
  <c r="OW17" i="19"/>
  <c r="HK97" i="19"/>
  <c r="OU40" i="39"/>
  <c r="OV40" i="39"/>
  <c r="OU33" i="21"/>
  <c r="OV33" i="21"/>
  <c r="IG59" i="39"/>
  <c r="IE59" i="39"/>
  <c r="OR23" i="34"/>
  <c r="OK23" i="34"/>
  <c r="OL23" i="34"/>
  <c r="HU104" i="19"/>
  <c r="HW104" i="19"/>
  <c r="HQ104" i="19"/>
  <c r="HS104" i="19"/>
  <c r="HV70" i="39"/>
  <c r="HZ70" i="39"/>
  <c r="HX70" i="39"/>
  <c r="OM45" i="21"/>
  <c r="OR102" i="39"/>
  <c r="OL102" i="39"/>
  <c r="OK102" i="39"/>
  <c r="OM83" i="39"/>
  <c r="OV40" i="35"/>
  <c r="OU40" i="35"/>
  <c r="OW105" i="19"/>
  <c r="HU119" i="19"/>
  <c r="HS119" i="19"/>
  <c r="HQ119" i="19"/>
  <c r="JF119" i="19"/>
  <c r="JJ119" i="19"/>
  <c r="HS56" i="39"/>
  <c r="HU56" i="39"/>
  <c r="OU108" i="19"/>
  <c r="OV108" i="19"/>
  <c r="GX70" i="35"/>
  <c r="GK34" i="31"/>
  <c r="GZ26" i="31"/>
  <c r="HK26" i="31"/>
  <c r="OW31" i="39"/>
  <c r="HK38" i="19"/>
  <c r="OM72" i="19"/>
  <c r="HK21" i="19"/>
  <c r="HS37" i="19"/>
  <c r="HU37" i="19"/>
  <c r="HW37" i="19"/>
  <c r="HQ37" i="19"/>
  <c r="IM20" i="39"/>
  <c r="IK20" i="39"/>
  <c r="IK45" i="39"/>
  <c r="OR47" i="19"/>
  <c r="OK47" i="19"/>
  <c r="OL47" i="19"/>
  <c r="HS35" i="21"/>
  <c r="HQ35" i="21"/>
  <c r="HW35" i="21"/>
  <c r="HU35" i="21"/>
  <c r="HP31" i="21"/>
  <c r="HR31" i="21"/>
  <c r="IK70" i="19"/>
  <c r="IM70" i="19"/>
  <c r="OM38" i="21"/>
  <c r="IK13" i="35"/>
  <c r="IM13" i="35"/>
  <c r="HQ66" i="35"/>
  <c r="JF66" i="35"/>
  <c r="JJ66" i="35"/>
  <c r="HU66" i="35"/>
  <c r="HS66" i="35"/>
  <c r="IK71" i="39"/>
  <c r="IM71" i="39"/>
  <c r="IK59" i="39"/>
  <c r="IM59" i="39"/>
  <c r="ID70" i="39"/>
  <c r="IF70" i="39"/>
  <c r="IB70" i="39"/>
  <c r="OV45" i="21"/>
  <c r="OU45" i="21"/>
  <c r="HT102" i="39"/>
  <c r="HH102" i="39"/>
  <c r="HK102" i="39"/>
  <c r="OW68" i="19"/>
  <c r="OV83" i="39"/>
  <c r="OU83" i="39"/>
  <c r="IG14" i="39"/>
  <c r="IE14" i="39"/>
  <c r="IM67" i="35"/>
  <c r="IK67" i="35"/>
  <c r="IM95" i="19"/>
  <c r="IK95" i="19"/>
  <c r="GJ54" i="39"/>
  <c r="GK54" i="39"/>
  <c r="HI67" i="35"/>
  <c r="HK67" i="35"/>
  <c r="IK44" i="21"/>
  <c r="IM44" i="21"/>
  <c r="HH47" i="19"/>
  <c r="HT47" i="19"/>
  <c r="IE15" i="39"/>
  <c r="IG15" i="39"/>
  <c r="HS97" i="39"/>
  <c r="HW97" i="39"/>
  <c r="HU97" i="39"/>
  <c r="HQ97" i="39"/>
  <c r="IE115" i="19"/>
  <c r="IG115" i="19"/>
  <c r="OU16" i="39"/>
  <c r="OV16" i="39"/>
  <c r="OU64" i="39"/>
  <c r="OV64" i="39"/>
  <c r="GJ30" i="39"/>
  <c r="GK30" i="39"/>
  <c r="OL15" i="34"/>
  <c r="OK15" i="34"/>
  <c r="OR15" i="34"/>
  <c r="HZ25" i="35"/>
  <c r="HV25" i="35"/>
  <c r="HX25" i="35"/>
  <c r="HX31" i="21"/>
  <c r="HZ31" i="21"/>
  <c r="HV31" i="21"/>
  <c r="HS64" i="39"/>
  <c r="HU64" i="39"/>
  <c r="HW64" i="39"/>
  <c r="HQ64" i="39"/>
  <c r="JF28" i="21"/>
  <c r="JJ28" i="21"/>
  <c r="IK101" i="19"/>
  <c r="IM101" i="19"/>
  <c r="HQ33" i="21"/>
  <c r="HU33" i="21"/>
  <c r="HW33" i="21"/>
  <c r="HS33" i="21"/>
  <c r="OV32" i="39"/>
  <c r="OU32" i="39"/>
  <c r="HQ35" i="35"/>
  <c r="HU35" i="35"/>
  <c r="HS35" i="35"/>
  <c r="HW35" i="35"/>
  <c r="GZ70" i="39"/>
  <c r="HI70" i="39"/>
  <c r="HZ66" i="19"/>
  <c r="HV66" i="19"/>
  <c r="HX66" i="19"/>
  <c r="II70" i="35"/>
  <c r="II72" i="35"/>
  <c r="OM20" i="32"/>
  <c r="OW25" i="39"/>
  <c r="HK83" i="19"/>
  <c r="OW20" i="21"/>
  <c r="OM31" i="19"/>
  <c r="HP47" i="31"/>
  <c r="HR47" i="31"/>
  <c r="OU37" i="19"/>
  <c r="OV37" i="19"/>
  <c r="IM45" i="19"/>
  <c r="IK45" i="19"/>
  <c r="IM27" i="39"/>
  <c r="IK27" i="39"/>
  <c r="HH15" i="34"/>
  <c r="HK15" i="34"/>
  <c r="HT15" i="34"/>
  <c r="OU97" i="39"/>
  <c r="OV97" i="39"/>
  <c r="HU16" i="39"/>
  <c r="HS16" i="39"/>
  <c r="HQ16" i="39"/>
  <c r="HW16" i="39"/>
  <c r="OV35" i="21"/>
  <c r="OU35" i="21"/>
  <c r="OV38" i="21"/>
  <c r="OU38" i="21"/>
  <c r="OM98" i="19"/>
  <c r="HU32" i="39"/>
  <c r="HS32" i="39"/>
  <c r="OV104" i="19"/>
  <c r="OU104" i="19"/>
  <c r="IK81" i="39"/>
  <c r="IM81" i="39"/>
  <c r="HW40" i="35"/>
  <c r="HS40" i="35"/>
  <c r="HU40" i="35"/>
  <c r="HQ40" i="35"/>
  <c r="HQ117" i="19"/>
  <c r="HU117" i="19"/>
  <c r="HS117" i="19"/>
  <c r="HW83" i="39"/>
  <c r="HU83" i="39"/>
  <c r="HS83" i="39"/>
  <c r="HQ83" i="39"/>
  <c r="GK104" i="19"/>
  <c r="GJ104" i="19"/>
  <c r="GJ114" i="19"/>
  <c r="GK114" i="19"/>
  <c r="OM11" i="22"/>
  <c r="OL20" i="31"/>
  <c r="OM20" i="31"/>
  <c r="OW103" i="19"/>
  <c r="OM25" i="19"/>
  <c r="HH33" i="34"/>
  <c r="GZ60" i="34"/>
  <c r="HI60" i="34"/>
  <c r="HK60" i="34"/>
  <c r="IG39" i="39"/>
  <c r="IE39" i="39"/>
  <c r="HU50" i="19"/>
  <c r="HS50" i="19"/>
  <c r="HW50" i="19"/>
  <c r="HQ50" i="19"/>
  <c r="IH30" i="34"/>
  <c r="IJ30" i="34"/>
  <c r="IL30" i="34"/>
  <c r="IB12" i="33"/>
  <c r="ID12" i="33"/>
  <c r="IC13" i="33"/>
  <c r="IC15" i="33"/>
  <c r="IF12" i="33"/>
  <c r="OW82" i="19"/>
  <c r="IM40" i="19"/>
  <c r="IK40" i="19"/>
  <c r="IA75" i="19"/>
  <c r="HY75" i="19"/>
  <c r="GZ51" i="34"/>
  <c r="HI51" i="34"/>
  <c r="HU54" i="21"/>
  <c r="HS54" i="21"/>
  <c r="HQ54" i="21"/>
  <c r="OR35" i="34"/>
  <c r="OL35" i="34"/>
  <c r="OK35" i="34"/>
  <c r="GJ54" i="21"/>
  <c r="GK54" i="21"/>
  <c r="HS34" i="35"/>
  <c r="HQ34" i="35"/>
  <c r="HU34" i="35"/>
  <c r="HW34" i="35"/>
  <c r="HK63" i="19"/>
  <c r="OR42" i="39"/>
  <c r="OL42" i="39"/>
  <c r="OK42" i="39"/>
  <c r="IG20" i="34"/>
  <c r="IE20" i="34"/>
  <c r="HK50" i="19"/>
  <c r="IK119" i="19"/>
  <c r="IM119" i="19"/>
  <c r="HQ49" i="19"/>
  <c r="HU49" i="19"/>
  <c r="HS49" i="19"/>
  <c r="HW49" i="19"/>
  <c r="IL27" i="34"/>
  <c r="IJ27" i="34"/>
  <c r="IH27" i="34"/>
  <c r="HH24" i="34"/>
  <c r="HT24" i="34"/>
  <c r="HW10" i="19"/>
  <c r="HQ10" i="19"/>
  <c r="HS10" i="19"/>
  <c r="HU10" i="19"/>
  <c r="IK39" i="19"/>
  <c r="IM39" i="19"/>
  <c r="IB76" i="39"/>
  <c r="IF76" i="39"/>
  <c r="ID76" i="39"/>
  <c r="HT35" i="34"/>
  <c r="HH35" i="34"/>
  <c r="HT37" i="34"/>
  <c r="HH37" i="34"/>
  <c r="ID40" i="31"/>
  <c r="IB40" i="31"/>
  <c r="IF40" i="31"/>
  <c r="HK54" i="21"/>
  <c r="IB30" i="34"/>
  <c r="IF30" i="34"/>
  <c r="ID30" i="34"/>
  <c r="GY12" i="33"/>
  <c r="GZ12" i="33"/>
  <c r="HI12" i="33"/>
  <c r="GX13" i="33"/>
  <c r="IG50" i="19"/>
  <c r="IE50" i="19"/>
  <c r="HY21" i="21"/>
  <c r="IA21" i="21"/>
  <c r="IF55" i="34"/>
  <c r="IB55" i="34"/>
  <c r="ID55" i="34"/>
  <c r="HH84" i="39"/>
  <c r="HK84" i="39"/>
  <c r="HT84" i="39"/>
  <c r="ID48" i="21"/>
  <c r="IF48" i="21"/>
  <c r="IB48" i="21"/>
  <c r="IK66" i="39"/>
  <c r="IM66" i="39"/>
  <c r="GK69" i="35"/>
  <c r="GJ69" i="35"/>
  <c r="ID49" i="21"/>
  <c r="IB49" i="21"/>
  <c r="IF49" i="21"/>
  <c r="HG50" i="21"/>
  <c r="HE57" i="21"/>
  <c r="IE44" i="19"/>
  <c r="IG44" i="19"/>
  <c r="OR37" i="34"/>
  <c r="OL37" i="34"/>
  <c r="OK37" i="34"/>
  <c r="IE41" i="19"/>
  <c r="IG41" i="19"/>
  <c r="HT43" i="34"/>
  <c r="HH43" i="34"/>
  <c r="GX45" i="21"/>
  <c r="GW45" i="21"/>
  <c r="IC45" i="21"/>
  <c r="II45" i="21"/>
  <c r="GV57" i="21"/>
  <c r="IL51" i="34"/>
  <c r="IJ51" i="34"/>
  <c r="IH51" i="34"/>
  <c r="IK39" i="39"/>
  <c r="IM39" i="39"/>
  <c r="HQ114" i="19"/>
  <c r="HU114" i="19"/>
  <c r="HS114" i="19"/>
  <c r="JM21" i="22"/>
  <c r="OK26" i="31"/>
  <c r="IK14" i="35"/>
  <c r="IM14" i="35"/>
  <c r="HR12" i="33"/>
  <c r="HP12" i="33"/>
  <c r="IE12" i="39"/>
  <c r="IG12" i="39"/>
  <c r="OU50" i="19"/>
  <c r="OV50" i="19"/>
  <c r="IL53" i="21"/>
  <c r="IH53" i="21"/>
  <c r="IJ53" i="21"/>
  <c r="OL84" i="39"/>
  <c r="OR84" i="39"/>
  <c r="OK84" i="39"/>
  <c r="IJ48" i="21"/>
  <c r="IL48" i="21"/>
  <c r="IH48" i="21"/>
  <c r="IM29" i="39"/>
  <c r="IK29" i="39"/>
  <c r="OM38" i="34"/>
  <c r="OM31" i="34"/>
  <c r="IK41" i="19"/>
  <c r="IM41" i="19"/>
  <c r="HU37" i="39"/>
  <c r="HS37" i="39"/>
  <c r="HQ37" i="39"/>
  <c r="HW37" i="39"/>
  <c r="HK31" i="21"/>
  <c r="IJ40" i="31"/>
  <c r="IL40" i="31"/>
  <c r="IM40" i="31"/>
  <c r="IH40" i="31"/>
  <c r="OK43" i="34"/>
  <c r="OL43" i="34"/>
  <c r="OR43" i="34"/>
  <c r="IK50" i="19"/>
  <c r="IM50" i="19"/>
  <c r="HU52" i="39"/>
  <c r="HS52" i="39"/>
  <c r="HW52" i="39"/>
  <c r="HQ52" i="39"/>
  <c r="OL26" i="31"/>
  <c r="HK26" i="32"/>
  <c r="HK39" i="35"/>
  <c r="HG108" i="39"/>
  <c r="OM54" i="34"/>
  <c r="KG67" i="34"/>
  <c r="KF68" i="34"/>
  <c r="HI49" i="34"/>
  <c r="GZ49" i="34"/>
  <c r="GW13" i="33"/>
  <c r="IK44" i="19"/>
  <c r="IM44" i="19"/>
  <c r="ID53" i="21"/>
  <c r="IF53" i="21"/>
  <c r="IB53" i="21"/>
  <c r="IE30" i="19"/>
  <c r="IG30" i="19"/>
  <c r="HI55" i="34"/>
  <c r="GZ55" i="34"/>
  <c r="HH103" i="39"/>
  <c r="HT103" i="39"/>
  <c r="HR9" i="22"/>
  <c r="HP9" i="22"/>
  <c r="OU11" i="34"/>
  <c r="OV11" i="34"/>
  <c r="GZ30" i="34"/>
  <c r="HI30" i="34"/>
  <c r="IK12" i="39"/>
  <c r="IM12" i="39"/>
  <c r="IE23" i="31"/>
  <c r="OW56" i="39"/>
  <c r="GZ9" i="34"/>
  <c r="HI9" i="34"/>
  <c r="HK20" i="34"/>
  <c r="ID49" i="34"/>
  <c r="IF49" i="34"/>
  <c r="IB49" i="34"/>
  <c r="IH12" i="33"/>
  <c r="IL12" i="33"/>
  <c r="IJ12" i="33"/>
  <c r="II13" i="33"/>
  <c r="II15" i="33"/>
  <c r="IE66" i="39"/>
  <c r="IG66" i="39"/>
  <c r="HZ51" i="34"/>
  <c r="HV51" i="34"/>
  <c r="HX51" i="34"/>
  <c r="GZ53" i="21"/>
  <c r="OV52" i="39"/>
  <c r="OU52" i="39"/>
  <c r="IJ55" i="34"/>
  <c r="IH55" i="34"/>
  <c r="IL55" i="34"/>
  <c r="OL103" i="39"/>
  <c r="OK103" i="39"/>
  <c r="OR103" i="39"/>
  <c r="OL28" i="34"/>
  <c r="OR28" i="34"/>
  <c r="OK28" i="34"/>
  <c r="HG69" i="19"/>
  <c r="HG126" i="19"/>
  <c r="OH69" i="19"/>
  <c r="OH126" i="19"/>
  <c r="OV31" i="34"/>
  <c r="OU31" i="34"/>
  <c r="IE83" i="19"/>
  <c r="IG83" i="19"/>
  <c r="IH22" i="34"/>
  <c r="IJ22" i="34"/>
  <c r="IL22" i="34"/>
  <c r="IJ49" i="21"/>
  <c r="IL49" i="21"/>
  <c r="IH49" i="21"/>
  <c r="FY45" i="21"/>
  <c r="KD45" i="21"/>
  <c r="KE45" i="21"/>
  <c r="HR14" i="21"/>
  <c r="HP14" i="21"/>
  <c r="HX30" i="35"/>
  <c r="HZ30" i="35"/>
  <c r="HV30" i="35"/>
  <c r="HP87" i="19"/>
  <c r="HR87" i="19"/>
  <c r="HY35" i="19"/>
  <c r="IA35" i="19"/>
  <c r="GK120" i="19"/>
  <c r="GJ120" i="19"/>
  <c r="GZ27" i="34"/>
  <c r="HI27" i="34"/>
  <c r="OW83" i="19"/>
  <c r="OW38" i="34"/>
  <c r="IG113" i="19"/>
  <c r="IE113" i="19"/>
  <c r="HW57" i="19"/>
  <c r="HQ57" i="19"/>
  <c r="HU57" i="19"/>
  <c r="HS57" i="19"/>
  <c r="IB51" i="34"/>
  <c r="IF51" i="34"/>
  <c r="ID51" i="34"/>
  <c r="IK113" i="19"/>
  <c r="IM113" i="19"/>
  <c r="IK21" i="19"/>
  <c r="IM21" i="19"/>
  <c r="OM21" i="19"/>
  <c r="GK68" i="35"/>
  <c r="GJ68" i="35"/>
  <c r="HK20" i="19"/>
  <c r="OW15" i="39"/>
  <c r="HT28" i="34"/>
  <c r="HH28" i="34"/>
  <c r="HK28" i="34"/>
  <c r="OV34" i="35"/>
  <c r="OU34" i="35"/>
  <c r="IM35" i="19"/>
  <c r="IK35" i="19"/>
  <c r="OU37" i="39"/>
  <c r="OV37" i="39"/>
  <c r="IG34" i="39"/>
  <c r="IE34" i="39"/>
  <c r="IB27" i="34"/>
  <c r="ID27" i="34"/>
  <c r="IF27" i="34"/>
  <c r="HI22" i="34"/>
  <c r="GZ22" i="34"/>
  <c r="HI119" i="19"/>
  <c r="HK119" i="19"/>
  <c r="IK83" i="19"/>
  <c r="IM83" i="19"/>
  <c r="IL76" i="39"/>
  <c r="IH76" i="39"/>
  <c r="IJ76" i="39"/>
  <c r="GJ67" i="35"/>
  <c r="GK67" i="35"/>
  <c r="OR24" i="34"/>
  <c r="OK24" i="34"/>
  <c r="OL24" i="34"/>
  <c r="HK13" i="22"/>
  <c r="JM24" i="22"/>
  <c r="FZ60" i="31"/>
  <c r="GJ26" i="32"/>
  <c r="IG21" i="19"/>
  <c r="IE21" i="19"/>
  <c r="IM44" i="34"/>
  <c r="IK44" i="34"/>
  <c r="IJ49" i="34"/>
  <c r="IH49" i="34"/>
  <c r="IL49" i="34"/>
  <c r="HS122" i="19"/>
  <c r="HU122" i="19"/>
  <c r="HQ122" i="19"/>
  <c r="HS21" i="19"/>
  <c r="HW21" i="19"/>
  <c r="HQ21" i="19"/>
  <c r="HU21" i="19"/>
  <c r="HR51" i="34"/>
  <c r="HP51" i="34"/>
  <c r="HK66" i="39"/>
  <c r="OU57" i="19"/>
  <c r="OV57" i="19"/>
  <c r="OU21" i="19"/>
  <c r="OV21" i="19"/>
  <c r="IL39" i="34"/>
  <c r="IJ39" i="34"/>
  <c r="IH39" i="34"/>
  <c r="HH42" i="39"/>
  <c r="HT42" i="39"/>
  <c r="OM34" i="35"/>
  <c r="OM37" i="39"/>
  <c r="IL31" i="31"/>
  <c r="IH31" i="31"/>
  <c r="IM20" i="19"/>
  <c r="IK20" i="19"/>
  <c r="IE35" i="19"/>
  <c r="IG35" i="19"/>
  <c r="IB22" i="34"/>
  <c r="ID22" i="34"/>
  <c r="IF22" i="34"/>
  <c r="HP30" i="35"/>
  <c r="HR30" i="35"/>
  <c r="IK34" i="39"/>
  <c r="IM34" i="39"/>
  <c r="HX87" i="19"/>
  <c r="HV87" i="19"/>
  <c r="HZ87" i="19"/>
  <c r="GZ76" i="39"/>
  <c r="HI76" i="39"/>
  <c r="HS16" i="22"/>
  <c r="HQ16" i="22"/>
  <c r="HU16" i="22"/>
  <c r="OL25" i="34"/>
  <c r="OR25" i="34"/>
  <c r="OK25" i="34"/>
  <c r="HV45" i="34"/>
  <c r="HZ45" i="34"/>
  <c r="HX45" i="34"/>
  <c r="IE44" i="34"/>
  <c r="IG44" i="34"/>
  <c r="FY28" i="34"/>
  <c r="FZ67" i="34"/>
  <c r="IL61" i="34"/>
  <c r="IJ61" i="34"/>
  <c r="IH61" i="34"/>
  <c r="IM15" i="34"/>
  <c r="IK15" i="34"/>
  <c r="HI37" i="34"/>
  <c r="GZ37" i="34"/>
  <c r="GJ30" i="34"/>
  <c r="GK30" i="34"/>
  <c r="ID38" i="34"/>
  <c r="IB38" i="34"/>
  <c r="IF38" i="34"/>
  <c r="HR60" i="34"/>
  <c r="HP60" i="34"/>
  <c r="HP58" i="34"/>
  <c r="JM58" i="34"/>
  <c r="HR58" i="34"/>
  <c r="JG58" i="34"/>
  <c r="JK58" i="34"/>
  <c r="HI46" i="34"/>
  <c r="GZ46" i="34"/>
  <c r="IG39" i="34"/>
  <c r="IE39" i="34"/>
  <c r="JF10" i="34"/>
  <c r="JJ10" i="34"/>
  <c r="HS10" i="34"/>
  <c r="HU10" i="34"/>
  <c r="OK52" i="34"/>
  <c r="OL52" i="34"/>
  <c r="OR52" i="34"/>
  <c r="IL45" i="34"/>
  <c r="IH45" i="34"/>
  <c r="IJ45" i="34"/>
  <c r="HW42" i="34"/>
  <c r="HU42" i="34"/>
  <c r="HS42" i="34"/>
  <c r="HQ42" i="34"/>
  <c r="HS59" i="34"/>
  <c r="HU59" i="34"/>
  <c r="HQ59" i="34"/>
  <c r="OM42" i="34"/>
  <c r="HI38" i="34"/>
  <c r="GZ38" i="34"/>
  <c r="OV40" i="34"/>
  <c r="OW40" i="34"/>
  <c r="ID60" i="34"/>
  <c r="IF60" i="34"/>
  <c r="IB60" i="34"/>
  <c r="IG14" i="34"/>
  <c r="IE14" i="34"/>
  <c r="GK15" i="34"/>
  <c r="GJ15" i="34"/>
  <c r="OW51" i="34"/>
  <c r="GJ40" i="34"/>
  <c r="GK40" i="34"/>
  <c r="HT9" i="34"/>
  <c r="HH9" i="34"/>
  <c r="HH52" i="34"/>
  <c r="HK52" i="34"/>
  <c r="HT52" i="34"/>
  <c r="HR47" i="34"/>
  <c r="HP47" i="34"/>
  <c r="GJ26" i="34"/>
  <c r="GK26" i="34"/>
  <c r="HI54" i="34"/>
  <c r="GZ54" i="34"/>
  <c r="ID57" i="34"/>
  <c r="IB57" i="34"/>
  <c r="IF57" i="34"/>
  <c r="HR61" i="34"/>
  <c r="HP61" i="34"/>
  <c r="HI45" i="34"/>
  <c r="GZ45" i="34"/>
  <c r="OL19" i="34"/>
  <c r="OR19" i="34"/>
  <c r="OK19" i="34"/>
  <c r="IH60" i="34"/>
  <c r="IL60" i="34"/>
  <c r="IJ60" i="34"/>
  <c r="IG15" i="34"/>
  <c r="IE15" i="34"/>
  <c r="HT25" i="34"/>
  <c r="HH25" i="34"/>
  <c r="HK25" i="34"/>
  <c r="HT41" i="34"/>
  <c r="HH41" i="34"/>
  <c r="HH32" i="34"/>
  <c r="HK32" i="34"/>
  <c r="HT32" i="34"/>
  <c r="HZ47" i="34"/>
  <c r="HX47" i="34"/>
  <c r="HV47" i="34"/>
  <c r="ID61" i="34"/>
  <c r="IF61" i="34"/>
  <c r="IB61" i="34"/>
  <c r="IM10" i="34"/>
  <c r="IK10" i="34"/>
  <c r="IB54" i="34"/>
  <c r="IF54" i="34"/>
  <c r="ID54" i="34"/>
  <c r="GK9" i="34"/>
  <c r="GJ9" i="34"/>
  <c r="IL37" i="34"/>
  <c r="IJ37" i="34"/>
  <c r="IH37" i="34"/>
  <c r="IL9" i="34"/>
  <c r="IJ9" i="34"/>
  <c r="IH9" i="34"/>
  <c r="HT19" i="34"/>
  <c r="HQ19" i="34"/>
  <c r="HH19" i="34"/>
  <c r="IG10" i="34"/>
  <c r="IE10" i="34"/>
  <c r="OL41" i="34"/>
  <c r="OR41" i="34"/>
  <c r="OK41" i="34"/>
  <c r="GK43" i="34"/>
  <c r="GJ43" i="34"/>
  <c r="GZ53" i="34"/>
  <c r="HI53" i="34"/>
  <c r="HK53" i="34"/>
  <c r="IF47" i="34"/>
  <c r="ID47" i="34"/>
  <c r="IB47" i="34"/>
  <c r="IJ54" i="34"/>
  <c r="IH54" i="34"/>
  <c r="IL54" i="34"/>
  <c r="OV42" i="34"/>
  <c r="OU42" i="34"/>
  <c r="OK32" i="34"/>
  <c r="OR32" i="34"/>
  <c r="OL32" i="34"/>
  <c r="HT40" i="34"/>
  <c r="HU40" i="34"/>
  <c r="KD67" i="34"/>
  <c r="OV50" i="34"/>
  <c r="OU50" i="34"/>
  <c r="HP53" i="34"/>
  <c r="HR53" i="34"/>
  <c r="IJ57" i="34"/>
  <c r="IH57" i="34"/>
  <c r="IL57" i="34"/>
  <c r="OV29" i="34"/>
  <c r="OU29" i="34"/>
  <c r="IB45" i="34"/>
  <c r="ID45" i="34"/>
  <c r="IF45" i="34"/>
  <c r="IB9" i="34"/>
  <c r="ID9" i="34"/>
  <c r="IF9" i="34"/>
  <c r="IG29" i="34"/>
  <c r="IK14" i="34"/>
  <c r="IM14" i="34"/>
  <c r="OM40" i="34"/>
  <c r="GJ35" i="34"/>
  <c r="GK35" i="34"/>
  <c r="GK48" i="34"/>
  <c r="GJ48" i="34"/>
  <c r="HS50" i="34"/>
  <c r="HQ50" i="34"/>
  <c r="HU50" i="34"/>
  <c r="IM18" i="34"/>
  <c r="IK18" i="34"/>
  <c r="HT18" i="34"/>
  <c r="HH18" i="34"/>
  <c r="HK18" i="34"/>
  <c r="IJ53" i="34"/>
  <c r="IH53" i="34"/>
  <c r="IL53" i="34"/>
  <c r="IL47" i="34"/>
  <c r="IJ47" i="34"/>
  <c r="IH47" i="34"/>
  <c r="KE67" i="34"/>
  <c r="GZ57" i="34"/>
  <c r="HI57" i="34"/>
  <c r="IK21" i="34"/>
  <c r="IM21" i="34"/>
  <c r="IL38" i="34"/>
  <c r="IH38" i="34"/>
  <c r="IJ38" i="34"/>
  <c r="OR39" i="34"/>
  <c r="OL39" i="34"/>
  <c r="OK39" i="34"/>
  <c r="IM20" i="34"/>
  <c r="IK20" i="34"/>
  <c r="HT17" i="34"/>
  <c r="HH17" i="34"/>
  <c r="HK17" i="34"/>
  <c r="IF46" i="34"/>
  <c r="ID46" i="34"/>
  <c r="IB46" i="34"/>
  <c r="OL18" i="34"/>
  <c r="OK18" i="34"/>
  <c r="OR18" i="34"/>
  <c r="OV33" i="34"/>
  <c r="OU33" i="34"/>
  <c r="OR9" i="34"/>
  <c r="OK9" i="34"/>
  <c r="OL9" i="34"/>
  <c r="OW49" i="34"/>
  <c r="OM30" i="34"/>
  <c r="JF20" i="34"/>
  <c r="JJ20" i="34"/>
  <c r="IA20" i="34"/>
  <c r="HY20" i="34"/>
  <c r="HI10" i="34"/>
  <c r="HK10" i="34"/>
  <c r="GZ61" i="34"/>
  <c r="HI61" i="34"/>
  <c r="HK61" i="34"/>
  <c r="IB37" i="34"/>
  <c r="ID37" i="34"/>
  <c r="IF37" i="34"/>
  <c r="HH39" i="34"/>
  <c r="HK39" i="34"/>
  <c r="HT39" i="34"/>
  <c r="OL17" i="34"/>
  <c r="OK17" i="34"/>
  <c r="OR17" i="34"/>
  <c r="OW34" i="34"/>
  <c r="IL46" i="34"/>
  <c r="IJ46" i="34"/>
  <c r="IH46" i="34"/>
  <c r="IF53" i="34"/>
  <c r="IB53" i="34"/>
  <c r="ID53" i="34"/>
  <c r="HI47" i="34"/>
  <c r="GZ47" i="34"/>
  <c r="IA59" i="35"/>
  <c r="HY59" i="35"/>
  <c r="GK85" i="19"/>
  <c r="GJ85" i="19"/>
  <c r="GJ12" i="22"/>
  <c r="GK12" i="22"/>
  <c r="IQ29" i="22"/>
  <c r="IQ31" i="22"/>
  <c r="OR14" i="31"/>
  <c r="OV14" i="31"/>
  <c r="KD13" i="31"/>
  <c r="KE13" i="31"/>
  <c r="IH13" i="32"/>
  <c r="GK19" i="32"/>
  <c r="IM26" i="34"/>
  <c r="IK26" i="34"/>
  <c r="HQ58" i="39"/>
  <c r="HS58" i="39"/>
  <c r="HW58" i="39"/>
  <c r="HU58" i="39"/>
  <c r="IK17" i="35"/>
  <c r="IM17" i="35"/>
  <c r="HQ110" i="19"/>
  <c r="HU110" i="19"/>
  <c r="HW110" i="19"/>
  <c r="HS110" i="19"/>
  <c r="HU38" i="19"/>
  <c r="JG38" i="19"/>
  <c r="JK38" i="19"/>
  <c r="JF38" i="19"/>
  <c r="JJ38" i="19"/>
  <c r="HS38" i="19"/>
  <c r="HR32" i="19"/>
  <c r="HP32" i="19"/>
  <c r="HP58" i="35"/>
  <c r="HR58" i="35"/>
  <c r="HP29" i="19"/>
  <c r="HR29" i="19"/>
  <c r="HU14" i="35"/>
  <c r="HS14" i="35"/>
  <c r="HQ14" i="35"/>
  <c r="HW14" i="35"/>
  <c r="KE12" i="19"/>
  <c r="IF31" i="34"/>
  <c r="IB31" i="34"/>
  <c r="ID31" i="34"/>
  <c r="HY53" i="39"/>
  <c r="IA53" i="39"/>
  <c r="OW58" i="35"/>
  <c r="HZ12" i="21"/>
  <c r="HX12" i="21"/>
  <c r="HV12" i="21"/>
  <c r="OM67" i="19"/>
  <c r="IK107" i="19"/>
  <c r="IM107" i="19"/>
  <c r="HS65" i="39"/>
  <c r="HU65" i="39"/>
  <c r="HW65" i="39"/>
  <c r="HQ65" i="39"/>
  <c r="IE47" i="31"/>
  <c r="IG47" i="31"/>
  <c r="IK17" i="34"/>
  <c r="IM17" i="34"/>
  <c r="HU18" i="19"/>
  <c r="HQ18" i="19"/>
  <c r="HS18" i="19"/>
  <c r="HW18" i="19"/>
  <c r="OU65" i="39"/>
  <c r="OV65" i="39"/>
  <c r="HH69" i="39"/>
  <c r="HK69" i="39"/>
  <c r="HT69" i="39"/>
  <c r="JC67" i="34"/>
  <c r="JC69" i="34"/>
  <c r="OW36" i="34"/>
  <c r="IM121" i="19"/>
  <c r="IK121" i="19"/>
  <c r="GZ69" i="35"/>
  <c r="HI69" i="35"/>
  <c r="HK69" i="35"/>
  <c r="IK33" i="35"/>
  <c r="IM33" i="35"/>
  <c r="HK42" i="34"/>
  <c r="OW98" i="39"/>
  <c r="OV26" i="19"/>
  <c r="OU26" i="19"/>
  <c r="HY38" i="35"/>
  <c r="HX33" i="19"/>
  <c r="HV33" i="19"/>
  <c r="HZ33" i="19"/>
  <c r="JF33" i="19"/>
  <c r="JJ33" i="19"/>
  <c r="HU26" i="19"/>
  <c r="HW26" i="19"/>
  <c r="HS26" i="19"/>
  <c r="HQ26" i="19"/>
  <c r="OU30" i="34"/>
  <c r="OV30" i="34"/>
  <c r="OW58" i="19"/>
  <c r="OV54" i="35"/>
  <c r="OU54" i="35"/>
  <c r="OK32" i="31"/>
  <c r="OL32" i="31"/>
  <c r="HI32" i="39"/>
  <c r="GZ32" i="39"/>
  <c r="HV93" i="39"/>
  <c r="HX93" i="39"/>
  <c r="HZ93" i="39"/>
  <c r="JF93" i="39"/>
  <c r="JJ93" i="39"/>
  <c r="GJ89" i="19"/>
  <c r="GK89" i="19"/>
  <c r="IG84" i="39"/>
  <c r="IE84" i="39"/>
  <c r="ID69" i="35"/>
  <c r="IF69" i="35"/>
  <c r="IB69" i="35"/>
  <c r="HU48" i="34"/>
  <c r="HS48" i="34"/>
  <c r="HQ48" i="34"/>
  <c r="HW48" i="34"/>
  <c r="OU54" i="34"/>
  <c r="OV54" i="34"/>
  <c r="GJ55" i="35"/>
  <c r="GK55" i="35"/>
  <c r="HV22" i="34"/>
  <c r="HZ22" i="34"/>
  <c r="HX22" i="34"/>
  <c r="OU49" i="39"/>
  <c r="OV49" i="39"/>
  <c r="HX39" i="35"/>
  <c r="HV39" i="35"/>
  <c r="HZ39" i="35"/>
  <c r="JF39" i="35"/>
  <c r="JJ39" i="35"/>
  <c r="IM16" i="19"/>
  <c r="IK16" i="19"/>
  <c r="IJ62" i="34"/>
  <c r="IL62" i="34"/>
  <c r="IH62" i="34"/>
  <c r="IC70" i="35"/>
  <c r="IC72" i="35"/>
  <c r="IG49" i="35"/>
  <c r="IE49" i="35"/>
  <c r="HK73" i="39"/>
  <c r="OU58" i="39"/>
  <c r="OV58" i="39"/>
  <c r="HK107" i="19"/>
  <c r="GJ16" i="39"/>
  <c r="GK16" i="39"/>
  <c r="FY108" i="39"/>
  <c r="OV38" i="19"/>
  <c r="OU38" i="19"/>
  <c r="GJ10" i="22"/>
  <c r="GK10" i="22"/>
  <c r="HQ46" i="34"/>
  <c r="HW46" i="34"/>
  <c r="HS46" i="34"/>
  <c r="HU46" i="34"/>
  <c r="HR113" i="19"/>
  <c r="JF113" i="19"/>
  <c r="JJ113" i="19"/>
  <c r="HP113" i="19"/>
  <c r="IM54" i="21"/>
  <c r="IK54" i="21"/>
  <c r="HU13" i="35"/>
  <c r="HS13" i="35"/>
  <c r="HQ13" i="35"/>
  <c r="HW13" i="35"/>
  <c r="IF41" i="34"/>
  <c r="ID41" i="34"/>
  <c r="IB41" i="34"/>
  <c r="IG10" i="21"/>
  <c r="IE10" i="21"/>
  <c r="HP79" i="19"/>
  <c r="HR79" i="19"/>
  <c r="OW12" i="19"/>
  <c r="HS67" i="19"/>
  <c r="HQ67" i="19"/>
  <c r="HW67" i="19"/>
  <c r="HU67" i="19"/>
  <c r="OM65" i="39"/>
  <c r="IF23" i="34"/>
  <c r="IB23" i="34"/>
  <c r="ID23" i="34"/>
  <c r="OK69" i="39"/>
  <c r="OR69" i="39"/>
  <c r="OL69" i="39"/>
  <c r="GK16" i="32"/>
  <c r="GJ16" i="32"/>
  <c r="OU18" i="35"/>
  <c r="OV18" i="35"/>
  <c r="HR15" i="19"/>
  <c r="HP15" i="19"/>
  <c r="OW9" i="33"/>
  <c r="OW13" i="33"/>
  <c r="OU13" i="33"/>
  <c r="HQ45" i="19"/>
  <c r="HU45" i="19"/>
  <c r="HS45" i="19"/>
  <c r="HW45" i="19"/>
  <c r="HZ99" i="19"/>
  <c r="HX99" i="19"/>
  <c r="HV99" i="19"/>
  <c r="OM26" i="19"/>
  <c r="OM36" i="39"/>
  <c r="OV72" i="19"/>
  <c r="OU72" i="19"/>
  <c r="HS33" i="34"/>
  <c r="HU33" i="34"/>
  <c r="HQ33" i="34"/>
  <c r="HW33" i="34"/>
  <c r="HP22" i="34"/>
  <c r="HR22" i="34"/>
  <c r="IA63" i="19"/>
  <c r="HY63" i="19"/>
  <c r="HV38" i="34"/>
  <c r="HX38" i="34"/>
  <c r="HZ38" i="34"/>
  <c r="HX77" i="39"/>
  <c r="HV77" i="39"/>
  <c r="HZ77" i="39"/>
  <c r="IG27" i="39"/>
  <c r="IE27" i="39"/>
  <c r="HP39" i="35"/>
  <c r="HR39" i="35"/>
  <c r="JG94" i="19"/>
  <c r="JK94" i="19"/>
  <c r="OM54" i="35"/>
  <c r="HR31" i="34"/>
  <c r="HP31" i="34"/>
  <c r="HU25" i="39"/>
  <c r="HW25" i="39"/>
  <c r="HQ25" i="39"/>
  <c r="HS25" i="39"/>
  <c r="OV18" i="19"/>
  <c r="OU18" i="19"/>
  <c r="HP33" i="19"/>
  <c r="HR33" i="19"/>
  <c r="HS54" i="35"/>
  <c r="HW54" i="35"/>
  <c r="HQ54" i="35"/>
  <c r="HU54" i="35"/>
  <c r="IM32" i="34"/>
  <c r="IK32" i="34"/>
  <c r="IG13" i="19"/>
  <c r="IE13" i="19"/>
  <c r="IM27" i="21"/>
  <c r="IK27" i="21"/>
  <c r="GZ40" i="34"/>
  <c r="HI40" i="34"/>
  <c r="KG60" i="31"/>
  <c r="IK36" i="34"/>
  <c r="IM36" i="34"/>
  <c r="IE121" i="19"/>
  <c r="IG121" i="19"/>
  <c r="JF121" i="19"/>
  <c r="JJ121" i="19"/>
  <c r="HP20" i="21"/>
  <c r="HR20" i="21"/>
  <c r="HP120" i="19"/>
  <c r="HR120" i="19"/>
  <c r="OU55" i="34"/>
  <c r="OV55" i="34"/>
  <c r="HX58" i="35"/>
  <c r="HZ58" i="35"/>
  <c r="JF58" i="35"/>
  <c r="JJ58" i="35"/>
  <c r="HV58" i="35"/>
  <c r="IM86" i="19"/>
  <c r="IK86" i="19"/>
  <c r="HI12" i="34"/>
  <c r="IG86" i="19"/>
  <c r="IE86" i="19"/>
  <c r="IG39" i="35"/>
  <c r="IE39" i="35"/>
  <c r="IJ35" i="34"/>
  <c r="IL35" i="34"/>
  <c r="IH35" i="34"/>
  <c r="IF12" i="31"/>
  <c r="ID12" i="31"/>
  <c r="IB12" i="31"/>
  <c r="GK115" i="19"/>
  <c r="GJ115" i="19"/>
  <c r="IK84" i="39"/>
  <c r="IM84" i="39"/>
  <c r="HR116" i="19"/>
  <c r="HP116" i="19"/>
  <c r="HX79" i="19"/>
  <c r="HZ79" i="19"/>
  <c r="HV79" i="19"/>
  <c r="IK12" i="34"/>
  <c r="IM12" i="34"/>
  <c r="HP57" i="34"/>
  <c r="HR57" i="34"/>
  <c r="IM11" i="19"/>
  <c r="IK11" i="19"/>
  <c r="HS49" i="39"/>
  <c r="HQ49" i="39"/>
  <c r="HU49" i="39"/>
  <c r="HW49" i="39"/>
  <c r="HY60" i="19"/>
  <c r="IA60" i="19"/>
  <c r="IG44" i="35"/>
  <c r="IE44" i="35"/>
  <c r="HS22" i="39"/>
  <c r="HU22" i="39"/>
  <c r="HQ22" i="39"/>
  <c r="HW22" i="39"/>
  <c r="IM49" i="35"/>
  <c r="IK49" i="35"/>
  <c r="HR77" i="39"/>
  <c r="HP77" i="39"/>
  <c r="IM11" i="39"/>
  <c r="IK11" i="39"/>
  <c r="HQ30" i="34"/>
  <c r="HU30" i="34"/>
  <c r="HS30" i="34"/>
  <c r="HW30" i="34"/>
  <c r="IG11" i="39"/>
  <c r="IE11" i="39"/>
  <c r="IM37" i="35"/>
  <c r="IK37" i="35"/>
  <c r="HH33" i="39"/>
  <c r="HT33" i="39"/>
  <c r="HT29" i="39"/>
  <c r="HH29" i="39"/>
  <c r="HQ25" i="19"/>
  <c r="HU25" i="19"/>
  <c r="HW25" i="19"/>
  <c r="HS25" i="19"/>
  <c r="HK10" i="22"/>
  <c r="JG19" i="22"/>
  <c r="JK19" i="22"/>
  <c r="IB29" i="31"/>
  <c r="OH36" i="32"/>
  <c r="HZ49" i="34"/>
  <c r="HX49" i="34"/>
  <c r="HV49" i="34"/>
  <c r="HX20" i="21"/>
  <c r="HV20" i="21"/>
  <c r="HZ20" i="21"/>
  <c r="IJ120" i="19"/>
  <c r="IH120" i="19"/>
  <c r="IL120" i="19"/>
  <c r="IG36" i="34"/>
  <c r="IE36" i="34"/>
  <c r="HR12" i="39"/>
  <c r="HP12" i="39"/>
  <c r="OV13" i="35"/>
  <c r="OU13" i="35"/>
  <c r="OM38" i="19"/>
  <c r="FY29" i="35"/>
  <c r="FZ70" i="35"/>
  <c r="HI33" i="34"/>
  <c r="GZ33" i="34"/>
  <c r="ID35" i="34"/>
  <c r="IB35" i="34"/>
  <c r="IF35" i="34"/>
  <c r="GZ41" i="34"/>
  <c r="HI41" i="34"/>
  <c r="HV58" i="19"/>
  <c r="HZ58" i="19"/>
  <c r="JF58" i="19"/>
  <c r="JJ58" i="19"/>
  <c r="HX58" i="19"/>
  <c r="HK55" i="39"/>
  <c r="IJ23" i="34"/>
  <c r="IL23" i="34"/>
  <c r="IH23" i="34"/>
  <c r="II128" i="19"/>
  <c r="OW10" i="19"/>
  <c r="GK103" i="39"/>
  <c r="GJ103" i="39"/>
  <c r="GK119" i="19"/>
  <c r="GJ119" i="19"/>
  <c r="OU36" i="39"/>
  <c r="OV36" i="39"/>
  <c r="GJ95" i="19"/>
  <c r="GK95" i="19"/>
  <c r="OM45" i="19"/>
  <c r="HW36" i="39"/>
  <c r="HS36" i="39"/>
  <c r="HQ36" i="39"/>
  <c r="HU36" i="39"/>
  <c r="IE95" i="39"/>
  <c r="IG95" i="39"/>
  <c r="IL28" i="22"/>
  <c r="IM28" i="22"/>
  <c r="IJ28" i="22"/>
  <c r="IH28" i="22"/>
  <c r="HK17" i="35"/>
  <c r="HR115" i="19"/>
  <c r="JF115" i="19"/>
  <c r="JJ115" i="19"/>
  <c r="HP115" i="19"/>
  <c r="IG10" i="19"/>
  <c r="IE10" i="19"/>
  <c r="KE108" i="39"/>
  <c r="HS49" i="21"/>
  <c r="HU49" i="21"/>
  <c r="HQ49" i="21"/>
  <c r="HU36" i="35"/>
  <c r="HQ36" i="35"/>
  <c r="HW36" i="35"/>
  <c r="HS36" i="35"/>
  <c r="OU22" i="39"/>
  <c r="OV22" i="39"/>
  <c r="IF29" i="31"/>
  <c r="IE29" i="31"/>
  <c r="IG15" i="31"/>
  <c r="IH19" i="32"/>
  <c r="IK29" i="21"/>
  <c r="OV14" i="35"/>
  <c r="OU14" i="35"/>
  <c r="OU14" i="19"/>
  <c r="OV14" i="19"/>
  <c r="IB120" i="19"/>
  <c r="IF120" i="19"/>
  <c r="ID120" i="19"/>
  <c r="OW90" i="19"/>
  <c r="HK50" i="35"/>
  <c r="OM13" i="35"/>
  <c r="IH31" i="34"/>
  <c r="IL31" i="34"/>
  <c r="IJ31" i="34"/>
  <c r="IH33" i="34"/>
  <c r="IJ33" i="34"/>
  <c r="IL33" i="34"/>
  <c r="HK48" i="34"/>
  <c r="HU82" i="19"/>
  <c r="HS82" i="19"/>
  <c r="HQ82" i="19"/>
  <c r="HW82" i="19"/>
  <c r="GZ35" i="34"/>
  <c r="HI35" i="34"/>
  <c r="IJ41" i="34"/>
  <c r="IH41" i="34"/>
  <c r="IL41" i="34"/>
  <c r="IK28" i="34"/>
  <c r="IM28" i="34"/>
  <c r="IK48" i="34"/>
  <c r="IM48" i="34"/>
  <c r="HK121" i="19"/>
  <c r="IG39" i="19"/>
  <c r="IE39" i="19"/>
  <c r="HI23" i="34"/>
  <c r="GZ23" i="34"/>
  <c r="OT57" i="21"/>
  <c r="GZ12" i="31"/>
  <c r="HI12" i="31"/>
  <c r="IA22" i="19"/>
  <c r="JG22" i="19"/>
  <c r="JK22" i="19"/>
  <c r="HY22" i="19"/>
  <c r="JM22" i="19"/>
  <c r="IK10" i="21"/>
  <c r="IM10" i="21"/>
  <c r="HT57" i="39"/>
  <c r="HH57" i="39"/>
  <c r="HK57" i="39"/>
  <c r="IA49" i="35"/>
  <c r="HY49" i="35"/>
  <c r="JF49" i="35"/>
  <c r="JJ49" i="35"/>
  <c r="OM13" i="34"/>
  <c r="OU36" i="35"/>
  <c r="OV36" i="35"/>
  <c r="HP99" i="19"/>
  <c r="HR99" i="19"/>
  <c r="IE16" i="34"/>
  <c r="IG16" i="34"/>
  <c r="OV45" i="19"/>
  <c r="OU45" i="19"/>
  <c r="IE29" i="21"/>
  <c r="IG29" i="21"/>
  <c r="IE30" i="21"/>
  <c r="IG30" i="21"/>
  <c r="JF30" i="21"/>
  <c r="JJ30" i="21"/>
  <c r="HK16" i="19"/>
  <c r="HQ54" i="34"/>
  <c r="HU54" i="34"/>
  <c r="HS54" i="34"/>
  <c r="HW54" i="34"/>
  <c r="IE26" i="34"/>
  <c r="IG26" i="34"/>
  <c r="IG57" i="39"/>
  <c r="IE55" i="39"/>
  <c r="IG55" i="39"/>
  <c r="OW21" i="21"/>
  <c r="GX19" i="34"/>
  <c r="II19" i="34"/>
  <c r="GW19" i="34"/>
  <c r="IC19" i="34"/>
  <c r="GV67" i="34"/>
  <c r="GK62" i="34"/>
  <c r="GJ62" i="34"/>
  <c r="IH40" i="34"/>
  <c r="IL40" i="34"/>
  <c r="IJ40" i="34"/>
  <c r="HZ32" i="39"/>
  <c r="HX32" i="39"/>
  <c r="HV32" i="39"/>
  <c r="HV29" i="34"/>
  <c r="HZ29" i="34"/>
  <c r="HX29" i="34"/>
  <c r="HP112" i="19"/>
  <c r="HR112" i="19"/>
  <c r="JF112" i="19"/>
  <c r="JJ112" i="19"/>
  <c r="IM55" i="39"/>
  <c r="IK55" i="39"/>
  <c r="GJ12" i="19"/>
  <c r="GK12" i="19"/>
  <c r="HY56" i="19"/>
  <c r="OM22" i="31"/>
  <c r="IL19" i="32"/>
  <c r="IK19" i="32"/>
  <c r="IG28" i="34"/>
  <c r="IE28" i="34"/>
  <c r="IG43" i="21"/>
  <c r="IE43" i="21"/>
  <c r="HU55" i="34"/>
  <c r="HS55" i="34"/>
  <c r="HW55" i="34"/>
  <c r="HQ55" i="34"/>
  <c r="OW12" i="39"/>
  <c r="HP49" i="34"/>
  <c r="HR49" i="34"/>
  <c r="HR29" i="34"/>
  <c r="HP29" i="34"/>
  <c r="GZ120" i="19"/>
  <c r="HI120" i="19"/>
  <c r="IG24" i="34"/>
  <c r="IE24" i="34"/>
  <c r="IA31" i="39"/>
  <c r="HY31" i="39"/>
  <c r="GX108" i="39"/>
  <c r="HI31" i="34"/>
  <c r="GZ31" i="34"/>
  <c r="IC128" i="19"/>
  <c r="IB33" i="34"/>
  <c r="IF33" i="34"/>
  <c r="ID33" i="34"/>
  <c r="HR12" i="21"/>
  <c r="HP12" i="21"/>
  <c r="HY40" i="19"/>
  <c r="IA40" i="19"/>
  <c r="OU25" i="19"/>
  <c r="OV25" i="19"/>
  <c r="OM46" i="34"/>
  <c r="HR109" i="19"/>
  <c r="HP109" i="19"/>
  <c r="OW14" i="39"/>
  <c r="IK50" i="35"/>
  <c r="IM50" i="35"/>
  <c r="HT20" i="32"/>
  <c r="HH20" i="32"/>
  <c r="HW13" i="34"/>
  <c r="HQ13" i="34"/>
  <c r="HS13" i="34"/>
  <c r="HU13" i="34"/>
  <c r="OL57" i="39"/>
  <c r="OR57" i="39"/>
  <c r="OK57" i="39"/>
  <c r="GK44" i="21"/>
  <c r="GJ44" i="21"/>
  <c r="OV13" i="34"/>
  <c r="OU13" i="34"/>
  <c r="OM22" i="39"/>
  <c r="OM48" i="34"/>
  <c r="IK57" i="39"/>
  <c r="IM57" i="39"/>
  <c r="HK14" i="19"/>
  <c r="HT16" i="34"/>
  <c r="HH16" i="34"/>
  <c r="HK16" i="34"/>
  <c r="IF62" i="34"/>
  <c r="IB62" i="34"/>
  <c r="ID62" i="34"/>
  <c r="IB40" i="34"/>
  <c r="ID40" i="34"/>
  <c r="IF40" i="34"/>
  <c r="IL32" i="39"/>
  <c r="IJ32" i="39"/>
  <c r="IH32" i="39"/>
  <c r="II108" i="39"/>
  <c r="II110" i="39"/>
  <c r="OH12" i="34"/>
  <c r="HE67" i="34"/>
  <c r="HG12" i="34"/>
  <c r="IK25" i="34"/>
  <c r="IM25" i="34"/>
  <c r="HR93" i="39"/>
  <c r="HP93" i="39"/>
  <c r="OM14" i="35"/>
  <c r="ID42" i="31"/>
  <c r="IB42" i="31"/>
  <c r="IF42" i="31"/>
  <c r="HV32" i="19"/>
  <c r="HZ32" i="19"/>
  <c r="HX32" i="19"/>
  <c r="HY20" i="35"/>
  <c r="IA20" i="35"/>
  <c r="HV29" i="19"/>
  <c r="HZ29" i="19"/>
  <c r="HX29" i="19"/>
  <c r="OU110" i="19"/>
  <c r="OV110" i="19"/>
  <c r="HX31" i="34"/>
  <c r="HZ31" i="34"/>
  <c r="HV31" i="34"/>
  <c r="OL33" i="39"/>
  <c r="OR33" i="39"/>
  <c r="OK33" i="39"/>
  <c r="HK11" i="19"/>
  <c r="HK10" i="21"/>
  <c r="OU67" i="19"/>
  <c r="OV67" i="19"/>
  <c r="IE50" i="35"/>
  <c r="IG50" i="35"/>
  <c r="GJ121" i="19"/>
  <c r="GK121" i="19"/>
  <c r="IG11" i="19"/>
  <c r="IE11" i="19"/>
  <c r="OV46" i="34"/>
  <c r="OU46" i="34"/>
  <c r="HV109" i="19"/>
  <c r="HX109" i="19"/>
  <c r="HZ109" i="19"/>
  <c r="JF109" i="19"/>
  <c r="JJ109" i="19"/>
  <c r="HR58" i="19"/>
  <c r="HP58" i="19"/>
  <c r="KD108" i="39"/>
  <c r="OK29" i="39"/>
  <c r="OL29" i="39"/>
  <c r="OR29" i="39"/>
  <c r="OM18" i="19"/>
  <c r="IH69" i="35"/>
  <c r="IL69" i="35"/>
  <c r="IJ69" i="35"/>
  <c r="KE44" i="21"/>
  <c r="IK16" i="34"/>
  <c r="IM16" i="34"/>
  <c r="OM36" i="35"/>
  <c r="HQ18" i="35"/>
  <c r="HS18" i="35"/>
  <c r="HU18" i="35"/>
  <c r="HW18" i="35"/>
  <c r="OH108" i="39"/>
  <c r="IG43" i="34"/>
  <c r="IE43" i="34"/>
  <c r="IG33" i="35"/>
  <c r="IE33" i="35"/>
  <c r="OV48" i="34"/>
  <c r="OU48" i="34"/>
  <c r="HK37" i="35"/>
  <c r="JF60" i="19"/>
  <c r="JJ60" i="19"/>
  <c r="HK30" i="21"/>
  <c r="HW14" i="19"/>
  <c r="HS14" i="19"/>
  <c r="HU14" i="19"/>
  <c r="HQ14" i="19"/>
  <c r="OL16" i="34"/>
  <c r="OK16" i="34"/>
  <c r="OR16" i="34"/>
  <c r="GZ62" i="34"/>
  <c r="HI62" i="34"/>
  <c r="IB32" i="39"/>
  <c r="ID32" i="39"/>
  <c r="IF32" i="39"/>
  <c r="HR29" i="32"/>
  <c r="HP29" i="32"/>
  <c r="HT16" i="32"/>
  <c r="HH16" i="32"/>
  <c r="HH18" i="32"/>
  <c r="HT18" i="32"/>
  <c r="OM23" i="32"/>
  <c r="OM26" i="32"/>
  <c r="OR16" i="32"/>
  <c r="OK16" i="32"/>
  <c r="OL16" i="32"/>
  <c r="OK18" i="32"/>
  <c r="OL18" i="32"/>
  <c r="OR18" i="32"/>
  <c r="OU10" i="32"/>
  <c r="OV10" i="32"/>
  <c r="HP13" i="32"/>
  <c r="OM22" i="32"/>
  <c r="IB14" i="32"/>
  <c r="ID14" i="32"/>
  <c r="IF14" i="32"/>
  <c r="OK11" i="32"/>
  <c r="OL11" i="32"/>
  <c r="OR11" i="32"/>
  <c r="OL9" i="32"/>
  <c r="OR9" i="32"/>
  <c r="OK9" i="32"/>
  <c r="IJ14" i="32"/>
  <c r="IH14" i="32"/>
  <c r="IL14" i="32"/>
  <c r="HT11" i="32"/>
  <c r="HH11" i="32"/>
  <c r="HH9" i="32"/>
  <c r="HT9" i="32"/>
  <c r="KG36" i="32"/>
  <c r="KF37" i="32"/>
  <c r="HY27" i="32"/>
  <c r="IA27" i="32"/>
  <c r="OK12" i="32"/>
  <c r="OR12" i="32"/>
  <c r="OL12" i="32"/>
  <c r="OM25" i="32"/>
  <c r="HS29" i="32"/>
  <c r="HU29" i="32"/>
  <c r="HU25" i="32"/>
  <c r="HS25" i="32"/>
  <c r="HH12" i="32"/>
  <c r="HT12" i="32"/>
  <c r="HI14" i="32"/>
  <c r="GZ14" i="32"/>
  <c r="GW36" i="32"/>
  <c r="AZ36" i="32"/>
  <c r="OM31" i="32"/>
  <c r="GJ15" i="32"/>
  <c r="GK15" i="32"/>
  <c r="OV25" i="32"/>
  <c r="OU25" i="32"/>
  <c r="OM10" i="32"/>
  <c r="HI31" i="32"/>
  <c r="GZ31" i="32"/>
  <c r="IH15" i="32"/>
  <c r="IL15" i="32"/>
  <c r="IJ15" i="32"/>
  <c r="IB10" i="32"/>
  <c r="ID10" i="32"/>
  <c r="IF10" i="32"/>
  <c r="ID20" i="32"/>
  <c r="IB20" i="32"/>
  <c r="IF20" i="32"/>
  <c r="GZ9" i="32"/>
  <c r="HI9" i="32"/>
  <c r="GK10" i="32"/>
  <c r="GJ10" i="32"/>
  <c r="GK13" i="32"/>
  <c r="GJ13" i="32"/>
  <c r="HH27" i="32"/>
  <c r="HT27" i="32"/>
  <c r="IJ17" i="32"/>
  <c r="IL17" i="32"/>
  <c r="IH17" i="32"/>
  <c r="GJ32" i="32"/>
  <c r="GK32" i="32"/>
  <c r="OW19" i="32"/>
  <c r="IK13" i="32"/>
  <c r="IM13" i="32"/>
  <c r="IF15" i="32"/>
  <c r="IB15" i="32"/>
  <c r="ID15" i="32"/>
  <c r="HW15" i="32"/>
  <c r="HU15" i="32"/>
  <c r="HQ15" i="32"/>
  <c r="HS15" i="32"/>
  <c r="OV14" i="32"/>
  <c r="OU14" i="32"/>
  <c r="OM17" i="32"/>
  <c r="IL20" i="32"/>
  <c r="IJ20" i="32"/>
  <c r="IH20" i="32"/>
  <c r="IJ9" i="32"/>
  <c r="IL9" i="32"/>
  <c r="IH9" i="32"/>
  <c r="II36" i="32"/>
  <c r="II38" i="32"/>
  <c r="OU23" i="32"/>
  <c r="OV23" i="32"/>
  <c r="HI12" i="32"/>
  <c r="GZ12" i="32"/>
  <c r="IE30" i="32"/>
  <c r="IG30" i="32"/>
  <c r="HU31" i="32"/>
  <c r="HS31" i="32"/>
  <c r="HQ31" i="32"/>
  <c r="HW31" i="32"/>
  <c r="HU22" i="32"/>
  <c r="HW22" i="32"/>
  <c r="HS22" i="32"/>
  <c r="HQ22" i="32"/>
  <c r="IQ36" i="32"/>
  <c r="IQ38" i="32"/>
  <c r="OM15" i="32"/>
  <c r="GJ21" i="32"/>
  <c r="GK21" i="32"/>
  <c r="ID29" i="32"/>
  <c r="IB29" i="32"/>
  <c r="IF29" i="32"/>
  <c r="IK27" i="32"/>
  <c r="IM27" i="32"/>
  <c r="OU26" i="32"/>
  <c r="OV26" i="32"/>
  <c r="GK25" i="32"/>
  <c r="GJ25" i="32"/>
  <c r="HV25" i="32"/>
  <c r="HX25" i="32"/>
  <c r="HZ25" i="32"/>
  <c r="IH23" i="32"/>
  <c r="IJ23" i="32"/>
  <c r="IL23" i="32"/>
  <c r="IJ11" i="32"/>
  <c r="IH11" i="32"/>
  <c r="IL11" i="32"/>
  <c r="GJ30" i="32"/>
  <c r="GK30" i="32"/>
  <c r="HI17" i="32"/>
  <c r="GZ17" i="32"/>
  <c r="GK31" i="32"/>
  <c r="GJ31" i="32"/>
  <c r="ID22" i="32"/>
  <c r="IB22" i="32"/>
  <c r="IF22" i="32"/>
  <c r="HV24" i="32"/>
  <c r="HZ24" i="32"/>
  <c r="HX24" i="32"/>
  <c r="FY14" i="32"/>
  <c r="FY36" i="32"/>
  <c r="FZ36" i="32"/>
  <c r="HI25" i="32"/>
  <c r="GZ25" i="32"/>
  <c r="GZ23" i="32"/>
  <c r="HI23" i="32"/>
  <c r="IB9" i="32"/>
  <c r="IF9" i="32"/>
  <c r="ID9" i="32"/>
  <c r="IC36" i="32"/>
  <c r="IC38" i="32"/>
  <c r="GZ11" i="32"/>
  <c r="HI11" i="32"/>
  <c r="IM32" i="32"/>
  <c r="IK32" i="32"/>
  <c r="HU32" i="32"/>
  <c r="HS32" i="32"/>
  <c r="HQ32" i="32"/>
  <c r="OV22" i="32"/>
  <c r="OU22" i="32"/>
  <c r="OK27" i="32"/>
  <c r="OR27" i="32"/>
  <c r="OL27" i="32"/>
  <c r="IJ18" i="32"/>
  <c r="IH18" i="32"/>
  <c r="IL18" i="32"/>
  <c r="HZ19" i="32"/>
  <c r="HV19" i="32"/>
  <c r="HX19" i="32"/>
  <c r="GX36" i="32"/>
  <c r="GJ24" i="32"/>
  <c r="GK24" i="32"/>
  <c r="HI22" i="32"/>
  <c r="GZ22" i="32"/>
  <c r="IH24" i="32"/>
  <c r="IL24" i="32"/>
  <c r="IJ24" i="32"/>
  <c r="HQ26" i="32"/>
  <c r="HW26" i="32"/>
  <c r="HU26" i="32"/>
  <c r="HS26" i="32"/>
  <c r="IL29" i="32"/>
  <c r="IH29" i="32"/>
  <c r="IJ29" i="32"/>
  <c r="IF31" i="32"/>
  <c r="IB31" i="32"/>
  <c r="ID31" i="32"/>
  <c r="OU31" i="32"/>
  <c r="OV31" i="32"/>
  <c r="GJ22" i="32"/>
  <c r="GK22" i="32"/>
  <c r="GZ10" i="32"/>
  <c r="HI10" i="32"/>
  <c r="OW13" i="32"/>
  <c r="IB25" i="32"/>
  <c r="ID25" i="32"/>
  <c r="IF25" i="32"/>
  <c r="IL16" i="32"/>
  <c r="IJ16" i="32"/>
  <c r="IH16" i="32"/>
  <c r="GT39" i="32"/>
  <c r="IB16" i="32"/>
  <c r="ID16" i="32"/>
  <c r="IF16" i="32"/>
  <c r="HS23" i="32"/>
  <c r="HU23" i="32"/>
  <c r="HW23" i="32"/>
  <c r="HQ23" i="32"/>
  <c r="IL22" i="32"/>
  <c r="IJ22" i="32"/>
  <c r="IH22" i="32"/>
  <c r="IM30" i="32"/>
  <c r="IK30" i="32"/>
  <c r="IB24" i="32"/>
  <c r="ID24" i="32"/>
  <c r="IF24" i="32"/>
  <c r="IF12" i="32"/>
  <c r="IB12" i="32"/>
  <c r="ID12" i="32"/>
  <c r="GZ29" i="32"/>
  <c r="HI29" i="32"/>
  <c r="IL31" i="32"/>
  <c r="IJ31" i="32"/>
  <c r="IH31" i="32"/>
  <c r="GJ9" i="32"/>
  <c r="GK9" i="32"/>
  <c r="OR30" i="32"/>
  <c r="OL30" i="32"/>
  <c r="OK30" i="32"/>
  <c r="IF23" i="32"/>
  <c r="ID23" i="32"/>
  <c r="IB23" i="32"/>
  <c r="ID18" i="32"/>
  <c r="IB18" i="32"/>
  <c r="IF18" i="32"/>
  <c r="IE33" i="32"/>
  <c r="HI16" i="32"/>
  <c r="GZ16" i="32"/>
  <c r="HI32" i="32"/>
  <c r="HK32" i="32"/>
  <c r="ID17" i="32"/>
  <c r="IB17" i="32"/>
  <c r="IF17" i="32"/>
  <c r="HI18" i="32"/>
  <c r="GZ18" i="32"/>
  <c r="GZ24" i="32"/>
  <c r="HI24" i="32"/>
  <c r="IL12" i="32"/>
  <c r="IJ12" i="32"/>
  <c r="IH12" i="32"/>
  <c r="GZ15" i="32"/>
  <c r="HI15" i="32"/>
  <c r="KD36" i="32"/>
  <c r="KE9" i="32"/>
  <c r="KE36" i="32"/>
  <c r="HH30" i="32"/>
  <c r="HT30" i="32"/>
  <c r="OV17" i="32"/>
  <c r="OU17" i="32"/>
  <c r="HS34" i="32"/>
  <c r="HU34" i="32"/>
  <c r="HQ34" i="32"/>
  <c r="IJ10" i="32"/>
  <c r="IH10" i="32"/>
  <c r="IL10" i="32"/>
  <c r="IA13" i="32"/>
  <c r="HY13" i="32"/>
  <c r="HP21" i="32"/>
  <c r="HR21" i="32"/>
  <c r="IJ25" i="32"/>
  <c r="IL25" i="32"/>
  <c r="IH25" i="32"/>
  <c r="HU17" i="32"/>
  <c r="HS17" i="32"/>
  <c r="HW17" i="32"/>
  <c r="HQ17" i="32"/>
  <c r="GZ20" i="32"/>
  <c r="HI20" i="32"/>
  <c r="IF11" i="32"/>
  <c r="ID11" i="32"/>
  <c r="IB11" i="32"/>
  <c r="IG34" i="32"/>
  <c r="IE34" i="32"/>
  <c r="HI34" i="32"/>
  <c r="HK34" i="32"/>
  <c r="JG58" i="31"/>
  <c r="JK58" i="31"/>
  <c r="GT63" i="31"/>
  <c r="IB9" i="31"/>
  <c r="OR20" i="31"/>
  <c r="OU20" i="31"/>
  <c r="HT28" i="31"/>
  <c r="HH28" i="31"/>
  <c r="OK28" i="31"/>
  <c r="OL28" i="31"/>
  <c r="OR28" i="31"/>
  <c r="IG35" i="31"/>
  <c r="IE35" i="31"/>
  <c r="IJ16" i="31"/>
  <c r="HK59" i="31"/>
  <c r="IL16" i="31"/>
  <c r="IM16" i="31"/>
  <c r="OV32" i="31"/>
  <c r="OW32" i="31"/>
  <c r="IJ29" i="31"/>
  <c r="IH29" i="31"/>
  <c r="IL29" i="31"/>
  <c r="GJ13" i="31"/>
  <c r="KH60" i="31"/>
  <c r="GZ29" i="31"/>
  <c r="HI29" i="31"/>
  <c r="ID28" i="31"/>
  <c r="IF28" i="31"/>
  <c r="IB28" i="31"/>
  <c r="HU31" i="31"/>
  <c r="HS31" i="31"/>
  <c r="HQ31" i="31"/>
  <c r="GJ36" i="31"/>
  <c r="GK36" i="31"/>
  <c r="IF20" i="31"/>
  <c r="IB20" i="31"/>
  <c r="ID20" i="31"/>
  <c r="GZ21" i="31"/>
  <c r="HI21" i="31"/>
  <c r="IB24" i="31"/>
  <c r="ID24" i="31"/>
  <c r="IF24" i="31"/>
  <c r="IB16" i="31"/>
  <c r="IM59" i="31"/>
  <c r="IK59" i="31"/>
  <c r="HH11" i="31"/>
  <c r="HT11" i="31"/>
  <c r="IL20" i="31"/>
  <c r="IH20" i="31"/>
  <c r="IJ20" i="31"/>
  <c r="OL21" i="31"/>
  <c r="OK21" i="31"/>
  <c r="OR21" i="31"/>
  <c r="IH21" i="31"/>
  <c r="IL21" i="31"/>
  <c r="IJ21" i="31"/>
  <c r="GK19" i="31"/>
  <c r="GJ19" i="31"/>
  <c r="IL33" i="31"/>
  <c r="IH33" i="31"/>
  <c r="IJ33" i="31"/>
  <c r="HS18" i="31"/>
  <c r="HU18" i="31"/>
  <c r="HW18" i="31"/>
  <c r="GZ24" i="31"/>
  <c r="HI24" i="31"/>
  <c r="GZ10" i="31"/>
  <c r="HI10" i="31"/>
  <c r="OU22" i="31"/>
  <c r="OV22" i="31"/>
  <c r="IH24" i="31"/>
  <c r="IL24" i="31"/>
  <c r="IJ24" i="31"/>
  <c r="OL11" i="31"/>
  <c r="OK11" i="31"/>
  <c r="OR11" i="31"/>
  <c r="HT21" i="31"/>
  <c r="HH21" i="31"/>
  <c r="IH14" i="31"/>
  <c r="IL14" i="31"/>
  <c r="IJ14" i="31"/>
  <c r="IB10" i="31"/>
  <c r="IF10" i="31"/>
  <c r="ID10" i="31"/>
  <c r="IQ60" i="31"/>
  <c r="IQ62" i="31"/>
  <c r="HI18" i="31"/>
  <c r="HK18" i="31"/>
  <c r="JM50" i="31"/>
  <c r="ID16" i="31"/>
  <c r="IF19" i="31"/>
  <c r="ID19" i="31"/>
  <c r="IB19" i="31"/>
  <c r="IB14" i="31"/>
  <c r="IF14" i="31"/>
  <c r="ID14" i="31"/>
  <c r="ID21" i="31"/>
  <c r="IB21" i="31"/>
  <c r="IF21" i="31"/>
  <c r="HK16" i="31"/>
  <c r="GZ32" i="31"/>
  <c r="HI32" i="31"/>
  <c r="HK32" i="31"/>
  <c r="HU15" i="31"/>
  <c r="HQ15" i="31"/>
  <c r="HS15" i="31"/>
  <c r="HW15" i="31"/>
  <c r="ID26" i="31"/>
  <c r="IF26" i="31"/>
  <c r="IB26" i="31"/>
  <c r="GZ33" i="31"/>
  <c r="HI33" i="31"/>
  <c r="HK33" i="31"/>
  <c r="GW60" i="31"/>
  <c r="GK39" i="31"/>
  <c r="IJ19" i="31"/>
  <c r="IL19" i="31"/>
  <c r="IH19" i="31"/>
  <c r="HI20" i="31"/>
  <c r="GZ20" i="31"/>
  <c r="HU59" i="31"/>
  <c r="HS59" i="31"/>
  <c r="HQ59" i="31"/>
  <c r="HI14" i="31"/>
  <c r="GZ14" i="31"/>
  <c r="IH32" i="31"/>
  <c r="IL32" i="31"/>
  <c r="IJ32" i="31"/>
  <c r="IB11" i="31"/>
  <c r="IF11" i="31"/>
  <c r="ID11" i="31"/>
  <c r="GZ13" i="31"/>
  <c r="HI13" i="31"/>
  <c r="ID25" i="31"/>
  <c r="IB25" i="31"/>
  <c r="IF25" i="31"/>
  <c r="HI19" i="31"/>
  <c r="GZ19" i="31"/>
  <c r="IH28" i="31"/>
  <c r="IJ28" i="31"/>
  <c r="IL28" i="31"/>
  <c r="HH27" i="31"/>
  <c r="HK27" i="31"/>
  <c r="HT27" i="31"/>
  <c r="IK17" i="31"/>
  <c r="IM17" i="31"/>
  <c r="HR56" i="31"/>
  <c r="HP56" i="31"/>
  <c r="ID27" i="31"/>
  <c r="IF27" i="31"/>
  <c r="IB27" i="31"/>
  <c r="IL11" i="31"/>
  <c r="IJ11" i="31"/>
  <c r="IH11" i="31"/>
  <c r="OR29" i="31"/>
  <c r="OK29" i="31"/>
  <c r="OL29" i="31"/>
  <c r="HU37" i="31"/>
  <c r="HS37" i="31"/>
  <c r="HQ37" i="31"/>
  <c r="OK27" i="31"/>
  <c r="OR27" i="31"/>
  <c r="OL27" i="31"/>
  <c r="HU35" i="31"/>
  <c r="HS35" i="31"/>
  <c r="HQ35" i="31"/>
  <c r="GJ35" i="31"/>
  <c r="GK35" i="31"/>
  <c r="HU40" i="31"/>
  <c r="HQ40" i="31"/>
  <c r="HS40" i="31"/>
  <c r="IF32" i="31"/>
  <c r="ID32" i="31"/>
  <c r="IB32" i="31"/>
  <c r="GZ11" i="31"/>
  <c r="HI11" i="31"/>
  <c r="ID13" i="31"/>
  <c r="IF13" i="31"/>
  <c r="IB13" i="31"/>
  <c r="IH25" i="31"/>
  <c r="IJ25" i="31"/>
  <c r="IL25" i="31"/>
  <c r="IL10" i="31"/>
  <c r="IH10" i="31"/>
  <c r="IJ10" i="31"/>
  <c r="OM16" i="31"/>
  <c r="II60" i="31"/>
  <c r="II62" i="31"/>
  <c r="OM12" i="31"/>
  <c r="JM52" i="31"/>
  <c r="GZ28" i="31"/>
  <c r="HI28" i="31"/>
  <c r="GJ22" i="31"/>
  <c r="GK22" i="31"/>
  <c r="IB33" i="31"/>
  <c r="IF33" i="31"/>
  <c r="ID33" i="31"/>
  <c r="HU22" i="31"/>
  <c r="HS22" i="31"/>
  <c r="HT29" i="31"/>
  <c r="HH29" i="31"/>
  <c r="HS32" i="31"/>
  <c r="HU32" i="31"/>
  <c r="IL13" i="31"/>
  <c r="IH13" i="31"/>
  <c r="IJ13" i="31"/>
  <c r="HI25" i="31"/>
  <c r="GZ25" i="31"/>
  <c r="HR33" i="31"/>
  <c r="HP33" i="31"/>
  <c r="OU13" i="31"/>
  <c r="OV13" i="31"/>
  <c r="OK30" i="31"/>
  <c r="OR30" i="31"/>
  <c r="OL30" i="31"/>
  <c r="HP18" i="31"/>
  <c r="HR18" i="31"/>
  <c r="GK59" i="31"/>
  <c r="GJ59" i="31"/>
  <c r="GK26" i="31"/>
  <c r="GJ26" i="31"/>
  <c r="HQ57" i="31"/>
  <c r="HS57" i="31"/>
  <c r="HU57" i="31"/>
  <c r="OM13" i="31"/>
  <c r="HS14" i="31"/>
  <c r="HW14" i="31"/>
  <c r="HU14" i="31"/>
  <c r="HQ14" i="31"/>
  <c r="IK15" i="31"/>
  <c r="IM15" i="31"/>
  <c r="OH10" i="31"/>
  <c r="HG10" i="31"/>
  <c r="HE60" i="31"/>
  <c r="IE18" i="31"/>
  <c r="IG18" i="31"/>
  <c r="GK43" i="31"/>
  <c r="GJ43" i="31"/>
  <c r="IL41" i="31"/>
  <c r="IH41" i="31"/>
  <c r="IJ41" i="31"/>
  <c r="HT30" i="31"/>
  <c r="HH30" i="31"/>
  <c r="HK30" i="31"/>
  <c r="JM45" i="31"/>
  <c r="GK15" i="31"/>
  <c r="GJ15" i="31"/>
  <c r="HP43" i="31"/>
  <c r="JF43" i="31"/>
  <c r="JJ43" i="31"/>
  <c r="HR43" i="31"/>
  <c r="IK26" i="31"/>
  <c r="IM26" i="31"/>
  <c r="HU12" i="31"/>
  <c r="HQ12" i="31"/>
  <c r="HW12" i="31"/>
  <c r="HS12" i="31"/>
  <c r="GZ41" i="31"/>
  <c r="HI41" i="31"/>
  <c r="IG16" i="31"/>
  <c r="IE16" i="31"/>
  <c r="IK57" i="31"/>
  <c r="IM57" i="31"/>
  <c r="OU26" i="31"/>
  <c r="OV26" i="31"/>
  <c r="HR42" i="31"/>
  <c r="HP42" i="31"/>
  <c r="KD20" i="31"/>
  <c r="KE20" i="31"/>
  <c r="FY20" i="31"/>
  <c r="HS24" i="31"/>
  <c r="HW24" i="31"/>
  <c r="HQ24" i="31"/>
  <c r="HU24" i="31"/>
  <c r="HS26" i="31"/>
  <c r="HU26" i="31"/>
  <c r="HW26" i="31"/>
  <c r="HQ26" i="31"/>
  <c r="IE57" i="31"/>
  <c r="HH25" i="31"/>
  <c r="HT25" i="31"/>
  <c r="HR55" i="31"/>
  <c r="JG55" i="31"/>
  <c r="JK55" i="31"/>
  <c r="HP55" i="31"/>
  <c r="JM55" i="31"/>
  <c r="JF55" i="31"/>
  <c r="JJ55" i="31"/>
  <c r="IG34" i="31"/>
  <c r="IE34" i="31"/>
  <c r="IE39" i="31"/>
  <c r="IG39" i="31"/>
  <c r="GJ40" i="31"/>
  <c r="GK40" i="31"/>
  <c r="GJ23" i="31"/>
  <c r="GK23" i="31"/>
  <c r="HW19" i="31"/>
  <c r="HS19" i="31"/>
  <c r="HU19" i="31"/>
  <c r="HQ19" i="31"/>
  <c r="IM34" i="31"/>
  <c r="IK34" i="31"/>
  <c r="HR41" i="31"/>
  <c r="HP41" i="31"/>
  <c r="IG30" i="31"/>
  <c r="IE30" i="31"/>
  <c r="FY12" i="31"/>
  <c r="KD12" i="31"/>
  <c r="KE12" i="31"/>
  <c r="GJ29" i="31"/>
  <c r="GK29" i="31"/>
  <c r="GK25" i="31"/>
  <c r="GJ25" i="31"/>
  <c r="HP48" i="31"/>
  <c r="HR48" i="31"/>
  <c r="JG48" i="31"/>
  <c r="JK48" i="31"/>
  <c r="JF48" i="31"/>
  <c r="JJ48" i="31"/>
  <c r="IM56" i="31"/>
  <c r="IK56" i="31"/>
  <c r="OT60" i="31"/>
  <c r="HK9" i="31"/>
  <c r="IB41" i="31"/>
  <c r="IF41" i="31"/>
  <c r="ID41" i="31"/>
  <c r="IL38" i="31"/>
  <c r="IH38" i="31"/>
  <c r="IJ38" i="31"/>
  <c r="GA60" i="31"/>
  <c r="HK22" i="31"/>
  <c r="IE9" i="31"/>
  <c r="IG9" i="31"/>
  <c r="IK9" i="31"/>
  <c r="IM9" i="31"/>
  <c r="OV16" i="31"/>
  <c r="OU16" i="31"/>
  <c r="IM43" i="31"/>
  <c r="IK43" i="31"/>
  <c r="OM17" i="31"/>
  <c r="GX60" i="31"/>
  <c r="IM27" i="31"/>
  <c r="IK27" i="31"/>
  <c r="GZ38" i="31"/>
  <c r="HI38" i="31"/>
  <c r="IA34" i="31"/>
  <c r="HY34" i="31"/>
  <c r="JF34" i="31"/>
  <c r="JJ34" i="31"/>
  <c r="HI36" i="31"/>
  <c r="HK36" i="31"/>
  <c r="KE10" i="31"/>
  <c r="GK16" i="31"/>
  <c r="GJ16" i="31"/>
  <c r="IE37" i="31"/>
  <c r="IG37" i="31"/>
  <c r="HP54" i="31"/>
  <c r="HR54" i="31"/>
  <c r="JF54" i="31"/>
  <c r="JJ54" i="31"/>
  <c r="IM22" i="31"/>
  <c r="IK22" i="31"/>
  <c r="OU23" i="31"/>
  <c r="OV23" i="31"/>
  <c r="HW17" i="31"/>
  <c r="HQ17" i="31"/>
  <c r="HU17" i="31"/>
  <c r="HS17" i="31"/>
  <c r="OR25" i="31"/>
  <c r="OK25" i="31"/>
  <c r="OL25" i="31"/>
  <c r="GJ57" i="31"/>
  <c r="GK57" i="31"/>
  <c r="HS23" i="31"/>
  <c r="HQ23" i="31"/>
  <c r="HU23" i="31"/>
  <c r="HW23" i="31"/>
  <c r="GK31" i="31"/>
  <c r="GJ31" i="31"/>
  <c r="OV12" i="31"/>
  <c r="OW12" i="31"/>
  <c r="JG44" i="31"/>
  <c r="JK44" i="31"/>
  <c r="IG56" i="31"/>
  <c r="IE56" i="31"/>
  <c r="JF56" i="31"/>
  <c r="JJ56" i="31"/>
  <c r="HI54" i="31"/>
  <c r="HK54" i="31"/>
  <c r="HK39" i="31"/>
  <c r="IM54" i="31"/>
  <c r="IK54" i="31"/>
  <c r="HW13" i="31"/>
  <c r="HU13" i="31"/>
  <c r="HS13" i="31"/>
  <c r="HQ13" i="31"/>
  <c r="OV17" i="31"/>
  <c r="OU17" i="31"/>
  <c r="IG36" i="31"/>
  <c r="IE36" i="31"/>
  <c r="IG54" i="31"/>
  <c r="IE54" i="31"/>
  <c r="ID38" i="31"/>
  <c r="IB38" i="31"/>
  <c r="IF38" i="31"/>
  <c r="JG45" i="31"/>
  <c r="JK45" i="31"/>
  <c r="HK34" i="31"/>
  <c r="IM18" i="31"/>
  <c r="IK18" i="31"/>
  <c r="HI43" i="31"/>
  <c r="HK43" i="31"/>
  <c r="HI56" i="31"/>
  <c r="HK56" i="31"/>
  <c r="IC60" i="31"/>
  <c r="IC62" i="31"/>
  <c r="IA22" i="31"/>
  <c r="HY22" i="31"/>
  <c r="GK10" i="31"/>
  <c r="GJ10" i="31"/>
  <c r="HK28" i="22"/>
  <c r="HS25" i="22"/>
  <c r="HU25" i="22"/>
  <c r="HQ25" i="22"/>
  <c r="JF25" i="22"/>
  <c r="JJ25" i="22"/>
  <c r="GT32" i="22"/>
  <c r="JM20" i="22"/>
  <c r="JM18" i="22"/>
  <c r="GZ17" i="22"/>
  <c r="IJ17" i="22"/>
  <c r="IL17" i="22"/>
  <c r="IH17" i="22"/>
  <c r="IB17" i="22"/>
  <c r="IF17" i="22"/>
  <c r="ID17" i="22"/>
  <c r="IK16" i="22"/>
  <c r="IM16" i="22"/>
  <c r="GZ11" i="22"/>
  <c r="HI11" i="22"/>
  <c r="GZ23" i="22"/>
  <c r="OU9" i="22"/>
  <c r="OV9" i="22"/>
  <c r="IL12" i="22"/>
  <c r="IJ12" i="22"/>
  <c r="IH12" i="22"/>
  <c r="IL26" i="22"/>
  <c r="IH26" i="22"/>
  <c r="IJ26" i="22"/>
  <c r="OM10" i="22"/>
  <c r="HR27" i="22"/>
  <c r="HP27" i="22"/>
  <c r="GK26" i="22"/>
  <c r="GJ26" i="22"/>
  <c r="HI12" i="22"/>
  <c r="GZ12" i="22"/>
  <c r="OU11" i="22"/>
  <c r="OV11" i="22"/>
  <c r="GZ26" i="22"/>
  <c r="HI26" i="22"/>
  <c r="HY9" i="22"/>
  <c r="KE11" i="22"/>
  <c r="KE29" i="22"/>
  <c r="KD29" i="22"/>
  <c r="OU10" i="22"/>
  <c r="OV10" i="22"/>
  <c r="HR26" i="22"/>
  <c r="HP26" i="22"/>
  <c r="IG22" i="22"/>
  <c r="IE22" i="22"/>
  <c r="JF22" i="22"/>
  <c r="JJ22" i="22"/>
  <c r="OM9" i="22"/>
  <c r="IG10" i="22"/>
  <c r="IE10" i="22"/>
  <c r="IF12" i="22"/>
  <c r="IB12" i="22"/>
  <c r="ID12" i="22"/>
  <c r="HP17" i="22"/>
  <c r="HR17" i="22"/>
  <c r="JM19" i="22"/>
  <c r="HH14" i="22"/>
  <c r="HT14" i="22"/>
  <c r="HG29" i="22"/>
  <c r="OT29" i="22"/>
  <c r="HS10" i="22"/>
  <c r="HU10" i="22"/>
  <c r="HQ10" i="22"/>
  <c r="HW10" i="22"/>
  <c r="JG21" i="22"/>
  <c r="JK21" i="22"/>
  <c r="GK13" i="22"/>
  <c r="GJ13" i="22"/>
  <c r="IK25" i="22"/>
  <c r="IM25" i="22"/>
  <c r="IB27" i="22"/>
  <c r="IF27" i="22"/>
  <c r="ID27" i="22"/>
  <c r="IG25" i="22"/>
  <c r="IE25" i="22"/>
  <c r="IG28" i="22"/>
  <c r="IE28" i="22"/>
  <c r="HR23" i="22"/>
  <c r="HP23" i="22"/>
  <c r="HS28" i="22"/>
  <c r="HU28" i="22"/>
  <c r="HQ28" i="22"/>
  <c r="HU11" i="22"/>
  <c r="HW11" i="22"/>
  <c r="HQ11" i="22"/>
  <c r="HS11" i="22"/>
  <c r="OR14" i="22"/>
  <c r="OK14" i="22"/>
  <c r="OL14" i="22"/>
  <c r="GJ24" i="22"/>
  <c r="GK24" i="22"/>
  <c r="HR13" i="22"/>
  <c r="HP13" i="22"/>
  <c r="JF13" i="22"/>
  <c r="JJ13" i="22"/>
  <c r="JG18" i="22"/>
  <c r="JK18" i="22"/>
  <c r="GJ17" i="22"/>
  <c r="GK17" i="22"/>
  <c r="HR12" i="22"/>
  <c r="HP12" i="22"/>
  <c r="IK10" i="22"/>
  <c r="IM10" i="22"/>
  <c r="IM22" i="22"/>
  <c r="IK22" i="22"/>
  <c r="IF26" i="22"/>
  <c r="ID26" i="22"/>
  <c r="IB26" i="22"/>
  <c r="IL27" i="22"/>
  <c r="IH27" i="22"/>
  <c r="IJ27" i="22"/>
  <c r="GK16" i="22"/>
  <c r="GJ16" i="22"/>
  <c r="IM14" i="22"/>
  <c r="IK14" i="22"/>
  <c r="IH11" i="22"/>
  <c r="IJ11" i="22"/>
  <c r="IL11" i="22"/>
  <c r="IG14" i="22"/>
  <c r="IE14" i="22"/>
  <c r="IL23" i="22"/>
  <c r="IJ23" i="22"/>
  <c r="IH23" i="22"/>
  <c r="HV12" i="22"/>
  <c r="HX12" i="22"/>
  <c r="HZ12" i="22"/>
  <c r="GZ27" i="22"/>
  <c r="HI27" i="22"/>
  <c r="GJ28" i="22"/>
  <c r="GK28" i="22"/>
  <c r="FY29" i="22"/>
  <c r="IF11" i="22"/>
  <c r="ID11" i="22"/>
  <c r="IB11" i="22"/>
  <c r="IK9" i="22"/>
  <c r="IM9" i="22"/>
  <c r="IF23" i="22"/>
  <c r="IB23" i="22"/>
  <c r="ID23" i="22"/>
  <c r="IE13" i="22"/>
  <c r="IG13" i="22"/>
  <c r="HK22" i="22"/>
  <c r="GX29" i="22"/>
  <c r="GY15" i="22"/>
  <c r="GZ15" i="22"/>
  <c r="GW29" i="22"/>
  <c r="IB15" i="22"/>
  <c r="IF15" i="22"/>
  <c r="IC29" i="22"/>
  <c r="IC31" i="22"/>
  <c r="ID15" i="22"/>
  <c r="IL15" i="22"/>
  <c r="IJ15" i="22"/>
  <c r="II29" i="22"/>
  <c r="II31" i="22"/>
  <c r="IH15" i="22"/>
  <c r="HP15" i="22"/>
  <c r="HR15" i="22"/>
  <c r="IK66" i="35"/>
  <c r="IM66" i="35"/>
  <c r="IG66" i="35"/>
  <c r="IE66" i="35"/>
  <c r="GT73" i="35"/>
  <c r="IM64" i="35"/>
  <c r="IE64" i="35"/>
  <c r="IG64" i="35"/>
  <c r="IG63" i="35"/>
  <c r="IE63" i="35"/>
  <c r="HK63" i="35"/>
  <c r="IK68" i="35"/>
  <c r="IM68" i="35"/>
  <c r="JF68" i="35"/>
  <c r="JJ68" i="35"/>
  <c r="HR68" i="35"/>
  <c r="HP68" i="35"/>
  <c r="IJ65" i="35"/>
  <c r="IH65" i="35"/>
  <c r="IL65" i="35"/>
  <c r="GZ65" i="35"/>
  <c r="ID65" i="35"/>
  <c r="IF65" i="35"/>
  <c r="IB65" i="35"/>
  <c r="IG62" i="35"/>
  <c r="IE62" i="35"/>
  <c r="HI61" i="35"/>
  <c r="HK61" i="35"/>
  <c r="IG9" i="35"/>
  <c r="IE9" i="35"/>
  <c r="IK9" i="35"/>
  <c r="IM9" i="35"/>
  <c r="OM9" i="35"/>
  <c r="OV9" i="35"/>
  <c r="OU9" i="35"/>
  <c r="HR9" i="35"/>
  <c r="JF9" i="35"/>
  <c r="HP9" i="35"/>
  <c r="HE36" i="32"/>
  <c r="HG33" i="32"/>
  <c r="JF88" i="19"/>
  <c r="JJ88" i="19"/>
  <c r="IE43" i="31"/>
  <c r="IK21" i="39"/>
  <c r="GZ126" i="19"/>
  <c r="HU34" i="34"/>
  <c r="HS34" i="34"/>
  <c r="HW34" i="34"/>
  <c r="HQ34" i="34"/>
  <c r="IA55" i="35"/>
  <c r="JF17" i="21"/>
  <c r="JJ17" i="21"/>
  <c r="HR97" i="19"/>
  <c r="HQ44" i="39"/>
  <c r="OM62" i="35"/>
  <c r="IL126" i="19"/>
  <c r="HK59" i="34"/>
  <c r="JF97" i="19"/>
  <c r="JJ97" i="19"/>
  <c r="HW44" i="39"/>
  <c r="HP20" i="31"/>
  <c r="HR19" i="32"/>
  <c r="JF37" i="35"/>
  <c r="JJ37" i="35"/>
  <c r="HY37" i="35"/>
  <c r="OM86" i="19"/>
  <c r="HS44" i="39"/>
  <c r="KE126" i="19"/>
  <c r="IE97" i="19"/>
  <c r="IJ126" i="19"/>
  <c r="HR16" i="19"/>
  <c r="IG103" i="19"/>
  <c r="IE103" i="19"/>
  <c r="HY74" i="19"/>
  <c r="HK94" i="39"/>
  <c r="IM57" i="19"/>
  <c r="IK57" i="19"/>
  <c r="IM42" i="31"/>
  <c r="OW92" i="39"/>
  <c r="IE56" i="39"/>
  <c r="IG56" i="39"/>
  <c r="HS69" i="35"/>
  <c r="HK26" i="39"/>
  <c r="OM102" i="19"/>
  <c r="IK41" i="39"/>
  <c r="IM41" i="39"/>
  <c r="IM14" i="39"/>
  <c r="HK25" i="35"/>
  <c r="HK96" i="39"/>
  <c r="OM68" i="39"/>
  <c r="OW24" i="35"/>
  <c r="HU92" i="39"/>
  <c r="HS92" i="39"/>
  <c r="HW92" i="39"/>
  <c r="HQ92" i="39"/>
  <c r="JF63" i="19"/>
  <c r="JJ63" i="19"/>
  <c r="IE9" i="22"/>
  <c r="HK57" i="31"/>
  <c r="OV15" i="32"/>
  <c r="IM16" i="39"/>
  <c r="IG42" i="34"/>
  <c r="IM44" i="35"/>
  <c r="OM66" i="39"/>
  <c r="IE79" i="19"/>
  <c r="HK68" i="35"/>
  <c r="IK68" i="19"/>
  <c r="JG47" i="31"/>
  <c r="JK47" i="31"/>
  <c r="IK26" i="39"/>
  <c r="IM26" i="39"/>
  <c r="JM46" i="31"/>
  <c r="JF29" i="21"/>
  <c r="JJ29" i="21"/>
  <c r="HK24" i="39"/>
  <c r="IE74" i="19"/>
  <c r="OU48" i="39"/>
  <c r="OV48" i="39"/>
  <c r="OW48" i="39"/>
  <c r="HS98" i="39"/>
  <c r="HU98" i="39"/>
  <c r="HW98" i="39"/>
  <c r="HQ98" i="39"/>
  <c r="IG26" i="39"/>
  <c r="IE26" i="39"/>
  <c r="JF12" i="21"/>
  <c r="JJ12" i="21"/>
  <c r="IK92" i="19"/>
  <c r="IM92" i="19"/>
  <c r="IG20" i="19"/>
  <c r="JF54" i="21"/>
  <c r="JJ54" i="21"/>
  <c r="HQ45" i="21"/>
  <c r="HR45" i="21"/>
  <c r="JF48" i="39"/>
  <c r="JJ48" i="39"/>
  <c r="IE91" i="39"/>
  <c r="JM94" i="19"/>
  <c r="IG60" i="19"/>
  <c r="JG60" i="19"/>
  <c r="JK60" i="19"/>
  <c r="IE60" i="19"/>
  <c r="JM60" i="19"/>
  <c r="IK13" i="39"/>
  <c r="IM13" i="39"/>
  <c r="HR31" i="35"/>
  <c r="HP31" i="35"/>
  <c r="IE112" i="19"/>
  <c r="JM112" i="19"/>
  <c r="IG112" i="19"/>
  <c r="JG112" i="19"/>
  <c r="JK112" i="19"/>
  <c r="HW45" i="21"/>
  <c r="IG63" i="19"/>
  <c r="HU45" i="21"/>
  <c r="JG74" i="19"/>
  <c r="JK74" i="19"/>
  <c r="HU69" i="35"/>
  <c r="HK21" i="32"/>
  <c r="JF90" i="19"/>
  <c r="JJ90" i="19"/>
  <c r="HK18" i="19"/>
  <c r="OM63" i="35"/>
  <c r="HP11" i="19"/>
  <c r="HR11" i="19"/>
  <c r="HX71" i="39"/>
  <c r="JF11" i="19"/>
  <c r="JJ11" i="19"/>
  <c r="HR38" i="34"/>
  <c r="IK35" i="31"/>
  <c r="HQ14" i="32"/>
  <c r="HV71" i="39"/>
  <c r="IK48" i="39"/>
  <c r="HK34" i="34"/>
  <c r="HK49" i="19"/>
  <c r="OW50" i="35"/>
  <c r="OM39" i="39"/>
  <c r="OM91" i="39"/>
  <c r="HW14" i="32"/>
  <c r="HX14" i="21"/>
  <c r="HY105" i="19"/>
  <c r="IM17" i="21"/>
  <c r="IM90" i="19"/>
  <c r="JM100" i="39"/>
  <c r="HV89" i="39"/>
  <c r="IK59" i="19"/>
  <c r="IM59" i="19"/>
  <c r="IG59" i="19"/>
  <c r="IE59" i="19"/>
  <c r="OU14" i="31"/>
  <c r="HZ14" i="21"/>
  <c r="ID13" i="33"/>
  <c r="ID15" i="33"/>
  <c r="OW61" i="35"/>
  <c r="IM98" i="19"/>
  <c r="IA31" i="35"/>
  <c r="OM76" i="39"/>
  <c r="IG26" i="32"/>
  <c r="HY11" i="19"/>
  <c r="JG37" i="35"/>
  <c r="JK37" i="35"/>
  <c r="IE63" i="19"/>
  <c r="HY44" i="35"/>
  <c r="JF76" i="19"/>
  <c r="JJ76" i="19"/>
  <c r="OM67" i="39"/>
  <c r="IK18" i="19"/>
  <c r="IM18" i="19"/>
  <c r="OU68" i="35"/>
  <c r="OV68" i="35"/>
  <c r="OU64" i="35"/>
  <c r="OV64" i="35"/>
  <c r="OU65" i="35"/>
  <c r="OV65" i="35"/>
  <c r="OU62" i="35"/>
  <c r="OV62" i="35"/>
  <c r="HW19" i="34"/>
  <c r="IK63" i="19"/>
  <c r="HK10" i="35"/>
  <c r="HK55" i="19"/>
  <c r="OM95" i="39"/>
  <c r="HK92" i="19"/>
  <c r="HK46" i="21"/>
  <c r="IM89" i="19"/>
  <c r="IK89" i="19"/>
  <c r="OM64" i="35"/>
  <c r="JF14" i="39"/>
  <c r="JJ14" i="39"/>
  <c r="OU69" i="35"/>
  <c r="OV69" i="35"/>
  <c r="IG46" i="21"/>
  <c r="IE46" i="21"/>
  <c r="JF44" i="35"/>
  <c r="JJ44" i="35"/>
  <c r="IE104" i="19"/>
  <c r="HK23" i="39"/>
  <c r="OM69" i="35"/>
  <c r="OM67" i="35"/>
  <c r="HU63" i="35"/>
  <c r="HQ63" i="35"/>
  <c r="HS63" i="35"/>
  <c r="OV24" i="31"/>
  <c r="OW24" i="31"/>
  <c r="OR70" i="35"/>
  <c r="OM77" i="19"/>
  <c r="OM52" i="19"/>
  <c r="OM101" i="39"/>
  <c r="IE92" i="19"/>
  <c r="JM92" i="19"/>
  <c r="IG92" i="19"/>
  <c r="JG92" i="19"/>
  <c r="JK92" i="19"/>
  <c r="OU67" i="35"/>
  <c r="OV67" i="35"/>
  <c r="OU66" i="35"/>
  <c r="OV66" i="35"/>
  <c r="OM23" i="39"/>
  <c r="OU63" i="35"/>
  <c r="OV63" i="35"/>
  <c r="HQ65" i="35"/>
  <c r="HU65" i="35"/>
  <c r="HS65" i="35"/>
  <c r="OM66" i="35"/>
  <c r="IK63" i="35"/>
  <c r="OM86" i="39"/>
  <c r="HP62" i="19"/>
  <c r="HR62" i="19"/>
  <c r="IM46" i="21"/>
  <c r="IK46" i="21"/>
  <c r="HQ64" i="35"/>
  <c r="HS64" i="35"/>
  <c r="HU64" i="35"/>
  <c r="OM68" i="35"/>
  <c r="HK42" i="39"/>
  <c r="OU96" i="39"/>
  <c r="OV96" i="39"/>
  <c r="HU95" i="39"/>
  <c r="HS95" i="39"/>
  <c r="HW95" i="39"/>
  <c r="HQ95" i="39"/>
  <c r="HW91" i="39"/>
  <c r="HQ91" i="39"/>
  <c r="HU91" i="39"/>
  <c r="HS91" i="39"/>
  <c r="HS96" i="39"/>
  <c r="HU96" i="39"/>
  <c r="HW96" i="39"/>
  <c r="HQ96" i="39"/>
  <c r="IE96" i="39"/>
  <c r="IG96" i="39"/>
  <c r="OU95" i="39"/>
  <c r="OV95" i="39"/>
  <c r="OM96" i="39"/>
  <c r="HQ101" i="39"/>
  <c r="HS101" i="39"/>
  <c r="HU101" i="39"/>
  <c r="OV39" i="39"/>
  <c r="OU39" i="39"/>
  <c r="OV91" i="39"/>
  <c r="OU91" i="39"/>
  <c r="IG73" i="39"/>
  <c r="IE73" i="39"/>
  <c r="HR70" i="39"/>
  <c r="HU90" i="39"/>
  <c r="HQ90" i="39"/>
  <c r="HW90" i="39"/>
  <c r="HS90" i="39"/>
  <c r="OV107" i="39"/>
  <c r="OU107" i="39"/>
  <c r="OV86" i="39"/>
  <c r="OU86" i="39"/>
  <c r="HP87" i="39"/>
  <c r="JM87" i="39"/>
  <c r="HR87" i="39"/>
  <c r="JG87" i="39"/>
  <c r="JK87" i="39"/>
  <c r="HP71" i="39"/>
  <c r="OV67" i="39"/>
  <c r="OU67" i="39"/>
  <c r="HU86" i="39"/>
  <c r="HS86" i="39"/>
  <c r="HQ86" i="39"/>
  <c r="HW86" i="39"/>
  <c r="HS39" i="39"/>
  <c r="HQ39" i="39"/>
  <c r="HU39" i="39"/>
  <c r="HW39" i="39"/>
  <c r="OM90" i="39"/>
  <c r="IK73" i="39"/>
  <c r="IM73" i="39"/>
  <c r="HU107" i="39"/>
  <c r="HS107" i="39"/>
  <c r="HQ107" i="39"/>
  <c r="OU90" i="39"/>
  <c r="OV90" i="39"/>
  <c r="OV68" i="39"/>
  <c r="OU68" i="39"/>
  <c r="OM107" i="39"/>
  <c r="OU23" i="39"/>
  <c r="OV23" i="39"/>
  <c r="IK96" i="39"/>
  <c r="IM96" i="39"/>
  <c r="OV101" i="39"/>
  <c r="OU101" i="39"/>
  <c r="HU23" i="39"/>
  <c r="HQ23" i="39"/>
  <c r="HW23" i="39"/>
  <c r="HS23" i="39"/>
  <c r="OL29" i="22"/>
  <c r="HK64" i="19"/>
  <c r="JF15" i="19"/>
  <c r="JJ15" i="19"/>
  <c r="KF58" i="21"/>
  <c r="OM39" i="19"/>
  <c r="OM27" i="34"/>
  <c r="HR46" i="21"/>
  <c r="JF46" i="21"/>
  <c r="JJ46" i="21"/>
  <c r="HP46" i="21"/>
  <c r="HU76" i="39"/>
  <c r="HS76" i="39"/>
  <c r="HW76" i="39"/>
  <c r="HQ76" i="39"/>
  <c r="HW41" i="19"/>
  <c r="HS41" i="19"/>
  <c r="HQ41" i="19"/>
  <c r="HU41" i="19"/>
  <c r="HP12" i="35"/>
  <c r="HR12" i="35"/>
  <c r="IG19" i="32"/>
  <c r="GZ135" i="19"/>
  <c r="HK18" i="35"/>
  <c r="HZ12" i="35"/>
  <c r="HV12" i="35"/>
  <c r="HX12" i="35"/>
  <c r="IG74" i="39"/>
  <c r="IE74" i="39"/>
  <c r="JF23" i="22"/>
  <c r="JJ23" i="22"/>
  <c r="IM34" i="32"/>
  <c r="IA14" i="39"/>
  <c r="JG14" i="39"/>
  <c r="JK14" i="39"/>
  <c r="JF99" i="19"/>
  <c r="JJ99" i="19"/>
  <c r="HR57" i="35"/>
  <c r="JM74" i="19"/>
  <c r="OU76" i="39"/>
  <c r="OV76" i="39"/>
  <c r="JF9" i="31"/>
  <c r="JJ9" i="31"/>
  <c r="IE22" i="35"/>
  <c r="OM55" i="34"/>
  <c r="HK32" i="19"/>
  <c r="HT70" i="35"/>
  <c r="HT72" i="35"/>
  <c r="HV15" i="39"/>
  <c r="HZ15" i="39"/>
  <c r="HX15" i="39"/>
  <c r="OM41" i="19"/>
  <c r="HY9" i="31"/>
  <c r="JM9" i="31"/>
  <c r="JF74" i="19"/>
  <c r="JJ74" i="19"/>
  <c r="JF22" i="35"/>
  <c r="JJ22" i="35"/>
  <c r="HK45" i="39"/>
  <c r="HU16" i="31"/>
  <c r="HS16" i="31"/>
  <c r="HQ16" i="31"/>
  <c r="IE21" i="39"/>
  <c r="IG21" i="39"/>
  <c r="HR15" i="39"/>
  <c r="HP15" i="39"/>
  <c r="OU41" i="19"/>
  <c r="OV41" i="19"/>
  <c r="HK24" i="34"/>
  <c r="OL57" i="21"/>
  <c r="HK52" i="35"/>
  <c r="HP62" i="35"/>
  <c r="JM62" i="35"/>
  <c r="HR62" i="35"/>
  <c r="JG62" i="35"/>
  <c r="JK62" i="35"/>
  <c r="HP107" i="19"/>
  <c r="HR107" i="19"/>
  <c r="IA27" i="35"/>
  <c r="JG27" i="35"/>
  <c r="JK27" i="35"/>
  <c r="HY27" i="35"/>
  <c r="JM27" i="35"/>
  <c r="JF62" i="35"/>
  <c r="JJ62" i="35"/>
  <c r="IM24" i="34"/>
  <c r="IJ13" i="33"/>
  <c r="IJ15" i="33"/>
  <c r="HP34" i="21"/>
  <c r="JF36" i="34"/>
  <c r="JJ36" i="34"/>
  <c r="HK82" i="39"/>
  <c r="IK25" i="19"/>
  <c r="OV38" i="39"/>
  <c r="OU38" i="39"/>
  <c r="OM64" i="19"/>
  <c r="HV107" i="19"/>
  <c r="HZ107" i="19"/>
  <c r="JF107" i="19"/>
  <c r="JJ107" i="19"/>
  <c r="HX107" i="19"/>
  <c r="IG49" i="19"/>
  <c r="IE49" i="19"/>
  <c r="OK29" i="22"/>
  <c r="OV19" i="31"/>
  <c r="OW19" i="31"/>
  <c r="JF32" i="19"/>
  <c r="JJ32" i="19"/>
  <c r="HP62" i="34"/>
  <c r="JF29" i="34"/>
  <c r="JJ29" i="34"/>
  <c r="HY44" i="34"/>
  <c r="JM44" i="34"/>
  <c r="JF56" i="19"/>
  <c r="JJ56" i="19"/>
  <c r="OM38" i="39"/>
  <c r="OU77" i="19"/>
  <c r="OV77" i="19"/>
  <c r="HU27" i="34"/>
  <c r="HS27" i="34"/>
  <c r="HW27" i="34"/>
  <c r="HQ27" i="34"/>
  <c r="OU52" i="19"/>
  <c r="OV52" i="19"/>
  <c r="OU64" i="19"/>
  <c r="OV64" i="19"/>
  <c r="HU38" i="39"/>
  <c r="HQ38" i="39"/>
  <c r="HS38" i="39"/>
  <c r="HW38" i="39"/>
  <c r="JG88" i="19"/>
  <c r="JK88" i="19"/>
  <c r="HV16" i="31"/>
  <c r="JM48" i="31"/>
  <c r="IG27" i="32"/>
  <c r="JF42" i="31"/>
  <c r="JJ42" i="31"/>
  <c r="HX12" i="39"/>
  <c r="IA44" i="34"/>
  <c r="JG44" i="34"/>
  <c r="JK44" i="34"/>
  <c r="HS64" i="19"/>
  <c r="HW64" i="19"/>
  <c r="HU64" i="19"/>
  <c r="HQ64" i="19"/>
  <c r="HX44" i="39"/>
  <c r="HV44" i="39"/>
  <c r="HZ44" i="39"/>
  <c r="OU102" i="19"/>
  <c r="OV102" i="19"/>
  <c r="HY53" i="19"/>
  <c r="JM53" i="19"/>
  <c r="IA53" i="19"/>
  <c r="JG53" i="19"/>
  <c r="JK53" i="19"/>
  <c r="HS52" i="19"/>
  <c r="HQ52" i="19"/>
  <c r="HW52" i="19"/>
  <c r="HU52" i="19"/>
  <c r="HX16" i="31"/>
  <c r="IK39" i="31"/>
  <c r="HU14" i="32"/>
  <c r="HV12" i="39"/>
  <c r="JM75" i="19"/>
  <c r="JM91" i="19"/>
  <c r="OK70" i="35"/>
  <c r="OM99" i="39"/>
  <c r="HK63" i="39"/>
  <c r="HR103" i="19"/>
  <c r="JM10" i="33"/>
  <c r="OM59" i="39"/>
  <c r="OW53" i="19"/>
  <c r="OV27" i="34"/>
  <c r="OU27" i="34"/>
  <c r="HW102" i="19"/>
  <c r="HU102" i="19"/>
  <c r="HQ102" i="19"/>
  <c r="HS102" i="19"/>
  <c r="HY17" i="19"/>
  <c r="IA17" i="19"/>
  <c r="JF17" i="19"/>
  <c r="JJ17" i="19"/>
  <c r="HQ77" i="19"/>
  <c r="HW77" i="19"/>
  <c r="HU77" i="19"/>
  <c r="HS77" i="19"/>
  <c r="HR44" i="39"/>
  <c r="HP44" i="39"/>
  <c r="IK17" i="19"/>
  <c r="IM17" i="19"/>
  <c r="IM39" i="31"/>
  <c r="JG39" i="31"/>
  <c r="JK39" i="31"/>
  <c r="OV18" i="31"/>
  <c r="OW18" i="31"/>
  <c r="IE40" i="19"/>
  <c r="JM56" i="39"/>
  <c r="JF16" i="19"/>
  <c r="JJ16" i="19"/>
  <c r="JG10" i="33"/>
  <c r="JK10" i="33"/>
  <c r="OW106" i="19"/>
  <c r="OW25" i="21"/>
  <c r="HK42" i="35"/>
  <c r="HK51" i="19"/>
  <c r="IE82" i="19"/>
  <c r="IG82" i="19"/>
  <c r="IE25" i="34"/>
  <c r="IM38" i="39"/>
  <c r="IG14" i="21"/>
  <c r="OU16" i="35"/>
  <c r="OV16" i="35"/>
  <c r="HY80" i="19"/>
  <c r="IA80" i="19"/>
  <c r="JF40" i="19"/>
  <c r="JJ40" i="19"/>
  <c r="JG40" i="19"/>
  <c r="JK40" i="19"/>
  <c r="IK24" i="21"/>
  <c r="IE20" i="21"/>
  <c r="HK47" i="35"/>
  <c r="HK19" i="19"/>
  <c r="HK87" i="19"/>
  <c r="HK12" i="35"/>
  <c r="HK84" i="19"/>
  <c r="HK105" i="19"/>
  <c r="HW86" i="19"/>
  <c r="HS86" i="19"/>
  <c r="HQ86" i="19"/>
  <c r="HU86" i="19"/>
  <c r="IK18" i="35"/>
  <c r="IM18" i="35"/>
  <c r="IK36" i="39"/>
  <c r="IM36" i="39"/>
  <c r="GJ12" i="21"/>
  <c r="GK12" i="21"/>
  <c r="HW59" i="39"/>
  <c r="HU59" i="39"/>
  <c r="HS59" i="39"/>
  <c r="HQ59" i="39"/>
  <c r="HU39" i="19"/>
  <c r="HQ39" i="19"/>
  <c r="HS39" i="19"/>
  <c r="HW39" i="19"/>
  <c r="OW30" i="21"/>
  <c r="HP27" i="39"/>
  <c r="HR27" i="39"/>
  <c r="OV59" i="39"/>
  <c r="OU59" i="39"/>
  <c r="HK11" i="34"/>
  <c r="IM11" i="34"/>
  <c r="JG11" i="34"/>
  <c r="JK11" i="34"/>
  <c r="JF11" i="34"/>
  <c r="JJ11" i="34"/>
  <c r="IK11" i="34"/>
  <c r="JM11" i="34"/>
  <c r="HV27" i="39"/>
  <c r="HX27" i="39"/>
  <c r="HZ27" i="39"/>
  <c r="OV39" i="19"/>
  <c r="OU39" i="19"/>
  <c r="HR28" i="35"/>
  <c r="HP28" i="35"/>
  <c r="HY97" i="19"/>
  <c r="JM97" i="19"/>
  <c r="IA97" i="19"/>
  <c r="JG97" i="19"/>
  <c r="JK97" i="19"/>
  <c r="OU86" i="19"/>
  <c r="OV86" i="19"/>
  <c r="HX36" i="34"/>
  <c r="OL70" i="35"/>
  <c r="HR75" i="39"/>
  <c r="HK23" i="35"/>
  <c r="HI136" i="19"/>
  <c r="OW71" i="19"/>
  <c r="HS23" i="35"/>
  <c r="HU23" i="35"/>
  <c r="HZ78" i="19"/>
  <c r="HV78" i="19"/>
  <c r="HX78" i="19"/>
  <c r="HX28" i="35"/>
  <c r="HV28" i="35"/>
  <c r="HZ28" i="35"/>
  <c r="JF28" i="35"/>
  <c r="JJ28" i="35"/>
  <c r="OV23" i="35"/>
  <c r="OU23" i="35"/>
  <c r="GZ134" i="19"/>
  <c r="HP43" i="35"/>
  <c r="OM85" i="39"/>
  <c r="HK102" i="19"/>
  <c r="IE43" i="35"/>
  <c r="IG43" i="35"/>
  <c r="IM9" i="33"/>
  <c r="JG9" i="33"/>
  <c r="JF9" i="33"/>
  <c r="JJ9" i="33"/>
  <c r="IK9" i="33"/>
  <c r="JM9" i="33"/>
  <c r="IA81" i="19"/>
  <c r="HY81" i="19"/>
  <c r="IG25" i="35"/>
  <c r="IE25" i="35"/>
  <c r="OM23" i="35"/>
  <c r="FY57" i="21"/>
  <c r="HP45" i="21"/>
  <c r="JF20" i="21"/>
  <c r="JJ20" i="21"/>
  <c r="JF38" i="34"/>
  <c r="JJ38" i="34"/>
  <c r="HW16" i="35"/>
  <c r="HS16" i="35"/>
  <c r="HU16" i="35"/>
  <c r="HQ16" i="35"/>
  <c r="OM16" i="35"/>
  <c r="IG69" i="19"/>
  <c r="IE69" i="19"/>
  <c r="HK28" i="19"/>
  <c r="IK76" i="19"/>
  <c r="IM76" i="19"/>
  <c r="IM71" i="19"/>
  <c r="IK71" i="19"/>
  <c r="IK96" i="19"/>
  <c r="IM96" i="19"/>
  <c r="HP18" i="39"/>
  <c r="HR18" i="39"/>
  <c r="IG12" i="35"/>
  <c r="IE12" i="35"/>
  <c r="OR29" i="22"/>
  <c r="IA89" i="39"/>
  <c r="ID70" i="35"/>
  <c r="ID72" i="35"/>
  <c r="HK35" i="21"/>
  <c r="IK84" i="19"/>
  <c r="IM84" i="19"/>
  <c r="HV18" i="39"/>
  <c r="HX18" i="39"/>
  <c r="HZ18" i="39"/>
  <c r="IG76" i="19"/>
  <c r="IE76" i="19"/>
  <c r="IK102" i="19"/>
  <c r="IM102" i="19"/>
  <c r="OV85" i="39"/>
  <c r="OU85" i="39"/>
  <c r="JF36" i="31"/>
  <c r="JJ36" i="31"/>
  <c r="HU10" i="32"/>
  <c r="HQ66" i="39"/>
  <c r="HU66" i="39"/>
  <c r="HW66" i="39"/>
  <c r="HS66" i="39"/>
  <c r="IE84" i="19"/>
  <c r="IG84" i="19"/>
  <c r="HQ85" i="39"/>
  <c r="HU85" i="39"/>
  <c r="HS85" i="39"/>
  <c r="HW85" i="39"/>
  <c r="HZ20" i="31"/>
  <c r="JF20" i="31"/>
  <c r="JJ20" i="31"/>
  <c r="HW10" i="32"/>
  <c r="HV10" i="32"/>
  <c r="GZ129" i="19"/>
  <c r="HY17" i="35"/>
  <c r="JM17" i="35"/>
  <c r="HK96" i="19"/>
  <c r="IG19" i="35"/>
  <c r="IE19" i="35"/>
  <c r="HY30" i="19"/>
  <c r="JM30" i="19"/>
  <c r="IA30" i="19"/>
  <c r="JG30" i="19"/>
  <c r="JK30" i="19"/>
  <c r="HX20" i="31"/>
  <c r="HQ10" i="32"/>
  <c r="HR10" i="32"/>
  <c r="IA17" i="35"/>
  <c r="JG17" i="35"/>
  <c r="JK17" i="35"/>
  <c r="HK33" i="39"/>
  <c r="IM105" i="19"/>
  <c r="IK105" i="19"/>
  <c r="IM69" i="19"/>
  <c r="IK69" i="19"/>
  <c r="JF105" i="19"/>
  <c r="JJ105" i="19"/>
  <c r="OW18" i="39"/>
  <c r="IG27" i="19"/>
  <c r="JG27" i="19"/>
  <c r="JK27" i="19"/>
  <c r="IE27" i="19"/>
  <c r="JM27" i="19"/>
  <c r="HK76" i="19"/>
  <c r="JF21" i="35"/>
  <c r="JJ21" i="35"/>
  <c r="IM21" i="35"/>
  <c r="JG21" i="35"/>
  <c r="JK21" i="35"/>
  <c r="IK21" i="35"/>
  <c r="JM21" i="35"/>
  <c r="IG96" i="19"/>
  <c r="IE96" i="19"/>
  <c r="IK66" i="19"/>
  <c r="IM66" i="19"/>
  <c r="IK19" i="35"/>
  <c r="IM19" i="35"/>
  <c r="IG105" i="19"/>
  <c r="IE105" i="19"/>
  <c r="IM36" i="31"/>
  <c r="JG36" i="31"/>
  <c r="JK36" i="31"/>
  <c r="IG13" i="32"/>
  <c r="JG13" i="32"/>
  <c r="JK13" i="32"/>
  <c r="HK99" i="19"/>
  <c r="HK24" i="19"/>
  <c r="JF38" i="35"/>
  <c r="JJ38" i="35"/>
  <c r="OV66" i="39"/>
  <c r="OU66" i="39"/>
  <c r="JF22" i="31"/>
  <c r="JJ22" i="31"/>
  <c r="IE22" i="31"/>
  <c r="JM22" i="31"/>
  <c r="HK30" i="32"/>
  <c r="KD57" i="21"/>
  <c r="KE57" i="21"/>
  <c r="IJ128" i="19"/>
  <c r="HR40" i="21"/>
  <c r="HP40" i="21"/>
  <c r="GZ133" i="19"/>
  <c r="JF77" i="39"/>
  <c r="JJ77" i="39"/>
  <c r="HK34" i="19"/>
  <c r="HX40" i="21"/>
  <c r="HZ40" i="21"/>
  <c r="JF40" i="21"/>
  <c r="JJ40" i="21"/>
  <c r="HV40" i="21"/>
  <c r="HV47" i="39"/>
  <c r="HX47" i="39"/>
  <c r="HZ47" i="39"/>
  <c r="JM113" i="19"/>
  <c r="HP36" i="34"/>
  <c r="HK47" i="19"/>
  <c r="HK62" i="39"/>
  <c r="HK40" i="39"/>
  <c r="JM36" i="19"/>
  <c r="HK12" i="19"/>
  <c r="HK86" i="19"/>
  <c r="OW38" i="35"/>
  <c r="IK33" i="39"/>
  <c r="IM33" i="39"/>
  <c r="JF9" i="22"/>
  <c r="JJ9" i="22"/>
  <c r="HV36" i="34"/>
  <c r="JF53" i="39"/>
  <c r="JJ53" i="39"/>
  <c r="OM44" i="21"/>
  <c r="OM57" i="21"/>
  <c r="HK49" i="39"/>
  <c r="JF59" i="35"/>
  <c r="JJ59" i="35"/>
  <c r="HK10" i="19"/>
  <c r="HR71" i="19"/>
  <c r="HP71" i="19"/>
  <c r="HI134" i="19"/>
  <c r="HV71" i="19"/>
  <c r="HZ71" i="19"/>
  <c r="JF71" i="19"/>
  <c r="JJ71" i="19"/>
  <c r="HX71" i="19"/>
  <c r="GZ131" i="19"/>
  <c r="OM26" i="31"/>
  <c r="JM88" i="19"/>
  <c r="OW15" i="21"/>
  <c r="HK15" i="35"/>
  <c r="HK38" i="35"/>
  <c r="HK46" i="35"/>
  <c r="GZ132" i="19"/>
  <c r="HK30" i="39"/>
  <c r="JF52" i="35"/>
  <c r="JJ52" i="35"/>
  <c r="IM82" i="39"/>
  <c r="IK82" i="39"/>
  <c r="IE33" i="39"/>
  <c r="IG33" i="39"/>
  <c r="IE23" i="39"/>
  <c r="IG23" i="39"/>
  <c r="JM38" i="19"/>
  <c r="HK22" i="34"/>
  <c r="JF116" i="19"/>
  <c r="JJ116" i="19"/>
  <c r="HK44" i="35"/>
  <c r="HK83" i="39"/>
  <c r="HK17" i="31"/>
  <c r="IE82" i="39"/>
  <c r="IG82" i="39"/>
  <c r="HP47" i="39"/>
  <c r="HR47" i="39"/>
  <c r="IE123" i="19"/>
  <c r="IG123" i="19"/>
  <c r="JF123" i="19"/>
  <c r="JJ123" i="19"/>
  <c r="IK123" i="19"/>
  <c r="IM123" i="19"/>
  <c r="HP32" i="39"/>
  <c r="JF49" i="34"/>
  <c r="JJ49" i="34"/>
  <c r="JM37" i="35"/>
  <c r="JF34" i="21"/>
  <c r="JJ34" i="21"/>
  <c r="HK13" i="35"/>
  <c r="HK36" i="35"/>
  <c r="IE54" i="21"/>
  <c r="IG54" i="21"/>
  <c r="IM42" i="35"/>
  <c r="IK42" i="35"/>
  <c r="IG47" i="19"/>
  <c r="IE47" i="19"/>
  <c r="OW54" i="19"/>
  <c r="IE38" i="35"/>
  <c r="IG38" i="35"/>
  <c r="OW91" i="19"/>
  <c r="HI135" i="19"/>
  <c r="HQ40" i="34"/>
  <c r="HP40" i="34"/>
  <c r="JM44" i="19"/>
  <c r="HK32" i="35"/>
  <c r="HK40" i="35"/>
  <c r="HK81" i="19"/>
  <c r="IG40" i="21"/>
  <c r="IE40" i="21"/>
  <c r="JF12" i="19"/>
  <c r="JJ12" i="19"/>
  <c r="IE12" i="19"/>
  <c r="IG12" i="19"/>
  <c r="IG126" i="19"/>
  <c r="HY43" i="35"/>
  <c r="IA43" i="35"/>
  <c r="JF43" i="35"/>
  <c r="JJ43" i="35"/>
  <c r="IG19" i="19"/>
  <c r="IE19" i="19"/>
  <c r="IK55" i="19"/>
  <c r="IM55" i="19"/>
  <c r="IE22" i="21"/>
  <c r="IG22" i="21"/>
  <c r="IE47" i="35"/>
  <c r="IG47" i="35"/>
  <c r="IG42" i="35"/>
  <c r="IE42" i="35"/>
  <c r="IG28" i="19"/>
  <c r="IE28" i="19"/>
  <c r="IG34" i="19"/>
  <c r="IE34" i="19"/>
  <c r="IM40" i="21"/>
  <c r="IK40" i="21"/>
  <c r="HI131" i="19"/>
  <c r="IA34" i="21"/>
  <c r="IM10" i="35"/>
  <c r="IK10" i="35"/>
  <c r="HK54" i="19"/>
  <c r="IG19" i="39"/>
  <c r="IE19" i="39"/>
  <c r="HY62" i="19"/>
  <c r="IA62" i="19"/>
  <c r="JF62" i="19"/>
  <c r="JJ62" i="19"/>
  <c r="IM12" i="19"/>
  <c r="IK12" i="19"/>
  <c r="JM12" i="19"/>
  <c r="HK43" i="35"/>
  <c r="IK56" i="19"/>
  <c r="JM56" i="19"/>
  <c r="IM56" i="19"/>
  <c r="JG56" i="19"/>
  <c r="JK56" i="19"/>
  <c r="IK62" i="19"/>
  <c r="IM62" i="19"/>
  <c r="GZ128" i="19"/>
  <c r="HI132" i="19"/>
  <c r="JG56" i="39"/>
  <c r="JK56" i="39"/>
  <c r="HK15" i="21"/>
  <c r="OM34" i="39"/>
  <c r="HK90" i="19"/>
  <c r="IK19" i="19"/>
  <c r="IM19" i="19"/>
  <c r="IM52" i="35"/>
  <c r="IK52" i="35"/>
  <c r="IM38" i="35"/>
  <c r="IK38" i="35"/>
  <c r="IE10" i="35"/>
  <c r="IG10" i="35"/>
  <c r="HR48" i="35"/>
  <c r="HP48" i="35"/>
  <c r="HI133" i="19"/>
  <c r="IE90" i="19"/>
  <c r="JM90" i="19"/>
  <c r="IG90" i="19"/>
  <c r="JG90" i="19"/>
  <c r="JK90" i="19"/>
  <c r="IE51" i="19"/>
  <c r="IG51" i="19"/>
  <c r="IK34" i="19"/>
  <c r="IM34" i="19"/>
  <c r="IK51" i="19"/>
  <c r="IM51" i="19"/>
  <c r="IK54" i="19"/>
  <c r="JM54" i="19"/>
  <c r="JF54" i="19"/>
  <c r="JJ54" i="19"/>
  <c r="IM54" i="19"/>
  <c r="JG54" i="19"/>
  <c r="JK54" i="19"/>
  <c r="HZ48" i="35"/>
  <c r="HX48" i="35"/>
  <c r="HV48" i="35"/>
  <c r="GZ136" i="19"/>
  <c r="HK11" i="21"/>
  <c r="JF28" i="19"/>
  <c r="JJ28" i="19"/>
  <c r="JF13" i="19"/>
  <c r="JJ13" i="19"/>
  <c r="JF55" i="35"/>
  <c r="JJ55" i="35"/>
  <c r="OW55" i="19"/>
  <c r="IG62" i="19"/>
  <c r="IE62" i="19"/>
  <c r="IK46" i="35"/>
  <c r="IM46" i="35"/>
  <c r="IG52" i="35"/>
  <c r="IE52" i="35"/>
  <c r="IM20" i="35"/>
  <c r="JG20" i="35"/>
  <c r="JK20" i="35"/>
  <c r="IK20" i="35"/>
  <c r="JM20" i="35"/>
  <c r="IG55" i="19"/>
  <c r="IE55" i="19"/>
  <c r="IG70" i="19"/>
  <c r="IE70" i="19"/>
  <c r="IK18" i="21"/>
  <c r="IM18" i="21"/>
  <c r="HK34" i="35"/>
  <c r="IK28" i="19"/>
  <c r="IM28" i="19"/>
  <c r="IK10" i="19"/>
  <c r="IM10" i="19"/>
  <c r="IM47" i="35"/>
  <c r="IK47" i="35"/>
  <c r="IG61" i="35"/>
  <c r="JG61" i="35"/>
  <c r="JK61" i="35"/>
  <c r="IE61" i="35"/>
  <c r="JM61" i="35"/>
  <c r="IM32" i="21"/>
  <c r="IK32" i="21"/>
  <c r="IG46" i="35"/>
  <c r="IE46" i="35"/>
  <c r="IK47" i="19"/>
  <c r="IM47" i="19"/>
  <c r="IE32" i="21"/>
  <c r="IG32" i="21"/>
  <c r="HY57" i="35"/>
  <c r="JM57" i="35"/>
  <c r="IA57" i="35"/>
  <c r="JG57" i="35"/>
  <c r="JK57" i="35"/>
  <c r="JF57" i="35"/>
  <c r="JJ57" i="35"/>
  <c r="OW95" i="19"/>
  <c r="HK31" i="35"/>
  <c r="IE40" i="35"/>
  <c r="IG40" i="35"/>
  <c r="JF80" i="19"/>
  <c r="JJ80" i="19"/>
  <c r="IG80" i="19"/>
  <c r="IE80" i="19"/>
  <c r="IE64" i="19"/>
  <c r="IG64" i="19"/>
  <c r="HR48" i="19"/>
  <c r="HP48" i="19"/>
  <c r="IK81" i="19"/>
  <c r="IM81" i="19"/>
  <c r="IM31" i="35"/>
  <c r="IK31" i="35"/>
  <c r="OW60" i="19"/>
  <c r="IE81" i="19"/>
  <c r="JF81" i="19"/>
  <c r="JJ81" i="19"/>
  <c r="IG81" i="19"/>
  <c r="IM15" i="35"/>
  <c r="IK15" i="35"/>
  <c r="OW46" i="19"/>
  <c r="IK32" i="19"/>
  <c r="IM32" i="19"/>
  <c r="IK80" i="19"/>
  <c r="IM80" i="19"/>
  <c r="IK99" i="19"/>
  <c r="IM99" i="19"/>
  <c r="IK40" i="35"/>
  <c r="IM40" i="35"/>
  <c r="IK59" i="35"/>
  <c r="IM59" i="35"/>
  <c r="HV47" i="35"/>
  <c r="HX47" i="35"/>
  <c r="HZ47" i="35"/>
  <c r="HK20" i="39"/>
  <c r="IM15" i="19"/>
  <c r="IK15" i="19"/>
  <c r="JM72" i="19"/>
  <c r="JG75" i="19"/>
  <c r="JK75" i="19"/>
  <c r="OM26" i="39"/>
  <c r="HK51" i="39"/>
  <c r="IE59" i="35"/>
  <c r="IG59" i="35"/>
  <c r="IE15" i="19"/>
  <c r="IG15" i="19"/>
  <c r="HP22" i="21"/>
  <c r="HR22" i="21"/>
  <c r="KF61" i="31"/>
  <c r="OM14" i="34"/>
  <c r="HK18" i="21"/>
  <c r="IM64" i="19"/>
  <c r="IK64" i="19"/>
  <c r="HR23" i="21"/>
  <c r="HP23" i="21"/>
  <c r="IE99" i="19"/>
  <c r="IG99" i="19"/>
  <c r="IM26" i="35"/>
  <c r="IK26" i="35"/>
  <c r="IG32" i="35"/>
  <c r="IE32" i="35"/>
  <c r="JF32" i="35"/>
  <c r="JJ32" i="35"/>
  <c r="OW99" i="19"/>
  <c r="HK26" i="35"/>
  <c r="HX106" i="19"/>
  <c r="HV106" i="19"/>
  <c r="HZ106" i="19"/>
  <c r="JF106" i="19"/>
  <c r="JJ106" i="19"/>
  <c r="IM32" i="35"/>
  <c r="JG32" i="35"/>
  <c r="JK32" i="35"/>
  <c r="IK32" i="35"/>
  <c r="JM32" i="35"/>
  <c r="HZ22" i="21"/>
  <c r="HV22" i="21"/>
  <c r="HX22" i="21"/>
  <c r="IA16" i="19"/>
  <c r="OM72" i="39"/>
  <c r="HK89" i="39"/>
  <c r="OW26" i="34"/>
  <c r="HK80" i="19"/>
  <c r="OM12" i="22"/>
  <c r="HX23" i="21"/>
  <c r="HV23" i="21"/>
  <c r="HZ23" i="21"/>
  <c r="IG32" i="19"/>
  <c r="IE32" i="19"/>
  <c r="IE24" i="19"/>
  <c r="IG24" i="19"/>
  <c r="IE20" i="39"/>
  <c r="IG20" i="39"/>
  <c r="HP47" i="35"/>
  <c r="HR47" i="35"/>
  <c r="HZ48" i="19"/>
  <c r="HV48" i="19"/>
  <c r="HX48" i="19"/>
  <c r="IK24" i="19"/>
  <c r="IM24" i="19"/>
  <c r="HR106" i="19"/>
  <c r="HP106" i="19"/>
  <c r="JM47" i="21"/>
  <c r="JF89" i="39"/>
  <c r="JJ89" i="39"/>
  <c r="JF31" i="35"/>
  <c r="JJ31" i="35"/>
  <c r="OU12" i="22"/>
  <c r="OV12" i="22"/>
  <c r="IG34" i="35"/>
  <c r="IE34" i="35"/>
  <c r="HY48" i="39"/>
  <c r="JM48" i="39"/>
  <c r="IA48" i="39"/>
  <c r="JG48" i="39"/>
  <c r="JK48" i="39"/>
  <c r="HK15" i="19"/>
  <c r="IE26" i="35"/>
  <c r="IG26" i="35"/>
  <c r="IE15" i="35"/>
  <c r="IG15" i="35"/>
  <c r="OW44" i="19"/>
  <c r="HK54" i="39"/>
  <c r="OW45" i="35"/>
  <c r="OM50" i="39"/>
  <c r="HK46" i="39"/>
  <c r="IK34" i="35"/>
  <c r="IM34" i="35"/>
  <c r="IE31" i="35"/>
  <c r="IG31" i="35"/>
  <c r="HK59" i="35"/>
  <c r="HK39" i="21"/>
  <c r="HK27" i="21"/>
  <c r="IM44" i="39"/>
  <c r="IK44" i="39"/>
  <c r="HZ55" i="19"/>
  <c r="JF55" i="19"/>
  <c r="JJ55" i="19"/>
  <c r="HV55" i="19"/>
  <c r="HX55" i="19"/>
  <c r="HK53" i="35"/>
  <c r="HK55" i="35"/>
  <c r="IE89" i="39"/>
  <c r="IG89" i="39"/>
  <c r="IK23" i="35"/>
  <c r="IM23" i="35"/>
  <c r="IM61" i="19"/>
  <c r="IK61" i="19"/>
  <c r="JF53" i="35"/>
  <c r="JJ53" i="35"/>
  <c r="IA53" i="35"/>
  <c r="HY53" i="35"/>
  <c r="IE53" i="35"/>
  <c r="IG53" i="35"/>
  <c r="HP55" i="19"/>
  <c r="HR55" i="19"/>
  <c r="HP28" i="39"/>
  <c r="HR28" i="39"/>
  <c r="JF103" i="19"/>
  <c r="JJ103" i="19"/>
  <c r="HY103" i="19"/>
  <c r="JM103" i="19"/>
  <c r="IA103" i="19"/>
  <c r="JG103" i="19"/>
  <c r="JK103" i="19"/>
  <c r="IM36" i="35"/>
  <c r="IK36" i="35"/>
  <c r="HP19" i="35"/>
  <c r="HR19" i="35"/>
  <c r="IG11" i="35"/>
  <c r="IE11" i="35"/>
  <c r="IE30" i="39"/>
  <c r="IG30" i="39"/>
  <c r="OU50" i="39"/>
  <c r="OV50" i="39"/>
  <c r="HK44" i="39"/>
  <c r="HK11" i="35"/>
  <c r="IM22" i="35"/>
  <c r="JG22" i="35"/>
  <c r="JK22" i="35"/>
  <c r="IK22" i="35"/>
  <c r="HS44" i="21"/>
  <c r="HU44" i="21"/>
  <c r="HQ44" i="21"/>
  <c r="HW44" i="21"/>
  <c r="HP26" i="34"/>
  <c r="HR26" i="34"/>
  <c r="IK89" i="39"/>
  <c r="IM89" i="39"/>
  <c r="OW30" i="35"/>
  <c r="HK77" i="39"/>
  <c r="HK80" i="39"/>
  <c r="IK30" i="39"/>
  <c r="IM30" i="39"/>
  <c r="HV28" i="39"/>
  <c r="HX28" i="39"/>
  <c r="HZ28" i="39"/>
  <c r="IG51" i="39"/>
  <c r="IE51" i="39"/>
  <c r="IE24" i="39"/>
  <c r="IG24" i="39"/>
  <c r="HV84" i="19"/>
  <c r="HZ84" i="19"/>
  <c r="HX84" i="19"/>
  <c r="HZ26" i="34"/>
  <c r="HX26" i="34"/>
  <c r="HV26" i="34"/>
  <c r="OU44" i="21"/>
  <c r="OU57" i="21"/>
  <c r="OV44" i="21"/>
  <c r="OV57" i="21"/>
  <c r="HZ50" i="35"/>
  <c r="HV50" i="35"/>
  <c r="HX50" i="35"/>
  <c r="JF53" i="34"/>
  <c r="JJ53" i="34"/>
  <c r="OW46" i="35"/>
  <c r="IK53" i="35"/>
  <c r="IM53" i="35"/>
  <c r="IM11" i="35"/>
  <c r="IK11" i="35"/>
  <c r="HV67" i="39"/>
  <c r="HX67" i="39"/>
  <c r="HZ67" i="39"/>
  <c r="JF67" i="39"/>
  <c r="JJ67" i="39"/>
  <c r="IA13" i="19"/>
  <c r="HY13" i="19"/>
  <c r="IG46" i="39"/>
  <c r="IE46" i="39"/>
  <c r="HR84" i="19"/>
  <c r="HP84" i="19"/>
  <c r="HP50" i="35"/>
  <c r="HR50" i="35"/>
  <c r="HV19" i="35"/>
  <c r="HZ19" i="35"/>
  <c r="JF19" i="35"/>
  <c r="JJ19" i="35"/>
  <c r="HX19" i="35"/>
  <c r="HK58" i="39"/>
  <c r="HK71" i="39"/>
  <c r="IE36" i="35"/>
  <c r="IG36" i="35"/>
  <c r="IG44" i="39"/>
  <c r="IE44" i="39"/>
  <c r="IG24" i="35"/>
  <c r="IE24" i="35"/>
  <c r="JF24" i="35"/>
  <c r="JJ24" i="35"/>
  <c r="HI24" i="35"/>
  <c r="IE16" i="19"/>
  <c r="JM16" i="19"/>
  <c r="IG16" i="19"/>
  <c r="IK55" i="35"/>
  <c r="IM55" i="35"/>
  <c r="OW88" i="39"/>
  <c r="OM41" i="39"/>
  <c r="IM21" i="32"/>
  <c r="JG21" i="32"/>
  <c r="JK21" i="32"/>
  <c r="IK21" i="32"/>
  <c r="JM21" i="32"/>
  <c r="HR67" i="39"/>
  <c r="HP67" i="39"/>
  <c r="IE23" i="35"/>
  <c r="IG23" i="35"/>
  <c r="JF23" i="35"/>
  <c r="JJ23" i="35"/>
  <c r="IE61" i="19"/>
  <c r="JF61" i="19"/>
  <c r="JJ61" i="19"/>
  <c r="IG61" i="19"/>
  <c r="IK51" i="39"/>
  <c r="IM51" i="39"/>
  <c r="JG36" i="19"/>
  <c r="JK36" i="19"/>
  <c r="IK24" i="35"/>
  <c r="IM24" i="35"/>
  <c r="JG24" i="35"/>
  <c r="JK24" i="35"/>
  <c r="IK13" i="19"/>
  <c r="IM13" i="19"/>
  <c r="IE55" i="35"/>
  <c r="IG55" i="35"/>
  <c r="IM24" i="39"/>
  <c r="IK24" i="39"/>
  <c r="OV74" i="39"/>
  <c r="OU74" i="39"/>
  <c r="IE42" i="39"/>
  <c r="IG42" i="39"/>
  <c r="HP88" i="39"/>
  <c r="HR88" i="39"/>
  <c r="HQ30" i="39"/>
  <c r="HU30" i="39"/>
  <c r="HW30" i="39"/>
  <c r="HS30" i="39"/>
  <c r="IM40" i="39"/>
  <c r="IK40" i="39"/>
  <c r="OV99" i="39"/>
  <c r="OU99" i="39"/>
  <c r="HX50" i="39"/>
  <c r="HV50" i="39"/>
  <c r="HZ50" i="39"/>
  <c r="JF50" i="39"/>
  <c r="JJ50" i="39"/>
  <c r="OV41" i="39"/>
  <c r="OU41" i="39"/>
  <c r="OV30" i="39"/>
  <c r="OU30" i="39"/>
  <c r="IK80" i="39"/>
  <c r="IM80" i="39"/>
  <c r="OU10" i="39"/>
  <c r="OV10" i="39"/>
  <c r="HX88" i="39"/>
  <c r="HV88" i="39"/>
  <c r="HZ88" i="39"/>
  <c r="JF88" i="39"/>
  <c r="JJ88" i="39"/>
  <c r="HU99" i="39"/>
  <c r="HW99" i="39"/>
  <c r="HS99" i="39"/>
  <c r="HQ99" i="39"/>
  <c r="OM30" i="39"/>
  <c r="HQ41" i="39"/>
  <c r="HW41" i="39"/>
  <c r="HU41" i="39"/>
  <c r="HS41" i="39"/>
  <c r="IG77" i="39"/>
  <c r="IE77" i="39"/>
  <c r="OM10" i="39"/>
  <c r="OM74" i="39"/>
  <c r="OV72" i="39"/>
  <c r="OU72" i="39"/>
  <c r="IE40" i="39"/>
  <c r="IG40" i="39"/>
  <c r="OM11" i="39"/>
  <c r="HP50" i="39"/>
  <c r="HR50" i="39"/>
  <c r="HY82" i="39"/>
  <c r="IA82" i="39"/>
  <c r="HQ26" i="39"/>
  <c r="HW26" i="39"/>
  <c r="HU26" i="39"/>
  <c r="HS26" i="39"/>
  <c r="HW10" i="39"/>
  <c r="HU10" i="39"/>
  <c r="HS10" i="39"/>
  <c r="HQ10" i="39"/>
  <c r="HW74" i="39"/>
  <c r="HS74" i="39"/>
  <c r="HQ74" i="39"/>
  <c r="HU74" i="39"/>
  <c r="IK42" i="39"/>
  <c r="IM42" i="39"/>
  <c r="HS72" i="39"/>
  <c r="HU72" i="39"/>
  <c r="HW72" i="39"/>
  <c r="HQ72" i="39"/>
  <c r="IM37" i="39"/>
  <c r="IK37" i="39"/>
  <c r="IG63" i="39"/>
  <c r="IE63" i="39"/>
  <c r="GZ114" i="39"/>
  <c r="OW40" i="39"/>
  <c r="OW78" i="39"/>
  <c r="IM62" i="39"/>
  <c r="IK62" i="39"/>
  <c r="IK58" i="39"/>
  <c r="IM58" i="39"/>
  <c r="OV34" i="39"/>
  <c r="OU34" i="39"/>
  <c r="IM77" i="39"/>
  <c r="IK77" i="39"/>
  <c r="HS34" i="39"/>
  <c r="HQ34" i="39"/>
  <c r="HU34" i="39"/>
  <c r="HW34" i="39"/>
  <c r="IM83" i="39"/>
  <c r="IK83" i="39"/>
  <c r="IE58" i="39"/>
  <c r="IG58" i="39"/>
  <c r="JM14" i="39"/>
  <c r="OW70" i="39"/>
  <c r="IG62" i="39"/>
  <c r="IE62" i="39"/>
  <c r="OV26" i="39"/>
  <c r="OU26" i="39"/>
  <c r="IM63" i="39"/>
  <c r="IK63" i="39"/>
  <c r="JF82" i="39"/>
  <c r="JJ82" i="39"/>
  <c r="IG80" i="39"/>
  <c r="IE80" i="39"/>
  <c r="IG83" i="39"/>
  <c r="IE83" i="39"/>
  <c r="JG49" i="35"/>
  <c r="JK49" i="35"/>
  <c r="HR78" i="39"/>
  <c r="HP78" i="39"/>
  <c r="HX63" i="39"/>
  <c r="HZ63" i="39"/>
  <c r="JF63" i="39"/>
  <c r="JJ63" i="39"/>
  <c r="HV63" i="39"/>
  <c r="OW25" i="32"/>
  <c r="OW22" i="35"/>
  <c r="HV78" i="39"/>
  <c r="HZ78" i="39"/>
  <c r="HX78" i="39"/>
  <c r="HR46" i="35"/>
  <c r="HP46" i="35"/>
  <c r="OM65" i="19"/>
  <c r="OM59" i="19"/>
  <c r="ID128" i="19"/>
  <c r="IK43" i="34"/>
  <c r="OW104" i="19"/>
  <c r="OM13" i="39"/>
  <c r="HK9" i="21"/>
  <c r="HZ46" i="35"/>
  <c r="JF46" i="35"/>
  <c r="JJ46" i="35"/>
  <c r="HX46" i="35"/>
  <c r="HV46" i="35"/>
  <c r="HR45" i="35"/>
  <c r="HP45" i="35"/>
  <c r="JF37" i="21"/>
  <c r="JJ37" i="21"/>
  <c r="IA37" i="21"/>
  <c r="JG37" i="21"/>
  <c r="JK37" i="21"/>
  <c r="HY37" i="21"/>
  <c r="JM37" i="21"/>
  <c r="HV46" i="19"/>
  <c r="HZ46" i="19"/>
  <c r="JF46" i="19"/>
  <c r="JJ46" i="19"/>
  <c r="HX46" i="19"/>
  <c r="JF25" i="21"/>
  <c r="JJ25" i="21"/>
  <c r="HZ45" i="35"/>
  <c r="HX45" i="35"/>
  <c r="HV45" i="35"/>
  <c r="HR46" i="19"/>
  <c r="HP46" i="19"/>
  <c r="JG100" i="19"/>
  <c r="JK100" i="19"/>
  <c r="HK50" i="39"/>
  <c r="OW43" i="21"/>
  <c r="HP10" i="21"/>
  <c r="HR10" i="21"/>
  <c r="IE54" i="39"/>
  <c r="IG54" i="39"/>
  <c r="OW10" i="21"/>
  <c r="JG33" i="35"/>
  <c r="JK33" i="35"/>
  <c r="OW31" i="34"/>
  <c r="OM37" i="34"/>
  <c r="JG47" i="21"/>
  <c r="JK47" i="21"/>
  <c r="HS65" i="19"/>
  <c r="HU65" i="19"/>
  <c r="HW65" i="19"/>
  <c r="HQ65" i="19"/>
  <c r="HV10" i="21"/>
  <c r="HX10" i="21"/>
  <c r="HZ10" i="21"/>
  <c r="IK54" i="39"/>
  <c r="IM54" i="39"/>
  <c r="JG72" i="19"/>
  <c r="JK72" i="19"/>
  <c r="HP63" i="39"/>
  <c r="HR63" i="39"/>
  <c r="JF15" i="35"/>
  <c r="JJ15" i="35"/>
  <c r="IA15" i="35"/>
  <c r="HY15" i="35"/>
  <c r="OU65" i="19"/>
  <c r="OV65" i="19"/>
  <c r="JG28" i="21"/>
  <c r="JK28" i="21"/>
  <c r="JG21" i="21"/>
  <c r="JK21" i="21"/>
  <c r="IE34" i="21"/>
  <c r="JM34" i="21"/>
  <c r="IG34" i="21"/>
  <c r="HK29" i="21"/>
  <c r="JM21" i="21"/>
  <c r="HK38" i="21"/>
  <c r="IM50" i="21"/>
  <c r="IK50" i="21"/>
  <c r="IE50" i="21"/>
  <c r="IG50" i="21"/>
  <c r="JF96" i="19"/>
  <c r="JJ96" i="19"/>
  <c r="IA96" i="19"/>
  <c r="HY96" i="19"/>
  <c r="IE13" i="32"/>
  <c r="JM13" i="32"/>
  <c r="HH23" i="33"/>
  <c r="HH22" i="33"/>
  <c r="HH13" i="33"/>
  <c r="HH15" i="33"/>
  <c r="HH16" i="33"/>
  <c r="HS59" i="19"/>
  <c r="HW59" i="19"/>
  <c r="HU59" i="19"/>
  <c r="HQ59" i="19"/>
  <c r="OW85" i="19"/>
  <c r="OW75" i="39"/>
  <c r="IA89" i="19"/>
  <c r="JG89" i="19"/>
  <c r="JK89" i="19"/>
  <c r="HY89" i="19"/>
  <c r="JM89" i="19"/>
  <c r="JF89" i="19"/>
  <c r="JJ89" i="19"/>
  <c r="HZ101" i="19"/>
  <c r="HV101" i="19"/>
  <c r="HX101" i="19"/>
  <c r="HV85" i="19"/>
  <c r="HZ85" i="19"/>
  <c r="JF85" i="19"/>
  <c r="JJ85" i="19"/>
  <c r="HX85" i="19"/>
  <c r="IK20" i="21"/>
  <c r="IM20" i="21"/>
  <c r="HR43" i="21"/>
  <c r="HP43" i="21"/>
  <c r="JM42" i="21"/>
  <c r="HS11" i="33"/>
  <c r="HQ11" i="33"/>
  <c r="HU11" i="33"/>
  <c r="HU13" i="33"/>
  <c r="HU15" i="33"/>
  <c r="HT13" i="33"/>
  <c r="HT15" i="33"/>
  <c r="IE16" i="21"/>
  <c r="IG16" i="21"/>
  <c r="IG36" i="21"/>
  <c r="IE36" i="21"/>
  <c r="IM16" i="21"/>
  <c r="IK16" i="21"/>
  <c r="HP85" i="19"/>
  <c r="HR85" i="19"/>
  <c r="OW43" i="19"/>
  <c r="HX43" i="21"/>
  <c r="HZ43" i="21"/>
  <c r="HV43" i="21"/>
  <c r="IJ70" i="35"/>
  <c r="IJ72" i="35"/>
  <c r="IM50" i="39"/>
  <c r="IK50" i="39"/>
  <c r="IG39" i="21"/>
  <c r="IE39" i="21"/>
  <c r="IK31" i="21"/>
  <c r="IM31" i="21"/>
  <c r="HP101" i="19"/>
  <c r="HR101" i="19"/>
  <c r="HV54" i="39"/>
  <c r="HZ54" i="39"/>
  <c r="JF54" i="39"/>
  <c r="JJ54" i="39"/>
  <c r="HX54" i="39"/>
  <c r="IE25" i="21"/>
  <c r="IG25" i="21"/>
  <c r="JF19" i="32"/>
  <c r="JJ19" i="32"/>
  <c r="JG63" i="19"/>
  <c r="JK63" i="19"/>
  <c r="OW21" i="39"/>
  <c r="HK17" i="21"/>
  <c r="JF15" i="21"/>
  <c r="JJ15" i="21"/>
  <c r="IE15" i="21"/>
  <c r="IG15" i="21"/>
  <c r="OM61" i="39"/>
  <c r="HP54" i="39"/>
  <c r="HR54" i="39"/>
  <c r="HU61" i="39"/>
  <c r="HQ61" i="39"/>
  <c r="HW61" i="39"/>
  <c r="HS61" i="39"/>
  <c r="OW9" i="21"/>
  <c r="IA28" i="19"/>
  <c r="HY28" i="19"/>
  <c r="HY17" i="21"/>
  <c r="JM17" i="21"/>
  <c r="IA17" i="21"/>
  <c r="JG17" i="21"/>
  <c r="JK17" i="21"/>
  <c r="IA29" i="21"/>
  <c r="JG29" i="21"/>
  <c r="JK29" i="21"/>
  <c r="HY29" i="21"/>
  <c r="JM29" i="21"/>
  <c r="IM39" i="21"/>
  <c r="IK39" i="21"/>
  <c r="IE50" i="39"/>
  <c r="IG50" i="39"/>
  <c r="OU61" i="39"/>
  <c r="OV61" i="39"/>
  <c r="HZ43" i="19"/>
  <c r="HX43" i="19"/>
  <c r="HV43" i="19"/>
  <c r="IE27" i="21"/>
  <c r="IG27" i="21"/>
  <c r="JF27" i="21"/>
  <c r="JJ27" i="21"/>
  <c r="OW51" i="39"/>
  <c r="IK9" i="21"/>
  <c r="IM9" i="21"/>
  <c r="HS19" i="39"/>
  <c r="HU19" i="39"/>
  <c r="HW19" i="39"/>
  <c r="HQ19" i="39"/>
  <c r="OV59" i="19"/>
  <c r="OU59" i="19"/>
  <c r="HK20" i="21"/>
  <c r="IM15" i="21"/>
  <c r="IK15" i="21"/>
  <c r="OM19" i="39"/>
  <c r="OW26" i="19"/>
  <c r="OW31" i="21"/>
  <c r="IE18" i="21"/>
  <c r="IG18" i="21"/>
  <c r="IM25" i="21"/>
  <c r="IK25" i="21"/>
  <c r="OW19" i="35"/>
  <c r="IM36" i="21"/>
  <c r="IK36" i="21"/>
  <c r="HP43" i="19"/>
  <c r="HR43" i="19"/>
  <c r="OU19" i="39"/>
  <c r="OV19" i="39"/>
  <c r="OW35" i="35"/>
  <c r="JM44" i="35"/>
  <c r="JF65" i="35"/>
  <c r="JJ65" i="35"/>
  <c r="HR29" i="35"/>
  <c r="HP29" i="35"/>
  <c r="OM10" i="35"/>
  <c r="HZ29" i="35"/>
  <c r="HX29" i="35"/>
  <c r="HV29" i="35"/>
  <c r="IA11" i="35"/>
  <c r="HY11" i="35"/>
  <c r="JF11" i="35"/>
  <c r="JJ11" i="35"/>
  <c r="HK9" i="34"/>
  <c r="JF22" i="34"/>
  <c r="JJ22" i="34"/>
  <c r="HS40" i="34"/>
  <c r="JF57" i="34"/>
  <c r="JJ57" i="34"/>
  <c r="HW40" i="34"/>
  <c r="HX40" i="34"/>
  <c r="JF62" i="34"/>
  <c r="JJ62" i="34"/>
  <c r="HK43" i="34"/>
  <c r="OM23" i="34"/>
  <c r="HS14" i="34"/>
  <c r="HQ14" i="34"/>
  <c r="HU14" i="34"/>
  <c r="HW14" i="34"/>
  <c r="OU14" i="34"/>
  <c r="OV14" i="34"/>
  <c r="IM19" i="32"/>
  <c r="OM23" i="31"/>
  <c r="JF15" i="22"/>
  <c r="JJ15" i="22"/>
  <c r="HK33" i="21"/>
  <c r="HK12" i="21"/>
  <c r="HK24" i="21"/>
  <c r="OW24" i="21"/>
  <c r="IG12" i="21"/>
  <c r="IE12" i="21"/>
  <c r="OW32" i="21"/>
  <c r="IK41" i="21"/>
  <c r="IM41" i="21"/>
  <c r="IE11" i="21"/>
  <c r="IG11" i="21"/>
  <c r="IK14" i="21"/>
  <c r="IM14" i="21"/>
  <c r="IK11" i="21"/>
  <c r="IM11" i="21"/>
  <c r="HZ32" i="21"/>
  <c r="HV32" i="21"/>
  <c r="HX32" i="21"/>
  <c r="IG13" i="21"/>
  <c r="IE13" i="21"/>
  <c r="JF13" i="21"/>
  <c r="JJ13" i="21"/>
  <c r="IE19" i="21"/>
  <c r="IG19" i="21"/>
  <c r="HP9" i="21"/>
  <c r="HR9" i="21"/>
  <c r="IA18" i="21"/>
  <c r="HY18" i="21"/>
  <c r="JF18" i="21"/>
  <c r="JJ18" i="21"/>
  <c r="HP32" i="21"/>
  <c r="HR32" i="21"/>
  <c r="IK12" i="21"/>
  <c r="IM12" i="21"/>
  <c r="JF11" i="21"/>
  <c r="JJ11" i="21"/>
  <c r="HK19" i="21"/>
  <c r="OW36" i="21"/>
  <c r="IG41" i="21"/>
  <c r="IE41" i="21"/>
  <c r="JF41" i="21"/>
  <c r="JJ41" i="21"/>
  <c r="IG33" i="21"/>
  <c r="IE33" i="21"/>
  <c r="IM19" i="21"/>
  <c r="IK19" i="21"/>
  <c r="IM38" i="21"/>
  <c r="IK38" i="21"/>
  <c r="JF19" i="21"/>
  <c r="JJ19" i="21"/>
  <c r="JG42" i="21"/>
  <c r="JK42" i="21"/>
  <c r="IM26" i="21"/>
  <c r="IK26" i="21"/>
  <c r="HZ36" i="21"/>
  <c r="HV36" i="21"/>
  <c r="HX36" i="21"/>
  <c r="IE26" i="21"/>
  <c r="IG26" i="21"/>
  <c r="JF26" i="21"/>
  <c r="JJ26" i="21"/>
  <c r="IG38" i="21"/>
  <c r="IE38" i="21"/>
  <c r="IA16" i="21"/>
  <c r="HY16" i="21"/>
  <c r="JF16" i="21"/>
  <c r="JJ16" i="21"/>
  <c r="IK13" i="21"/>
  <c r="IM13" i="21"/>
  <c r="HP36" i="21"/>
  <c r="HR36" i="21"/>
  <c r="HV9" i="21"/>
  <c r="HX9" i="21"/>
  <c r="HZ9" i="21"/>
  <c r="JF9" i="21"/>
  <c r="JJ9" i="21"/>
  <c r="IA19" i="21"/>
  <c r="HY19" i="21"/>
  <c r="IK33" i="21"/>
  <c r="IM33" i="21"/>
  <c r="HK53" i="39"/>
  <c r="HK65" i="39"/>
  <c r="HK31" i="39"/>
  <c r="HS11" i="39"/>
  <c r="HU11" i="39"/>
  <c r="HW11" i="39"/>
  <c r="HQ11" i="39"/>
  <c r="HK68" i="39"/>
  <c r="IG31" i="39"/>
  <c r="IE31" i="39"/>
  <c r="HR94" i="39"/>
  <c r="HP94" i="39"/>
  <c r="HV21" i="39"/>
  <c r="HZ21" i="39"/>
  <c r="HX21" i="39"/>
  <c r="HZ51" i="39"/>
  <c r="JF51" i="39"/>
  <c r="JJ51" i="39"/>
  <c r="HV51" i="39"/>
  <c r="HX51" i="39"/>
  <c r="IE68" i="39"/>
  <c r="IG68" i="39"/>
  <c r="HK72" i="39"/>
  <c r="OW45" i="39"/>
  <c r="HR68" i="39"/>
  <c r="HP68" i="39"/>
  <c r="HV94" i="39"/>
  <c r="HX94" i="39"/>
  <c r="HZ94" i="39"/>
  <c r="JF94" i="39"/>
  <c r="JJ94" i="39"/>
  <c r="HR20" i="39"/>
  <c r="HP20" i="39"/>
  <c r="HR51" i="39"/>
  <c r="HP51" i="39"/>
  <c r="OW81" i="39"/>
  <c r="OM17" i="39"/>
  <c r="HR80" i="39"/>
  <c r="HP80" i="39"/>
  <c r="OW55" i="39"/>
  <c r="HV68" i="39"/>
  <c r="HX68" i="39"/>
  <c r="HZ68" i="39"/>
  <c r="JF68" i="39"/>
  <c r="JJ68" i="39"/>
  <c r="HS13" i="39"/>
  <c r="JM13" i="39"/>
  <c r="HU13" i="39"/>
  <c r="JG13" i="39"/>
  <c r="JK13" i="39"/>
  <c r="JF13" i="39"/>
  <c r="JJ13" i="39"/>
  <c r="HX80" i="39"/>
  <c r="HV80" i="39"/>
  <c r="HZ80" i="39"/>
  <c r="JF80" i="39"/>
  <c r="JJ80" i="39"/>
  <c r="IK75" i="39"/>
  <c r="IM75" i="39"/>
  <c r="HX20" i="39"/>
  <c r="HZ20" i="39"/>
  <c r="HV20" i="39"/>
  <c r="HR21" i="39"/>
  <c r="HP21" i="39"/>
  <c r="OV11" i="39"/>
  <c r="OU11" i="39"/>
  <c r="OL108" i="39"/>
  <c r="HK75" i="39"/>
  <c r="OW20" i="39"/>
  <c r="HP55" i="39"/>
  <c r="HR55" i="39"/>
  <c r="IA75" i="39"/>
  <c r="HY75" i="39"/>
  <c r="JF75" i="39"/>
  <c r="JJ75" i="39"/>
  <c r="OW94" i="39"/>
  <c r="HX46" i="39"/>
  <c r="HV46" i="39"/>
  <c r="HZ46" i="39"/>
  <c r="JF46" i="39"/>
  <c r="JJ46" i="39"/>
  <c r="IM31" i="39"/>
  <c r="IK31" i="39"/>
  <c r="IM53" i="39"/>
  <c r="IK53" i="39"/>
  <c r="IE75" i="39"/>
  <c r="IG75" i="39"/>
  <c r="HZ55" i="39"/>
  <c r="HX55" i="39"/>
  <c r="HV55" i="39"/>
  <c r="IK68" i="39"/>
  <c r="IM68" i="39"/>
  <c r="OW22" i="39"/>
  <c r="HK103" i="39"/>
  <c r="HX45" i="39"/>
  <c r="HV45" i="39"/>
  <c r="HZ45" i="39"/>
  <c r="JF45" i="39"/>
  <c r="JJ45" i="39"/>
  <c r="OW46" i="39"/>
  <c r="OU13" i="39"/>
  <c r="OV13" i="39"/>
  <c r="IE53" i="39"/>
  <c r="IG53" i="39"/>
  <c r="IE72" i="39"/>
  <c r="IG72" i="39"/>
  <c r="JF31" i="39"/>
  <c r="JJ31" i="39"/>
  <c r="HP45" i="39"/>
  <c r="HR45" i="39"/>
  <c r="IM72" i="39"/>
  <c r="IK72" i="39"/>
  <c r="HP46" i="39"/>
  <c r="HR46" i="39"/>
  <c r="HK79" i="39"/>
  <c r="HK38" i="34"/>
  <c r="HH70" i="35"/>
  <c r="HH80" i="35"/>
  <c r="HH73" i="35"/>
  <c r="HH72" i="35"/>
  <c r="HH79" i="35"/>
  <c r="HK64" i="39"/>
  <c r="HP95" i="19"/>
  <c r="HR95" i="19"/>
  <c r="HK114" i="19"/>
  <c r="HV95" i="19"/>
  <c r="HZ95" i="19"/>
  <c r="JF95" i="19"/>
  <c r="JJ95" i="19"/>
  <c r="HX95" i="19"/>
  <c r="HK35" i="39"/>
  <c r="OW70" i="19"/>
  <c r="HK49" i="21"/>
  <c r="HK46" i="34"/>
  <c r="HK76" i="39"/>
  <c r="HP93" i="19"/>
  <c r="HR93" i="19"/>
  <c r="JM28" i="21"/>
  <c r="JM100" i="19"/>
  <c r="HK54" i="34"/>
  <c r="HK70" i="39"/>
  <c r="OW108" i="19"/>
  <c r="HX93" i="19"/>
  <c r="HV93" i="19"/>
  <c r="HZ93" i="19"/>
  <c r="HK60" i="39"/>
  <c r="HI108" i="39"/>
  <c r="HI115" i="39"/>
  <c r="IG65" i="39"/>
  <c r="IE65" i="39"/>
  <c r="JF26" i="35"/>
  <c r="JJ26" i="35"/>
  <c r="HR26" i="35"/>
  <c r="HP26" i="35"/>
  <c r="HV81" i="39"/>
  <c r="HX81" i="39"/>
  <c r="HZ81" i="39"/>
  <c r="HR73" i="19"/>
  <c r="HP73" i="19"/>
  <c r="OW45" i="19"/>
  <c r="OW14" i="35"/>
  <c r="JM63" i="19"/>
  <c r="OM32" i="31"/>
  <c r="OM17" i="34"/>
  <c r="OM84" i="39"/>
  <c r="OW51" i="19"/>
  <c r="IA35" i="39"/>
  <c r="HY35" i="39"/>
  <c r="JF35" i="39"/>
  <c r="JJ35" i="39"/>
  <c r="HR39" i="21"/>
  <c r="HP39" i="21"/>
  <c r="OW79" i="39"/>
  <c r="IE16" i="39"/>
  <c r="IG16" i="39"/>
  <c r="HP67" i="35"/>
  <c r="JM67" i="35"/>
  <c r="JF67" i="35"/>
  <c r="JJ67" i="35"/>
  <c r="HR67" i="35"/>
  <c r="JG67" i="35"/>
  <c r="JK67" i="35"/>
  <c r="HY83" i="19"/>
  <c r="JM83" i="19"/>
  <c r="IA83" i="19"/>
  <c r="JG83" i="19"/>
  <c r="JK83" i="19"/>
  <c r="HR81" i="39"/>
  <c r="HP81" i="39"/>
  <c r="HR23" i="19"/>
  <c r="HP23" i="19"/>
  <c r="OM21" i="31"/>
  <c r="HK22" i="32"/>
  <c r="IF108" i="39"/>
  <c r="IF110" i="39"/>
  <c r="OW38" i="19"/>
  <c r="OM32" i="34"/>
  <c r="HK30" i="34"/>
  <c r="OW98" i="19"/>
  <c r="HX73" i="19"/>
  <c r="HZ73" i="19"/>
  <c r="JF73" i="19"/>
  <c r="JJ73" i="19"/>
  <c r="HV73" i="19"/>
  <c r="HZ73" i="39"/>
  <c r="JF73" i="39"/>
  <c r="JJ73" i="39"/>
  <c r="HV73" i="39"/>
  <c r="HX73" i="39"/>
  <c r="HU17" i="39"/>
  <c r="HS17" i="39"/>
  <c r="HW17" i="39"/>
  <c r="HQ17" i="39"/>
  <c r="IM79" i="39"/>
  <c r="IK79" i="39"/>
  <c r="HV23" i="19"/>
  <c r="HX23" i="19"/>
  <c r="HZ23" i="19"/>
  <c r="JF23" i="19"/>
  <c r="JJ23" i="19"/>
  <c r="HP25" i="32"/>
  <c r="ID108" i="39"/>
  <c r="ID110" i="39"/>
  <c r="HR73" i="39"/>
  <c r="HP73" i="39"/>
  <c r="HQ10" i="35"/>
  <c r="HS10" i="35"/>
  <c r="HW10" i="35"/>
  <c r="HU10" i="35"/>
  <c r="IM35" i="39"/>
  <c r="IK35" i="39"/>
  <c r="OW25" i="19"/>
  <c r="OW37" i="39"/>
  <c r="IK40" i="31"/>
  <c r="JG44" i="19"/>
  <c r="JK44" i="19"/>
  <c r="OW64" i="39"/>
  <c r="OW33" i="21"/>
  <c r="OW24" i="39"/>
  <c r="IG79" i="39"/>
  <c r="IE79" i="39"/>
  <c r="IA76" i="19"/>
  <c r="HY76" i="19"/>
  <c r="HX79" i="39"/>
  <c r="HZ79" i="39"/>
  <c r="JF79" i="39"/>
  <c r="JJ79" i="39"/>
  <c r="HV79" i="39"/>
  <c r="HP70" i="19"/>
  <c r="HR70" i="19"/>
  <c r="OU10" i="35"/>
  <c r="OV10" i="35"/>
  <c r="HR24" i="19"/>
  <c r="HP24" i="19"/>
  <c r="HZ39" i="21"/>
  <c r="HX39" i="21"/>
  <c r="HV39" i="21"/>
  <c r="OW36" i="39"/>
  <c r="JM47" i="31"/>
  <c r="OW20" i="19"/>
  <c r="IG103" i="39"/>
  <c r="IE103" i="39"/>
  <c r="HR34" i="19"/>
  <c r="HP34" i="19"/>
  <c r="HK67" i="39"/>
  <c r="IM64" i="39"/>
  <c r="IK64" i="39"/>
  <c r="IK103" i="39"/>
  <c r="IM103" i="39"/>
  <c r="OW39" i="21"/>
  <c r="IK114" i="19"/>
  <c r="HR79" i="39"/>
  <c r="HP79" i="39"/>
  <c r="GZ75" i="35"/>
  <c r="JM68" i="35"/>
  <c r="JM13" i="22"/>
  <c r="OW46" i="34"/>
  <c r="OW49" i="39"/>
  <c r="HK32" i="39"/>
  <c r="HZ34" i="19"/>
  <c r="JF34" i="19"/>
  <c r="JJ34" i="19"/>
  <c r="HX34" i="19"/>
  <c r="HV34" i="19"/>
  <c r="IE64" i="39"/>
  <c r="IG64" i="39"/>
  <c r="HV70" i="19"/>
  <c r="HX70" i="19"/>
  <c r="HZ70" i="19"/>
  <c r="HZ24" i="19"/>
  <c r="JF24" i="19"/>
  <c r="JJ24" i="19"/>
  <c r="HV24" i="19"/>
  <c r="HX24" i="19"/>
  <c r="IA24" i="21"/>
  <c r="JG24" i="21"/>
  <c r="JK24" i="21"/>
  <c r="HY24" i="21"/>
  <c r="JF31" i="34"/>
  <c r="JJ31" i="34"/>
  <c r="HI113" i="39"/>
  <c r="OW52" i="39"/>
  <c r="OW35" i="21"/>
  <c r="OM15" i="34"/>
  <c r="IM67" i="39"/>
  <c r="IK67" i="39"/>
  <c r="IE35" i="39"/>
  <c r="IG35" i="39"/>
  <c r="IE114" i="19"/>
  <c r="IM65" i="39"/>
  <c r="IK65" i="39"/>
  <c r="OV17" i="39"/>
  <c r="OU17" i="39"/>
  <c r="IG67" i="39"/>
  <c r="IE67" i="39"/>
  <c r="JM115" i="19"/>
  <c r="JG115" i="19"/>
  <c r="JK115" i="19"/>
  <c r="IG116" i="19"/>
  <c r="IE116" i="19"/>
  <c r="HI116" i="19"/>
  <c r="HK116" i="19"/>
  <c r="IM116" i="19"/>
  <c r="IK116" i="19"/>
  <c r="IK122" i="19"/>
  <c r="IM122" i="19"/>
  <c r="IE122" i="19"/>
  <c r="IG122" i="19"/>
  <c r="HK122" i="19"/>
  <c r="HI23" i="33"/>
  <c r="HI18" i="33"/>
  <c r="HI20" i="33"/>
  <c r="HI21" i="33"/>
  <c r="HI13" i="33"/>
  <c r="HI19" i="33"/>
  <c r="HI22" i="33"/>
  <c r="JG20" i="34"/>
  <c r="JK20" i="34"/>
  <c r="OM9" i="34"/>
  <c r="JG35" i="19"/>
  <c r="JK35" i="19"/>
  <c r="OW11" i="34"/>
  <c r="IA71" i="39"/>
  <c r="JG71" i="39"/>
  <c r="JK71" i="39"/>
  <c r="HY71" i="39"/>
  <c r="JM71" i="39"/>
  <c r="JF71" i="39"/>
  <c r="JJ71" i="39"/>
  <c r="HX64" i="39"/>
  <c r="HZ64" i="39"/>
  <c r="JF64" i="39"/>
  <c r="JJ64" i="39"/>
  <c r="HV64" i="39"/>
  <c r="HY25" i="35"/>
  <c r="IA25" i="35"/>
  <c r="JG25" i="35"/>
  <c r="JK25" i="35"/>
  <c r="OW45" i="21"/>
  <c r="OW40" i="35"/>
  <c r="HY70" i="39"/>
  <c r="IA70" i="39"/>
  <c r="OU23" i="34"/>
  <c r="OV23" i="34"/>
  <c r="HP19" i="19"/>
  <c r="HR19" i="19"/>
  <c r="HU9" i="39"/>
  <c r="HS9" i="39"/>
  <c r="HQ9" i="39"/>
  <c r="HX108" i="19"/>
  <c r="HV108" i="19"/>
  <c r="HZ108" i="19"/>
  <c r="JF108" i="19"/>
  <c r="JJ108" i="19"/>
  <c r="OV9" i="39"/>
  <c r="OU9" i="39"/>
  <c r="HY30" i="21"/>
  <c r="JM30" i="21"/>
  <c r="IA30" i="21"/>
  <c r="JG30" i="21"/>
  <c r="JK30" i="21"/>
  <c r="JF68" i="19"/>
  <c r="JJ68" i="19"/>
  <c r="HY68" i="19"/>
  <c r="JM68" i="19"/>
  <c r="IA68" i="19"/>
  <c r="JG68" i="19"/>
  <c r="JK68" i="19"/>
  <c r="HV40" i="35"/>
  <c r="HZ40" i="35"/>
  <c r="HX40" i="35"/>
  <c r="HK12" i="31"/>
  <c r="IK28" i="22"/>
  <c r="JG44" i="35"/>
  <c r="JK44" i="35"/>
  <c r="JG121" i="19"/>
  <c r="JK121" i="19"/>
  <c r="OW18" i="19"/>
  <c r="JG113" i="19"/>
  <c r="JK113" i="19"/>
  <c r="HK51" i="34"/>
  <c r="HX33" i="21"/>
  <c r="HZ33" i="21"/>
  <c r="JF33" i="21"/>
  <c r="JJ33" i="21"/>
  <c r="HV33" i="21"/>
  <c r="HV97" i="39"/>
  <c r="HZ97" i="39"/>
  <c r="HX97" i="39"/>
  <c r="HX19" i="19"/>
  <c r="HZ19" i="19"/>
  <c r="HV19" i="19"/>
  <c r="HZ51" i="19"/>
  <c r="JF51" i="19"/>
  <c r="JJ51" i="19"/>
  <c r="HV51" i="19"/>
  <c r="HX51" i="19"/>
  <c r="IA27" i="21"/>
  <c r="HY27" i="21"/>
  <c r="OW19" i="19"/>
  <c r="HZ35" i="35"/>
  <c r="JF35" i="35"/>
  <c r="JJ35" i="35"/>
  <c r="HV35" i="35"/>
  <c r="HX35" i="35"/>
  <c r="HV98" i="19"/>
  <c r="HZ98" i="19"/>
  <c r="JF98" i="19"/>
  <c r="JJ98" i="19"/>
  <c r="HX98" i="19"/>
  <c r="JM35" i="19"/>
  <c r="OM35" i="34"/>
  <c r="OW38" i="21"/>
  <c r="OW97" i="39"/>
  <c r="HP33" i="21"/>
  <c r="HR33" i="21"/>
  <c r="IE70" i="39"/>
  <c r="IG70" i="39"/>
  <c r="HR66" i="35"/>
  <c r="JG66" i="35"/>
  <c r="JK66" i="35"/>
  <c r="HP66" i="35"/>
  <c r="JM66" i="35"/>
  <c r="HP104" i="19"/>
  <c r="HR104" i="19"/>
  <c r="IK60" i="39"/>
  <c r="IM60" i="39"/>
  <c r="HU62" i="39"/>
  <c r="HS62" i="39"/>
  <c r="HQ62" i="39"/>
  <c r="HW62" i="39"/>
  <c r="HV20" i="19"/>
  <c r="HX20" i="19"/>
  <c r="HZ20" i="19"/>
  <c r="JF70" i="39"/>
  <c r="JJ70" i="39"/>
  <c r="HP98" i="19"/>
  <c r="HR98" i="19"/>
  <c r="IA31" i="19"/>
  <c r="JG31" i="19"/>
  <c r="JK31" i="19"/>
  <c r="HY31" i="19"/>
  <c r="JM31" i="19"/>
  <c r="IA42" i="35"/>
  <c r="HY42" i="35"/>
  <c r="JF42" i="35"/>
  <c r="JJ42" i="35"/>
  <c r="OM12" i="32"/>
  <c r="IJ108" i="39"/>
  <c r="IJ110" i="39"/>
  <c r="HT108" i="39"/>
  <c r="HT110" i="39"/>
  <c r="HP83" i="39"/>
  <c r="HR83" i="39"/>
  <c r="HR117" i="19"/>
  <c r="JG117" i="19"/>
  <c r="JK117" i="19"/>
  <c r="HP117" i="19"/>
  <c r="JM117" i="19"/>
  <c r="JF117" i="19"/>
  <c r="JJ117" i="19"/>
  <c r="HS15" i="34"/>
  <c r="HU15" i="34"/>
  <c r="HQ15" i="34"/>
  <c r="HW15" i="34"/>
  <c r="HY31" i="21"/>
  <c r="JF31" i="21"/>
  <c r="JJ31" i="21"/>
  <c r="IA31" i="21"/>
  <c r="OU15" i="34"/>
  <c r="OV15" i="34"/>
  <c r="OW16" i="39"/>
  <c r="HR37" i="19"/>
  <c r="HP37" i="19"/>
  <c r="HP119" i="19"/>
  <c r="JM119" i="19"/>
  <c r="HR119" i="19"/>
  <c r="JG119" i="19"/>
  <c r="JK119" i="19"/>
  <c r="OM102" i="39"/>
  <c r="HX104" i="19"/>
  <c r="HZ104" i="19"/>
  <c r="HV104" i="19"/>
  <c r="HU23" i="34"/>
  <c r="HS23" i="34"/>
  <c r="HQ23" i="34"/>
  <c r="HW23" i="34"/>
  <c r="HP24" i="39"/>
  <c r="HR24" i="39"/>
  <c r="HR20" i="19"/>
  <c r="HP20" i="19"/>
  <c r="IG60" i="39"/>
  <c r="IE60" i="39"/>
  <c r="JF60" i="39"/>
  <c r="JJ60" i="39"/>
  <c r="OU62" i="39"/>
  <c r="OV62" i="39"/>
  <c r="HR38" i="21"/>
  <c r="HP38" i="21"/>
  <c r="HY66" i="19"/>
  <c r="IA66" i="19"/>
  <c r="HW21" i="34"/>
  <c r="HU21" i="34"/>
  <c r="HS21" i="34"/>
  <c r="HQ21" i="34"/>
  <c r="HR51" i="19"/>
  <c r="HP51" i="19"/>
  <c r="HZ24" i="39"/>
  <c r="JF24" i="39"/>
  <c r="JJ24" i="39"/>
  <c r="HV24" i="39"/>
  <c r="HX24" i="39"/>
  <c r="GK29" i="22"/>
  <c r="HH111" i="39"/>
  <c r="OM52" i="34"/>
  <c r="HR35" i="35"/>
  <c r="HP35" i="35"/>
  <c r="HU47" i="19"/>
  <c r="HW47" i="19"/>
  <c r="HQ47" i="19"/>
  <c r="HS47" i="19"/>
  <c r="HV35" i="21"/>
  <c r="HX35" i="21"/>
  <c r="HZ35" i="21"/>
  <c r="JF35" i="21"/>
  <c r="JJ35" i="21"/>
  <c r="HZ37" i="19"/>
  <c r="JF37" i="19"/>
  <c r="JJ37" i="19"/>
  <c r="HX37" i="19"/>
  <c r="HV37" i="19"/>
  <c r="OV102" i="39"/>
  <c r="OU102" i="39"/>
  <c r="HR40" i="39"/>
  <c r="HP40" i="39"/>
  <c r="OM62" i="39"/>
  <c r="HV38" i="21"/>
  <c r="HX38" i="21"/>
  <c r="HZ38" i="21"/>
  <c r="HK45" i="34"/>
  <c r="HK55" i="34"/>
  <c r="HZ16" i="39"/>
  <c r="HV16" i="39"/>
  <c r="HX16" i="39"/>
  <c r="OW37" i="19"/>
  <c r="OW32" i="39"/>
  <c r="OW83" i="39"/>
  <c r="HR35" i="21"/>
  <c r="HP35" i="21"/>
  <c r="OM47" i="19"/>
  <c r="JF66" i="19"/>
  <c r="JJ66" i="19"/>
  <c r="OV21" i="34"/>
  <c r="OU21" i="34"/>
  <c r="JF25" i="35"/>
  <c r="JJ25" i="35"/>
  <c r="HK40" i="31"/>
  <c r="HK19" i="31"/>
  <c r="OM27" i="32"/>
  <c r="JM40" i="19"/>
  <c r="HZ83" i="39"/>
  <c r="HX83" i="39"/>
  <c r="HV83" i="39"/>
  <c r="HR40" i="35"/>
  <c r="HP40" i="35"/>
  <c r="HP16" i="39"/>
  <c r="HR16" i="39"/>
  <c r="HR64" i="39"/>
  <c r="HP64" i="39"/>
  <c r="HR97" i="39"/>
  <c r="HP97" i="39"/>
  <c r="HU102" i="39"/>
  <c r="HS102" i="39"/>
  <c r="HQ102" i="39"/>
  <c r="OV47" i="19"/>
  <c r="OU47" i="19"/>
  <c r="HX40" i="39"/>
  <c r="HZ40" i="39"/>
  <c r="HV40" i="39"/>
  <c r="OM21" i="34"/>
  <c r="HP108" i="19"/>
  <c r="HR108" i="19"/>
  <c r="OM9" i="39"/>
  <c r="OW31" i="19"/>
  <c r="IK70" i="39"/>
  <c r="IM70" i="39"/>
  <c r="HK24" i="31"/>
  <c r="HK14" i="32"/>
  <c r="OM9" i="32"/>
  <c r="OW13" i="34"/>
  <c r="JM121" i="19"/>
  <c r="OW42" i="34"/>
  <c r="OW34" i="35"/>
  <c r="IE51" i="34"/>
  <c r="IG51" i="34"/>
  <c r="GK45" i="21"/>
  <c r="GK57" i="21"/>
  <c r="GJ45" i="21"/>
  <c r="OK69" i="19"/>
  <c r="OK126" i="19"/>
  <c r="OL69" i="19"/>
  <c r="OL126" i="19"/>
  <c r="OR69" i="19"/>
  <c r="OR126" i="19"/>
  <c r="OM43" i="34"/>
  <c r="IM51" i="34"/>
  <c r="IK51" i="34"/>
  <c r="HS84" i="39"/>
  <c r="HU84" i="39"/>
  <c r="HW84" i="39"/>
  <c r="HQ84" i="39"/>
  <c r="HX49" i="19"/>
  <c r="HV49" i="19"/>
  <c r="HZ49" i="19"/>
  <c r="JF49" i="19"/>
  <c r="JJ49" i="19"/>
  <c r="OV35" i="34"/>
  <c r="OU35" i="34"/>
  <c r="IA87" i="19"/>
  <c r="JG87" i="19"/>
  <c r="JK87" i="19"/>
  <c r="HY87" i="19"/>
  <c r="JM87" i="19"/>
  <c r="JF87" i="19"/>
  <c r="JJ87" i="19"/>
  <c r="IK39" i="34"/>
  <c r="IM39" i="34"/>
  <c r="IM49" i="34"/>
  <c r="IK49" i="34"/>
  <c r="OU24" i="34"/>
  <c r="OV24" i="34"/>
  <c r="HT69" i="19"/>
  <c r="HT126" i="19"/>
  <c r="HH69" i="19"/>
  <c r="HH126" i="19"/>
  <c r="IM55" i="34"/>
  <c r="IK55" i="34"/>
  <c r="IA51" i="34"/>
  <c r="HY51" i="34"/>
  <c r="IE49" i="34"/>
  <c r="IG49" i="34"/>
  <c r="HP52" i="39"/>
  <c r="HR52" i="39"/>
  <c r="OV84" i="39"/>
  <c r="OU84" i="39"/>
  <c r="IA36" i="34"/>
  <c r="JG36" i="34"/>
  <c r="JK36" i="34"/>
  <c r="HY36" i="34"/>
  <c r="IE40" i="31"/>
  <c r="IG40" i="31"/>
  <c r="IG76" i="39"/>
  <c r="IE76" i="39"/>
  <c r="HP10" i="19"/>
  <c r="HR10" i="19"/>
  <c r="HP34" i="35"/>
  <c r="HR34" i="35"/>
  <c r="HP54" i="21"/>
  <c r="HR54" i="21"/>
  <c r="OW67" i="19"/>
  <c r="JG11" i="19"/>
  <c r="JK11" i="19"/>
  <c r="IG22" i="34"/>
  <c r="IE22" i="34"/>
  <c r="IK31" i="31"/>
  <c r="IM31" i="31"/>
  <c r="HY14" i="21"/>
  <c r="IA14" i="21"/>
  <c r="IA30" i="35"/>
  <c r="JG30" i="35"/>
  <c r="JK30" i="35"/>
  <c r="HY30" i="35"/>
  <c r="JM30" i="35"/>
  <c r="JF30" i="35"/>
  <c r="JJ30" i="35"/>
  <c r="IM49" i="21"/>
  <c r="IK49" i="21"/>
  <c r="HX52" i="39"/>
  <c r="HV52" i="39"/>
  <c r="HZ52" i="39"/>
  <c r="JF52" i="39"/>
  <c r="JJ52" i="39"/>
  <c r="IJ45" i="21"/>
  <c r="IJ57" i="21"/>
  <c r="IJ59" i="21"/>
  <c r="IL45" i="21"/>
  <c r="IH45" i="21"/>
  <c r="II57" i="21"/>
  <c r="II59" i="21"/>
  <c r="HX10" i="19"/>
  <c r="HZ10" i="19"/>
  <c r="HV10" i="19"/>
  <c r="HR50" i="19"/>
  <c r="HP50" i="19"/>
  <c r="JG68" i="35"/>
  <c r="JK68" i="35"/>
  <c r="HK24" i="32"/>
  <c r="OM41" i="34"/>
  <c r="OW21" i="19"/>
  <c r="HP21" i="19"/>
  <c r="HR21" i="19"/>
  <c r="HQ28" i="34"/>
  <c r="HU28" i="34"/>
  <c r="HS28" i="34"/>
  <c r="HW28" i="34"/>
  <c r="OM28" i="34"/>
  <c r="OW50" i="19"/>
  <c r="HP114" i="19"/>
  <c r="JF114" i="19"/>
  <c r="JJ114" i="19"/>
  <c r="HR114" i="19"/>
  <c r="JG114" i="19"/>
  <c r="JK114" i="19"/>
  <c r="IF45" i="21"/>
  <c r="IB45" i="21"/>
  <c r="ID45" i="21"/>
  <c r="ID57" i="21"/>
  <c r="ID59" i="21"/>
  <c r="IC57" i="21"/>
  <c r="IC59" i="21"/>
  <c r="HT50" i="21"/>
  <c r="HH50" i="21"/>
  <c r="HG57" i="21"/>
  <c r="HW24" i="34"/>
  <c r="HU24" i="34"/>
  <c r="HS24" i="34"/>
  <c r="HQ24" i="34"/>
  <c r="HR49" i="19"/>
  <c r="HP49" i="19"/>
  <c r="OM42" i="39"/>
  <c r="IE12" i="33"/>
  <c r="JF12" i="33"/>
  <c r="IF13" i="33"/>
  <c r="IF15" i="33"/>
  <c r="IG12" i="33"/>
  <c r="HZ50" i="19"/>
  <c r="HV50" i="19"/>
  <c r="HX50" i="19"/>
  <c r="OV20" i="31"/>
  <c r="OW20" i="31"/>
  <c r="HK18" i="32"/>
  <c r="HK9" i="32"/>
  <c r="HK35" i="34"/>
  <c r="HZ21" i="19"/>
  <c r="HV21" i="19"/>
  <c r="HX21" i="19"/>
  <c r="HR57" i="19"/>
  <c r="HP57" i="19"/>
  <c r="JF14" i="21"/>
  <c r="JJ14" i="21"/>
  <c r="IK22" i="34"/>
  <c r="IM22" i="34"/>
  <c r="OU28" i="34"/>
  <c r="OV28" i="34"/>
  <c r="GZ45" i="21"/>
  <c r="HI45" i="21"/>
  <c r="GW57" i="21"/>
  <c r="IE49" i="21"/>
  <c r="IG49" i="21"/>
  <c r="IG55" i="34"/>
  <c r="IE55" i="34"/>
  <c r="IG30" i="34"/>
  <c r="IE30" i="34"/>
  <c r="JF26" i="22"/>
  <c r="JJ26" i="22"/>
  <c r="HR16" i="22"/>
  <c r="JG16" i="22"/>
  <c r="JK16" i="22"/>
  <c r="HP16" i="22"/>
  <c r="JM16" i="22"/>
  <c r="JF16" i="22"/>
  <c r="JJ16" i="22"/>
  <c r="HS42" i="39"/>
  <c r="HU42" i="39"/>
  <c r="HQ42" i="39"/>
  <c r="HW42" i="39"/>
  <c r="OW57" i="19"/>
  <c r="HX57" i="19"/>
  <c r="HV57" i="19"/>
  <c r="HZ57" i="19"/>
  <c r="GY45" i="21"/>
  <c r="GX57" i="21"/>
  <c r="HS37" i="34"/>
  <c r="HU37" i="34"/>
  <c r="HW37" i="34"/>
  <c r="HQ37" i="34"/>
  <c r="OU42" i="39"/>
  <c r="OV42" i="39"/>
  <c r="OW13" i="35"/>
  <c r="OM18" i="34"/>
  <c r="HR122" i="19"/>
  <c r="JF122" i="19"/>
  <c r="JJ122" i="19"/>
  <c r="HP122" i="19"/>
  <c r="IM76" i="39"/>
  <c r="IK76" i="39"/>
  <c r="HK27" i="34"/>
  <c r="OU103" i="39"/>
  <c r="OV103" i="39"/>
  <c r="HI53" i="21"/>
  <c r="HK53" i="21"/>
  <c r="IK12" i="33"/>
  <c r="IM12" i="33"/>
  <c r="IM13" i="33"/>
  <c r="IM15" i="33"/>
  <c r="IL13" i="33"/>
  <c r="IL15" i="33"/>
  <c r="HQ103" i="39"/>
  <c r="HS103" i="39"/>
  <c r="HU103" i="39"/>
  <c r="IG53" i="21"/>
  <c r="IE53" i="21"/>
  <c r="JF53" i="21"/>
  <c r="JJ53" i="21"/>
  <c r="HK12" i="33"/>
  <c r="HK13" i="33"/>
  <c r="GZ13" i="33"/>
  <c r="GZ20" i="33"/>
  <c r="GZ22" i="33"/>
  <c r="GZ19" i="33"/>
  <c r="GZ15" i="33"/>
  <c r="GZ23" i="33"/>
  <c r="GZ18" i="33"/>
  <c r="GZ21" i="33"/>
  <c r="GZ16" i="33"/>
  <c r="HZ37" i="39"/>
  <c r="JF37" i="39"/>
  <c r="JJ37" i="39"/>
  <c r="HV37" i="39"/>
  <c r="HX37" i="39"/>
  <c r="IK48" i="21"/>
  <c r="IM48" i="21"/>
  <c r="IM53" i="21"/>
  <c r="IK53" i="21"/>
  <c r="IE48" i="21"/>
  <c r="IG48" i="21"/>
  <c r="JF48" i="21"/>
  <c r="JJ48" i="21"/>
  <c r="OW16" i="31"/>
  <c r="HK25" i="32"/>
  <c r="IL70" i="35"/>
  <c r="IL72" i="35"/>
  <c r="GJ108" i="39"/>
  <c r="OM25" i="34"/>
  <c r="JF51" i="34"/>
  <c r="JJ51" i="34"/>
  <c r="OM24" i="34"/>
  <c r="IE27" i="34"/>
  <c r="IG27" i="34"/>
  <c r="OM103" i="39"/>
  <c r="HK49" i="34"/>
  <c r="OU43" i="34"/>
  <c r="OV43" i="34"/>
  <c r="HP37" i="39"/>
  <c r="HR37" i="39"/>
  <c r="HS43" i="34"/>
  <c r="HU43" i="34"/>
  <c r="HW43" i="34"/>
  <c r="HQ43" i="34"/>
  <c r="OU37" i="34"/>
  <c r="OV37" i="34"/>
  <c r="HU35" i="34"/>
  <c r="HS35" i="34"/>
  <c r="HQ35" i="34"/>
  <c r="HW35" i="34"/>
  <c r="IM27" i="34"/>
  <c r="IK27" i="34"/>
  <c r="HZ34" i="35"/>
  <c r="HX34" i="35"/>
  <c r="HV34" i="35"/>
  <c r="IK30" i="34"/>
  <c r="IM30" i="34"/>
  <c r="IG46" i="34"/>
  <c r="IE46" i="34"/>
  <c r="IK53" i="34"/>
  <c r="IM53" i="34"/>
  <c r="OU32" i="34"/>
  <c r="OV32" i="34"/>
  <c r="OU19" i="34"/>
  <c r="OV19" i="34"/>
  <c r="HK23" i="34"/>
  <c r="OU17" i="34"/>
  <c r="OV17" i="34"/>
  <c r="OW33" i="34"/>
  <c r="HK57" i="34"/>
  <c r="HP50" i="34"/>
  <c r="JM50" i="34"/>
  <c r="HR50" i="34"/>
  <c r="JG50" i="34"/>
  <c r="JK50" i="34"/>
  <c r="JF50" i="34"/>
  <c r="JJ50" i="34"/>
  <c r="OW50" i="34"/>
  <c r="IE47" i="34"/>
  <c r="IG47" i="34"/>
  <c r="HU25" i="34"/>
  <c r="HQ25" i="34"/>
  <c r="HW25" i="34"/>
  <c r="HS25" i="34"/>
  <c r="IM45" i="34"/>
  <c r="IK45" i="34"/>
  <c r="HK37" i="34"/>
  <c r="GK28" i="34"/>
  <c r="GK67" i="34"/>
  <c r="GJ28" i="34"/>
  <c r="GJ67" i="34"/>
  <c r="FY67" i="34"/>
  <c r="HQ17" i="34"/>
  <c r="HU17" i="34"/>
  <c r="HS17" i="34"/>
  <c r="HW17" i="34"/>
  <c r="IM38" i="34"/>
  <c r="IK38" i="34"/>
  <c r="IM37" i="34"/>
  <c r="IK37" i="34"/>
  <c r="HY47" i="34"/>
  <c r="IA47" i="34"/>
  <c r="HS52" i="34"/>
  <c r="HU52" i="34"/>
  <c r="HQ52" i="34"/>
  <c r="HP42" i="34"/>
  <c r="HR42" i="34"/>
  <c r="OU52" i="34"/>
  <c r="OV52" i="34"/>
  <c r="OV25" i="34"/>
  <c r="OU25" i="34"/>
  <c r="IG53" i="34"/>
  <c r="IE53" i="34"/>
  <c r="OU18" i="34"/>
  <c r="OV18" i="34"/>
  <c r="JM20" i="34"/>
  <c r="IG45" i="34"/>
  <c r="IE45" i="34"/>
  <c r="IK57" i="34"/>
  <c r="IM57" i="34"/>
  <c r="HK33" i="34"/>
  <c r="HS39" i="34"/>
  <c r="HW39" i="34"/>
  <c r="HU39" i="34"/>
  <c r="HQ39" i="34"/>
  <c r="IM54" i="34"/>
  <c r="IK54" i="34"/>
  <c r="HU19" i="34"/>
  <c r="HS19" i="34"/>
  <c r="HW32" i="34"/>
  <c r="HQ32" i="34"/>
  <c r="HU32" i="34"/>
  <c r="HS32" i="34"/>
  <c r="IG38" i="34"/>
  <c r="IE38" i="34"/>
  <c r="OM16" i="34"/>
  <c r="OW48" i="34"/>
  <c r="OM39" i="34"/>
  <c r="HS18" i="34"/>
  <c r="HU18" i="34"/>
  <c r="HQ18" i="34"/>
  <c r="HW18" i="34"/>
  <c r="IM60" i="34"/>
  <c r="IK60" i="34"/>
  <c r="HU9" i="34"/>
  <c r="HS9" i="34"/>
  <c r="JF9" i="34"/>
  <c r="JJ9" i="34"/>
  <c r="HV42" i="34"/>
  <c r="HZ42" i="34"/>
  <c r="JF42" i="34"/>
  <c r="JJ42" i="34"/>
  <c r="HX42" i="34"/>
  <c r="JG10" i="34"/>
  <c r="JK10" i="34"/>
  <c r="IM46" i="34"/>
  <c r="IK46" i="34"/>
  <c r="IG37" i="34"/>
  <c r="IE37" i="34"/>
  <c r="IE9" i="34"/>
  <c r="IG9" i="34"/>
  <c r="OU41" i="34"/>
  <c r="OV41" i="34"/>
  <c r="IE54" i="34"/>
  <c r="IG54" i="34"/>
  <c r="IG61" i="34"/>
  <c r="IE61" i="34"/>
  <c r="JF61" i="34"/>
  <c r="JJ61" i="34"/>
  <c r="JF47" i="34"/>
  <c r="JJ47" i="34"/>
  <c r="JM10" i="34"/>
  <c r="HK47" i="34"/>
  <c r="OV9" i="34"/>
  <c r="OU9" i="34"/>
  <c r="OU39" i="34"/>
  <c r="OV39" i="34"/>
  <c r="IK47" i="34"/>
  <c r="IM47" i="34"/>
  <c r="OW29" i="34"/>
  <c r="IK9" i="34"/>
  <c r="IM9" i="34"/>
  <c r="HS41" i="34"/>
  <c r="HU41" i="34"/>
  <c r="HQ41" i="34"/>
  <c r="HW41" i="34"/>
  <c r="OM19" i="34"/>
  <c r="IE57" i="34"/>
  <c r="IG57" i="34"/>
  <c r="IG60" i="34"/>
  <c r="IE60" i="34"/>
  <c r="JF60" i="34"/>
  <c r="JJ60" i="34"/>
  <c r="JF59" i="34"/>
  <c r="JJ59" i="34"/>
  <c r="HR59" i="34"/>
  <c r="JG59" i="34"/>
  <c r="JK59" i="34"/>
  <c r="HP59" i="34"/>
  <c r="JM59" i="34"/>
  <c r="IM61" i="34"/>
  <c r="IK61" i="34"/>
  <c r="IA45" i="34"/>
  <c r="HY45" i="34"/>
  <c r="JF45" i="34"/>
  <c r="JJ45" i="34"/>
  <c r="IE33" i="34"/>
  <c r="IG33" i="34"/>
  <c r="HP22" i="39"/>
  <c r="HR22" i="39"/>
  <c r="IA79" i="19"/>
  <c r="JG79" i="19"/>
  <c r="JK79" i="19"/>
  <c r="HY79" i="19"/>
  <c r="JM79" i="19"/>
  <c r="HP14" i="19"/>
  <c r="HR14" i="19"/>
  <c r="GZ113" i="39"/>
  <c r="HP55" i="34"/>
  <c r="HR55" i="34"/>
  <c r="IG120" i="19"/>
  <c r="IE120" i="19"/>
  <c r="HX36" i="39"/>
  <c r="HV36" i="39"/>
  <c r="HZ36" i="39"/>
  <c r="JF36" i="39"/>
  <c r="JJ36" i="39"/>
  <c r="HV30" i="34"/>
  <c r="HZ30" i="34"/>
  <c r="JF30" i="34"/>
  <c r="JJ30" i="34"/>
  <c r="HX30" i="34"/>
  <c r="HR45" i="19"/>
  <c r="HP45" i="19"/>
  <c r="OV69" i="39"/>
  <c r="OU69" i="39"/>
  <c r="HP13" i="35"/>
  <c r="HR13" i="35"/>
  <c r="OW30" i="34"/>
  <c r="HR58" i="39"/>
  <c r="HP58" i="39"/>
  <c r="GZ79" i="35"/>
  <c r="OW10" i="22"/>
  <c r="OW11" i="22"/>
  <c r="IG29" i="31"/>
  <c r="HK29" i="31"/>
  <c r="OW22" i="32"/>
  <c r="HK31" i="32"/>
  <c r="HZ18" i="35"/>
  <c r="JF18" i="35"/>
  <c r="JJ18" i="35"/>
  <c r="HV18" i="35"/>
  <c r="HX18" i="35"/>
  <c r="HY31" i="34"/>
  <c r="IA31" i="34"/>
  <c r="GZ111" i="39"/>
  <c r="HZ55" i="34"/>
  <c r="JF55" i="34"/>
  <c r="JJ55" i="34"/>
  <c r="HX55" i="34"/>
  <c r="HV55" i="34"/>
  <c r="HX19" i="34"/>
  <c r="HZ19" i="34"/>
  <c r="HV19" i="34"/>
  <c r="HX54" i="34"/>
  <c r="HZ54" i="34"/>
  <c r="HV54" i="34"/>
  <c r="IM41" i="34"/>
  <c r="IK41" i="34"/>
  <c r="HK41" i="34"/>
  <c r="HI116" i="39"/>
  <c r="HP49" i="39"/>
  <c r="HR49" i="39"/>
  <c r="OW55" i="34"/>
  <c r="HK40" i="34"/>
  <c r="IA77" i="39"/>
  <c r="HY77" i="39"/>
  <c r="OM69" i="39"/>
  <c r="IA22" i="34"/>
  <c r="HY22" i="34"/>
  <c r="HX48" i="34"/>
  <c r="HV48" i="34"/>
  <c r="HZ48" i="34"/>
  <c r="JF48" i="34"/>
  <c r="JJ48" i="34"/>
  <c r="HR26" i="19"/>
  <c r="HP26" i="19"/>
  <c r="JM33" i="35"/>
  <c r="HS69" i="39"/>
  <c r="HU69" i="39"/>
  <c r="HW69" i="39"/>
  <c r="HQ69" i="39"/>
  <c r="HP65" i="39"/>
  <c r="HR65" i="39"/>
  <c r="OU57" i="39"/>
  <c r="OV57" i="39"/>
  <c r="OM29" i="39"/>
  <c r="OK108" i="39"/>
  <c r="IA109" i="19"/>
  <c r="JG109" i="19"/>
  <c r="JK109" i="19"/>
  <c r="HY109" i="19"/>
  <c r="JM109" i="19"/>
  <c r="HY29" i="19"/>
  <c r="JM29" i="19"/>
  <c r="IA29" i="19"/>
  <c r="JG29" i="19"/>
  <c r="JK29" i="19"/>
  <c r="HR19" i="34"/>
  <c r="HP19" i="34"/>
  <c r="HP49" i="21"/>
  <c r="JF49" i="21"/>
  <c r="JJ49" i="21"/>
  <c r="HR49" i="21"/>
  <c r="IK120" i="19"/>
  <c r="IM120" i="19"/>
  <c r="HZ25" i="39"/>
  <c r="JF25" i="39"/>
  <c r="JJ25" i="39"/>
  <c r="HV25" i="39"/>
  <c r="HX25" i="39"/>
  <c r="OW18" i="35"/>
  <c r="HR67" i="19"/>
  <c r="HP67" i="19"/>
  <c r="OW54" i="34"/>
  <c r="JK9" i="33"/>
  <c r="HZ110" i="19"/>
  <c r="JF110" i="19"/>
  <c r="JJ110" i="19"/>
  <c r="HV110" i="19"/>
  <c r="HX110" i="19"/>
  <c r="GZ78" i="35"/>
  <c r="GJ29" i="22"/>
  <c r="HK12" i="22"/>
  <c r="ID36" i="32"/>
  <c r="ID38" i="32"/>
  <c r="HI41" i="32"/>
  <c r="GZ108" i="39"/>
  <c r="IG42" i="31"/>
  <c r="JG42" i="31"/>
  <c r="JK42" i="31"/>
  <c r="IE42" i="31"/>
  <c r="JM42" i="31"/>
  <c r="HK31" i="34"/>
  <c r="HY32" i="39"/>
  <c r="IA32" i="39"/>
  <c r="IK33" i="34"/>
  <c r="IM33" i="34"/>
  <c r="JF32" i="39"/>
  <c r="JJ32" i="39"/>
  <c r="IE35" i="34"/>
  <c r="IG35" i="34"/>
  <c r="HX25" i="19"/>
  <c r="HZ25" i="19"/>
  <c r="JF25" i="19"/>
  <c r="JJ25" i="19"/>
  <c r="HV25" i="19"/>
  <c r="HQ33" i="39"/>
  <c r="HS33" i="39"/>
  <c r="HU33" i="39"/>
  <c r="HW33" i="39"/>
  <c r="HI114" i="39"/>
  <c r="JM11" i="19"/>
  <c r="OW58" i="39"/>
  <c r="HP48" i="34"/>
  <c r="HR48" i="34"/>
  <c r="HX65" i="39"/>
  <c r="HZ65" i="39"/>
  <c r="HV65" i="39"/>
  <c r="IA12" i="21"/>
  <c r="HY12" i="21"/>
  <c r="IG31" i="34"/>
  <c r="IE31" i="34"/>
  <c r="HP110" i="19"/>
  <c r="HR110" i="19"/>
  <c r="IM23" i="34"/>
  <c r="IK23" i="34"/>
  <c r="HR33" i="34"/>
  <c r="HP33" i="34"/>
  <c r="HZ67" i="19"/>
  <c r="JF67" i="19"/>
  <c r="JJ67" i="19"/>
  <c r="HX67" i="19"/>
  <c r="HV67" i="19"/>
  <c r="HX13" i="35"/>
  <c r="HZ13" i="35"/>
  <c r="JF13" i="35"/>
  <c r="JJ13" i="35"/>
  <c r="HV13" i="35"/>
  <c r="GZ70" i="35"/>
  <c r="IE12" i="31"/>
  <c r="IG12" i="31"/>
  <c r="JF79" i="19"/>
  <c r="JJ79" i="19"/>
  <c r="JF69" i="35"/>
  <c r="JJ69" i="35"/>
  <c r="HR69" i="35"/>
  <c r="HP69" i="35"/>
  <c r="HH110" i="39"/>
  <c r="JM9" i="35"/>
  <c r="KE60" i="31"/>
  <c r="HI46" i="32"/>
  <c r="OM16" i="32"/>
  <c r="OV16" i="34"/>
  <c r="OU16" i="34"/>
  <c r="HR18" i="35"/>
  <c r="HP18" i="35"/>
  <c r="GZ117" i="39"/>
  <c r="HT12" i="34"/>
  <c r="HG67" i="34"/>
  <c r="HH12" i="34"/>
  <c r="IG40" i="34"/>
  <c r="IE40" i="34"/>
  <c r="HP13" i="34"/>
  <c r="HR13" i="34"/>
  <c r="HK120" i="19"/>
  <c r="HY29" i="34"/>
  <c r="JM29" i="34"/>
  <c r="IA29" i="34"/>
  <c r="JG29" i="34"/>
  <c r="JK29" i="34"/>
  <c r="IK40" i="34"/>
  <c r="IM40" i="34"/>
  <c r="GZ19" i="34"/>
  <c r="HI19" i="34"/>
  <c r="HI72" i="34"/>
  <c r="GW67" i="34"/>
  <c r="HP54" i="34"/>
  <c r="HR54" i="34"/>
  <c r="OW14" i="19"/>
  <c r="IF128" i="19"/>
  <c r="HP25" i="19"/>
  <c r="HR25" i="19"/>
  <c r="HI117" i="39"/>
  <c r="JM49" i="35"/>
  <c r="IL128" i="19"/>
  <c r="IA58" i="35"/>
  <c r="JG58" i="35"/>
  <c r="JK58" i="35"/>
  <c r="HY58" i="35"/>
  <c r="JM58" i="35"/>
  <c r="HR54" i="35"/>
  <c r="HP54" i="35"/>
  <c r="HY38" i="34"/>
  <c r="IA38" i="34"/>
  <c r="HY99" i="19"/>
  <c r="IA99" i="19"/>
  <c r="IE23" i="34"/>
  <c r="IG23" i="34"/>
  <c r="IA93" i="39"/>
  <c r="JG93" i="39"/>
  <c r="JK93" i="39"/>
  <c r="HY93" i="39"/>
  <c r="JM93" i="39"/>
  <c r="OW54" i="35"/>
  <c r="OW65" i="39"/>
  <c r="HY12" i="39"/>
  <c r="JM12" i="39"/>
  <c r="IA12" i="39"/>
  <c r="JG12" i="39"/>
  <c r="JK12" i="39"/>
  <c r="IE32" i="39"/>
  <c r="IG32" i="39"/>
  <c r="HP82" i="19"/>
  <c r="HR82" i="19"/>
  <c r="IA20" i="21"/>
  <c r="HY20" i="21"/>
  <c r="HR18" i="19"/>
  <c r="HP18" i="19"/>
  <c r="GZ110" i="39"/>
  <c r="IG62" i="34"/>
  <c r="IE62" i="34"/>
  <c r="ID19" i="34"/>
  <c r="ID67" i="34"/>
  <c r="ID69" i="34"/>
  <c r="IB19" i="34"/>
  <c r="IF19" i="34"/>
  <c r="IC67" i="34"/>
  <c r="IC69" i="34"/>
  <c r="OR108" i="39"/>
  <c r="IM62" i="34"/>
  <c r="IK62" i="34"/>
  <c r="IA39" i="35"/>
  <c r="JG39" i="35"/>
  <c r="JK39" i="35"/>
  <c r="HY39" i="35"/>
  <c r="JM39" i="35"/>
  <c r="HZ26" i="19"/>
  <c r="JF26" i="19"/>
  <c r="JJ26" i="19"/>
  <c r="HV26" i="19"/>
  <c r="HX26" i="19"/>
  <c r="HK13" i="31"/>
  <c r="HK14" i="31"/>
  <c r="OW15" i="32"/>
  <c r="OM33" i="39"/>
  <c r="GZ116" i="39"/>
  <c r="HQ16" i="34"/>
  <c r="HS16" i="34"/>
  <c r="HU16" i="34"/>
  <c r="HW16" i="34"/>
  <c r="HX13" i="34"/>
  <c r="HZ13" i="34"/>
  <c r="HV13" i="34"/>
  <c r="HS20" i="32"/>
  <c r="HU20" i="32"/>
  <c r="HW20" i="32"/>
  <c r="HQ20" i="32"/>
  <c r="IH19" i="34"/>
  <c r="IL19" i="34"/>
  <c r="IJ19" i="34"/>
  <c r="IJ67" i="34"/>
  <c r="IJ69" i="34"/>
  <c r="II67" i="34"/>
  <c r="II69" i="34"/>
  <c r="HZ36" i="35"/>
  <c r="JF36" i="35"/>
  <c r="JJ36" i="35"/>
  <c r="HV36" i="35"/>
  <c r="HX36" i="35"/>
  <c r="HY58" i="19"/>
  <c r="JM58" i="19"/>
  <c r="IA58" i="19"/>
  <c r="JG58" i="19"/>
  <c r="JK58" i="19"/>
  <c r="IA49" i="34"/>
  <c r="HY49" i="34"/>
  <c r="HK29" i="39"/>
  <c r="HH108" i="39"/>
  <c r="HI118" i="39"/>
  <c r="IM35" i="34"/>
  <c r="IK35" i="34"/>
  <c r="JF120" i="19"/>
  <c r="JJ120" i="19"/>
  <c r="HV54" i="35"/>
  <c r="HZ54" i="35"/>
  <c r="JF54" i="35"/>
  <c r="JJ54" i="35"/>
  <c r="HX54" i="35"/>
  <c r="HX45" i="19"/>
  <c r="HZ45" i="19"/>
  <c r="HV45" i="19"/>
  <c r="HV46" i="34"/>
  <c r="HX46" i="34"/>
  <c r="HZ46" i="34"/>
  <c r="JF46" i="34"/>
  <c r="JJ46" i="34"/>
  <c r="IA33" i="19"/>
  <c r="JG33" i="19"/>
  <c r="JK33" i="19"/>
  <c r="HY33" i="19"/>
  <c r="JM33" i="19"/>
  <c r="HV18" i="19"/>
  <c r="HZ18" i="19"/>
  <c r="JF18" i="19"/>
  <c r="JJ18" i="19"/>
  <c r="HX18" i="19"/>
  <c r="HX14" i="35"/>
  <c r="HV14" i="35"/>
  <c r="HZ14" i="35"/>
  <c r="JF14" i="35"/>
  <c r="JJ14" i="35"/>
  <c r="IM69" i="35"/>
  <c r="IK69" i="35"/>
  <c r="HV49" i="39"/>
  <c r="HZ49" i="39"/>
  <c r="HX49" i="39"/>
  <c r="HP25" i="39"/>
  <c r="HR25" i="39"/>
  <c r="HK62" i="34"/>
  <c r="HX14" i="19"/>
  <c r="HZ14" i="19"/>
  <c r="HV14" i="19"/>
  <c r="GZ118" i="39"/>
  <c r="IM32" i="39"/>
  <c r="IK32" i="39"/>
  <c r="GK29" i="35"/>
  <c r="GK70" i="35"/>
  <c r="GJ29" i="35"/>
  <c r="GJ70" i="35"/>
  <c r="FY70" i="35"/>
  <c r="HP30" i="34"/>
  <c r="HR30" i="34"/>
  <c r="GZ76" i="35"/>
  <c r="JG22" i="22"/>
  <c r="JK22" i="22"/>
  <c r="JF33" i="31"/>
  <c r="JJ33" i="31"/>
  <c r="OV29" i="39"/>
  <c r="OU29" i="39"/>
  <c r="OV33" i="39"/>
  <c r="OU33" i="39"/>
  <c r="GZ115" i="39"/>
  <c r="OW110" i="19"/>
  <c r="HY32" i="19"/>
  <c r="IA32" i="19"/>
  <c r="OR12" i="34"/>
  <c r="OH67" i="34"/>
  <c r="OK12" i="34"/>
  <c r="OL12" i="34"/>
  <c r="OL67" i="34"/>
  <c r="HH117" i="39"/>
  <c r="OM57" i="39"/>
  <c r="GY19" i="34"/>
  <c r="GX67" i="34"/>
  <c r="OW36" i="35"/>
  <c r="HS57" i="39"/>
  <c r="HU57" i="39"/>
  <c r="HW57" i="39"/>
  <c r="HQ57" i="39"/>
  <c r="HX82" i="19"/>
  <c r="HZ82" i="19"/>
  <c r="JF82" i="19"/>
  <c r="JJ82" i="19"/>
  <c r="HV82" i="19"/>
  <c r="IM31" i="34"/>
  <c r="IK31" i="34"/>
  <c r="HP36" i="35"/>
  <c r="HR36" i="35"/>
  <c r="HP36" i="39"/>
  <c r="HR36" i="39"/>
  <c r="HU29" i="39"/>
  <c r="HS29" i="39"/>
  <c r="HQ29" i="39"/>
  <c r="HW29" i="39"/>
  <c r="IL108" i="39"/>
  <c r="IL110" i="39"/>
  <c r="HV22" i="39"/>
  <c r="HX22" i="39"/>
  <c r="HZ22" i="39"/>
  <c r="JF22" i="39"/>
  <c r="HV33" i="34"/>
  <c r="HX33" i="34"/>
  <c r="HZ33" i="34"/>
  <c r="JF33" i="34"/>
  <c r="JJ33" i="34"/>
  <c r="OW72" i="19"/>
  <c r="IG41" i="34"/>
  <c r="IE41" i="34"/>
  <c r="HR46" i="34"/>
  <c r="HP46" i="34"/>
  <c r="GK108" i="39"/>
  <c r="IE69" i="35"/>
  <c r="IG69" i="35"/>
  <c r="HR14" i="35"/>
  <c r="HP14" i="35"/>
  <c r="JF29" i="19"/>
  <c r="JJ29" i="19"/>
  <c r="HZ58" i="39"/>
  <c r="HV58" i="39"/>
  <c r="HX58" i="39"/>
  <c r="HH118" i="39"/>
  <c r="HU12" i="32"/>
  <c r="HS12" i="32"/>
  <c r="HQ12" i="32"/>
  <c r="HW12" i="32"/>
  <c r="OU12" i="32"/>
  <c r="OV12" i="32"/>
  <c r="HU11" i="32"/>
  <c r="HS11" i="32"/>
  <c r="HW11" i="32"/>
  <c r="HQ11" i="32"/>
  <c r="JF25" i="32"/>
  <c r="JJ25" i="32"/>
  <c r="HK27" i="32"/>
  <c r="IM14" i="32"/>
  <c r="IK14" i="32"/>
  <c r="OM11" i="32"/>
  <c r="OV18" i="32"/>
  <c r="OU18" i="32"/>
  <c r="HW18" i="32"/>
  <c r="HS18" i="32"/>
  <c r="HU18" i="32"/>
  <c r="HQ18" i="32"/>
  <c r="HK20" i="32"/>
  <c r="OL36" i="32"/>
  <c r="OM18" i="32"/>
  <c r="HK23" i="32"/>
  <c r="HI36" i="32"/>
  <c r="HS9" i="32"/>
  <c r="HU9" i="32"/>
  <c r="HQ9" i="32"/>
  <c r="HW9" i="32"/>
  <c r="OU9" i="32"/>
  <c r="OV9" i="32"/>
  <c r="HS16" i="32"/>
  <c r="HQ16" i="32"/>
  <c r="HW16" i="32"/>
  <c r="HU16" i="32"/>
  <c r="IE14" i="32"/>
  <c r="IG14" i="32"/>
  <c r="HK10" i="32"/>
  <c r="OV16" i="32"/>
  <c r="OU16" i="32"/>
  <c r="OU11" i="32"/>
  <c r="OV11" i="32"/>
  <c r="OW10" i="32"/>
  <c r="HZ17" i="32"/>
  <c r="JF17" i="32"/>
  <c r="JJ17" i="32"/>
  <c r="HX17" i="32"/>
  <c r="HV17" i="32"/>
  <c r="IM20" i="32"/>
  <c r="IK20" i="32"/>
  <c r="HI43" i="32"/>
  <c r="IG18" i="32"/>
  <c r="IE18" i="32"/>
  <c r="HP23" i="32"/>
  <c r="HR23" i="32"/>
  <c r="OW31" i="32"/>
  <c r="HY19" i="32"/>
  <c r="JM19" i="32"/>
  <c r="IA19" i="32"/>
  <c r="HK11" i="32"/>
  <c r="HV22" i="32"/>
  <c r="HX22" i="32"/>
  <c r="HZ22" i="32"/>
  <c r="HP14" i="32"/>
  <c r="HR14" i="32"/>
  <c r="OW23" i="32"/>
  <c r="HV15" i="32"/>
  <c r="HZ15" i="32"/>
  <c r="JF15" i="32"/>
  <c r="JJ15" i="32"/>
  <c r="HX15" i="32"/>
  <c r="OK36" i="32"/>
  <c r="IM29" i="32"/>
  <c r="IK29" i="32"/>
  <c r="IK15" i="32"/>
  <c r="IM15" i="32"/>
  <c r="HP34" i="32"/>
  <c r="JM34" i="32"/>
  <c r="HR34" i="32"/>
  <c r="HI42" i="32"/>
  <c r="IE11" i="32"/>
  <c r="IG11" i="32"/>
  <c r="HK15" i="32"/>
  <c r="IG17" i="32"/>
  <c r="IE17" i="32"/>
  <c r="HZ23" i="32"/>
  <c r="JF23" i="32"/>
  <c r="JJ23" i="32"/>
  <c r="HV23" i="32"/>
  <c r="HX23" i="32"/>
  <c r="IK16" i="32"/>
  <c r="IM16" i="32"/>
  <c r="IK18" i="32"/>
  <c r="IM18" i="32"/>
  <c r="HR32" i="32"/>
  <c r="JG32" i="32"/>
  <c r="JK32" i="32"/>
  <c r="JF32" i="32"/>
  <c r="JJ32" i="32"/>
  <c r="HP32" i="32"/>
  <c r="JM32" i="32"/>
  <c r="HY24" i="32"/>
  <c r="IA24" i="32"/>
  <c r="JF24" i="32"/>
  <c r="JJ24" i="32"/>
  <c r="HZ14" i="32"/>
  <c r="HX14" i="32"/>
  <c r="HV14" i="32"/>
  <c r="IG25" i="32"/>
  <c r="IE25" i="32"/>
  <c r="HR22" i="32"/>
  <c r="HP22" i="32"/>
  <c r="HI45" i="32"/>
  <c r="IM25" i="32"/>
  <c r="IK25" i="32"/>
  <c r="OW17" i="32"/>
  <c r="OM30" i="32"/>
  <c r="GK14" i="32"/>
  <c r="GK36" i="32"/>
  <c r="GJ14" i="32"/>
  <c r="GJ36" i="32"/>
  <c r="IK23" i="32"/>
  <c r="IM23" i="32"/>
  <c r="HX31" i="32"/>
  <c r="HV31" i="32"/>
  <c r="HZ31" i="32"/>
  <c r="JF31" i="32"/>
  <c r="JJ31" i="32"/>
  <c r="IE10" i="32"/>
  <c r="IG10" i="32"/>
  <c r="HR15" i="32"/>
  <c r="HP15" i="32"/>
  <c r="IM11" i="32"/>
  <c r="IK11" i="32"/>
  <c r="HI44" i="32"/>
  <c r="IG31" i="32"/>
  <c r="IE31" i="32"/>
  <c r="IE9" i="32"/>
  <c r="IG9" i="32"/>
  <c r="IF36" i="32"/>
  <c r="IF38" i="32"/>
  <c r="HK17" i="32"/>
  <c r="HP31" i="32"/>
  <c r="HR31" i="32"/>
  <c r="JF34" i="32"/>
  <c r="JJ34" i="32"/>
  <c r="IK9" i="32"/>
  <c r="IM9" i="32"/>
  <c r="IL36" i="32"/>
  <c r="IL38" i="32"/>
  <c r="OW14" i="32"/>
  <c r="IE15" i="32"/>
  <c r="IG15" i="32"/>
  <c r="GZ46" i="32"/>
  <c r="HY25" i="32"/>
  <c r="IA25" i="32"/>
  <c r="GZ41" i="32"/>
  <c r="IK10" i="32"/>
  <c r="IM10" i="32"/>
  <c r="HW30" i="32"/>
  <c r="HQ30" i="32"/>
  <c r="HS30" i="32"/>
  <c r="HU30" i="32"/>
  <c r="IM12" i="32"/>
  <c r="IK12" i="32"/>
  <c r="OV30" i="32"/>
  <c r="OU30" i="32"/>
  <c r="IK31" i="32"/>
  <c r="IM31" i="32"/>
  <c r="IE12" i="32"/>
  <c r="IG12" i="32"/>
  <c r="IE16" i="32"/>
  <c r="IG16" i="32"/>
  <c r="HV26" i="32"/>
  <c r="HX26" i="32"/>
  <c r="HZ26" i="32"/>
  <c r="JF26" i="32"/>
  <c r="JJ26" i="32"/>
  <c r="IJ36" i="32"/>
  <c r="IJ38" i="32"/>
  <c r="IM17" i="32"/>
  <c r="IK17" i="32"/>
  <c r="GZ39" i="32"/>
  <c r="IE29" i="32"/>
  <c r="IG29" i="32"/>
  <c r="JF29" i="32"/>
  <c r="JJ29" i="32"/>
  <c r="JF27" i="32"/>
  <c r="JJ27" i="32"/>
  <c r="HS27" i="32"/>
  <c r="JM27" i="32"/>
  <c r="HU27" i="32"/>
  <c r="IM22" i="32"/>
  <c r="IK22" i="32"/>
  <c r="IM24" i="32"/>
  <c r="IK24" i="32"/>
  <c r="IG20" i="32"/>
  <c r="IE20" i="32"/>
  <c r="GZ44" i="32"/>
  <c r="GZ45" i="32"/>
  <c r="GZ36" i="32"/>
  <c r="GZ38" i="32"/>
  <c r="GZ42" i="32"/>
  <c r="GZ43" i="32"/>
  <c r="HR17" i="32"/>
  <c r="HP17" i="32"/>
  <c r="HK16" i="32"/>
  <c r="IG23" i="32"/>
  <c r="IE23" i="32"/>
  <c r="HK29" i="32"/>
  <c r="IG24" i="32"/>
  <c r="IE24" i="32"/>
  <c r="HP26" i="32"/>
  <c r="HR26" i="32"/>
  <c r="OV27" i="32"/>
  <c r="OU27" i="32"/>
  <c r="IE22" i="32"/>
  <c r="IG22" i="32"/>
  <c r="OW26" i="32"/>
  <c r="HK12" i="32"/>
  <c r="OR36" i="32"/>
  <c r="JF41" i="31"/>
  <c r="JJ41" i="31"/>
  <c r="GZ65" i="31"/>
  <c r="OM28" i="31"/>
  <c r="OM27" i="31"/>
  <c r="IM29" i="31"/>
  <c r="IK29" i="31"/>
  <c r="OU28" i="31"/>
  <c r="OV28" i="31"/>
  <c r="IF60" i="31"/>
  <c r="IF62" i="31"/>
  <c r="JG34" i="31"/>
  <c r="JK34" i="31"/>
  <c r="HK20" i="31"/>
  <c r="HS28" i="31"/>
  <c r="HU28" i="31"/>
  <c r="HQ28" i="31"/>
  <c r="HW28" i="31"/>
  <c r="IK16" i="31"/>
  <c r="JM36" i="31"/>
  <c r="JM56" i="31"/>
  <c r="JM54" i="31"/>
  <c r="KD60" i="31"/>
  <c r="OM11" i="31"/>
  <c r="HW27" i="31"/>
  <c r="HQ27" i="31"/>
  <c r="HU27" i="31"/>
  <c r="HS27" i="31"/>
  <c r="IG25" i="31"/>
  <c r="IE25" i="31"/>
  <c r="IG14" i="31"/>
  <c r="IE14" i="31"/>
  <c r="IK14" i="31"/>
  <c r="IM14" i="31"/>
  <c r="IJ60" i="31"/>
  <c r="IJ62" i="31"/>
  <c r="IG27" i="31"/>
  <c r="IE27" i="31"/>
  <c r="IM32" i="31"/>
  <c r="IK32" i="31"/>
  <c r="OU21" i="31"/>
  <c r="OV21" i="31"/>
  <c r="HK21" i="31"/>
  <c r="HR15" i="31"/>
  <c r="HP15" i="31"/>
  <c r="IK21" i="31"/>
  <c r="IM21" i="31"/>
  <c r="IM13" i="31"/>
  <c r="IK13" i="31"/>
  <c r="JF35" i="31"/>
  <c r="JJ35" i="31"/>
  <c r="HP35" i="31"/>
  <c r="JM35" i="31"/>
  <c r="HR35" i="31"/>
  <c r="JG35" i="31"/>
  <c r="JK35" i="31"/>
  <c r="OW17" i="31"/>
  <c r="IG32" i="31"/>
  <c r="IE32" i="31"/>
  <c r="JF32" i="31"/>
  <c r="JJ32" i="31"/>
  <c r="OM29" i="31"/>
  <c r="IK28" i="31"/>
  <c r="IM28" i="31"/>
  <c r="IE26" i="31"/>
  <c r="IG26" i="31"/>
  <c r="IK33" i="31"/>
  <c r="IM33" i="31"/>
  <c r="IM10" i="31"/>
  <c r="IK10" i="31"/>
  <c r="IK11" i="31"/>
  <c r="IM11" i="31"/>
  <c r="JF31" i="31"/>
  <c r="JJ31" i="31"/>
  <c r="HR31" i="31"/>
  <c r="HP31" i="31"/>
  <c r="IE33" i="31"/>
  <c r="IG33" i="31"/>
  <c r="IM25" i="31"/>
  <c r="IK25" i="31"/>
  <c r="JG56" i="31"/>
  <c r="JK56" i="31"/>
  <c r="IL60" i="31"/>
  <c r="IL62" i="31"/>
  <c r="IK19" i="31"/>
  <c r="IM19" i="31"/>
  <c r="HU21" i="31"/>
  <c r="HW21" i="31"/>
  <c r="HQ21" i="31"/>
  <c r="HS21" i="31"/>
  <c r="IK24" i="31"/>
  <c r="IM24" i="31"/>
  <c r="IG28" i="31"/>
  <c r="IE28" i="31"/>
  <c r="HI67" i="31"/>
  <c r="HU29" i="31"/>
  <c r="HS29" i="31"/>
  <c r="HW29" i="31"/>
  <c r="HQ29" i="31"/>
  <c r="HK28" i="31"/>
  <c r="IE13" i="31"/>
  <c r="IG13" i="31"/>
  <c r="HP40" i="31"/>
  <c r="JF40" i="31"/>
  <c r="JJ40" i="31"/>
  <c r="HR40" i="31"/>
  <c r="OU27" i="31"/>
  <c r="OV27" i="31"/>
  <c r="OV29" i="31"/>
  <c r="OU29" i="31"/>
  <c r="IE21" i="31"/>
  <c r="IG21" i="31"/>
  <c r="IE19" i="31"/>
  <c r="IG19" i="31"/>
  <c r="OU11" i="31"/>
  <c r="OV11" i="31"/>
  <c r="IE20" i="31"/>
  <c r="IG20" i="31"/>
  <c r="HP59" i="31"/>
  <c r="JM59" i="31"/>
  <c r="HR59" i="31"/>
  <c r="JG59" i="31"/>
  <c r="JK59" i="31"/>
  <c r="JF59" i="31"/>
  <c r="JJ59" i="31"/>
  <c r="HZ15" i="31"/>
  <c r="JF15" i="31"/>
  <c r="JJ15" i="31"/>
  <c r="HV15" i="31"/>
  <c r="HX15" i="31"/>
  <c r="IE10" i="31"/>
  <c r="IG10" i="31"/>
  <c r="HZ18" i="31"/>
  <c r="HV18" i="31"/>
  <c r="HX18" i="31"/>
  <c r="IG24" i="31"/>
  <c r="IE24" i="31"/>
  <c r="HQ11" i="31"/>
  <c r="HS11" i="31"/>
  <c r="HW11" i="31"/>
  <c r="HU11" i="31"/>
  <c r="JG22" i="31"/>
  <c r="JK22" i="31"/>
  <c r="ID60" i="31"/>
  <c r="ID62" i="31"/>
  <c r="HK25" i="31"/>
  <c r="HK11" i="31"/>
  <c r="JF37" i="31"/>
  <c r="JJ37" i="31"/>
  <c r="HP37" i="31"/>
  <c r="JM37" i="31"/>
  <c r="HR37" i="31"/>
  <c r="JG37" i="31"/>
  <c r="JK37" i="31"/>
  <c r="IG11" i="31"/>
  <c r="IE11" i="31"/>
  <c r="OW22" i="31"/>
  <c r="IK20" i="31"/>
  <c r="IM20" i="31"/>
  <c r="HI60" i="31"/>
  <c r="HI69" i="31"/>
  <c r="HI68" i="31"/>
  <c r="HI66" i="31"/>
  <c r="HZ13" i="31"/>
  <c r="HV13" i="31"/>
  <c r="HX13" i="31"/>
  <c r="HP23" i="31"/>
  <c r="HR23" i="31"/>
  <c r="HR57" i="31"/>
  <c r="JG57" i="31"/>
  <c r="JK57" i="31"/>
  <c r="HP57" i="31"/>
  <c r="JM57" i="31"/>
  <c r="JF57" i="31"/>
  <c r="JJ57" i="31"/>
  <c r="HQ25" i="31"/>
  <c r="HU25" i="31"/>
  <c r="HS25" i="31"/>
  <c r="HW25" i="31"/>
  <c r="GJ20" i="31"/>
  <c r="GK20" i="31"/>
  <c r="GZ68" i="31"/>
  <c r="HT10" i="31"/>
  <c r="HH10" i="31"/>
  <c r="HG60" i="31"/>
  <c r="HP14" i="31"/>
  <c r="HR14" i="31"/>
  <c r="HY16" i="31"/>
  <c r="IA16" i="31"/>
  <c r="OM25" i="31"/>
  <c r="OV25" i="31"/>
  <c r="OU25" i="31"/>
  <c r="JM43" i="31"/>
  <c r="GJ12" i="31"/>
  <c r="GK12" i="31"/>
  <c r="FY60" i="31"/>
  <c r="HX19" i="31"/>
  <c r="HV19" i="31"/>
  <c r="HZ19" i="31"/>
  <c r="JF19" i="31"/>
  <c r="JJ19" i="31"/>
  <c r="JM39" i="31"/>
  <c r="HX12" i="31"/>
  <c r="HV12" i="31"/>
  <c r="HZ12" i="31"/>
  <c r="JF12" i="31"/>
  <c r="JJ12" i="31"/>
  <c r="JG43" i="31"/>
  <c r="JK43" i="31"/>
  <c r="IK41" i="31"/>
  <c r="IM41" i="31"/>
  <c r="OK10" i="31"/>
  <c r="OL10" i="31"/>
  <c r="OL60" i="31"/>
  <c r="OR10" i="31"/>
  <c r="OH60" i="31"/>
  <c r="GZ66" i="31"/>
  <c r="OW23" i="31"/>
  <c r="HX26" i="31"/>
  <c r="HZ26" i="31"/>
  <c r="JF26" i="31"/>
  <c r="JJ26" i="31"/>
  <c r="HV26" i="31"/>
  <c r="OW26" i="31"/>
  <c r="HK38" i="31"/>
  <c r="GZ70" i="31"/>
  <c r="IA20" i="31"/>
  <c r="IK38" i="31"/>
  <c r="IM38" i="31"/>
  <c r="GZ62" i="31"/>
  <c r="HI65" i="31"/>
  <c r="JM34" i="31"/>
  <c r="OW14" i="31"/>
  <c r="HR12" i="31"/>
  <c r="HP12" i="31"/>
  <c r="GZ67" i="31"/>
  <c r="HV14" i="31"/>
  <c r="HZ14" i="31"/>
  <c r="HX14" i="31"/>
  <c r="OU30" i="31"/>
  <c r="OV30" i="31"/>
  <c r="HR13" i="31"/>
  <c r="HP13" i="31"/>
  <c r="JG54" i="31"/>
  <c r="JK54" i="31"/>
  <c r="JG9" i="31"/>
  <c r="GZ60" i="31"/>
  <c r="HI70" i="31"/>
  <c r="HR24" i="31"/>
  <c r="HP24" i="31"/>
  <c r="OM30" i="31"/>
  <c r="HP19" i="31"/>
  <c r="HR19" i="31"/>
  <c r="HR26" i="31"/>
  <c r="HP26" i="31"/>
  <c r="HU30" i="31"/>
  <c r="HW30" i="31"/>
  <c r="HQ30" i="31"/>
  <c r="HS30" i="31"/>
  <c r="IE38" i="31"/>
  <c r="IG38" i="31"/>
  <c r="JF38" i="31"/>
  <c r="JJ38" i="31"/>
  <c r="HR17" i="31"/>
  <c r="HP17" i="31"/>
  <c r="GZ69" i="31"/>
  <c r="GZ63" i="31"/>
  <c r="HX24" i="31"/>
  <c r="HZ24" i="31"/>
  <c r="JF24" i="31"/>
  <c r="JJ24" i="31"/>
  <c r="HV24" i="31"/>
  <c r="HK41" i="31"/>
  <c r="HV23" i="31"/>
  <c r="HX23" i="31"/>
  <c r="HZ23" i="31"/>
  <c r="HX17" i="31"/>
  <c r="HZ17" i="31"/>
  <c r="JF17" i="31"/>
  <c r="JJ17" i="31"/>
  <c r="HV17" i="31"/>
  <c r="IE41" i="31"/>
  <c r="IG41" i="31"/>
  <c r="JF16" i="31"/>
  <c r="JJ16" i="31"/>
  <c r="OW13" i="31"/>
  <c r="HR25" i="22"/>
  <c r="JG25" i="22"/>
  <c r="JK25" i="22"/>
  <c r="HP25" i="22"/>
  <c r="JM25" i="22"/>
  <c r="IM17" i="22"/>
  <c r="IK17" i="22"/>
  <c r="IG17" i="22"/>
  <c r="IE17" i="22"/>
  <c r="JF17" i="22"/>
  <c r="JJ17" i="22"/>
  <c r="HI17" i="22"/>
  <c r="HK17" i="22"/>
  <c r="HK27" i="22"/>
  <c r="HP11" i="22"/>
  <c r="HR11" i="22"/>
  <c r="HW14" i="22"/>
  <c r="HW29" i="22"/>
  <c r="HW31" i="22"/>
  <c r="HQ14" i="22"/>
  <c r="HS14" i="22"/>
  <c r="HU14" i="22"/>
  <c r="HU29" i="22"/>
  <c r="HU31" i="22"/>
  <c r="HT29" i="22"/>
  <c r="HT31" i="22"/>
  <c r="IG12" i="22"/>
  <c r="IE12" i="22"/>
  <c r="IE11" i="22"/>
  <c r="IG11" i="22"/>
  <c r="IG26" i="22"/>
  <c r="IE26" i="22"/>
  <c r="HP10" i="22"/>
  <c r="HR10" i="22"/>
  <c r="JG9" i="22"/>
  <c r="JK9" i="22"/>
  <c r="OW9" i="22"/>
  <c r="IK12" i="22"/>
  <c r="IM12" i="22"/>
  <c r="HH39" i="22"/>
  <c r="HH32" i="22"/>
  <c r="HH31" i="22"/>
  <c r="HH38" i="22"/>
  <c r="HH29" i="22"/>
  <c r="HY12" i="22"/>
  <c r="IA12" i="22"/>
  <c r="JM22" i="22"/>
  <c r="JF12" i="22"/>
  <c r="JJ12" i="22"/>
  <c r="HP28" i="22"/>
  <c r="JF28" i="22"/>
  <c r="JJ28" i="22"/>
  <c r="HR28" i="22"/>
  <c r="JG28" i="22"/>
  <c r="JK28" i="22"/>
  <c r="IM23" i="22"/>
  <c r="IK23" i="22"/>
  <c r="HX11" i="22"/>
  <c r="HV11" i="22"/>
  <c r="HZ11" i="22"/>
  <c r="JF11" i="22"/>
  <c r="JJ11" i="22"/>
  <c r="IJ29" i="22"/>
  <c r="IJ31" i="22"/>
  <c r="IG23" i="22"/>
  <c r="IE23" i="22"/>
  <c r="HK26" i="22"/>
  <c r="IK26" i="22"/>
  <c r="IM26" i="22"/>
  <c r="HI23" i="22"/>
  <c r="HK23" i="22"/>
  <c r="IM27" i="22"/>
  <c r="IK27" i="22"/>
  <c r="IE27" i="22"/>
  <c r="IG27" i="22"/>
  <c r="JG13" i="22"/>
  <c r="JK13" i="22"/>
  <c r="HX10" i="22"/>
  <c r="HZ10" i="22"/>
  <c r="HV10" i="22"/>
  <c r="IM11" i="22"/>
  <c r="IK11" i="22"/>
  <c r="OM14" i="22"/>
  <c r="HK14" i="22"/>
  <c r="ID29" i="22"/>
  <c r="ID31" i="22"/>
  <c r="JM9" i="22"/>
  <c r="OU14" i="22"/>
  <c r="OV14" i="22"/>
  <c r="JF27" i="22"/>
  <c r="JJ27" i="22"/>
  <c r="HK11" i="22"/>
  <c r="IE15" i="22"/>
  <c r="IF29" i="22"/>
  <c r="IF31" i="22"/>
  <c r="IG15" i="22"/>
  <c r="GZ32" i="22"/>
  <c r="GZ37" i="22"/>
  <c r="GZ38" i="22"/>
  <c r="GZ31" i="22"/>
  <c r="GZ39" i="22"/>
  <c r="GZ36" i="22"/>
  <c r="GZ35" i="22"/>
  <c r="GZ29" i="22"/>
  <c r="GZ34" i="22"/>
  <c r="HI15" i="22"/>
  <c r="IK15" i="22"/>
  <c r="IL29" i="22"/>
  <c r="IL31" i="22"/>
  <c r="IM15" i="22"/>
  <c r="GZ73" i="35"/>
  <c r="HI65" i="35"/>
  <c r="IG65" i="35"/>
  <c r="IE65" i="35"/>
  <c r="IF70" i="35"/>
  <c r="IF72" i="35"/>
  <c r="GZ77" i="35"/>
  <c r="IK65" i="35"/>
  <c r="IM65" i="35"/>
  <c r="GZ80" i="35"/>
  <c r="GZ72" i="35"/>
  <c r="HK9" i="35"/>
  <c r="JG9" i="35"/>
  <c r="OW9" i="35"/>
  <c r="JJ9" i="35"/>
  <c r="HH33" i="32"/>
  <c r="HT33" i="32"/>
  <c r="HG36" i="32"/>
  <c r="JM96" i="19"/>
  <c r="IM126" i="19"/>
  <c r="IM128" i="19"/>
  <c r="HR34" i="34"/>
  <c r="HP34" i="34"/>
  <c r="HZ34" i="34"/>
  <c r="JF34" i="34"/>
  <c r="JJ34" i="34"/>
  <c r="HX34" i="34"/>
  <c r="HV34" i="34"/>
  <c r="OW27" i="34"/>
  <c r="OW101" i="39"/>
  <c r="HI126" i="19"/>
  <c r="HW57" i="21"/>
  <c r="HW59" i="21"/>
  <c r="JM27" i="21"/>
  <c r="HP92" i="39"/>
  <c r="HR92" i="39"/>
  <c r="OW67" i="35"/>
  <c r="HX92" i="39"/>
  <c r="HV92" i="39"/>
  <c r="HZ92" i="39"/>
  <c r="OW68" i="35"/>
  <c r="HV45" i="21"/>
  <c r="HX45" i="21"/>
  <c r="HZ45" i="21"/>
  <c r="HP98" i="39"/>
  <c r="HR98" i="39"/>
  <c r="HZ98" i="39"/>
  <c r="HX98" i="39"/>
  <c r="HV98" i="39"/>
  <c r="OW39" i="19"/>
  <c r="JM46" i="21"/>
  <c r="JG76" i="19"/>
  <c r="JK76" i="19"/>
  <c r="JM17" i="19"/>
  <c r="JG38" i="31"/>
  <c r="JK38" i="31"/>
  <c r="JG105" i="19"/>
  <c r="JK105" i="19"/>
  <c r="OW64" i="35"/>
  <c r="OW66" i="35"/>
  <c r="JG99" i="19"/>
  <c r="JK99" i="19"/>
  <c r="JM89" i="39"/>
  <c r="OW41" i="19"/>
  <c r="OW63" i="35"/>
  <c r="OW65" i="35"/>
  <c r="OV70" i="35"/>
  <c r="OW102" i="19"/>
  <c r="JG46" i="21"/>
  <c r="JK46" i="21"/>
  <c r="OW69" i="35"/>
  <c r="HY20" i="31"/>
  <c r="JM54" i="21"/>
  <c r="JM26" i="35"/>
  <c r="OW68" i="39"/>
  <c r="OW86" i="39"/>
  <c r="JG66" i="19"/>
  <c r="JK66" i="19"/>
  <c r="HP64" i="35"/>
  <c r="JM64" i="35"/>
  <c r="HR64" i="35"/>
  <c r="JG64" i="35"/>
  <c r="JK64" i="35"/>
  <c r="JF64" i="35"/>
  <c r="JJ64" i="35"/>
  <c r="OW67" i="39"/>
  <c r="OW107" i="39"/>
  <c r="OW62" i="35"/>
  <c r="OW64" i="19"/>
  <c r="OW77" i="19"/>
  <c r="OW91" i="39"/>
  <c r="OW95" i="39"/>
  <c r="HP65" i="35"/>
  <c r="HR65" i="35"/>
  <c r="HR63" i="35"/>
  <c r="JG63" i="35"/>
  <c r="JK63" i="35"/>
  <c r="HP63" i="35"/>
  <c r="JM63" i="35"/>
  <c r="JF63" i="35"/>
  <c r="JJ63" i="35"/>
  <c r="HV96" i="39"/>
  <c r="HX96" i="39"/>
  <c r="HZ96" i="39"/>
  <c r="HX95" i="39"/>
  <c r="HV95" i="39"/>
  <c r="HZ95" i="39"/>
  <c r="HP86" i="39"/>
  <c r="HR86" i="39"/>
  <c r="HP96" i="39"/>
  <c r="HR96" i="39"/>
  <c r="HV39" i="39"/>
  <c r="HZ39" i="39"/>
  <c r="HX39" i="39"/>
  <c r="HR101" i="39"/>
  <c r="JG101" i="39"/>
  <c r="JK101" i="39"/>
  <c r="HP101" i="39"/>
  <c r="JM101" i="39"/>
  <c r="JF101" i="39"/>
  <c r="JJ101" i="39"/>
  <c r="HR95" i="39"/>
  <c r="HP95" i="39"/>
  <c r="OW90" i="39"/>
  <c r="JF107" i="39"/>
  <c r="JJ107" i="39"/>
  <c r="HP107" i="39"/>
  <c r="JM107" i="39"/>
  <c r="HR107" i="39"/>
  <c r="JG107" i="39"/>
  <c r="JK107" i="39"/>
  <c r="HP39" i="39"/>
  <c r="HR39" i="39"/>
  <c r="HR23" i="39"/>
  <c r="HP23" i="39"/>
  <c r="HX91" i="39"/>
  <c r="HZ91" i="39"/>
  <c r="HV91" i="39"/>
  <c r="HX90" i="39"/>
  <c r="HV90" i="39"/>
  <c r="HZ90" i="39"/>
  <c r="JF90" i="39"/>
  <c r="JJ90" i="39"/>
  <c r="OW96" i="39"/>
  <c r="HV23" i="39"/>
  <c r="HZ23" i="39"/>
  <c r="HX23" i="39"/>
  <c r="OW23" i="39"/>
  <c r="HX86" i="39"/>
  <c r="HZ86" i="39"/>
  <c r="HV86" i="39"/>
  <c r="HP90" i="39"/>
  <c r="HR90" i="39"/>
  <c r="OW39" i="39"/>
  <c r="HP91" i="39"/>
  <c r="HR91" i="39"/>
  <c r="HY12" i="35"/>
  <c r="JM12" i="35"/>
  <c r="IA12" i="35"/>
  <c r="OU70" i="35"/>
  <c r="HV41" i="19"/>
  <c r="HZ41" i="19"/>
  <c r="HX41" i="19"/>
  <c r="HP76" i="39"/>
  <c r="HR76" i="39"/>
  <c r="JG34" i="32"/>
  <c r="JK34" i="32"/>
  <c r="HZ76" i="39"/>
  <c r="HX76" i="39"/>
  <c r="HV76" i="39"/>
  <c r="HP16" i="31"/>
  <c r="JM16" i="31"/>
  <c r="HR16" i="31"/>
  <c r="JG16" i="31"/>
  <c r="JK16" i="31"/>
  <c r="JM22" i="35"/>
  <c r="IA15" i="39"/>
  <c r="JG15" i="39"/>
  <c r="JK15" i="39"/>
  <c r="HY15" i="39"/>
  <c r="JM15" i="39"/>
  <c r="JF15" i="39"/>
  <c r="JJ15" i="39"/>
  <c r="OW76" i="39"/>
  <c r="JG27" i="32"/>
  <c r="JK27" i="32"/>
  <c r="JM32" i="19"/>
  <c r="JF12" i="35"/>
  <c r="JJ12" i="35"/>
  <c r="OW52" i="19"/>
  <c r="GZ137" i="19"/>
  <c r="JG12" i="35"/>
  <c r="JK12" i="35"/>
  <c r="HR41" i="19"/>
  <c r="HP41" i="19"/>
  <c r="HZ52" i="19"/>
  <c r="HV52" i="19"/>
  <c r="HX52" i="19"/>
  <c r="HX27" i="34"/>
  <c r="HZ27" i="34"/>
  <c r="HV27" i="34"/>
  <c r="HZ102" i="19"/>
  <c r="JF102" i="19"/>
  <c r="JJ102" i="19"/>
  <c r="HX102" i="19"/>
  <c r="HV102" i="19"/>
  <c r="HY44" i="39"/>
  <c r="JM44" i="39"/>
  <c r="IA44" i="39"/>
  <c r="JG44" i="39"/>
  <c r="JK44" i="39"/>
  <c r="JM24" i="21"/>
  <c r="JM76" i="19"/>
  <c r="HW70" i="35"/>
  <c r="HW72" i="35"/>
  <c r="HP52" i="19"/>
  <c r="HR52" i="19"/>
  <c r="HP38" i="39"/>
  <c r="HR38" i="39"/>
  <c r="IA107" i="19"/>
  <c r="JG107" i="19"/>
  <c r="JK107" i="19"/>
  <c r="HY107" i="19"/>
  <c r="JM107" i="19"/>
  <c r="GJ57" i="21"/>
  <c r="JM105" i="19"/>
  <c r="JG17" i="19"/>
  <c r="JK17" i="19"/>
  <c r="HP64" i="19"/>
  <c r="HR64" i="19"/>
  <c r="HP27" i="34"/>
  <c r="HR27" i="34"/>
  <c r="JG96" i="19"/>
  <c r="JK96" i="19"/>
  <c r="JF44" i="39"/>
  <c r="JJ44" i="39"/>
  <c r="OW86" i="19"/>
  <c r="HX38" i="39"/>
  <c r="HV38" i="39"/>
  <c r="HZ38" i="39"/>
  <c r="HI78" i="35"/>
  <c r="OW16" i="35"/>
  <c r="HZ64" i="19"/>
  <c r="HV64" i="19"/>
  <c r="HX64" i="19"/>
  <c r="JG16" i="19"/>
  <c r="JK16" i="19"/>
  <c r="HP102" i="19"/>
  <c r="HR102" i="19"/>
  <c r="OW38" i="39"/>
  <c r="HR77" i="19"/>
  <c r="HP77" i="19"/>
  <c r="OW85" i="39"/>
  <c r="HX77" i="19"/>
  <c r="HZ77" i="19"/>
  <c r="HV77" i="19"/>
  <c r="JG23" i="35"/>
  <c r="JK23" i="35"/>
  <c r="JG15" i="19"/>
  <c r="JK15" i="19"/>
  <c r="JM123" i="19"/>
  <c r="HX59" i="39"/>
  <c r="HZ59" i="39"/>
  <c r="JF59" i="39"/>
  <c r="JJ59" i="39"/>
  <c r="HV59" i="39"/>
  <c r="HI137" i="19"/>
  <c r="JM36" i="34"/>
  <c r="JG31" i="31"/>
  <c r="JK31" i="31"/>
  <c r="HZ40" i="34"/>
  <c r="HY40" i="34"/>
  <c r="JM40" i="34"/>
  <c r="HU70" i="35"/>
  <c r="HU72" i="35"/>
  <c r="HX16" i="35"/>
  <c r="HZ16" i="35"/>
  <c r="JF16" i="35"/>
  <c r="JJ16" i="35"/>
  <c r="HV16" i="35"/>
  <c r="HZ39" i="19"/>
  <c r="HV39" i="19"/>
  <c r="HX39" i="19"/>
  <c r="HP86" i="19"/>
  <c r="HR86" i="19"/>
  <c r="HP16" i="35"/>
  <c r="HR16" i="35"/>
  <c r="IA28" i="35"/>
  <c r="JG28" i="35"/>
  <c r="JK28" i="35"/>
  <c r="HY28" i="35"/>
  <c r="JM28" i="35"/>
  <c r="HP10" i="32"/>
  <c r="HV40" i="34"/>
  <c r="OM70" i="35"/>
  <c r="JG43" i="35"/>
  <c r="JK43" i="35"/>
  <c r="OW66" i="39"/>
  <c r="OM29" i="22"/>
  <c r="JM25" i="35"/>
  <c r="JM43" i="35"/>
  <c r="HY78" i="19"/>
  <c r="JM78" i="19"/>
  <c r="IA78" i="19"/>
  <c r="JG78" i="19"/>
  <c r="JK78" i="19"/>
  <c r="JF78" i="19"/>
  <c r="JJ78" i="19"/>
  <c r="HP39" i="19"/>
  <c r="HR39" i="19"/>
  <c r="HZ86" i="19"/>
  <c r="JF86" i="19"/>
  <c r="JJ86" i="19"/>
  <c r="HX86" i="19"/>
  <c r="HV86" i="19"/>
  <c r="JG32" i="19"/>
  <c r="JK32" i="19"/>
  <c r="JM66" i="19"/>
  <c r="HQ70" i="35"/>
  <c r="HQ72" i="35"/>
  <c r="OW23" i="35"/>
  <c r="OW59" i="39"/>
  <c r="JG54" i="21"/>
  <c r="JK54" i="21"/>
  <c r="JG42" i="35"/>
  <c r="JK42" i="35"/>
  <c r="HY27" i="39"/>
  <c r="JM27" i="39"/>
  <c r="IA27" i="39"/>
  <c r="JG27" i="39"/>
  <c r="JK27" i="39"/>
  <c r="JF27" i="39"/>
  <c r="JJ27" i="39"/>
  <c r="HP59" i="39"/>
  <c r="HR59" i="39"/>
  <c r="HX10" i="32"/>
  <c r="JM99" i="19"/>
  <c r="JM28" i="19"/>
  <c r="OW12" i="22"/>
  <c r="HZ66" i="39"/>
  <c r="HX66" i="39"/>
  <c r="HV66" i="39"/>
  <c r="HR40" i="34"/>
  <c r="JG89" i="39"/>
  <c r="JK89" i="39"/>
  <c r="HZ85" i="39"/>
  <c r="JF85" i="39"/>
  <c r="JJ85" i="39"/>
  <c r="HV85" i="39"/>
  <c r="HX85" i="39"/>
  <c r="HZ10" i="32"/>
  <c r="JF10" i="32"/>
  <c r="JJ10" i="32"/>
  <c r="OV29" i="22"/>
  <c r="JF40" i="34"/>
  <c r="JJ40" i="34"/>
  <c r="JG62" i="19"/>
  <c r="JK62" i="19"/>
  <c r="HR66" i="39"/>
  <c r="HP66" i="39"/>
  <c r="JG80" i="19"/>
  <c r="JK80" i="19"/>
  <c r="JM38" i="35"/>
  <c r="JG123" i="19"/>
  <c r="JK123" i="19"/>
  <c r="HR85" i="39"/>
  <c r="HP85" i="39"/>
  <c r="HY18" i="39"/>
  <c r="JM18" i="39"/>
  <c r="IA18" i="39"/>
  <c r="JG18" i="39"/>
  <c r="JK18" i="39"/>
  <c r="JF18" i="39"/>
  <c r="JJ18" i="39"/>
  <c r="JG77" i="39"/>
  <c r="JK77" i="39"/>
  <c r="JM15" i="35"/>
  <c r="JM13" i="19"/>
  <c r="JM81" i="19"/>
  <c r="JM55" i="35"/>
  <c r="IA40" i="21"/>
  <c r="JG40" i="21"/>
  <c r="JK40" i="21"/>
  <c r="HY40" i="21"/>
  <c r="JM40" i="21"/>
  <c r="JG82" i="39"/>
  <c r="JK82" i="39"/>
  <c r="JM15" i="19"/>
  <c r="JG34" i="21"/>
  <c r="JK34" i="21"/>
  <c r="JM82" i="39"/>
  <c r="JG38" i="35"/>
  <c r="JK38" i="35"/>
  <c r="IA71" i="19"/>
  <c r="JG71" i="19"/>
  <c r="JK71" i="19"/>
  <c r="HY71" i="19"/>
  <c r="JM71" i="19"/>
  <c r="JM42" i="35"/>
  <c r="OW44" i="21"/>
  <c r="JG31" i="35"/>
  <c r="JK31" i="35"/>
  <c r="JM59" i="35"/>
  <c r="HY47" i="39"/>
  <c r="JM47" i="39"/>
  <c r="IA47" i="39"/>
  <c r="JG47" i="39"/>
  <c r="JK47" i="39"/>
  <c r="JF47" i="39"/>
  <c r="JJ47" i="39"/>
  <c r="JM53" i="35"/>
  <c r="JG26" i="35"/>
  <c r="JK26" i="35"/>
  <c r="JM11" i="35"/>
  <c r="JG55" i="35"/>
  <c r="JK55" i="35"/>
  <c r="OW50" i="39"/>
  <c r="JG59" i="35"/>
  <c r="JK59" i="35"/>
  <c r="JM52" i="35"/>
  <c r="HY48" i="35"/>
  <c r="JM48" i="35"/>
  <c r="IA48" i="35"/>
  <c r="JG48" i="35"/>
  <c r="JK48" i="35"/>
  <c r="JF48" i="35"/>
  <c r="JJ48" i="35"/>
  <c r="JG15" i="35"/>
  <c r="JK15" i="35"/>
  <c r="JM61" i="19"/>
  <c r="JG52" i="35"/>
  <c r="JK52" i="35"/>
  <c r="JG12" i="19"/>
  <c r="JK12" i="19"/>
  <c r="OW74" i="39"/>
  <c r="JG28" i="19"/>
  <c r="JK28" i="19"/>
  <c r="JM23" i="35"/>
  <c r="JM62" i="19"/>
  <c r="JM31" i="35"/>
  <c r="JG27" i="21"/>
  <c r="JK27" i="21"/>
  <c r="OW99" i="39"/>
  <c r="JF47" i="35"/>
  <c r="JJ47" i="35"/>
  <c r="IA47" i="35"/>
  <c r="JG47" i="35"/>
  <c r="JK47" i="35"/>
  <c r="HY47" i="35"/>
  <c r="JM47" i="35"/>
  <c r="JG13" i="19"/>
  <c r="JK13" i="19"/>
  <c r="JG81" i="19"/>
  <c r="JK81" i="19"/>
  <c r="JF22" i="21"/>
  <c r="JJ22" i="21"/>
  <c r="HY22" i="21"/>
  <c r="JM22" i="21"/>
  <c r="IA22" i="21"/>
  <c r="JG22" i="21"/>
  <c r="JK22" i="21"/>
  <c r="JM80" i="19"/>
  <c r="OW41" i="39"/>
  <c r="HI76" i="35"/>
  <c r="HY48" i="19"/>
  <c r="JM48" i="19"/>
  <c r="IA48" i="19"/>
  <c r="JG48" i="19"/>
  <c r="JK48" i="19"/>
  <c r="JF48" i="19"/>
  <c r="JJ48" i="19"/>
  <c r="HY23" i="21"/>
  <c r="JM23" i="21"/>
  <c r="JF23" i="21"/>
  <c r="JJ23" i="21"/>
  <c r="IA23" i="21"/>
  <c r="JG23" i="21"/>
  <c r="JK23" i="21"/>
  <c r="IA106" i="19"/>
  <c r="JG106" i="19"/>
  <c r="JK106" i="19"/>
  <c r="HY106" i="19"/>
  <c r="JM106" i="19"/>
  <c r="JG61" i="19"/>
  <c r="JK61" i="19"/>
  <c r="HY84" i="19"/>
  <c r="JM84" i="19"/>
  <c r="IA84" i="19"/>
  <c r="JG11" i="35"/>
  <c r="JK11" i="35"/>
  <c r="OW72" i="39"/>
  <c r="IA19" i="35"/>
  <c r="JG19" i="35"/>
  <c r="JK19" i="35"/>
  <c r="HY19" i="35"/>
  <c r="JM19" i="35"/>
  <c r="IA50" i="35"/>
  <c r="JG50" i="35"/>
  <c r="JK50" i="35"/>
  <c r="HY50" i="35"/>
  <c r="JM50" i="35"/>
  <c r="JF50" i="35"/>
  <c r="JJ50" i="35"/>
  <c r="JG53" i="35"/>
  <c r="JK53" i="35"/>
  <c r="OW34" i="39"/>
  <c r="HK24" i="35"/>
  <c r="JM77" i="39"/>
  <c r="OW65" i="19"/>
  <c r="JM24" i="35"/>
  <c r="HY67" i="39"/>
  <c r="JM67" i="39"/>
  <c r="IA67" i="39"/>
  <c r="JG67" i="39"/>
  <c r="JK67" i="39"/>
  <c r="JM31" i="39"/>
  <c r="JF84" i="19"/>
  <c r="JJ84" i="19"/>
  <c r="HZ44" i="21"/>
  <c r="JF44" i="21"/>
  <c r="JJ44" i="21"/>
  <c r="HX44" i="21"/>
  <c r="HX57" i="21"/>
  <c r="HX59" i="21"/>
  <c r="HV44" i="21"/>
  <c r="JM40" i="31"/>
  <c r="IA26" i="34"/>
  <c r="JG26" i="34"/>
  <c r="JK26" i="34"/>
  <c r="HY26" i="34"/>
  <c r="JM26" i="34"/>
  <c r="JF26" i="34"/>
  <c r="JJ26" i="34"/>
  <c r="HY28" i="39"/>
  <c r="JM28" i="39"/>
  <c r="IA28" i="39"/>
  <c r="JG28" i="39"/>
  <c r="JK28" i="39"/>
  <c r="JF28" i="39"/>
  <c r="JJ28" i="39"/>
  <c r="HR44" i="21"/>
  <c r="HP44" i="21"/>
  <c r="OW30" i="39"/>
  <c r="JG84" i="19"/>
  <c r="JK84" i="19"/>
  <c r="HY55" i="19"/>
  <c r="JM55" i="19"/>
  <c r="IA55" i="19"/>
  <c r="JG55" i="19"/>
  <c r="JK55" i="19"/>
  <c r="HP34" i="39"/>
  <c r="HR34" i="39"/>
  <c r="HV99" i="39"/>
  <c r="HZ99" i="39"/>
  <c r="JF99" i="39"/>
  <c r="JJ99" i="39"/>
  <c r="HX99" i="39"/>
  <c r="HP72" i="39"/>
  <c r="HR72" i="39"/>
  <c r="HP74" i="39"/>
  <c r="HR74" i="39"/>
  <c r="OW26" i="39"/>
  <c r="HZ72" i="39"/>
  <c r="HV72" i="39"/>
  <c r="HX72" i="39"/>
  <c r="HZ26" i="39"/>
  <c r="JF26" i="39"/>
  <c r="JJ26" i="39"/>
  <c r="HV26" i="39"/>
  <c r="HX26" i="39"/>
  <c r="HY88" i="39"/>
  <c r="JM88" i="39"/>
  <c r="IA88" i="39"/>
  <c r="JG88" i="39"/>
  <c r="JK88" i="39"/>
  <c r="HV74" i="39"/>
  <c r="HX74" i="39"/>
  <c r="HZ74" i="39"/>
  <c r="HR26" i="39"/>
  <c r="HP26" i="39"/>
  <c r="HV41" i="39"/>
  <c r="HZ41" i="39"/>
  <c r="HX41" i="39"/>
  <c r="HR10" i="39"/>
  <c r="HP10" i="39"/>
  <c r="HP41" i="39"/>
  <c r="HR41" i="39"/>
  <c r="IA50" i="39"/>
  <c r="JG50" i="39"/>
  <c r="JK50" i="39"/>
  <c r="HY50" i="39"/>
  <c r="JM50" i="39"/>
  <c r="HV30" i="39"/>
  <c r="HZ30" i="39"/>
  <c r="JF30" i="39"/>
  <c r="JJ30" i="39"/>
  <c r="HX30" i="39"/>
  <c r="HZ34" i="39"/>
  <c r="HX34" i="39"/>
  <c r="HV34" i="39"/>
  <c r="HP99" i="39"/>
  <c r="HR99" i="39"/>
  <c r="OW10" i="39"/>
  <c r="HZ10" i="39"/>
  <c r="HV10" i="39"/>
  <c r="HX10" i="39"/>
  <c r="HR30" i="39"/>
  <c r="HP30" i="39"/>
  <c r="OW57" i="21"/>
  <c r="HR65" i="19"/>
  <c r="HP65" i="19"/>
  <c r="OW9" i="39"/>
  <c r="JG35" i="39"/>
  <c r="JK35" i="39"/>
  <c r="HV65" i="19"/>
  <c r="HZ65" i="19"/>
  <c r="JF65" i="19"/>
  <c r="JJ65" i="19"/>
  <c r="HX65" i="19"/>
  <c r="JG16" i="21"/>
  <c r="JK16" i="21"/>
  <c r="HY63" i="39"/>
  <c r="JM63" i="39"/>
  <c r="IA63" i="39"/>
  <c r="JG63" i="39"/>
  <c r="JK63" i="39"/>
  <c r="JG122" i="19"/>
  <c r="JK122" i="19"/>
  <c r="JG19" i="32"/>
  <c r="JK19" i="32"/>
  <c r="JG49" i="34"/>
  <c r="JK49" i="34"/>
  <c r="JM120" i="19"/>
  <c r="JM25" i="21"/>
  <c r="JG25" i="21"/>
  <c r="JK25" i="21"/>
  <c r="IA46" i="19"/>
  <c r="JG46" i="19"/>
  <c r="JK46" i="19"/>
  <c r="HY46" i="19"/>
  <c r="JM46" i="19"/>
  <c r="IA45" i="35"/>
  <c r="JG45" i="35"/>
  <c r="JK45" i="35"/>
  <c r="HY45" i="35"/>
  <c r="JM45" i="35"/>
  <c r="JF45" i="35"/>
  <c r="JJ45" i="35"/>
  <c r="IA10" i="21"/>
  <c r="JG10" i="21"/>
  <c r="JK10" i="21"/>
  <c r="HY10" i="21"/>
  <c r="JM10" i="21"/>
  <c r="JF10" i="21"/>
  <c r="JJ10" i="21"/>
  <c r="HY46" i="35"/>
  <c r="JM46" i="35"/>
  <c r="IA46" i="35"/>
  <c r="JG46" i="35"/>
  <c r="JK46" i="35"/>
  <c r="IA78" i="39"/>
  <c r="JG78" i="39"/>
  <c r="JK78" i="39"/>
  <c r="HY78" i="39"/>
  <c r="JM78" i="39"/>
  <c r="JG40" i="31"/>
  <c r="JK40" i="31"/>
  <c r="JF78" i="39"/>
  <c r="JJ78" i="39"/>
  <c r="JM20" i="21"/>
  <c r="JG31" i="21"/>
  <c r="JK31" i="21"/>
  <c r="JM15" i="21"/>
  <c r="JG20" i="21"/>
  <c r="JK20" i="21"/>
  <c r="JG14" i="21"/>
  <c r="JK14" i="21"/>
  <c r="JM18" i="21"/>
  <c r="JG11" i="21"/>
  <c r="JK11" i="21"/>
  <c r="JM31" i="21"/>
  <c r="JG22" i="34"/>
  <c r="JK22" i="34"/>
  <c r="HZ19" i="39"/>
  <c r="JF19" i="39"/>
  <c r="JJ19" i="39"/>
  <c r="HX19" i="39"/>
  <c r="HV19" i="39"/>
  <c r="HY85" i="19"/>
  <c r="JM85" i="19"/>
  <c r="IA85" i="19"/>
  <c r="JG85" i="19"/>
  <c r="JK85" i="19"/>
  <c r="JG38" i="34"/>
  <c r="JK38" i="34"/>
  <c r="JM114" i="19"/>
  <c r="JM16" i="21"/>
  <c r="JG18" i="21"/>
  <c r="JK18" i="21"/>
  <c r="HH24" i="33"/>
  <c r="JG53" i="39"/>
  <c r="JK53" i="39"/>
  <c r="JM75" i="39"/>
  <c r="HP59" i="19"/>
  <c r="HR59" i="19"/>
  <c r="OW19" i="39"/>
  <c r="HP61" i="39"/>
  <c r="HR61" i="39"/>
  <c r="HY101" i="19"/>
  <c r="JM101" i="19"/>
  <c r="IA101" i="19"/>
  <c r="JG101" i="19"/>
  <c r="JK101" i="19"/>
  <c r="HV59" i="19"/>
  <c r="HZ59" i="19"/>
  <c r="JF59" i="19"/>
  <c r="JJ59" i="19"/>
  <c r="HX59" i="19"/>
  <c r="JG49" i="21"/>
  <c r="JK49" i="21"/>
  <c r="JM116" i="19"/>
  <c r="OW59" i="19"/>
  <c r="OW61" i="39"/>
  <c r="JF101" i="19"/>
  <c r="JJ101" i="19"/>
  <c r="HV61" i="39"/>
  <c r="HZ61" i="39"/>
  <c r="HX61" i="39"/>
  <c r="JM28" i="22"/>
  <c r="HK108" i="39"/>
  <c r="HW67" i="34"/>
  <c r="HW69" i="34"/>
  <c r="OW102" i="39"/>
  <c r="JG31" i="39"/>
  <c r="JK31" i="39"/>
  <c r="HP11" i="33"/>
  <c r="HR11" i="33"/>
  <c r="JF11" i="33"/>
  <c r="JJ11" i="33"/>
  <c r="HQ13" i="33"/>
  <c r="HQ15" i="33"/>
  <c r="IA43" i="19"/>
  <c r="JG43" i="19"/>
  <c r="JK43" i="19"/>
  <c r="HY43" i="19"/>
  <c r="JM43" i="19"/>
  <c r="JF43" i="19"/>
  <c r="JJ43" i="19"/>
  <c r="JG15" i="21"/>
  <c r="JK15" i="21"/>
  <c r="HY54" i="39"/>
  <c r="JM54" i="39"/>
  <c r="IA54" i="39"/>
  <c r="JG54" i="39"/>
  <c r="JK54" i="39"/>
  <c r="JG26" i="21"/>
  <c r="JK26" i="21"/>
  <c r="HP19" i="39"/>
  <c r="HR19" i="39"/>
  <c r="HY43" i="21"/>
  <c r="JM43" i="21"/>
  <c r="JF43" i="21"/>
  <c r="JJ43" i="21"/>
  <c r="IA43" i="21"/>
  <c r="JG43" i="21"/>
  <c r="JK43" i="21"/>
  <c r="JM11" i="33"/>
  <c r="HH81" i="35"/>
  <c r="IA29" i="35"/>
  <c r="JG29" i="35"/>
  <c r="JK29" i="35"/>
  <c r="HY29" i="35"/>
  <c r="JM29" i="35"/>
  <c r="JF29" i="35"/>
  <c r="JJ29" i="35"/>
  <c r="JM65" i="35"/>
  <c r="OW23" i="34"/>
  <c r="OW14" i="34"/>
  <c r="HX14" i="34"/>
  <c r="HV14" i="34"/>
  <c r="HZ14" i="34"/>
  <c r="JF14" i="34"/>
  <c r="JJ14" i="34"/>
  <c r="HR14" i="34"/>
  <c r="HP14" i="34"/>
  <c r="OW9" i="32"/>
  <c r="JM12" i="21"/>
  <c r="JM14" i="21"/>
  <c r="JG13" i="21"/>
  <c r="JK13" i="21"/>
  <c r="IA32" i="21"/>
  <c r="JG32" i="21"/>
  <c r="JK32" i="21"/>
  <c r="HY32" i="21"/>
  <c r="JM32" i="21"/>
  <c r="JF32" i="21"/>
  <c r="JJ32" i="21"/>
  <c r="JM41" i="21"/>
  <c r="JM13" i="21"/>
  <c r="JG19" i="21"/>
  <c r="JK19" i="21"/>
  <c r="JM19" i="21"/>
  <c r="IA9" i="21"/>
  <c r="JG9" i="21"/>
  <c r="JK9" i="21"/>
  <c r="HY9" i="21"/>
  <c r="JM9" i="21"/>
  <c r="JM26" i="21"/>
  <c r="JG41" i="21"/>
  <c r="JK41" i="21"/>
  <c r="JF36" i="21"/>
  <c r="JJ36" i="21"/>
  <c r="IA36" i="21"/>
  <c r="JG36" i="21"/>
  <c r="JK36" i="21"/>
  <c r="HY36" i="21"/>
  <c r="JM36" i="21"/>
  <c r="JM11" i="21"/>
  <c r="JM53" i="39"/>
  <c r="JG75" i="39"/>
  <c r="JK75" i="39"/>
  <c r="HY94" i="39"/>
  <c r="JM94" i="39"/>
  <c r="IA94" i="39"/>
  <c r="JG94" i="39"/>
  <c r="JK94" i="39"/>
  <c r="IA51" i="39"/>
  <c r="JG51" i="39"/>
  <c r="JK51" i="39"/>
  <c r="HY51" i="39"/>
  <c r="JM51" i="39"/>
  <c r="HY20" i="39"/>
  <c r="JM20" i="39"/>
  <c r="IA20" i="39"/>
  <c r="JG20" i="39"/>
  <c r="JK20" i="39"/>
  <c r="JG60" i="39"/>
  <c r="JK60" i="39"/>
  <c r="JF21" i="39"/>
  <c r="JJ21" i="39"/>
  <c r="HY21" i="39"/>
  <c r="JM21" i="39"/>
  <c r="IA21" i="39"/>
  <c r="JG21" i="39"/>
  <c r="JK21" i="39"/>
  <c r="HP11" i="39"/>
  <c r="HR11" i="39"/>
  <c r="HZ11" i="39"/>
  <c r="HX11" i="39"/>
  <c r="HV11" i="39"/>
  <c r="OW13" i="39"/>
  <c r="OW11" i="39"/>
  <c r="HY68" i="39"/>
  <c r="JM68" i="39"/>
  <c r="IA68" i="39"/>
  <c r="JG68" i="39"/>
  <c r="JK68" i="39"/>
  <c r="IA80" i="39"/>
  <c r="JG80" i="39"/>
  <c r="JK80" i="39"/>
  <c r="HY80" i="39"/>
  <c r="JM80" i="39"/>
  <c r="JF20" i="39"/>
  <c r="JJ20" i="39"/>
  <c r="IA45" i="39"/>
  <c r="JG45" i="39"/>
  <c r="JK45" i="39"/>
  <c r="HY45" i="39"/>
  <c r="JM45" i="39"/>
  <c r="IA46" i="39"/>
  <c r="JG46" i="39"/>
  <c r="JK46" i="39"/>
  <c r="HY46" i="39"/>
  <c r="JM46" i="39"/>
  <c r="HY55" i="39"/>
  <c r="JM55" i="39"/>
  <c r="IA55" i="39"/>
  <c r="JG55" i="39"/>
  <c r="JK55" i="39"/>
  <c r="JF55" i="39"/>
  <c r="JJ55" i="39"/>
  <c r="JM60" i="34"/>
  <c r="HI80" i="35"/>
  <c r="HI75" i="35"/>
  <c r="JM53" i="21"/>
  <c r="IA95" i="19"/>
  <c r="JG95" i="19"/>
  <c r="JK95" i="19"/>
  <c r="HY95" i="19"/>
  <c r="JM95" i="19"/>
  <c r="HI76" i="34"/>
  <c r="JM22" i="34"/>
  <c r="HY93" i="19"/>
  <c r="JM93" i="19"/>
  <c r="IA93" i="19"/>
  <c r="JG93" i="19"/>
  <c r="JK93" i="19"/>
  <c r="JF93" i="19"/>
  <c r="JJ93" i="19"/>
  <c r="HI77" i="35"/>
  <c r="HK65" i="35"/>
  <c r="HY39" i="21"/>
  <c r="JM39" i="21"/>
  <c r="IA39" i="21"/>
  <c r="JG39" i="21"/>
  <c r="JK39" i="21"/>
  <c r="HZ17" i="39"/>
  <c r="HV17" i="39"/>
  <c r="HX17" i="39"/>
  <c r="JF39" i="21"/>
  <c r="JJ39" i="21"/>
  <c r="HI79" i="35"/>
  <c r="JM122" i="19"/>
  <c r="HI24" i="33"/>
  <c r="IA79" i="39"/>
  <c r="JG79" i="39"/>
  <c r="JK79" i="39"/>
  <c r="HY79" i="39"/>
  <c r="JM79" i="39"/>
  <c r="JM35" i="39"/>
  <c r="HI70" i="35"/>
  <c r="JG17" i="22"/>
  <c r="JK17" i="22"/>
  <c r="HU108" i="39"/>
  <c r="HU110" i="39"/>
  <c r="IG108" i="39"/>
  <c r="IG110" i="39"/>
  <c r="JM38" i="34"/>
  <c r="JM49" i="21"/>
  <c r="OW47" i="19"/>
  <c r="JM60" i="39"/>
  <c r="HY23" i="19"/>
  <c r="JM23" i="19"/>
  <c r="IA23" i="19"/>
  <c r="JG23" i="19"/>
  <c r="JK23" i="19"/>
  <c r="HR17" i="39"/>
  <c r="HP17" i="39"/>
  <c r="OW42" i="39"/>
  <c r="HY24" i="19"/>
  <c r="JM24" i="19"/>
  <c r="IA24" i="19"/>
  <c r="JG24" i="19"/>
  <c r="JK24" i="19"/>
  <c r="IA34" i="19"/>
  <c r="JG34" i="19"/>
  <c r="JK34" i="19"/>
  <c r="HY34" i="19"/>
  <c r="JM34" i="19"/>
  <c r="JG116" i="19"/>
  <c r="JK116" i="19"/>
  <c r="HY70" i="19"/>
  <c r="JM70" i="19"/>
  <c r="IA70" i="19"/>
  <c r="JG70" i="19"/>
  <c r="JK70" i="19"/>
  <c r="JF70" i="19"/>
  <c r="JJ70" i="19"/>
  <c r="HX10" i="35"/>
  <c r="HX70" i="35"/>
  <c r="HX72" i="35"/>
  <c r="HZ10" i="35"/>
  <c r="JF10" i="35"/>
  <c r="JJ10" i="35"/>
  <c r="HV10" i="35"/>
  <c r="IA81" i="39"/>
  <c r="JG81" i="39"/>
  <c r="JK81" i="39"/>
  <c r="HY81" i="39"/>
  <c r="JM81" i="39"/>
  <c r="JF81" i="39"/>
  <c r="JJ81" i="39"/>
  <c r="IA73" i="19"/>
  <c r="JG73" i="19"/>
  <c r="JK73" i="19"/>
  <c r="HY73" i="19"/>
  <c r="JM73" i="19"/>
  <c r="JM31" i="31"/>
  <c r="JM49" i="34"/>
  <c r="IG128" i="19"/>
  <c r="JG57" i="34"/>
  <c r="JK57" i="34"/>
  <c r="OW10" i="35"/>
  <c r="HY73" i="39"/>
  <c r="JM73" i="39"/>
  <c r="IA73" i="39"/>
  <c r="JG73" i="39"/>
  <c r="JK73" i="39"/>
  <c r="IM108" i="39"/>
  <c r="IM110" i="39"/>
  <c r="OW15" i="34"/>
  <c r="OW17" i="39"/>
  <c r="HP10" i="35"/>
  <c r="HR10" i="35"/>
  <c r="HR70" i="35"/>
  <c r="HR72" i="35"/>
  <c r="JG120" i="19"/>
  <c r="JK120" i="19"/>
  <c r="HY20" i="19"/>
  <c r="JM20" i="19"/>
  <c r="IA20" i="19"/>
  <c r="JG20" i="19"/>
  <c r="JK20" i="19"/>
  <c r="JF20" i="19"/>
  <c r="JJ20" i="19"/>
  <c r="HY51" i="19"/>
  <c r="JM51" i="19"/>
  <c r="IA51" i="19"/>
  <c r="JG51" i="19"/>
  <c r="JK51" i="19"/>
  <c r="JG53" i="34"/>
  <c r="JK53" i="34"/>
  <c r="JM48" i="21"/>
  <c r="JG53" i="21"/>
  <c r="JK53" i="21"/>
  <c r="HV23" i="34"/>
  <c r="HZ23" i="34"/>
  <c r="JF23" i="34"/>
  <c r="JJ23" i="34"/>
  <c r="HX23" i="34"/>
  <c r="JG70" i="39"/>
  <c r="JK70" i="39"/>
  <c r="IM70" i="35"/>
  <c r="IM72" i="35"/>
  <c r="JM26" i="22"/>
  <c r="JM23" i="22"/>
  <c r="JG29" i="32"/>
  <c r="JK29" i="32"/>
  <c r="HP23" i="34"/>
  <c r="HR23" i="34"/>
  <c r="JM70" i="39"/>
  <c r="JF38" i="21"/>
  <c r="JJ38" i="21"/>
  <c r="IA38" i="21"/>
  <c r="JG38" i="21"/>
  <c r="JK38" i="21"/>
  <c r="HY38" i="21"/>
  <c r="JM38" i="21"/>
  <c r="GZ81" i="35"/>
  <c r="OW28" i="34"/>
  <c r="JF102" i="39"/>
  <c r="JJ102" i="39"/>
  <c r="HP102" i="39"/>
  <c r="JM102" i="39"/>
  <c r="HR102" i="39"/>
  <c r="JG102" i="39"/>
  <c r="JK102" i="39"/>
  <c r="HY83" i="39"/>
  <c r="JM83" i="39"/>
  <c r="IA83" i="39"/>
  <c r="JG83" i="39"/>
  <c r="JK83" i="39"/>
  <c r="IA16" i="39"/>
  <c r="JG16" i="39"/>
  <c r="JK16" i="39"/>
  <c r="HY16" i="39"/>
  <c r="JM16" i="39"/>
  <c r="JF16" i="39"/>
  <c r="JJ16" i="39"/>
  <c r="HR47" i="19"/>
  <c r="HP47" i="19"/>
  <c r="HR21" i="34"/>
  <c r="HP21" i="34"/>
  <c r="HY35" i="35"/>
  <c r="JM35" i="35"/>
  <c r="IA35" i="35"/>
  <c r="JG35" i="35"/>
  <c r="JK35" i="35"/>
  <c r="JF97" i="39"/>
  <c r="JJ97" i="39"/>
  <c r="IA97" i="39"/>
  <c r="JG97" i="39"/>
  <c r="JK97" i="39"/>
  <c r="HY97" i="39"/>
  <c r="JM97" i="39"/>
  <c r="JF40" i="35"/>
  <c r="JJ40" i="35"/>
  <c r="IA40" i="35"/>
  <c r="JG40" i="35"/>
  <c r="JK40" i="35"/>
  <c r="HY40" i="35"/>
  <c r="JM40" i="35"/>
  <c r="HY64" i="39"/>
  <c r="JM64" i="39"/>
  <c r="IA64" i="39"/>
  <c r="JG64" i="39"/>
  <c r="JK64" i="39"/>
  <c r="JM31" i="34"/>
  <c r="HQ67" i="34"/>
  <c r="HQ69" i="34"/>
  <c r="HI74" i="34"/>
  <c r="JG45" i="34"/>
  <c r="JK45" i="34"/>
  <c r="HZ47" i="19"/>
  <c r="JF47" i="19"/>
  <c r="JJ47" i="19"/>
  <c r="HV47" i="19"/>
  <c r="HX47" i="19"/>
  <c r="HY19" i="19"/>
  <c r="JM19" i="19"/>
  <c r="IA19" i="19"/>
  <c r="JG19" i="19"/>
  <c r="JK19" i="19"/>
  <c r="IA104" i="19"/>
  <c r="JG104" i="19"/>
  <c r="JK104" i="19"/>
  <c r="HY104" i="19"/>
  <c r="JM104" i="19"/>
  <c r="JF104" i="19"/>
  <c r="JJ104" i="19"/>
  <c r="HV62" i="39"/>
  <c r="HZ62" i="39"/>
  <c r="HX62" i="39"/>
  <c r="OU108" i="39"/>
  <c r="GZ24" i="33"/>
  <c r="OW24" i="34"/>
  <c r="HY40" i="39"/>
  <c r="JM40" i="39"/>
  <c r="IA40" i="39"/>
  <c r="JG40" i="39"/>
  <c r="JK40" i="39"/>
  <c r="OW21" i="34"/>
  <c r="IA37" i="19"/>
  <c r="JG37" i="19"/>
  <c r="JK37" i="19"/>
  <c r="HY37" i="19"/>
  <c r="JM37" i="19"/>
  <c r="HV21" i="34"/>
  <c r="HZ21" i="34"/>
  <c r="HX21" i="34"/>
  <c r="OW62" i="39"/>
  <c r="HV15" i="34"/>
  <c r="HZ15" i="34"/>
  <c r="HX15" i="34"/>
  <c r="JF83" i="39"/>
  <c r="JJ83" i="39"/>
  <c r="HP62" i="39"/>
  <c r="HR62" i="39"/>
  <c r="HY33" i="21"/>
  <c r="JM33" i="21"/>
  <c r="IA33" i="21"/>
  <c r="JG33" i="21"/>
  <c r="JK33" i="21"/>
  <c r="JF19" i="19"/>
  <c r="JJ19" i="19"/>
  <c r="HP9" i="39"/>
  <c r="JM9" i="39"/>
  <c r="JF9" i="39"/>
  <c r="JJ9" i="39"/>
  <c r="HR9" i="39"/>
  <c r="JG9" i="39"/>
  <c r="JK9" i="39"/>
  <c r="OV108" i="39"/>
  <c r="JF45" i="21"/>
  <c r="JJ45" i="21"/>
  <c r="JF40" i="39"/>
  <c r="JJ40" i="39"/>
  <c r="HY35" i="21"/>
  <c r="JM35" i="21"/>
  <c r="IA35" i="21"/>
  <c r="JG35" i="21"/>
  <c r="JK35" i="21"/>
  <c r="HY24" i="39"/>
  <c r="JM24" i="39"/>
  <c r="IA24" i="39"/>
  <c r="JG24" i="39"/>
  <c r="JK24" i="39"/>
  <c r="HP15" i="34"/>
  <c r="HR15" i="34"/>
  <c r="HY98" i="19"/>
  <c r="JM98" i="19"/>
  <c r="IA98" i="19"/>
  <c r="JG98" i="19"/>
  <c r="JK98" i="19"/>
  <c r="HY108" i="19"/>
  <c r="JM108" i="19"/>
  <c r="IA108" i="19"/>
  <c r="JG108" i="19"/>
  <c r="JK108" i="19"/>
  <c r="HV37" i="34"/>
  <c r="HZ37" i="34"/>
  <c r="HX37" i="34"/>
  <c r="HK50" i="21"/>
  <c r="HH66" i="21"/>
  <c r="HH59" i="21"/>
  <c r="HH67" i="21"/>
  <c r="HH60" i="21"/>
  <c r="HH57" i="21"/>
  <c r="HP28" i="34"/>
  <c r="HR28" i="34"/>
  <c r="OW35" i="34"/>
  <c r="HI119" i="39"/>
  <c r="OW41" i="34"/>
  <c r="HY34" i="35"/>
  <c r="JM34" i="35"/>
  <c r="IA34" i="35"/>
  <c r="JG34" i="35"/>
  <c r="JK34" i="35"/>
  <c r="OW37" i="34"/>
  <c r="HZ42" i="39"/>
  <c r="JF42" i="39"/>
  <c r="JJ42" i="39"/>
  <c r="HX42" i="39"/>
  <c r="HV42" i="39"/>
  <c r="HQ50" i="21"/>
  <c r="HS50" i="21"/>
  <c r="HU50" i="21"/>
  <c r="HU57" i="21"/>
  <c r="HU59" i="21"/>
  <c r="HT57" i="21"/>
  <c r="HT59" i="21"/>
  <c r="JF34" i="35"/>
  <c r="JJ34" i="35"/>
  <c r="HK69" i="19"/>
  <c r="HK126" i="19"/>
  <c r="HH136" i="19"/>
  <c r="HH128" i="19"/>
  <c r="HH129" i="19"/>
  <c r="HH135" i="19"/>
  <c r="JM51" i="34"/>
  <c r="HH40" i="22"/>
  <c r="OW11" i="32"/>
  <c r="HQ108" i="39"/>
  <c r="HQ110" i="39"/>
  <c r="OW57" i="39"/>
  <c r="JG31" i="34"/>
  <c r="JK31" i="34"/>
  <c r="HP43" i="34"/>
  <c r="HR43" i="34"/>
  <c r="OW43" i="34"/>
  <c r="HP42" i="39"/>
  <c r="HR42" i="39"/>
  <c r="HY21" i="19"/>
  <c r="JM21" i="19"/>
  <c r="IA21" i="19"/>
  <c r="JG21" i="19"/>
  <c r="JK21" i="19"/>
  <c r="HY50" i="19"/>
  <c r="JM50" i="19"/>
  <c r="IA50" i="19"/>
  <c r="JG50" i="19"/>
  <c r="JK50" i="19"/>
  <c r="JF50" i="19"/>
  <c r="JJ50" i="19"/>
  <c r="IK45" i="21"/>
  <c r="IM45" i="21"/>
  <c r="IM57" i="21"/>
  <c r="IL57" i="21"/>
  <c r="HU69" i="19"/>
  <c r="HU126" i="19"/>
  <c r="HQ69" i="19"/>
  <c r="HQ126" i="19"/>
  <c r="HW69" i="19"/>
  <c r="HW126" i="19"/>
  <c r="HS69" i="19"/>
  <c r="HT128" i="19"/>
  <c r="IA49" i="19"/>
  <c r="JG49" i="19"/>
  <c r="JK49" i="19"/>
  <c r="HY49" i="19"/>
  <c r="JM49" i="19"/>
  <c r="JG51" i="34"/>
  <c r="JK51" i="34"/>
  <c r="JG23" i="22"/>
  <c r="JK23" i="22"/>
  <c r="JG62" i="34"/>
  <c r="JK62" i="34"/>
  <c r="HZ43" i="34"/>
  <c r="HX43" i="34"/>
  <c r="HV43" i="34"/>
  <c r="JG12" i="33"/>
  <c r="IG13" i="33"/>
  <c r="IG15" i="33"/>
  <c r="HR24" i="34"/>
  <c r="HP24" i="34"/>
  <c r="JF21" i="19"/>
  <c r="JJ21" i="19"/>
  <c r="HZ35" i="34"/>
  <c r="HV35" i="34"/>
  <c r="HX35" i="34"/>
  <c r="JG48" i="21"/>
  <c r="JK48" i="21"/>
  <c r="IA37" i="39"/>
  <c r="JG37" i="39"/>
  <c r="JK37" i="39"/>
  <c r="HY37" i="39"/>
  <c r="JM37" i="39"/>
  <c r="HI63" i="21"/>
  <c r="HI62" i="21"/>
  <c r="HI67" i="21"/>
  <c r="HI65" i="21"/>
  <c r="HI57" i="21"/>
  <c r="HI66" i="21"/>
  <c r="HI64" i="21"/>
  <c r="HY52" i="39"/>
  <c r="JM52" i="39"/>
  <c r="IA52" i="39"/>
  <c r="JG52" i="39"/>
  <c r="JK52" i="39"/>
  <c r="OW9" i="34"/>
  <c r="JG61" i="34"/>
  <c r="JK61" i="34"/>
  <c r="OW19" i="34"/>
  <c r="HP35" i="34"/>
  <c r="HR35" i="34"/>
  <c r="HP103" i="39"/>
  <c r="JM103" i="39"/>
  <c r="HR103" i="39"/>
  <c r="JG103" i="39"/>
  <c r="JK103" i="39"/>
  <c r="JF103" i="39"/>
  <c r="JJ103" i="39"/>
  <c r="OW103" i="39"/>
  <c r="HY57" i="19"/>
  <c r="JM57" i="19"/>
  <c r="IA57" i="19"/>
  <c r="JG57" i="19"/>
  <c r="JK57" i="19"/>
  <c r="JF57" i="19"/>
  <c r="JJ57" i="19"/>
  <c r="HK45" i="21"/>
  <c r="GZ60" i="21"/>
  <c r="GZ64" i="21"/>
  <c r="GZ59" i="21"/>
  <c r="GZ66" i="21"/>
  <c r="GZ57" i="21"/>
  <c r="GZ63" i="21"/>
  <c r="GZ67" i="21"/>
  <c r="GZ62" i="21"/>
  <c r="GZ65" i="21"/>
  <c r="JJ12" i="33"/>
  <c r="IG45" i="21"/>
  <c r="IE45" i="21"/>
  <c r="IF57" i="21"/>
  <c r="HV28" i="34"/>
  <c r="HX28" i="34"/>
  <c r="HZ28" i="34"/>
  <c r="OW84" i="39"/>
  <c r="HR84" i="39"/>
  <c r="HP84" i="39"/>
  <c r="OV69" i="19"/>
  <c r="OV126" i="19"/>
  <c r="OU69" i="19"/>
  <c r="OU126" i="19"/>
  <c r="GJ60" i="31"/>
  <c r="OW33" i="39"/>
  <c r="OW69" i="39"/>
  <c r="JM12" i="33"/>
  <c r="HZ24" i="34"/>
  <c r="JF24" i="34"/>
  <c r="JJ24" i="34"/>
  <c r="HX24" i="34"/>
  <c r="HV24" i="34"/>
  <c r="HY10" i="19"/>
  <c r="JM10" i="19"/>
  <c r="IA10" i="19"/>
  <c r="JF10" i="19"/>
  <c r="HZ84" i="39"/>
  <c r="HV84" i="39"/>
  <c r="HX84" i="39"/>
  <c r="JM12" i="22"/>
  <c r="JG32" i="39"/>
  <c r="JK32" i="39"/>
  <c r="OM108" i="39"/>
  <c r="JM61" i="34"/>
  <c r="JM57" i="34"/>
  <c r="OW17" i="34"/>
  <c r="HR37" i="34"/>
  <c r="HP37" i="34"/>
  <c r="OM69" i="19"/>
  <c r="OM126" i="19"/>
  <c r="HP41" i="34"/>
  <c r="HR41" i="34"/>
  <c r="HP18" i="34"/>
  <c r="HR18" i="34"/>
  <c r="HZ17" i="34"/>
  <c r="JF17" i="34"/>
  <c r="JJ17" i="34"/>
  <c r="HV17" i="34"/>
  <c r="HX17" i="34"/>
  <c r="JM45" i="34"/>
  <c r="JM47" i="34"/>
  <c r="JM62" i="34"/>
  <c r="OW39" i="34"/>
  <c r="OW52" i="34"/>
  <c r="OW16" i="34"/>
  <c r="JG60" i="34"/>
  <c r="JK60" i="34"/>
  <c r="JM9" i="34"/>
  <c r="JG9" i="34"/>
  <c r="JK9" i="34"/>
  <c r="OW18" i="34"/>
  <c r="HR17" i="34"/>
  <c r="HP17" i="34"/>
  <c r="JM53" i="34"/>
  <c r="HP32" i="34"/>
  <c r="HR32" i="34"/>
  <c r="HX25" i="34"/>
  <c r="HZ25" i="34"/>
  <c r="JF25" i="34"/>
  <c r="JJ25" i="34"/>
  <c r="HV25" i="34"/>
  <c r="HX32" i="34"/>
  <c r="HZ32" i="34"/>
  <c r="HV32" i="34"/>
  <c r="HP39" i="34"/>
  <c r="HR39" i="34"/>
  <c r="HR25" i="34"/>
  <c r="HP25" i="34"/>
  <c r="HY42" i="34"/>
  <c r="JM42" i="34"/>
  <c r="IA42" i="34"/>
  <c r="JG42" i="34"/>
  <c r="JK42" i="34"/>
  <c r="JF52" i="34"/>
  <c r="JJ52" i="34"/>
  <c r="HP52" i="34"/>
  <c r="JM52" i="34"/>
  <c r="HR52" i="34"/>
  <c r="JG52" i="34"/>
  <c r="JK52" i="34"/>
  <c r="HX41" i="34"/>
  <c r="HV41" i="34"/>
  <c r="HZ41" i="34"/>
  <c r="HZ18" i="34"/>
  <c r="HV18" i="34"/>
  <c r="HX18" i="34"/>
  <c r="HX39" i="34"/>
  <c r="HZ39" i="34"/>
  <c r="HV39" i="34"/>
  <c r="OW25" i="34"/>
  <c r="JG47" i="34"/>
  <c r="JK47" i="34"/>
  <c r="OW32" i="34"/>
  <c r="JJ22" i="39"/>
  <c r="GZ119" i="39"/>
  <c r="IA58" i="39"/>
  <c r="JG58" i="39"/>
  <c r="JK58" i="39"/>
  <c r="HY58" i="39"/>
  <c r="JM58" i="39"/>
  <c r="IA36" i="35"/>
  <c r="JG36" i="35"/>
  <c r="JK36" i="35"/>
  <c r="HY36" i="35"/>
  <c r="JM36" i="35"/>
  <c r="HY13" i="34"/>
  <c r="JM13" i="34"/>
  <c r="IA13" i="34"/>
  <c r="JG13" i="34"/>
  <c r="JK13" i="34"/>
  <c r="HI73" i="34"/>
  <c r="IA65" i="39"/>
  <c r="JG65" i="39"/>
  <c r="JK65" i="39"/>
  <c r="HY65" i="39"/>
  <c r="JM65" i="39"/>
  <c r="JF58" i="39"/>
  <c r="JJ58" i="39"/>
  <c r="IE19" i="34"/>
  <c r="IG19" i="34"/>
  <c r="IG67" i="34"/>
  <c r="IG69" i="34"/>
  <c r="IF67" i="34"/>
  <c r="IF69" i="34"/>
  <c r="HH76" i="34"/>
  <c r="HH70" i="34"/>
  <c r="HH67" i="34"/>
  <c r="HH69" i="34"/>
  <c r="HH77" i="34"/>
  <c r="HK12" i="34"/>
  <c r="JF19" i="34"/>
  <c r="JJ19" i="34"/>
  <c r="OV36" i="32"/>
  <c r="OM36" i="32"/>
  <c r="HY33" i="34"/>
  <c r="IA33" i="34"/>
  <c r="JG33" i="34"/>
  <c r="JK33" i="34"/>
  <c r="HH119" i="39"/>
  <c r="HY14" i="19"/>
  <c r="JM14" i="19"/>
  <c r="IA14" i="19"/>
  <c r="JG14" i="19"/>
  <c r="HY49" i="39"/>
  <c r="JM49" i="39"/>
  <c r="IA49" i="39"/>
  <c r="JG49" i="39"/>
  <c r="JK49" i="39"/>
  <c r="IA18" i="19"/>
  <c r="JG18" i="19"/>
  <c r="JK18" i="19"/>
  <c r="HY18" i="19"/>
  <c r="JM18" i="19"/>
  <c r="HY45" i="19"/>
  <c r="JM45" i="19"/>
  <c r="IA45" i="19"/>
  <c r="JG45" i="19"/>
  <c r="JK45" i="19"/>
  <c r="HK19" i="34"/>
  <c r="GZ69" i="34"/>
  <c r="GZ76" i="34"/>
  <c r="GZ77" i="34"/>
  <c r="GZ72" i="34"/>
  <c r="GZ74" i="34"/>
  <c r="GZ75" i="34"/>
  <c r="GZ67" i="34"/>
  <c r="GZ73" i="34"/>
  <c r="GZ70" i="34"/>
  <c r="HU12" i="34"/>
  <c r="HS12" i="34"/>
  <c r="JM12" i="34"/>
  <c r="JF12" i="34"/>
  <c r="HT67" i="34"/>
  <c r="HT69" i="34"/>
  <c r="HI77" i="34"/>
  <c r="HY13" i="35"/>
  <c r="JM13" i="35"/>
  <c r="IA13" i="35"/>
  <c r="JG13" i="35"/>
  <c r="JK13" i="35"/>
  <c r="HR33" i="39"/>
  <c r="HP33" i="39"/>
  <c r="JF65" i="39"/>
  <c r="JJ65" i="39"/>
  <c r="IA19" i="34"/>
  <c r="HY19" i="34"/>
  <c r="JF14" i="19"/>
  <c r="IM19" i="34"/>
  <c r="IM67" i="34"/>
  <c r="IM69" i="34"/>
  <c r="IK19" i="34"/>
  <c r="IL67" i="34"/>
  <c r="IL69" i="34"/>
  <c r="IA54" i="34"/>
  <c r="JG54" i="34"/>
  <c r="JK54" i="34"/>
  <c r="HY54" i="34"/>
  <c r="JM54" i="34"/>
  <c r="IA22" i="39"/>
  <c r="JG22" i="39"/>
  <c r="JK22" i="39"/>
  <c r="HY22" i="39"/>
  <c r="JM22" i="39"/>
  <c r="HP20" i="32"/>
  <c r="HR20" i="32"/>
  <c r="HX16" i="34"/>
  <c r="HV16" i="34"/>
  <c r="HZ16" i="34"/>
  <c r="JF16" i="34"/>
  <c r="JJ16" i="34"/>
  <c r="HI75" i="34"/>
  <c r="HR69" i="39"/>
  <c r="HP69" i="39"/>
  <c r="IA48" i="34"/>
  <c r="JG48" i="34"/>
  <c r="JK48" i="34"/>
  <c r="HY48" i="34"/>
  <c r="JM48" i="34"/>
  <c r="JF49" i="39"/>
  <c r="JJ49" i="39"/>
  <c r="HV57" i="39"/>
  <c r="HX57" i="39"/>
  <c r="HZ57" i="39"/>
  <c r="JF57" i="39"/>
  <c r="JJ57" i="39"/>
  <c r="HY36" i="39"/>
  <c r="JM36" i="39"/>
  <c r="IA36" i="39"/>
  <c r="JG36" i="39"/>
  <c r="JK36" i="39"/>
  <c r="IG70" i="35"/>
  <c r="IG72" i="35"/>
  <c r="JM27" i="22"/>
  <c r="HV29" i="39"/>
  <c r="HZ29" i="39"/>
  <c r="HX29" i="39"/>
  <c r="IA82" i="19"/>
  <c r="JG82" i="19"/>
  <c r="JK82" i="19"/>
  <c r="HY82" i="19"/>
  <c r="JM82" i="19"/>
  <c r="OM12" i="34"/>
  <c r="OM67" i="34"/>
  <c r="OK67" i="34"/>
  <c r="JM32" i="39"/>
  <c r="JM69" i="35"/>
  <c r="HV20" i="32"/>
  <c r="HX20" i="32"/>
  <c r="HZ20" i="32"/>
  <c r="IA26" i="19"/>
  <c r="JG26" i="19"/>
  <c r="JK26" i="19"/>
  <c r="HY26" i="19"/>
  <c r="JM26" i="19"/>
  <c r="JF13" i="34"/>
  <c r="JJ13" i="34"/>
  <c r="JG69" i="35"/>
  <c r="JK69" i="35"/>
  <c r="HI67" i="34"/>
  <c r="IA25" i="19"/>
  <c r="JG25" i="19"/>
  <c r="JK25" i="19"/>
  <c r="HY25" i="19"/>
  <c r="JM25" i="19"/>
  <c r="JG12" i="21"/>
  <c r="JK12" i="21"/>
  <c r="IA110" i="19"/>
  <c r="JG110" i="19"/>
  <c r="JK110" i="19"/>
  <c r="HY110" i="19"/>
  <c r="JM110" i="19"/>
  <c r="HX69" i="39"/>
  <c r="HV69" i="39"/>
  <c r="HZ69" i="39"/>
  <c r="HV33" i="39"/>
  <c r="HZ33" i="39"/>
  <c r="JF33" i="39"/>
  <c r="JJ33" i="39"/>
  <c r="HX33" i="39"/>
  <c r="OW14" i="22"/>
  <c r="OW29" i="22"/>
  <c r="JM20" i="31"/>
  <c r="JG25" i="32"/>
  <c r="JK25" i="32"/>
  <c r="HR29" i="39"/>
  <c r="HP29" i="39"/>
  <c r="OW29" i="39"/>
  <c r="JF54" i="34"/>
  <c r="JJ54" i="34"/>
  <c r="JM33" i="34"/>
  <c r="JF45" i="19"/>
  <c r="JJ45" i="19"/>
  <c r="IA30" i="34"/>
  <c r="JG30" i="34"/>
  <c r="JK30" i="34"/>
  <c r="HY30" i="34"/>
  <c r="JM30" i="34"/>
  <c r="HY25" i="39"/>
  <c r="JM25" i="39"/>
  <c r="IA25" i="39"/>
  <c r="JG25" i="39"/>
  <c r="JK25" i="39"/>
  <c r="JG12" i="22"/>
  <c r="JK12" i="22"/>
  <c r="JM17" i="22"/>
  <c r="JM24" i="32"/>
  <c r="HR57" i="39"/>
  <c r="HP57" i="39"/>
  <c r="OV12" i="34"/>
  <c r="OV67" i="34"/>
  <c r="OU12" i="34"/>
  <c r="OR67" i="34"/>
  <c r="IA14" i="35"/>
  <c r="JG14" i="35"/>
  <c r="HY14" i="35"/>
  <c r="JM14" i="35"/>
  <c r="IA46" i="34"/>
  <c r="JG46" i="34"/>
  <c r="JK46" i="34"/>
  <c r="HY46" i="34"/>
  <c r="JM46" i="34"/>
  <c r="IA54" i="35"/>
  <c r="JG54" i="35"/>
  <c r="JK54" i="35"/>
  <c r="HY54" i="35"/>
  <c r="JM54" i="35"/>
  <c r="HP16" i="34"/>
  <c r="HR16" i="34"/>
  <c r="HY67" i="19"/>
  <c r="JM67" i="19"/>
  <c r="IA67" i="19"/>
  <c r="JG67" i="19"/>
  <c r="JK67" i="19"/>
  <c r="IA55" i="34"/>
  <c r="JG55" i="34"/>
  <c r="JK55" i="34"/>
  <c r="HY55" i="34"/>
  <c r="JM55" i="34"/>
  <c r="IA18" i="35"/>
  <c r="JG18" i="35"/>
  <c r="JK18" i="35"/>
  <c r="HY18" i="35"/>
  <c r="JM18" i="35"/>
  <c r="HI47" i="32"/>
  <c r="HV9" i="32"/>
  <c r="HZ9" i="32"/>
  <c r="HX9" i="32"/>
  <c r="HR18" i="32"/>
  <c r="HP18" i="32"/>
  <c r="OW12" i="32"/>
  <c r="HP9" i="32"/>
  <c r="HR9" i="32"/>
  <c r="GZ47" i="32"/>
  <c r="HX16" i="32"/>
  <c r="HV16" i="32"/>
  <c r="HZ16" i="32"/>
  <c r="HV12" i="32"/>
  <c r="HX12" i="32"/>
  <c r="HZ12" i="32"/>
  <c r="IM36" i="32"/>
  <c r="IM38" i="32"/>
  <c r="HP16" i="32"/>
  <c r="HR16" i="32"/>
  <c r="HR12" i="32"/>
  <c r="HP12" i="32"/>
  <c r="OW16" i="32"/>
  <c r="HV18" i="32"/>
  <c r="HZ18" i="32"/>
  <c r="HX18" i="32"/>
  <c r="HR11" i="32"/>
  <c r="HP11" i="32"/>
  <c r="OW27" i="32"/>
  <c r="OW18" i="32"/>
  <c r="HX11" i="32"/>
  <c r="HV11" i="32"/>
  <c r="HZ11" i="32"/>
  <c r="HP30" i="32"/>
  <c r="HR30" i="32"/>
  <c r="JG24" i="32"/>
  <c r="JK24" i="32"/>
  <c r="HY15" i="32"/>
  <c r="JM15" i="32"/>
  <c r="IA15" i="32"/>
  <c r="JG15" i="32"/>
  <c r="JK15" i="32"/>
  <c r="JM25" i="32"/>
  <c r="HY10" i="32"/>
  <c r="JM10" i="32"/>
  <c r="IA26" i="32"/>
  <c r="JG26" i="32"/>
  <c r="JK26" i="32"/>
  <c r="HY26" i="32"/>
  <c r="JM26" i="32"/>
  <c r="HZ30" i="32"/>
  <c r="JF30" i="32"/>
  <c r="JJ30" i="32"/>
  <c r="HX30" i="32"/>
  <c r="HV30" i="32"/>
  <c r="OW30" i="32"/>
  <c r="HY17" i="32"/>
  <c r="JM17" i="32"/>
  <c r="IA17" i="32"/>
  <c r="JG17" i="32"/>
  <c r="JK17" i="32"/>
  <c r="IA22" i="32"/>
  <c r="JG22" i="32"/>
  <c r="JK22" i="32"/>
  <c r="HY22" i="32"/>
  <c r="JM22" i="32"/>
  <c r="IA31" i="32"/>
  <c r="JG31" i="32"/>
  <c r="JK31" i="32"/>
  <c r="HY31" i="32"/>
  <c r="JM31" i="32"/>
  <c r="JM29" i="32"/>
  <c r="HW36" i="32"/>
  <c r="HW38" i="32"/>
  <c r="IG36" i="32"/>
  <c r="IG38" i="32"/>
  <c r="JF22" i="32"/>
  <c r="JJ22" i="32"/>
  <c r="HY23" i="32"/>
  <c r="JM23" i="32"/>
  <c r="IA23" i="32"/>
  <c r="JG23" i="32"/>
  <c r="JK23" i="32"/>
  <c r="OU36" i="32"/>
  <c r="HY14" i="32"/>
  <c r="JM14" i="32"/>
  <c r="IA14" i="32"/>
  <c r="JG14" i="32"/>
  <c r="JK14" i="32"/>
  <c r="JF14" i="32"/>
  <c r="JJ14" i="32"/>
  <c r="JG33" i="31"/>
  <c r="JK33" i="31"/>
  <c r="JG41" i="31"/>
  <c r="JK41" i="31"/>
  <c r="OW30" i="31"/>
  <c r="HV28" i="31"/>
  <c r="HX28" i="31"/>
  <c r="HZ28" i="31"/>
  <c r="OW28" i="31"/>
  <c r="GK60" i="31"/>
  <c r="HR28" i="31"/>
  <c r="HP28" i="31"/>
  <c r="OW11" i="31"/>
  <c r="OW27" i="31"/>
  <c r="OW25" i="31"/>
  <c r="IM60" i="31"/>
  <c r="IM62" i="31"/>
  <c r="IA18" i="31"/>
  <c r="JG18" i="31"/>
  <c r="JK18" i="31"/>
  <c r="HY18" i="31"/>
  <c r="JM18" i="31"/>
  <c r="JF18" i="31"/>
  <c r="JJ18" i="31"/>
  <c r="HV11" i="31"/>
  <c r="HX11" i="31"/>
  <c r="HZ11" i="31"/>
  <c r="OW29" i="31"/>
  <c r="JG20" i="31"/>
  <c r="JK20" i="31"/>
  <c r="HR11" i="31"/>
  <c r="HP11" i="31"/>
  <c r="HR29" i="31"/>
  <c r="HP29" i="31"/>
  <c r="JM33" i="31"/>
  <c r="JM32" i="31"/>
  <c r="OW21" i="31"/>
  <c r="HP27" i="31"/>
  <c r="HR27" i="31"/>
  <c r="HZ29" i="31"/>
  <c r="JF29" i="31"/>
  <c r="JJ29" i="31"/>
  <c r="HV29" i="31"/>
  <c r="HX29" i="31"/>
  <c r="JG32" i="31"/>
  <c r="JK32" i="31"/>
  <c r="HX27" i="31"/>
  <c r="HZ27" i="31"/>
  <c r="JF27" i="31"/>
  <c r="JJ27" i="31"/>
  <c r="HV27" i="31"/>
  <c r="IA15" i="31"/>
  <c r="JG15" i="31"/>
  <c r="JK15" i="31"/>
  <c r="HY15" i="31"/>
  <c r="JM15" i="31"/>
  <c r="HP21" i="31"/>
  <c r="HR21" i="31"/>
  <c r="HX21" i="31"/>
  <c r="HZ21" i="31"/>
  <c r="JF21" i="31"/>
  <c r="JJ21" i="31"/>
  <c r="HV21" i="31"/>
  <c r="GZ71" i="31"/>
  <c r="JM38" i="31"/>
  <c r="OU10" i="31"/>
  <c r="OV10" i="31"/>
  <c r="OV60" i="31"/>
  <c r="OR60" i="31"/>
  <c r="HH70" i="31"/>
  <c r="HH63" i="31"/>
  <c r="HH62" i="31"/>
  <c r="HH69" i="31"/>
  <c r="HH60" i="31"/>
  <c r="HK10" i="31"/>
  <c r="HK60" i="31"/>
  <c r="HP25" i="31"/>
  <c r="HR25" i="31"/>
  <c r="IA23" i="31"/>
  <c r="JG23" i="31"/>
  <c r="JK23" i="31"/>
  <c r="HY23" i="31"/>
  <c r="JM23" i="31"/>
  <c r="IG60" i="31"/>
  <c r="IG62" i="31"/>
  <c r="HS10" i="31"/>
  <c r="HQ10" i="31"/>
  <c r="HU10" i="31"/>
  <c r="HU60" i="31"/>
  <c r="HU62" i="31"/>
  <c r="HW10" i="31"/>
  <c r="HT60" i="31"/>
  <c r="HT62" i="31"/>
  <c r="IA13" i="31"/>
  <c r="JG13" i="31"/>
  <c r="JK13" i="31"/>
  <c r="HY13" i="31"/>
  <c r="JM13" i="31"/>
  <c r="HV30" i="31"/>
  <c r="HZ30" i="31"/>
  <c r="JF30" i="31"/>
  <c r="JJ30" i="31"/>
  <c r="HX30" i="31"/>
  <c r="JK9" i="31"/>
  <c r="OM10" i="31"/>
  <c r="OM60" i="31"/>
  <c r="OK60" i="31"/>
  <c r="HY14" i="31"/>
  <c r="JM14" i="31"/>
  <c r="IA14" i="31"/>
  <c r="JG14" i="31"/>
  <c r="JK14" i="31"/>
  <c r="IA26" i="31"/>
  <c r="JG26" i="31"/>
  <c r="JK26" i="31"/>
  <c r="HY26" i="31"/>
  <c r="JM26" i="31"/>
  <c r="IA19" i="31"/>
  <c r="JG19" i="31"/>
  <c r="JK19" i="31"/>
  <c r="HY19" i="31"/>
  <c r="JM19" i="31"/>
  <c r="HR30" i="31"/>
  <c r="HP30" i="31"/>
  <c r="JF13" i="31"/>
  <c r="JJ13" i="31"/>
  <c r="JM41" i="31"/>
  <c r="JF23" i="31"/>
  <c r="JJ23" i="31"/>
  <c r="HY17" i="31"/>
  <c r="JM17" i="31"/>
  <c r="IA17" i="31"/>
  <c r="JG17" i="31"/>
  <c r="JK17" i="31"/>
  <c r="IA24" i="31"/>
  <c r="JG24" i="31"/>
  <c r="JK24" i="31"/>
  <c r="HY24" i="31"/>
  <c r="JM24" i="31"/>
  <c r="HI71" i="31"/>
  <c r="JF14" i="31"/>
  <c r="JJ14" i="31"/>
  <c r="HV25" i="31"/>
  <c r="HX25" i="31"/>
  <c r="HZ25" i="31"/>
  <c r="HY12" i="31"/>
  <c r="JM12" i="31"/>
  <c r="IA12" i="31"/>
  <c r="JG12" i="31"/>
  <c r="JK12" i="31"/>
  <c r="JG27" i="22"/>
  <c r="JK27" i="22"/>
  <c r="JG26" i="22"/>
  <c r="JK26" i="22"/>
  <c r="HY10" i="22"/>
  <c r="JM10" i="22"/>
  <c r="IA10" i="22"/>
  <c r="IM29" i="22"/>
  <c r="IM31" i="22"/>
  <c r="OU29" i="22"/>
  <c r="JM15" i="22"/>
  <c r="HR14" i="22"/>
  <c r="HP14" i="22"/>
  <c r="HQ29" i="22"/>
  <c r="HQ31" i="22"/>
  <c r="HY11" i="22"/>
  <c r="JM11" i="22"/>
  <c r="IA11" i="22"/>
  <c r="JG11" i="22"/>
  <c r="JK11" i="22"/>
  <c r="IG29" i="22"/>
  <c r="IG31" i="22"/>
  <c r="JF10" i="22"/>
  <c r="HZ14" i="22"/>
  <c r="JF14" i="22"/>
  <c r="JJ14" i="22"/>
  <c r="HX14" i="22"/>
  <c r="HX29" i="22"/>
  <c r="HX31" i="22"/>
  <c r="HV14" i="22"/>
  <c r="GZ40" i="22"/>
  <c r="HI35" i="22"/>
  <c r="HI34" i="22"/>
  <c r="HI39" i="22"/>
  <c r="HI36" i="22"/>
  <c r="HI29" i="22"/>
  <c r="HI38" i="22"/>
  <c r="HI37" i="22"/>
  <c r="HK15" i="22"/>
  <c r="HK29" i="22"/>
  <c r="JG15" i="22"/>
  <c r="JK15" i="22"/>
  <c r="JG65" i="35"/>
  <c r="JK65" i="35"/>
  <c r="JK9" i="35"/>
  <c r="HU33" i="32"/>
  <c r="HU36" i="32"/>
  <c r="HU38" i="32"/>
  <c r="HT36" i="32"/>
  <c r="HT38" i="32"/>
  <c r="HS33" i="32"/>
  <c r="HQ33" i="32"/>
  <c r="HH46" i="32"/>
  <c r="HH39" i="32"/>
  <c r="HH36" i="32"/>
  <c r="HH45" i="32"/>
  <c r="HH38" i="32"/>
  <c r="HK33" i="32"/>
  <c r="HK36" i="32"/>
  <c r="JJ10" i="19"/>
  <c r="IA40" i="34"/>
  <c r="HY34" i="34"/>
  <c r="JM34" i="34"/>
  <c r="IA34" i="34"/>
  <c r="HU128" i="19"/>
  <c r="JG34" i="34"/>
  <c r="JK34" i="34"/>
  <c r="JG10" i="19"/>
  <c r="HY92" i="39"/>
  <c r="JM92" i="39"/>
  <c r="IA92" i="39"/>
  <c r="JG92" i="39"/>
  <c r="JK92" i="39"/>
  <c r="JF92" i="39"/>
  <c r="JJ92" i="39"/>
  <c r="IA98" i="39"/>
  <c r="JG98" i="39"/>
  <c r="JK98" i="39"/>
  <c r="HY98" i="39"/>
  <c r="JM98" i="39"/>
  <c r="IA10" i="32"/>
  <c r="JG10" i="32"/>
  <c r="JK10" i="32"/>
  <c r="JF98" i="39"/>
  <c r="JJ98" i="39"/>
  <c r="HY45" i="21"/>
  <c r="IA45" i="21"/>
  <c r="JF91" i="39"/>
  <c r="JJ91" i="39"/>
  <c r="HY91" i="39"/>
  <c r="JM91" i="39"/>
  <c r="IA91" i="39"/>
  <c r="JG91" i="39"/>
  <c r="JK91" i="39"/>
  <c r="IA23" i="39"/>
  <c r="JG23" i="39"/>
  <c r="JK23" i="39"/>
  <c r="HY23" i="39"/>
  <c r="JM23" i="39"/>
  <c r="JF39" i="39"/>
  <c r="JJ39" i="39"/>
  <c r="HY39" i="39"/>
  <c r="JM39" i="39"/>
  <c r="IA39" i="39"/>
  <c r="JG39" i="39"/>
  <c r="JK39" i="39"/>
  <c r="HY95" i="39"/>
  <c r="JM95" i="39"/>
  <c r="IA95" i="39"/>
  <c r="JF95" i="39"/>
  <c r="JJ95" i="39"/>
  <c r="JF96" i="39"/>
  <c r="JJ96" i="39"/>
  <c r="HY96" i="39"/>
  <c r="JM96" i="39"/>
  <c r="IA96" i="39"/>
  <c r="JG96" i="39"/>
  <c r="JK96" i="39"/>
  <c r="IA90" i="39"/>
  <c r="JG90" i="39"/>
  <c r="JK90" i="39"/>
  <c r="HY90" i="39"/>
  <c r="JM90" i="39"/>
  <c r="JG95" i="39"/>
  <c r="JK95" i="39"/>
  <c r="JF86" i="39"/>
  <c r="JJ86" i="39"/>
  <c r="IA86" i="39"/>
  <c r="JG86" i="39"/>
  <c r="JK86" i="39"/>
  <c r="HY86" i="39"/>
  <c r="JM86" i="39"/>
  <c r="JF23" i="39"/>
  <c r="JJ23" i="39"/>
  <c r="OW70" i="35"/>
  <c r="JF41" i="19"/>
  <c r="JJ41" i="19"/>
  <c r="IA41" i="19"/>
  <c r="JG41" i="19"/>
  <c r="JK41" i="19"/>
  <c r="HY41" i="19"/>
  <c r="JM41" i="19"/>
  <c r="HY76" i="39"/>
  <c r="JM76" i="39"/>
  <c r="JF76" i="39"/>
  <c r="JJ76" i="39"/>
  <c r="IA76" i="39"/>
  <c r="JG76" i="39"/>
  <c r="JK76" i="39"/>
  <c r="HY27" i="34"/>
  <c r="JM27" i="34"/>
  <c r="IA27" i="34"/>
  <c r="JG27" i="34"/>
  <c r="JK27" i="34"/>
  <c r="HY64" i="19"/>
  <c r="JM64" i="19"/>
  <c r="IA64" i="19"/>
  <c r="JG64" i="19"/>
  <c r="JK64" i="19"/>
  <c r="JF64" i="19"/>
  <c r="JJ64" i="19"/>
  <c r="HY38" i="39"/>
  <c r="JM38" i="39"/>
  <c r="IA38" i="39"/>
  <c r="JG38" i="39"/>
  <c r="JK38" i="39"/>
  <c r="JF52" i="19"/>
  <c r="JJ52" i="19"/>
  <c r="IA52" i="19"/>
  <c r="JG52" i="19"/>
  <c r="JK52" i="19"/>
  <c r="HY52" i="19"/>
  <c r="JM52" i="19"/>
  <c r="JF77" i="19"/>
  <c r="JJ77" i="19"/>
  <c r="HY77" i="19"/>
  <c r="JM77" i="19"/>
  <c r="IA77" i="19"/>
  <c r="JG77" i="19"/>
  <c r="JK77" i="19"/>
  <c r="JF38" i="39"/>
  <c r="JJ38" i="39"/>
  <c r="IA102" i="19"/>
  <c r="JG102" i="19"/>
  <c r="JK102" i="19"/>
  <c r="HY102" i="19"/>
  <c r="JM102" i="19"/>
  <c r="JF27" i="34"/>
  <c r="JJ27" i="34"/>
  <c r="HZ57" i="21"/>
  <c r="HZ59" i="21"/>
  <c r="HK70" i="35"/>
  <c r="JF39" i="19"/>
  <c r="JJ39" i="19"/>
  <c r="IA39" i="19"/>
  <c r="JG39" i="19"/>
  <c r="JK39" i="19"/>
  <c r="HY39" i="19"/>
  <c r="JM39" i="19"/>
  <c r="HY16" i="35"/>
  <c r="JM16" i="35"/>
  <c r="IA16" i="35"/>
  <c r="JG16" i="35"/>
  <c r="JK16" i="35"/>
  <c r="IA59" i="39"/>
  <c r="JG59" i="39"/>
  <c r="JK59" i="39"/>
  <c r="HY59" i="39"/>
  <c r="JM59" i="39"/>
  <c r="JG40" i="34"/>
  <c r="JK40" i="34"/>
  <c r="HY86" i="19"/>
  <c r="JM86" i="19"/>
  <c r="IA86" i="19"/>
  <c r="JG86" i="19"/>
  <c r="JK86" i="19"/>
  <c r="JF66" i="39"/>
  <c r="JJ66" i="39"/>
  <c r="IA66" i="39"/>
  <c r="JG66" i="39"/>
  <c r="JK66" i="39"/>
  <c r="HY66" i="39"/>
  <c r="JM66" i="39"/>
  <c r="IA85" i="39"/>
  <c r="JG85" i="39"/>
  <c r="JK85" i="39"/>
  <c r="HY85" i="39"/>
  <c r="JM85" i="39"/>
  <c r="HH137" i="19"/>
  <c r="JM13" i="33"/>
  <c r="JF13" i="33"/>
  <c r="JF15" i="33"/>
  <c r="JJ13" i="33"/>
  <c r="JJ15" i="33"/>
  <c r="IA44" i="21"/>
  <c r="JG44" i="21"/>
  <c r="JK44" i="21"/>
  <c r="HY44" i="21"/>
  <c r="JM44" i="21"/>
  <c r="JF34" i="39"/>
  <c r="JJ34" i="39"/>
  <c r="IA34" i="39"/>
  <c r="JG34" i="39"/>
  <c r="JK34" i="39"/>
  <c r="HY34" i="39"/>
  <c r="JM34" i="39"/>
  <c r="IA26" i="39"/>
  <c r="JG26" i="39"/>
  <c r="JK26" i="39"/>
  <c r="HY26" i="39"/>
  <c r="JM26" i="39"/>
  <c r="JF10" i="39"/>
  <c r="JJ10" i="39"/>
  <c r="HY10" i="39"/>
  <c r="JM10" i="39"/>
  <c r="IA10" i="39"/>
  <c r="JG10" i="39"/>
  <c r="JK10" i="39"/>
  <c r="JF74" i="39"/>
  <c r="JJ74" i="39"/>
  <c r="HY74" i="39"/>
  <c r="JM74" i="39"/>
  <c r="IA74" i="39"/>
  <c r="JG74" i="39"/>
  <c r="JK74" i="39"/>
  <c r="IA30" i="39"/>
  <c r="JG30" i="39"/>
  <c r="JK30" i="39"/>
  <c r="HY30" i="39"/>
  <c r="JM30" i="39"/>
  <c r="HY99" i="39"/>
  <c r="JM99" i="39"/>
  <c r="IA99" i="39"/>
  <c r="JG99" i="39"/>
  <c r="JK99" i="39"/>
  <c r="IA72" i="39"/>
  <c r="JG72" i="39"/>
  <c r="JK72" i="39"/>
  <c r="HY72" i="39"/>
  <c r="JM72" i="39"/>
  <c r="JF72" i="39"/>
  <c r="JJ72" i="39"/>
  <c r="IA41" i="39"/>
  <c r="JG41" i="39"/>
  <c r="JK41" i="39"/>
  <c r="HY41" i="39"/>
  <c r="JM41" i="39"/>
  <c r="JF41" i="39"/>
  <c r="JJ41" i="39"/>
  <c r="JJ70" i="35"/>
  <c r="JJ72" i="35"/>
  <c r="HY65" i="19"/>
  <c r="JM65" i="19"/>
  <c r="IA65" i="19"/>
  <c r="JG65" i="19"/>
  <c r="JK65" i="19"/>
  <c r="IL59" i="21"/>
  <c r="IF59" i="21"/>
  <c r="IM59" i="21"/>
  <c r="HZ70" i="35"/>
  <c r="HZ72" i="35"/>
  <c r="JG11" i="33"/>
  <c r="JK11" i="33"/>
  <c r="HR13" i="33"/>
  <c r="HR15" i="33"/>
  <c r="IA19" i="39"/>
  <c r="JG19" i="39"/>
  <c r="JK19" i="39"/>
  <c r="HY19" i="39"/>
  <c r="JM19" i="39"/>
  <c r="JF61" i="39"/>
  <c r="JJ61" i="39"/>
  <c r="IA61" i="39"/>
  <c r="JG61" i="39"/>
  <c r="JK61" i="39"/>
  <c r="HY61" i="39"/>
  <c r="JM61" i="39"/>
  <c r="IA59" i="19"/>
  <c r="JG59" i="19"/>
  <c r="JK59" i="19"/>
  <c r="HY59" i="19"/>
  <c r="JM59" i="19"/>
  <c r="HI81" i="35"/>
  <c r="JF70" i="35"/>
  <c r="JF72" i="35"/>
  <c r="IA14" i="34"/>
  <c r="JG14" i="34"/>
  <c r="JK14" i="34"/>
  <c r="HY14" i="34"/>
  <c r="JM14" i="34"/>
  <c r="IA11" i="39"/>
  <c r="JG11" i="39"/>
  <c r="JK11" i="39"/>
  <c r="HY11" i="39"/>
  <c r="JM11" i="39"/>
  <c r="JF11" i="39"/>
  <c r="JJ11" i="39"/>
  <c r="JM45" i="21"/>
  <c r="HY17" i="39"/>
  <c r="JM17" i="39"/>
  <c r="IA17" i="39"/>
  <c r="JG17" i="39"/>
  <c r="JK17" i="39"/>
  <c r="HY10" i="35"/>
  <c r="JM10" i="35"/>
  <c r="JM70" i="35"/>
  <c r="IA10" i="35"/>
  <c r="JG10" i="35"/>
  <c r="HH71" i="31"/>
  <c r="JF17" i="39"/>
  <c r="JJ17" i="39"/>
  <c r="IA15" i="34"/>
  <c r="JG15" i="34"/>
  <c r="JK15" i="34"/>
  <c r="HY15" i="34"/>
  <c r="JM15" i="34"/>
  <c r="OW108" i="39"/>
  <c r="IA47" i="19"/>
  <c r="JG47" i="19"/>
  <c r="JK47" i="19"/>
  <c r="HY47" i="19"/>
  <c r="JM47" i="19"/>
  <c r="HY23" i="34"/>
  <c r="JM23" i="34"/>
  <c r="IA23" i="34"/>
  <c r="JG23" i="34"/>
  <c r="JK23" i="34"/>
  <c r="JF15" i="34"/>
  <c r="JJ15" i="34"/>
  <c r="HY62" i="39"/>
  <c r="JM62" i="39"/>
  <c r="IA62" i="39"/>
  <c r="JG62" i="39"/>
  <c r="JK62" i="39"/>
  <c r="JF62" i="39"/>
  <c r="JJ62" i="39"/>
  <c r="HK57" i="21"/>
  <c r="HY21" i="34"/>
  <c r="JM21" i="34"/>
  <c r="JF21" i="34"/>
  <c r="JJ21" i="34"/>
  <c r="IA21" i="34"/>
  <c r="JG21" i="34"/>
  <c r="JK21" i="34"/>
  <c r="JM19" i="34"/>
  <c r="IA28" i="34"/>
  <c r="JG28" i="34"/>
  <c r="JK28" i="34"/>
  <c r="HY28" i="34"/>
  <c r="JM28" i="34"/>
  <c r="HY24" i="34"/>
  <c r="JM24" i="34"/>
  <c r="IA24" i="34"/>
  <c r="JG24" i="34"/>
  <c r="JK24" i="34"/>
  <c r="GZ68" i="21"/>
  <c r="JF35" i="34"/>
  <c r="JJ35" i="34"/>
  <c r="HY35" i="34"/>
  <c r="JM35" i="34"/>
  <c r="IA35" i="34"/>
  <c r="JG35" i="34"/>
  <c r="JK35" i="34"/>
  <c r="JK12" i="33"/>
  <c r="HP50" i="21"/>
  <c r="JM50" i="21"/>
  <c r="JF50" i="21"/>
  <c r="HR50" i="21"/>
  <c r="HQ57" i="21"/>
  <c r="OW69" i="19"/>
  <c r="OW126" i="19"/>
  <c r="HI68" i="21"/>
  <c r="HH68" i="21"/>
  <c r="HX108" i="39"/>
  <c r="HX110" i="39"/>
  <c r="IA84" i="39"/>
  <c r="JG84" i="39"/>
  <c r="JK84" i="39"/>
  <c r="HY84" i="39"/>
  <c r="JM84" i="39"/>
  <c r="JF28" i="34"/>
  <c r="JJ28" i="34"/>
  <c r="HZ36" i="32"/>
  <c r="HZ38" i="32"/>
  <c r="HH78" i="34"/>
  <c r="JF84" i="39"/>
  <c r="JJ84" i="39"/>
  <c r="IA43" i="34"/>
  <c r="JG43" i="34"/>
  <c r="JK43" i="34"/>
  <c r="HY43" i="34"/>
  <c r="JM43" i="34"/>
  <c r="HY42" i="39"/>
  <c r="JM42" i="39"/>
  <c r="IA42" i="39"/>
  <c r="JG42" i="39"/>
  <c r="JK42" i="39"/>
  <c r="IG57" i="21"/>
  <c r="JG45" i="21"/>
  <c r="JK45" i="21"/>
  <c r="HX69" i="19"/>
  <c r="HZ69" i="19"/>
  <c r="JF69" i="19"/>
  <c r="HV69" i="19"/>
  <c r="HW128" i="19"/>
  <c r="JF43" i="34"/>
  <c r="JJ43" i="34"/>
  <c r="IA37" i="34"/>
  <c r="JG37" i="34"/>
  <c r="JK37" i="34"/>
  <c r="HY37" i="34"/>
  <c r="JM37" i="34"/>
  <c r="JF37" i="34"/>
  <c r="JJ37" i="34"/>
  <c r="HX67" i="34"/>
  <c r="HX69" i="34"/>
  <c r="HR69" i="19"/>
  <c r="HR126" i="19"/>
  <c r="HP69" i="19"/>
  <c r="HQ128" i="19"/>
  <c r="HY18" i="34"/>
  <c r="JM18" i="34"/>
  <c r="IA18" i="34"/>
  <c r="JG18" i="34"/>
  <c r="JK18" i="34"/>
  <c r="HY32" i="34"/>
  <c r="JM32" i="34"/>
  <c r="IA32" i="34"/>
  <c r="JG32" i="34"/>
  <c r="JK32" i="34"/>
  <c r="IA17" i="34"/>
  <c r="JG17" i="34"/>
  <c r="JK17" i="34"/>
  <c r="HY17" i="34"/>
  <c r="JM17" i="34"/>
  <c r="HY41" i="34"/>
  <c r="JM41" i="34"/>
  <c r="IA41" i="34"/>
  <c r="JG41" i="34"/>
  <c r="JK41" i="34"/>
  <c r="IA25" i="34"/>
  <c r="JG25" i="34"/>
  <c r="JK25" i="34"/>
  <c r="HY25" i="34"/>
  <c r="JM25" i="34"/>
  <c r="JF18" i="34"/>
  <c r="JJ18" i="34"/>
  <c r="HY39" i="34"/>
  <c r="JM39" i="34"/>
  <c r="IA39" i="34"/>
  <c r="JG39" i="34"/>
  <c r="JK39" i="34"/>
  <c r="JF32" i="34"/>
  <c r="JJ32" i="34"/>
  <c r="JG19" i="34"/>
  <c r="JK19" i="34"/>
  <c r="HI78" i="34"/>
  <c r="JF39" i="34"/>
  <c r="JJ39" i="34"/>
  <c r="JF41" i="34"/>
  <c r="JJ41" i="34"/>
  <c r="JK14" i="35"/>
  <c r="IA20" i="32"/>
  <c r="JG20" i="32"/>
  <c r="JK20" i="32"/>
  <c r="HY20" i="32"/>
  <c r="JM20" i="32"/>
  <c r="JF20" i="32"/>
  <c r="JJ20" i="32"/>
  <c r="OW12" i="34"/>
  <c r="OW67" i="34"/>
  <c r="OU67" i="34"/>
  <c r="HY16" i="34"/>
  <c r="JM16" i="34"/>
  <c r="IA16" i="34"/>
  <c r="JG16" i="34"/>
  <c r="JK16" i="34"/>
  <c r="HZ67" i="34"/>
  <c r="HZ69" i="34"/>
  <c r="IA69" i="39"/>
  <c r="JG69" i="39"/>
  <c r="JK69" i="39"/>
  <c r="HY69" i="39"/>
  <c r="JM69" i="39"/>
  <c r="JJ14" i="19"/>
  <c r="IA29" i="39"/>
  <c r="JG29" i="39"/>
  <c r="JK29" i="39"/>
  <c r="HY29" i="39"/>
  <c r="JM29" i="39"/>
  <c r="JJ12" i="34"/>
  <c r="GZ78" i="34"/>
  <c r="JF29" i="39"/>
  <c r="IA57" i="39"/>
  <c r="JG57" i="39"/>
  <c r="JK57" i="39"/>
  <c r="HY57" i="39"/>
  <c r="JM57" i="39"/>
  <c r="HR67" i="34"/>
  <c r="HR69" i="34"/>
  <c r="JG12" i="34"/>
  <c r="HU67" i="34"/>
  <c r="HU69" i="34"/>
  <c r="HK67" i="34"/>
  <c r="JK14" i="19"/>
  <c r="HR108" i="39"/>
  <c r="HR110" i="39"/>
  <c r="HY33" i="39"/>
  <c r="JM33" i="39"/>
  <c r="IA33" i="39"/>
  <c r="JG33" i="39"/>
  <c r="JK33" i="39"/>
  <c r="JF69" i="39"/>
  <c r="JJ69" i="39"/>
  <c r="OW36" i="32"/>
  <c r="IA12" i="32"/>
  <c r="JG12" i="32"/>
  <c r="JK12" i="32"/>
  <c r="HY12" i="32"/>
  <c r="JM12" i="32"/>
  <c r="JF12" i="32"/>
  <c r="JJ12" i="32"/>
  <c r="HX36" i="32"/>
  <c r="HX38" i="32"/>
  <c r="HY11" i="32"/>
  <c r="JM11" i="32"/>
  <c r="JF11" i="32"/>
  <c r="JJ11" i="32"/>
  <c r="IA11" i="32"/>
  <c r="JG11" i="32"/>
  <c r="JK11" i="32"/>
  <c r="JF16" i="32"/>
  <c r="JJ16" i="32"/>
  <c r="HY16" i="32"/>
  <c r="JM16" i="32"/>
  <c r="IA16" i="32"/>
  <c r="JG16" i="32"/>
  <c r="JK16" i="32"/>
  <c r="HH47" i="32"/>
  <c r="IA18" i="32"/>
  <c r="JG18" i="32"/>
  <c r="JK18" i="32"/>
  <c r="HY18" i="32"/>
  <c r="JM18" i="32"/>
  <c r="JF18" i="32"/>
  <c r="JJ18" i="32"/>
  <c r="JF9" i="32"/>
  <c r="JJ9" i="32"/>
  <c r="HY9" i="32"/>
  <c r="JM9" i="32"/>
  <c r="IA9" i="32"/>
  <c r="JG9" i="32"/>
  <c r="JK9" i="32"/>
  <c r="IA30" i="32"/>
  <c r="HY30" i="32"/>
  <c r="JM30" i="32"/>
  <c r="HY28" i="31"/>
  <c r="JM28" i="31"/>
  <c r="IA28" i="31"/>
  <c r="JG28" i="31"/>
  <c r="JK28" i="31"/>
  <c r="JF28" i="31"/>
  <c r="JJ28" i="31"/>
  <c r="HY29" i="31"/>
  <c r="JM29" i="31"/>
  <c r="IA29" i="31"/>
  <c r="JG29" i="31"/>
  <c r="JK29" i="31"/>
  <c r="HY11" i="31"/>
  <c r="JM11" i="31"/>
  <c r="IA11" i="31"/>
  <c r="JG11" i="31"/>
  <c r="JK11" i="31"/>
  <c r="JF11" i="31"/>
  <c r="JJ11" i="31"/>
  <c r="HY21" i="31"/>
  <c r="JM21" i="31"/>
  <c r="IA21" i="31"/>
  <c r="JG21" i="31"/>
  <c r="JK21" i="31"/>
  <c r="IA27" i="31"/>
  <c r="JG27" i="31"/>
  <c r="JK27" i="31"/>
  <c r="HY27" i="31"/>
  <c r="JM27" i="31"/>
  <c r="HR10" i="31"/>
  <c r="HP10" i="31"/>
  <c r="HQ60" i="31"/>
  <c r="HQ62" i="31"/>
  <c r="HV10" i="31"/>
  <c r="HX10" i="31"/>
  <c r="HX60" i="31"/>
  <c r="HX62" i="31"/>
  <c r="HZ10" i="31"/>
  <c r="HW60" i="31"/>
  <c r="HW62" i="31"/>
  <c r="HY25" i="31"/>
  <c r="JM25" i="31"/>
  <c r="IA25" i="31"/>
  <c r="JG25" i="31"/>
  <c r="JK25" i="31"/>
  <c r="HY30" i="31"/>
  <c r="JM30" i="31"/>
  <c r="IA30" i="31"/>
  <c r="JG30" i="31"/>
  <c r="JK30" i="31"/>
  <c r="JF25" i="31"/>
  <c r="JJ25" i="31"/>
  <c r="OW10" i="31"/>
  <c r="OW60" i="31"/>
  <c r="OU60" i="31"/>
  <c r="IA14" i="22"/>
  <c r="IA29" i="22"/>
  <c r="IA31" i="22"/>
  <c r="HY14" i="22"/>
  <c r="JM14" i="22"/>
  <c r="JM29" i="22"/>
  <c r="JJ10" i="22"/>
  <c r="JJ29" i="22"/>
  <c r="JJ31" i="22"/>
  <c r="JF29" i="22"/>
  <c r="JF31" i="22"/>
  <c r="HZ29" i="22"/>
  <c r="HZ31" i="22"/>
  <c r="HR29" i="22"/>
  <c r="HR31" i="22"/>
  <c r="JG10" i="22"/>
  <c r="HI40" i="22"/>
  <c r="HR33" i="32"/>
  <c r="HQ36" i="32"/>
  <c r="HQ38" i="32"/>
  <c r="JF33" i="32"/>
  <c r="HP33" i="32"/>
  <c r="JM33" i="32"/>
  <c r="JF126" i="19"/>
  <c r="JF128" i="19"/>
  <c r="JK10" i="19"/>
  <c r="JJ126" i="19"/>
  <c r="HX126" i="19"/>
  <c r="HX128" i="19"/>
  <c r="HZ126" i="19"/>
  <c r="HZ128" i="19"/>
  <c r="IA57" i="21"/>
  <c r="JG13" i="33"/>
  <c r="JG15" i="33"/>
  <c r="JK13" i="33"/>
  <c r="JK15" i="33"/>
  <c r="IG59" i="21"/>
  <c r="HQ59" i="21"/>
  <c r="IA59" i="21"/>
  <c r="IA70" i="35"/>
  <c r="IA72" i="35"/>
  <c r="JM57" i="21"/>
  <c r="JJ69" i="19"/>
  <c r="JK10" i="35"/>
  <c r="JK70" i="35"/>
  <c r="JK72" i="35"/>
  <c r="JG70" i="35"/>
  <c r="JG72" i="35"/>
  <c r="JG50" i="21"/>
  <c r="JK50" i="21"/>
  <c r="JK57" i="21"/>
  <c r="JK59" i="21"/>
  <c r="HR57" i="21"/>
  <c r="JJ50" i="21"/>
  <c r="JJ57" i="21"/>
  <c r="JJ59" i="21"/>
  <c r="JF57" i="21"/>
  <c r="JF59" i="21"/>
  <c r="HR128" i="19"/>
  <c r="HY69" i="19"/>
  <c r="JM69" i="19"/>
  <c r="JM126" i="19"/>
  <c r="IA69" i="19"/>
  <c r="JM67" i="34"/>
  <c r="JK108" i="39"/>
  <c r="JK110" i="39"/>
  <c r="JM108" i="39"/>
  <c r="JF67" i="34"/>
  <c r="JF69" i="34"/>
  <c r="IA67" i="34"/>
  <c r="IA69" i="34"/>
  <c r="JJ67" i="34"/>
  <c r="JJ69" i="34"/>
  <c r="JM36" i="32"/>
  <c r="JG108" i="39"/>
  <c r="JG110" i="39"/>
  <c r="JJ29" i="39"/>
  <c r="JJ108" i="39"/>
  <c r="JJ110" i="39"/>
  <c r="JF108" i="39"/>
  <c r="JF110" i="39"/>
  <c r="JG14" i="22"/>
  <c r="JK14" i="22"/>
  <c r="JK12" i="34"/>
  <c r="JK67" i="34"/>
  <c r="JK69" i="34"/>
  <c r="JG67" i="34"/>
  <c r="JG69" i="34"/>
  <c r="IA36" i="32"/>
  <c r="IA38" i="32"/>
  <c r="JG30" i="32"/>
  <c r="JK30" i="32"/>
  <c r="HY10" i="31"/>
  <c r="JM10" i="31"/>
  <c r="JM60" i="31"/>
  <c r="IA10" i="31"/>
  <c r="IA60" i="31"/>
  <c r="IA62" i="31"/>
  <c r="HZ60" i="31"/>
  <c r="HZ62" i="31"/>
  <c r="HR60" i="31"/>
  <c r="HR62" i="31"/>
  <c r="JF10" i="31"/>
  <c r="JK10" i="22"/>
  <c r="JF36" i="32"/>
  <c r="JF38" i="32"/>
  <c r="JJ33" i="32"/>
  <c r="JJ36" i="32"/>
  <c r="JJ38" i="32"/>
  <c r="HR36" i="32"/>
  <c r="HR38" i="32"/>
  <c r="JG33" i="32"/>
  <c r="IA126" i="19"/>
  <c r="IA128" i="19"/>
  <c r="JJ128" i="19"/>
  <c r="HR59" i="21"/>
  <c r="JG57" i="21"/>
  <c r="JG59" i="21"/>
  <c r="JK29" i="22"/>
  <c r="JK31" i="22"/>
  <c r="JG69" i="19"/>
  <c r="JG126" i="19"/>
  <c r="JG10" i="31"/>
  <c r="JG60" i="31"/>
  <c r="JG62" i="31"/>
  <c r="JG29" i="22"/>
  <c r="JG31" i="22"/>
  <c r="JJ10" i="31"/>
  <c r="JJ60" i="31"/>
  <c r="JJ62" i="31"/>
  <c r="JF60" i="31"/>
  <c r="JF62" i="31"/>
  <c r="JK33" i="32"/>
  <c r="JK36" i="32"/>
  <c r="JK38" i="32"/>
  <c r="JG36" i="32"/>
  <c r="JG38" i="32"/>
  <c r="JK10" i="31"/>
  <c r="JK60" i="31"/>
  <c r="JK62" i="31"/>
  <c r="JK69" i="19"/>
  <c r="JG128" i="19"/>
  <c r="JK126" i="19"/>
  <c r="JK128" i="19"/>
</calcChain>
</file>

<file path=xl/sharedStrings.xml><?xml version="1.0" encoding="utf-8"?>
<sst xmlns="http://schemas.openxmlformats.org/spreadsheetml/2006/main" count="5696" uniqueCount="706">
  <si>
    <r>
      <t xml:space="preserve">Progres Lahan </t>
    </r>
    <r>
      <rPr>
        <b/>
        <sz val="18"/>
        <color rgb="FF92D050"/>
        <rFont val="Calibri"/>
        <family val="2"/>
        <scheme val="minor"/>
      </rPr>
      <t>Trase</t>
    </r>
    <r>
      <rPr>
        <b/>
        <sz val="18"/>
        <color theme="1"/>
        <rFont val="Calibri"/>
        <family val="2"/>
        <scheme val="minor"/>
      </rPr>
      <t xml:space="preserve"> dan </t>
    </r>
    <r>
      <rPr>
        <b/>
        <sz val="18"/>
        <color rgb="FFFFC000"/>
        <rFont val="Calibri"/>
        <family val="2"/>
        <scheme val="minor"/>
      </rPr>
      <t xml:space="preserve">Stasiun </t>
    </r>
    <r>
      <rPr>
        <b/>
        <sz val="18"/>
        <rFont val="Calibri"/>
        <family val="2"/>
        <scheme val="minor"/>
      </rPr>
      <t>dibebaskan UU No 2/2012 (CLA)</t>
    </r>
  </si>
  <si>
    <t>No</t>
  </si>
  <si>
    <t>Nama</t>
  </si>
  <si>
    <t>No Bidang</t>
  </si>
  <si>
    <t>Rencana Pengadaan Tanah CLA</t>
  </si>
  <si>
    <t>Progres  Pelaksanaan</t>
  </si>
  <si>
    <t>Daftar Nominasi &amp; Peta Bidang yang sudah diumumkan</t>
  </si>
  <si>
    <t>Hasil Valuasi</t>
  </si>
  <si>
    <t>Musyawarah Bentuk Ganti Rugi</t>
  </si>
  <si>
    <t>Pembayaran UGR</t>
  </si>
  <si>
    <t>Target</t>
  </si>
  <si>
    <t>Bidang</t>
  </si>
  <si>
    <t>Luas (m2)</t>
  </si>
  <si>
    <t>Luas</t>
  </si>
  <si>
    <t>% Bidang</t>
  </si>
  <si>
    <t>% Luas</t>
  </si>
  <si>
    <t>%Luas</t>
  </si>
  <si>
    <t>Rp. (M)</t>
  </si>
  <si>
    <t>Jumlah</t>
  </si>
  <si>
    <t>Ismail</t>
  </si>
  <si>
    <t>Kelurahan : Jaticempaka</t>
  </si>
  <si>
    <t>Kelurahan : Jatibening Baru</t>
  </si>
  <si>
    <t>Kelurahan : Jatibening</t>
  </si>
  <si>
    <t xml:space="preserve">Kelurahan : Jakamulya </t>
  </si>
  <si>
    <t>Kelurahan : Jakasetia</t>
  </si>
  <si>
    <t>Kelurahan : Pekayonjaya</t>
  </si>
  <si>
    <t>Kelurahan : Margajaya</t>
  </si>
  <si>
    <t>Kelurahan : Sepanjang Jaya</t>
  </si>
  <si>
    <t>Kelurahan : Pengasinan</t>
  </si>
  <si>
    <t>Marhotib</t>
  </si>
  <si>
    <t>HJ. Nunuk S.P</t>
  </si>
  <si>
    <t>Mulyanah</t>
  </si>
  <si>
    <t>Hadi Sudarmo</t>
  </si>
  <si>
    <t>Sudjono</t>
  </si>
  <si>
    <t>Siswomardono (Alm)</t>
  </si>
  <si>
    <t>Ahmad Miladi</t>
  </si>
  <si>
    <t>Delemande Kusuma</t>
  </si>
  <si>
    <t>Farida Setyaningsih</t>
  </si>
  <si>
    <t>Siti Nurbayanti S.PSI</t>
  </si>
  <si>
    <t>Matheus Titaley</t>
  </si>
  <si>
    <t>Aspiar Anwar (Alm)</t>
  </si>
  <si>
    <t>Emil Farish Shan</t>
  </si>
  <si>
    <t>Taufik Hidayat Bachmid</t>
  </si>
  <si>
    <t>F Frendy Saragih</t>
  </si>
  <si>
    <t>Sopiah</t>
  </si>
  <si>
    <t>Asmaroh</t>
  </si>
  <si>
    <t>Ir. Rico Panggabean</t>
  </si>
  <si>
    <t>Endah Jamilah</t>
  </si>
  <si>
    <t>Suwarno</t>
  </si>
  <si>
    <t>Supardianto</t>
  </si>
  <si>
    <t>H. Djafril Effendy</t>
  </si>
  <si>
    <t>Raden Subaryana</t>
  </si>
  <si>
    <t>Michelle Purba</t>
  </si>
  <si>
    <t>Elfrida Sitompul</t>
  </si>
  <si>
    <t>Manuasa Butar Butar</t>
  </si>
  <si>
    <t>Stefanus Suparna (Alm)</t>
  </si>
  <si>
    <t>Setya Novanto</t>
  </si>
  <si>
    <t>Zaid M Bachmid</t>
  </si>
  <si>
    <t>Sri Suryani</t>
  </si>
  <si>
    <t>Dino Wijaya Erwan Putra S.H</t>
  </si>
  <si>
    <t xml:space="preserve">Rony Widjaya Erwan Putra </t>
  </si>
  <si>
    <t>Erwan Siswoyo</t>
  </si>
  <si>
    <t>Ricky Alpan Nur Huda</t>
  </si>
  <si>
    <t>Suharto</t>
  </si>
  <si>
    <t>Arif Fahmi, S.T</t>
  </si>
  <si>
    <t>Sunarto (Alm)</t>
  </si>
  <si>
    <t>H. Isman</t>
  </si>
  <si>
    <t>Dra Tuty Mulyati</t>
  </si>
  <si>
    <t>H. Amin (Alm)</t>
  </si>
  <si>
    <t>Hasbullah</t>
  </si>
  <si>
    <t>Marpuah</t>
  </si>
  <si>
    <t>Maemunah</t>
  </si>
  <si>
    <t>Lailah</t>
  </si>
  <si>
    <t>H. Suaib (Alm)</t>
  </si>
  <si>
    <t>Sri Yuliani Retnowati</t>
  </si>
  <si>
    <t>Peri Linwasto</t>
  </si>
  <si>
    <t>Madjid</t>
  </si>
  <si>
    <t>Hj. Yuli Sukarsi</t>
  </si>
  <si>
    <t>Abdul Somad</t>
  </si>
  <si>
    <t>Dwiyanto</t>
  </si>
  <si>
    <t>Yuni Rochyaningsih</t>
  </si>
  <si>
    <t>Mansyur Tanjung (Alm)</t>
  </si>
  <si>
    <t>Nyonya Janda Muniroh Alkatiri</t>
  </si>
  <si>
    <t>Titi Yudi</t>
  </si>
  <si>
    <t>Dono Prabowo (Alm)</t>
  </si>
  <si>
    <t>Usman</t>
  </si>
  <si>
    <t>Titin Fatimah</t>
  </si>
  <si>
    <t>Rohiah</t>
  </si>
  <si>
    <t>Yulnasri</t>
  </si>
  <si>
    <t>Antonius Sunarto</t>
  </si>
  <si>
    <t>Legiyah</t>
  </si>
  <si>
    <t>Eka Winthasari</t>
  </si>
  <si>
    <t>H. Sriyanto</t>
  </si>
  <si>
    <t>Trisantoso</t>
  </si>
  <si>
    <t>Hj. Sugianti</t>
  </si>
  <si>
    <t>H. Maryoto</t>
  </si>
  <si>
    <t>H. Surip</t>
  </si>
  <si>
    <t>Zaki Muhammad Baradja</t>
  </si>
  <si>
    <t>Yulianti Eko</t>
  </si>
  <si>
    <t>H. Abas</t>
  </si>
  <si>
    <t>Hj. Lamih Binti Aking</t>
  </si>
  <si>
    <t>Punka Silaban</t>
  </si>
  <si>
    <t>Elias Sembiring</t>
  </si>
  <si>
    <t>Abdul Azis Rismaya</t>
  </si>
  <si>
    <t>Hj. Siti Rohmah</t>
  </si>
  <si>
    <t>Pujiastuti</t>
  </si>
  <si>
    <t>Kliwon</t>
  </si>
  <si>
    <t>Iskandar</t>
  </si>
  <si>
    <t>H. Abdul Choir (Alm)</t>
  </si>
  <si>
    <t>Marzuki</t>
  </si>
  <si>
    <t>Ariansyah</t>
  </si>
  <si>
    <t>H. Abdul Choir</t>
  </si>
  <si>
    <t>PT. Anti Lope Madju</t>
  </si>
  <si>
    <t>H. Nadin Binti Dugul</t>
  </si>
  <si>
    <t>Dr. Indri Putri Dera Sari</t>
  </si>
  <si>
    <t>M. Deddy Iskandar</t>
  </si>
  <si>
    <t>Elsa Elverasanti</t>
  </si>
  <si>
    <t>Muhayah (Almh)</t>
  </si>
  <si>
    <t>Awi Bt Pulir</t>
  </si>
  <si>
    <t>Ali Nawawi</t>
  </si>
  <si>
    <t>Tungga Santoso</t>
  </si>
  <si>
    <t>Matrozi</t>
  </si>
  <si>
    <t>Daliana Nasir</t>
  </si>
  <si>
    <t>Yusup Susanto</t>
  </si>
  <si>
    <t>Endang Tanti Astuti</t>
  </si>
  <si>
    <t>Ir. H. Zacky A. Dani</t>
  </si>
  <si>
    <t>Kwatika Wati</t>
  </si>
  <si>
    <t>Hadi Kismanto</t>
  </si>
  <si>
    <t>Muji Astutii</t>
  </si>
  <si>
    <t>Nuriana Br Panjaitan</t>
  </si>
  <si>
    <t>Erika Pangaribuan</t>
  </si>
  <si>
    <t>Bambang  Suratmojo</t>
  </si>
  <si>
    <t>Rohimah</t>
  </si>
  <si>
    <t>Andri Hartono</t>
  </si>
  <si>
    <t>Bustamin/ Sopiah</t>
  </si>
  <si>
    <t>Busro</t>
  </si>
  <si>
    <t>Pachruri</t>
  </si>
  <si>
    <t>Gofur</t>
  </si>
  <si>
    <t>H. Sinur</t>
  </si>
  <si>
    <t>Netty Hadiastuti</t>
  </si>
  <si>
    <t>Dahliana Rustam</t>
  </si>
  <si>
    <t>Retno Winendar</t>
  </si>
  <si>
    <t>Nyonya Krisnina Akbar Tanjung</t>
  </si>
  <si>
    <t>Asmani/Amik Asmani</t>
  </si>
  <si>
    <t>Ida Farida</t>
  </si>
  <si>
    <t>Somad Liman</t>
  </si>
  <si>
    <t>Romani</t>
  </si>
  <si>
    <t>Ahmad Nidom</t>
  </si>
  <si>
    <t>Maenedah Khoiriyah</t>
  </si>
  <si>
    <t>Mulyadi</t>
  </si>
  <si>
    <t>Ermaniswati</t>
  </si>
  <si>
    <t>Rosiana Alamsyah</t>
  </si>
  <si>
    <t>Engkos Kosasih,BBA</t>
  </si>
  <si>
    <t>Taman</t>
  </si>
  <si>
    <t>H. Wartum Susilo</t>
  </si>
  <si>
    <t>Gilman</t>
  </si>
  <si>
    <t>Edy Sukmaji</t>
  </si>
  <si>
    <t>Rhadytia S.G.</t>
  </si>
  <si>
    <t>Eko Saputro</t>
  </si>
  <si>
    <t>Ikra Pramadya</t>
  </si>
  <si>
    <t>Budiharti</t>
  </si>
  <si>
    <t>Pratiwi Ekasari</t>
  </si>
  <si>
    <t>Riandi Hagai</t>
  </si>
  <si>
    <t>Yogy Handika</t>
  </si>
  <si>
    <t>M. Atong</t>
  </si>
  <si>
    <t>Siti Zubaidah</t>
  </si>
  <si>
    <t>Chita Juwita</t>
  </si>
  <si>
    <t>Aswarkatiri</t>
  </si>
  <si>
    <t>PT Farrasindo Perkasa</t>
  </si>
  <si>
    <t>Ir. Muharjono Muhtarno</t>
  </si>
  <si>
    <t>Magdalena Elnike Simbolon</t>
  </si>
  <si>
    <t>Dr. Surati Suwargono</t>
  </si>
  <si>
    <t>Joseph Silalahi</t>
  </si>
  <si>
    <t>Khotib T.S.</t>
  </si>
  <si>
    <t>Moh. Latif</t>
  </si>
  <si>
    <t>Leonardi Setiawan</t>
  </si>
  <si>
    <t>Leni</t>
  </si>
  <si>
    <t>M. Rahmat S</t>
  </si>
  <si>
    <t>Nur Muftiroh</t>
  </si>
  <si>
    <t>Fasum RW 29</t>
  </si>
  <si>
    <t>Neneng Fatimah</t>
  </si>
  <si>
    <t>Mansur Ali</t>
  </si>
  <si>
    <t>Bona Purba</t>
  </si>
  <si>
    <t>H. Firdaus</t>
  </si>
  <si>
    <t>Mat'sani</t>
  </si>
  <si>
    <t>Andi Rivelino</t>
  </si>
  <si>
    <t>Suratman</t>
  </si>
  <si>
    <t>Utong</t>
  </si>
  <si>
    <t>H. Nasur</t>
  </si>
  <si>
    <t>Amih</t>
  </si>
  <si>
    <t>Mursinah</t>
  </si>
  <si>
    <t>Ayuni Ispa</t>
  </si>
  <si>
    <t>Sonay</t>
  </si>
  <si>
    <t>Farida Subarman</t>
  </si>
  <si>
    <t>Nia Daniati</t>
  </si>
  <si>
    <t>Siti Mariyam</t>
  </si>
  <si>
    <t>Bongkin</t>
  </si>
  <si>
    <t>Sanah</t>
  </si>
  <si>
    <t>Catharina Sularni W</t>
  </si>
  <si>
    <t>Usin</t>
  </si>
  <si>
    <t>Juju</t>
  </si>
  <si>
    <t>Dayati</t>
  </si>
  <si>
    <t>Kumar</t>
  </si>
  <si>
    <t>Dwi Wati Analisya</t>
  </si>
  <si>
    <t>Basuki Sutarman</t>
  </si>
  <si>
    <t>Onah Sunarti</t>
  </si>
  <si>
    <t>Christian Alfred Najoan</t>
  </si>
  <si>
    <t>Dwikarsono Kristanto</t>
  </si>
  <si>
    <t>Tjoa Henny</t>
  </si>
  <si>
    <t>Darmono Marsudi</t>
  </si>
  <si>
    <t>Venty Supangat</t>
  </si>
  <si>
    <t>Nico Soepangat</t>
  </si>
  <si>
    <t>Ir. F. Darmo S.</t>
  </si>
  <si>
    <t>Pudentiana P.</t>
  </si>
  <si>
    <t>Rimigus W.J.</t>
  </si>
  <si>
    <t>Monica D.P.</t>
  </si>
  <si>
    <t>Eka H.M.</t>
  </si>
  <si>
    <t>Kreta Kencana</t>
  </si>
  <si>
    <t>George H.</t>
  </si>
  <si>
    <t>Jatmiko S.</t>
  </si>
  <si>
    <t>John Edwin</t>
  </si>
  <si>
    <t>Fikari R.P.</t>
  </si>
  <si>
    <t>PT Pancamitra Bangun Properti</t>
  </si>
  <si>
    <t>Ginting/Faruk/Rames (sengketa)</t>
  </si>
  <si>
    <t>Ika Mardianingsih</t>
  </si>
  <si>
    <t>Getir</t>
  </si>
  <si>
    <t>Cecep</t>
  </si>
  <si>
    <t>Tini Binti Miran</t>
  </si>
  <si>
    <t>Mardani</t>
  </si>
  <si>
    <t>Titin Kurniasih</t>
  </si>
  <si>
    <t>Misar</t>
  </si>
  <si>
    <t>Mufti Hidayat</t>
  </si>
  <si>
    <t>Natya Pratyaksa</t>
  </si>
  <si>
    <t>Siti Patimah</t>
  </si>
  <si>
    <t>Ahmad Muhajir</t>
  </si>
  <si>
    <t>Shofiyani</t>
  </si>
  <si>
    <t>Mas'ud</t>
  </si>
  <si>
    <t>H.Mumun Munawar Andi</t>
  </si>
  <si>
    <t>Siti Nuraliah</t>
  </si>
  <si>
    <t>Konah</t>
  </si>
  <si>
    <t>Nur Rohman</t>
  </si>
  <si>
    <t>Wastap</t>
  </si>
  <si>
    <t>Taufik H</t>
  </si>
  <si>
    <t>Rohayah</t>
  </si>
  <si>
    <t>Samid</t>
  </si>
  <si>
    <t>Namin</t>
  </si>
  <si>
    <t>Tarih</t>
  </si>
  <si>
    <t>Ramih</t>
  </si>
  <si>
    <t>Lutinah</t>
  </si>
  <si>
    <t>Ramin</t>
  </si>
  <si>
    <t>Minih</t>
  </si>
  <si>
    <t>Mudianto</t>
  </si>
  <si>
    <t>Amir</t>
  </si>
  <si>
    <t>Hj. Nuraini</t>
  </si>
  <si>
    <t>Hj. Hamida</t>
  </si>
  <si>
    <t>Milla F. Umboh</t>
  </si>
  <si>
    <t>Bunaya</t>
  </si>
  <si>
    <t>Dariana Suherman</t>
  </si>
  <si>
    <t>Muhamad Arif Hidayat</t>
  </si>
  <si>
    <t>Salim</t>
  </si>
  <si>
    <t>Rachmat</t>
  </si>
  <si>
    <t>KOLOM IDENTIFIKASI</t>
  </si>
  <si>
    <t>22 Titik Prioritas</t>
  </si>
  <si>
    <t>Nama Titik Prioritas</t>
  </si>
  <si>
    <t>IDENTIFIKASI BIDANG</t>
  </si>
  <si>
    <t>Musyawarah</t>
  </si>
  <si>
    <t>Potensi Konsinyasi</t>
  </si>
  <si>
    <t>M2</t>
  </si>
  <si>
    <t>(1)</t>
  </si>
  <si>
    <t>(2)</t>
  </si>
  <si>
    <t>(3)</t>
  </si>
  <si>
    <t>(4)</t>
  </si>
  <si>
    <t>(5)</t>
  </si>
  <si>
    <t>(6)</t>
  </si>
  <si>
    <t>(7)</t>
  </si>
  <si>
    <t>(8)</t>
  </si>
  <si>
    <t>Bridge no 2</t>
  </si>
  <si>
    <t>Valuasi Rssmi</t>
  </si>
  <si>
    <t>Valuasi Rssmi &amp; Sementara</t>
  </si>
  <si>
    <t>(9 =5-7)</t>
  </si>
  <si>
    <t>(10 = 6-8)</t>
  </si>
  <si>
    <t>H. Lemih</t>
  </si>
  <si>
    <t>Hamidin Pakpahan</t>
  </si>
  <si>
    <t>Kegiatan Valuasi</t>
  </si>
  <si>
    <t>Survei KJPP</t>
  </si>
  <si>
    <t>Hasil Vauasi</t>
  </si>
  <si>
    <t>Mamad</t>
  </si>
  <si>
    <t>HJ. Nani Nofiar</t>
  </si>
  <si>
    <t>Nur Salam</t>
  </si>
  <si>
    <t>Karyono</t>
  </si>
  <si>
    <t>Wahyu</t>
  </si>
  <si>
    <t>Yayah Sumaryah</t>
  </si>
  <si>
    <t>Rencana Besok (Aktivitas H+1)</t>
  </si>
  <si>
    <t>Rencana Tindak Lanjut</t>
  </si>
  <si>
    <t>A = Setuju</t>
  </si>
  <si>
    <t>B = Pikir-pikir</t>
  </si>
  <si>
    <t>C = Sengketa</t>
  </si>
  <si>
    <t>D = Menolak</t>
  </si>
  <si>
    <t>Musyawarah - UGR (sudah muyawarah tapi belum UGR)</t>
  </si>
  <si>
    <t>Total</t>
  </si>
  <si>
    <t>A</t>
  </si>
  <si>
    <t>B</t>
  </si>
  <si>
    <t>D</t>
  </si>
  <si>
    <t>Konsinyasi</t>
  </si>
  <si>
    <t>Prioritas 2 Tunnel no 1</t>
  </si>
  <si>
    <t>H.Amiruddin</t>
  </si>
  <si>
    <t>Setuju</t>
  </si>
  <si>
    <t>Pikir-pikir</t>
  </si>
  <si>
    <t>Sengketa</t>
  </si>
  <si>
    <t>Menolak</t>
  </si>
  <si>
    <t>Jumlah Hasil Musyawarah</t>
  </si>
  <si>
    <t>Hasil Musyawarah (diisi A sd D)</t>
  </si>
  <si>
    <t>IDENTIFIKASI FASOS/FASUM</t>
  </si>
  <si>
    <t>validasi BPN</t>
  </si>
  <si>
    <t>Validasi BPN</t>
  </si>
  <si>
    <t>Akses Ada</t>
  </si>
  <si>
    <t>Bentuk Tidak Beraturan</t>
  </si>
  <si>
    <t>Tidak Proporsional</t>
  </si>
  <si>
    <t>Bentuk Trapesium</t>
  </si>
  <si>
    <t>Jumlah Luas Tanah Sisa</t>
  </si>
  <si>
    <t>Luas &lt; 100M2</t>
  </si>
  <si>
    <t>Luas &gt; 100M2</t>
  </si>
  <si>
    <t>Bentuk Segitiga</t>
  </si>
  <si>
    <t>Luas  &lt; 100M2</t>
  </si>
  <si>
    <r>
      <t xml:space="preserve">Luas 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charset val="1"/>
        <scheme val="minor"/>
      </rPr>
      <t xml:space="preserve"> 100M2</t>
    </r>
  </si>
  <si>
    <t>Bentuk Beraturan (Persegi)</t>
  </si>
  <si>
    <r>
      <t xml:space="preserve">Lebar 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"/>
        <scheme val="minor"/>
      </rPr>
      <t>6M</t>
    </r>
  </si>
  <si>
    <t>Lebar  &lt; 6M</t>
  </si>
  <si>
    <t>Lebar terkecil &lt; 6M</t>
  </si>
  <si>
    <r>
      <t xml:space="preserve">Lebar terkecil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"/>
        <scheme val="minor"/>
      </rPr>
      <t>6M</t>
    </r>
  </si>
  <si>
    <t>Akses Tidak ada</t>
  </si>
  <si>
    <t>Akses Eksisting Tidak Ada</t>
  </si>
  <si>
    <t>Akses Tertutup Boundary</t>
  </si>
  <si>
    <t>Akses Akan Direlokasi</t>
  </si>
  <si>
    <t>Akses Akan difasilitasi jika ekonomis</t>
  </si>
  <si>
    <t>Terisolir</t>
  </si>
  <si>
    <t>(diisi luas)</t>
  </si>
  <si>
    <t>(diisi degan angka 1 sesuai klasifikasi yang tepat di masing masing bidang)</t>
  </si>
  <si>
    <t>Kertas Kerja Tanah Sisa</t>
  </si>
  <si>
    <t>IDENTIFIKASI BIDANG KONSINYASI</t>
  </si>
  <si>
    <t>(di isi dengan angka 1 )</t>
  </si>
  <si>
    <t>22 Titik 
Rp. M</t>
  </si>
  <si>
    <t>Agus Wahyudin</t>
  </si>
  <si>
    <t>C</t>
  </si>
  <si>
    <t>A = Tidak diketahui Alamat Pemiliknya</t>
  </si>
  <si>
    <t>B = diundang Musyawarah Tidak Hadir</t>
  </si>
  <si>
    <t>C = Objek Perkara Pengadilan</t>
  </si>
  <si>
    <t>D = Sengketa</t>
  </si>
  <si>
    <t>E = Menjadi Jaminan Bank</t>
  </si>
  <si>
    <t>LUAS FASOS/FASUM</t>
  </si>
  <si>
    <t>LUAS  Bidang Konsinyasi Belum Musyawarah</t>
  </si>
  <si>
    <t>E</t>
  </si>
  <si>
    <t>Kode BELUM Musyawarah
(sudah di link)</t>
  </si>
  <si>
    <t>Surat Keterangan
Penitipan</t>
  </si>
  <si>
    <t>Pencatatan
dalam Buku
Registrasi</t>
  </si>
  <si>
    <t>Penawaran 
Pembayaran</t>
  </si>
  <si>
    <t>Penyimpanan UGR di Kas  Kepaniteraan</t>
  </si>
  <si>
    <t>Penerbitan Penetapan
Penerimaan
UGR</t>
  </si>
  <si>
    <t xml:space="preserve">Pemberitahuan
Hapus Bukti Kepemilikan dan Putus Hubungan Hukum </t>
  </si>
  <si>
    <t xml:space="preserve">Permohonan Pengosongan </t>
  </si>
  <si>
    <t xml:space="preserve">Penetapan Eksekusi </t>
  </si>
  <si>
    <t>KODE BIDANG KONSINYASI</t>
  </si>
  <si>
    <t>BPN</t>
  </si>
  <si>
    <t>PSBI</t>
  </si>
  <si>
    <t>PN</t>
  </si>
  <si>
    <t>PSBI &amp; PN</t>
  </si>
  <si>
    <t>M1 =  C</t>
  </si>
  <si>
    <t>Sudah Musyawarah, Pikir pikir lewat 14 hari kerja dari Musyawarah</t>
  </si>
  <si>
    <t>M2 = C</t>
  </si>
  <si>
    <t>Sudah Musyawarah, Menolak besar/bentuk ganti rugi tetapi TIDAK mengajukan Keberatan</t>
  </si>
  <si>
    <t>Sudah Musyawarah, Menolak besar/bentuk ganti rugi KEMUDIAN mengajukan Keberatan</t>
  </si>
  <si>
    <t>M3 = D</t>
  </si>
  <si>
    <t>Sudah Musyawarah, Tenyata merupakan Tanah Sengketa</t>
  </si>
  <si>
    <t>Tidak Musyawarah, karena Pemilik Tanah tidak diketahui alamatnya</t>
  </si>
  <si>
    <t>Diundang Musyawarah tetapi tidak hadir dan tidak memberikan kuasa</t>
  </si>
  <si>
    <t xml:space="preserve">Tidak Musyawarah, karena menjadi objek perkara di pengadilan, &amp;  disita pejabat berwenang, </t>
  </si>
  <si>
    <t>Tidak Musyawarah, karena masih dipersengketakan kepemilikannya</t>
  </si>
  <si>
    <t>Tidak Musyawarah, karena menjadi jaminan Bank/Hutang</t>
  </si>
  <si>
    <t>Luas &gt; 100M-akses ada-bentuk tdk proporsional</t>
  </si>
  <si>
    <t>Luas &gt; 100M-akses ada-Trapesium - lebar  &lt; 6M</t>
  </si>
  <si>
    <t>Luas &gt; 100M-akses ada-segitiga - Luas &gt;100M2</t>
  </si>
  <si>
    <t>Luas &gt; 100M-akses ada-Persegi - lebar  &lt; 6M</t>
  </si>
  <si>
    <t>Luas &gt; 100M-akses tdk ada-Terisolir</t>
  </si>
  <si>
    <t>Harga Tanah saja (Rp/m2)</t>
  </si>
  <si>
    <t>Harga Total Nilai Fisik Pasar (Rp/m2)</t>
  </si>
  <si>
    <t>Nilai dari harga tanah saja 
(Rp.Miliar)</t>
  </si>
  <si>
    <t>Nilai dari harga Total Fisik
(Rp.Miliar)</t>
  </si>
  <si>
    <t>Pemberkasan</t>
  </si>
  <si>
    <t>Kode SUDAH Musyawarah
(sudah di link)</t>
  </si>
  <si>
    <t>Maya Komayuli</t>
  </si>
  <si>
    <t>Deddi Kusumah</t>
  </si>
  <si>
    <t>H. Pupun Saeful Zahar</t>
  </si>
  <si>
    <t>Neneng Srihati</t>
  </si>
  <si>
    <t>Eko Supriono</t>
  </si>
  <si>
    <t>Saipul Anwar</t>
  </si>
  <si>
    <t>Marsih</t>
  </si>
  <si>
    <t>Pembayaran Konsinyasi</t>
  </si>
  <si>
    <t>Pencabutan Konsinyasi</t>
  </si>
  <si>
    <t>Nabrih</t>
  </si>
  <si>
    <t>Mursid (Alm)</t>
  </si>
  <si>
    <t>Sudadi</t>
  </si>
  <si>
    <t>Hj. Siti Marhaya (Almh)</t>
  </si>
  <si>
    <t>H. Entong (Alm)</t>
  </si>
  <si>
    <t>Slamo</t>
  </si>
  <si>
    <t>Lunaroosy P.S Naibaho, S.H</t>
  </si>
  <si>
    <t>Tarigan (Alm)</t>
  </si>
  <si>
    <t>Hj. Titin Hartini</t>
  </si>
  <si>
    <t>Hj.Titin Hartini</t>
  </si>
  <si>
    <t>Titin Partinah (Almh)</t>
  </si>
  <si>
    <t>Bahrudin</t>
  </si>
  <si>
    <t>Drs. Yudi Susharyanto, S.H</t>
  </si>
  <si>
    <t>Makhasin</t>
  </si>
  <si>
    <t>Rokib (Alm)</t>
  </si>
  <si>
    <t>Ket.</t>
  </si>
  <si>
    <t>Asiah B H Noran</t>
  </si>
  <si>
    <t>Among Wibowo</t>
  </si>
  <si>
    <t>Rosnawati</t>
  </si>
  <si>
    <t>Youmi Caniago</t>
  </si>
  <si>
    <t>Mursyid</t>
  </si>
  <si>
    <t>Harti Sayuti</t>
  </si>
  <si>
    <t>Yayah Munyati</t>
  </si>
  <si>
    <t>H. Muhammad bin Neman</t>
  </si>
  <si>
    <t xml:space="preserve">Amir </t>
  </si>
  <si>
    <t>Jhonny Efendi</t>
  </si>
  <si>
    <t xml:space="preserve">Update Tanggal : </t>
  </si>
  <si>
    <t>Sudah Pasti Konsinyasi, terdiri dari :</t>
  </si>
  <si>
    <t>1. Sdh M tapi menolak</t>
  </si>
  <si>
    <t>Asumsi kebutuhan waktu proses</t>
  </si>
  <si>
    <t>53 HARI KALENDER = 30 HARI KERJA ~ 45 HARI KALENDER + 8 HARI KALENDER (PEMBERKASAN)</t>
  </si>
  <si>
    <t>2. sdh M tp pikir2 lebih dari 14 HK</t>
  </si>
  <si>
    <t>$FT$3+SUM($FX$5:$FX$8)</t>
  </si>
  <si>
    <t>Sisa</t>
  </si>
  <si>
    <t>Tanggal</t>
  </si>
  <si>
    <t>Kegiatan paling awal yang belum dilaksanakan</t>
  </si>
  <si>
    <t>DNP</t>
  </si>
  <si>
    <t>Perkiraan Tanggal Selesai Paling Cepat</t>
  </si>
  <si>
    <t>KONSINYASI</t>
  </si>
  <si>
    <t>Perkiraan Tanggal Selesai Paling Cepat KESELURUHAN diluar FASOS/FASUM</t>
  </si>
  <si>
    <t>3. Tidak Musyawarah</t>
  </si>
  <si>
    <t>Hari ini</t>
  </si>
  <si>
    <t>Survey KJPP</t>
  </si>
  <si>
    <t>Menolak Musyawarah</t>
  </si>
  <si>
    <t>Tidak Musyawarah</t>
  </si>
  <si>
    <t>TL : 
Uang sudah dititip di PN</t>
  </si>
  <si>
    <t>Sisa belum di proses</t>
  </si>
  <si>
    <r>
      <t xml:space="preserve">Perkiraan Tanggal Selesai  untuk yg 
</t>
    </r>
    <r>
      <rPr>
        <b/>
        <u/>
        <sz val="11"/>
        <color theme="1"/>
        <rFont val="Calibri"/>
        <family val="2"/>
        <scheme val="minor"/>
      </rPr>
      <t>PASTI KONSINYASI</t>
    </r>
  </si>
  <si>
    <r>
      <t xml:space="preserve">Perkiraan Tanggal Selesai untuk yg 
</t>
    </r>
    <r>
      <rPr>
        <b/>
        <u/>
        <sz val="11"/>
        <color theme="1"/>
        <rFont val="Calibri"/>
        <family val="2"/>
        <scheme val="minor"/>
      </rPr>
      <t>BELUM MUSYAWARAH</t>
    </r>
  </si>
  <si>
    <t>UGR</t>
  </si>
  <si>
    <t>SELESAI</t>
  </si>
  <si>
    <t>Tinggal UGR</t>
  </si>
  <si>
    <t>Sudah Pasti Konsinyasi (menolak M &amp; tidak M)</t>
  </si>
  <si>
    <t>Belum Musyawarah/UGR</t>
  </si>
  <si>
    <t>Belum Hasil Valuasi, M, U</t>
  </si>
  <si>
    <t>Belum Survey KJPP, V, M, U</t>
  </si>
  <si>
    <t>Potensi Konsinyasi 
(sudah M tapi pikir pikir)</t>
  </si>
  <si>
    <t>Sudah UGR</t>
  </si>
  <si>
    <t>Sudah bayar Konsinyasi</t>
  </si>
  <si>
    <t>Fasos Fasum</t>
  </si>
  <si>
    <t>Seliih thd Target</t>
  </si>
  <si>
    <t>Jenis Kegiatan</t>
  </si>
  <si>
    <t>Jumlah Bidang</t>
  </si>
  <si>
    <t>Asumsi Menerima</t>
  </si>
  <si>
    <t>Asumsi Menolak</t>
  </si>
  <si>
    <t>tanggal</t>
  </si>
  <si>
    <t>MAX</t>
  </si>
  <si>
    <t>MIN</t>
  </si>
  <si>
    <t>TIDAK KONSINYASI</t>
  </si>
  <si>
    <t>Tanggal dikunci</t>
  </si>
  <si>
    <t>Tanggal Max</t>
  </si>
  <si>
    <t>Robert Sitorus</t>
  </si>
  <si>
    <t>Freddi Sitorus</t>
  </si>
  <si>
    <t>Nana Sudiana</t>
  </si>
  <si>
    <t>Kartono Minhar, S.H</t>
  </si>
  <si>
    <t>Mudji Untung Haji (Alm)</t>
  </si>
  <si>
    <t>Miranda Virdi Astuti Yusuf</t>
  </si>
  <si>
    <t>Mustika Kusrin Yusuf</t>
  </si>
  <si>
    <t>Halimah (Marwati)</t>
  </si>
  <si>
    <t>Kiri + Kanan</t>
  </si>
  <si>
    <r>
      <t xml:space="preserve">Lebar 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charset val="1"/>
        <scheme val="minor"/>
      </rPr>
      <t xml:space="preserve"> </t>
    </r>
    <r>
      <rPr>
        <sz val="11"/>
        <color theme="1"/>
        <rFont val="Calibri"/>
        <family val="2"/>
        <charset val="1"/>
        <scheme val="minor"/>
      </rPr>
      <t>6M</t>
    </r>
  </si>
  <si>
    <r>
      <t xml:space="preserve">Lebar terkecil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charset val="1"/>
        <scheme val="minor"/>
      </rPr>
      <t xml:space="preserve"> </t>
    </r>
    <r>
      <rPr>
        <sz val="11"/>
        <color theme="1"/>
        <rFont val="Calibri"/>
        <family val="2"/>
        <charset val="1"/>
        <scheme val="minor"/>
      </rPr>
      <t>6M</t>
    </r>
  </si>
  <si>
    <t>H. Amirudin</t>
  </si>
  <si>
    <t>Siska Ferdianti</t>
  </si>
  <si>
    <t>Surat Permohonan
Penitipan</t>
  </si>
  <si>
    <t>Alasan Konsinyasi</t>
  </si>
  <si>
    <t>Permohonan Penitipan</t>
  </si>
  <si>
    <t>Penundaan Proses Konsinyasi</t>
  </si>
  <si>
    <t>BA Bersedia / Menolak</t>
  </si>
  <si>
    <t>Relaas Panggilan Sidang</t>
  </si>
  <si>
    <t>Pembacaan Gugatan
(Penggugat)</t>
  </si>
  <si>
    <t>Jawaban
(Tergugat)</t>
  </si>
  <si>
    <t>Putusan Sela Provisi</t>
  </si>
  <si>
    <t>Pemeriksaan Bukti
(Penggugat/ Tergugat)</t>
  </si>
  <si>
    <t>Pemeriksaan Saksi (Penggugat)</t>
  </si>
  <si>
    <t>Pemeriksaan Saksi (Tergugat)</t>
  </si>
  <si>
    <t>Pembacaan Putusan</t>
  </si>
  <si>
    <t>Relaas Kasasi</t>
  </si>
  <si>
    <t>Pengajuan Memori Kasasi</t>
  </si>
  <si>
    <t>Relaas Kontra Memori Kasasi</t>
  </si>
  <si>
    <t>Pengajuan Kontra Memori Kasasi</t>
  </si>
  <si>
    <t>Putusan Kasasi</t>
  </si>
  <si>
    <t>Eksekusi</t>
  </si>
  <si>
    <t>Menolak KJPP</t>
  </si>
  <si>
    <t>Tidak diketahui keberadaannya</t>
  </si>
  <si>
    <t>Dalam Sitaan</t>
  </si>
  <si>
    <t>Menerima</t>
  </si>
  <si>
    <t>Klarifikasi</t>
  </si>
  <si>
    <t>PSBI ke BPN</t>
  </si>
  <si>
    <t>PSBI ke PN</t>
  </si>
  <si>
    <t>LAPORAN PROGRES PENANGAN FASOS FASUM</t>
  </si>
  <si>
    <t>Start</t>
  </si>
  <si>
    <t>End</t>
  </si>
  <si>
    <t>PBT</t>
  </si>
  <si>
    <t>Tanah</t>
  </si>
  <si>
    <t xml:space="preserve">Bangunan </t>
  </si>
  <si>
    <t>Nilai Valuasi</t>
  </si>
  <si>
    <t>Permendagri No 19/2016 : Milik Pemerintah (PROVINSI)</t>
  </si>
  <si>
    <t>Permendagri No 19/2016 : Milik Pemerintah (KOTA/KABUPATEN)</t>
  </si>
  <si>
    <t>Permendagri No 1/2016: Milik Desa</t>
  </si>
  <si>
    <t>PP No 42/2004: Wakaf</t>
  </si>
  <si>
    <t>Wakaf Lisan</t>
  </si>
  <si>
    <t>Fasos Fasum Lingkungan  Desa/Kelurahan (Belum Jelas Alas Haknya) : Permendagri no. 19/2016</t>
  </si>
  <si>
    <t>Total Tanah Pelepasan Fasos Fasum</t>
  </si>
  <si>
    <t>Relokasi</t>
  </si>
  <si>
    <t>sertifikasi Lahan Relokasi oleh BPN</t>
  </si>
  <si>
    <t>Serah Terima</t>
  </si>
  <si>
    <t>Surat Permohonan  dari PSBI ke Gubernur (tembusan ke Dinas/Intansi terkait)</t>
  </si>
  <si>
    <t>Gubernur membentuk Tim Peneliti (teknis, yuridis, administrastif, fisik)</t>
  </si>
  <si>
    <t>Berita Acara Hasil Penelitian dari Tim Kepada Gubernur</t>
  </si>
  <si>
    <t>Surat Persetujuan Gubernur ttg Pelepasan/tukar menukar</t>
  </si>
  <si>
    <t>Pelepasan Hak Oleh BPN</t>
  </si>
  <si>
    <t>Pelepasan</t>
  </si>
  <si>
    <t>Relokasi (tukar ganti)</t>
  </si>
  <si>
    <t>Surat Permohonan  dari PSBI ke Bupati/Wali Kota (tembusan ke Dinas/Intansi terkait)</t>
  </si>
  <si>
    <t>Bupati/Walikota Membentuk Tim Peneliti (Tehnis, yuridis, andministratif, fisik)</t>
  </si>
  <si>
    <t>Berita Acara Hasil Penelitian dari Tim Kepada Bupati/Walikota</t>
  </si>
  <si>
    <t>Surat Persetujuan Bupati/Walikota ttg pelepasan/tukar menukar</t>
  </si>
  <si>
    <t xml:space="preserve">Pelepasan </t>
  </si>
  <si>
    <t>Surat Permohonan  dari PSBI ke Desa</t>
  </si>
  <si>
    <t>Musyawarah Desa (daftar hadir &amp; BA Kesepakatan) + Bukti Kepemilikan</t>
  </si>
  <si>
    <t>Pengajuan Surat Ijin Tukar ganti dari Desa ke Bupati/walikota</t>
  </si>
  <si>
    <t>Pengajuan Surat Ijin Tukar ganti dari Bupati/walikota ke Gubernur</t>
  </si>
  <si>
    <t>SK Persetujuan Gubernur</t>
  </si>
  <si>
    <t>Pelepasan Hak oleh BPN</t>
  </si>
  <si>
    <t>Surat Permohonan  dari PSBI ke Nadzir</t>
  </si>
  <si>
    <t>Surat permohonan tukar ganti dari Nazhir ke Menteri  melalui KUA kecamatan</t>
  </si>
  <si>
    <t>Kepala KUA Kecamatan meneruskan ke kep.kan. Agama Kab/Kota</t>
  </si>
  <si>
    <t>Kep. Kan. Agama Kab/Kota Membentuk Tim terkait penilaian</t>
  </si>
  <si>
    <t>Surat Keputusan Bupati/Walikota sehubungan dng penilaian</t>
  </si>
  <si>
    <t>Kep.Ka. Agama Kab/kota meneruskan penilaian &amp; SK bupati/walikota ke Kep.Kan Agama Prov.</t>
  </si>
  <si>
    <t>Kep.Kat Agama Prov. meneruskan permohonan ke Dirjen BMI (kementrian Agama)</t>
  </si>
  <si>
    <t>Surat Persetujuan dari Menteri Agama</t>
  </si>
  <si>
    <t>Surat Permohonan dari PSBI</t>
  </si>
  <si>
    <t>Musyawarah Nazir, Wakif, Desa/Kelurahan</t>
  </si>
  <si>
    <t>BA hasil Musyawarah</t>
  </si>
  <si>
    <t>Surat Permohonan  dari PSBI ke Desa/Kelurahan</t>
  </si>
  <si>
    <t>Musyawarah Desa/Kelurahan (daftar hadir &amp; BA Kesepakatan)</t>
  </si>
  <si>
    <t>Surat Keterangan dari desa/kelurahan terkait status tanah dan bangunan</t>
  </si>
  <si>
    <t>Proses Pengajuan SK dari Desa/Kelurahan ke Kab/Kota</t>
  </si>
  <si>
    <t>Surat Persetujuan dari Bupati/Walikota</t>
  </si>
  <si>
    <t>Pelepasan (tanpa ganti Rugi)</t>
  </si>
  <si>
    <t>Pelepasan (tanpa ganti rugi)</t>
  </si>
  <si>
    <t>Joint Survey</t>
  </si>
  <si>
    <t>Pengadaan Lahan</t>
  </si>
  <si>
    <t>Finaliasi Design</t>
  </si>
  <si>
    <t>Pembangunan Fisik</t>
  </si>
  <si>
    <t>DK</t>
  </si>
  <si>
    <t>Status Kepemilikan</t>
  </si>
  <si>
    <t>TANAH</t>
  </si>
  <si>
    <t>BANGUNAN</t>
  </si>
  <si>
    <t>Bidang Konsinyasi</t>
  </si>
  <si>
    <t>: Mulai kolom "E I"</t>
  </si>
  <si>
    <t>Bidang Gugatan</t>
  </si>
  <si>
    <t>: Mulai kolom "FG"</t>
  </si>
  <si>
    <t>Bidang Fasos Fasum</t>
  </si>
  <si>
    <t>: Mulai kolom "KT"</t>
  </si>
  <si>
    <t>Milik Non Pemerintah</t>
  </si>
  <si>
    <t>Surat Permohonan  dari PSBI</t>
  </si>
  <si>
    <t>Perjanjian Ganti Rugi</t>
  </si>
  <si>
    <t>Surat Permohonan Pelepasan Hak</t>
  </si>
  <si>
    <t>Pelepasan Hak</t>
  </si>
  <si>
    <t>Pemprov</t>
  </si>
  <si>
    <t>Pemkot/pemkab</t>
  </si>
  <si>
    <t>Desa</t>
  </si>
  <si>
    <t>Wakaf</t>
  </si>
  <si>
    <t>Belum Jelas Alas Hak</t>
  </si>
  <si>
    <t>Non Pemerintah</t>
  </si>
  <si>
    <t>kode Kepemilikan</t>
  </si>
  <si>
    <t>Jml</t>
  </si>
  <si>
    <t>CEK</t>
  </si>
  <si>
    <t>SELISIH</t>
  </si>
  <si>
    <t>Tri Santoso</t>
  </si>
  <si>
    <t>Rosanih</t>
  </si>
  <si>
    <t>Harga Tanah saja Rp / M2</t>
  </si>
  <si>
    <t>max</t>
  </si>
  <si>
    <t>min</t>
  </si>
  <si>
    <t>average</t>
  </si>
  <si>
    <t>Belum Survey</t>
  </si>
  <si>
    <t>Belum Hasil Valuasi</t>
  </si>
  <si>
    <t>Belum Musyawarah</t>
  </si>
  <si>
    <t>Fasos Fasum (Belum Valuasi)</t>
  </si>
  <si>
    <t>Konsinyasi (belum Valuasi)</t>
  </si>
  <si>
    <t>Belum Musyawarah (Belum Valuasi)</t>
  </si>
  <si>
    <t>cek jumlah belum valuasi</t>
  </si>
  <si>
    <t>PT. Kilap Propertindo</t>
  </si>
  <si>
    <t>Amih Cs</t>
  </si>
  <si>
    <t>jembatan sersan marjuki</t>
  </si>
  <si>
    <t>jl. jembatan ahmad yani</t>
  </si>
  <si>
    <t>jembatan raya ra kartini</t>
  </si>
  <si>
    <t>jalan teuku umar</t>
  </si>
  <si>
    <t>jalan jembatan raya cut mutia</t>
  </si>
  <si>
    <t>pos satpam griya mitra asri</t>
  </si>
  <si>
    <t>jalan raya pengasinan</t>
  </si>
  <si>
    <t>taman jalan raya pengasinan</t>
  </si>
  <si>
    <t>Ir. Jaya Purba</t>
  </si>
  <si>
    <t>Tabrani</t>
  </si>
  <si>
    <t>H. Jayadi</t>
  </si>
  <si>
    <t>Rosetiasari</t>
  </si>
  <si>
    <t>PROGRES FASOS FASUM UNTUK PELAPORAN PENYELESAIAN</t>
  </si>
  <si>
    <t>Tidak Perlu Relokasi</t>
  </si>
  <si>
    <t>Perlu Relokasi</t>
  </si>
  <si>
    <t>yg Perlu, SUDAH Direlokasi</t>
  </si>
  <si>
    <t>SDN Jakasetia VII</t>
  </si>
  <si>
    <t>Lapangan Tenis Grand Metropolitan</t>
  </si>
  <si>
    <t>Pengambilan uang Konsinyasi oleh Pemilik tanpa Eksekusi</t>
  </si>
  <si>
    <t>Tanah sisa sudah dibayar (ketik angka1)</t>
  </si>
  <si>
    <t xml:space="preserve"> </t>
  </si>
  <si>
    <t>Bidang Tanah Sisa sudah dibayar</t>
  </si>
  <si>
    <t>Luas Tanah Sisa sudah dibayar</t>
  </si>
  <si>
    <t>PT. Nusa Wijaya Propertindo</t>
  </si>
  <si>
    <t xml:space="preserve">Pelaksanaan Eksekusi </t>
  </si>
  <si>
    <t>LUAS (m2)</t>
  </si>
  <si>
    <t xml:space="preserve">Masih Menunggu Pelaksanaan Eksekusi </t>
  </si>
  <si>
    <t>PT. Nusa Kirana</t>
  </si>
  <si>
    <t>Intani Choirina</t>
  </si>
  <si>
    <t>Satria Sugiarto/Intani Choirina</t>
  </si>
  <si>
    <t>Tugu Batas Wilayah</t>
  </si>
  <si>
    <t>Saluran Air</t>
  </si>
  <si>
    <t>H M Misar</t>
  </si>
  <si>
    <t>Ir. Alexander</t>
  </si>
  <si>
    <t>PT. Urban Jakarta Propertindo</t>
  </si>
  <si>
    <t>PT. Adhi Commuter Properti</t>
  </si>
  <si>
    <t>JALAN ANUGRAH RAYA</t>
  </si>
  <si>
    <t>JEMBATAN KODAM</t>
  </si>
  <si>
    <t>JEMBATAN CURUG</t>
  </si>
  <si>
    <t>POS SATPAM</t>
  </si>
  <si>
    <t>JALAN PEMUKIMAN RT 01 RW 02</t>
  </si>
  <si>
    <t>JALAN PEMUKIMAN RT 06 RW 02</t>
  </si>
  <si>
    <t>JL. ANUGRAH I</t>
  </si>
  <si>
    <t>JL. ANUGRAH II</t>
  </si>
  <si>
    <t>JL. ANUGRAH III</t>
  </si>
  <si>
    <t>JL. TASKA</t>
  </si>
  <si>
    <t>JL. TABANAS</t>
  </si>
  <si>
    <t>JL. WADAS RAYA</t>
  </si>
  <si>
    <t>Jembatan Cemerlang</t>
  </si>
  <si>
    <t>JEMBATAN CAMAN</t>
  </si>
  <si>
    <t>JEMBATAN CAMAN RAYA</t>
  </si>
  <si>
    <t>TAMAN VILLA JATIBENING TOL</t>
  </si>
  <si>
    <t>LAPANG TENIS I</t>
  </si>
  <si>
    <t>LAPANG TENIS II</t>
  </si>
  <si>
    <t>JALAN CIKUNIR RAYA</t>
  </si>
  <si>
    <t>JALAN PELANGI</t>
  </si>
  <si>
    <t xml:space="preserve">JALAN PERUMAHAN VJS </t>
  </si>
  <si>
    <t>TEMPAT PEMBAKARAN SAMPAH VJS</t>
  </si>
  <si>
    <t>PENGAIRAN</t>
  </si>
  <si>
    <t>SALURAN DEKAT LAPANG TENIS</t>
  </si>
  <si>
    <t>Sungai Bekasi Baru</t>
  </si>
  <si>
    <t>Jembatan Jalan Mulyadi Joyomartono</t>
  </si>
  <si>
    <t>Jembatan Kapin</t>
  </si>
  <si>
    <t>JALAN GARUDA 1</t>
  </si>
  <si>
    <t>jalan permukiman RT 05- RT 01 / RW 01</t>
  </si>
  <si>
    <t>Kali Pengasinan</t>
  </si>
  <si>
    <t>Pemkot Bekasi</t>
  </si>
  <si>
    <t>Saluran</t>
  </si>
  <si>
    <t>KALI BUARAN</t>
  </si>
  <si>
    <t>JL. VILLA GARUDA</t>
  </si>
  <si>
    <t>Pemkota Bekasi</t>
  </si>
  <si>
    <t>jalan pemukiman RT 05 RW 01</t>
  </si>
  <si>
    <t>jalan permukiman RT 01 RW 01</t>
  </si>
  <si>
    <t>Jl. Perum Griya Mitra Asri</t>
  </si>
  <si>
    <t>Jl. Jembatan Mitra Timur</t>
  </si>
  <si>
    <t>TAMAN</t>
  </si>
  <si>
    <t>JALAN PERUM PELANGI</t>
  </si>
  <si>
    <t>SALURAN</t>
  </si>
  <si>
    <t>KALI</t>
  </si>
  <si>
    <t>SEMPADAN JALAN</t>
  </si>
  <si>
    <t>JALAN PELANGI I</t>
  </si>
  <si>
    <t>JALAN SADEWA RAYA</t>
  </si>
  <si>
    <t>JALAN RAYA CITRA</t>
  </si>
  <si>
    <t>JALAN RAYA GALAKSI</t>
  </si>
  <si>
    <t>JEMBATAN GALAKSI</t>
  </si>
  <si>
    <t>JALAN ARJUNA</t>
  </si>
  <si>
    <t>JALAN ARJUNA II</t>
  </si>
  <si>
    <t>JALAN ARJUNA III</t>
  </si>
  <si>
    <t>JALAN ARJUNA IV</t>
  </si>
  <si>
    <t>JALAN ARJUNA V</t>
  </si>
  <si>
    <t>JALAN ARJUNA I</t>
  </si>
  <si>
    <t>,</t>
  </si>
  <si>
    <t>Non PN</t>
  </si>
  <si>
    <t>yg Perlu, BELUM Direlokasi</t>
  </si>
  <si>
    <t>Yang belum direlokasi, Kontraktor sudah bisa Bekerja</t>
  </si>
  <si>
    <t>Sisa Kontraktor BELUM bisa Bekerja</t>
  </si>
  <si>
    <t>Kali Jati Kramat 1</t>
  </si>
  <si>
    <t>Kali Jati Kramat 2</t>
  </si>
  <si>
    <t>Jembatan Kamala Lagoon</t>
  </si>
  <si>
    <t>Rachmat (alm)</t>
  </si>
  <si>
    <t>Mardiyah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</si>
</sst>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1" formatCode="_(* #,##0_);_(* \(#,##0\);_(* &quot;-&quot;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(* #,##0_);_(* \(#,##0\);_(* &quot;-&quot;??_);_(@_)"/>
    <numFmt numFmtId="167" formatCode="#,##0_ ;\-#,##0\ "/>
    <numFmt numFmtId="168" formatCode="0.0%"/>
    <numFmt numFmtId="169" formatCode="_(* #.##0.00_);_(* \(#.##0.00\);_(* &quot;-&quot;??_);_(@_)"/>
    <numFmt numFmtId="170" formatCode="#,##0.000_ ;\-#,##0.000\ "/>
    <numFmt numFmtId="171" formatCode="#,##0.000"/>
    <numFmt numFmtId="172" formatCode="0.000"/>
    <numFmt numFmtId="173" formatCode="#,##0.00_ ;\-#,##0.00\ "/>
    <numFmt numFmtId="174" formatCode="dd/mm/yy;@"/>
    <numFmt numFmtId="175" formatCode="0\ &quot;Hari Kalender&quot;"/>
    <numFmt numFmtId="176" formatCode="_(* #,##0.000_);_(* \(#,##0.000\);_(* &quot;-&quot;??_);_(@_)"/>
    <numFmt numFmtId="177" formatCode="[$-421]dd\ mmmm\ yyyy;@"/>
  </numFmts>
  <fonts count="41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1"/>
      <name val="Calibri"/>
      <family val="2"/>
      <scheme val="minor"/>
    </font>
    <font>
      <b/>
      <sz val="18"/>
      <color rgb="FF92D050"/>
      <name val="Calibri"/>
      <family val="2"/>
      <scheme val="minor"/>
    </font>
    <font>
      <b/>
      <sz val="18"/>
      <color rgb="FFFFC000"/>
      <name val="Calibri"/>
      <family val="2"/>
      <scheme val="minor"/>
    </font>
    <font>
      <b/>
      <sz val="1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name val="Calibri"/>
      <family val="2"/>
    </font>
    <font>
      <b/>
      <sz val="12"/>
      <color rgb="FF000000"/>
      <name val="Calibri"/>
      <family val="2"/>
    </font>
    <font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charset val="1"/>
      <scheme val="minor"/>
    </font>
    <font>
      <b/>
      <u/>
      <sz val="1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charset val="1"/>
      <scheme val="minor"/>
    </font>
    <font>
      <sz val="12"/>
      <color theme="1"/>
      <name val="Calibri"/>
      <family val="2"/>
      <charset val="1"/>
      <scheme val="minor"/>
    </font>
    <font>
      <sz val="11"/>
      <name val="Calibri"/>
      <family val="2"/>
      <scheme val="minor"/>
    </font>
    <font>
      <sz val="12"/>
      <name val="Book Antiqua"/>
      <family val="1"/>
    </font>
    <font>
      <sz val="12"/>
      <color rgb="FF000000"/>
      <name val="Calibri"/>
      <family val="2"/>
    </font>
    <font>
      <b/>
      <sz val="12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9E3F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A6D86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</fills>
  <borders count="5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thin">
        <color theme="0"/>
      </top>
      <bottom/>
      <diagonal/>
    </border>
  </borders>
  <cellStyleXfs count="48">
    <xf numFmtId="0" fontId="0" fillId="0" borderId="0"/>
    <xf numFmtId="9" fontId="11" fillId="0" borderId="0" applyFont="0" applyFill="0" applyBorder="0" applyAlignment="0" applyProtection="0"/>
    <xf numFmtId="41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9" fontId="20" fillId="0" borderId="0" applyFont="0" applyFill="0" applyBorder="0" applyAlignment="0" applyProtection="0"/>
    <xf numFmtId="41" fontId="16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0" fillId="0" borderId="0"/>
    <xf numFmtId="43" fontId="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5" fillId="0" borderId="0"/>
    <xf numFmtId="0" fontId="5" fillId="0" borderId="0"/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1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3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3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4" fontId="38" fillId="0" borderId="0" applyFont="0" applyFill="0" applyBorder="0" applyAlignment="0" applyProtection="0"/>
  </cellStyleXfs>
  <cellXfs count="606">
    <xf numFmtId="0" fontId="0" fillId="0" borderId="0" xfId="0"/>
    <xf numFmtId="0" fontId="12" fillId="0" borderId="1" xfId="0" applyFont="1" applyBorder="1" applyAlignment="1">
      <alignment vertical="center"/>
    </xf>
    <xf numFmtId="0" fontId="16" fillId="0" borderId="1" xfId="0" applyFont="1" applyBorder="1"/>
    <xf numFmtId="41" fontId="16" fillId="0" borderId="1" xfId="2" applyBorder="1"/>
    <xf numFmtId="0" fontId="17" fillId="0" borderId="1" xfId="0" applyFont="1" applyBorder="1" applyAlignment="1">
      <alignment vertical="center"/>
    </xf>
    <xf numFmtId="166" fontId="16" fillId="0" borderId="1" xfId="0" applyNumberFormat="1" applyFont="1" applyBorder="1"/>
    <xf numFmtId="0" fontId="12" fillId="0" borderId="0" xfId="0" applyFont="1" applyAlignment="1">
      <alignment vertical="center"/>
    </xf>
    <xf numFmtId="0" fontId="16" fillId="0" borderId="0" xfId="0" applyFont="1"/>
    <xf numFmtId="41" fontId="16" fillId="0" borderId="0" xfId="2"/>
    <xf numFmtId="0" fontId="17" fillId="0" borderId="0" xfId="0" applyFont="1" applyAlignment="1">
      <alignment vertical="center"/>
    </xf>
    <xf numFmtId="166" fontId="16" fillId="0" borderId="0" xfId="0" applyNumberFormat="1" applyFont="1"/>
    <xf numFmtId="0" fontId="19" fillId="2" borderId="17" xfId="0" applyFont="1" applyFill="1" applyBorder="1" applyAlignment="1">
      <alignment horizontal="center" vertical="center"/>
    </xf>
    <xf numFmtId="41" fontId="19" fillId="2" borderId="17" xfId="2" applyFont="1" applyFill="1" applyBorder="1" applyAlignment="1">
      <alignment horizontal="center" vertical="center"/>
    </xf>
    <xf numFmtId="0" fontId="19" fillId="2" borderId="17" xfId="0" applyFont="1" applyFill="1" applyBorder="1" applyAlignment="1">
      <alignment horizontal="center"/>
    </xf>
    <xf numFmtId="0" fontId="18" fillId="0" borderId="18" xfId="0" applyFont="1" applyBorder="1" applyAlignment="1">
      <alignment horizontal="center" vertical="center"/>
    </xf>
    <xf numFmtId="0" fontId="18" fillId="0" borderId="18" xfId="0" applyFont="1" applyBorder="1" applyAlignment="1">
      <alignment vertical="center"/>
    </xf>
    <xf numFmtId="0" fontId="18" fillId="0" borderId="19" xfId="0" applyFont="1" applyBorder="1" applyAlignment="1">
      <alignment vertical="center"/>
    </xf>
    <xf numFmtId="167" fontId="18" fillId="0" borderId="19" xfId="3" applyNumberFormat="1" applyFont="1" applyBorder="1" applyAlignment="1">
      <alignment horizontal="right" vertical="center"/>
    </xf>
    <xf numFmtId="168" fontId="18" fillId="0" borderId="19" xfId="1" applyNumberFormat="1" applyFont="1" applyBorder="1" applyAlignment="1">
      <alignment horizontal="right" vertical="center"/>
    </xf>
    <xf numFmtId="0" fontId="18" fillId="0" borderId="20" xfId="0" applyFont="1" applyBorder="1" applyAlignment="1">
      <alignment horizontal="center" vertical="center"/>
    </xf>
    <xf numFmtId="167" fontId="18" fillId="0" borderId="20" xfId="3" applyNumberFormat="1" applyFont="1" applyBorder="1" applyAlignment="1">
      <alignment horizontal="right" vertical="center"/>
    </xf>
    <xf numFmtId="41" fontId="19" fillId="2" borderId="7" xfId="2" applyFont="1" applyFill="1" applyBorder="1" applyAlignment="1">
      <alignment vertical="center"/>
    </xf>
    <xf numFmtId="41" fontId="19" fillId="2" borderId="8" xfId="2" applyFont="1" applyFill="1" applyBorder="1" applyAlignment="1">
      <alignment vertical="center"/>
    </xf>
    <xf numFmtId="167" fontId="19" fillId="2" borderId="17" xfId="3" applyNumberFormat="1" applyFont="1" applyFill="1" applyBorder="1" applyAlignment="1">
      <alignment horizontal="right" vertical="center"/>
    </xf>
    <xf numFmtId="168" fontId="19" fillId="2" borderId="13" xfId="1" applyNumberFormat="1" applyFont="1" applyFill="1" applyBorder="1" applyAlignment="1">
      <alignment horizontal="right" vertical="center"/>
    </xf>
    <xf numFmtId="0" fontId="16" fillId="0" borderId="21" xfId="0" applyFont="1" applyBorder="1"/>
    <xf numFmtId="0" fontId="16" fillId="0" borderId="2" xfId="0" applyFont="1" applyBorder="1"/>
    <xf numFmtId="0" fontId="0" fillId="0" borderId="2" xfId="0" applyBorder="1"/>
    <xf numFmtId="0" fontId="19" fillId="2" borderId="17" xfId="0" quotePrefix="1" applyFont="1" applyFill="1" applyBorder="1" applyAlignment="1">
      <alignment horizontal="center" vertical="center"/>
    </xf>
    <xf numFmtId="167" fontId="0" fillId="0" borderId="0" xfId="0" applyNumberFormat="1"/>
    <xf numFmtId="0" fontId="21" fillId="0" borderId="0" xfId="0" applyFont="1"/>
    <xf numFmtId="167" fontId="19" fillId="0" borderId="20" xfId="3" applyNumberFormat="1" applyFont="1" applyBorder="1" applyAlignment="1">
      <alignment horizontal="right" vertical="center"/>
    </xf>
    <xf numFmtId="167" fontId="19" fillId="0" borderId="19" xfId="3" applyNumberFormat="1" applyFont="1" applyBorder="1" applyAlignment="1">
      <alignment horizontal="right" vertical="center"/>
    </xf>
    <xf numFmtId="166" fontId="16" fillId="0" borderId="23" xfId="0" applyNumberFormat="1" applyFont="1" applyBorder="1"/>
    <xf numFmtId="166" fontId="21" fillId="3" borderId="17" xfId="0" applyNumberFormat="1" applyFont="1" applyFill="1" applyBorder="1"/>
    <xf numFmtId="0" fontId="21" fillId="3" borderId="17" xfId="0" applyFont="1" applyFill="1" applyBorder="1"/>
    <xf numFmtId="166" fontId="0" fillId="0" borderId="24" xfId="0" applyNumberFormat="1" applyBorder="1"/>
    <xf numFmtId="167" fontId="19" fillId="0" borderId="0" xfId="3" applyNumberFormat="1" applyFont="1" applyAlignment="1">
      <alignment horizontal="right" vertical="center"/>
    </xf>
    <xf numFmtId="170" fontId="18" fillId="0" borderId="20" xfId="3" applyNumberFormat="1" applyFont="1" applyBorder="1" applyAlignment="1">
      <alignment horizontal="right" vertical="center"/>
    </xf>
    <xf numFmtId="170" fontId="19" fillId="2" borderId="17" xfId="3" applyNumberFormat="1" applyFont="1" applyFill="1" applyBorder="1" applyAlignment="1">
      <alignment horizontal="right" vertical="center"/>
    </xf>
    <xf numFmtId="170" fontId="18" fillId="0" borderId="26" xfId="3" applyNumberFormat="1" applyFont="1" applyBorder="1" applyAlignment="1">
      <alignment horizontal="right" vertical="center"/>
    </xf>
    <xf numFmtId="170" fontId="18" fillId="0" borderId="20" xfId="0" applyNumberFormat="1" applyFont="1" applyBorder="1" applyAlignment="1">
      <alignment horizontal="right" vertical="center"/>
    </xf>
    <xf numFmtId="170" fontId="18" fillId="0" borderId="20" xfId="0" applyNumberFormat="1" applyFont="1" applyBorder="1" applyAlignment="1">
      <alignment horizontal="right"/>
    </xf>
    <xf numFmtId="170" fontId="18" fillId="0" borderId="25" xfId="0" applyNumberFormat="1" applyFont="1" applyBorder="1" applyAlignment="1">
      <alignment horizontal="right"/>
    </xf>
    <xf numFmtId="0" fontId="0" fillId="7" borderId="17" xfId="0" applyFill="1" applyBorder="1"/>
    <xf numFmtId="0" fontId="0" fillId="6" borderId="17" xfId="0" applyFill="1" applyBorder="1"/>
    <xf numFmtId="0" fontId="21" fillId="0" borderId="17" xfId="0" applyFont="1" applyBorder="1"/>
    <xf numFmtId="0" fontId="21" fillId="10" borderId="17" xfId="0" applyFont="1" applyFill="1" applyBorder="1" applyAlignment="1">
      <alignment horizontal="center"/>
    </xf>
    <xf numFmtId="0" fontId="0" fillId="10" borderId="4" xfId="0" applyFill="1" applyBorder="1"/>
    <xf numFmtId="0" fontId="0" fillId="10" borderId="6" xfId="0" applyFill="1" applyBorder="1"/>
    <xf numFmtId="0" fontId="0" fillId="10" borderId="10" xfId="0" applyFill="1" applyBorder="1"/>
    <xf numFmtId="0" fontId="0" fillId="10" borderId="11" xfId="0" applyFill="1" applyBorder="1"/>
    <xf numFmtId="0" fontId="19" fillId="10" borderId="10" xfId="0" applyFont="1" applyFill="1" applyBorder="1"/>
    <xf numFmtId="0" fontId="0" fillId="10" borderId="14" xfId="0" applyFill="1" applyBorder="1"/>
    <xf numFmtId="0" fontId="0" fillId="10" borderId="16" xfId="0" applyFill="1" applyBorder="1"/>
    <xf numFmtId="0" fontId="21" fillId="10" borderId="17" xfId="0" applyFont="1" applyFill="1" applyBorder="1"/>
    <xf numFmtId="0" fontId="0" fillId="0" borderId="9" xfId="0" applyBorder="1"/>
    <xf numFmtId="164" fontId="18" fillId="0" borderId="19" xfId="6" applyFont="1" applyBorder="1" applyAlignment="1">
      <alignment horizontal="right" vertical="center"/>
    </xf>
    <xf numFmtId="164" fontId="19" fillId="2" borderId="17" xfId="6" applyFont="1" applyFill="1" applyBorder="1" applyAlignment="1">
      <alignment horizontal="right" vertical="center"/>
    </xf>
    <xf numFmtId="172" fontId="18" fillId="0" borderId="20" xfId="3" applyNumberFormat="1" applyFont="1" applyBorder="1" applyAlignment="1">
      <alignment horizontal="right" vertical="center"/>
    </xf>
    <xf numFmtId="171" fontId="18" fillId="0" borderId="20" xfId="3" applyNumberFormat="1" applyFont="1" applyBorder="1" applyAlignment="1">
      <alignment horizontal="right" vertical="center"/>
    </xf>
    <xf numFmtId="172" fontId="0" fillId="0" borderId="20" xfId="0" applyNumberFormat="1" applyBorder="1"/>
    <xf numFmtId="170" fontId="18" fillId="0" borderId="19" xfId="3" applyNumberFormat="1" applyFont="1" applyBorder="1" applyAlignment="1">
      <alignment horizontal="right" vertical="center"/>
    </xf>
    <xf numFmtId="0" fontId="19" fillId="6" borderId="17" xfId="0" applyFont="1" applyFill="1" applyBorder="1" applyAlignment="1">
      <alignment horizontal="center" vertical="center"/>
    </xf>
    <xf numFmtId="41" fontId="19" fillId="6" borderId="17" xfId="2" applyFont="1" applyFill="1" applyBorder="1" applyAlignment="1">
      <alignment horizontal="center" vertical="center"/>
    </xf>
    <xf numFmtId="170" fontId="18" fillId="0" borderId="26" xfId="0" applyNumberFormat="1" applyFont="1" applyBorder="1" applyAlignment="1">
      <alignment horizontal="right"/>
    </xf>
    <xf numFmtId="167" fontId="18" fillId="0" borderId="26" xfId="3" applyNumberFormat="1" applyFont="1" applyBorder="1" applyAlignment="1">
      <alignment horizontal="right" vertical="center"/>
    </xf>
    <xf numFmtId="0" fontId="18" fillId="0" borderId="2" xfId="0" applyFont="1" applyBorder="1" applyAlignment="1">
      <alignment vertical="center"/>
    </xf>
    <xf numFmtId="166" fontId="21" fillId="0" borderId="17" xfId="0" applyNumberFormat="1" applyFont="1" applyBorder="1"/>
    <xf numFmtId="0" fontId="19" fillId="0" borderId="17" xfId="0" applyFont="1" applyBorder="1" applyAlignment="1">
      <alignment horizontal="center" vertical="center"/>
    </xf>
    <xf numFmtId="41" fontId="19" fillId="0" borderId="17" xfId="2" applyFont="1" applyBorder="1" applyAlignment="1">
      <alignment horizontal="center" vertical="center"/>
    </xf>
    <xf numFmtId="0" fontId="19" fillId="0" borderId="17" xfId="0" applyFont="1" applyBorder="1" applyAlignment="1">
      <alignment horizontal="center"/>
    </xf>
    <xf numFmtId="0" fontId="0" fillId="0" borderId="18" xfId="0" applyBorder="1"/>
    <xf numFmtId="41" fontId="19" fillId="0" borderId="7" xfId="2" applyFont="1" applyBorder="1" applyAlignment="1">
      <alignment vertical="center"/>
    </xf>
    <xf numFmtId="41" fontId="19" fillId="0" borderId="8" xfId="2" applyFont="1" applyBorder="1" applyAlignment="1">
      <alignment vertical="center"/>
    </xf>
    <xf numFmtId="167" fontId="19" fillId="0" borderId="17" xfId="3" applyNumberFormat="1" applyFont="1" applyBorder="1" applyAlignment="1">
      <alignment horizontal="right" vertical="center"/>
    </xf>
    <xf numFmtId="168" fontId="19" fillId="0" borderId="13" xfId="1" applyNumberFormat="1" applyFont="1" applyBorder="1" applyAlignment="1">
      <alignment horizontal="right" vertical="center"/>
    </xf>
    <xf numFmtId="173" fontId="19" fillId="0" borderId="17" xfId="3" applyNumberFormat="1" applyFont="1" applyBorder="1" applyAlignment="1">
      <alignment horizontal="right" vertical="center"/>
    </xf>
    <xf numFmtId="0" fontId="16" fillId="0" borderId="22" xfId="0" applyFont="1" applyBorder="1"/>
    <xf numFmtId="0" fontId="19" fillId="0" borderId="17" xfId="0" quotePrefix="1" applyFont="1" applyBorder="1" applyAlignment="1">
      <alignment horizontal="center" vertical="center"/>
    </xf>
    <xf numFmtId="0" fontId="0" fillId="0" borderId="17" xfId="0" applyBorder="1"/>
    <xf numFmtId="167" fontId="19" fillId="0" borderId="13" xfId="3" applyNumberFormat="1" applyFont="1" applyBorder="1" applyAlignment="1">
      <alignment horizontal="right" vertical="center"/>
    </xf>
    <xf numFmtId="0" fontId="9" fillId="0" borderId="0" xfId="0" applyFont="1"/>
    <xf numFmtId="0" fontId="0" fillId="0" borderId="0" xfId="0" applyAlignment="1">
      <alignment vertical="center"/>
    </xf>
    <xf numFmtId="0" fontId="9" fillId="0" borderId="1" xfId="0" applyFont="1" applyBorder="1"/>
    <xf numFmtId="174" fontId="21" fillId="0" borderId="0" xfId="0" applyNumberFormat="1" applyFont="1"/>
    <xf numFmtId="166" fontId="9" fillId="0" borderId="0" xfId="0" applyNumberFormat="1" applyFont="1"/>
    <xf numFmtId="0" fontId="18" fillId="2" borderId="3" xfId="0" applyFont="1" applyFill="1" applyBorder="1" applyAlignment="1">
      <alignment horizontal="center" vertical="center" wrapText="1"/>
    </xf>
    <xf numFmtId="0" fontId="18" fillId="2" borderId="3" xfId="0" applyFont="1" applyFill="1" applyBorder="1" applyAlignment="1">
      <alignment horizontal="left" vertical="center"/>
    </xf>
    <xf numFmtId="175" fontId="19" fillId="3" borderId="3" xfId="0" applyNumberFormat="1" applyFont="1" applyFill="1" applyBorder="1" applyAlignment="1">
      <alignment horizontal="center" vertical="center" wrapText="1"/>
    </xf>
    <xf numFmtId="0" fontId="0" fillId="0" borderId="27" xfId="0" applyBorder="1"/>
    <xf numFmtId="0" fontId="18" fillId="2" borderId="9" xfId="0" applyFont="1" applyFill="1" applyBorder="1" applyAlignment="1">
      <alignment horizontal="center" vertical="center" wrapText="1"/>
    </xf>
    <xf numFmtId="0" fontId="18" fillId="2" borderId="9" xfId="0" applyFont="1" applyFill="1" applyBorder="1" applyAlignment="1">
      <alignment horizontal="left" vertical="center"/>
    </xf>
    <xf numFmtId="175" fontId="19" fillId="3" borderId="9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18" fillId="2" borderId="13" xfId="0" applyFont="1" applyFill="1" applyBorder="1" applyAlignment="1">
      <alignment horizontal="center" vertical="center" wrapText="1"/>
    </xf>
    <xf numFmtId="0" fontId="18" fillId="2" borderId="13" xfId="0" applyFont="1" applyFill="1" applyBorder="1" applyAlignment="1">
      <alignment horizontal="left" vertical="center"/>
    </xf>
    <xf numFmtId="175" fontId="19" fillId="3" borderId="13" xfId="0" applyNumberFormat="1" applyFont="1" applyFill="1" applyBorder="1" applyAlignment="1">
      <alignment horizontal="center" vertical="center" wrapText="1"/>
    </xf>
    <xf numFmtId="175" fontId="21" fillId="3" borderId="13" xfId="0" applyNumberFormat="1" applyFont="1" applyFill="1" applyBorder="1" applyAlignment="1">
      <alignment horizontal="center" vertical="center" wrapText="1"/>
    </xf>
    <xf numFmtId="0" fontId="0" fillId="0" borderId="17" xfId="0" applyBorder="1" applyAlignment="1">
      <alignment horizontal="center"/>
    </xf>
    <xf numFmtId="0" fontId="27" fillId="0" borderId="17" xfId="0" applyFont="1" applyBorder="1" applyAlignment="1">
      <alignment horizontal="center"/>
    </xf>
    <xf numFmtId="174" fontId="18" fillId="0" borderId="19" xfId="3" applyNumberFormat="1" applyFont="1" applyBorder="1" applyAlignment="1">
      <alignment horizontal="right" vertical="center"/>
    </xf>
    <xf numFmtId="174" fontId="18" fillId="0" borderId="26" xfId="3" applyNumberFormat="1" applyFont="1" applyBorder="1" applyAlignment="1">
      <alignment horizontal="right" vertical="center"/>
    </xf>
    <xf numFmtId="167" fontId="28" fillId="11" borderId="17" xfId="3" applyNumberFormat="1" applyFont="1" applyFill="1" applyBorder="1" applyAlignment="1">
      <alignment horizontal="right" vertical="center"/>
    </xf>
    <xf numFmtId="174" fontId="19" fillId="2" borderId="17" xfId="3" applyNumberFormat="1" applyFont="1" applyFill="1" applyBorder="1" applyAlignment="1">
      <alignment horizontal="right" vertical="center"/>
    </xf>
    <xf numFmtId="174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  <xf numFmtId="0" fontId="27" fillId="0" borderId="0" xfId="0" applyFont="1" applyAlignment="1">
      <alignment vertical="center"/>
    </xf>
    <xf numFmtId="174" fontId="27" fillId="0" borderId="0" xfId="0" applyNumberFormat="1" applyFont="1" applyAlignment="1">
      <alignment vertical="center"/>
    </xf>
    <xf numFmtId="0" fontId="0" fillId="3" borderId="0" xfId="0" applyFill="1"/>
    <xf numFmtId="166" fontId="16" fillId="3" borderId="23" xfId="0" applyNumberFormat="1" applyFont="1" applyFill="1" applyBorder="1"/>
    <xf numFmtId="0" fontId="0" fillId="3" borderId="0" xfId="0" applyFill="1" applyAlignment="1">
      <alignment vertical="center"/>
    </xf>
    <xf numFmtId="175" fontId="19" fillId="7" borderId="3" xfId="0" applyNumberFormat="1" applyFont="1" applyFill="1" applyBorder="1" applyAlignment="1">
      <alignment horizontal="center" vertical="center" wrapText="1"/>
    </xf>
    <xf numFmtId="175" fontId="19" fillId="7" borderId="9" xfId="0" applyNumberFormat="1" applyFont="1" applyFill="1" applyBorder="1" applyAlignment="1">
      <alignment horizontal="center" vertical="center" wrapText="1"/>
    </xf>
    <xf numFmtId="175" fontId="19" fillId="7" borderId="13" xfId="0" applyNumberFormat="1" applyFont="1" applyFill="1" applyBorder="1" applyAlignment="1">
      <alignment horizontal="center" vertical="center" wrapText="1"/>
    </xf>
    <xf numFmtId="175" fontId="21" fillId="7" borderId="13" xfId="0" applyNumberFormat="1" applyFont="1" applyFill="1" applyBorder="1" applyAlignment="1">
      <alignment horizontal="center" vertical="center" wrapText="1"/>
    </xf>
    <xf numFmtId="167" fontId="19" fillId="2" borderId="13" xfId="3" applyNumberFormat="1" applyFont="1" applyFill="1" applyBorder="1" applyAlignment="1">
      <alignment horizontal="right" vertical="center"/>
    </xf>
    <xf numFmtId="164" fontId="19" fillId="2" borderId="13" xfId="6" applyFont="1" applyFill="1" applyBorder="1" applyAlignment="1">
      <alignment horizontal="right" vertical="center"/>
    </xf>
    <xf numFmtId="170" fontId="19" fillId="2" borderId="13" xfId="3" applyNumberFormat="1" applyFont="1" applyFill="1" applyBorder="1" applyAlignment="1">
      <alignment horizontal="right" vertical="center"/>
    </xf>
    <xf numFmtId="167" fontId="28" fillId="11" borderId="13" xfId="3" applyNumberFormat="1" applyFont="1" applyFill="1" applyBorder="1" applyAlignment="1">
      <alignment horizontal="right" vertical="center"/>
    </xf>
    <xf numFmtId="174" fontId="19" fillId="2" borderId="13" xfId="3" applyNumberFormat="1" applyFont="1" applyFill="1" applyBorder="1" applyAlignment="1">
      <alignment horizontal="right" vertical="center"/>
    </xf>
    <xf numFmtId="0" fontId="0" fillId="0" borderId="0" xfId="0" applyAlignment="1">
      <alignment horizontal="right"/>
    </xf>
    <xf numFmtId="167" fontId="18" fillId="0" borderId="19" xfId="8" applyNumberFormat="1" applyFont="1" applyBorder="1" applyAlignment="1">
      <alignment horizontal="right" vertical="center"/>
    </xf>
    <xf numFmtId="167" fontId="18" fillId="0" borderId="20" xfId="8" applyNumberFormat="1" applyFont="1" applyBorder="1" applyAlignment="1">
      <alignment horizontal="right" vertical="center"/>
    </xf>
    <xf numFmtId="167" fontId="18" fillId="0" borderId="9" xfId="8" applyNumberFormat="1" applyFont="1" applyBorder="1" applyAlignment="1">
      <alignment horizontal="right" vertical="center"/>
    </xf>
    <xf numFmtId="167" fontId="28" fillId="11" borderId="17" xfId="8" applyNumberFormat="1" applyFont="1" applyFill="1" applyBorder="1" applyAlignment="1">
      <alignment horizontal="right" vertical="center"/>
    </xf>
    <xf numFmtId="164" fontId="7" fillId="0" borderId="17" xfId="6" applyFont="1" applyBorder="1" applyAlignment="1">
      <alignment horizontal="center" vertical="top"/>
    </xf>
    <xf numFmtId="164" fontId="7" fillId="0" borderId="17" xfId="6" applyFont="1" applyBorder="1" applyAlignment="1">
      <alignment horizontal="center"/>
    </xf>
    <xf numFmtId="0" fontId="0" fillId="0" borderId="11" xfId="0" applyBorder="1"/>
    <xf numFmtId="0" fontId="21" fillId="0" borderId="17" xfId="0" applyFont="1" applyBorder="1" applyAlignment="1">
      <alignment horizontal="center" vertical="center" wrapText="1"/>
    </xf>
    <xf numFmtId="0" fontId="31" fillId="0" borderId="13" xfId="0" applyFont="1" applyBorder="1" applyAlignment="1">
      <alignment horizontal="center" vertical="center" wrapText="1"/>
    </xf>
    <xf numFmtId="3" fontId="31" fillId="0" borderId="17" xfId="13" applyNumberFormat="1" applyFont="1" applyBorder="1" applyAlignment="1">
      <alignment horizontal="center" vertical="center" wrapText="1"/>
    </xf>
    <xf numFmtId="164" fontId="31" fillId="12" borderId="13" xfId="6" applyFont="1" applyFill="1" applyBorder="1" applyAlignment="1">
      <alignment horizontal="center" vertical="center" wrapText="1"/>
    </xf>
    <xf numFmtId="164" fontId="31" fillId="12" borderId="14" xfId="6" applyFont="1" applyFill="1" applyBorder="1" applyAlignment="1">
      <alignment horizontal="center" vertical="center" wrapText="1"/>
    </xf>
    <xf numFmtId="0" fontId="17" fillId="0" borderId="1" xfId="0" quotePrefix="1" applyFont="1" applyBorder="1" applyAlignment="1">
      <alignment vertical="center"/>
    </xf>
    <xf numFmtId="41" fontId="21" fillId="0" borderId="1" xfId="2" applyFont="1" applyBorder="1" applyAlignment="1">
      <alignment horizontal="right"/>
    </xf>
    <xf numFmtId="164" fontId="0" fillId="0" borderId="0" xfId="0" applyNumberFormat="1"/>
    <xf numFmtId="168" fontId="18" fillId="0" borderId="20" xfId="1" applyNumberFormat="1" applyFont="1" applyBorder="1" applyAlignment="1">
      <alignment horizontal="right" vertical="center"/>
    </xf>
    <xf numFmtId="0" fontId="18" fillId="0" borderId="20" xfId="0" applyFont="1" applyBorder="1" applyAlignment="1">
      <alignment vertical="center"/>
    </xf>
    <xf numFmtId="0" fontId="0" fillId="0" borderId="20" xfId="0" applyBorder="1"/>
    <xf numFmtId="164" fontId="4" fillId="0" borderId="17" xfId="6" applyFont="1" applyBorder="1" applyAlignment="1">
      <alignment horizontal="center" vertical="top"/>
    </xf>
    <xf numFmtId="0" fontId="18" fillId="0" borderId="20" xfId="0" applyFont="1" applyBorder="1"/>
    <xf numFmtId="164" fontId="18" fillId="0" borderId="17" xfId="6" applyFont="1" applyBorder="1" applyAlignment="1">
      <alignment horizontal="center" vertical="top"/>
    </xf>
    <xf numFmtId="167" fontId="18" fillId="0" borderId="20" xfId="18" applyNumberFormat="1" applyFont="1" applyBorder="1" applyAlignment="1">
      <alignment horizontal="right" vertical="center"/>
    </xf>
    <xf numFmtId="170" fontId="18" fillId="0" borderId="20" xfId="18" applyNumberFormat="1" applyFont="1" applyBorder="1" applyAlignment="1">
      <alignment horizontal="right" vertical="center"/>
    </xf>
    <xf numFmtId="167" fontId="18" fillId="0" borderId="19" xfId="18" applyNumberFormat="1" applyFont="1" applyBorder="1" applyAlignment="1">
      <alignment horizontal="right" vertical="center"/>
    </xf>
    <xf numFmtId="0" fontId="20" fillId="0" borderId="8" xfId="6" applyNumberFormat="1" applyFont="1" applyBorder="1" applyAlignment="1">
      <alignment horizontal="center" vertical="center"/>
    </xf>
    <xf numFmtId="167" fontId="18" fillId="0" borderId="28" xfId="18" applyNumberFormat="1" applyFont="1" applyBorder="1" applyAlignment="1">
      <alignment horizontal="right" vertical="center"/>
    </xf>
    <xf numFmtId="167" fontId="0" fillId="0" borderId="2" xfId="0" applyNumberFormat="1" applyBorder="1"/>
    <xf numFmtId="0" fontId="18" fillId="0" borderId="18" xfId="0" applyFont="1" applyBorder="1"/>
    <xf numFmtId="0" fontId="0" fillId="0" borderId="0" xfId="0" quotePrefix="1"/>
    <xf numFmtId="170" fontId="19" fillId="0" borderId="13" xfId="3" applyNumberFormat="1" applyFont="1" applyBorder="1" applyAlignment="1">
      <alignment horizontal="right" vertical="center"/>
    </xf>
    <xf numFmtId="166" fontId="0" fillId="0" borderId="0" xfId="28" applyNumberFormat="1" applyFont="1"/>
    <xf numFmtId="166" fontId="0" fillId="0" borderId="0" xfId="0" applyNumberFormat="1"/>
    <xf numFmtId="170" fontId="0" fillId="0" borderId="0" xfId="0" applyNumberFormat="1"/>
    <xf numFmtId="167" fontId="18" fillId="0" borderId="2" xfId="0" applyNumberFormat="1" applyFont="1" applyBorder="1" applyAlignment="1">
      <alignment vertical="center"/>
    </xf>
    <xf numFmtId="0" fontId="0" fillId="3" borderId="20" xfId="0" applyFill="1" applyBorder="1"/>
    <xf numFmtId="0" fontId="36" fillId="0" borderId="0" xfId="0" applyFont="1"/>
    <xf numFmtId="0" fontId="36" fillId="0" borderId="20" xfId="0" applyFont="1" applyBorder="1"/>
    <xf numFmtId="0" fontId="37" fillId="0" borderId="2" xfId="0" applyFont="1" applyBorder="1"/>
    <xf numFmtId="164" fontId="37" fillId="0" borderId="2" xfId="6" applyFont="1" applyBorder="1"/>
    <xf numFmtId="164" fontId="37" fillId="0" borderId="0" xfId="6" applyFont="1"/>
    <xf numFmtId="0" fontId="27" fillId="0" borderId="0" xfId="0" applyFont="1" applyAlignment="1">
      <alignment vertical="center" wrapText="1"/>
    </xf>
    <xf numFmtId="164" fontId="37" fillId="0" borderId="0" xfId="6" applyFont="1" applyAlignment="1" applyProtection="1">
      <alignment vertical="top"/>
      <protection locked="0"/>
    </xf>
    <xf numFmtId="164" fontId="29" fillId="0" borderId="2" xfId="6" applyFont="1" applyBorder="1" applyAlignment="1">
      <alignment vertical="center"/>
    </xf>
    <xf numFmtId="167" fontId="18" fillId="3" borderId="20" xfId="3" applyNumberFormat="1" applyFont="1" applyFill="1" applyBorder="1" applyAlignment="1">
      <alignment horizontal="right" vertical="center"/>
    </xf>
    <xf numFmtId="167" fontId="18" fillId="0" borderId="20" xfId="34" applyNumberFormat="1" applyFont="1" applyBorder="1" applyAlignment="1">
      <alignment horizontal="right" vertical="center"/>
    </xf>
    <xf numFmtId="167" fontId="18" fillId="0" borderId="0" xfId="34" applyNumberFormat="1" applyFont="1" applyAlignment="1">
      <alignment horizontal="right" vertical="center"/>
    </xf>
    <xf numFmtId="167" fontId="18" fillId="3" borderId="19" xfId="3" applyNumberFormat="1" applyFont="1" applyFill="1" applyBorder="1" applyAlignment="1">
      <alignment horizontal="right" vertical="center"/>
    </xf>
    <xf numFmtId="0" fontId="18" fillId="0" borderId="17" xfId="0" applyFont="1" applyBorder="1"/>
    <xf numFmtId="167" fontId="18" fillId="0" borderId="19" xfId="3" applyNumberFormat="1" applyFont="1" applyBorder="1" applyAlignment="1">
      <alignment vertical="center"/>
    </xf>
    <xf numFmtId="167" fontId="18" fillId="3" borderId="20" xfId="34" applyNumberFormat="1" applyFont="1" applyFill="1" applyBorder="1" applyAlignment="1">
      <alignment horizontal="right" vertical="center"/>
    </xf>
    <xf numFmtId="167" fontId="39" fillId="0" borderId="19" xfId="3" applyNumberFormat="1" applyFont="1" applyBorder="1" applyAlignment="1">
      <alignment horizontal="right" vertical="center"/>
    </xf>
    <xf numFmtId="0" fontId="18" fillId="20" borderId="20" xfId="0" applyFont="1" applyFill="1" applyBorder="1" applyAlignment="1">
      <alignment vertical="center"/>
    </xf>
    <xf numFmtId="41" fontId="19" fillId="2" borderId="16" xfId="2" applyFont="1" applyFill="1" applyBorder="1" applyAlignment="1">
      <alignment vertical="center"/>
    </xf>
    <xf numFmtId="0" fontId="0" fillId="7" borderId="3" xfId="0" applyFill="1" applyBorder="1"/>
    <xf numFmtId="0" fontId="0" fillId="6" borderId="3" xfId="0" applyFill="1" applyBorder="1"/>
    <xf numFmtId="0" fontId="0" fillId="3" borderId="17" xfId="0" applyFill="1" applyBorder="1"/>
    <xf numFmtId="41" fontId="19" fillId="0" borderId="13" xfId="2" applyFont="1" applyBorder="1" applyAlignment="1">
      <alignment vertical="center"/>
    </xf>
    <xf numFmtId="168" fontId="18" fillId="0" borderId="13" xfId="1" applyNumberFormat="1" applyFont="1" applyBorder="1" applyAlignment="1">
      <alignment horizontal="right" vertical="center"/>
    </xf>
    <xf numFmtId="167" fontId="19" fillId="2" borderId="14" xfId="3" applyNumberFormat="1" applyFont="1" applyFill="1" applyBorder="1" applyAlignment="1">
      <alignment horizontal="right" vertical="center"/>
    </xf>
    <xf numFmtId="167" fontId="28" fillId="11" borderId="16" xfId="3" applyNumberFormat="1" applyFont="1" applyFill="1" applyBorder="1" applyAlignment="1">
      <alignment horizontal="right" vertical="center"/>
    </xf>
    <xf numFmtId="167" fontId="19" fillId="2" borderId="7" xfId="3" applyNumberFormat="1" applyFont="1" applyFill="1" applyBorder="1" applyAlignment="1">
      <alignment horizontal="right" vertical="center"/>
    </xf>
    <xf numFmtId="167" fontId="19" fillId="2" borderId="8" xfId="3" applyNumberFormat="1" applyFont="1" applyFill="1" applyBorder="1" applyAlignment="1">
      <alignment horizontal="right" vertical="center"/>
    </xf>
    <xf numFmtId="170" fontId="19" fillId="2" borderId="14" xfId="3" applyNumberFormat="1" applyFont="1" applyFill="1" applyBorder="1" applyAlignment="1">
      <alignment horizontal="right" vertical="center"/>
    </xf>
    <xf numFmtId="170" fontId="19" fillId="2" borderId="16" xfId="3" applyNumberFormat="1" applyFont="1" applyFill="1" applyBorder="1" applyAlignment="1">
      <alignment horizontal="right" vertical="center"/>
    </xf>
    <xf numFmtId="0" fontId="18" fillId="0" borderId="20" xfId="0" applyFont="1" applyFill="1" applyBorder="1" applyAlignment="1">
      <alignment vertical="center"/>
    </xf>
    <xf numFmtId="167" fontId="19" fillId="0" borderId="20" xfId="3" applyNumberFormat="1" applyFont="1" applyFill="1" applyBorder="1" applyAlignment="1">
      <alignment horizontal="right" vertical="center"/>
    </xf>
    <xf numFmtId="167" fontId="18" fillId="0" borderId="20" xfId="3" applyNumberFormat="1" applyFont="1" applyFill="1" applyBorder="1" applyAlignment="1">
      <alignment horizontal="right" vertical="center"/>
    </xf>
    <xf numFmtId="167" fontId="18" fillId="0" borderId="19" xfId="3" applyNumberFormat="1" applyFont="1" applyFill="1" applyBorder="1" applyAlignment="1">
      <alignment horizontal="right" vertical="center"/>
    </xf>
    <xf numFmtId="0" fontId="18" fillId="0" borderId="18" xfId="0" applyFont="1" applyFill="1" applyBorder="1" applyAlignment="1">
      <alignment horizontal="center" vertical="center"/>
    </xf>
    <xf numFmtId="0" fontId="18" fillId="0" borderId="18" xfId="0" applyFont="1" applyFill="1" applyBorder="1" applyAlignment="1">
      <alignment vertical="center"/>
    </xf>
    <xf numFmtId="167" fontId="18" fillId="0" borderId="18" xfId="3" applyNumberFormat="1" applyFont="1" applyFill="1" applyBorder="1" applyAlignment="1">
      <alignment horizontal="right" vertical="center"/>
    </xf>
    <xf numFmtId="168" fontId="18" fillId="0" borderId="18" xfId="1" applyNumberFormat="1" applyFont="1" applyFill="1" applyBorder="1" applyAlignment="1">
      <alignment horizontal="right" vertical="center"/>
    </xf>
    <xf numFmtId="0" fontId="0" fillId="0" borderId="18" xfId="0" applyFill="1" applyBorder="1"/>
    <xf numFmtId="0" fontId="0" fillId="0" borderId="0" xfId="0" applyFill="1"/>
    <xf numFmtId="167" fontId="0" fillId="0" borderId="0" xfId="0" applyNumberFormat="1" applyFill="1"/>
    <xf numFmtId="0" fontId="21" fillId="0" borderId="17" xfId="0" applyFont="1" applyFill="1" applyBorder="1"/>
    <xf numFmtId="164" fontId="18" fillId="0" borderId="18" xfId="6" applyFont="1" applyFill="1" applyBorder="1" applyAlignment="1">
      <alignment horizontal="right" vertical="center"/>
    </xf>
    <xf numFmtId="0" fontId="18" fillId="0" borderId="2" xfId="0" applyFont="1" applyFill="1" applyBorder="1" applyAlignment="1">
      <alignment vertical="center"/>
    </xf>
    <xf numFmtId="170" fontId="18" fillId="0" borderId="19" xfId="3" applyNumberFormat="1" applyFont="1" applyFill="1" applyBorder="1" applyAlignment="1">
      <alignment horizontal="right" vertical="center"/>
    </xf>
    <xf numFmtId="174" fontId="18" fillId="0" borderId="19" xfId="3" applyNumberFormat="1" applyFont="1" applyFill="1" applyBorder="1" applyAlignment="1">
      <alignment horizontal="right" vertical="center"/>
    </xf>
    <xf numFmtId="167" fontId="18" fillId="0" borderId="26" xfId="3" applyNumberFormat="1" applyFont="1" applyFill="1" applyBorder="1" applyAlignment="1">
      <alignment horizontal="right" vertical="center"/>
    </xf>
    <xf numFmtId="174" fontId="18" fillId="0" borderId="26" xfId="3" applyNumberFormat="1" applyFont="1" applyFill="1" applyBorder="1" applyAlignment="1">
      <alignment horizontal="right" vertical="center"/>
    </xf>
    <xf numFmtId="0" fontId="0" fillId="0" borderId="0" xfId="0" applyFill="1" applyAlignment="1">
      <alignment vertical="center"/>
    </xf>
    <xf numFmtId="0" fontId="0" fillId="0" borderId="2" xfId="0" applyFill="1" applyBorder="1"/>
    <xf numFmtId="167" fontId="18" fillId="0" borderId="19" xfId="8" applyNumberFormat="1" applyFont="1" applyFill="1" applyBorder="1" applyAlignment="1">
      <alignment horizontal="right" vertical="center"/>
    </xf>
    <xf numFmtId="167" fontId="18" fillId="0" borderId="2" xfId="0" applyNumberFormat="1" applyFont="1" applyFill="1" applyBorder="1" applyAlignment="1">
      <alignment vertical="center"/>
    </xf>
    <xf numFmtId="164" fontId="37" fillId="0" borderId="0" xfId="6" applyFont="1" applyFill="1" applyAlignment="1" applyProtection="1">
      <alignment vertical="top"/>
      <protection locked="0"/>
    </xf>
    <xf numFmtId="167" fontId="18" fillId="0" borderId="20" xfId="34" applyNumberFormat="1" applyFont="1" applyFill="1" applyBorder="1" applyAlignment="1">
      <alignment horizontal="right" vertical="center"/>
    </xf>
    <xf numFmtId="167" fontId="18" fillId="0" borderId="19" xfId="34" applyNumberFormat="1" applyFont="1" applyFill="1" applyBorder="1" applyAlignment="1">
      <alignment horizontal="right" vertical="center"/>
    </xf>
    <xf numFmtId="164" fontId="29" fillId="0" borderId="2" xfId="6" applyFont="1" applyFill="1" applyBorder="1" applyAlignment="1">
      <alignment vertical="center"/>
    </xf>
    <xf numFmtId="167" fontId="39" fillId="0" borderId="19" xfId="3" applyNumberFormat="1" applyFont="1" applyFill="1" applyBorder="1" applyAlignment="1">
      <alignment horizontal="right" vertical="center"/>
    </xf>
    <xf numFmtId="0" fontId="18" fillId="0" borderId="20" xfId="0" applyFont="1" applyFill="1" applyBorder="1" applyAlignment="1">
      <alignment horizontal="center" vertical="center"/>
    </xf>
    <xf numFmtId="168" fontId="18" fillId="0" borderId="20" xfId="1" applyNumberFormat="1" applyFont="1" applyFill="1" applyBorder="1" applyAlignment="1">
      <alignment horizontal="right" vertical="center"/>
    </xf>
    <xf numFmtId="167" fontId="18" fillId="0" borderId="20" xfId="18" applyNumberFormat="1" applyFont="1" applyFill="1" applyBorder="1" applyAlignment="1">
      <alignment horizontal="right" vertical="center"/>
    </xf>
    <xf numFmtId="170" fontId="18" fillId="0" borderId="20" xfId="18" applyNumberFormat="1" applyFont="1" applyFill="1" applyBorder="1" applyAlignment="1">
      <alignment horizontal="right" vertical="center"/>
    </xf>
    <xf numFmtId="0" fontId="0" fillId="0" borderId="20" xfId="0" applyFill="1" applyBorder="1"/>
    <xf numFmtId="164" fontId="7" fillId="0" borderId="20" xfId="6" applyFont="1" applyFill="1" applyBorder="1" applyAlignment="1">
      <alignment horizontal="center" vertical="top"/>
    </xf>
    <xf numFmtId="0" fontId="0" fillId="0" borderId="9" xfId="0" applyFill="1" applyBorder="1"/>
    <xf numFmtId="164" fontId="18" fillId="0" borderId="20" xfId="6" applyFont="1" applyFill="1" applyBorder="1" applyAlignment="1">
      <alignment horizontal="right" vertical="center"/>
    </xf>
    <xf numFmtId="167" fontId="18" fillId="0" borderId="20" xfId="8" applyNumberFormat="1" applyFont="1" applyFill="1" applyBorder="1" applyAlignment="1">
      <alignment horizontal="right" vertical="center"/>
    </xf>
    <xf numFmtId="166" fontId="0" fillId="0" borderId="0" xfId="28" applyNumberFormat="1" applyFont="1" applyFill="1"/>
    <xf numFmtId="167" fontId="29" fillId="0" borderId="20" xfId="3" applyNumberFormat="1" applyFont="1" applyFill="1" applyBorder="1" applyAlignment="1">
      <alignment horizontal="right" vertical="center"/>
    </xf>
    <xf numFmtId="170" fontId="18" fillId="0" borderId="20" xfId="3" applyNumberFormat="1" applyFont="1" applyFill="1" applyBorder="1" applyAlignment="1">
      <alignment horizontal="right" vertical="center"/>
    </xf>
    <xf numFmtId="176" fontId="18" fillId="0" borderId="20" xfId="23" applyNumberFormat="1" applyFont="1" applyFill="1" applyBorder="1" applyAlignment="1">
      <alignment horizontal="center" vertical="center" wrapText="1"/>
    </xf>
    <xf numFmtId="167" fontId="18" fillId="0" borderId="9" xfId="3" applyNumberFormat="1" applyFont="1" applyFill="1" applyBorder="1" applyAlignment="1">
      <alignment horizontal="right" vertical="center"/>
    </xf>
    <xf numFmtId="176" fontId="4" fillId="0" borderId="20" xfId="25" applyNumberFormat="1" applyFill="1" applyBorder="1" applyAlignment="1">
      <alignment horizontal="center" vertical="center" wrapText="1"/>
    </xf>
    <xf numFmtId="174" fontId="18" fillId="0" borderId="20" xfId="3" applyNumberFormat="1" applyFont="1" applyFill="1" applyBorder="1" applyAlignment="1">
      <alignment horizontal="right" vertical="center"/>
    </xf>
    <xf numFmtId="0" fontId="18" fillId="0" borderId="22" xfId="0" applyFont="1" applyFill="1" applyBorder="1" applyAlignment="1">
      <alignment vertical="center"/>
    </xf>
    <xf numFmtId="0" fontId="18" fillId="0" borderId="58" xfId="0" applyFont="1" applyFill="1" applyBorder="1" applyAlignment="1">
      <alignment vertical="center"/>
    </xf>
    <xf numFmtId="167" fontId="18" fillId="0" borderId="11" xfId="3" applyNumberFormat="1" applyFont="1" applyFill="1" applyBorder="1" applyAlignment="1">
      <alignment horizontal="right" vertical="center"/>
    </xf>
    <xf numFmtId="174" fontId="18" fillId="0" borderId="9" xfId="3" applyNumberFormat="1" applyFont="1" applyFill="1" applyBorder="1" applyAlignment="1">
      <alignment horizontal="right" vertical="center"/>
    </xf>
    <xf numFmtId="0" fontId="0" fillId="0" borderId="1" xfId="0" applyFill="1" applyBorder="1"/>
    <xf numFmtId="167" fontId="18" fillId="0" borderId="56" xfId="3" applyNumberFormat="1" applyFont="1" applyFill="1" applyBorder="1" applyAlignment="1">
      <alignment horizontal="right" vertical="center"/>
    </xf>
    <xf numFmtId="0" fontId="18" fillId="0" borderId="0" xfId="0" applyFont="1" applyFill="1" applyAlignment="1">
      <alignment vertical="center"/>
    </xf>
    <xf numFmtId="174" fontId="18" fillId="0" borderId="17" xfId="3" applyNumberFormat="1" applyFont="1" applyFill="1" applyBorder="1" applyAlignment="1">
      <alignment horizontal="right" vertical="center"/>
    </xf>
    <xf numFmtId="0" fontId="36" fillId="0" borderId="20" xfId="0" applyFont="1" applyFill="1" applyBorder="1"/>
    <xf numFmtId="0" fontId="36" fillId="0" borderId="25" xfId="0" applyFont="1" applyFill="1" applyBorder="1"/>
    <xf numFmtId="0" fontId="18" fillId="0" borderId="25" xfId="0" applyFont="1" applyFill="1" applyBorder="1" applyAlignment="1">
      <alignment vertical="center"/>
    </xf>
    <xf numFmtId="167" fontId="18" fillId="0" borderId="25" xfId="3" applyNumberFormat="1" applyFont="1" applyFill="1" applyBorder="1" applyAlignment="1">
      <alignment horizontal="right" vertical="center"/>
    </xf>
    <xf numFmtId="168" fontId="18" fillId="0" borderId="25" xfId="1" applyNumberFormat="1" applyFont="1" applyFill="1" applyBorder="1" applyAlignment="1">
      <alignment horizontal="right" vertical="center"/>
    </xf>
    <xf numFmtId="167" fontId="18" fillId="0" borderId="25" xfId="18" applyNumberFormat="1" applyFont="1" applyFill="1" applyBorder="1" applyAlignment="1">
      <alignment horizontal="right" vertical="center"/>
    </xf>
    <xf numFmtId="170" fontId="18" fillId="0" borderId="25" xfId="18" applyNumberFormat="1" applyFont="1" applyFill="1" applyBorder="1" applyAlignment="1">
      <alignment horizontal="right" vertical="center"/>
    </xf>
    <xf numFmtId="0" fontId="0" fillId="0" borderId="25" xfId="0" applyFill="1" applyBorder="1"/>
    <xf numFmtId="164" fontId="18" fillId="0" borderId="25" xfId="6" applyFont="1" applyFill="1" applyBorder="1" applyAlignment="1">
      <alignment horizontal="right" vertical="center"/>
    </xf>
    <xf numFmtId="167" fontId="18" fillId="0" borderId="57" xfId="3" applyNumberFormat="1" applyFont="1" applyFill="1" applyBorder="1" applyAlignment="1">
      <alignment horizontal="right" vertical="center"/>
    </xf>
    <xf numFmtId="170" fontId="18" fillId="0" borderId="25" xfId="3" applyNumberFormat="1" applyFont="1" applyFill="1" applyBorder="1" applyAlignment="1">
      <alignment horizontal="right" vertical="center"/>
    </xf>
    <xf numFmtId="174" fontId="18" fillId="0" borderId="25" xfId="3" applyNumberFormat="1" applyFont="1" applyFill="1" applyBorder="1" applyAlignment="1">
      <alignment horizontal="right" vertical="center"/>
    </xf>
    <xf numFmtId="0" fontId="18" fillId="0" borderId="19" xfId="0" applyFont="1" applyFill="1" applyBorder="1" applyAlignment="1">
      <alignment vertical="center"/>
    </xf>
    <xf numFmtId="168" fontId="18" fillId="0" borderId="19" xfId="1" applyNumberFormat="1" applyFont="1" applyFill="1" applyBorder="1" applyAlignment="1">
      <alignment horizontal="right" vertical="center"/>
    </xf>
    <xf numFmtId="168" fontId="18" fillId="0" borderId="9" xfId="1" applyNumberFormat="1" applyFont="1" applyFill="1" applyBorder="1" applyAlignment="1">
      <alignment horizontal="right" vertical="center"/>
    </xf>
    <xf numFmtId="164" fontId="18" fillId="0" borderId="19" xfId="6" applyFont="1" applyFill="1" applyBorder="1" applyAlignment="1">
      <alignment horizontal="right" vertical="center"/>
    </xf>
    <xf numFmtId="0" fontId="18" fillId="0" borderId="17" xfId="0" applyFont="1" applyFill="1" applyBorder="1"/>
    <xf numFmtId="167" fontId="40" fillId="0" borderId="20" xfId="3" applyNumberFormat="1" applyFont="1" applyFill="1" applyBorder="1" applyAlignment="1">
      <alignment horizontal="right" vertical="center"/>
    </xf>
    <xf numFmtId="0" fontId="18" fillId="0" borderId="28" xfId="0" applyFont="1" applyFill="1" applyBorder="1" applyAlignment="1">
      <alignment vertical="center"/>
    </xf>
    <xf numFmtId="167" fontId="18" fillId="0" borderId="50" xfId="3" applyNumberFormat="1" applyFont="1" applyFill="1" applyBorder="1" applyAlignment="1">
      <alignment horizontal="right" vertical="center"/>
    </xf>
    <xf numFmtId="167" fontId="18" fillId="0" borderId="51" xfId="3" applyNumberFormat="1" applyFont="1" applyFill="1" applyBorder="1" applyAlignment="1">
      <alignment horizontal="right" vertical="center"/>
    </xf>
    <xf numFmtId="170" fontId="18" fillId="0" borderId="50" xfId="3" applyNumberFormat="1" applyFont="1" applyFill="1" applyBorder="1" applyAlignment="1">
      <alignment horizontal="right" vertical="center"/>
    </xf>
    <xf numFmtId="170" fontId="18" fillId="0" borderId="51" xfId="3" applyNumberFormat="1" applyFont="1" applyFill="1" applyBorder="1" applyAlignment="1">
      <alignment horizontal="right" vertical="center"/>
    </xf>
    <xf numFmtId="167" fontId="18" fillId="0" borderId="25" xfId="34" applyNumberFormat="1" applyFont="1" applyFill="1" applyBorder="1" applyAlignment="1">
      <alignment horizontal="right" vertical="center"/>
    </xf>
    <xf numFmtId="0" fontId="18" fillId="0" borderId="52" xfId="0" applyFont="1" applyFill="1" applyBorder="1" applyAlignment="1">
      <alignment vertical="center"/>
    </xf>
    <xf numFmtId="167" fontId="19" fillId="0" borderId="25" xfId="3" applyNumberFormat="1" applyFont="1" applyFill="1" applyBorder="1" applyAlignment="1">
      <alignment horizontal="right" vertical="center"/>
    </xf>
    <xf numFmtId="167" fontId="18" fillId="0" borderId="54" xfId="3" applyNumberFormat="1" applyFont="1" applyFill="1" applyBorder="1" applyAlignment="1">
      <alignment horizontal="right" vertical="center"/>
    </xf>
    <xf numFmtId="167" fontId="18" fillId="0" borderId="55" xfId="3" applyNumberFormat="1" applyFont="1" applyFill="1" applyBorder="1" applyAlignment="1">
      <alignment horizontal="right" vertical="center"/>
    </xf>
    <xf numFmtId="170" fontId="18" fillId="0" borderId="54" xfId="3" applyNumberFormat="1" applyFont="1" applyFill="1" applyBorder="1" applyAlignment="1">
      <alignment horizontal="right" vertical="center"/>
    </xf>
    <xf numFmtId="170" fontId="18" fillId="0" borderId="55" xfId="3" applyNumberFormat="1" applyFont="1" applyFill="1" applyBorder="1" applyAlignment="1">
      <alignment horizontal="right" vertical="center"/>
    </xf>
    <xf numFmtId="167" fontId="18" fillId="3" borderId="20" xfId="18" applyNumberFormat="1" applyFont="1" applyFill="1" applyBorder="1" applyAlignment="1">
      <alignment horizontal="right" vertical="center"/>
    </xf>
    <xf numFmtId="0" fontId="29" fillId="0" borderId="20" xfId="0" applyFont="1" applyFill="1" applyBorder="1"/>
    <xf numFmtId="0" fontId="18" fillId="0" borderId="20" xfId="0" applyFont="1" applyFill="1" applyBorder="1"/>
    <xf numFmtId="41" fontId="19" fillId="0" borderId="16" xfId="2" applyFont="1" applyFill="1" applyBorder="1" applyAlignment="1">
      <alignment vertical="center"/>
    </xf>
    <xf numFmtId="172" fontId="18" fillId="0" borderId="20" xfId="3" applyNumberFormat="1" applyFont="1" applyFill="1" applyBorder="1" applyAlignment="1">
      <alignment horizontal="right" vertical="center"/>
    </xf>
    <xf numFmtId="172" fontId="0" fillId="0" borderId="20" xfId="0" applyNumberFormat="1" applyFill="1" applyBorder="1"/>
    <xf numFmtId="1" fontId="18" fillId="0" borderId="20" xfId="3" applyNumberFormat="1" applyFont="1" applyFill="1" applyBorder="1" applyAlignment="1">
      <alignment horizontal="right" vertical="center"/>
    </xf>
    <xf numFmtId="172" fontId="18" fillId="0" borderId="25" xfId="3" applyNumberFormat="1" applyFont="1" applyFill="1" applyBorder="1" applyAlignment="1">
      <alignment horizontal="right" vertical="center"/>
    </xf>
    <xf numFmtId="172" fontId="18" fillId="0" borderId="26" xfId="3" applyNumberFormat="1" applyFont="1" applyFill="1" applyBorder="1" applyAlignment="1">
      <alignment horizontal="right" vertical="center"/>
    </xf>
    <xf numFmtId="167" fontId="18" fillId="0" borderId="19" xfId="18" applyNumberFormat="1" applyFont="1" applyFill="1" applyBorder="1" applyAlignment="1">
      <alignment horizontal="right" vertical="center"/>
    </xf>
    <xf numFmtId="164" fontId="2" fillId="0" borderId="20" xfId="6" applyFont="1" applyBorder="1" applyAlignment="1">
      <alignment horizontal="center" vertical="top"/>
    </xf>
    <xf numFmtId="164" fontId="30" fillId="0" borderId="20" xfId="6" applyFont="1" applyBorder="1" applyAlignment="1">
      <alignment horizontal="center" vertical="top"/>
    </xf>
    <xf numFmtId="164" fontId="2" fillId="0" borderId="20" xfId="6" applyFont="1" applyBorder="1" applyAlignment="1">
      <alignment horizontal="center" vertical="center" wrapText="1"/>
    </xf>
    <xf numFmtId="167" fontId="18" fillId="0" borderId="18" xfId="18" applyNumberFormat="1" applyFont="1" applyBorder="1" applyAlignment="1">
      <alignment horizontal="right" vertical="center"/>
    </xf>
    <xf numFmtId="167" fontId="18" fillId="0" borderId="18" xfId="3" applyNumberFormat="1" applyFont="1" applyBorder="1" applyAlignment="1">
      <alignment horizontal="right" vertical="center"/>
    </xf>
    <xf numFmtId="164" fontId="2" fillId="0" borderId="20" xfId="6" applyFont="1" applyBorder="1" applyAlignment="1">
      <alignment horizontal="center"/>
    </xf>
    <xf numFmtId="0" fontId="0" fillId="0" borderId="53" xfId="0" applyBorder="1"/>
    <xf numFmtId="164" fontId="2" fillId="0" borderId="17" xfId="6" applyFont="1" applyBorder="1" applyAlignment="1">
      <alignment horizontal="center" vertical="top"/>
    </xf>
    <xf numFmtId="0" fontId="2" fillId="0" borderId="0" xfId="0" applyFont="1" applyAlignment="1">
      <alignment horizontal="center"/>
    </xf>
    <xf numFmtId="164" fontId="2" fillId="0" borderId="8" xfId="6" applyFont="1" applyBorder="1" applyAlignment="1">
      <alignment horizontal="center" vertical="top"/>
    </xf>
    <xf numFmtId="164" fontId="2" fillId="0" borderId="17" xfId="6" applyFont="1" applyBorder="1" applyAlignment="1">
      <alignment horizontal="center" vertical="center" wrapText="1"/>
    </xf>
    <xf numFmtId="164" fontId="2" fillId="0" borderId="17" xfId="6" applyFont="1" applyBorder="1" applyAlignment="1">
      <alignment horizontal="center"/>
    </xf>
    <xf numFmtId="164" fontId="2" fillId="0" borderId="8" xfId="6" applyFont="1" applyBorder="1" applyAlignment="1">
      <alignment horizontal="center"/>
    </xf>
    <xf numFmtId="164" fontId="2" fillId="3" borderId="8" xfId="6" applyFont="1" applyFill="1" applyBorder="1" applyAlignment="1">
      <alignment horizontal="center"/>
    </xf>
    <xf numFmtId="164" fontId="2" fillId="0" borderId="9" xfId="6" applyFont="1" applyBorder="1" applyAlignment="1">
      <alignment horizontal="center"/>
    </xf>
    <xf numFmtId="171" fontId="18" fillId="0" borderId="20" xfId="3" applyNumberFormat="1" applyFont="1" applyFill="1" applyBorder="1" applyAlignment="1">
      <alignment horizontal="right" vertical="center"/>
    </xf>
    <xf numFmtId="167" fontId="28" fillId="0" borderId="17" xfId="8" applyNumberFormat="1" applyFont="1" applyFill="1" applyBorder="1" applyAlignment="1">
      <alignment horizontal="right" vertical="center"/>
    </xf>
    <xf numFmtId="167" fontId="18" fillId="0" borderId="0" xfId="34" applyNumberFormat="1" applyFont="1" applyFill="1" applyAlignment="1">
      <alignment horizontal="right" vertical="center"/>
    </xf>
    <xf numFmtId="0" fontId="0" fillId="3" borderId="18" xfId="0" applyFill="1" applyBorder="1"/>
    <xf numFmtId="164" fontId="4" fillId="0" borderId="17" xfId="6" applyFont="1" applyFill="1" applyBorder="1" applyAlignment="1">
      <alignment horizontal="center" vertical="top"/>
    </xf>
    <xf numFmtId="172" fontId="18" fillId="3" borderId="20" xfId="3" applyNumberFormat="1" applyFont="1" applyFill="1" applyBorder="1" applyAlignment="1">
      <alignment horizontal="right" vertical="center"/>
    </xf>
    <xf numFmtId="167" fontId="18" fillId="3" borderId="25" xfId="3" applyNumberFormat="1" applyFont="1" applyFill="1" applyBorder="1" applyAlignment="1">
      <alignment horizontal="right" vertical="center"/>
    </xf>
    <xf numFmtId="170" fontId="18" fillId="0" borderId="25" xfId="0" applyNumberFormat="1" applyFont="1" applyFill="1" applyBorder="1" applyAlignment="1">
      <alignment horizontal="right"/>
    </xf>
    <xf numFmtId="170" fontId="18" fillId="0" borderId="26" xfId="0" applyNumberFormat="1" applyFont="1" applyFill="1" applyBorder="1" applyAlignment="1">
      <alignment horizontal="right"/>
    </xf>
    <xf numFmtId="170" fontId="18" fillId="0" borderId="26" xfId="3" applyNumberFormat="1" applyFont="1" applyFill="1" applyBorder="1" applyAlignment="1">
      <alignment horizontal="right" vertical="center"/>
    </xf>
    <xf numFmtId="167" fontId="19" fillId="0" borderId="19" xfId="3" applyNumberFormat="1" applyFont="1" applyFill="1" applyBorder="1" applyAlignment="1">
      <alignment horizontal="right" vertical="center"/>
    </xf>
    <xf numFmtId="164" fontId="18" fillId="0" borderId="17" xfId="6" applyFont="1" applyFill="1" applyBorder="1" applyAlignment="1">
      <alignment horizontal="center" vertical="top"/>
    </xf>
    <xf numFmtId="167" fontId="0" fillId="0" borderId="2" xfId="0" applyNumberFormat="1" applyFill="1" applyBorder="1"/>
    <xf numFmtId="0" fontId="0" fillId="0" borderId="17" xfId="0" applyFill="1" applyBorder="1"/>
    <xf numFmtId="0" fontId="18" fillId="3" borderId="18" xfId="0" applyFont="1" applyFill="1" applyBorder="1" applyAlignment="1">
      <alignment vertical="center"/>
    </xf>
    <xf numFmtId="0" fontId="18" fillId="3" borderId="19" xfId="0" applyFont="1" applyFill="1" applyBorder="1" applyAlignment="1">
      <alignment vertical="center"/>
    </xf>
    <xf numFmtId="164" fontId="7" fillId="0" borderId="17" xfId="6" applyFont="1" applyFill="1" applyBorder="1" applyAlignment="1">
      <alignment horizontal="center" vertical="top"/>
    </xf>
    <xf numFmtId="167" fontId="19" fillId="0" borderId="13" xfId="3" applyNumberFormat="1" applyFont="1" applyFill="1" applyBorder="1" applyAlignment="1">
      <alignment horizontal="right" vertical="center"/>
    </xf>
    <xf numFmtId="167" fontId="19" fillId="0" borderId="17" xfId="3" applyNumberFormat="1" applyFont="1" applyFill="1" applyBorder="1" applyAlignment="1">
      <alignment horizontal="right" vertical="center"/>
    </xf>
    <xf numFmtId="168" fontId="19" fillId="0" borderId="13" xfId="1" applyNumberFormat="1" applyFont="1" applyFill="1" applyBorder="1" applyAlignment="1">
      <alignment horizontal="right" vertical="center"/>
    </xf>
    <xf numFmtId="0" fontId="16" fillId="0" borderId="21" xfId="0" applyFont="1" applyFill="1" applyBorder="1"/>
    <xf numFmtId="0" fontId="0" fillId="3" borderId="53" xfId="0" applyFill="1" applyBorder="1"/>
    <xf numFmtId="164" fontId="0" fillId="0" borderId="17" xfId="6" applyFont="1" applyFill="1" applyBorder="1" applyAlignment="1">
      <alignment vertical="center"/>
    </xf>
    <xf numFmtId="164" fontId="2" fillId="0" borderId="20" xfId="6" applyFont="1" applyFill="1" applyBorder="1" applyAlignment="1">
      <alignment horizontal="center" vertical="top"/>
    </xf>
    <xf numFmtId="0" fontId="18" fillId="3" borderId="20" xfId="0" applyFont="1" applyFill="1" applyBorder="1" applyAlignment="1">
      <alignment horizontal="center" vertical="center"/>
    </xf>
    <xf numFmtId="0" fontId="36" fillId="3" borderId="20" xfId="0" applyFont="1" applyFill="1" applyBorder="1"/>
    <xf numFmtId="0" fontId="18" fillId="3" borderId="20" xfId="0" applyFont="1" applyFill="1" applyBorder="1" applyAlignment="1">
      <alignment vertical="center"/>
    </xf>
    <xf numFmtId="168" fontId="18" fillId="3" borderId="20" xfId="1" applyNumberFormat="1" applyFont="1" applyFill="1" applyBorder="1" applyAlignment="1">
      <alignment horizontal="right" vertical="center"/>
    </xf>
    <xf numFmtId="172" fontId="18" fillId="3" borderId="25" xfId="3" applyNumberFormat="1" applyFont="1" applyFill="1" applyBorder="1" applyAlignment="1">
      <alignment horizontal="right" vertical="center"/>
    </xf>
    <xf numFmtId="172" fontId="18" fillId="3" borderId="26" xfId="3" applyNumberFormat="1" applyFont="1" applyFill="1" applyBorder="1" applyAlignment="1">
      <alignment horizontal="right" vertical="center"/>
    </xf>
    <xf numFmtId="168" fontId="18" fillId="3" borderId="19" xfId="1" applyNumberFormat="1" applyFont="1" applyFill="1" applyBorder="1" applyAlignment="1">
      <alignment horizontal="right" vertical="center"/>
    </xf>
    <xf numFmtId="167" fontId="19" fillId="3" borderId="20" xfId="3" applyNumberFormat="1" applyFont="1" applyFill="1" applyBorder="1" applyAlignment="1">
      <alignment horizontal="right" vertical="center"/>
    </xf>
    <xf numFmtId="167" fontId="0" fillId="3" borderId="0" xfId="0" applyNumberFormat="1" applyFill="1"/>
    <xf numFmtId="164" fontId="7" fillId="3" borderId="17" xfId="6" applyFont="1" applyFill="1" applyBorder="1" applyAlignment="1">
      <alignment horizontal="center" vertical="top"/>
    </xf>
    <xf numFmtId="164" fontId="18" fillId="3" borderId="19" xfId="6" applyFont="1" applyFill="1" applyBorder="1" applyAlignment="1">
      <alignment horizontal="right" vertical="center"/>
    </xf>
    <xf numFmtId="0" fontId="18" fillId="3" borderId="17" xfId="0" applyFont="1" applyFill="1" applyBorder="1"/>
    <xf numFmtId="0" fontId="18" fillId="3" borderId="2" xfId="0" applyFont="1" applyFill="1" applyBorder="1" applyAlignment="1">
      <alignment vertical="center"/>
    </xf>
    <xf numFmtId="170" fontId="18" fillId="3" borderId="19" xfId="3" applyNumberFormat="1" applyFont="1" applyFill="1" applyBorder="1" applyAlignment="1">
      <alignment horizontal="right" vertical="center"/>
    </xf>
    <xf numFmtId="174" fontId="18" fillId="3" borderId="19" xfId="3" applyNumberFormat="1" applyFont="1" applyFill="1" applyBorder="1" applyAlignment="1">
      <alignment horizontal="right" vertical="center"/>
    </xf>
    <xf numFmtId="167" fontId="18" fillId="3" borderId="26" xfId="3" applyNumberFormat="1" applyFont="1" applyFill="1" applyBorder="1" applyAlignment="1">
      <alignment horizontal="right" vertical="center"/>
    </xf>
    <xf numFmtId="174" fontId="18" fillId="3" borderId="26" xfId="3" applyNumberFormat="1" applyFont="1" applyFill="1" applyBorder="1" applyAlignment="1">
      <alignment horizontal="right" vertical="center"/>
    </xf>
    <xf numFmtId="0" fontId="0" fillId="3" borderId="2" xfId="0" applyFill="1" applyBorder="1"/>
    <xf numFmtId="167" fontId="18" fillId="3" borderId="19" xfId="8" applyNumberFormat="1" applyFont="1" applyFill="1" applyBorder="1" applyAlignment="1">
      <alignment horizontal="right" vertical="center"/>
    </xf>
    <xf numFmtId="167" fontId="18" fillId="3" borderId="20" xfId="8" applyNumberFormat="1" applyFont="1" applyFill="1" applyBorder="1" applyAlignment="1">
      <alignment horizontal="right" vertical="center"/>
    </xf>
    <xf numFmtId="166" fontId="0" fillId="3" borderId="0" xfId="28" applyNumberFormat="1" applyFont="1" applyFill="1"/>
    <xf numFmtId="167" fontId="18" fillId="3" borderId="2" xfId="0" applyNumberFormat="1" applyFont="1" applyFill="1" applyBorder="1" applyAlignment="1">
      <alignment vertical="center"/>
    </xf>
    <xf numFmtId="167" fontId="18" fillId="3" borderId="19" xfId="34" applyNumberFormat="1" applyFont="1" applyFill="1" applyBorder="1" applyAlignment="1">
      <alignment horizontal="right" vertical="center"/>
    </xf>
    <xf numFmtId="167" fontId="39" fillId="3" borderId="19" xfId="3" applyNumberFormat="1" applyFont="1" applyFill="1" applyBorder="1" applyAlignment="1">
      <alignment horizontal="right" vertical="center"/>
    </xf>
    <xf numFmtId="0" fontId="0" fillId="0" borderId="17" xfId="0" applyBorder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3" fontId="27" fillId="3" borderId="3" xfId="15" applyNumberFormat="1" applyFont="1" applyFill="1" applyBorder="1" applyAlignment="1">
      <alignment horizontal="center" vertical="center" wrapText="1"/>
    </xf>
    <xf numFmtId="3" fontId="27" fillId="3" borderId="9" xfId="15" applyNumberFormat="1" applyFont="1" applyFill="1" applyBorder="1" applyAlignment="1">
      <alignment horizontal="center" vertical="center" wrapText="1"/>
    </xf>
    <xf numFmtId="3" fontId="27" fillId="3" borderId="13" xfId="15" applyNumberFormat="1" applyFont="1" applyFill="1" applyBorder="1" applyAlignment="1">
      <alignment horizontal="center" vertical="center" wrapText="1"/>
    </xf>
    <xf numFmtId="3" fontId="27" fillId="15" borderId="3" xfId="15" applyNumberFormat="1" applyFont="1" applyFill="1" applyBorder="1" applyAlignment="1">
      <alignment horizontal="center" vertical="center" wrapText="1"/>
    </xf>
    <xf numFmtId="3" fontId="27" fillId="15" borderId="9" xfId="15" applyNumberFormat="1" applyFont="1" applyFill="1" applyBorder="1" applyAlignment="1">
      <alignment horizontal="center" vertical="center" wrapText="1"/>
    </xf>
    <xf numFmtId="3" fontId="27" fillId="15" borderId="13" xfId="15" applyNumberFormat="1" applyFont="1" applyFill="1" applyBorder="1" applyAlignment="1">
      <alignment horizontal="center" vertical="center" wrapText="1"/>
    </xf>
    <xf numFmtId="0" fontId="27" fillId="18" borderId="42" xfId="16" applyFont="1" applyFill="1" applyBorder="1" applyAlignment="1">
      <alignment horizontal="center" vertical="center" wrapText="1"/>
    </xf>
    <xf numFmtId="0" fontId="27" fillId="18" borderId="44" xfId="16" applyFont="1" applyFill="1" applyBorder="1" applyAlignment="1">
      <alignment horizontal="center" vertical="center" wrapText="1"/>
    </xf>
    <xf numFmtId="0" fontId="0" fillId="18" borderId="36" xfId="0" applyFill="1" applyBorder="1" applyAlignment="1">
      <alignment horizontal="center" vertical="center" wrapText="1"/>
    </xf>
    <xf numFmtId="0" fontId="0" fillId="18" borderId="41" xfId="0" applyFill="1" applyBorder="1" applyAlignment="1">
      <alignment horizontal="center" vertical="center" wrapText="1"/>
    </xf>
    <xf numFmtId="0" fontId="0" fillId="18" borderId="49" xfId="0" applyFill="1" applyBorder="1" applyAlignment="1">
      <alignment horizontal="center" vertical="center" wrapText="1"/>
    </xf>
    <xf numFmtId="0" fontId="5" fillId="0" borderId="43" xfId="0" quotePrefix="1" applyFont="1" applyBorder="1" applyAlignment="1">
      <alignment horizontal="center" vertical="center" wrapText="1"/>
    </xf>
    <xf numFmtId="0" fontId="5" fillId="0" borderId="48" xfId="0" quotePrefix="1" applyFont="1" applyBorder="1" applyAlignment="1">
      <alignment horizontal="center" vertical="center" wrapText="1"/>
    </xf>
    <xf numFmtId="0" fontId="0" fillId="0" borderId="17" xfId="0" applyBorder="1" applyAlignment="1">
      <alignment horizontal="center"/>
    </xf>
    <xf numFmtId="3" fontId="27" fillId="14" borderId="3" xfId="15" applyNumberFormat="1" applyFont="1" applyFill="1" applyBorder="1" applyAlignment="1">
      <alignment horizontal="center" vertical="center" wrapText="1"/>
    </xf>
    <xf numFmtId="3" fontId="27" fillId="14" borderId="9" xfId="15" applyNumberFormat="1" applyFont="1" applyFill="1" applyBorder="1" applyAlignment="1">
      <alignment horizontal="center" vertical="center" wrapText="1"/>
    </xf>
    <xf numFmtId="3" fontId="27" fillId="14" borderId="13" xfId="15" applyNumberFormat="1" applyFont="1" applyFill="1" applyBorder="1" applyAlignment="1">
      <alignment horizontal="center" vertical="center" wrapText="1"/>
    </xf>
    <xf numFmtId="3" fontId="27" fillId="17" borderId="3" xfId="15" applyNumberFormat="1" applyFont="1" applyFill="1" applyBorder="1" applyAlignment="1">
      <alignment horizontal="center" vertical="center" wrapText="1"/>
    </xf>
    <xf numFmtId="3" fontId="27" fillId="17" borderId="9" xfId="15" applyNumberFormat="1" applyFont="1" applyFill="1" applyBorder="1" applyAlignment="1">
      <alignment horizontal="center" vertical="center" wrapText="1"/>
    </xf>
    <xf numFmtId="3" fontId="27" fillId="17" borderId="13" xfId="15" applyNumberFormat="1" applyFont="1" applyFill="1" applyBorder="1" applyAlignment="1">
      <alignment horizontal="center" vertical="center" wrapText="1"/>
    </xf>
    <xf numFmtId="3" fontId="27" fillId="16" borderId="3" xfId="15" applyNumberFormat="1" applyFont="1" applyFill="1" applyBorder="1" applyAlignment="1">
      <alignment horizontal="center" vertical="center" wrapText="1"/>
    </xf>
    <xf numFmtId="3" fontId="27" fillId="16" borderId="9" xfId="15" applyNumberFormat="1" applyFont="1" applyFill="1" applyBorder="1" applyAlignment="1">
      <alignment horizontal="center" vertical="center" wrapText="1"/>
    </xf>
    <xf numFmtId="3" fontId="27" fillId="16" borderId="13" xfId="15" applyNumberFormat="1" applyFont="1" applyFill="1" applyBorder="1" applyAlignment="1">
      <alignment horizontal="center" vertical="center" wrapText="1"/>
    </xf>
    <xf numFmtId="0" fontId="21" fillId="3" borderId="3" xfId="0" applyFont="1" applyFill="1" applyBorder="1" applyAlignment="1">
      <alignment horizontal="center" wrapText="1"/>
    </xf>
    <xf numFmtId="0" fontId="21" fillId="3" borderId="9" xfId="0" applyFont="1" applyFill="1" applyBorder="1" applyAlignment="1">
      <alignment horizontal="center" wrapText="1"/>
    </xf>
    <xf numFmtId="0" fontId="21" fillId="3" borderId="13" xfId="0" applyFont="1" applyFill="1" applyBorder="1" applyAlignment="1">
      <alignment horizontal="center" wrapText="1"/>
    </xf>
    <xf numFmtId="0" fontId="0" fillId="0" borderId="3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21" fillId="19" borderId="36" xfId="0" applyFont="1" applyFill="1" applyBorder="1" applyAlignment="1">
      <alignment horizontal="center" vertical="center" wrapText="1"/>
    </xf>
    <xf numFmtId="0" fontId="21" fillId="19" borderId="41" xfId="0" applyFont="1" applyFill="1" applyBorder="1" applyAlignment="1">
      <alignment horizontal="center" vertical="center" wrapText="1"/>
    </xf>
    <xf numFmtId="177" fontId="34" fillId="16" borderId="29" xfId="15" applyNumberFormat="1" applyFont="1" applyFill="1" applyBorder="1" applyAlignment="1">
      <alignment horizontal="center" vertical="center"/>
    </xf>
    <xf numFmtId="177" fontId="34" fillId="16" borderId="30" xfId="15" applyNumberFormat="1" applyFont="1" applyFill="1" applyBorder="1" applyAlignment="1">
      <alignment horizontal="center" vertical="center"/>
    </xf>
    <xf numFmtId="177" fontId="34" fillId="16" borderId="31" xfId="15" applyNumberFormat="1" applyFont="1" applyFill="1" applyBorder="1" applyAlignment="1">
      <alignment horizontal="center" vertical="center"/>
    </xf>
    <xf numFmtId="0" fontId="21" fillId="17" borderId="29" xfId="0" applyFont="1" applyFill="1" applyBorder="1" applyAlignment="1">
      <alignment horizontal="center" vertical="center"/>
    </xf>
    <xf numFmtId="0" fontId="21" fillId="17" borderId="30" xfId="0" applyFont="1" applyFill="1" applyBorder="1" applyAlignment="1">
      <alignment horizontal="center" vertical="center"/>
    </xf>
    <xf numFmtId="0" fontId="21" fillId="17" borderId="32" xfId="0" applyFont="1" applyFill="1" applyBorder="1" applyAlignment="1">
      <alignment horizontal="center" vertical="center"/>
    </xf>
    <xf numFmtId="0" fontId="34" fillId="18" borderId="33" xfId="16" applyFont="1" applyFill="1" applyBorder="1" applyAlignment="1">
      <alignment horizontal="center" vertical="center" wrapText="1"/>
    </xf>
    <xf numFmtId="0" fontId="34" fillId="18" borderId="34" xfId="16" applyFont="1" applyFill="1" applyBorder="1" applyAlignment="1">
      <alignment horizontal="center" vertical="center" wrapText="1"/>
    </xf>
    <xf numFmtId="0" fontId="34" fillId="18" borderId="35" xfId="16" applyFont="1" applyFill="1" applyBorder="1" applyAlignment="1">
      <alignment horizontal="center" vertical="center" wrapText="1"/>
    </xf>
    <xf numFmtId="0" fontId="34" fillId="18" borderId="37" xfId="16" applyFont="1" applyFill="1" applyBorder="1" applyAlignment="1">
      <alignment horizontal="center" vertical="center" wrapText="1"/>
    </xf>
    <xf numFmtId="0" fontId="34" fillId="18" borderId="0" xfId="16" applyFont="1" applyFill="1" applyAlignment="1">
      <alignment horizontal="center" vertical="center" wrapText="1"/>
    </xf>
    <xf numFmtId="0" fontId="34" fillId="18" borderId="38" xfId="16" applyFont="1" applyFill="1" applyBorder="1" applyAlignment="1">
      <alignment horizontal="center" vertical="center" wrapText="1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27" fillId="18" borderId="43" xfId="16" applyFont="1" applyFill="1" applyBorder="1" applyAlignment="1">
      <alignment horizontal="center" vertical="center" wrapText="1"/>
    </xf>
    <xf numFmtId="0" fontId="27" fillId="18" borderId="45" xfId="16" applyFont="1" applyFill="1" applyBorder="1" applyAlignment="1">
      <alignment horizontal="center" vertical="center" wrapText="1"/>
    </xf>
    <xf numFmtId="0" fontId="5" fillId="0" borderId="42" xfId="0" quotePrefix="1" applyFont="1" applyBorder="1" applyAlignment="1">
      <alignment horizontal="center" vertical="center" wrapText="1"/>
    </xf>
    <xf numFmtId="0" fontId="5" fillId="0" borderId="46" xfId="0" quotePrefix="1" applyFont="1" applyBorder="1" applyAlignment="1">
      <alignment horizontal="center" vertical="center" wrapText="1"/>
    </xf>
    <xf numFmtId="0" fontId="5" fillId="0" borderId="3" xfId="0" quotePrefix="1" applyFont="1" applyBorder="1" applyAlignment="1">
      <alignment horizontal="center" vertical="center" wrapText="1"/>
    </xf>
    <xf numFmtId="0" fontId="5" fillId="0" borderId="47" xfId="0" quotePrefix="1" applyFont="1" applyBorder="1" applyAlignment="1">
      <alignment horizontal="center" vertical="center" wrapText="1"/>
    </xf>
    <xf numFmtId="3" fontId="27" fillId="10" borderId="17" xfId="15" applyNumberFormat="1" applyFont="1" applyFill="1" applyBorder="1" applyAlignment="1">
      <alignment horizontal="center" vertical="center" wrapText="1"/>
    </xf>
    <xf numFmtId="0" fontId="0" fillId="7" borderId="17" xfId="0" applyFill="1" applyBorder="1" applyAlignment="1">
      <alignment horizontal="center" vertical="center" wrapText="1"/>
    </xf>
    <xf numFmtId="0" fontId="21" fillId="10" borderId="3" xfId="0" applyFont="1" applyFill="1" applyBorder="1" applyAlignment="1">
      <alignment horizontal="center" vertical="center" wrapText="1"/>
    </xf>
    <xf numFmtId="0" fontId="21" fillId="10" borderId="9" xfId="0" applyFont="1" applyFill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 wrapText="1"/>
    </xf>
    <xf numFmtId="0" fontId="0" fillId="6" borderId="17" xfId="0" applyFill="1" applyBorder="1" applyAlignment="1">
      <alignment horizontal="center" vertical="center" wrapText="1"/>
    </xf>
    <xf numFmtId="0" fontId="21" fillId="10" borderId="13" xfId="0" applyFont="1" applyFill="1" applyBorder="1" applyAlignment="1">
      <alignment horizontal="center" vertical="center" wrapText="1"/>
    </xf>
    <xf numFmtId="0" fontId="27" fillId="0" borderId="7" xfId="0" applyFont="1" applyBorder="1" applyAlignment="1">
      <alignment horizontal="center"/>
    </xf>
    <xf numFmtId="0" fontId="27" fillId="0" borderId="12" xfId="0" applyFont="1" applyBorder="1" applyAlignment="1">
      <alignment horizontal="center"/>
    </xf>
    <xf numFmtId="0" fontId="27" fillId="0" borderId="8" xfId="0" applyFont="1" applyBorder="1" applyAlignment="1">
      <alignment horizontal="center"/>
    </xf>
    <xf numFmtId="0" fontId="27" fillId="0" borderId="4" xfId="0" applyFont="1" applyBorder="1" applyAlignment="1">
      <alignment horizontal="center" vertical="center" wrapText="1"/>
    </xf>
    <xf numFmtId="0" fontId="27" fillId="0" borderId="5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 wrapText="1"/>
    </xf>
    <xf numFmtId="0" fontId="27" fillId="0" borderId="14" xfId="0" applyFont="1" applyBorder="1" applyAlignment="1">
      <alignment horizontal="center" vertical="center" wrapText="1"/>
    </xf>
    <xf numFmtId="0" fontId="27" fillId="0" borderId="15" xfId="0" applyFont="1" applyBorder="1" applyAlignment="1">
      <alignment horizontal="center" vertical="center" wrapText="1"/>
    </xf>
    <xf numFmtId="0" fontId="27" fillId="0" borderId="16" xfId="0" applyFont="1" applyBorder="1" applyAlignment="1">
      <alignment horizontal="center" vertical="center" wrapText="1"/>
    </xf>
    <xf numFmtId="0" fontId="21" fillId="0" borderId="3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8" fillId="2" borderId="3" xfId="0" applyFont="1" applyFill="1" applyBorder="1" applyAlignment="1">
      <alignment horizontal="center" vertical="center" wrapText="1"/>
    </xf>
    <xf numFmtId="0" fontId="18" fillId="2" borderId="9" xfId="0" applyFont="1" applyFill="1" applyBorder="1" applyAlignment="1">
      <alignment horizontal="center" vertical="center" wrapText="1"/>
    </xf>
    <xf numFmtId="0" fontId="18" fillId="2" borderId="13" xfId="0" applyFont="1" applyFill="1" applyBorder="1" applyAlignment="1">
      <alignment horizontal="center" vertical="center" wrapText="1"/>
    </xf>
    <xf numFmtId="0" fontId="21" fillId="10" borderId="7" xfId="0" applyFont="1" applyFill="1" applyBorder="1" applyAlignment="1">
      <alignment horizontal="center" vertical="center" wrapText="1"/>
    </xf>
    <xf numFmtId="0" fontId="21" fillId="10" borderId="12" xfId="0" applyFont="1" applyFill="1" applyBorder="1" applyAlignment="1">
      <alignment horizontal="center" vertical="center" wrapText="1"/>
    </xf>
    <xf numFmtId="0" fontId="21" fillId="10" borderId="8" xfId="0" applyFont="1" applyFill="1" applyBorder="1" applyAlignment="1">
      <alignment horizontal="center" vertical="center" wrapText="1"/>
    </xf>
    <xf numFmtId="0" fontId="19" fillId="10" borderId="17" xfId="7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19" fillId="3" borderId="4" xfId="0" applyFont="1" applyFill="1" applyBorder="1" applyAlignment="1">
      <alignment horizontal="center" vertical="center" wrapText="1"/>
    </xf>
    <xf numFmtId="0" fontId="19" fillId="3" borderId="5" xfId="0" applyFont="1" applyFill="1" applyBorder="1" applyAlignment="1">
      <alignment horizontal="center" vertical="center" wrapText="1"/>
    </xf>
    <xf numFmtId="0" fontId="19" fillId="3" borderId="6" xfId="0" applyFont="1" applyFill="1" applyBorder="1" applyAlignment="1">
      <alignment horizontal="center" vertical="center" wrapText="1"/>
    </xf>
    <xf numFmtId="0" fontId="19" fillId="3" borderId="14" xfId="0" applyFont="1" applyFill="1" applyBorder="1" applyAlignment="1">
      <alignment horizontal="center" vertical="center" wrapText="1"/>
    </xf>
    <xf numFmtId="0" fontId="19" fillId="3" borderId="15" xfId="0" applyFont="1" applyFill="1" applyBorder="1" applyAlignment="1">
      <alignment horizontal="center" vertical="center" wrapText="1"/>
    </xf>
    <xf numFmtId="0" fontId="19" fillId="3" borderId="16" xfId="0" applyFont="1" applyFill="1" applyBorder="1" applyAlignment="1">
      <alignment horizontal="center" vertical="center" wrapText="1"/>
    </xf>
    <xf numFmtId="0" fontId="19" fillId="6" borderId="7" xfId="0" applyFont="1" applyFill="1" applyBorder="1" applyAlignment="1">
      <alignment horizontal="center" vertical="center" wrapText="1"/>
    </xf>
    <xf numFmtId="0" fontId="19" fillId="6" borderId="12" xfId="0" applyFont="1" applyFill="1" applyBorder="1" applyAlignment="1">
      <alignment horizontal="center" vertical="center" wrapText="1"/>
    </xf>
    <xf numFmtId="0" fontId="19" fillId="6" borderId="8" xfId="0" applyFont="1" applyFill="1" applyBorder="1" applyAlignment="1">
      <alignment horizontal="center" vertical="center" wrapText="1"/>
    </xf>
    <xf numFmtId="0" fontId="19" fillId="6" borderId="4" xfId="0" applyFont="1" applyFill="1" applyBorder="1" applyAlignment="1">
      <alignment horizontal="center" vertical="center" wrapText="1"/>
    </xf>
    <xf numFmtId="0" fontId="19" fillId="6" borderId="5" xfId="0" applyFont="1" applyFill="1" applyBorder="1" applyAlignment="1">
      <alignment horizontal="center" vertical="center" wrapText="1"/>
    </xf>
    <xf numFmtId="0" fontId="19" fillId="6" borderId="6" xfId="0" applyFont="1" applyFill="1" applyBorder="1" applyAlignment="1">
      <alignment horizontal="center" vertical="center" wrapText="1"/>
    </xf>
    <xf numFmtId="0" fontId="19" fillId="6" borderId="10" xfId="0" applyFont="1" applyFill="1" applyBorder="1" applyAlignment="1">
      <alignment horizontal="center" vertical="center" wrapText="1"/>
    </xf>
    <xf numFmtId="0" fontId="19" fillId="6" borderId="0" xfId="0" applyFont="1" applyFill="1" applyAlignment="1">
      <alignment horizontal="center" vertical="center" wrapText="1"/>
    </xf>
    <xf numFmtId="0" fontId="19" fillId="6" borderId="11" xfId="0" applyFont="1" applyFill="1" applyBorder="1" applyAlignment="1">
      <alignment horizontal="center" vertical="center" wrapText="1"/>
    </xf>
    <xf numFmtId="0" fontId="19" fillId="6" borderId="14" xfId="0" applyFont="1" applyFill="1" applyBorder="1" applyAlignment="1">
      <alignment horizontal="center" vertical="center" wrapText="1"/>
    </xf>
    <xf numFmtId="0" fontId="19" fillId="6" borderId="15" xfId="0" applyFont="1" applyFill="1" applyBorder="1" applyAlignment="1">
      <alignment horizontal="center" vertical="center" wrapText="1"/>
    </xf>
    <xf numFmtId="0" fontId="19" fillId="6" borderId="16" xfId="0" applyFont="1" applyFill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19" fillId="0" borderId="5" xfId="0" applyFont="1" applyBorder="1" applyAlignment="1">
      <alignment horizontal="center" vertical="center" wrapText="1"/>
    </xf>
    <xf numFmtId="0" fontId="19" fillId="0" borderId="6" xfId="0" applyFont="1" applyBorder="1" applyAlignment="1">
      <alignment horizontal="center" vertical="center" wrapText="1"/>
    </xf>
    <xf numFmtId="0" fontId="19" fillId="0" borderId="14" xfId="0" applyFont="1" applyBorder="1" applyAlignment="1">
      <alignment horizontal="center" vertical="center" wrapText="1"/>
    </xf>
    <xf numFmtId="0" fontId="19" fillId="0" borderId="16" xfId="0" applyFont="1" applyBorder="1" applyAlignment="1">
      <alignment horizontal="center" vertical="center" wrapText="1"/>
    </xf>
    <xf numFmtId="0" fontId="19" fillId="3" borderId="3" xfId="0" applyFont="1" applyFill="1" applyBorder="1" applyAlignment="1">
      <alignment horizontal="center" vertical="center"/>
    </xf>
    <xf numFmtId="0" fontId="19" fillId="3" borderId="9" xfId="0" applyFont="1" applyFill="1" applyBorder="1" applyAlignment="1">
      <alignment horizontal="center" vertical="center"/>
    </xf>
    <xf numFmtId="0" fontId="19" fillId="3" borderId="13" xfId="0" applyFont="1" applyFill="1" applyBorder="1" applyAlignment="1">
      <alignment horizontal="center" vertical="center"/>
    </xf>
    <xf numFmtId="41" fontId="19" fillId="3" borderId="6" xfId="5" applyFont="1" applyFill="1" applyBorder="1" applyAlignment="1">
      <alignment horizontal="center" vertical="center" wrapText="1"/>
    </xf>
    <xf numFmtId="41" fontId="19" fillId="3" borderId="11" xfId="5" applyFont="1" applyFill="1" applyBorder="1" applyAlignment="1">
      <alignment horizontal="center" vertical="center" wrapText="1"/>
    </xf>
    <xf numFmtId="41" fontId="19" fillId="3" borderId="16" xfId="5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0" fontId="19" fillId="0" borderId="3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41" fontId="19" fillId="0" borderId="6" xfId="2" applyFont="1" applyBorder="1" applyAlignment="1">
      <alignment horizontal="center" vertical="center" wrapText="1"/>
    </xf>
    <xf numFmtId="41" fontId="19" fillId="0" borderId="11" xfId="2" applyFont="1" applyBorder="1" applyAlignment="1">
      <alignment horizontal="center" vertical="center" wrapText="1"/>
    </xf>
    <xf numFmtId="41" fontId="19" fillId="0" borderId="16" xfId="2" applyFont="1" applyBorder="1" applyAlignment="1">
      <alignment horizontal="center" vertical="center" wrapText="1"/>
    </xf>
    <xf numFmtId="0" fontId="21" fillId="3" borderId="17" xfId="0" applyFont="1" applyFill="1" applyBorder="1" applyAlignment="1">
      <alignment horizontal="center"/>
    </xf>
    <xf numFmtId="0" fontId="23" fillId="8" borderId="3" xfId="0" applyFont="1" applyFill="1" applyBorder="1" applyAlignment="1">
      <alignment horizontal="center" vertical="center" wrapText="1"/>
    </xf>
    <xf numFmtId="0" fontId="23" fillId="8" borderId="9" xfId="0" applyFont="1" applyFill="1" applyBorder="1" applyAlignment="1">
      <alignment horizontal="center" vertical="center" wrapText="1"/>
    </xf>
    <xf numFmtId="0" fontId="23" fillId="8" borderId="13" xfId="0" applyFont="1" applyFill="1" applyBorder="1" applyAlignment="1">
      <alignment horizontal="center" vertical="center" wrapText="1"/>
    </xf>
    <xf numFmtId="0" fontId="0" fillId="3" borderId="17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6" borderId="17" xfId="0" applyFill="1" applyBorder="1" applyAlignment="1">
      <alignment horizontal="center" wrapText="1"/>
    </xf>
    <xf numFmtId="41" fontId="24" fillId="9" borderId="6" xfId="5" applyFont="1" applyFill="1" applyBorder="1" applyAlignment="1">
      <alignment horizontal="center" vertical="center" wrapText="1"/>
    </xf>
    <xf numFmtId="41" fontId="24" fillId="9" borderId="11" xfId="5" applyFont="1" applyFill="1" applyBorder="1" applyAlignment="1">
      <alignment horizontal="center" vertical="center" wrapText="1"/>
    </xf>
    <xf numFmtId="41" fontId="24" fillId="9" borderId="16" xfId="5" applyFont="1" applyFill="1" applyBorder="1" applyAlignment="1">
      <alignment horizontal="center" vertical="center" wrapText="1"/>
    </xf>
    <xf numFmtId="0" fontId="18" fillId="2" borderId="3" xfId="0" applyFont="1" applyFill="1" applyBorder="1" applyAlignment="1">
      <alignment horizontal="center" vertical="center"/>
    </xf>
    <xf numFmtId="0" fontId="18" fillId="2" borderId="9" xfId="0" applyFont="1" applyFill="1" applyBorder="1" applyAlignment="1">
      <alignment horizontal="center" vertical="center"/>
    </xf>
    <xf numFmtId="0" fontId="18" fillId="2" borderId="13" xfId="0" applyFont="1" applyFill="1" applyBorder="1" applyAlignment="1">
      <alignment horizontal="center" vertical="center"/>
    </xf>
    <xf numFmtId="0" fontId="19" fillId="2" borderId="5" xfId="0" applyFont="1" applyFill="1" applyBorder="1" applyAlignment="1">
      <alignment horizontal="center" vertical="center" wrapText="1"/>
    </xf>
    <xf numFmtId="0" fontId="19" fillId="2" borderId="6" xfId="0" applyFont="1" applyFill="1" applyBorder="1" applyAlignment="1">
      <alignment horizontal="center" vertical="center" wrapText="1"/>
    </xf>
    <xf numFmtId="0" fontId="19" fillId="2" borderId="0" xfId="0" applyFont="1" applyFill="1" applyAlignment="1">
      <alignment horizontal="center" vertical="center" wrapText="1"/>
    </xf>
    <xf numFmtId="0" fontId="19" fillId="2" borderId="11" xfId="0" applyFont="1" applyFill="1" applyBorder="1" applyAlignment="1">
      <alignment horizontal="center" vertical="center" wrapText="1"/>
    </xf>
    <xf numFmtId="41" fontId="19" fillId="3" borderId="6" xfId="2" applyFont="1" applyFill="1" applyBorder="1" applyAlignment="1">
      <alignment horizontal="center" vertical="center" wrapText="1"/>
    </xf>
    <xf numFmtId="41" fontId="19" fillId="3" borderId="11" xfId="2" applyFont="1" applyFill="1" applyBorder="1" applyAlignment="1">
      <alignment horizontal="center" vertical="center" wrapText="1"/>
    </xf>
    <xf numFmtId="41" fontId="19" fillId="3" borderId="16" xfId="2" applyFont="1" applyFill="1" applyBorder="1" applyAlignment="1">
      <alignment horizontal="center" vertical="center" wrapText="1"/>
    </xf>
    <xf numFmtId="0" fontId="19" fillId="2" borderId="4" xfId="0" applyFont="1" applyFill="1" applyBorder="1" applyAlignment="1">
      <alignment horizontal="center" vertical="center" wrapText="1"/>
    </xf>
    <xf numFmtId="0" fontId="19" fillId="2" borderId="14" xfId="0" applyFont="1" applyFill="1" applyBorder="1" applyAlignment="1">
      <alignment horizontal="center" vertical="center" wrapText="1"/>
    </xf>
    <xf numFmtId="0" fontId="19" fillId="2" borderId="15" xfId="0" applyFont="1" applyFill="1" applyBorder="1" applyAlignment="1">
      <alignment horizontal="center" vertical="center" wrapText="1"/>
    </xf>
    <xf numFmtId="0" fontId="19" fillId="2" borderId="16" xfId="0" applyFont="1" applyFill="1" applyBorder="1" applyAlignment="1">
      <alignment horizontal="center" vertical="center" wrapText="1"/>
    </xf>
    <xf numFmtId="0" fontId="19" fillId="2" borderId="3" xfId="0" applyFont="1" applyFill="1" applyBorder="1" applyAlignment="1">
      <alignment horizontal="center" vertical="center" wrapText="1"/>
    </xf>
    <xf numFmtId="0" fontId="19" fillId="2" borderId="9" xfId="0" applyFont="1" applyFill="1" applyBorder="1" applyAlignment="1">
      <alignment horizontal="center" vertical="center" wrapText="1"/>
    </xf>
    <xf numFmtId="0" fontId="19" fillId="2" borderId="13" xfId="0" applyFont="1" applyFill="1" applyBorder="1" applyAlignment="1">
      <alignment horizontal="center" vertical="center" wrapText="1"/>
    </xf>
    <xf numFmtId="0" fontId="19" fillId="2" borderId="7" xfId="0" applyFont="1" applyFill="1" applyBorder="1" applyAlignment="1">
      <alignment horizontal="center" vertical="center" wrapText="1"/>
    </xf>
    <xf numFmtId="0" fontId="19" fillId="2" borderId="12" xfId="0" applyFont="1" applyFill="1" applyBorder="1" applyAlignment="1">
      <alignment horizontal="center" vertical="center" wrapText="1"/>
    </xf>
    <xf numFmtId="0" fontId="19" fillId="2" borderId="8" xfId="0" applyFont="1" applyFill="1" applyBorder="1" applyAlignment="1">
      <alignment horizontal="center" vertical="center" wrapText="1"/>
    </xf>
    <xf numFmtId="0" fontId="19" fillId="2" borderId="7" xfId="0" applyFont="1" applyFill="1" applyBorder="1" applyAlignment="1">
      <alignment horizontal="center"/>
    </xf>
    <xf numFmtId="0" fontId="19" fillId="2" borderId="12" xfId="0" applyFont="1" applyFill="1" applyBorder="1" applyAlignment="1">
      <alignment horizontal="center"/>
    </xf>
    <xf numFmtId="0" fontId="19" fillId="2" borderId="8" xfId="0" applyFont="1" applyFill="1" applyBorder="1" applyAlignment="1">
      <alignment horizontal="center"/>
    </xf>
    <xf numFmtId="0" fontId="19" fillId="6" borderId="3" xfId="0" applyFont="1" applyFill="1" applyBorder="1" applyAlignment="1">
      <alignment horizontal="center" vertical="center" wrapText="1"/>
    </xf>
    <xf numFmtId="0" fontId="19" fillId="6" borderId="9" xfId="0" applyFont="1" applyFill="1" applyBorder="1" applyAlignment="1">
      <alignment horizontal="center" vertical="center" wrapText="1"/>
    </xf>
    <xf numFmtId="0" fontId="19" fillId="6" borderId="13" xfId="0" applyFont="1" applyFill="1" applyBorder="1" applyAlignment="1">
      <alignment horizontal="center" vertical="center" wrapText="1"/>
    </xf>
    <xf numFmtId="14" fontId="25" fillId="3" borderId="15" xfId="0" applyNumberFormat="1" applyFont="1" applyFill="1" applyBorder="1" applyAlignment="1">
      <alignment horizontal="center" vertical="center"/>
    </xf>
    <xf numFmtId="0" fontId="25" fillId="3" borderId="15" xfId="0" applyFont="1" applyFill="1" applyBorder="1" applyAlignment="1">
      <alignment horizontal="center" vertical="center"/>
    </xf>
    <xf numFmtId="0" fontId="19" fillId="10" borderId="7" xfId="7" applyFont="1" applyFill="1" applyBorder="1" applyAlignment="1">
      <alignment horizontal="center" vertical="center" wrapText="1"/>
    </xf>
    <xf numFmtId="0" fontId="19" fillId="10" borderId="12" xfId="7" applyFont="1" applyFill="1" applyBorder="1" applyAlignment="1">
      <alignment horizontal="center" vertical="center" wrapText="1"/>
    </xf>
    <xf numFmtId="0" fontId="19" fillId="10" borderId="8" xfId="7" applyFont="1" applyFill="1" applyBorder="1" applyAlignment="1">
      <alignment horizontal="center" vertical="center" wrapText="1"/>
    </xf>
    <xf numFmtId="0" fontId="19" fillId="10" borderId="3" xfId="7" applyFont="1" applyFill="1" applyBorder="1" applyAlignment="1">
      <alignment horizontal="center" vertical="center" wrapText="1"/>
    </xf>
    <xf numFmtId="0" fontId="19" fillId="10" borderId="9" xfId="7" applyFont="1" applyFill="1" applyBorder="1" applyAlignment="1">
      <alignment horizontal="center" vertical="center" wrapText="1"/>
    </xf>
    <xf numFmtId="0" fontId="19" fillId="10" borderId="13" xfId="7" applyFont="1" applyFill="1" applyBorder="1" applyAlignment="1">
      <alignment horizontal="center" vertical="center" wrapText="1"/>
    </xf>
    <xf numFmtId="0" fontId="24" fillId="9" borderId="4" xfId="0" applyFont="1" applyFill="1" applyBorder="1" applyAlignment="1">
      <alignment horizontal="center" vertical="center" wrapText="1"/>
    </xf>
    <xf numFmtId="0" fontId="24" fillId="9" borderId="5" xfId="0" applyFont="1" applyFill="1" applyBorder="1" applyAlignment="1">
      <alignment horizontal="center" vertical="center" wrapText="1"/>
    </xf>
    <xf numFmtId="0" fontId="24" fillId="9" borderId="6" xfId="0" applyFont="1" applyFill="1" applyBorder="1" applyAlignment="1">
      <alignment horizontal="center" vertical="center" wrapText="1"/>
    </xf>
    <xf numFmtId="0" fontId="24" fillId="9" borderId="14" xfId="0" applyFont="1" applyFill="1" applyBorder="1" applyAlignment="1">
      <alignment horizontal="center" vertical="center" wrapText="1"/>
    </xf>
    <xf numFmtId="0" fontId="24" fillId="9" borderId="15" xfId="0" applyFont="1" applyFill="1" applyBorder="1" applyAlignment="1">
      <alignment horizontal="center" vertical="center" wrapText="1"/>
    </xf>
    <xf numFmtId="0" fontId="24" fillId="9" borderId="16" xfId="0" applyFont="1" applyFill="1" applyBorder="1" applyAlignment="1">
      <alignment horizontal="center" vertical="center" wrapText="1"/>
    </xf>
    <xf numFmtId="166" fontId="9" fillId="3" borderId="7" xfId="0" applyNumberFormat="1" applyFont="1" applyFill="1" applyBorder="1" applyAlignment="1">
      <alignment horizontal="center"/>
    </xf>
    <xf numFmtId="166" fontId="9" fillId="3" borderId="8" xfId="0" applyNumberFormat="1" applyFont="1" applyFill="1" applyBorder="1" applyAlignment="1">
      <alignment horizontal="center"/>
    </xf>
    <xf numFmtId="0" fontId="18" fillId="2" borderId="4" xfId="0" applyFont="1" applyFill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vertical="center" wrapText="1"/>
    </xf>
    <xf numFmtId="0" fontId="18" fillId="2" borderId="6" xfId="0" applyFont="1" applyFill="1" applyBorder="1" applyAlignment="1">
      <alignment horizontal="center" vertical="center" wrapText="1"/>
    </xf>
    <xf numFmtId="0" fontId="18" fillId="2" borderId="10" xfId="0" applyFont="1" applyFill="1" applyBorder="1" applyAlignment="1">
      <alignment horizontal="center" vertical="center" wrapText="1"/>
    </xf>
    <xf numFmtId="0" fontId="18" fillId="2" borderId="0" xfId="0" applyFont="1" applyFill="1" applyAlignment="1">
      <alignment horizontal="center" vertical="center" wrapText="1"/>
    </xf>
    <xf numFmtId="0" fontId="18" fillId="2" borderId="11" xfId="0" applyFont="1" applyFill="1" applyBorder="1" applyAlignment="1">
      <alignment horizontal="center" vertical="center" wrapText="1"/>
    </xf>
    <xf numFmtId="0" fontId="18" fillId="2" borderId="14" xfId="0" applyFont="1" applyFill="1" applyBorder="1" applyAlignment="1">
      <alignment horizontal="center" vertical="center" wrapText="1"/>
    </xf>
    <xf numFmtId="0" fontId="18" fillId="2" borderId="16" xfId="0" applyFont="1" applyFill="1" applyBorder="1" applyAlignment="1">
      <alignment horizontal="center" vertical="center" wrapText="1"/>
    </xf>
    <xf numFmtId="0" fontId="21" fillId="0" borderId="17" xfId="0" applyFont="1" applyBorder="1" applyAlignment="1">
      <alignment horizontal="center"/>
    </xf>
    <xf numFmtId="0" fontId="24" fillId="9" borderId="3" xfId="0" applyFont="1" applyFill="1" applyBorder="1" applyAlignment="1">
      <alignment horizontal="center" vertical="center"/>
    </xf>
    <xf numFmtId="0" fontId="24" fillId="9" borderId="9" xfId="0" applyFont="1" applyFill="1" applyBorder="1" applyAlignment="1">
      <alignment horizontal="center" vertical="center"/>
    </xf>
    <xf numFmtId="0" fontId="24" fillId="9" borderId="13" xfId="0" applyFont="1" applyFill="1" applyBorder="1" applyAlignment="1">
      <alignment horizontal="center" vertical="center"/>
    </xf>
    <xf numFmtId="0" fontId="21" fillId="10" borderId="17" xfId="0" applyFont="1" applyFill="1" applyBorder="1" applyAlignment="1">
      <alignment horizontal="center" vertical="center" wrapText="1"/>
    </xf>
    <xf numFmtId="0" fontId="31" fillId="0" borderId="3" xfId="0" applyFont="1" applyBorder="1" applyAlignment="1">
      <alignment horizontal="center" vertical="center" wrapText="1"/>
    </xf>
    <xf numFmtId="0" fontId="31" fillId="0" borderId="9" xfId="0" applyFont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13" xfId="0" applyFont="1" applyBorder="1" applyAlignment="1">
      <alignment horizontal="center" vertical="center"/>
    </xf>
    <xf numFmtId="3" fontId="31" fillId="0" borderId="17" xfId="13" applyNumberFormat="1" applyFont="1" applyBorder="1" applyAlignment="1">
      <alignment horizontal="center" vertical="center" wrapText="1"/>
    </xf>
    <xf numFmtId="0" fontId="31" fillId="12" borderId="5" xfId="0" applyFont="1" applyFill="1" applyBorder="1" applyAlignment="1">
      <alignment horizontal="center" vertical="center" wrapText="1"/>
    </xf>
    <xf numFmtId="0" fontId="31" fillId="12" borderId="0" xfId="0" applyFont="1" applyFill="1" applyAlignment="1">
      <alignment horizontal="center" vertical="center" wrapText="1"/>
    </xf>
    <xf numFmtId="0" fontId="31" fillId="12" borderId="15" xfId="0" applyFont="1" applyFill="1" applyBorder="1" applyAlignment="1">
      <alignment horizontal="center" vertical="center" wrapText="1"/>
    </xf>
    <xf numFmtId="0" fontId="0" fillId="13" borderId="17" xfId="0" applyFill="1" applyBorder="1" applyAlignment="1">
      <alignment horizontal="center"/>
    </xf>
    <xf numFmtId="3" fontId="27" fillId="13" borderId="17" xfId="15" applyNumberFormat="1" applyFont="1" applyFill="1" applyBorder="1" applyAlignment="1">
      <alignment horizontal="center" vertical="center" wrapText="1"/>
    </xf>
    <xf numFmtId="0" fontId="0" fillId="13" borderId="17" xfId="0" applyFill="1" applyBorder="1" applyAlignment="1">
      <alignment horizontal="center" vertical="center" wrapText="1"/>
    </xf>
    <xf numFmtId="0" fontId="0" fillId="10" borderId="17" xfId="0" applyFill="1" applyBorder="1" applyAlignment="1">
      <alignment horizontal="center"/>
    </xf>
    <xf numFmtId="0" fontId="0" fillId="14" borderId="17" xfId="0" applyFill="1" applyBorder="1" applyAlignment="1">
      <alignment horizontal="center"/>
    </xf>
    <xf numFmtId="0" fontId="0" fillId="15" borderId="17" xfId="0" applyFill="1" applyBorder="1" applyAlignment="1">
      <alignment horizontal="center"/>
    </xf>
    <xf numFmtId="177" fontId="33" fillId="3" borderId="29" xfId="14" applyNumberFormat="1" applyFont="1" applyFill="1" applyBorder="1" applyAlignment="1">
      <alignment horizontal="center" vertical="center"/>
    </xf>
    <xf numFmtId="177" fontId="33" fillId="3" borderId="30" xfId="14" applyNumberFormat="1" applyFont="1" applyFill="1" applyBorder="1" applyAlignment="1">
      <alignment horizontal="center" vertical="center"/>
    </xf>
    <xf numFmtId="177" fontId="33" fillId="3" borderId="31" xfId="14" applyNumberFormat="1" applyFont="1" applyFill="1" applyBorder="1" applyAlignment="1">
      <alignment horizontal="center" vertical="center"/>
    </xf>
    <xf numFmtId="0" fontId="0" fillId="10" borderId="17" xfId="0" applyFill="1" applyBorder="1" applyAlignment="1">
      <alignment horizontal="center" vertical="center" wrapText="1"/>
    </xf>
    <xf numFmtId="0" fontId="35" fillId="10" borderId="17" xfId="0" applyFont="1" applyFill="1" applyBorder="1" applyAlignment="1">
      <alignment horizontal="center" vertical="center" wrapText="1"/>
    </xf>
    <xf numFmtId="0" fontId="27" fillId="18" borderId="3" xfId="16" applyFont="1" applyFill="1" applyBorder="1" applyAlignment="1">
      <alignment horizontal="center" vertical="center" wrapText="1"/>
    </xf>
    <xf numFmtId="0" fontId="27" fillId="18" borderId="13" xfId="16" applyFont="1" applyFill="1" applyBorder="1" applyAlignment="1">
      <alignment horizontal="center" vertical="center" wrapText="1"/>
    </xf>
    <xf numFmtId="0" fontId="21" fillId="10" borderId="7" xfId="0" applyFont="1" applyFill="1" applyBorder="1" applyAlignment="1">
      <alignment horizontal="center"/>
    </xf>
    <xf numFmtId="0" fontId="21" fillId="10" borderId="12" xfId="0" applyFont="1" applyFill="1" applyBorder="1" applyAlignment="1">
      <alignment horizontal="center"/>
    </xf>
    <xf numFmtId="0" fontId="21" fillId="10" borderId="8" xfId="0" applyFont="1" applyFill="1" applyBorder="1" applyAlignment="1">
      <alignment horizontal="center"/>
    </xf>
    <xf numFmtId="0" fontId="19" fillId="10" borderId="3" xfId="15" applyFont="1" applyFill="1" applyBorder="1" applyAlignment="1">
      <alignment horizontal="center" vertical="center" wrapText="1"/>
    </xf>
    <xf numFmtId="0" fontId="19" fillId="10" borderId="9" xfId="15" applyFont="1" applyFill="1" applyBorder="1" applyAlignment="1">
      <alignment horizontal="center" vertical="center" wrapText="1"/>
    </xf>
    <xf numFmtId="0" fontId="19" fillId="10" borderId="13" xfId="15" applyFont="1" applyFill="1" applyBorder="1" applyAlignment="1">
      <alignment horizontal="center" vertical="center" wrapText="1"/>
    </xf>
    <xf numFmtId="0" fontId="19" fillId="10" borderId="17" xfId="15" applyFont="1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wrapText="1"/>
    </xf>
    <xf numFmtId="0" fontId="0" fillId="5" borderId="3" xfId="0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 wrapText="1"/>
    </xf>
    <xf numFmtId="0" fontId="19" fillId="2" borderId="10" xfId="0" applyFont="1" applyFill="1" applyBorder="1" applyAlignment="1">
      <alignment horizontal="center" vertical="center" wrapText="1"/>
    </xf>
    <xf numFmtId="0" fontId="21" fillId="5" borderId="3" xfId="0" applyFont="1" applyFill="1" applyBorder="1" applyAlignment="1">
      <alignment horizontal="center" vertical="center" wrapText="1"/>
    </xf>
    <xf numFmtId="0" fontId="21" fillId="5" borderId="9" xfId="0" applyFont="1" applyFill="1" applyBorder="1" applyAlignment="1">
      <alignment horizontal="center" vertical="center" wrapText="1"/>
    </xf>
    <xf numFmtId="0" fontId="21" fillId="5" borderId="13" xfId="0" applyFont="1" applyFill="1" applyBorder="1" applyAlignment="1">
      <alignment horizontal="center" vertical="center" wrapText="1"/>
    </xf>
    <xf numFmtId="0" fontId="19" fillId="4" borderId="4" xfId="0" applyFont="1" applyFill="1" applyBorder="1" applyAlignment="1">
      <alignment horizontal="center" vertical="center" wrapText="1"/>
    </xf>
    <xf numFmtId="0" fontId="19" fillId="4" borderId="6" xfId="0" applyFont="1" applyFill="1" applyBorder="1" applyAlignment="1">
      <alignment horizontal="center" vertical="center" wrapText="1"/>
    </xf>
    <xf numFmtId="0" fontId="19" fillId="4" borderId="10" xfId="0" applyFont="1" applyFill="1" applyBorder="1" applyAlignment="1">
      <alignment horizontal="center" vertical="center" wrapText="1"/>
    </xf>
    <xf numFmtId="0" fontId="19" fillId="4" borderId="11" xfId="0" applyFont="1" applyFill="1" applyBorder="1" applyAlignment="1">
      <alignment horizontal="center" vertical="center" wrapText="1"/>
    </xf>
    <xf numFmtId="0" fontId="19" fillId="4" borderId="3" xfId="0" applyFont="1" applyFill="1" applyBorder="1" applyAlignment="1">
      <alignment horizontal="center" vertical="center"/>
    </xf>
    <xf numFmtId="0" fontId="19" fillId="4" borderId="9" xfId="0" applyFont="1" applyFill="1" applyBorder="1" applyAlignment="1">
      <alignment horizontal="center" vertical="center"/>
    </xf>
    <xf numFmtId="0" fontId="19" fillId="4" borderId="13" xfId="0" applyFont="1" applyFill="1" applyBorder="1" applyAlignment="1">
      <alignment horizontal="center" vertical="center"/>
    </xf>
    <xf numFmtId="41" fontId="19" fillId="4" borderId="6" xfId="2" applyFont="1" applyFill="1" applyBorder="1" applyAlignment="1">
      <alignment horizontal="center" vertical="center" wrapText="1"/>
    </xf>
    <xf numFmtId="41" fontId="19" fillId="4" borderId="11" xfId="2" applyFont="1" applyFill="1" applyBorder="1" applyAlignment="1">
      <alignment horizontal="center" vertical="center" wrapText="1"/>
    </xf>
    <xf numFmtId="41" fontId="19" fillId="4" borderId="16" xfId="2" applyFont="1" applyFill="1" applyBorder="1" applyAlignment="1">
      <alignment horizontal="center" vertical="center" wrapText="1"/>
    </xf>
    <xf numFmtId="0" fontId="0" fillId="7" borderId="3" xfId="0" applyFill="1" applyBorder="1" applyAlignment="1">
      <alignment horizontal="center" vertical="center" wrapText="1"/>
    </xf>
    <xf numFmtId="14" fontId="25" fillId="0" borderId="15" xfId="0" applyNumberFormat="1" applyFont="1" applyBorder="1" applyAlignment="1">
      <alignment horizontal="center" vertical="center"/>
    </xf>
    <xf numFmtId="0" fontId="25" fillId="0" borderId="15" xfId="0" applyFont="1" applyBorder="1" applyAlignment="1">
      <alignment horizontal="center" vertical="center"/>
    </xf>
    <xf numFmtId="0" fontId="21" fillId="2" borderId="3" xfId="0" applyFont="1" applyFill="1" applyBorder="1" applyAlignment="1">
      <alignment horizontal="center" vertical="center" wrapText="1"/>
    </xf>
    <xf numFmtId="0" fontId="21" fillId="2" borderId="9" xfId="0" applyFont="1" applyFill="1" applyBorder="1" applyAlignment="1">
      <alignment horizontal="center" vertical="center" wrapText="1"/>
    </xf>
    <xf numFmtId="0" fontId="21" fillId="2" borderId="13" xfId="0" applyFont="1" applyFill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0" fontId="19" fillId="0" borderId="7" xfId="0" applyFont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 wrapText="1"/>
    </xf>
    <xf numFmtId="0" fontId="19" fillId="0" borderId="8" xfId="0" applyFont="1" applyBorder="1" applyAlignment="1">
      <alignment horizontal="center" vertical="center" wrapText="1"/>
    </xf>
    <xf numFmtId="0" fontId="19" fillId="0" borderId="15" xfId="0" applyFont="1" applyBorder="1" applyAlignment="1">
      <alignment horizontal="center" vertical="center" wrapText="1"/>
    </xf>
    <xf numFmtId="41" fontId="19" fillId="0" borderId="6" xfId="5" applyFont="1" applyBorder="1" applyAlignment="1">
      <alignment horizontal="center" vertical="center" wrapText="1"/>
    </xf>
    <xf numFmtId="41" fontId="19" fillId="0" borderId="11" xfId="5" applyFont="1" applyBorder="1" applyAlignment="1">
      <alignment horizontal="center" vertical="center" wrapText="1"/>
    </xf>
    <xf numFmtId="41" fontId="19" fillId="0" borderId="16" xfId="5" applyFont="1" applyBorder="1" applyAlignment="1">
      <alignment horizontal="center" vertical="center" wrapText="1"/>
    </xf>
    <xf numFmtId="0" fontId="19" fillId="0" borderId="3" xfId="0" applyFont="1" applyBorder="1" applyAlignment="1">
      <alignment horizontal="center" vertical="center" wrapText="1"/>
    </xf>
    <xf numFmtId="0" fontId="19" fillId="0" borderId="9" xfId="0" applyFont="1" applyBorder="1" applyAlignment="1">
      <alignment horizontal="center" vertical="center" wrapText="1"/>
    </xf>
    <xf numFmtId="0" fontId="19" fillId="0" borderId="13" xfId="0" applyFont="1" applyBorder="1" applyAlignment="1">
      <alignment horizontal="center" vertical="center" wrapText="1"/>
    </xf>
    <xf numFmtId="0" fontId="19" fillId="0" borderId="7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19" fillId="0" borderId="8" xfId="0" applyFont="1" applyBorder="1" applyAlignment="1">
      <alignment horizontal="center"/>
    </xf>
  </cellXfs>
  <cellStyles count="48">
    <cellStyle name="Comma" xfId="28" builtinId="3"/>
    <cellStyle name="Comma [0]" xfId="6" builtinId="6"/>
    <cellStyle name="Comma [0] 10 4" xfId="13" xr:uid="{00000000-0005-0000-0000-000002000000}"/>
    <cellStyle name="Comma [0] 11" xfId="47" xr:uid="{00000000-0005-0000-0000-000003000000}"/>
    <cellStyle name="Comma [0] 4 2" xfId="2" xr:uid="{00000000-0005-0000-0000-000004000000}"/>
    <cellStyle name="Comma [0] 4 2 2" xfId="5" xr:uid="{00000000-0005-0000-0000-000005000000}"/>
    <cellStyle name="Comma [0] 4 2 2 2" xfId="19" xr:uid="{00000000-0005-0000-0000-000006000000}"/>
    <cellStyle name="Comma [0] 4 2 2 2 2" xfId="39" xr:uid="{00000000-0005-0000-0000-000007000000}"/>
    <cellStyle name="Comma [0] 4 2 2 3" xfId="30" xr:uid="{00000000-0005-0000-0000-000008000000}"/>
    <cellStyle name="Comma [0] 4 2 3" xfId="17" xr:uid="{00000000-0005-0000-0000-000009000000}"/>
    <cellStyle name="Comma [0] 4 2 3 2" xfId="38" xr:uid="{00000000-0005-0000-0000-00000A000000}"/>
    <cellStyle name="Comma [0] 4 2 4" xfId="29" xr:uid="{00000000-0005-0000-0000-00000B000000}"/>
    <cellStyle name="Comma 2" xfId="10" xr:uid="{00000000-0005-0000-0000-00000C000000}"/>
    <cellStyle name="Comma 2 2" xfId="23" xr:uid="{00000000-0005-0000-0000-00000D000000}"/>
    <cellStyle name="Comma 3" xfId="12" xr:uid="{00000000-0005-0000-0000-00000E000000}"/>
    <cellStyle name="Comma 3 2" xfId="25" xr:uid="{00000000-0005-0000-0000-00000F000000}"/>
    <cellStyle name="Comma 5" xfId="3" xr:uid="{00000000-0005-0000-0000-000010000000}"/>
    <cellStyle name="Comma 5 2" xfId="18" xr:uid="{00000000-0005-0000-0000-000011000000}"/>
    <cellStyle name="Comma 5 2 2" xfId="8" xr:uid="{00000000-0005-0000-0000-000012000000}"/>
    <cellStyle name="Comma 5 2 2 2" xfId="21" xr:uid="{00000000-0005-0000-0000-000013000000}"/>
    <cellStyle name="Comma 5 2 2 2 2" xfId="43" xr:uid="{00000000-0005-0000-0000-000014000000}"/>
    <cellStyle name="Comma 5 2 2 3" xfId="34" xr:uid="{00000000-0005-0000-0000-000015000000}"/>
    <cellStyle name="Comma 5 2 3" xfId="42" xr:uid="{00000000-0005-0000-0000-000016000000}"/>
    <cellStyle name="Comma 5 2 4" xfId="33" xr:uid="{00000000-0005-0000-0000-000017000000}"/>
    <cellStyle name="Comma 5 3" xfId="35" xr:uid="{00000000-0005-0000-0000-000018000000}"/>
    <cellStyle name="Comma 5 3 2" xfId="44" xr:uid="{00000000-0005-0000-0000-000019000000}"/>
    <cellStyle name="Comma 5 4" xfId="40" xr:uid="{00000000-0005-0000-0000-00001A000000}"/>
    <cellStyle name="Comma 5 5" xfId="4" xr:uid="{00000000-0005-0000-0000-00001B000000}"/>
    <cellStyle name="Comma 5 6" xfId="31" xr:uid="{00000000-0005-0000-0000-00001C000000}"/>
    <cellStyle name="Hyperlink" xfId="14" builtinId="8"/>
    <cellStyle name="Normal" xfId="0" builtinId="0"/>
    <cellStyle name="Normal 2" xfId="7" xr:uid="{00000000-0005-0000-0000-00001F000000}"/>
    <cellStyle name="Normal 2 2" xfId="20" xr:uid="{00000000-0005-0000-0000-000020000000}"/>
    <cellStyle name="Normal 2 2 2" xfId="41" xr:uid="{00000000-0005-0000-0000-000021000000}"/>
    <cellStyle name="Normal 2 3" xfId="32" xr:uid="{00000000-0005-0000-0000-000022000000}"/>
    <cellStyle name="Normal 2 3 2 2" xfId="15" xr:uid="{00000000-0005-0000-0000-000023000000}"/>
    <cellStyle name="Normal 2 3 2 2 2" xfId="26" xr:uid="{00000000-0005-0000-0000-000024000000}"/>
    <cellStyle name="Normal 2 3 2 2 2 2" xfId="45" xr:uid="{00000000-0005-0000-0000-000025000000}"/>
    <cellStyle name="Normal 2 3 2 2 3" xfId="36" xr:uid="{00000000-0005-0000-0000-000026000000}"/>
    <cellStyle name="Normal 2 5 2" xfId="16" xr:uid="{00000000-0005-0000-0000-000027000000}"/>
    <cellStyle name="Normal 2 5 2 2" xfId="27" xr:uid="{00000000-0005-0000-0000-000028000000}"/>
    <cellStyle name="Normal 2 5 2 2 2" xfId="46" xr:uid="{00000000-0005-0000-0000-000029000000}"/>
    <cellStyle name="Normal 2 5 2 3" xfId="37" xr:uid="{00000000-0005-0000-0000-00002A000000}"/>
    <cellStyle name="Normal 3" xfId="9" xr:uid="{00000000-0005-0000-0000-00002B000000}"/>
    <cellStyle name="Normal 3 2" xfId="22" xr:uid="{00000000-0005-0000-0000-00002C000000}"/>
    <cellStyle name="Percent" xfId="1" builtinId="5"/>
    <cellStyle name="Percent 2" xfId="11" xr:uid="{00000000-0005-0000-0000-00002E000000}"/>
    <cellStyle name="Percent 2 2" xfId="24" xr:uid="{00000000-0005-0000-0000-00002F000000}"/>
  </cellStyles>
  <dxfs count="423"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5" tint="0.59996337778862885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theme="5" tint="0.59996337778862885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5" tint="0.59996337778862885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theme="5" tint="0.59996337778862885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5" tint="0.59996337778862885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5" tint="0.59996337778862885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5" tint="0.59996337778862885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5" tint="0.59996337778862885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5" tint="0.59996337778862885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5" tint="0.59996337778862885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5" tint="0.59996337778862885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5" tint="0.59996337778862885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5" tint="0.59996337778862885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5" tint="0.59996337778862885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5" tint="0.59996337778862885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5" tint="0.59996337778862885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theme="5" tint="0.59996337778862885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theme="5" tint="0.59996337778862885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theme="5" tint="0.59996337778862885"/>
        </patternFill>
      </fill>
    </dxf>
    <dxf>
      <font>
        <color auto="1"/>
      </font>
      <fill>
        <patternFill>
          <bgColor theme="5" tint="0.59996337778862885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theme="5" tint="0.59996337778862885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theme="5" tint="0.59996337778862885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7"/>
  <sheetViews>
    <sheetView showGridLines="0" zoomScale="89" zoomScaleNormal="70" workbookViewId="0">
      <pane xSplit="5" ySplit="8" topLeftCell="F9" activePane="bottomRight" state="frozen"/>
      <selection activeCell="NZ67" sqref="NZ67"/>
      <selection pane="topRight" activeCell="NZ67" sqref="NZ67"/>
      <selection pane="bottomLeft" activeCell="NZ67" sqref="NZ67"/>
      <selection pane="bottomRight" activeCell="H114" sqref="H114"/>
    </sheetView>
  </sheetViews>
  <sheetFormatPr baseColWidth="10" defaultColWidth="8.5" defaultRowHeight="15" x14ac:dyDescent="0.2"/>
  <cols>
    <col min="1" max="1" width="9.5" customWidth="1"/>
    <col min="2" max="2" width="31.5" bestFit="1" customWidth="1"/>
    <col min="3" max="3" width="10.5" bestFit="1" customWidth="1"/>
    <col min="4" max="4" width="7.5" bestFit="1" customWidth="1"/>
    <col min="5" max="5" width="14.1640625" bestFit="1" customWidth="1"/>
    <col min="6" max="6" width="7.5" bestFit="1" customWidth="1"/>
    <col min="7" max="7" width="8.5" bestFit="1" customWidth="1"/>
    <col min="8" max="8" width="10.5" bestFit="1" customWidth="1"/>
    <col min="9" max="9" width="8.5" bestFit="1" customWidth="1"/>
    <col min="10" max="10" width="7.5" bestFit="1" customWidth="1"/>
    <col min="11" max="11" width="8.5" bestFit="1" customWidth="1"/>
    <col min="12" max="12" width="10.5" bestFit="1" customWidth="1"/>
    <col min="13" max="13" width="8.5" bestFit="1" customWidth="1"/>
    <col min="14" max="14" width="7.5" bestFit="1" customWidth="1"/>
    <col min="15" max="15" width="8.5" bestFit="1" customWidth="1"/>
    <col min="16" max="16" width="10.5" bestFit="1" customWidth="1"/>
    <col min="17" max="17" width="8.5" bestFit="1" customWidth="1"/>
    <col min="18" max="18" width="7.5" bestFit="1" customWidth="1"/>
    <col min="19" max="19" width="11" bestFit="1" customWidth="1"/>
    <col min="20" max="20" width="10.5" bestFit="1" customWidth="1"/>
    <col min="21" max="21" width="8.5" bestFit="1" customWidth="1"/>
    <col min="22" max="22" width="7.5" bestFit="1" customWidth="1"/>
    <col min="23" max="23" width="8.5" bestFit="1" customWidth="1"/>
    <col min="24" max="24" width="10.5" bestFit="1" customWidth="1"/>
    <col min="25" max="25" width="8.5" bestFit="1" customWidth="1"/>
    <col min="26" max="26" width="12" customWidth="1"/>
    <col min="27" max="27" width="17.5" bestFit="1" customWidth="1"/>
    <col min="28" max="31" width="9.5" customWidth="1"/>
    <col min="32" max="32" width="13.5" customWidth="1"/>
    <col min="33" max="33" width="25.5" customWidth="1"/>
    <col min="34" max="34" width="27.5" customWidth="1"/>
    <col min="36" max="36" width="10.5" bestFit="1" customWidth="1"/>
    <col min="37" max="37" width="23.5" bestFit="1" customWidth="1"/>
    <col min="38" max="38" width="13.5" customWidth="1"/>
    <col min="39" max="39" width="15.5" customWidth="1"/>
    <col min="40" max="40" width="23.5" customWidth="1"/>
    <col min="66" max="66" width="13" customWidth="1"/>
    <col min="69" max="70" width="16.5" bestFit="1" customWidth="1"/>
    <col min="71" max="71" width="13" bestFit="1" customWidth="1"/>
    <col min="72" max="72" width="13" customWidth="1"/>
    <col min="73" max="73" width="11.5" bestFit="1" customWidth="1"/>
    <col min="74" max="74" width="14.5" customWidth="1"/>
    <col min="76" max="76" width="9.5" customWidth="1"/>
    <col min="77" max="77" width="12.5" customWidth="1"/>
    <col min="80" max="80" width="19.5" customWidth="1"/>
    <col min="135" max="135" width="84.5" bestFit="1" customWidth="1"/>
    <col min="137" max="138" width="12.5" customWidth="1"/>
    <col min="139" max="162" width="15.5" customWidth="1"/>
    <col min="163" max="163" width="8.5" customWidth="1"/>
    <col min="164" max="177" width="15.5" customWidth="1"/>
    <col min="203" max="203" width="9" bestFit="1" customWidth="1"/>
    <col min="207" max="207" width="17.5" bestFit="1" customWidth="1"/>
    <col min="216" max="217" width="15.5" bestFit="1" customWidth="1"/>
    <col min="242" max="242" width="10" bestFit="1" customWidth="1"/>
    <col min="245" max="245" width="10" bestFit="1" customWidth="1"/>
    <col min="273" max="273" width="11.5" bestFit="1" customWidth="1"/>
    <col min="276" max="276" width="12.5" customWidth="1"/>
    <col min="290" max="290" width="10.83203125" customWidth="1"/>
    <col min="291" max="291" width="10.1640625" customWidth="1"/>
    <col min="292" max="292" width="11.5" customWidth="1"/>
    <col min="306" max="306" width="14.5" bestFit="1" customWidth="1"/>
    <col min="390" max="390" width="14.83203125" bestFit="1" customWidth="1"/>
    <col min="391" max="391" width="10" bestFit="1" customWidth="1"/>
    <col min="392" max="392" width="12.5" bestFit="1" customWidth="1"/>
    <col min="395" max="395" width="11.5" bestFit="1" customWidth="1"/>
    <col min="397" max="397" width="11.5" bestFit="1" customWidth="1"/>
    <col min="416" max="416" width="15" bestFit="1" customWidth="1"/>
    <col min="421" max="421" width="17.5" customWidth="1"/>
    <col min="423" max="423" width="18.1640625" bestFit="1" customWidth="1"/>
    <col min="430" max="430" width="15.5" bestFit="1" customWidth="1"/>
    <col min="16383" max="16383" width="15.33203125" bestFit="1" customWidth="1"/>
    <col min="16384" max="16384" width="16.5" bestFit="1" customWidth="1"/>
  </cols>
  <sheetData>
    <row r="1" spans="1:437" ht="24" x14ac:dyDescent="0.2">
      <c r="A1" s="1" t="s">
        <v>0</v>
      </c>
      <c r="B1" s="2"/>
      <c r="C1" s="2"/>
      <c r="D1" s="2"/>
      <c r="E1" s="2"/>
      <c r="F1" s="2"/>
      <c r="G1" s="3"/>
      <c r="H1" s="3"/>
      <c r="I1" s="4"/>
      <c r="J1" s="4"/>
      <c r="K1" s="135" t="s">
        <v>284</v>
      </c>
      <c r="L1" s="4" t="s">
        <v>569</v>
      </c>
      <c r="M1" s="4"/>
      <c r="N1" s="134" t="s">
        <v>570</v>
      </c>
      <c r="O1" s="4"/>
      <c r="P1" s="4"/>
      <c r="Q1" s="4"/>
      <c r="R1" s="2"/>
      <c r="S1" s="2"/>
      <c r="T1" s="2"/>
      <c r="U1" s="2"/>
      <c r="V1" s="5"/>
      <c r="W1" s="5"/>
      <c r="X1" s="5"/>
      <c r="Y1" s="5"/>
      <c r="Z1" s="78"/>
      <c r="AA1" s="7"/>
      <c r="AB1" s="7"/>
      <c r="AC1" s="7"/>
      <c r="AD1" s="7"/>
      <c r="AE1" s="7"/>
      <c r="AF1" s="34" t="s">
        <v>294</v>
      </c>
      <c r="AG1" s="34" t="s">
        <v>296</v>
      </c>
      <c r="AH1" s="109"/>
      <c r="BF1" s="34" t="s">
        <v>294</v>
      </c>
      <c r="BG1" s="34"/>
      <c r="BH1" s="34" t="s">
        <v>296</v>
      </c>
      <c r="EI1" s="47">
        <v>1</v>
      </c>
      <c r="EJ1" s="47">
        <f>EI1+1</f>
        <v>2</v>
      </c>
      <c r="EK1" s="47">
        <f t="shared" ref="EK1:FF1" si="0">EJ1+1</f>
        <v>3</v>
      </c>
      <c r="EL1" s="47">
        <f t="shared" si="0"/>
        <v>4</v>
      </c>
      <c r="EM1" s="47">
        <f t="shared" si="0"/>
        <v>5</v>
      </c>
      <c r="EN1" s="47">
        <f t="shared" si="0"/>
        <v>6</v>
      </c>
      <c r="EO1" s="47">
        <f t="shared" si="0"/>
        <v>7</v>
      </c>
      <c r="EP1" s="47">
        <f t="shared" si="0"/>
        <v>8</v>
      </c>
      <c r="EQ1" s="47">
        <f t="shared" si="0"/>
        <v>9</v>
      </c>
      <c r="ER1" s="47">
        <f t="shared" si="0"/>
        <v>10</v>
      </c>
      <c r="ES1" s="47">
        <f t="shared" si="0"/>
        <v>11</v>
      </c>
      <c r="ET1" s="47">
        <f t="shared" si="0"/>
        <v>12</v>
      </c>
      <c r="EU1" s="47">
        <f t="shared" si="0"/>
        <v>13</v>
      </c>
      <c r="EV1" s="47">
        <f t="shared" si="0"/>
        <v>14</v>
      </c>
      <c r="EW1" s="47">
        <f t="shared" si="0"/>
        <v>15</v>
      </c>
      <c r="EX1" s="47">
        <f t="shared" si="0"/>
        <v>16</v>
      </c>
      <c r="EY1" s="47">
        <f t="shared" si="0"/>
        <v>17</v>
      </c>
      <c r="EZ1" s="47">
        <f t="shared" si="0"/>
        <v>18</v>
      </c>
      <c r="FA1" s="47">
        <f t="shared" si="0"/>
        <v>19</v>
      </c>
      <c r="FB1" s="47">
        <f t="shared" si="0"/>
        <v>20</v>
      </c>
      <c r="FC1" s="47">
        <f t="shared" si="0"/>
        <v>21</v>
      </c>
      <c r="FD1" s="47">
        <f t="shared" si="0"/>
        <v>22</v>
      </c>
      <c r="FE1" s="47">
        <f t="shared" si="0"/>
        <v>23</v>
      </c>
      <c r="FF1" s="47">
        <f t="shared" si="0"/>
        <v>24</v>
      </c>
      <c r="FH1" s="47">
        <f t="shared" ref="FH1:FV1" si="1">FG1+1</f>
        <v>1</v>
      </c>
      <c r="FI1" s="47">
        <f t="shared" si="1"/>
        <v>2</v>
      </c>
      <c r="FJ1" s="47">
        <f t="shared" si="1"/>
        <v>3</v>
      </c>
      <c r="FK1" s="47">
        <f t="shared" si="1"/>
        <v>4</v>
      </c>
      <c r="FL1" s="47">
        <f t="shared" si="1"/>
        <v>5</v>
      </c>
      <c r="FM1" s="47">
        <f t="shared" si="1"/>
        <v>6</v>
      </c>
      <c r="FN1" s="47">
        <f t="shared" si="1"/>
        <v>7</v>
      </c>
      <c r="FO1" s="47">
        <f t="shared" si="1"/>
        <v>8</v>
      </c>
      <c r="FP1" s="47">
        <f t="shared" si="1"/>
        <v>9</v>
      </c>
      <c r="FQ1" s="47">
        <f t="shared" si="1"/>
        <v>10</v>
      </c>
      <c r="FR1" s="47">
        <f t="shared" si="1"/>
        <v>11</v>
      </c>
      <c r="FS1" s="47">
        <f t="shared" si="1"/>
        <v>12</v>
      </c>
      <c r="FT1" s="47">
        <f t="shared" si="1"/>
        <v>13</v>
      </c>
      <c r="FU1" s="47">
        <f t="shared" si="1"/>
        <v>14</v>
      </c>
      <c r="FV1" s="47">
        <f t="shared" si="1"/>
        <v>15</v>
      </c>
      <c r="GO1" s="83"/>
      <c r="GP1" s="83"/>
      <c r="GQ1" s="83"/>
      <c r="GR1" s="83"/>
      <c r="GS1" s="83"/>
      <c r="GT1" s="83"/>
      <c r="GU1" s="83"/>
      <c r="GV1" s="83"/>
      <c r="GW1" s="83"/>
      <c r="GX1" s="83"/>
      <c r="GY1" s="83"/>
      <c r="GZ1" s="83"/>
      <c r="HA1" s="83"/>
      <c r="HB1" s="83"/>
      <c r="HC1" s="83"/>
      <c r="HD1" s="83"/>
      <c r="HE1" s="83"/>
      <c r="HF1" s="83"/>
      <c r="HG1" s="83"/>
      <c r="HH1" s="83"/>
      <c r="HI1" s="83"/>
      <c r="HJ1" s="83"/>
      <c r="HK1" s="83"/>
      <c r="HL1" s="83"/>
      <c r="HM1" s="83"/>
      <c r="HN1" s="83"/>
      <c r="HO1" s="83"/>
      <c r="HP1" s="84"/>
      <c r="HQ1" s="84"/>
      <c r="HR1" s="84"/>
      <c r="HS1" s="84" t="s">
        <v>425</v>
      </c>
      <c r="HT1" s="84"/>
      <c r="HU1" s="84"/>
      <c r="HV1" s="84"/>
      <c r="HW1" s="84"/>
      <c r="HX1" s="84"/>
      <c r="HY1" s="84"/>
      <c r="HZ1" s="84"/>
      <c r="IA1" s="84"/>
      <c r="IB1" s="84"/>
      <c r="IC1" s="84"/>
      <c r="ID1" s="84"/>
      <c r="IE1" s="84"/>
      <c r="IF1" s="84"/>
      <c r="IG1" s="84"/>
      <c r="IH1" s="84"/>
      <c r="II1" s="84"/>
      <c r="IJ1" s="84"/>
      <c r="IK1" s="84"/>
      <c r="IL1" s="84"/>
      <c r="IM1" s="83"/>
      <c r="IN1" s="83"/>
      <c r="IO1" s="83"/>
      <c r="IP1" s="83"/>
      <c r="IQ1" s="83"/>
      <c r="IR1" s="83"/>
      <c r="IS1" s="83"/>
      <c r="IT1" s="83"/>
      <c r="IU1" s="83"/>
      <c r="IV1" s="83"/>
      <c r="IW1" s="83"/>
      <c r="IX1" s="83"/>
      <c r="IY1" s="83"/>
      <c r="IZ1" s="83"/>
      <c r="JA1" s="83"/>
      <c r="JB1" s="83"/>
      <c r="JC1" s="83"/>
      <c r="JD1" s="83"/>
      <c r="JE1" s="83"/>
      <c r="JF1" s="83"/>
      <c r="JG1" s="83"/>
      <c r="JH1" s="83"/>
      <c r="JI1" s="83"/>
      <c r="JJ1" s="83"/>
      <c r="JK1" s="83"/>
      <c r="KS1">
        <v>1</v>
      </c>
      <c r="KT1" t="s">
        <v>580</v>
      </c>
      <c r="PO1" s="557" t="s">
        <v>630</v>
      </c>
      <c r="PP1" s="558"/>
      <c r="PQ1" s="559"/>
    </row>
    <row r="2" spans="1:437" ht="23.75" customHeight="1" x14ac:dyDescent="0.2">
      <c r="A2" s="6" t="s">
        <v>20</v>
      </c>
      <c r="B2" s="7"/>
      <c r="C2" s="7"/>
      <c r="D2" s="7"/>
      <c r="E2" s="7"/>
      <c r="F2" s="7"/>
      <c r="G2" s="8"/>
      <c r="H2" s="8"/>
      <c r="I2" s="9"/>
      <c r="J2" s="9"/>
      <c r="K2" s="9"/>
      <c r="L2" s="4" t="s">
        <v>571</v>
      </c>
      <c r="M2" s="9"/>
      <c r="N2" s="134" t="s">
        <v>572</v>
      </c>
      <c r="O2" s="9"/>
      <c r="P2" s="9"/>
      <c r="Q2" s="9"/>
      <c r="R2" s="7"/>
      <c r="S2" s="7"/>
      <c r="T2" s="7"/>
      <c r="U2" s="7"/>
      <c r="V2" s="10"/>
      <c r="W2" s="10"/>
      <c r="X2" s="10"/>
      <c r="Y2" s="10"/>
      <c r="Z2" s="7"/>
      <c r="AA2" s="7"/>
      <c r="AB2" s="7"/>
      <c r="AC2" s="7"/>
      <c r="AD2" s="7"/>
      <c r="AE2" s="7"/>
      <c r="AF2" s="34" t="s">
        <v>295</v>
      </c>
      <c r="AG2" s="35" t="s">
        <v>297</v>
      </c>
      <c r="AH2" s="109"/>
      <c r="BF2" s="34" t="s">
        <v>295</v>
      </c>
      <c r="BG2" s="34"/>
      <c r="BH2" s="35" t="s">
        <v>297</v>
      </c>
      <c r="BN2" s="30" t="s">
        <v>338</v>
      </c>
      <c r="CD2" s="30" t="s">
        <v>338</v>
      </c>
      <c r="ED2" s="48"/>
      <c r="EE2" s="49"/>
      <c r="EG2" s="533" t="s">
        <v>388</v>
      </c>
      <c r="EH2" s="533" t="s">
        <v>352</v>
      </c>
      <c r="EI2" s="429" t="s">
        <v>387</v>
      </c>
      <c r="EJ2" s="429" t="s">
        <v>482</v>
      </c>
      <c r="EK2" s="507" t="s">
        <v>483</v>
      </c>
      <c r="EL2" s="508"/>
      <c r="EM2" s="508"/>
      <c r="EN2" s="508"/>
      <c r="EO2" s="508"/>
      <c r="EP2" s="509"/>
      <c r="EQ2" s="429" t="s">
        <v>353</v>
      </c>
      <c r="ER2" s="429" t="s">
        <v>484</v>
      </c>
      <c r="ES2" s="429" t="s">
        <v>354</v>
      </c>
      <c r="ET2" s="429" t="s">
        <v>397</v>
      </c>
      <c r="EU2" s="429" t="s">
        <v>485</v>
      </c>
      <c r="EV2" s="429" t="s">
        <v>355</v>
      </c>
      <c r="EW2" s="507" t="s">
        <v>486</v>
      </c>
      <c r="EX2" s="508"/>
      <c r="EY2" s="509"/>
      <c r="EZ2" s="429" t="s">
        <v>356</v>
      </c>
      <c r="FA2" s="429" t="s">
        <v>357</v>
      </c>
      <c r="FB2" s="429" t="s">
        <v>358</v>
      </c>
      <c r="FC2" s="429" t="s">
        <v>623</v>
      </c>
      <c r="FD2" s="429" t="s">
        <v>359</v>
      </c>
      <c r="FE2" s="429" t="s">
        <v>360</v>
      </c>
      <c r="FF2" s="429" t="s">
        <v>629</v>
      </c>
      <c r="FH2" s="429" t="s">
        <v>11</v>
      </c>
      <c r="FI2" s="429" t="s">
        <v>487</v>
      </c>
      <c r="FJ2" s="429" t="s">
        <v>488</v>
      </c>
      <c r="FK2" s="429" t="s">
        <v>489</v>
      </c>
      <c r="FL2" s="429" t="s">
        <v>490</v>
      </c>
      <c r="FM2" s="429" t="s">
        <v>491</v>
      </c>
      <c r="FN2" s="429" t="s">
        <v>492</v>
      </c>
      <c r="FO2" s="429" t="s">
        <v>493</v>
      </c>
      <c r="FP2" s="429" t="s">
        <v>494</v>
      </c>
      <c r="FQ2" s="429" t="s">
        <v>495</v>
      </c>
      <c r="FR2" s="429" t="s">
        <v>496</v>
      </c>
      <c r="FS2" s="429" t="s">
        <v>497</v>
      </c>
      <c r="FT2" s="429" t="s">
        <v>498</v>
      </c>
      <c r="FU2" s="429" t="s">
        <v>499</v>
      </c>
      <c r="FV2" s="429" t="s">
        <v>500</v>
      </c>
      <c r="GO2" s="83"/>
      <c r="GP2" s="83"/>
      <c r="GQ2" s="83"/>
      <c r="GR2" s="83"/>
      <c r="GS2" s="83"/>
      <c r="GT2" s="83"/>
      <c r="GU2" s="83" t="s">
        <v>467</v>
      </c>
      <c r="GV2" s="83"/>
      <c r="GW2" s="83"/>
      <c r="GX2" s="83"/>
      <c r="GY2" s="83"/>
      <c r="GZ2" s="83"/>
      <c r="HA2" s="83"/>
      <c r="HB2" s="83"/>
      <c r="HC2" s="83"/>
      <c r="HD2" s="83"/>
      <c r="HE2" s="83"/>
      <c r="HF2" s="83"/>
      <c r="HG2" s="83"/>
      <c r="HH2" s="83"/>
      <c r="HI2" s="83"/>
      <c r="HJ2" s="83"/>
      <c r="HK2" s="83"/>
      <c r="HL2" s="83"/>
      <c r="HM2" s="83"/>
      <c r="HN2" s="83"/>
      <c r="HO2" s="83"/>
      <c r="HP2" s="82"/>
      <c r="HQ2" s="82"/>
      <c r="HR2" s="82"/>
      <c r="HS2" t="s">
        <v>426</v>
      </c>
      <c r="HT2" s="82"/>
      <c r="HU2" s="82"/>
      <c r="HV2" s="82"/>
      <c r="HW2" s="82"/>
      <c r="HX2" s="82"/>
      <c r="HY2" s="82"/>
      <c r="HZ2" s="82"/>
      <c r="IA2" s="82"/>
      <c r="IB2" s="82"/>
      <c r="IC2" s="82"/>
      <c r="ID2" s="82"/>
      <c r="IE2" s="82"/>
      <c r="IF2" s="82"/>
      <c r="IG2" s="82"/>
      <c r="IH2" s="82"/>
      <c r="II2" s="82"/>
      <c r="IJ2" s="82"/>
      <c r="IK2" s="82"/>
      <c r="IL2" s="82"/>
      <c r="IM2" s="83"/>
      <c r="IN2" s="83"/>
      <c r="IO2" s="83"/>
      <c r="IP2" s="83"/>
      <c r="IQ2" s="83"/>
      <c r="IR2" s="83"/>
      <c r="IS2" s="83"/>
      <c r="IT2" s="83"/>
      <c r="IU2" s="83"/>
      <c r="IV2" s="83"/>
      <c r="IW2" s="83"/>
      <c r="IX2" s="83"/>
      <c r="IY2" s="83"/>
      <c r="IZ2" s="83"/>
      <c r="JA2" s="83"/>
      <c r="JB2" s="83"/>
      <c r="JC2" s="83"/>
      <c r="JD2" s="83"/>
      <c r="JE2" s="83"/>
      <c r="JF2" s="83"/>
      <c r="JG2" s="83"/>
      <c r="JH2" s="83"/>
      <c r="JI2" s="83"/>
      <c r="JJ2" s="83"/>
      <c r="JK2" s="83"/>
      <c r="JP2" s="30" t="s">
        <v>338</v>
      </c>
      <c r="KB2" s="121" t="s">
        <v>477</v>
      </c>
      <c r="KF2" s="30" t="s">
        <v>338</v>
      </c>
      <c r="KR2" s="121" t="s">
        <v>477</v>
      </c>
      <c r="KS2">
        <v>2</v>
      </c>
      <c r="KT2" t="s">
        <v>581</v>
      </c>
      <c r="PO2" s="560" t="s">
        <v>623</v>
      </c>
      <c r="PP2" s="563" t="s">
        <v>629</v>
      </c>
      <c r="PQ2" s="563" t="s">
        <v>631</v>
      </c>
    </row>
    <row r="3" spans="1:437" ht="23.75" customHeight="1" x14ac:dyDescent="0.2">
      <c r="A3" s="6" t="s">
        <v>424</v>
      </c>
      <c r="B3" s="82"/>
      <c r="C3" s="6"/>
      <c r="D3" s="505">
        <v>44201</v>
      </c>
      <c r="E3" s="506"/>
      <c r="F3" s="7"/>
      <c r="G3" s="8"/>
      <c r="H3" s="8"/>
      <c r="I3" s="9"/>
      <c r="J3" s="9"/>
      <c r="K3" s="9"/>
      <c r="L3" s="4" t="s">
        <v>573</v>
      </c>
      <c r="M3" s="9"/>
      <c r="N3" s="134" t="s">
        <v>574</v>
      </c>
      <c r="O3" s="9"/>
      <c r="P3" s="9"/>
      <c r="Q3" s="9"/>
      <c r="R3" s="7"/>
      <c r="S3" s="7"/>
      <c r="T3" s="7"/>
      <c r="U3" s="7"/>
      <c r="V3" s="10"/>
      <c r="W3" s="10"/>
      <c r="X3" s="10"/>
      <c r="Y3" s="10"/>
      <c r="Z3" s="7"/>
      <c r="AA3" s="7"/>
      <c r="AB3" s="7"/>
      <c r="AC3" s="7"/>
      <c r="AD3" s="7"/>
      <c r="AE3" s="7"/>
      <c r="AF3" s="110"/>
      <c r="AG3" s="110"/>
      <c r="AH3" s="109"/>
      <c r="BF3" s="33"/>
      <c r="BG3" s="36"/>
      <c r="BH3" s="36"/>
      <c r="BN3" s="46" t="s">
        <v>336</v>
      </c>
      <c r="BO3" s="529" t="s">
        <v>337</v>
      </c>
      <c r="BP3" s="529"/>
      <c r="BQ3" s="529"/>
      <c r="BR3" s="529"/>
      <c r="BS3" s="529"/>
      <c r="BT3" s="529"/>
      <c r="BU3" s="529"/>
      <c r="BV3" s="529"/>
      <c r="BW3" s="529"/>
      <c r="BX3" s="529"/>
      <c r="BY3" s="529"/>
      <c r="BZ3" s="529"/>
      <c r="CB3" s="30" t="s">
        <v>340</v>
      </c>
      <c r="CD3" s="46"/>
      <c r="CE3" s="529"/>
      <c r="CF3" s="529"/>
      <c r="CG3" s="529"/>
      <c r="CH3" s="529"/>
      <c r="CI3" s="529"/>
      <c r="CJ3" s="529"/>
      <c r="CK3" s="529"/>
      <c r="CL3" s="529"/>
      <c r="CM3" s="529"/>
      <c r="CN3" s="529"/>
      <c r="CO3" s="529"/>
      <c r="CP3" s="529"/>
      <c r="ED3" s="50"/>
      <c r="EE3" s="51"/>
      <c r="EG3" s="533"/>
      <c r="EH3" s="533"/>
      <c r="EI3" s="429"/>
      <c r="EJ3" s="429"/>
      <c r="EK3" s="510" t="s">
        <v>308</v>
      </c>
      <c r="EL3" s="510" t="s">
        <v>501</v>
      </c>
      <c r="EM3" s="510" t="s">
        <v>502</v>
      </c>
      <c r="EN3" s="510" t="s">
        <v>503</v>
      </c>
      <c r="EO3" s="510"/>
      <c r="EP3" s="510"/>
      <c r="EQ3" s="429"/>
      <c r="ER3" s="429"/>
      <c r="ES3" s="429"/>
      <c r="ET3" s="429"/>
      <c r="EU3" s="429"/>
      <c r="EV3" s="429"/>
      <c r="EW3" s="510" t="s">
        <v>504</v>
      </c>
      <c r="EX3" s="510" t="s">
        <v>309</v>
      </c>
      <c r="EY3" s="510" t="s">
        <v>505</v>
      </c>
      <c r="EZ3" s="429"/>
      <c r="FA3" s="429"/>
      <c r="FB3" s="429"/>
      <c r="FC3" s="429"/>
      <c r="FD3" s="429"/>
      <c r="FE3" s="429"/>
      <c r="FF3" s="429"/>
      <c r="FH3" s="429"/>
      <c r="FI3" s="429"/>
      <c r="FJ3" s="429"/>
      <c r="FK3" s="429"/>
      <c r="FL3" s="429"/>
      <c r="FM3" s="429"/>
      <c r="FN3" s="429"/>
      <c r="FO3" s="429"/>
      <c r="FP3" s="429"/>
      <c r="FQ3" s="429"/>
      <c r="FR3" s="429"/>
      <c r="FS3" s="429"/>
      <c r="FT3" s="429"/>
      <c r="FU3" s="429"/>
      <c r="FV3" s="429"/>
      <c r="GU3" s="85">
        <v>43243</v>
      </c>
      <c r="GX3" s="519" t="s">
        <v>427</v>
      </c>
      <c r="GY3" s="520"/>
      <c r="GZ3" s="86"/>
      <c r="HA3" s="83"/>
      <c r="HB3" s="83"/>
      <c r="HC3" s="86"/>
      <c r="HD3" s="86"/>
      <c r="HE3" s="86"/>
      <c r="HF3" s="82"/>
      <c r="HG3" s="82"/>
      <c r="HH3" s="82"/>
      <c r="HI3" s="82"/>
      <c r="HJ3" s="86"/>
      <c r="HK3" s="82"/>
      <c r="HL3" s="83"/>
      <c r="HM3" s="83"/>
      <c r="HN3" s="83"/>
      <c r="HO3" s="83"/>
      <c r="HP3" s="86"/>
      <c r="HQ3" s="86"/>
      <c r="HR3" s="86"/>
      <c r="HS3" t="s">
        <v>429</v>
      </c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 t="s">
        <v>430</v>
      </c>
      <c r="II3" s="86"/>
      <c r="IJ3" s="86"/>
      <c r="IK3" s="86"/>
      <c r="IL3" s="86"/>
      <c r="IM3" s="83"/>
      <c r="IN3" s="83"/>
      <c r="IO3" s="83"/>
      <c r="IP3" s="83"/>
      <c r="IQ3" s="83"/>
      <c r="IR3" s="83"/>
      <c r="IS3" s="83"/>
      <c r="IT3" s="83"/>
      <c r="IU3" s="83"/>
      <c r="IV3" s="83"/>
      <c r="IW3" s="83"/>
      <c r="IX3" s="83"/>
      <c r="IY3" s="83"/>
      <c r="IZ3" s="83"/>
      <c r="JA3" s="83"/>
      <c r="JB3" s="83"/>
      <c r="JC3" s="83"/>
      <c r="JD3" s="83"/>
      <c r="JE3" s="83"/>
      <c r="JF3" s="83"/>
      <c r="JG3" s="83"/>
      <c r="JH3" s="83"/>
      <c r="JI3" s="83"/>
      <c r="JJ3" s="83"/>
      <c r="JK3" s="83"/>
      <c r="JP3" s="46" t="s">
        <v>336</v>
      </c>
      <c r="JQ3" s="529" t="s">
        <v>337</v>
      </c>
      <c r="JR3" s="529"/>
      <c r="JS3" s="529"/>
      <c r="JT3" s="529"/>
      <c r="JU3" s="529"/>
      <c r="JV3" s="529"/>
      <c r="JW3" s="529"/>
      <c r="JX3" s="529"/>
      <c r="JY3" s="529"/>
      <c r="JZ3" s="529"/>
      <c r="KA3" s="529"/>
      <c r="KB3" s="529"/>
      <c r="KF3" s="46"/>
      <c r="KG3" s="529"/>
      <c r="KH3" s="529"/>
      <c r="KI3" s="529"/>
      <c r="KJ3" s="529"/>
      <c r="KK3" s="529"/>
      <c r="KL3" s="529"/>
      <c r="KM3" s="529"/>
      <c r="KN3" s="529"/>
      <c r="KO3" s="529"/>
      <c r="KP3" s="529"/>
      <c r="KQ3" s="529"/>
      <c r="KR3" s="529"/>
      <c r="KS3">
        <v>3</v>
      </c>
      <c r="KT3" t="s">
        <v>582</v>
      </c>
      <c r="KU3" s="30" t="s">
        <v>508</v>
      </c>
      <c r="PO3" s="561"/>
      <c r="PP3" s="563"/>
      <c r="PQ3" s="563"/>
    </row>
    <row r="4" spans="1:437" ht="15.5" customHeight="1" thickBot="1" x14ac:dyDescent="0.25">
      <c r="A4" s="479" t="s">
        <v>1</v>
      </c>
      <c r="B4" s="479" t="s">
        <v>2</v>
      </c>
      <c r="C4" s="479" t="s">
        <v>3</v>
      </c>
      <c r="D4" s="482" t="s">
        <v>4</v>
      </c>
      <c r="E4" s="483"/>
      <c r="F4" s="499" t="s">
        <v>5</v>
      </c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0"/>
      <c r="AA4" s="500"/>
      <c r="AB4" s="500"/>
      <c r="AC4" s="500"/>
      <c r="AD4" s="500"/>
      <c r="AE4" s="501"/>
      <c r="AF4" s="431" t="s">
        <v>298</v>
      </c>
      <c r="AG4" s="432"/>
      <c r="AH4" s="433"/>
      <c r="AI4" s="437" t="s">
        <v>261</v>
      </c>
      <c r="AJ4" s="438"/>
      <c r="AK4" s="439"/>
      <c r="AL4" s="449" t="s">
        <v>292</v>
      </c>
      <c r="AM4" s="451"/>
      <c r="AN4" s="368" t="s">
        <v>312</v>
      </c>
      <c r="AO4" s="449" t="s">
        <v>264</v>
      </c>
      <c r="AP4" s="450"/>
      <c r="AQ4" s="450"/>
      <c r="AR4" s="450"/>
      <c r="AS4" s="450"/>
      <c r="AT4" s="450"/>
      <c r="AU4" s="450"/>
      <c r="AV4" s="450"/>
      <c r="AW4" s="450"/>
      <c r="AX4" s="450"/>
      <c r="AY4" s="450"/>
      <c r="AZ4" s="451"/>
      <c r="BA4" s="412" t="s">
        <v>341</v>
      </c>
      <c r="BB4" s="412" t="s">
        <v>349</v>
      </c>
      <c r="BE4" s="431" t="s">
        <v>298</v>
      </c>
      <c r="BF4" s="432"/>
      <c r="BG4" s="432"/>
      <c r="BH4" s="432"/>
      <c r="BI4" s="432"/>
      <c r="BJ4" s="432"/>
      <c r="BK4" s="433"/>
      <c r="BN4" s="400" t="s">
        <v>319</v>
      </c>
      <c r="BO4" s="397" t="s">
        <v>320</v>
      </c>
      <c r="BP4" s="468" t="s">
        <v>321</v>
      </c>
      <c r="BQ4" s="468"/>
      <c r="BR4" s="468"/>
      <c r="BS4" s="468"/>
      <c r="BT4" s="468"/>
      <c r="BU4" s="468"/>
      <c r="BV4" s="468"/>
      <c r="BW4" s="468"/>
      <c r="BX4" s="468"/>
      <c r="BY4" s="468"/>
      <c r="BZ4" s="468"/>
      <c r="CB4" s="469" t="s">
        <v>339</v>
      </c>
      <c r="CD4" s="400" t="s">
        <v>319</v>
      </c>
      <c r="CE4" s="397" t="s">
        <v>320</v>
      </c>
      <c r="CF4" s="468" t="s">
        <v>321</v>
      </c>
      <c r="CG4" s="468"/>
      <c r="CH4" s="468"/>
      <c r="CI4" s="468"/>
      <c r="CJ4" s="468"/>
      <c r="CK4" s="468"/>
      <c r="CL4" s="468"/>
      <c r="CM4" s="468"/>
      <c r="CN4" s="468"/>
      <c r="CO4" s="468"/>
      <c r="CP4" s="468"/>
      <c r="DV4" s="513" t="s">
        <v>350</v>
      </c>
      <c r="DW4" s="514"/>
      <c r="DX4" s="514"/>
      <c r="DY4" s="514"/>
      <c r="DZ4" s="514"/>
      <c r="EA4" s="514"/>
      <c r="EB4" s="515"/>
      <c r="ED4" s="50"/>
      <c r="EE4" s="51"/>
      <c r="EG4" s="533"/>
      <c r="EH4" s="533"/>
      <c r="EI4" s="429"/>
      <c r="EJ4" s="429"/>
      <c r="EK4" s="511"/>
      <c r="EL4" s="511"/>
      <c r="EM4" s="511"/>
      <c r="EN4" s="511"/>
      <c r="EO4" s="511"/>
      <c r="EP4" s="511"/>
      <c r="EQ4" s="429"/>
      <c r="ER4" s="429"/>
      <c r="ES4" s="429"/>
      <c r="ET4" s="429"/>
      <c r="EU4" s="429"/>
      <c r="EV4" s="429"/>
      <c r="EW4" s="511"/>
      <c r="EX4" s="511"/>
      <c r="EY4" s="511"/>
      <c r="EZ4" s="429"/>
      <c r="FA4" s="429"/>
      <c r="FB4" s="429"/>
      <c r="FC4" s="429"/>
      <c r="FD4" s="429"/>
      <c r="FE4" s="429"/>
      <c r="FF4" s="429"/>
      <c r="FH4" s="429"/>
      <c r="FI4" s="429"/>
      <c r="FJ4" s="429"/>
      <c r="FK4" s="429"/>
      <c r="FL4" s="429"/>
      <c r="FM4" s="429"/>
      <c r="FN4" s="429"/>
      <c r="FO4" s="429"/>
      <c r="FP4" s="429"/>
      <c r="FQ4" s="429"/>
      <c r="FR4" s="429"/>
      <c r="FS4" s="429"/>
      <c r="FT4" s="429"/>
      <c r="FU4" s="429"/>
      <c r="FV4" s="429"/>
      <c r="FX4" s="365" t="s">
        <v>624</v>
      </c>
      <c r="FY4" s="412" t="s">
        <v>319</v>
      </c>
      <c r="FZ4" s="397" t="s">
        <v>320</v>
      </c>
      <c r="GA4" s="397" t="s">
        <v>378</v>
      </c>
      <c r="GB4" s="397" t="s">
        <v>379</v>
      </c>
      <c r="GC4" s="397" t="s">
        <v>380</v>
      </c>
      <c r="GD4" s="397" t="s">
        <v>381</v>
      </c>
      <c r="GE4" s="397" t="s">
        <v>382</v>
      </c>
      <c r="GF4" s="27"/>
      <c r="GG4" s="397" t="s">
        <v>383</v>
      </c>
      <c r="GH4" s="397" t="s">
        <v>384</v>
      </c>
      <c r="GI4" s="27"/>
      <c r="GJ4" s="397" t="s">
        <v>385</v>
      </c>
      <c r="GK4" s="397" t="s">
        <v>386</v>
      </c>
      <c r="GO4" s="521" t="s">
        <v>431</v>
      </c>
      <c r="GP4" s="522"/>
      <c r="GQ4" s="522"/>
      <c r="GR4" s="522"/>
      <c r="GS4" s="522"/>
      <c r="GT4" s="523"/>
      <c r="GU4" s="87" t="s">
        <v>432</v>
      </c>
      <c r="GV4" s="521" t="s">
        <v>433</v>
      </c>
      <c r="GW4" s="523"/>
      <c r="GX4" s="88" t="s">
        <v>434</v>
      </c>
      <c r="GY4" s="112">
        <v>20</v>
      </c>
      <c r="GZ4" s="423" t="s">
        <v>435</v>
      </c>
      <c r="HA4" s="83"/>
      <c r="HB4" s="83"/>
      <c r="HC4" s="426" t="s">
        <v>436</v>
      </c>
      <c r="HD4" s="427"/>
      <c r="HE4" s="427"/>
      <c r="HF4" s="427"/>
      <c r="HG4" s="427"/>
      <c r="HH4" s="427"/>
      <c r="HI4" s="428"/>
      <c r="HJ4" s="90"/>
      <c r="HK4" s="398" t="s">
        <v>437</v>
      </c>
      <c r="HL4" s="83"/>
      <c r="HM4" s="83"/>
      <c r="HN4" s="83"/>
      <c r="HO4" s="83"/>
      <c r="HS4" t="s">
        <v>438</v>
      </c>
      <c r="IM4" s="83"/>
      <c r="IN4" s="83"/>
      <c r="IO4" s="83"/>
      <c r="IP4" s="83"/>
      <c r="IQ4" s="83"/>
      <c r="IR4" s="83"/>
      <c r="IS4" s="83"/>
      <c r="IT4" s="83"/>
      <c r="IU4" s="83"/>
      <c r="IV4" s="83"/>
      <c r="IW4" s="83"/>
      <c r="IX4" s="83"/>
      <c r="IY4" s="83"/>
      <c r="IZ4" s="83"/>
      <c r="JA4" s="83"/>
      <c r="JB4" s="83"/>
      <c r="JC4" s="83"/>
      <c r="JD4" s="83"/>
      <c r="JE4" s="83"/>
      <c r="JF4" s="83"/>
      <c r="JG4" s="83"/>
      <c r="JH4" s="83"/>
      <c r="JI4" s="83"/>
      <c r="JJ4" s="83"/>
      <c r="JK4" s="83"/>
      <c r="JP4" s="400" t="s">
        <v>319</v>
      </c>
      <c r="JQ4" s="397" t="s">
        <v>320</v>
      </c>
      <c r="JR4" s="468" t="s">
        <v>321</v>
      </c>
      <c r="JS4" s="468"/>
      <c r="JT4" s="468"/>
      <c r="JU4" s="468"/>
      <c r="JV4" s="468"/>
      <c r="JW4" s="468"/>
      <c r="JX4" s="468"/>
      <c r="JY4" s="468"/>
      <c r="JZ4" s="468"/>
      <c r="KA4" s="468"/>
      <c r="KB4" s="468"/>
      <c r="KD4" s="400" t="s">
        <v>626</v>
      </c>
      <c r="KE4" s="400" t="s">
        <v>627</v>
      </c>
      <c r="KF4" s="400" t="s">
        <v>319</v>
      </c>
      <c r="KG4" s="397" t="s">
        <v>320</v>
      </c>
      <c r="KH4" s="468" t="s">
        <v>321</v>
      </c>
      <c r="KI4" s="468"/>
      <c r="KJ4" s="468"/>
      <c r="KK4" s="468"/>
      <c r="KL4" s="468"/>
      <c r="KM4" s="468"/>
      <c r="KN4" s="468"/>
      <c r="KO4" s="468"/>
      <c r="KP4" s="468"/>
      <c r="KQ4" s="468"/>
      <c r="KR4" s="468"/>
      <c r="KS4">
        <v>4</v>
      </c>
      <c r="KT4" t="s">
        <v>583</v>
      </c>
      <c r="LF4">
        <v>1</v>
      </c>
      <c r="LM4">
        <v>2</v>
      </c>
      <c r="LT4">
        <v>3</v>
      </c>
      <c r="MA4">
        <v>4</v>
      </c>
      <c r="MK4">
        <v>5</v>
      </c>
      <c r="MP4">
        <v>6</v>
      </c>
      <c r="MX4">
        <v>7</v>
      </c>
      <c r="NZ4" s="341" t="s">
        <v>592</v>
      </c>
      <c r="PO4" s="561"/>
      <c r="PP4" s="563"/>
      <c r="PQ4" s="563"/>
    </row>
    <row r="5" spans="1:437" ht="15.5" customHeight="1" x14ac:dyDescent="0.2">
      <c r="A5" s="480"/>
      <c r="B5" s="480"/>
      <c r="C5" s="480"/>
      <c r="D5" s="484"/>
      <c r="E5" s="485"/>
      <c r="F5" s="493" t="s">
        <v>6</v>
      </c>
      <c r="G5" s="493"/>
      <c r="H5" s="493"/>
      <c r="I5" s="493"/>
      <c r="J5" s="496" t="s">
        <v>283</v>
      </c>
      <c r="K5" s="497" t="s">
        <v>283</v>
      </c>
      <c r="L5" s="497" t="s">
        <v>283</v>
      </c>
      <c r="M5" s="497" t="s">
        <v>283</v>
      </c>
      <c r="N5" s="497" t="s">
        <v>283</v>
      </c>
      <c r="O5" s="497" t="s">
        <v>283</v>
      </c>
      <c r="P5" s="497" t="s">
        <v>283</v>
      </c>
      <c r="Q5" s="498" t="s">
        <v>283</v>
      </c>
      <c r="R5" s="493" t="s">
        <v>8</v>
      </c>
      <c r="S5" s="493"/>
      <c r="T5" s="493"/>
      <c r="U5" s="493"/>
      <c r="V5" s="493" t="s">
        <v>9</v>
      </c>
      <c r="W5" s="493"/>
      <c r="X5" s="493"/>
      <c r="Y5" s="493"/>
      <c r="Z5" s="493"/>
      <c r="AA5" s="502" t="s">
        <v>396</v>
      </c>
      <c r="AB5" s="502"/>
      <c r="AC5" s="502"/>
      <c r="AD5" s="502"/>
      <c r="AE5" s="502"/>
      <c r="AF5" s="434"/>
      <c r="AG5" s="435"/>
      <c r="AH5" s="436"/>
      <c r="AI5" s="440" t="s">
        <v>262</v>
      </c>
      <c r="AJ5" s="441"/>
      <c r="AK5" s="442"/>
      <c r="AL5" s="460"/>
      <c r="AM5" s="461"/>
      <c r="AN5" s="430"/>
      <c r="AO5" s="449" t="s">
        <v>10</v>
      </c>
      <c r="AP5" s="451"/>
      <c r="AQ5" s="449" t="s">
        <v>284</v>
      </c>
      <c r="AR5" s="451"/>
      <c r="AS5" s="449" t="s">
        <v>7</v>
      </c>
      <c r="AT5" s="451"/>
      <c r="AU5" s="449" t="s">
        <v>265</v>
      </c>
      <c r="AV5" s="451"/>
      <c r="AW5" s="449" t="s">
        <v>9</v>
      </c>
      <c r="AX5" s="451"/>
      <c r="AY5" s="449" t="s">
        <v>266</v>
      </c>
      <c r="AZ5" s="451"/>
      <c r="BA5" s="413"/>
      <c r="BB5" s="413"/>
      <c r="BE5" s="434"/>
      <c r="BF5" s="435"/>
      <c r="BG5" s="435"/>
      <c r="BH5" s="435"/>
      <c r="BI5" s="435"/>
      <c r="BJ5" s="435"/>
      <c r="BK5" s="436"/>
      <c r="BN5" s="400"/>
      <c r="BO5" s="397"/>
      <c r="BP5" s="472" t="s">
        <v>315</v>
      </c>
      <c r="BQ5" s="472"/>
      <c r="BR5" s="472"/>
      <c r="BS5" s="472"/>
      <c r="BT5" s="472"/>
      <c r="BU5" s="472"/>
      <c r="BV5" s="472"/>
      <c r="BW5" s="472" t="s">
        <v>330</v>
      </c>
      <c r="BX5" s="472"/>
      <c r="BY5" s="472"/>
      <c r="BZ5" s="472"/>
      <c r="CB5" s="470"/>
      <c r="CD5" s="400"/>
      <c r="CE5" s="397"/>
      <c r="CF5" s="472" t="s">
        <v>315</v>
      </c>
      <c r="CG5" s="472"/>
      <c r="CH5" s="472"/>
      <c r="CI5" s="472"/>
      <c r="CJ5" s="472"/>
      <c r="CK5" s="472"/>
      <c r="CL5" s="472"/>
      <c r="CM5" s="472" t="s">
        <v>330</v>
      </c>
      <c r="CN5" s="472"/>
      <c r="CO5" s="472"/>
      <c r="CP5" s="472"/>
      <c r="DV5" s="516"/>
      <c r="DW5" s="517"/>
      <c r="DX5" s="517"/>
      <c r="DY5" s="517"/>
      <c r="DZ5" s="517"/>
      <c r="EA5" s="517"/>
      <c r="EB5" s="518"/>
      <c r="ED5" s="52" t="s">
        <v>361</v>
      </c>
      <c r="EE5" s="51"/>
      <c r="EG5" s="533"/>
      <c r="EH5" s="533"/>
      <c r="EI5" s="429"/>
      <c r="EJ5" s="429"/>
      <c r="EK5" s="511"/>
      <c r="EL5" s="511"/>
      <c r="EM5" s="511"/>
      <c r="EN5" s="511"/>
      <c r="EO5" s="511"/>
      <c r="EP5" s="511"/>
      <c r="EQ5" s="429"/>
      <c r="ER5" s="429"/>
      <c r="ES5" s="429"/>
      <c r="ET5" s="429"/>
      <c r="EU5" s="429"/>
      <c r="EV5" s="429"/>
      <c r="EW5" s="511"/>
      <c r="EX5" s="511"/>
      <c r="EY5" s="511"/>
      <c r="EZ5" s="429"/>
      <c r="FA5" s="429"/>
      <c r="FB5" s="429"/>
      <c r="FC5" s="429"/>
      <c r="FD5" s="429"/>
      <c r="FE5" s="429"/>
      <c r="FF5" s="429"/>
      <c r="FH5" s="429"/>
      <c r="FI5" s="429"/>
      <c r="FJ5" s="429"/>
      <c r="FK5" s="429"/>
      <c r="FL5" s="429"/>
      <c r="FM5" s="429"/>
      <c r="FN5" s="429"/>
      <c r="FO5" s="429"/>
      <c r="FP5" s="429"/>
      <c r="FQ5" s="429"/>
      <c r="FR5" s="429"/>
      <c r="FS5" s="429"/>
      <c r="FT5" s="429"/>
      <c r="FU5" s="429"/>
      <c r="FV5" s="429"/>
      <c r="FX5" s="366"/>
      <c r="FY5" s="413"/>
      <c r="FZ5" s="397"/>
      <c r="GA5" s="397"/>
      <c r="GB5" s="397"/>
      <c r="GC5" s="397"/>
      <c r="GD5" s="397"/>
      <c r="GE5" s="397"/>
      <c r="GF5" s="27"/>
      <c r="GG5" s="397"/>
      <c r="GH5" s="397"/>
      <c r="GI5" s="27"/>
      <c r="GJ5" s="397"/>
      <c r="GK5" s="397"/>
      <c r="GO5" s="524"/>
      <c r="GP5" s="525"/>
      <c r="GQ5" s="525"/>
      <c r="GR5" s="525"/>
      <c r="GS5" s="525"/>
      <c r="GT5" s="526"/>
      <c r="GU5" s="91" t="s">
        <v>439</v>
      </c>
      <c r="GV5" s="524"/>
      <c r="GW5" s="526"/>
      <c r="GX5" s="92" t="s">
        <v>440</v>
      </c>
      <c r="GY5" s="113">
        <v>20</v>
      </c>
      <c r="GZ5" s="424"/>
      <c r="HA5" s="83"/>
      <c r="HB5" s="83"/>
      <c r="HC5" s="399" t="s">
        <v>441</v>
      </c>
      <c r="HD5" s="399" t="s">
        <v>442</v>
      </c>
      <c r="HE5" s="399" t="s">
        <v>18</v>
      </c>
      <c r="HF5" s="399" t="s">
        <v>443</v>
      </c>
      <c r="HG5" s="399" t="s">
        <v>444</v>
      </c>
      <c r="HH5" s="398" t="s">
        <v>445</v>
      </c>
      <c r="HI5" s="398" t="s">
        <v>446</v>
      </c>
      <c r="HJ5" s="90"/>
      <c r="HK5" s="399"/>
      <c r="HL5" s="83"/>
      <c r="HM5" s="83"/>
      <c r="HN5" s="83"/>
      <c r="HO5" s="83"/>
      <c r="HP5">
        <v>1</v>
      </c>
      <c r="HS5" s="94">
        <v>2</v>
      </c>
      <c r="HV5">
        <v>3</v>
      </c>
      <c r="HY5">
        <v>4</v>
      </c>
      <c r="IB5">
        <v>5</v>
      </c>
      <c r="IE5">
        <v>6</v>
      </c>
      <c r="IH5">
        <v>7</v>
      </c>
      <c r="IK5">
        <v>8</v>
      </c>
      <c r="IM5" s="83"/>
      <c r="IN5" s="83"/>
      <c r="IO5" s="83"/>
      <c r="IP5" s="83"/>
      <c r="IQ5" s="83"/>
      <c r="IR5" s="83"/>
      <c r="IS5" s="83"/>
      <c r="IT5" s="83"/>
      <c r="IU5" s="83"/>
      <c r="IV5" s="83"/>
      <c r="IW5" s="83"/>
      <c r="IX5" s="83"/>
      <c r="IY5" s="83"/>
      <c r="IZ5" s="83"/>
      <c r="JA5" s="83"/>
      <c r="JB5" s="83"/>
      <c r="JC5" s="83"/>
      <c r="JD5" s="83"/>
      <c r="JE5" s="83"/>
      <c r="JF5" s="83"/>
      <c r="JG5" s="83"/>
      <c r="JH5" s="83"/>
      <c r="JI5" s="83"/>
      <c r="JJ5" s="83"/>
      <c r="JK5" s="83"/>
      <c r="JP5" s="400"/>
      <c r="JQ5" s="397"/>
      <c r="JR5" s="472" t="s">
        <v>315</v>
      </c>
      <c r="JS5" s="472"/>
      <c r="JT5" s="472"/>
      <c r="JU5" s="472"/>
      <c r="JV5" s="472"/>
      <c r="JW5" s="472"/>
      <c r="JX5" s="472"/>
      <c r="JY5" s="472" t="s">
        <v>330</v>
      </c>
      <c r="JZ5" s="472"/>
      <c r="KA5" s="472"/>
      <c r="KB5" s="472"/>
      <c r="KD5" s="400"/>
      <c r="KE5" s="400"/>
      <c r="KF5" s="400"/>
      <c r="KG5" s="397"/>
      <c r="KH5" s="472" t="s">
        <v>315</v>
      </c>
      <c r="KI5" s="472"/>
      <c r="KJ5" s="472"/>
      <c r="KK5" s="472"/>
      <c r="KL5" s="472"/>
      <c r="KM5" s="472"/>
      <c r="KN5" s="472"/>
      <c r="KO5" s="472" t="s">
        <v>330</v>
      </c>
      <c r="KP5" s="472"/>
      <c r="KQ5" s="472"/>
      <c r="KR5" s="472"/>
      <c r="KS5">
        <v>5</v>
      </c>
      <c r="KT5" t="s">
        <v>519</v>
      </c>
      <c r="KU5" s="534" t="s">
        <v>509</v>
      </c>
      <c r="KV5" s="534" t="s">
        <v>510</v>
      </c>
      <c r="KW5" s="536" t="s">
        <v>11</v>
      </c>
      <c r="KX5" s="537" t="s">
        <v>511</v>
      </c>
      <c r="KY5" s="537" t="s">
        <v>434</v>
      </c>
      <c r="KZ5" s="540" t="s">
        <v>512</v>
      </c>
      <c r="LA5" s="540"/>
      <c r="LB5" s="540" t="s">
        <v>513</v>
      </c>
      <c r="LC5" s="540"/>
      <c r="LD5" s="541" t="s">
        <v>514</v>
      </c>
      <c r="LE5" s="541"/>
      <c r="LF5" s="544" t="s">
        <v>515</v>
      </c>
      <c r="LG5" s="544"/>
      <c r="LH5" s="544"/>
      <c r="LI5" s="544"/>
      <c r="LJ5" s="544"/>
      <c r="LK5" s="544"/>
      <c r="LL5" s="544"/>
      <c r="LM5" s="547" t="s">
        <v>516</v>
      </c>
      <c r="LN5" s="547"/>
      <c r="LO5" s="547"/>
      <c r="LP5" s="547"/>
      <c r="LQ5" s="547"/>
      <c r="LR5" s="547"/>
      <c r="LS5" s="547"/>
      <c r="LT5" s="548" t="s">
        <v>517</v>
      </c>
      <c r="LU5" s="548"/>
      <c r="LV5" s="548"/>
      <c r="LW5" s="548"/>
      <c r="LX5" s="548"/>
      <c r="LY5" s="548"/>
      <c r="LZ5" s="548"/>
      <c r="MA5" s="549" t="s">
        <v>518</v>
      </c>
      <c r="MB5" s="549"/>
      <c r="MC5" s="549"/>
      <c r="MD5" s="549"/>
      <c r="ME5" s="549"/>
      <c r="MF5" s="549"/>
      <c r="MG5" s="549"/>
      <c r="MH5" s="549"/>
      <c r="MI5" s="549"/>
      <c r="MJ5" s="549"/>
      <c r="MK5" s="550" t="s">
        <v>519</v>
      </c>
      <c r="ML5" s="551"/>
      <c r="MM5" s="551"/>
      <c r="MN5" s="551"/>
      <c r="MO5" s="552"/>
      <c r="MP5" s="372" t="s">
        <v>520</v>
      </c>
      <c r="MQ5" s="373"/>
      <c r="MR5" s="373"/>
      <c r="MS5" s="373"/>
      <c r="MT5" s="373"/>
      <c r="MU5" s="373"/>
      <c r="MV5" s="373"/>
      <c r="MW5" s="374"/>
      <c r="MX5" s="375" t="s">
        <v>575</v>
      </c>
      <c r="MY5" s="376"/>
      <c r="MZ5" s="376"/>
      <c r="NA5" s="376"/>
      <c r="NB5" s="377"/>
      <c r="NC5" s="378" t="s">
        <v>521</v>
      </c>
      <c r="ND5" s="379"/>
      <c r="NE5" s="380"/>
      <c r="NF5" s="384" t="s">
        <v>522</v>
      </c>
      <c r="NG5" s="385"/>
      <c r="NH5" s="385"/>
      <c r="NI5" s="386"/>
      <c r="NJ5" s="350" t="s">
        <v>523</v>
      </c>
      <c r="NK5" s="370" t="s">
        <v>524</v>
      </c>
      <c r="NZ5" s="341"/>
      <c r="OE5" s="340" t="s">
        <v>596</v>
      </c>
      <c r="OF5" s="340" t="s">
        <v>597</v>
      </c>
      <c r="OG5" s="340" t="s">
        <v>457</v>
      </c>
      <c r="OH5" s="340" t="s">
        <v>303</v>
      </c>
      <c r="OI5" s="340" t="s">
        <v>598</v>
      </c>
      <c r="OJ5" s="340" t="s">
        <v>599</v>
      </c>
      <c r="OK5" s="340" t="s">
        <v>600</v>
      </c>
      <c r="OL5" s="340" t="s">
        <v>601</v>
      </c>
      <c r="OM5" s="340" t="s">
        <v>602</v>
      </c>
      <c r="OO5" s="340" t="s">
        <v>596</v>
      </c>
      <c r="OP5" s="340" t="s">
        <v>597</v>
      </c>
      <c r="OQ5" s="340" t="s">
        <v>457</v>
      </c>
      <c r="OR5" s="340" t="s">
        <v>303</v>
      </c>
      <c r="OS5" s="340" t="s">
        <v>598</v>
      </c>
      <c r="OT5" s="340" t="s">
        <v>599</v>
      </c>
      <c r="OU5" s="340" t="s">
        <v>600</v>
      </c>
      <c r="OV5" s="340" t="s">
        <v>601</v>
      </c>
      <c r="OW5" s="340" t="s">
        <v>602</v>
      </c>
      <c r="PA5" s="529" t="s">
        <v>617</v>
      </c>
      <c r="PB5" s="529"/>
      <c r="PC5" s="529"/>
      <c r="PD5" s="529"/>
      <c r="PE5" s="529"/>
      <c r="PF5" s="529"/>
      <c r="PG5" s="529"/>
      <c r="PH5" s="529"/>
      <c r="PI5" s="529"/>
      <c r="PJ5" s="529"/>
      <c r="PK5" s="529"/>
      <c r="PL5" s="529"/>
      <c r="PO5" s="561"/>
      <c r="PP5" s="563"/>
      <c r="PQ5" s="563"/>
    </row>
    <row r="6" spans="1:437" ht="14.75" customHeight="1" x14ac:dyDescent="0.2">
      <c r="A6" s="480"/>
      <c r="B6" s="480"/>
      <c r="C6" s="480"/>
      <c r="D6" s="484"/>
      <c r="E6" s="485"/>
      <c r="F6" s="494"/>
      <c r="G6" s="494"/>
      <c r="H6" s="494"/>
      <c r="I6" s="494"/>
      <c r="J6" s="489" t="s">
        <v>284</v>
      </c>
      <c r="K6" s="482" t="s">
        <v>284</v>
      </c>
      <c r="L6" s="482" t="s">
        <v>284</v>
      </c>
      <c r="M6" s="483" t="s">
        <v>284</v>
      </c>
      <c r="N6" s="489" t="s">
        <v>7</v>
      </c>
      <c r="O6" s="482" t="s">
        <v>285</v>
      </c>
      <c r="P6" s="482" t="s">
        <v>285</v>
      </c>
      <c r="Q6" s="483" t="s">
        <v>285</v>
      </c>
      <c r="R6" s="494"/>
      <c r="S6" s="494"/>
      <c r="T6" s="494"/>
      <c r="U6" s="494"/>
      <c r="V6" s="494"/>
      <c r="W6" s="494"/>
      <c r="X6" s="494"/>
      <c r="Y6" s="494"/>
      <c r="Z6" s="494"/>
      <c r="AA6" s="503"/>
      <c r="AB6" s="503"/>
      <c r="AC6" s="503"/>
      <c r="AD6" s="503"/>
      <c r="AE6" s="503"/>
      <c r="AF6" s="454" t="s">
        <v>11</v>
      </c>
      <c r="AG6" s="457" t="s">
        <v>311</v>
      </c>
      <c r="AH6" s="486" t="s">
        <v>293</v>
      </c>
      <c r="AI6" s="443"/>
      <c r="AJ6" s="444"/>
      <c r="AK6" s="445"/>
      <c r="AL6" s="462" t="s">
        <v>265</v>
      </c>
      <c r="AM6" s="465" t="s">
        <v>9</v>
      </c>
      <c r="AN6" s="430"/>
      <c r="AO6" s="452"/>
      <c r="AP6" s="453"/>
      <c r="AQ6" s="452"/>
      <c r="AR6" s="453"/>
      <c r="AS6" s="452"/>
      <c r="AT6" s="453"/>
      <c r="AU6" s="452"/>
      <c r="AV6" s="453"/>
      <c r="AW6" s="452"/>
      <c r="AX6" s="453"/>
      <c r="AY6" s="452"/>
      <c r="AZ6" s="453"/>
      <c r="BA6" s="413"/>
      <c r="BB6" s="413"/>
      <c r="BE6" s="454" t="s">
        <v>11</v>
      </c>
      <c r="BF6" s="457" t="s">
        <v>306</v>
      </c>
      <c r="BG6" s="457" t="s">
        <v>307</v>
      </c>
      <c r="BH6" s="457" t="s">
        <v>308</v>
      </c>
      <c r="BI6" s="457" t="s">
        <v>309</v>
      </c>
      <c r="BJ6" s="457"/>
      <c r="BK6" s="457" t="s">
        <v>310</v>
      </c>
      <c r="BN6" s="400"/>
      <c r="BO6" s="397"/>
      <c r="BP6" s="472" t="s">
        <v>316</v>
      </c>
      <c r="BQ6" s="472"/>
      <c r="BR6" s="472"/>
      <c r="BS6" s="472"/>
      <c r="BT6" s="472"/>
      <c r="BU6" s="473" t="s">
        <v>325</v>
      </c>
      <c r="BV6" s="474"/>
      <c r="BW6" s="475" t="s">
        <v>331</v>
      </c>
      <c r="BX6" s="472" t="s">
        <v>332</v>
      </c>
      <c r="BY6" s="472"/>
      <c r="BZ6" s="472"/>
      <c r="CB6" s="470"/>
      <c r="CD6" s="400"/>
      <c r="CE6" s="397"/>
      <c r="CF6" s="472" t="s">
        <v>316</v>
      </c>
      <c r="CG6" s="472"/>
      <c r="CH6" s="472"/>
      <c r="CI6" s="472"/>
      <c r="CJ6" s="472"/>
      <c r="CK6" s="473" t="s">
        <v>325</v>
      </c>
      <c r="CL6" s="474"/>
      <c r="CM6" s="475" t="s">
        <v>331</v>
      </c>
      <c r="CN6" s="472" t="s">
        <v>332</v>
      </c>
      <c r="CO6" s="472"/>
      <c r="CP6" s="472"/>
      <c r="DV6" s="530" t="s">
        <v>11</v>
      </c>
      <c r="DW6" s="476" t="s">
        <v>300</v>
      </c>
      <c r="DX6" s="476" t="s">
        <v>301</v>
      </c>
      <c r="DY6" s="476" t="s">
        <v>343</v>
      </c>
      <c r="DZ6" s="476" t="s">
        <v>302</v>
      </c>
      <c r="EA6" s="476" t="s">
        <v>351</v>
      </c>
      <c r="EB6" s="476" t="s">
        <v>18</v>
      </c>
      <c r="ED6" s="50"/>
      <c r="EE6" s="51"/>
      <c r="EG6" s="533"/>
      <c r="EH6" s="533"/>
      <c r="EI6" s="429"/>
      <c r="EJ6" s="429"/>
      <c r="EK6" s="511"/>
      <c r="EL6" s="511"/>
      <c r="EM6" s="511"/>
      <c r="EN6" s="511"/>
      <c r="EO6" s="511"/>
      <c r="EP6" s="511"/>
      <c r="EQ6" s="429"/>
      <c r="ER6" s="429"/>
      <c r="ES6" s="429"/>
      <c r="ET6" s="429"/>
      <c r="EU6" s="429"/>
      <c r="EV6" s="429"/>
      <c r="EW6" s="511"/>
      <c r="EX6" s="511"/>
      <c r="EY6" s="511"/>
      <c r="EZ6" s="429"/>
      <c r="FA6" s="429"/>
      <c r="FB6" s="429"/>
      <c r="FC6" s="429"/>
      <c r="FD6" s="429"/>
      <c r="FE6" s="429"/>
      <c r="FF6" s="429"/>
      <c r="FH6" s="429"/>
      <c r="FI6" s="429"/>
      <c r="FJ6" s="429"/>
      <c r="FK6" s="429"/>
      <c r="FL6" s="429"/>
      <c r="FM6" s="429"/>
      <c r="FN6" s="429"/>
      <c r="FO6" s="429"/>
      <c r="FP6" s="429"/>
      <c r="FQ6" s="429"/>
      <c r="FR6" s="429"/>
      <c r="FS6" s="429"/>
      <c r="FT6" s="429"/>
      <c r="FU6" s="429"/>
      <c r="FV6" s="429"/>
      <c r="FX6" s="366"/>
      <c r="FY6" s="413"/>
      <c r="FZ6" s="397"/>
      <c r="GA6" s="397"/>
      <c r="GB6" s="397"/>
      <c r="GC6" s="397"/>
      <c r="GD6" s="397"/>
      <c r="GE6" s="397"/>
      <c r="GF6" s="27"/>
      <c r="GG6" s="397"/>
      <c r="GH6" s="397"/>
      <c r="GI6" s="27"/>
      <c r="GJ6" s="397"/>
      <c r="GK6" s="397"/>
      <c r="GO6" s="423" t="s">
        <v>434</v>
      </c>
      <c r="GP6" s="423" t="s">
        <v>440</v>
      </c>
      <c r="GQ6" s="423" t="s">
        <v>7</v>
      </c>
      <c r="GR6" s="423" t="s">
        <v>265</v>
      </c>
      <c r="GS6" s="423" t="s">
        <v>447</v>
      </c>
      <c r="GT6" s="423" t="s">
        <v>448</v>
      </c>
      <c r="GU6" s="91"/>
      <c r="GV6" s="527"/>
      <c r="GW6" s="528"/>
      <c r="GX6" s="92" t="s">
        <v>7</v>
      </c>
      <c r="GY6" s="113">
        <v>10</v>
      </c>
      <c r="GZ6" s="424"/>
      <c r="HA6" s="83"/>
      <c r="HB6" s="83"/>
      <c r="HC6" s="399"/>
      <c r="HD6" s="399"/>
      <c r="HE6" s="399"/>
      <c r="HF6" s="399"/>
      <c r="HG6" s="399"/>
      <c r="HH6" s="399"/>
      <c r="HI6" s="399"/>
      <c r="HJ6" s="90"/>
      <c r="HK6" s="399"/>
      <c r="HL6" s="83"/>
      <c r="HM6" s="83"/>
      <c r="HN6" s="83"/>
      <c r="HO6" s="83"/>
      <c r="HP6" s="418" t="s">
        <v>449</v>
      </c>
      <c r="HQ6" s="419"/>
      <c r="HR6" s="420"/>
      <c r="HS6" s="406" t="s">
        <v>450</v>
      </c>
      <c r="HT6" s="407"/>
      <c r="HU6" s="408"/>
      <c r="HV6" s="415" t="s">
        <v>451</v>
      </c>
      <c r="HW6" s="416"/>
      <c r="HX6" s="416"/>
      <c r="HY6" s="416"/>
      <c r="HZ6" s="416"/>
      <c r="IA6" s="417"/>
      <c r="IB6" s="403" t="s">
        <v>452</v>
      </c>
      <c r="IC6" s="404"/>
      <c r="ID6" s="404"/>
      <c r="IE6" s="404"/>
      <c r="IF6" s="404"/>
      <c r="IG6" s="405"/>
      <c r="IH6" s="403" t="s">
        <v>453</v>
      </c>
      <c r="II6" s="404"/>
      <c r="IJ6" s="404"/>
      <c r="IK6" s="404"/>
      <c r="IL6" s="404"/>
      <c r="IM6" s="405"/>
      <c r="IN6" s="83"/>
      <c r="IO6" s="406" t="s">
        <v>454</v>
      </c>
      <c r="IP6" s="407"/>
      <c r="IQ6" s="408"/>
      <c r="IR6" s="83"/>
      <c r="IS6" s="406" t="s">
        <v>455</v>
      </c>
      <c r="IT6" s="407"/>
      <c r="IU6" s="408"/>
      <c r="IV6" s="83"/>
      <c r="IW6" s="406" t="s">
        <v>456</v>
      </c>
      <c r="IX6" s="407"/>
      <c r="IY6" s="408"/>
      <c r="IZ6" s="83"/>
      <c r="JA6" s="406" t="s">
        <v>457</v>
      </c>
      <c r="JB6" s="407"/>
      <c r="JC6" s="408"/>
      <c r="JD6" s="83"/>
      <c r="JE6" s="406" t="s">
        <v>18</v>
      </c>
      <c r="JF6" s="407"/>
      <c r="JG6" s="408"/>
      <c r="JH6" s="83"/>
      <c r="JI6" s="406" t="s">
        <v>458</v>
      </c>
      <c r="JJ6" s="407"/>
      <c r="JK6" s="408"/>
      <c r="JP6" s="400"/>
      <c r="JQ6" s="397"/>
      <c r="JR6" s="472" t="s">
        <v>316</v>
      </c>
      <c r="JS6" s="472"/>
      <c r="JT6" s="472"/>
      <c r="JU6" s="472"/>
      <c r="JV6" s="472"/>
      <c r="JW6" s="473" t="s">
        <v>325</v>
      </c>
      <c r="JX6" s="474"/>
      <c r="JY6" s="475" t="s">
        <v>331</v>
      </c>
      <c r="JZ6" s="472" t="s">
        <v>332</v>
      </c>
      <c r="KA6" s="472"/>
      <c r="KB6" s="472"/>
      <c r="KD6" s="400"/>
      <c r="KE6" s="400"/>
      <c r="KF6" s="400"/>
      <c r="KG6" s="397"/>
      <c r="KH6" s="472" t="s">
        <v>316</v>
      </c>
      <c r="KI6" s="472"/>
      <c r="KJ6" s="472"/>
      <c r="KK6" s="472"/>
      <c r="KL6" s="472"/>
      <c r="KM6" s="473" t="s">
        <v>325</v>
      </c>
      <c r="KN6" s="474"/>
      <c r="KO6" s="475" t="s">
        <v>331</v>
      </c>
      <c r="KP6" s="472" t="s">
        <v>332</v>
      </c>
      <c r="KQ6" s="472"/>
      <c r="KR6" s="472"/>
      <c r="KS6">
        <v>6</v>
      </c>
      <c r="KT6" t="s">
        <v>584</v>
      </c>
      <c r="KU6" s="535"/>
      <c r="KV6" s="535"/>
      <c r="KW6" s="536"/>
      <c r="KX6" s="538"/>
      <c r="KY6" s="538"/>
      <c r="KZ6" s="540"/>
      <c r="LA6" s="540"/>
      <c r="LB6" s="540"/>
      <c r="LC6" s="540"/>
      <c r="LD6" s="542"/>
      <c r="LE6" s="542"/>
      <c r="LF6" s="545" t="s">
        <v>525</v>
      </c>
      <c r="LG6" s="545" t="s">
        <v>526</v>
      </c>
      <c r="LH6" s="546" t="s">
        <v>527</v>
      </c>
      <c r="LI6" s="545" t="s">
        <v>528</v>
      </c>
      <c r="LJ6" s="545" t="s">
        <v>529</v>
      </c>
      <c r="LK6" s="545" t="s">
        <v>530</v>
      </c>
      <c r="LL6" s="545" t="s">
        <v>531</v>
      </c>
      <c r="LM6" s="396" t="s">
        <v>532</v>
      </c>
      <c r="LN6" s="396" t="s">
        <v>533</v>
      </c>
      <c r="LO6" s="553" t="s">
        <v>534</v>
      </c>
      <c r="LP6" s="554" t="s">
        <v>535</v>
      </c>
      <c r="LQ6" s="396" t="s">
        <v>529</v>
      </c>
      <c r="LR6" s="396" t="s">
        <v>536</v>
      </c>
      <c r="LS6" s="396" t="s">
        <v>531</v>
      </c>
      <c r="LT6" s="356" t="s">
        <v>537</v>
      </c>
      <c r="LU6" s="356" t="s">
        <v>538</v>
      </c>
      <c r="LV6" s="356" t="s">
        <v>539</v>
      </c>
      <c r="LW6" s="356" t="s">
        <v>540</v>
      </c>
      <c r="LX6" s="356" t="s">
        <v>541</v>
      </c>
      <c r="LY6" s="356" t="s">
        <v>542</v>
      </c>
      <c r="LZ6" s="356" t="s">
        <v>531</v>
      </c>
      <c r="MA6" s="345" t="s">
        <v>543</v>
      </c>
      <c r="MB6" s="345" t="s">
        <v>544</v>
      </c>
      <c r="MC6" s="345" t="s">
        <v>545</v>
      </c>
      <c r="MD6" s="345" t="s">
        <v>546</v>
      </c>
      <c r="ME6" s="345" t="s">
        <v>547</v>
      </c>
      <c r="MF6" s="345" t="s">
        <v>548</v>
      </c>
      <c r="MG6" s="345" t="s">
        <v>549</v>
      </c>
      <c r="MH6" s="345" t="s">
        <v>550</v>
      </c>
      <c r="MI6" s="345" t="s">
        <v>529</v>
      </c>
      <c r="MJ6" s="345" t="s">
        <v>531</v>
      </c>
      <c r="MK6" s="342" t="s">
        <v>551</v>
      </c>
      <c r="ML6" s="342" t="s">
        <v>552</v>
      </c>
      <c r="MM6" s="342" t="s">
        <v>553</v>
      </c>
      <c r="MN6" s="342" t="s">
        <v>529</v>
      </c>
      <c r="MO6" s="342" t="s">
        <v>531</v>
      </c>
      <c r="MP6" s="362" t="s">
        <v>554</v>
      </c>
      <c r="MQ6" s="362" t="s">
        <v>555</v>
      </c>
      <c r="MR6" s="362" t="s">
        <v>556</v>
      </c>
      <c r="MS6" s="362" t="s">
        <v>557</v>
      </c>
      <c r="MT6" s="362" t="s">
        <v>558</v>
      </c>
      <c r="MU6" s="362" t="s">
        <v>529</v>
      </c>
      <c r="MV6" s="362" t="s">
        <v>559</v>
      </c>
      <c r="MW6" s="362" t="s">
        <v>531</v>
      </c>
      <c r="MX6" s="359" t="s">
        <v>576</v>
      </c>
      <c r="MY6" s="359" t="s">
        <v>577</v>
      </c>
      <c r="MZ6" s="359" t="s">
        <v>578</v>
      </c>
      <c r="NA6" s="359" t="s">
        <v>579</v>
      </c>
      <c r="NB6" s="359" t="s">
        <v>522</v>
      </c>
      <c r="NC6" s="381"/>
      <c r="ND6" s="382"/>
      <c r="NE6" s="383"/>
      <c r="NF6" s="387"/>
      <c r="NG6" s="388"/>
      <c r="NH6" s="388"/>
      <c r="NI6" s="389"/>
      <c r="NJ6" s="351"/>
      <c r="NK6" s="371"/>
      <c r="NZ6" s="341"/>
      <c r="OE6" s="340"/>
      <c r="OF6" s="340"/>
      <c r="OG6" s="340"/>
      <c r="OH6" s="340"/>
      <c r="OI6" s="340"/>
      <c r="OJ6" s="340"/>
      <c r="OK6" s="340"/>
      <c r="OL6" s="340"/>
      <c r="OM6" s="340"/>
      <c r="OO6" s="340"/>
      <c r="OP6" s="340"/>
      <c r="OQ6" s="340"/>
      <c r="OR6" s="340"/>
      <c r="OS6" s="340"/>
      <c r="OT6" s="340"/>
      <c r="OU6" s="340"/>
      <c r="OV6" s="340"/>
      <c r="OW6" s="340"/>
      <c r="PA6" s="415" t="s">
        <v>11</v>
      </c>
      <c r="PB6" s="416"/>
      <c r="PC6" s="416"/>
      <c r="PD6" s="416"/>
      <c r="PE6" s="416"/>
      <c r="PF6" s="417"/>
      <c r="PG6" s="355" t="s">
        <v>13</v>
      </c>
      <c r="PH6" s="355"/>
      <c r="PI6" s="355"/>
      <c r="PJ6" s="355"/>
      <c r="PK6" s="355"/>
      <c r="PL6" s="355"/>
      <c r="PO6" s="561"/>
      <c r="PP6" s="563"/>
      <c r="PQ6" s="563"/>
    </row>
    <row r="7" spans="1:437" ht="15.5" customHeight="1" x14ac:dyDescent="0.2">
      <c r="A7" s="480"/>
      <c r="B7" s="480"/>
      <c r="C7" s="480"/>
      <c r="D7" s="496" t="s">
        <v>10</v>
      </c>
      <c r="E7" s="498"/>
      <c r="F7" s="495"/>
      <c r="G7" s="495"/>
      <c r="H7" s="495"/>
      <c r="I7" s="495"/>
      <c r="J7" s="490" t="s">
        <v>284</v>
      </c>
      <c r="K7" s="491" t="s">
        <v>284</v>
      </c>
      <c r="L7" s="491" t="s">
        <v>284</v>
      </c>
      <c r="M7" s="492" t="s">
        <v>284</v>
      </c>
      <c r="N7" s="490" t="s">
        <v>285</v>
      </c>
      <c r="O7" s="491" t="s">
        <v>285</v>
      </c>
      <c r="P7" s="491" t="s">
        <v>285</v>
      </c>
      <c r="Q7" s="492" t="s">
        <v>285</v>
      </c>
      <c r="R7" s="495"/>
      <c r="S7" s="495"/>
      <c r="T7" s="495"/>
      <c r="U7" s="495"/>
      <c r="V7" s="495"/>
      <c r="W7" s="495"/>
      <c r="X7" s="495"/>
      <c r="Y7" s="495"/>
      <c r="Z7" s="495"/>
      <c r="AA7" s="504"/>
      <c r="AB7" s="504"/>
      <c r="AC7" s="504"/>
      <c r="AD7" s="504"/>
      <c r="AE7" s="504"/>
      <c r="AF7" s="455"/>
      <c r="AG7" s="458"/>
      <c r="AH7" s="487"/>
      <c r="AI7" s="446"/>
      <c r="AJ7" s="447"/>
      <c r="AK7" s="448"/>
      <c r="AL7" s="463"/>
      <c r="AM7" s="466"/>
      <c r="AN7" s="430"/>
      <c r="AO7" s="69" t="s">
        <v>11</v>
      </c>
      <c r="AP7" s="69" t="s">
        <v>267</v>
      </c>
      <c r="AQ7" s="69" t="s">
        <v>11</v>
      </c>
      <c r="AR7" s="69" t="s">
        <v>267</v>
      </c>
      <c r="AS7" s="69" t="s">
        <v>11</v>
      </c>
      <c r="AT7" s="69" t="s">
        <v>267</v>
      </c>
      <c r="AU7" s="69" t="s">
        <v>11</v>
      </c>
      <c r="AV7" s="69" t="s">
        <v>267</v>
      </c>
      <c r="AW7" s="69" t="s">
        <v>11</v>
      </c>
      <c r="AX7" s="69" t="s">
        <v>267</v>
      </c>
      <c r="AY7" s="69" t="s">
        <v>11</v>
      </c>
      <c r="AZ7" s="69" t="s">
        <v>267</v>
      </c>
      <c r="BA7" s="413"/>
      <c r="BB7" s="413"/>
      <c r="BE7" s="455"/>
      <c r="BF7" s="458"/>
      <c r="BG7" s="458"/>
      <c r="BH7" s="458"/>
      <c r="BI7" s="458"/>
      <c r="BJ7" s="458"/>
      <c r="BK7" s="458"/>
      <c r="BN7" s="400"/>
      <c r="BO7" s="397"/>
      <c r="BP7" s="397" t="s">
        <v>317</v>
      </c>
      <c r="BQ7" s="472" t="s">
        <v>318</v>
      </c>
      <c r="BR7" s="472"/>
      <c r="BS7" s="472" t="s">
        <v>322</v>
      </c>
      <c r="BT7" s="472"/>
      <c r="BU7" s="397" t="s">
        <v>327</v>
      </c>
      <c r="BV7" s="401" t="s">
        <v>326</v>
      </c>
      <c r="BW7" s="475"/>
      <c r="BX7" s="401" t="s">
        <v>333</v>
      </c>
      <c r="BY7" s="401" t="s">
        <v>334</v>
      </c>
      <c r="BZ7" s="397" t="s">
        <v>335</v>
      </c>
      <c r="CB7" s="470"/>
      <c r="CD7" s="400"/>
      <c r="CE7" s="397"/>
      <c r="CF7" s="397" t="s">
        <v>317</v>
      </c>
      <c r="CG7" s="472" t="s">
        <v>318</v>
      </c>
      <c r="CH7" s="472"/>
      <c r="CI7" s="472" t="s">
        <v>322</v>
      </c>
      <c r="CJ7" s="472"/>
      <c r="CK7" s="397" t="s">
        <v>327</v>
      </c>
      <c r="CL7" s="401" t="s">
        <v>326</v>
      </c>
      <c r="CM7" s="475"/>
      <c r="CN7" s="401" t="s">
        <v>333</v>
      </c>
      <c r="CO7" s="401" t="s">
        <v>334</v>
      </c>
      <c r="CP7" s="397" t="s">
        <v>335</v>
      </c>
      <c r="DV7" s="531"/>
      <c r="DW7" s="477"/>
      <c r="DX7" s="477"/>
      <c r="DY7" s="477"/>
      <c r="DZ7" s="477"/>
      <c r="EA7" s="477"/>
      <c r="EB7" s="477"/>
      <c r="ED7" s="50"/>
      <c r="EE7" s="51"/>
      <c r="EG7" s="533"/>
      <c r="EH7" s="533"/>
      <c r="EI7" s="429"/>
      <c r="EJ7" s="429"/>
      <c r="EK7" s="512"/>
      <c r="EL7" s="512"/>
      <c r="EM7" s="512"/>
      <c r="EN7" s="512"/>
      <c r="EO7" s="512"/>
      <c r="EP7" s="512"/>
      <c r="EQ7" s="429"/>
      <c r="ER7" s="429"/>
      <c r="ES7" s="429"/>
      <c r="ET7" s="429"/>
      <c r="EU7" s="429"/>
      <c r="EV7" s="429"/>
      <c r="EW7" s="512"/>
      <c r="EX7" s="512"/>
      <c r="EY7" s="512"/>
      <c r="EZ7" s="429"/>
      <c r="FA7" s="429"/>
      <c r="FB7" s="429"/>
      <c r="FC7" s="429"/>
      <c r="FD7" s="429"/>
      <c r="FE7" s="429"/>
      <c r="FF7" s="429"/>
      <c r="FH7" s="429"/>
      <c r="FI7" s="429"/>
      <c r="FJ7" s="429"/>
      <c r="FK7" s="429"/>
      <c r="FL7" s="429"/>
      <c r="FM7" s="429"/>
      <c r="FN7" s="429"/>
      <c r="FO7" s="429"/>
      <c r="FP7" s="429"/>
      <c r="FQ7" s="429"/>
      <c r="FR7" s="429"/>
      <c r="FS7" s="429"/>
      <c r="FT7" s="429"/>
      <c r="FU7" s="429"/>
      <c r="FV7" s="429"/>
      <c r="FX7" s="366"/>
      <c r="FY7" s="413"/>
      <c r="FZ7" s="397"/>
      <c r="GA7" s="397"/>
      <c r="GB7" s="397"/>
      <c r="GC7" s="397"/>
      <c r="GD7" s="397"/>
      <c r="GE7" s="397"/>
      <c r="GF7" s="27"/>
      <c r="GG7" s="397"/>
      <c r="GH7" s="397"/>
      <c r="GI7" s="27"/>
      <c r="GJ7" s="397"/>
      <c r="GK7" s="397"/>
      <c r="GO7" s="424"/>
      <c r="GP7" s="424"/>
      <c r="GQ7" s="424"/>
      <c r="GR7" s="424"/>
      <c r="GS7" s="424"/>
      <c r="GT7" s="424"/>
      <c r="GU7" s="91"/>
      <c r="GV7" s="423" t="s">
        <v>459</v>
      </c>
      <c r="GW7" s="423" t="s">
        <v>460</v>
      </c>
      <c r="GX7" s="92" t="s">
        <v>265</v>
      </c>
      <c r="GY7" s="113">
        <v>10</v>
      </c>
      <c r="GZ7" s="424"/>
      <c r="HA7" s="83"/>
      <c r="HB7" s="83"/>
      <c r="HC7" s="399"/>
      <c r="HD7" s="399"/>
      <c r="HE7" s="399"/>
      <c r="HF7" s="399"/>
      <c r="HG7" s="399"/>
      <c r="HH7" s="399"/>
      <c r="HI7" s="399"/>
      <c r="HJ7" s="90"/>
      <c r="HK7" s="399"/>
      <c r="HL7" s="83"/>
      <c r="HM7" s="83"/>
      <c r="HN7" s="83"/>
      <c r="HO7" s="83"/>
      <c r="HP7" s="421"/>
      <c r="HQ7" s="388"/>
      <c r="HR7" s="422"/>
      <c r="HS7" s="409"/>
      <c r="HT7" s="410"/>
      <c r="HU7" s="411"/>
      <c r="HV7" s="415" t="s">
        <v>461</v>
      </c>
      <c r="HW7" s="416"/>
      <c r="HX7" s="417"/>
      <c r="HY7" s="415" t="s">
        <v>462</v>
      </c>
      <c r="HZ7" s="416"/>
      <c r="IA7" s="417"/>
      <c r="IB7" s="415" t="s">
        <v>461</v>
      </c>
      <c r="IC7" s="416"/>
      <c r="ID7" s="417"/>
      <c r="IE7" s="415" t="s">
        <v>462</v>
      </c>
      <c r="IF7" s="416"/>
      <c r="IG7" s="417"/>
      <c r="IH7" s="415" t="s">
        <v>461</v>
      </c>
      <c r="II7" s="416"/>
      <c r="IJ7" s="417"/>
      <c r="IK7" s="415" t="s">
        <v>462</v>
      </c>
      <c r="IL7" s="416"/>
      <c r="IM7" s="417"/>
      <c r="IN7" s="83"/>
      <c r="IO7" s="409"/>
      <c r="IP7" s="410"/>
      <c r="IQ7" s="411"/>
      <c r="IR7" s="83"/>
      <c r="IS7" s="409"/>
      <c r="IT7" s="410"/>
      <c r="IU7" s="411"/>
      <c r="IV7" s="83"/>
      <c r="IW7" s="409"/>
      <c r="IX7" s="410"/>
      <c r="IY7" s="411"/>
      <c r="IZ7" s="83"/>
      <c r="JA7" s="409"/>
      <c r="JB7" s="410"/>
      <c r="JC7" s="411"/>
      <c r="JD7" s="83"/>
      <c r="JE7" s="409"/>
      <c r="JF7" s="410"/>
      <c r="JG7" s="411"/>
      <c r="JH7" s="83"/>
      <c r="JI7" s="409"/>
      <c r="JJ7" s="410"/>
      <c r="JK7" s="411"/>
      <c r="JP7" s="400"/>
      <c r="JQ7" s="397"/>
      <c r="JR7" s="397" t="s">
        <v>317</v>
      </c>
      <c r="JS7" s="472" t="s">
        <v>318</v>
      </c>
      <c r="JT7" s="472"/>
      <c r="JU7" s="472" t="s">
        <v>322</v>
      </c>
      <c r="JV7" s="472"/>
      <c r="JW7" s="397" t="s">
        <v>327</v>
      </c>
      <c r="JX7" s="401" t="s">
        <v>478</v>
      </c>
      <c r="JY7" s="475"/>
      <c r="JZ7" s="401" t="s">
        <v>333</v>
      </c>
      <c r="KA7" s="401" t="s">
        <v>334</v>
      </c>
      <c r="KB7" s="397" t="s">
        <v>335</v>
      </c>
      <c r="KD7" s="400"/>
      <c r="KE7" s="400"/>
      <c r="KF7" s="400"/>
      <c r="KG7" s="397"/>
      <c r="KH7" s="397" t="s">
        <v>317</v>
      </c>
      <c r="KI7" s="472" t="s">
        <v>318</v>
      </c>
      <c r="KJ7" s="472"/>
      <c r="KK7" s="472" t="s">
        <v>322</v>
      </c>
      <c r="KL7" s="472"/>
      <c r="KM7" s="397" t="s">
        <v>327</v>
      </c>
      <c r="KN7" s="401" t="s">
        <v>478</v>
      </c>
      <c r="KO7" s="475"/>
      <c r="KP7" s="401" t="s">
        <v>333</v>
      </c>
      <c r="KQ7" s="401" t="s">
        <v>334</v>
      </c>
      <c r="KR7" s="397" t="s">
        <v>335</v>
      </c>
      <c r="KS7">
        <v>7</v>
      </c>
      <c r="KT7" t="s">
        <v>585</v>
      </c>
      <c r="KU7" s="535"/>
      <c r="KV7" s="535"/>
      <c r="KW7" s="536"/>
      <c r="KX7" s="538"/>
      <c r="KY7" s="538"/>
      <c r="KZ7" s="540"/>
      <c r="LA7" s="540"/>
      <c r="LB7" s="540"/>
      <c r="LC7" s="540"/>
      <c r="LD7" s="543"/>
      <c r="LE7" s="543"/>
      <c r="LF7" s="545"/>
      <c r="LG7" s="545"/>
      <c r="LH7" s="546"/>
      <c r="LI7" s="545"/>
      <c r="LJ7" s="545"/>
      <c r="LK7" s="545"/>
      <c r="LL7" s="545"/>
      <c r="LM7" s="396"/>
      <c r="LN7" s="396"/>
      <c r="LO7" s="553"/>
      <c r="LP7" s="554"/>
      <c r="LQ7" s="396"/>
      <c r="LR7" s="396"/>
      <c r="LS7" s="396"/>
      <c r="LT7" s="357"/>
      <c r="LU7" s="357"/>
      <c r="LV7" s="357"/>
      <c r="LW7" s="357"/>
      <c r="LX7" s="357"/>
      <c r="LY7" s="357"/>
      <c r="LZ7" s="357"/>
      <c r="MA7" s="346"/>
      <c r="MB7" s="346"/>
      <c r="MC7" s="346"/>
      <c r="MD7" s="346"/>
      <c r="ME7" s="346"/>
      <c r="MF7" s="346"/>
      <c r="MG7" s="346"/>
      <c r="MH7" s="346"/>
      <c r="MI7" s="346"/>
      <c r="MJ7" s="346"/>
      <c r="MK7" s="343"/>
      <c r="ML7" s="343"/>
      <c r="MM7" s="343"/>
      <c r="MN7" s="343"/>
      <c r="MO7" s="343"/>
      <c r="MP7" s="363"/>
      <c r="MQ7" s="363"/>
      <c r="MR7" s="363"/>
      <c r="MS7" s="363"/>
      <c r="MT7" s="363"/>
      <c r="MU7" s="363"/>
      <c r="MV7" s="363"/>
      <c r="MW7" s="363"/>
      <c r="MX7" s="360"/>
      <c r="MY7" s="360"/>
      <c r="MZ7" s="360"/>
      <c r="NA7" s="360"/>
      <c r="NB7" s="360"/>
      <c r="NC7" s="348" t="s">
        <v>542</v>
      </c>
      <c r="ND7" s="555" t="s">
        <v>560</v>
      </c>
      <c r="NE7" s="390" t="s">
        <v>531</v>
      </c>
      <c r="NF7" s="392" t="s">
        <v>561</v>
      </c>
      <c r="NG7" s="394" t="s">
        <v>562</v>
      </c>
      <c r="NH7" s="394" t="s">
        <v>563</v>
      </c>
      <c r="NI7" s="353" t="s">
        <v>564</v>
      </c>
      <c r="NJ7" s="351"/>
      <c r="NK7" s="371"/>
      <c r="NM7" s="355" t="s">
        <v>586</v>
      </c>
      <c r="NN7" s="355"/>
      <c r="NO7" s="355"/>
      <c r="NP7" s="355"/>
      <c r="NQ7" s="355"/>
      <c r="NR7" s="355"/>
      <c r="NS7" s="355"/>
      <c r="NT7" s="355"/>
      <c r="NU7" t="s">
        <v>588</v>
      </c>
      <c r="NZ7" s="341"/>
      <c r="OE7" s="340"/>
      <c r="OF7" s="340"/>
      <c r="OG7" s="340"/>
      <c r="OH7" s="340"/>
      <c r="OI7" s="340"/>
      <c r="OJ7" s="340"/>
      <c r="OK7" s="340"/>
      <c r="OL7" s="340"/>
      <c r="OM7" s="340"/>
      <c r="OO7" s="340"/>
      <c r="OP7" s="340"/>
      <c r="OQ7" s="340"/>
      <c r="OR7" s="340"/>
      <c r="OS7" s="340"/>
      <c r="OT7" s="340"/>
      <c r="OU7" s="340"/>
      <c r="OV7" s="340"/>
      <c r="OW7" s="340"/>
      <c r="OZ7" s="159"/>
      <c r="PA7" s="368" t="s">
        <v>618</v>
      </c>
      <c r="PB7" s="368" t="s">
        <v>619</v>
      </c>
      <c r="PC7" s="368" t="s">
        <v>620</v>
      </c>
      <c r="PD7" s="368" t="s">
        <v>698</v>
      </c>
      <c r="PE7" s="368" t="s">
        <v>699</v>
      </c>
      <c r="PF7" s="368" t="s">
        <v>700</v>
      </c>
      <c r="PG7" s="368" t="s">
        <v>618</v>
      </c>
      <c r="PH7" s="368" t="s">
        <v>619</v>
      </c>
      <c r="PI7" s="368" t="s">
        <v>620</v>
      </c>
      <c r="PJ7" s="368" t="s">
        <v>698</v>
      </c>
      <c r="PK7" s="368" t="s">
        <v>699</v>
      </c>
      <c r="PL7" s="368" t="s">
        <v>700</v>
      </c>
      <c r="PM7" s="161"/>
      <c r="PN7" s="161"/>
      <c r="PO7" s="562"/>
      <c r="PP7" s="563"/>
      <c r="PQ7" s="563"/>
      <c r="PR7" s="161"/>
      <c r="PS7" s="161"/>
      <c r="PT7" s="160"/>
    </row>
    <row r="8" spans="1:437" ht="45.75" customHeight="1" thickBot="1" x14ac:dyDescent="0.25">
      <c r="A8" s="481"/>
      <c r="B8" s="481"/>
      <c r="C8" s="481"/>
      <c r="D8" s="11" t="s">
        <v>11</v>
      </c>
      <c r="E8" s="11" t="s">
        <v>12</v>
      </c>
      <c r="F8" s="11" t="s">
        <v>11</v>
      </c>
      <c r="G8" s="12" t="s">
        <v>13</v>
      </c>
      <c r="H8" s="12" t="s">
        <v>14</v>
      </c>
      <c r="I8" s="13" t="s">
        <v>15</v>
      </c>
      <c r="J8" s="11" t="s">
        <v>11</v>
      </c>
      <c r="K8" s="12" t="s">
        <v>13</v>
      </c>
      <c r="L8" s="12" t="s">
        <v>14</v>
      </c>
      <c r="M8" s="12" t="s">
        <v>16</v>
      </c>
      <c r="N8" s="11" t="s">
        <v>11</v>
      </c>
      <c r="O8" s="12" t="s">
        <v>13</v>
      </c>
      <c r="P8" s="12" t="s">
        <v>14</v>
      </c>
      <c r="Q8" s="12" t="s">
        <v>16</v>
      </c>
      <c r="R8" s="11" t="s">
        <v>11</v>
      </c>
      <c r="S8" s="12" t="s">
        <v>13</v>
      </c>
      <c r="T8" s="12" t="s">
        <v>14</v>
      </c>
      <c r="U8" s="12" t="s">
        <v>16</v>
      </c>
      <c r="V8" s="11" t="s">
        <v>11</v>
      </c>
      <c r="W8" s="12" t="s">
        <v>13</v>
      </c>
      <c r="X8" s="12" t="s">
        <v>14</v>
      </c>
      <c r="Y8" s="12" t="s">
        <v>16</v>
      </c>
      <c r="Z8" s="12" t="s">
        <v>17</v>
      </c>
      <c r="AA8" s="63" t="s">
        <v>11</v>
      </c>
      <c r="AB8" s="64" t="s">
        <v>13</v>
      </c>
      <c r="AC8" s="64" t="s">
        <v>14</v>
      </c>
      <c r="AD8" s="64" t="s">
        <v>16</v>
      </c>
      <c r="AE8" s="64" t="s">
        <v>17</v>
      </c>
      <c r="AF8" s="456"/>
      <c r="AG8" s="459"/>
      <c r="AH8" s="488"/>
      <c r="AI8" s="63" t="s">
        <v>11</v>
      </c>
      <c r="AJ8" s="64" t="s">
        <v>13</v>
      </c>
      <c r="AK8" s="64" t="s">
        <v>263</v>
      </c>
      <c r="AL8" s="464"/>
      <c r="AM8" s="467"/>
      <c r="AN8" s="369"/>
      <c r="AO8" s="79" t="s">
        <v>268</v>
      </c>
      <c r="AP8" s="79" t="s">
        <v>269</v>
      </c>
      <c r="AQ8" s="79" t="s">
        <v>270</v>
      </c>
      <c r="AR8" s="79" t="s">
        <v>271</v>
      </c>
      <c r="AS8" s="79" t="s">
        <v>270</v>
      </c>
      <c r="AT8" s="79" t="s">
        <v>271</v>
      </c>
      <c r="AU8" s="79" t="s">
        <v>272</v>
      </c>
      <c r="AV8" s="79" t="s">
        <v>273</v>
      </c>
      <c r="AW8" s="79" t="s">
        <v>274</v>
      </c>
      <c r="AX8" s="79" t="s">
        <v>275</v>
      </c>
      <c r="AY8" s="69" t="s">
        <v>279</v>
      </c>
      <c r="AZ8" s="69" t="s">
        <v>280</v>
      </c>
      <c r="BA8" s="414"/>
      <c r="BB8" s="414"/>
      <c r="BE8" s="456"/>
      <c r="BF8" s="459"/>
      <c r="BG8" s="459"/>
      <c r="BH8" s="459"/>
      <c r="BI8" s="459"/>
      <c r="BJ8" s="459"/>
      <c r="BK8" s="459"/>
      <c r="BN8" s="400"/>
      <c r="BO8" s="397"/>
      <c r="BP8" s="397"/>
      <c r="BQ8" s="44" t="s">
        <v>328</v>
      </c>
      <c r="BR8" s="45" t="s">
        <v>329</v>
      </c>
      <c r="BS8" s="44" t="s">
        <v>323</v>
      </c>
      <c r="BT8" s="45" t="s">
        <v>324</v>
      </c>
      <c r="BU8" s="397"/>
      <c r="BV8" s="401"/>
      <c r="BW8" s="475"/>
      <c r="BX8" s="401"/>
      <c r="BY8" s="401"/>
      <c r="BZ8" s="397"/>
      <c r="CB8" s="471"/>
      <c r="CD8" s="400"/>
      <c r="CE8" s="397"/>
      <c r="CF8" s="397"/>
      <c r="CG8" s="44" t="s">
        <v>328</v>
      </c>
      <c r="CH8" s="45" t="s">
        <v>329</v>
      </c>
      <c r="CI8" s="44" t="s">
        <v>323</v>
      </c>
      <c r="CJ8" s="45" t="s">
        <v>324</v>
      </c>
      <c r="CK8" s="397"/>
      <c r="CL8" s="401"/>
      <c r="CM8" s="475"/>
      <c r="CN8" s="401"/>
      <c r="CO8" s="401"/>
      <c r="CP8" s="397"/>
      <c r="DV8" s="532"/>
      <c r="DW8" s="478"/>
      <c r="DX8" s="478"/>
      <c r="DY8" s="478"/>
      <c r="DZ8" s="478"/>
      <c r="EA8" s="478"/>
      <c r="EB8" s="478"/>
      <c r="ED8" s="53"/>
      <c r="EE8" s="54"/>
      <c r="EG8" s="533"/>
      <c r="EH8" s="533"/>
      <c r="EI8" s="47" t="s">
        <v>363</v>
      </c>
      <c r="EJ8" s="47" t="s">
        <v>506</v>
      </c>
      <c r="EK8" s="47"/>
      <c r="EL8" s="47"/>
      <c r="EM8" s="47"/>
      <c r="EN8" s="47"/>
      <c r="EO8" s="47"/>
      <c r="EP8" s="47"/>
      <c r="EQ8" s="47" t="s">
        <v>362</v>
      </c>
      <c r="ER8" s="47" t="s">
        <v>507</v>
      </c>
      <c r="ES8" s="47" t="s">
        <v>364</v>
      </c>
      <c r="ET8" s="47" t="s">
        <v>363</v>
      </c>
      <c r="EU8" s="47" t="s">
        <v>364</v>
      </c>
      <c r="EV8" s="47" t="s">
        <v>364</v>
      </c>
      <c r="EW8" s="47" t="s">
        <v>364</v>
      </c>
      <c r="EX8" s="47" t="s">
        <v>364</v>
      </c>
      <c r="EY8" s="47" t="s">
        <v>364</v>
      </c>
      <c r="EZ8" s="47" t="s">
        <v>365</v>
      </c>
      <c r="FA8" s="47" t="s">
        <v>364</v>
      </c>
      <c r="FB8" s="47" t="s">
        <v>362</v>
      </c>
      <c r="FC8" s="47" t="s">
        <v>364</v>
      </c>
      <c r="FD8" s="47" t="s">
        <v>363</v>
      </c>
      <c r="FE8" s="47" t="s">
        <v>364</v>
      </c>
      <c r="FF8" s="47" t="s">
        <v>364</v>
      </c>
      <c r="FH8" s="47"/>
      <c r="FI8" s="47"/>
      <c r="FJ8" s="47"/>
      <c r="FK8" s="47"/>
      <c r="FL8" s="47"/>
      <c r="FM8" s="47"/>
      <c r="FN8" s="47"/>
      <c r="FO8" s="47"/>
      <c r="FP8" s="47"/>
      <c r="FQ8" s="47"/>
      <c r="FR8" s="47"/>
      <c r="FS8" s="47"/>
      <c r="FT8" s="47"/>
      <c r="FU8" s="47"/>
      <c r="FV8" s="47"/>
      <c r="FX8" s="367"/>
      <c r="FY8" s="414"/>
      <c r="FZ8" s="397"/>
      <c r="GA8" s="397"/>
      <c r="GB8" s="397"/>
      <c r="GC8" s="397"/>
      <c r="GD8" s="397"/>
      <c r="GE8" s="397"/>
      <c r="GF8" s="27"/>
      <c r="GG8" s="397"/>
      <c r="GH8" s="397"/>
      <c r="GI8" s="27"/>
      <c r="GJ8" s="397"/>
      <c r="GK8" s="397"/>
      <c r="GO8" s="425"/>
      <c r="GP8" s="425"/>
      <c r="GQ8" s="425"/>
      <c r="GR8" s="425"/>
      <c r="GS8" s="425"/>
      <c r="GT8" s="425"/>
      <c r="GU8" s="95"/>
      <c r="GV8" s="425"/>
      <c r="GW8" s="425"/>
      <c r="GX8" s="96" t="s">
        <v>447</v>
      </c>
      <c r="GY8" s="114">
        <v>14</v>
      </c>
      <c r="GZ8" s="425"/>
      <c r="HA8" s="83"/>
      <c r="HB8" s="83"/>
      <c r="HC8" s="402"/>
      <c r="HD8" s="402"/>
      <c r="HE8" s="402"/>
      <c r="HF8" s="402"/>
      <c r="HG8" s="402"/>
      <c r="HH8" s="115">
        <v>45</v>
      </c>
      <c r="HI8" s="115">
        <v>45</v>
      </c>
      <c r="HJ8" s="90"/>
      <c r="HK8" s="402"/>
      <c r="HL8" s="83"/>
      <c r="HM8" s="83"/>
      <c r="HN8" s="83"/>
      <c r="HO8" s="83"/>
      <c r="HP8" s="99" t="s">
        <v>463</v>
      </c>
      <c r="HQ8" s="99" t="s">
        <v>11</v>
      </c>
      <c r="HR8" s="100" t="s">
        <v>13</v>
      </c>
      <c r="HS8" s="99" t="s">
        <v>463</v>
      </c>
      <c r="HT8" s="99" t="s">
        <v>11</v>
      </c>
      <c r="HU8" s="100" t="s">
        <v>13</v>
      </c>
      <c r="HV8" s="99" t="s">
        <v>463</v>
      </c>
      <c r="HW8" s="99" t="s">
        <v>11</v>
      </c>
      <c r="HX8" s="100" t="s">
        <v>13</v>
      </c>
      <c r="HY8" s="99" t="s">
        <v>463</v>
      </c>
      <c r="HZ8" s="99" t="s">
        <v>11</v>
      </c>
      <c r="IA8" s="100" t="s">
        <v>13</v>
      </c>
      <c r="IB8" s="99" t="s">
        <v>463</v>
      </c>
      <c r="IC8" s="99" t="s">
        <v>11</v>
      </c>
      <c r="ID8" s="100" t="s">
        <v>13</v>
      </c>
      <c r="IE8" s="99" t="s">
        <v>463</v>
      </c>
      <c r="IF8" s="99" t="s">
        <v>11</v>
      </c>
      <c r="IG8" s="100" t="s">
        <v>13</v>
      </c>
      <c r="IH8" s="99" t="s">
        <v>463</v>
      </c>
      <c r="II8" s="99" t="s">
        <v>11</v>
      </c>
      <c r="IJ8" s="100" t="s">
        <v>13</v>
      </c>
      <c r="IK8" s="99" t="s">
        <v>463</v>
      </c>
      <c r="IL8" s="99" t="s">
        <v>11</v>
      </c>
      <c r="IM8" s="100" t="s">
        <v>13</v>
      </c>
      <c r="IN8" s="83"/>
      <c r="IO8" s="99" t="s">
        <v>463</v>
      </c>
      <c r="IP8" s="99" t="s">
        <v>11</v>
      </c>
      <c r="IQ8" s="100" t="s">
        <v>13</v>
      </c>
      <c r="IR8" s="83"/>
      <c r="IS8" s="99" t="s">
        <v>463</v>
      </c>
      <c r="IT8" s="99" t="s">
        <v>11</v>
      </c>
      <c r="IU8" s="100" t="s">
        <v>13</v>
      </c>
      <c r="IV8" s="83"/>
      <c r="IW8" s="99" t="s">
        <v>463</v>
      </c>
      <c r="IX8" s="99" t="s">
        <v>11</v>
      </c>
      <c r="IY8" s="100" t="s">
        <v>13</v>
      </c>
      <c r="IZ8" s="83"/>
      <c r="JA8" s="99" t="s">
        <v>463</v>
      </c>
      <c r="JB8" s="99" t="s">
        <v>11</v>
      </c>
      <c r="JC8" s="100" t="s">
        <v>13</v>
      </c>
      <c r="JD8" s="83"/>
      <c r="JE8" s="99" t="s">
        <v>463</v>
      </c>
      <c r="JF8" s="99" t="s">
        <v>11</v>
      </c>
      <c r="JG8" s="100" t="s">
        <v>13</v>
      </c>
      <c r="JH8" s="83"/>
      <c r="JI8" s="99" t="s">
        <v>463</v>
      </c>
      <c r="JJ8" s="99" t="s">
        <v>11</v>
      </c>
      <c r="JK8" s="100" t="s">
        <v>13</v>
      </c>
      <c r="JM8" t="s">
        <v>468</v>
      </c>
      <c r="JP8" s="400"/>
      <c r="JQ8" s="397"/>
      <c r="JR8" s="397"/>
      <c r="JS8" s="44" t="s">
        <v>328</v>
      </c>
      <c r="JT8" s="45" t="s">
        <v>479</v>
      </c>
      <c r="JU8" s="44" t="s">
        <v>323</v>
      </c>
      <c r="JV8" s="45" t="s">
        <v>324</v>
      </c>
      <c r="JW8" s="397"/>
      <c r="JX8" s="401"/>
      <c r="JY8" s="475"/>
      <c r="JZ8" s="401"/>
      <c r="KA8" s="401"/>
      <c r="KB8" s="397"/>
      <c r="KD8" s="400"/>
      <c r="KE8" s="400"/>
      <c r="KF8" s="400"/>
      <c r="KG8" s="397"/>
      <c r="KH8" s="397"/>
      <c r="KI8" s="44" t="s">
        <v>328</v>
      </c>
      <c r="KJ8" s="45" t="s">
        <v>479</v>
      </c>
      <c r="KK8" s="44" t="s">
        <v>323</v>
      </c>
      <c r="KL8" s="45" t="s">
        <v>324</v>
      </c>
      <c r="KM8" s="397"/>
      <c r="KN8" s="401"/>
      <c r="KO8" s="475"/>
      <c r="KP8" s="401"/>
      <c r="KQ8" s="401"/>
      <c r="KR8" s="397"/>
      <c r="KU8" s="130" t="s">
        <v>565</v>
      </c>
      <c r="KV8" s="130" t="s">
        <v>565</v>
      </c>
      <c r="KW8" s="536"/>
      <c r="KX8" s="539"/>
      <c r="KY8" s="539"/>
      <c r="KZ8" s="129" t="s">
        <v>12</v>
      </c>
      <c r="LA8" s="131" t="s">
        <v>566</v>
      </c>
      <c r="LB8" s="129" t="s">
        <v>12</v>
      </c>
      <c r="LC8" s="131" t="s">
        <v>566</v>
      </c>
      <c r="LD8" s="132" t="s">
        <v>567</v>
      </c>
      <c r="LE8" s="133" t="s">
        <v>568</v>
      </c>
      <c r="LF8" s="545"/>
      <c r="LG8" s="545"/>
      <c r="LH8" s="546"/>
      <c r="LI8" s="545"/>
      <c r="LJ8" s="545"/>
      <c r="LK8" s="545"/>
      <c r="LL8" s="545"/>
      <c r="LM8" s="396"/>
      <c r="LN8" s="396"/>
      <c r="LO8" s="553"/>
      <c r="LP8" s="554"/>
      <c r="LQ8" s="396"/>
      <c r="LR8" s="396"/>
      <c r="LS8" s="396"/>
      <c r="LT8" s="358"/>
      <c r="LU8" s="358"/>
      <c r="LV8" s="358"/>
      <c r="LW8" s="358"/>
      <c r="LX8" s="358"/>
      <c r="LY8" s="358"/>
      <c r="LZ8" s="358"/>
      <c r="MA8" s="347"/>
      <c r="MB8" s="347"/>
      <c r="MC8" s="347"/>
      <c r="MD8" s="347"/>
      <c r="ME8" s="347"/>
      <c r="MF8" s="347"/>
      <c r="MG8" s="347"/>
      <c r="MH8" s="347"/>
      <c r="MI8" s="347"/>
      <c r="MJ8" s="347"/>
      <c r="MK8" s="344"/>
      <c r="ML8" s="344"/>
      <c r="MM8" s="344"/>
      <c r="MN8" s="344"/>
      <c r="MO8" s="344"/>
      <c r="MP8" s="364"/>
      <c r="MQ8" s="364"/>
      <c r="MR8" s="364"/>
      <c r="MS8" s="364"/>
      <c r="MT8" s="364"/>
      <c r="MU8" s="364"/>
      <c r="MV8" s="364"/>
      <c r="MW8" s="364"/>
      <c r="MX8" s="361"/>
      <c r="MY8" s="361"/>
      <c r="MZ8" s="361"/>
      <c r="NA8" s="361"/>
      <c r="NB8" s="361"/>
      <c r="NC8" s="349"/>
      <c r="ND8" s="556"/>
      <c r="NE8" s="391"/>
      <c r="NF8" s="393"/>
      <c r="NG8" s="395"/>
      <c r="NH8" s="395"/>
      <c r="NI8" s="354"/>
      <c r="NJ8" s="352"/>
      <c r="NK8" s="371"/>
      <c r="NM8" s="80">
        <v>1</v>
      </c>
      <c r="NN8" s="80">
        <v>2</v>
      </c>
      <c r="NO8" s="80">
        <v>3</v>
      </c>
      <c r="NP8" s="80">
        <v>4</v>
      </c>
      <c r="NQ8" s="80">
        <v>5</v>
      </c>
      <c r="NR8" s="80">
        <v>6</v>
      </c>
      <c r="NS8" s="80">
        <v>7</v>
      </c>
      <c r="NT8" s="80" t="s">
        <v>587</v>
      </c>
      <c r="NU8" t="s">
        <v>589</v>
      </c>
      <c r="NZ8" s="341"/>
      <c r="OE8" s="340"/>
      <c r="OF8" s="340"/>
      <c r="OG8" s="340"/>
      <c r="OH8" s="340"/>
      <c r="OI8" s="340"/>
      <c r="OJ8" s="340"/>
      <c r="OK8" s="340"/>
      <c r="OL8" s="340"/>
      <c r="OM8" s="340"/>
      <c r="OO8" s="340"/>
      <c r="OP8" s="340"/>
      <c r="OQ8" s="340"/>
      <c r="OR8" s="340"/>
      <c r="OS8" s="340"/>
      <c r="OT8" s="340"/>
      <c r="OU8" s="340"/>
      <c r="OV8" s="340"/>
      <c r="OW8" s="340"/>
      <c r="OZ8" s="162"/>
      <c r="PA8" s="369"/>
      <c r="PB8" s="369"/>
      <c r="PC8" s="369"/>
      <c r="PD8" s="369"/>
      <c r="PE8" s="369"/>
      <c r="PF8" s="369"/>
      <c r="PG8" s="369"/>
      <c r="PH8" s="369"/>
      <c r="PI8" s="369"/>
      <c r="PJ8" s="369"/>
      <c r="PK8" s="369"/>
      <c r="PL8" s="369"/>
      <c r="PM8" s="161"/>
      <c r="PN8" s="161"/>
      <c r="PO8" s="47" t="s">
        <v>364</v>
      </c>
      <c r="PP8" s="47" t="s">
        <v>364</v>
      </c>
      <c r="PQ8" s="47" t="s">
        <v>364</v>
      </c>
      <c r="PR8" s="161"/>
      <c r="PS8" s="161"/>
      <c r="PT8" s="160"/>
    </row>
    <row r="9" spans="1:437" s="195" customFormat="1" ht="16" x14ac:dyDescent="0.2">
      <c r="A9" s="190"/>
      <c r="B9" s="191"/>
      <c r="C9" s="191"/>
      <c r="D9" s="192"/>
      <c r="E9" s="192"/>
      <c r="F9" s="192"/>
      <c r="G9" s="192"/>
      <c r="H9" s="193"/>
      <c r="I9" s="193"/>
      <c r="J9" s="192"/>
      <c r="K9" s="192"/>
      <c r="L9" s="193"/>
      <c r="M9" s="193"/>
      <c r="N9" s="192"/>
      <c r="O9" s="192"/>
      <c r="P9" s="193"/>
      <c r="Q9" s="193"/>
      <c r="R9" s="192"/>
      <c r="S9" s="192"/>
      <c r="T9" s="193"/>
      <c r="U9" s="193"/>
      <c r="V9" s="192"/>
      <c r="W9" s="192"/>
      <c r="X9" s="193"/>
      <c r="Y9" s="193"/>
      <c r="Z9" s="192"/>
      <c r="AA9" s="192"/>
      <c r="AB9" s="192"/>
      <c r="AC9" s="193"/>
      <c r="AD9" s="193"/>
      <c r="AE9" s="192"/>
      <c r="AF9" s="192"/>
      <c r="AG9" s="192"/>
      <c r="AH9" s="192"/>
      <c r="AI9" s="192">
        <v>1</v>
      </c>
      <c r="AJ9" s="192">
        <f t="shared" ref="AJ9:AJ71" si="2">IF(AI9=D9,E9,0)</f>
        <v>0</v>
      </c>
      <c r="AK9" s="192" t="s">
        <v>304</v>
      </c>
      <c r="AL9" s="192">
        <v>0</v>
      </c>
      <c r="AM9" s="192">
        <v>0</v>
      </c>
      <c r="AN9" s="194"/>
      <c r="AO9" s="192">
        <f t="shared" ref="AO9:AO10" si="3">IF(AI9=1,D9,0)</f>
        <v>0</v>
      </c>
      <c r="AP9" s="192">
        <f t="shared" ref="AP9:AP10" si="4">IF(AO9=D9,E9,0)</f>
        <v>0</v>
      </c>
      <c r="AQ9" s="192">
        <f t="shared" ref="AQ9:AQ39" si="5">IF(AI9=1,J9,0)</f>
        <v>0</v>
      </c>
      <c r="AR9" s="192">
        <f t="shared" ref="AR9:AR39" si="6">IF(AQ9=1,K9,0)</f>
        <v>0</v>
      </c>
      <c r="AS9" s="192">
        <f t="shared" ref="AS9:AS39" si="7">IF(AI9=1,N9,0)</f>
        <v>0</v>
      </c>
      <c r="AT9" s="192">
        <f t="shared" ref="AT9:AT39" si="8">IF(AS9=1,O9,0)</f>
        <v>0</v>
      </c>
      <c r="AU9" s="192">
        <f t="shared" ref="AU9:AU10" si="9">IF(AI9=1,R9,0)</f>
        <v>0</v>
      </c>
      <c r="AV9" s="192">
        <f t="shared" ref="AV9:AV10" si="10">IF(AU9=1,S9,0)</f>
        <v>0</v>
      </c>
      <c r="AW9" s="192">
        <f t="shared" ref="AW9:AW10" si="11">IF(AI9=1,V9,0)</f>
        <v>0</v>
      </c>
      <c r="AX9" s="192">
        <f t="shared" ref="AX9:AX10" si="12">IF(AW9=1,W9,0)</f>
        <v>0</v>
      </c>
      <c r="AY9" s="192">
        <f t="shared" ref="AY9:AZ9" si="13">AU9-AW9</f>
        <v>0</v>
      </c>
      <c r="AZ9" s="192">
        <f t="shared" si="13"/>
        <v>0</v>
      </c>
      <c r="BA9" s="192">
        <f t="shared" ref="BA9:BA66" si="14">IF(AW9=1,Z9,0)</f>
        <v>0</v>
      </c>
      <c r="BB9" s="192">
        <f t="shared" ref="BB9:BB72" si="15">IF(AN9=1,G9,0)</f>
        <v>0</v>
      </c>
      <c r="BD9" s="196">
        <f>S9-W9-BE9</f>
        <v>0</v>
      </c>
      <c r="BE9" s="192">
        <f t="shared" ref="BE9:BE39" si="16">IF(AF9=1,S9,0)</f>
        <v>0</v>
      </c>
      <c r="BF9" s="192">
        <f t="shared" ref="BF9:BF39" si="17">IF(AG9="A",S9,0)</f>
        <v>0</v>
      </c>
      <c r="BG9" s="192">
        <f t="shared" ref="BG9:BG39" si="18">IF(AG9="B",S9,0)</f>
        <v>0</v>
      </c>
      <c r="BH9" s="192">
        <f t="shared" ref="BH9:BH39" si="19">IF(AG9="C",S9,0)</f>
        <v>0</v>
      </c>
      <c r="BI9" s="192">
        <f t="shared" ref="BI9:BI39" si="20">IF(AG9="D",S9,0)</f>
        <v>0</v>
      </c>
      <c r="BJ9" s="192">
        <f t="shared" ref="BJ9:BJ39" si="21">IF(AG9="E",S9,0)</f>
        <v>0</v>
      </c>
      <c r="BK9" s="192">
        <f t="shared" ref="BK9:BK71" si="22">SUM(BF9:BJ9)</f>
        <v>0</v>
      </c>
      <c r="BN9" s="280"/>
      <c r="BO9" s="281"/>
      <c r="BP9" s="281"/>
      <c r="BQ9" s="281"/>
      <c r="BR9" s="281"/>
      <c r="BS9" s="281"/>
      <c r="BT9" s="281"/>
      <c r="BU9" s="281"/>
      <c r="BV9" s="281"/>
      <c r="BW9" s="281"/>
      <c r="BX9" s="281"/>
      <c r="BY9" s="281"/>
      <c r="BZ9" s="281"/>
      <c r="CB9" s="192"/>
      <c r="CD9" s="192">
        <f t="shared" ref="CD9:CD72" si="23">BN9</f>
        <v>0</v>
      </c>
      <c r="CE9" s="192">
        <f t="shared" ref="CE9:CE72" si="24">IF(BO9=1,$CD9,0)</f>
        <v>0</v>
      </c>
      <c r="CF9" s="192">
        <f t="shared" ref="CF9:CF72" si="25">IF(BP9=1,$CD9,0)</f>
        <v>0</v>
      </c>
      <c r="CG9" s="192">
        <f t="shared" ref="CG9:CG72" si="26">IF(BQ9=1,$CD9,0)</f>
        <v>0</v>
      </c>
      <c r="CH9" s="192">
        <f t="shared" ref="CH9:CH72" si="27">IF(BR9=1,$CD9,0)</f>
        <v>0</v>
      </c>
      <c r="CI9" s="192">
        <f t="shared" ref="CI9:CI72" si="28">IF(BS9=1,$CD9,0)</f>
        <v>0</v>
      </c>
      <c r="CJ9" s="192">
        <f t="shared" ref="CJ9:CJ72" si="29">IF(BT9=1,$CD9,0)</f>
        <v>0</v>
      </c>
      <c r="CK9" s="192">
        <f t="shared" ref="CK9:CK72" si="30">IF(BU9=1,$CD9,0)</f>
        <v>0</v>
      </c>
      <c r="CL9" s="192">
        <f t="shared" ref="CL9:CL72" si="31">IF(BV9=1,$CD9,0)</f>
        <v>0</v>
      </c>
      <c r="CM9" s="192">
        <f t="shared" ref="CM9:CM72" si="32">IF(BW9=1,$CD9,0)</f>
        <v>0</v>
      </c>
      <c r="CN9" s="192">
        <f t="shared" ref="CN9:CN72" si="33">IF(BX9=1,$CD9,0)</f>
        <v>0</v>
      </c>
      <c r="CO9" s="192">
        <f t="shared" ref="CO9:CO72" si="34">IF(BY9=1,$CD9,0)</f>
        <v>0</v>
      </c>
      <c r="CP9" s="192">
        <f t="shared" ref="CP9:CP72" si="35">IF(BZ9=1,$CD9,0)</f>
        <v>0</v>
      </c>
      <c r="DV9" s="192">
        <f t="shared" ref="DV9:DV39" si="36">IF(CB9=1,G9,0)</f>
        <v>0</v>
      </c>
      <c r="DW9" s="192">
        <f t="shared" ref="DW9:DW39" si="37">IF(CC9="A",G9,0)</f>
        <v>0</v>
      </c>
      <c r="DX9" s="192">
        <f t="shared" ref="DX9:DX39" si="38">IF(CC9="B",G9,0)</f>
        <v>0</v>
      </c>
      <c r="DY9" s="192">
        <f t="shared" ref="DY9:DY39" si="39">IF(CC9="C",G9,0)</f>
        <v>0</v>
      </c>
      <c r="DZ9" s="192">
        <f t="shared" ref="DZ9:DZ39" si="40">IF(CC9="D",G9,0)</f>
        <v>0</v>
      </c>
      <c r="EA9" s="192">
        <f t="shared" ref="EA9:EA39" si="41">IF(CC9="E",G9,0)</f>
        <v>0</v>
      </c>
      <c r="EB9" s="192">
        <f t="shared" ref="EB9:EB72" si="42">SUM(DW9:EA9)</f>
        <v>0</v>
      </c>
      <c r="ED9" s="197" t="s">
        <v>368</v>
      </c>
      <c r="EE9" s="197" t="s">
        <v>369</v>
      </c>
      <c r="EG9" s="198">
        <f t="shared" ref="EG9:EG72" si="43">IF(AG9="C","C",IF(AG9="D","D",0))</f>
        <v>0</v>
      </c>
      <c r="EH9" s="198">
        <f t="shared" ref="EH9:EH72" si="44">CC9</f>
        <v>0</v>
      </c>
      <c r="EI9" s="192"/>
      <c r="EJ9" s="192"/>
      <c r="EK9" s="192"/>
      <c r="EL9" s="192"/>
      <c r="EM9" s="192"/>
      <c r="EN9" s="192"/>
      <c r="EO9" s="192"/>
      <c r="EP9" s="192"/>
      <c r="EQ9" s="192"/>
      <c r="ER9" s="192"/>
      <c r="ES9" s="192"/>
      <c r="ET9" s="192"/>
      <c r="EU9" s="192"/>
      <c r="EV9" s="192"/>
      <c r="EW9" s="192"/>
      <c r="EX9" s="192"/>
      <c r="EY9" s="192"/>
      <c r="EZ9" s="192"/>
      <c r="FA9" s="192"/>
      <c r="FB9" s="192"/>
      <c r="FC9" s="192"/>
      <c r="FD9" s="192"/>
      <c r="FE9" s="192"/>
      <c r="FF9" s="192"/>
      <c r="FH9" s="189"/>
      <c r="FI9" s="189"/>
      <c r="FJ9" s="189"/>
      <c r="FK9" s="189"/>
      <c r="FL9" s="189"/>
      <c r="FM9" s="189"/>
      <c r="FN9" s="189"/>
      <c r="FO9" s="189"/>
      <c r="FP9" s="189"/>
      <c r="FQ9" s="189"/>
      <c r="FR9" s="189"/>
      <c r="FS9" s="189"/>
      <c r="FT9" s="189"/>
      <c r="FU9" s="189"/>
      <c r="FV9" s="189"/>
      <c r="FX9" s="192"/>
      <c r="FY9" s="192">
        <f t="shared" ref="FY9:FY72" si="45">SUM(FZ9:GE9)</f>
        <v>0</v>
      </c>
      <c r="FZ9" s="192">
        <f t="shared" ref="FZ9:FZ41" si="46">DI9+CE9</f>
        <v>0</v>
      </c>
      <c r="GA9" s="192">
        <f t="shared" ref="GA9:GA41" si="47">DJ9+CF9</f>
        <v>0</v>
      </c>
      <c r="GB9" s="192">
        <f t="shared" ref="GB9:GB41" si="48">DK9+CG9</f>
        <v>0</v>
      </c>
      <c r="GC9" s="192">
        <f t="shared" ref="GC9:GC41" si="49">DM9+CI9</f>
        <v>0</v>
      </c>
      <c r="GD9" s="192">
        <f t="shared" ref="GD9:GD41" si="50">DO9+CK9</f>
        <v>0</v>
      </c>
      <c r="GE9" s="192">
        <f t="shared" ref="GE9:GE41" si="51">DT9+CP9</f>
        <v>0</v>
      </c>
      <c r="GF9" s="199"/>
      <c r="GG9" s="189">
        <v>0</v>
      </c>
      <c r="GH9" s="189">
        <v>0</v>
      </c>
      <c r="GI9" s="199"/>
      <c r="GJ9" s="200">
        <f t="shared" ref="GJ9:GJ72" si="52">FY9*GG9/1000000000</f>
        <v>0</v>
      </c>
      <c r="GK9" s="200">
        <f t="shared" ref="GK9:GK72" si="53">FY9*GH9/1000000000</f>
        <v>0</v>
      </c>
      <c r="GO9" s="189"/>
      <c r="GP9" s="189"/>
      <c r="GQ9" s="189"/>
      <c r="GR9" s="189"/>
      <c r="GS9" s="189"/>
      <c r="GT9" s="189"/>
      <c r="GU9" s="201"/>
      <c r="GV9" s="189"/>
      <c r="GW9" s="189"/>
      <c r="GX9" s="202"/>
      <c r="GY9" s="202"/>
      <c r="GZ9" s="203"/>
      <c r="HA9" s="204"/>
      <c r="HB9" s="204"/>
      <c r="HC9" s="189"/>
      <c r="HD9" s="189"/>
      <c r="HE9" s="189"/>
      <c r="HF9" s="189"/>
      <c r="HG9" s="189"/>
      <c r="HH9" s="201"/>
      <c r="HI9" s="201"/>
      <c r="HJ9" s="205"/>
      <c r="HK9" s="201"/>
      <c r="HL9" s="204"/>
      <c r="HM9" s="204"/>
      <c r="HN9" s="204"/>
      <c r="HO9" s="204"/>
      <c r="HP9" s="203"/>
      <c r="HQ9" s="202"/>
      <c r="HR9" s="202"/>
      <c r="HS9" s="203"/>
      <c r="HT9" s="202"/>
      <c r="HU9" s="202"/>
      <c r="HV9" s="203"/>
      <c r="HW9" s="202"/>
      <c r="HX9" s="202"/>
      <c r="HY9" s="203"/>
      <c r="HZ9" s="202"/>
      <c r="IA9" s="202"/>
      <c r="IB9" s="203"/>
      <c r="IC9" s="202"/>
      <c r="ID9" s="202"/>
      <c r="IE9" s="203"/>
      <c r="IF9" s="202"/>
      <c r="IG9" s="202"/>
      <c r="IH9" s="203"/>
      <c r="II9" s="202"/>
      <c r="IJ9" s="202"/>
      <c r="IK9" s="203"/>
      <c r="IL9" s="202"/>
      <c r="IM9" s="202"/>
      <c r="IN9" s="204"/>
      <c r="IO9" s="203"/>
      <c r="IP9" s="202"/>
      <c r="IQ9" s="202"/>
      <c r="IR9" s="204"/>
      <c r="IS9" s="203"/>
      <c r="IT9" s="202"/>
      <c r="IU9" s="202"/>
      <c r="IV9" s="204"/>
      <c r="IW9" s="203"/>
      <c r="IX9" s="202"/>
      <c r="IY9" s="202"/>
      <c r="IZ9" s="204"/>
      <c r="JA9" s="203"/>
      <c r="JB9" s="202"/>
      <c r="JC9" s="202"/>
      <c r="JD9" s="204"/>
      <c r="JE9" s="203"/>
      <c r="JF9" s="202"/>
      <c r="JG9" s="202"/>
      <c r="JH9" s="204"/>
      <c r="JI9" s="203"/>
      <c r="JJ9" s="202"/>
      <c r="JK9" s="202"/>
      <c r="JM9" s="203">
        <f>MAX(IW9,IS9,IO9,IK9,IE9,HY9,HS9,HP9)</f>
        <v>0</v>
      </c>
      <c r="JO9" s="196">
        <f t="shared" ref="JO9:JO72" si="54">SUM(JQ9:KB9)</f>
        <v>0</v>
      </c>
      <c r="JP9" s="189">
        <f t="shared" ref="JP9:JP41" si="55">BN9+CR9</f>
        <v>0</v>
      </c>
      <c r="JQ9" s="189">
        <f t="shared" ref="JQ9:JQ41" si="56">IF(BO9+CS9=2,1,IF(BO9+CS9=1,1,0))</f>
        <v>0</v>
      </c>
      <c r="JR9" s="189">
        <f t="shared" ref="JR9:JR41" si="57">IF(BP9+CT9=2,1,IF(BP9+CT9=1,1,0))</f>
        <v>0</v>
      </c>
      <c r="JS9" s="189">
        <f t="shared" ref="JS9:JS41" si="58">IF(BQ9+CU9=2,1,IF(BQ9+CU9=1,1,0))</f>
        <v>0</v>
      </c>
      <c r="JT9" s="189">
        <f t="shared" ref="JT9:JT41" si="59">IF(BR9+CV9=2,1,IF(BR9+CV9=1,1,0))</f>
        <v>0</v>
      </c>
      <c r="JU9" s="189">
        <f t="shared" ref="JU9:JU41" si="60">IF(BS9+CW9=2,1,IF(BS9+CW9=1,1,0))</f>
        <v>0</v>
      </c>
      <c r="JV9" s="189">
        <f t="shared" ref="JV9:JV41" si="61">IF(BT9+CX9=2,1,IF(BT9+CX9=1,1,0))</f>
        <v>0</v>
      </c>
      <c r="JW9" s="189">
        <f t="shared" ref="JW9:JW41" si="62">IF(BU9+CY9=2,1,IF(BU9+CY9=1,1,0))</f>
        <v>0</v>
      </c>
      <c r="JX9" s="189">
        <f t="shared" ref="JX9:JX41" si="63">IF(BV9+CZ9=2,1,IF(BV9+CZ9=1,1,0))</f>
        <v>0</v>
      </c>
      <c r="JY9" s="189">
        <f t="shared" ref="JY9:JY41" si="64">IF(BW9+DA9=2,1,IF(BW9+DA9=1,1,0))</f>
        <v>0</v>
      </c>
      <c r="JZ9" s="189">
        <f t="shared" ref="JZ9:JZ41" si="65">IF(BX9+DB9=2,1,IF(BX9+DB9=1,1,0))</f>
        <v>0</v>
      </c>
      <c r="KA9" s="189">
        <f t="shared" ref="KA9:KA41" si="66">IF(BY9+DC9=2,1,IF(BY9+DC9=1,1,0))</f>
        <v>0</v>
      </c>
      <c r="KB9" s="189">
        <f t="shared" ref="KB9:KB41" si="67">IF(BZ9+DD9=2,1,IF(BZ9+DD9=1,1,0))</f>
        <v>0</v>
      </c>
      <c r="KD9" s="206">
        <f t="shared" ref="KD9" si="68">IF(IF(SUM(GA9:GE9)&gt;100,1,0)+IF(FX9=1,1,0)=2,1,0)</f>
        <v>0</v>
      </c>
      <c r="KE9" s="206">
        <f t="shared" ref="KE9:KE72" si="69">IF(KD9=1,KF9,0)</f>
        <v>0</v>
      </c>
      <c r="KF9" s="206">
        <f t="shared" ref="KF9:KF41" si="70">CD9+DH9</f>
        <v>0</v>
      </c>
      <c r="KG9" s="206">
        <f t="shared" ref="KG9:KG41" si="71">CE9+DI9</f>
        <v>0</v>
      </c>
      <c r="KH9" s="206">
        <f t="shared" ref="KH9:KH41" si="72">CF9+DJ9</f>
        <v>0</v>
      </c>
      <c r="KI9" s="206">
        <f t="shared" ref="KI9:KI41" si="73">CG9+DK9</f>
        <v>0</v>
      </c>
      <c r="KJ9" s="206">
        <f t="shared" ref="KJ9:KJ41" si="74">CH9+DL9</f>
        <v>0</v>
      </c>
      <c r="KK9" s="206">
        <f t="shared" ref="KK9:KK41" si="75">CI9+DM9</f>
        <v>0</v>
      </c>
      <c r="KL9" s="206">
        <f t="shared" ref="KL9:KL41" si="76">CJ9+DN9</f>
        <v>0</v>
      </c>
      <c r="KM9" s="206">
        <f t="shared" ref="KM9:KM41" si="77">CK9+DO9</f>
        <v>0</v>
      </c>
      <c r="KN9" s="206">
        <f t="shared" ref="KN9:KN41" si="78">CL9+DP9</f>
        <v>0</v>
      </c>
      <c r="KO9" s="206">
        <f t="shared" ref="KO9:KO41" si="79">CM9+DQ9</f>
        <v>0</v>
      </c>
      <c r="KP9" s="206">
        <f t="shared" ref="KP9:KP41" si="80">CN9+DR9</f>
        <v>0</v>
      </c>
      <c r="KQ9" s="206">
        <f t="shared" ref="KQ9:KQ41" si="81">CO9+DS9</f>
        <v>0</v>
      </c>
      <c r="KR9" s="206">
        <f t="shared" ref="KR9:KR41" si="82">CP9+DT9</f>
        <v>0</v>
      </c>
      <c r="KT9" s="195">
        <f t="shared" ref="KT9:KT41" si="83">AN9</f>
        <v>0</v>
      </c>
      <c r="KU9" s="206"/>
      <c r="KV9" s="206"/>
      <c r="KW9" s="206"/>
      <c r="KX9" s="206"/>
      <c r="KY9" s="206"/>
      <c r="KZ9" s="206"/>
      <c r="LA9" s="206"/>
      <c r="LB9" s="206"/>
      <c r="LC9" s="206"/>
      <c r="LD9" s="206"/>
      <c r="LE9" s="206"/>
      <c r="LF9" s="206"/>
      <c r="LG9" s="206"/>
      <c r="LH9" s="206"/>
      <c r="LI9" s="206"/>
      <c r="LJ9" s="206"/>
      <c r="LK9" s="206"/>
      <c r="LL9" s="206"/>
      <c r="LM9" s="206"/>
      <c r="LN9" s="206"/>
      <c r="LO9" s="206"/>
      <c r="LP9" s="206"/>
      <c r="LQ9" s="206"/>
      <c r="LR9" s="206"/>
      <c r="LS9" s="206"/>
      <c r="LT9" s="206"/>
      <c r="LU9" s="206"/>
      <c r="LV9" s="206"/>
      <c r="LW9" s="206"/>
      <c r="LX9" s="206"/>
      <c r="LY9" s="206"/>
      <c r="LZ9" s="206"/>
      <c r="MA9" s="206"/>
      <c r="MB9" s="206"/>
      <c r="MC9" s="206"/>
      <c r="MD9" s="206"/>
      <c r="ME9" s="206"/>
      <c r="MF9" s="206"/>
      <c r="MG9" s="206"/>
      <c r="MH9" s="206"/>
      <c r="MI9" s="206"/>
      <c r="MJ9" s="206"/>
      <c r="MK9" s="206"/>
      <c r="ML9" s="206"/>
      <c r="MM9" s="206"/>
      <c r="MN9" s="206"/>
      <c r="MO9" s="206"/>
      <c r="MP9" s="206"/>
      <c r="MQ9" s="206"/>
      <c r="MR9" s="206"/>
      <c r="MS9" s="206"/>
      <c r="MT9" s="206"/>
      <c r="MU9" s="206"/>
      <c r="MV9" s="206"/>
      <c r="MW9" s="206"/>
      <c r="MX9" s="206"/>
      <c r="MY9" s="206"/>
      <c r="MZ9" s="206"/>
      <c r="NA9" s="206"/>
      <c r="NB9" s="206"/>
      <c r="NC9" s="206"/>
      <c r="ND9" s="206"/>
      <c r="NE9" s="206"/>
      <c r="NF9" s="206"/>
      <c r="NG9" s="206"/>
      <c r="NH9" s="206"/>
      <c r="NI9" s="206"/>
      <c r="NJ9" s="206"/>
      <c r="NK9" s="206"/>
      <c r="NM9" s="195">
        <f>IF(KS9=1,1,0)</f>
        <v>0</v>
      </c>
      <c r="NN9" s="195">
        <f>IF(KS9=2,1,0)</f>
        <v>0</v>
      </c>
      <c r="NO9" s="195">
        <f>IF(KS9=3,1,0)</f>
        <v>0</v>
      </c>
      <c r="NP9" s="195">
        <f>IF(KS9=4,1,0)</f>
        <v>0</v>
      </c>
      <c r="NQ9" s="195">
        <f>IF(KS9=5,1,0)</f>
        <v>0</v>
      </c>
      <c r="NR9" s="195">
        <f>IF(KS9=6,1,0)</f>
        <v>0</v>
      </c>
      <c r="NS9" s="195">
        <f>IF(KS9=7,1,0)</f>
        <v>0</v>
      </c>
      <c r="NT9" s="195">
        <f>SUM(NM9:NS9)</f>
        <v>0</v>
      </c>
      <c r="NU9" s="196">
        <f t="shared" ref="NU9" si="84">NT9-KT9</f>
        <v>0</v>
      </c>
      <c r="OE9" s="207">
        <f t="shared" ref="OE9:OE40" si="85">D9-J9</f>
        <v>0</v>
      </c>
      <c r="OF9" s="207">
        <f t="shared" ref="OF9:OF40" si="86">D9-N9</f>
        <v>0</v>
      </c>
      <c r="OG9" s="207">
        <f t="shared" ref="OG9:OG40" si="87">AN9</f>
        <v>0</v>
      </c>
      <c r="OH9" s="207">
        <f>HE9</f>
        <v>0</v>
      </c>
      <c r="OI9" s="207">
        <f t="shared" ref="OI9:OI40" si="88">D9-R9</f>
        <v>0</v>
      </c>
      <c r="OJ9" s="199">
        <f>IF(OG9=1,OF9,0)</f>
        <v>0</v>
      </c>
      <c r="OK9" s="199">
        <f>IF(OH9=1,OF9,0)</f>
        <v>0</v>
      </c>
      <c r="OL9" s="199">
        <f>IF((OG9+OH9)=0,OF9,0)</f>
        <v>0</v>
      </c>
      <c r="OM9" s="199">
        <f>SUM(OJ9:OL9)</f>
        <v>0</v>
      </c>
      <c r="OO9" s="207">
        <f t="shared" ref="OO9:OO40" si="89">E9-K9</f>
        <v>0</v>
      </c>
      <c r="OP9" s="207">
        <f t="shared" ref="OP9:OP40" si="90">E9-O9</f>
        <v>0</v>
      </c>
      <c r="OQ9" s="207">
        <f>OG9</f>
        <v>0</v>
      </c>
      <c r="OR9" s="207">
        <f>OH9</f>
        <v>0</v>
      </c>
      <c r="OS9" s="207">
        <f>OI9</f>
        <v>0</v>
      </c>
      <c r="OT9" s="199">
        <f>IF(OQ9=1,OP9,0)</f>
        <v>0</v>
      </c>
      <c r="OU9" s="199">
        <f>IF(OR9=1,OP9,0)</f>
        <v>0</v>
      </c>
      <c r="OV9" s="199">
        <f>IF((OQ9+OR9)=0,OP9,0)</f>
        <v>0</v>
      </c>
      <c r="OW9" s="199">
        <f>SUM(OT9:OV9)</f>
        <v>0</v>
      </c>
      <c r="OZ9" s="208">
        <f t="shared" ref="OZ9:OZ72" si="91">AN9</f>
        <v>0</v>
      </c>
      <c r="PA9" s="209"/>
      <c r="PB9" s="209"/>
      <c r="PC9" s="209"/>
      <c r="PD9" s="210">
        <f>PB9-PC9</f>
        <v>0</v>
      </c>
      <c r="PE9" s="210"/>
      <c r="PF9" s="210">
        <f>PD9-PE9</f>
        <v>0</v>
      </c>
      <c r="PG9" s="210">
        <f>IF(PA9=1,$BB9,0)</f>
        <v>0</v>
      </c>
      <c r="PH9" s="210">
        <f t="shared" ref="PH9:PH72" si="92">IF(PB9=1,$BB9,0)</f>
        <v>0</v>
      </c>
      <c r="PI9" s="210">
        <f t="shared" ref="PI9:PI72" si="93">IF(PC9=1,$BB9,0)</f>
        <v>0</v>
      </c>
      <c r="PJ9" s="210">
        <f t="shared" ref="PJ9:PJ72" si="94">IF(PD9=1,$BB9,0)</f>
        <v>0</v>
      </c>
      <c r="PK9" s="210">
        <f t="shared" ref="PK9:PK72" si="95">IF(PE9=1,$BB9,0)</f>
        <v>0</v>
      </c>
      <c r="PL9" s="210">
        <f t="shared" ref="PL9:PL72" si="96">IF(PF9=1,$BB9,0)</f>
        <v>0</v>
      </c>
      <c r="PM9" s="211"/>
      <c r="PN9" s="211">
        <f>IF(PA9=1,BB9,0)</f>
        <v>0</v>
      </c>
      <c r="PO9" s="212">
        <f>IF(FC9=1,AB9,0)</f>
        <v>0</v>
      </c>
      <c r="PP9" s="212">
        <f>IF(FF9=1,AB9,0)</f>
        <v>0</v>
      </c>
      <c r="PQ9" s="212">
        <f>AB9-(PO9+PP9)</f>
        <v>0</v>
      </c>
      <c r="PR9" s="211"/>
      <c r="PS9" s="211"/>
      <c r="PT9" s="211"/>
      <c r="PU9" s="211"/>
    </row>
    <row r="10" spans="1:437" s="195" customFormat="1" ht="16" x14ac:dyDescent="0.2">
      <c r="A10" s="213">
        <f>A9+1</f>
        <v>1</v>
      </c>
      <c r="B10" s="186" t="s">
        <v>29</v>
      </c>
      <c r="C10" s="186">
        <v>3</v>
      </c>
      <c r="D10" s="188">
        <v>1</v>
      </c>
      <c r="E10" s="188">
        <v>50</v>
      </c>
      <c r="F10" s="188">
        <v>1</v>
      </c>
      <c r="G10" s="188">
        <f t="shared" ref="G10:G41" si="97">E10</f>
        <v>50</v>
      </c>
      <c r="H10" s="214">
        <f t="shared" ref="H10:H39" si="98">F10/$D10</f>
        <v>1</v>
      </c>
      <c r="I10" s="214">
        <f t="shared" ref="I10:I39" si="99">G10/$E10</f>
        <v>1</v>
      </c>
      <c r="J10" s="188">
        <v>1</v>
      </c>
      <c r="K10" s="188">
        <f t="shared" ref="K10:K39" si="100">IF(J10=D10,E10,0)</f>
        <v>50</v>
      </c>
      <c r="L10" s="214">
        <f t="shared" ref="L10:L39" si="101">J10/$D10</f>
        <v>1</v>
      </c>
      <c r="M10" s="214">
        <f t="shared" ref="M10:M39" si="102">K10/$E10</f>
        <v>1</v>
      </c>
      <c r="N10" s="188">
        <v>1</v>
      </c>
      <c r="O10" s="188">
        <f t="shared" ref="O10:O39" si="103">IF(N10=D10,E10,0)</f>
        <v>50</v>
      </c>
      <c r="P10" s="214">
        <f t="shared" ref="P10:P39" si="104">N10/$D10</f>
        <v>1</v>
      </c>
      <c r="Q10" s="214">
        <f t="shared" ref="Q10:Q39" si="105">O10/$E10</f>
        <v>1</v>
      </c>
      <c r="R10" s="188">
        <v>1</v>
      </c>
      <c r="S10" s="188">
        <f t="shared" ref="S10:S39" si="106">IF(R10=D10,E10,0)</f>
        <v>50</v>
      </c>
      <c r="T10" s="214">
        <f t="shared" ref="T10:T39" si="107">R10/$D10</f>
        <v>1</v>
      </c>
      <c r="U10" s="214">
        <f t="shared" ref="U10:U39" si="108">S10/$E10</f>
        <v>1</v>
      </c>
      <c r="V10" s="215">
        <v>1</v>
      </c>
      <c r="W10" s="188">
        <f t="shared" ref="W10:W39" si="109">IF(V10=D10,E10,0)</f>
        <v>50</v>
      </c>
      <c r="X10" s="214">
        <f t="shared" ref="X10:X39" si="110">V10/$D10</f>
        <v>1</v>
      </c>
      <c r="Y10" s="214">
        <f t="shared" ref="Y10:Y39" si="111">W10/$E10</f>
        <v>1</v>
      </c>
      <c r="Z10" s="216">
        <f>903147000/1000000000</f>
        <v>0.90314700000000003</v>
      </c>
      <c r="AA10" s="188">
        <v>0</v>
      </c>
      <c r="AB10" s="188">
        <f t="shared" ref="AB10:AB72" si="112">IF(AA10=D10,E10,0)</f>
        <v>0</v>
      </c>
      <c r="AC10" s="214">
        <f t="shared" ref="AC10:AC72" si="113">AA10/$D10</f>
        <v>0</v>
      </c>
      <c r="AD10" s="214">
        <f t="shared" ref="AD10:AD72" si="114">AB10/$E10</f>
        <v>0</v>
      </c>
      <c r="AE10" s="188"/>
      <c r="AF10" s="188">
        <f t="shared" ref="AF10:AF72" si="115">R10-V10</f>
        <v>0</v>
      </c>
      <c r="AG10" s="188"/>
      <c r="AH10" s="188"/>
      <c r="AI10" s="188">
        <v>1</v>
      </c>
      <c r="AJ10" s="188">
        <f t="shared" si="2"/>
        <v>50</v>
      </c>
      <c r="AK10" s="188" t="s">
        <v>304</v>
      </c>
      <c r="AL10" s="188">
        <v>0</v>
      </c>
      <c r="AM10" s="188">
        <v>0</v>
      </c>
      <c r="AN10" s="217"/>
      <c r="AO10" s="188">
        <f t="shared" si="3"/>
        <v>1</v>
      </c>
      <c r="AP10" s="188">
        <f t="shared" si="4"/>
        <v>50</v>
      </c>
      <c r="AQ10" s="188">
        <f t="shared" si="5"/>
        <v>1</v>
      </c>
      <c r="AR10" s="188">
        <f t="shared" si="6"/>
        <v>50</v>
      </c>
      <c r="AS10" s="188">
        <f t="shared" si="7"/>
        <v>1</v>
      </c>
      <c r="AT10" s="188">
        <f t="shared" si="8"/>
        <v>50</v>
      </c>
      <c r="AU10" s="188">
        <f t="shared" si="9"/>
        <v>1</v>
      </c>
      <c r="AV10" s="188">
        <f t="shared" si="10"/>
        <v>50</v>
      </c>
      <c r="AW10" s="188">
        <f t="shared" si="11"/>
        <v>1</v>
      </c>
      <c r="AX10" s="188">
        <f t="shared" si="12"/>
        <v>50</v>
      </c>
      <c r="AY10" s="188">
        <f t="shared" ref="AY10:AY66" si="116">AU10-AW10</f>
        <v>0</v>
      </c>
      <c r="AZ10" s="188">
        <f t="shared" ref="AZ10:AZ66" si="117">AV10-AX10</f>
        <v>0</v>
      </c>
      <c r="BA10" s="188">
        <f t="shared" si="14"/>
        <v>0.90314700000000003</v>
      </c>
      <c r="BB10" s="188">
        <f t="shared" si="15"/>
        <v>0</v>
      </c>
      <c r="BD10" s="196">
        <f t="shared" ref="BD10:BD73" si="118">S10-W10-BE10</f>
        <v>0</v>
      </c>
      <c r="BE10" s="188">
        <f t="shared" si="16"/>
        <v>0</v>
      </c>
      <c r="BF10" s="188">
        <f t="shared" si="17"/>
        <v>0</v>
      </c>
      <c r="BG10" s="188">
        <f t="shared" si="18"/>
        <v>0</v>
      </c>
      <c r="BH10" s="188">
        <f t="shared" si="19"/>
        <v>0</v>
      </c>
      <c r="BI10" s="188">
        <f t="shared" si="20"/>
        <v>0</v>
      </c>
      <c r="BJ10" s="188">
        <f t="shared" si="21"/>
        <v>0</v>
      </c>
      <c r="BK10" s="188">
        <f t="shared" si="22"/>
        <v>0</v>
      </c>
      <c r="BN10" s="143"/>
      <c r="BO10" s="277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B10" s="188"/>
      <c r="CD10" s="188">
        <f t="shared" si="23"/>
        <v>0</v>
      </c>
      <c r="CE10" s="188">
        <f t="shared" si="24"/>
        <v>0</v>
      </c>
      <c r="CF10" s="188">
        <f t="shared" si="25"/>
        <v>0</v>
      </c>
      <c r="CG10" s="188">
        <f t="shared" si="26"/>
        <v>0</v>
      </c>
      <c r="CH10" s="188">
        <f t="shared" si="27"/>
        <v>0</v>
      </c>
      <c r="CI10" s="188">
        <f t="shared" si="28"/>
        <v>0</v>
      </c>
      <c r="CJ10" s="188">
        <f t="shared" si="29"/>
        <v>0</v>
      </c>
      <c r="CK10" s="188">
        <f t="shared" si="30"/>
        <v>0</v>
      </c>
      <c r="CL10" s="188">
        <f t="shared" si="31"/>
        <v>0</v>
      </c>
      <c r="CM10" s="188">
        <f t="shared" si="32"/>
        <v>0</v>
      </c>
      <c r="CN10" s="188">
        <f t="shared" si="33"/>
        <v>0</v>
      </c>
      <c r="CO10" s="188">
        <f t="shared" si="34"/>
        <v>0</v>
      </c>
      <c r="CP10" s="188">
        <f t="shared" si="35"/>
        <v>0</v>
      </c>
      <c r="DV10" s="188">
        <f t="shared" si="36"/>
        <v>0</v>
      </c>
      <c r="DW10" s="188">
        <f t="shared" si="37"/>
        <v>0</v>
      </c>
      <c r="DX10" s="188">
        <f t="shared" si="38"/>
        <v>0</v>
      </c>
      <c r="DY10" s="188">
        <f t="shared" si="39"/>
        <v>0</v>
      </c>
      <c r="DZ10" s="188">
        <f t="shared" si="40"/>
        <v>0</v>
      </c>
      <c r="EA10" s="188">
        <f t="shared" si="41"/>
        <v>0</v>
      </c>
      <c r="EB10" s="188">
        <f t="shared" si="42"/>
        <v>0</v>
      </c>
      <c r="ED10" s="197" t="s">
        <v>368</v>
      </c>
      <c r="EE10" s="197" t="s">
        <v>370</v>
      </c>
      <c r="EF10" s="219"/>
      <c r="EG10" s="220">
        <f t="shared" si="43"/>
        <v>0</v>
      </c>
      <c r="EH10" s="220">
        <f t="shared" si="44"/>
        <v>0</v>
      </c>
      <c r="EI10" s="188"/>
      <c r="EJ10" s="188"/>
      <c r="EK10" s="188"/>
      <c r="EL10" s="188"/>
      <c r="EM10" s="188"/>
      <c r="EN10" s="188"/>
      <c r="EO10" s="188"/>
      <c r="EP10" s="188"/>
      <c r="EQ10" s="188"/>
      <c r="ER10" s="188"/>
      <c r="ES10" s="188"/>
      <c r="ET10" s="188"/>
      <c r="EU10" s="188"/>
      <c r="EV10" s="188"/>
      <c r="EW10" s="188"/>
      <c r="EX10" s="188"/>
      <c r="EY10" s="188"/>
      <c r="EZ10" s="188"/>
      <c r="FA10" s="188"/>
      <c r="FB10" s="188"/>
      <c r="FC10" s="188"/>
      <c r="FD10" s="188"/>
      <c r="FE10" s="188"/>
      <c r="FF10" s="188"/>
      <c r="FH10" s="189"/>
      <c r="FI10" s="189"/>
      <c r="FJ10" s="189"/>
      <c r="FK10" s="189"/>
      <c r="FL10" s="189"/>
      <c r="FM10" s="189"/>
      <c r="FN10" s="189"/>
      <c r="FO10" s="189"/>
      <c r="FP10" s="189"/>
      <c r="FQ10" s="189"/>
      <c r="FR10" s="189"/>
      <c r="FS10" s="189"/>
      <c r="FT10" s="189"/>
      <c r="FU10" s="189"/>
      <c r="FV10" s="189"/>
      <c r="FX10" s="217"/>
      <c r="FY10" s="188">
        <f t="shared" si="45"/>
        <v>0</v>
      </c>
      <c r="FZ10" s="188">
        <f t="shared" si="46"/>
        <v>0</v>
      </c>
      <c r="GA10" s="188">
        <f t="shared" si="47"/>
        <v>0</v>
      </c>
      <c r="GB10" s="188">
        <f t="shared" si="48"/>
        <v>0</v>
      </c>
      <c r="GC10" s="188">
        <f t="shared" si="49"/>
        <v>0</v>
      </c>
      <c r="GD10" s="188">
        <f t="shared" si="50"/>
        <v>0</v>
      </c>
      <c r="GE10" s="188">
        <f t="shared" si="51"/>
        <v>0</v>
      </c>
      <c r="GF10" s="199"/>
      <c r="GG10" s="189">
        <v>0</v>
      </c>
      <c r="GH10" s="189">
        <v>0</v>
      </c>
      <c r="GI10" s="199"/>
      <c r="GJ10" s="200">
        <f t="shared" si="52"/>
        <v>0</v>
      </c>
      <c r="GK10" s="200">
        <f t="shared" si="53"/>
        <v>0</v>
      </c>
      <c r="GO10" s="189">
        <f t="shared" ref="GO10:GO41" si="119">D10-F10</f>
        <v>0</v>
      </c>
      <c r="GP10" s="189">
        <f t="shared" ref="GP10:GP41" si="120">D10-J10</f>
        <v>0</v>
      </c>
      <c r="GQ10" s="189">
        <f t="shared" ref="GQ10:GQ41" si="121">D10-N10</f>
        <v>0</v>
      </c>
      <c r="GR10" s="189">
        <f t="shared" ref="GR10:GR41" si="122">D10-R10</f>
        <v>0</v>
      </c>
      <c r="GS10" s="189">
        <f t="shared" ref="GS10:GS41" si="123">D10-V10</f>
        <v>0</v>
      </c>
      <c r="GT10" s="189">
        <f t="shared" ref="GT10:GT73" si="124">IF(SUM(GO10:GS10)=0,1,0)</f>
        <v>1</v>
      </c>
      <c r="GU10" s="201">
        <f t="shared" ref="GU10:GU73" si="125">$GU$3</f>
        <v>43243</v>
      </c>
      <c r="GV10" s="189" t="str">
        <f t="shared" ref="GV10:GV73" si="126">IF(GO10&gt;0,$GO$6,IF(GP10&gt;0,$GP$6,IF(GQ10&gt;0,$GQ$6,IF(GR10&gt;0,$GR$6,IF(GS10&gt;0,$GS$6,IF(GT10&gt;0,$GT$6,0))))))</f>
        <v>SELESAI</v>
      </c>
      <c r="GW10" s="189">
        <f t="shared" ref="GW10:GW73" si="127">IF(GV10=$GO$6,GO10,IF(GV10=$GP$6,GP10,IF(GV10=$GQ$6,GQ10,IF(GV10=$GR$6,GR10,IF(GV10=$GS$6,GS10,0)))))</f>
        <v>0</v>
      </c>
      <c r="GX10" s="202" t="str">
        <f t="shared" ref="GX10:GX73" si="128">GV10</f>
        <v>SELESAI</v>
      </c>
      <c r="GY10" s="202">
        <f t="shared" ref="GY10:GY73" si="129">IF(GX10="DNP",SUM($GY$4:$GY$8),IF(GX10="Survey KJPP",SUM($GY$5:$GY$8),IF(GX10="Hasil Valuasi",SUM($GY$6:$GY$8),IF(GX10="Musyawarah",SUM($GY$7:$GY$8),IF(GX10="UGR",$GY$8,0)))))</f>
        <v>0</v>
      </c>
      <c r="GZ10" s="203" t="str">
        <f t="shared" ref="GZ10:GZ73" si="130">IF(GW10=0,"SELESAI",GU10+GY10)</f>
        <v>SELESAI</v>
      </c>
      <c r="HA10" s="204"/>
      <c r="HB10" s="204"/>
      <c r="HC10" s="189">
        <f t="shared" ref="HC10:HC41" si="131">IF(BH10&gt;0,1,IF(BI10&gt;0,1,0))</f>
        <v>0</v>
      </c>
      <c r="HD10" s="189">
        <f t="shared" ref="HD10:HD41" si="132">IF(CB10&gt;0,1,0)</f>
        <v>0</v>
      </c>
      <c r="HE10" s="189">
        <f t="shared" ref="HE10:HE73" si="133">HC10+HD10</f>
        <v>0</v>
      </c>
      <c r="HF10" s="189">
        <f t="shared" ref="HF10:HF73" si="134">FQ10</f>
        <v>0</v>
      </c>
      <c r="HG10" s="189">
        <f t="shared" ref="HG10:HG73" si="135">HE10-HF10</f>
        <v>0</v>
      </c>
      <c r="HH10" s="201" t="str">
        <f t="shared" ref="HH10:HH72" si="136">IF(HG10=1,GU10+$HH$8,"TIDAK KONSINYASI")</f>
        <v>TIDAK KONSINYASI</v>
      </c>
      <c r="HI10" s="201" t="str">
        <f t="shared" ref="HI10:HI73" si="137">IF(GW10=0,"SELESAI",GZ10+$HI$8)</f>
        <v>SELESAI</v>
      </c>
      <c r="HJ10" s="205"/>
      <c r="HK10" s="201">
        <f t="shared" ref="HK10:HK72" si="138">MAX(GZ10,HH10,HI10)</f>
        <v>0</v>
      </c>
      <c r="HL10" s="204"/>
      <c r="HM10" s="204"/>
      <c r="HN10" s="204"/>
      <c r="HO10" s="204"/>
      <c r="HP10" s="203">
        <f t="shared" ref="HP10:HP73" si="139">IF(HQ10=1,GZ10,0)</f>
        <v>0</v>
      </c>
      <c r="HQ10" s="202">
        <f t="shared" ref="HQ10:HQ73" si="140">IF(IX10=0,IF(HT10=0,IF(IP10=0,IF(GV10="UGR",GS10,0),0),0),0)</f>
        <v>0</v>
      </c>
      <c r="HR10" s="202">
        <f t="shared" ref="HR10:HR41" si="141">IF(HQ10=1,E10,0)</f>
        <v>0</v>
      </c>
      <c r="HS10" s="203">
        <f t="shared" ref="HS10:HS73" si="142">IF(HT10=1,HH10,0)</f>
        <v>0</v>
      </c>
      <c r="HT10" s="202">
        <f t="shared" ref="HT10:HT73" si="143">HG10</f>
        <v>0</v>
      </c>
      <c r="HU10" s="202">
        <f t="shared" ref="HU10:HU41" si="144">IF(HT10=1,E10,0)</f>
        <v>0</v>
      </c>
      <c r="HV10" s="203">
        <f t="shared" ref="HV10:HV73" si="145">IF(HW10=1,GZ10,0)</f>
        <v>0</v>
      </c>
      <c r="HW10" s="202">
        <f t="shared" ref="HW10:HW73" si="146">IF(JB10=0,IF(IX10=0,IF(HT10=0,IF(GV10="MUSYAWARAH",GR10,0),0),0),0)</f>
        <v>0</v>
      </c>
      <c r="HX10" s="202">
        <f t="shared" ref="HX10:HX41" si="147">IF(HW10=1,E10,0)</f>
        <v>0</v>
      </c>
      <c r="HY10" s="203">
        <f t="shared" ref="HY10:HY72" si="148">IF(HZ10=1,HV10+$HI$8,0)</f>
        <v>0</v>
      </c>
      <c r="HZ10" s="202">
        <f t="shared" ref="HZ10:HZ73" si="149">HW10</f>
        <v>0</v>
      </c>
      <c r="IA10" s="202">
        <f t="shared" ref="IA10:IA41" si="150">IF(HZ10=1,E10,0)</f>
        <v>0</v>
      </c>
      <c r="IB10" s="203">
        <f t="shared" ref="IB10:IB73" si="151">IF(IC10=1,$GU$3+SUM($GY$6:$GY$8),0)</f>
        <v>0</v>
      </c>
      <c r="IC10" s="202">
        <f t="shared" ref="IC10:IC72" si="152">IF(GV10="Hasil Valuasi",GQ10,0)</f>
        <v>0</v>
      </c>
      <c r="ID10" s="202">
        <f t="shared" ref="ID10:ID41" si="153">IF(IC10=1,E10,0)</f>
        <v>0</v>
      </c>
      <c r="IE10" s="203">
        <f t="shared" ref="IE10:IE72" si="154">IF(IF10=1,IB10+$HI$8,0)</f>
        <v>0</v>
      </c>
      <c r="IF10" s="202">
        <f t="shared" ref="IF10:IF72" si="155">IC10</f>
        <v>0</v>
      </c>
      <c r="IG10" s="202">
        <f t="shared" ref="IG10:IG41" si="156">IF(IF10=1,E10,0)</f>
        <v>0</v>
      </c>
      <c r="IH10" s="203">
        <f t="shared" ref="IH10:IH73" si="157">IF(II10=1,$GU$3+SUM($GY$5:$GY$8),0)</f>
        <v>0</v>
      </c>
      <c r="II10" s="202">
        <f t="shared" ref="II10:II73" si="158">IF(GV10="Survey KJPP",GP10,0)</f>
        <v>0</v>
      </c>
      <c r="IJ10" s="202">
        <f t="shared" ref="IJ10:IJ41" si="159">IF(II10=1,E10,0)</f>
        <v>0</v>
      </c>
      <c r="IK10" s="203">
        <f t="shared" ref="IK10:IK72" si="160">IF(IL10=1,IH10+$HI$8,0)</f>
        <v>0</v>
      </c>
      <c r="IL10" s="202">
        <f t="shared" ref="IL10:IL72" si="161">II10</f>
        <v>0</v>
      </c>
      <c r="IM10" s="202">
        <f t="shared" ref="IM10:IM41" si="162">IF(IL10=1,E10,0)</f>
        <v>0</v>
      </c>
      <c r="IN10" s="204"/>
      <c r="IO10" s="203">
        <f t="shared" ref="IO10:IO72" si="163">IF(IP10=1,+$GU$3+$HH$8,0)</f>
        <v>0</v>
      </c>
      <c r="IP10" s="202">
        <f t="shared" ref="IP10:IP41" si="164">IF(BG10&gt;0,1,0)</f>
        <v>0</v>
      </c>
      <c r="IQ10" s="202">
        <f t="shared" ref="IQ10:IQ41" si="165">IF(IP10=1,E10,0)</f>
        <v>0</v>
      </c>
      <c r="IR10" s="204"/>
      <c r="IS10" s="203"/>
      <c r="IT10" s="202">
        <f t="shared" ref="IT10:IT41" si="166">V10</f>
        <v>1</v>
      </c>
      <c r="IU10" s="202">
        <f t="shared" ref="IU10:IU41" si="167">W10</f>
        <v>50</v>
      </c>
      <c r="IV10" s="204"/>
      <c r="IW10" s="203"/>
      <c r="IX10" s="202">
        <f t="shared" ref="IX10:IX41" si="168">AA10</f>
        <v>0</v>
      </c>
      <c r="IY10" s="202">
        <f t="shared" ref="IY10:IY41" si="169">AB10</f>
        <v>0</v>
      </c>
      <c r="IZ10" s="204"/>
      <c r="JA10" s="203"/>
      <c r="JB10" s="202">
        <f t="shared" ref="JB10:JB41" si="170">AN10</f>
        <v>0</v>
      </c>
      <c r="JC10" s="202">
        <f t="shared" ref="JC10:JC41" si="171">BB10</f>
        <v>0</v>
      </c>
      <c r="JD10" s="204"/>
      <c r="JE10" s="203"/>
      <c r="JF10" s="202">
        <f t="shared" ref="JF10:JG73" si="172">IT10+HQ10+HT10+HZ10+IF10+IL10+IP10+IX10+JB10</f>
        <v>1</v>
      </c>
      <c r="JG10" s="202">
        <f t="shared" ref="JG10:JG72" si="173">IU10+HR10+HU10+IA10+IG10+IM10+IQ10+IY10+JC10</f>
        <v>50</v>
      </c>
      <c r="JH10" s="204"/>
      <c r="JI10" s="203"/>
      <c r="JJ10" s="202">
        <f t="shared" ref="JJ10:JJ41" si="174">JF10-D10</f>
        <v>0</v>
      </c>
      <c r="JK10" s="202">
        <f t="shared" ref="JK10:JK41" si="175">JG10-E10</f>
        <v>0</v>
      </c>
      <c r="JM10" s="203">
        <f t="shared" ref="JM10:JM73" si="176">MAX(IW10,IS10,IO10,IK10,IE10,HY10,HS10,HP10)</f>
        <v>0</v>
      </c>
      <c r="JO10" s="196">
        <f t="shared" si="54"/>
        <v>0</v>
      </c>
      <c r="JP10" s="189">
        <f t="shared" si="55"/>
        <v>0</v>
      </c>
      <c r="JQ10" s="189">
        <f t="shared" si="56"/>
        <v>0</v>
      </c>
      <c r="JR10" s="189">
        <f t="shared" si="57"/>
        <v>0</v>
      </c>
      <c r="JS10" s="189">
        <f t="shared" si="58"/>
        <v>0</v>
      </c>
      <c r="JT10" s="189">
        <f t="shared" si="59"/>
        <v>0</v>
      </c>
      <c r="JU10" s="189">
        <f t="shared" si="60"/>
        <v>0</v>
      </c>
      <c r="JV10" s="189">
        <f t="shared" si="61"/>
        <v>0</v>
      </c>
      <c r="JW10" s="189">
        <f t="shared" si="62"/>
        <v>0</v>
      </c>
      <c r="JX10" s="189">
        <f t="shared" si="63"/>
        <v>0</v>
      </c>
      <c r="JY10" s="189">
        <f t="shared" si="64"/>
        <v>0</v>
      </c>
      <c r="JZ10" s="189">
        <f t="shared" si="65"/>
        <v>0</v>
      </c>
      <c r="KA10" s="189">
        <f t="shared" si="66"/>
        <v>0</v>
      </c>
      <c r="KB10" s="189">
        <f t="shared" si="67"/>
        <v>0</v>
      </c>
      <c r="KD10" s="206">
        <f t="shared" ref="KD10:KD73" si="177">IF(IF(SUM(GA10:GE10)&gt;100,1,0)+IF(FX10=1,1,0)=2,1,0)</f>
        <v>0</v>
      </c>
      <c r="KE10" s="206">
        <f t="shared" si="69"/>
        <v>0</v>
      </c>
      <c r="KF10" s="206">
        <f t="shared" si="70"/>
        <v>0</v>
      </c>
      <c r="KG10" s="206">
        <f t="shared" si="71"/>
        <v>0</v>
      </c>
      <c r="KH10" s="206">
        <f t="shared" si="72"/>
        <v>0</v>
      </c>
      <c r="KI10" s="206">
        <f t="shared" si="73"/>
        <v>0</v>
      </c>
      <c r="KJ10" s="206">
        <f t="shared" si="74"/>
        <v>0</v>
      </c>
      <c r="KK10" s="206">
        <f t="shared" si="75"/>
        <v>0</v>
      </c>
      <c r="KL10" s="206">
        <f t="shared" si="76"/>
        <v>0</v>
      </c>
      <c r="KM10" s="206">
        <f t="shared" si="77"/>
        <v>0</v>
      </c>
      <c r="KN10" s="221">
        <f t="shared" si="78"/>
        <v>0</v>
      </c>
      <c r="KO10" s="221">
        <f t="shared" si="79"/>
        <v>0</v>
      </c>
      <c r="KP10" s="221">
        <f t="shared" si="80"/>
        <v>0</v>
      </c>
      <c r="KQ10" s="221">
        <f t="shared" si="81"/>
        <v>0</v>
      </c>
      <c r="KR10" s="221">
        <f t="shared" si="82"/>
        <v>0</v>
      </c>
      <c r="KT10" s="195">
        <f t="shared" si="83"/>
        <v>0</v>
      </c>
      <c r="KU10" s="221"/>
      <c r="KV10" s="221"/>
      <c r="KW10" s="221"/>
      <c r="KX10" s="221"/>
      <c r="KY10" s="221"/>
      <c r="KZ10" s="221"/>
      <c r="LA10" s="221"/>
      <c r="LB10" s="221"/>
      <c r="LC10" s="221"/>
      <c r="LD10" s="221"/>
      <c r="LE10" s="221"/>
      <c r="LF10" s="221"/>
      <c r="LG10" s="221"/>
      <c r="LH10" s="221"/>
      <c r="LI10" s="221"/>
      <c r="LJ10" s="221"/>
      <c r="LK10" s="221"/>
      <c r="LL10" s="221"/>
      <c r="LM10" s="221"/>
      <c r="LN10" s="221"/>
      <c r="LO10" s="221"/>
      <c r="LP10" s="221"/>
      <c r="LQ10" s="221"/>
      <c r="LR10" s="221"/>
      <c r="LS10" s="221"/>
      <c r="LT10" s="221"/>
      <c r="LU10" s="221"/>
      <c r="LV10" s="221"/>
      <c r="LW10" s="221"/>
      <c r="LX10" s="221"/>
      <c r="LY10" s="221"/>
      <c r="LZ10" s="221"/>
      <c r="MA10" s="221"/>
      <c r="MB10" s="221"/>
      <c r="MC10" s="221"/>
      <c r="MD10" s="221"/>
      <c r="ME10" s="221"/>
      <c r="MF10" s="221"/>
      <c r="MG10" s="221"/>
      <c r="MH10" s="221"/>
      <c r="MI10" s="221"/>
      <c r="MJ10" s="221"/>
      <c r="MK10" s="221"/>
      <c r="ML10" s="221"/>
      <c r="MM10" s="221"/>
      <c r="MN10" s="221"/>
      <c r="MO10" s="221"/>
      <c r="MP10" s="221"/>
      <c r="MQ10" s="221"/>
      <c r="MR10" s="221"/>
      <c r="MS10" s="221"/>
      <c r="MT10" s="221"/>
      <c r="MU10" s="221"/>
      <c r="MV10" s="221"/>
      <c r="MW10" s="221"/>
      <c r="MX10" s="221"/>
      <c r="MY10" s="221"/>
      <c r="MZ10" s="221"/>
      <c r="NA10" s="221"/>
      <c r="NB10" s="221"/>
      <c r="NC10" s="221"/>
      <c r="ND10" s="221"/>
      <c r="NE10" s="221"/>
      <c r="NF10" s="221"/>
      <c r="NG10" s="221"/>
      <c r="NH10" s="221"/>
      <c r="NI10" s="221"/>
      <c r="NJ10" s="221"/>
      <c r="NK10" s="221"/>
      <c r="NM10" s="195">
        <f t="shared" ref="NM10:NM73" si="178">IF(KS10=1,1,0)</f>
        <v>0</v>
      </c>
      <c r="NN10" s="195">
        <f t="shared" ref="NN10:NN73" si="179">IF(KS10=2,1,0)</f>
        <v>0</v>
      </c>
      <c r="NO10" s="195">
        <f t="shared" ref="NO10:NO73" si="180">IF(KS10=3,1,0)</f>
        <v>0</v>
      </c>
      <c r="NP10" s="195">
        <f t="shared" ref="NP10:NP73" si="181">IF(KS10=4,1,0)</f>
        <v>0</v>
      </c>
      <c r="NQ10" s="195">
        <f t="shared" ref="NQ10:NQ73" si="182">IF(KS10=5,1,0)</f>
        <v>0</v>
      </c>
      <c r="NR10" s="195">
        <f t="shared" ref="NR10:NR73" si="183">IF(KS10=6,1,0)</f>
        <v>0</v>
      </c>
      <c r="NS10" s="195">
        <f t="shared" ref="NS10:NS73" si="184">IF(KS10=7,1,0)</f>
        <v>0</v>
      </c>
      <c r="NT10" s="195">
        <f t="shared" ref="NT10:NT73" si="185">SUM(NM10:NS10)</f>
        <v>0</v>
      </c>
      <c r="NU10" s="196">
        <f t="shared" ref="NU10:NU73" si="186">NT10-KT10</f>
        <v>0</v>
      </c>
      <c r="NY10" s="215">
        <f t="shared" ref="NY10:NY41" si="187">V10</f>
        <v>1</v>
      </c>
      <c r="NZ10" s="222">
        <v>12250000</v>
      </c>
      <c r="OE10" s="207">
        <f t="shared" si="85"/>
        <v>0</v>
      </c>
      <c r="OF10" s="207">
        <f t="shared" si="86"/>
        <v>0</v>
      </c>
      <c r="OG10" s="207">
        <f t="shared" si="87"/>
        <v>0</v>
      </c>
      <c r="OH10" s="207">
        <f t="shared" ref="OH10:OH73" si="188">HE10</f>
        <v>0</v>
      </c>
      <c r="OI10" s="207">
        <f t="shared" si="88"/>
        <v>0</v>
      </c>
      <c r="OJ10" s="199">
        <f t="shared" ref="OJ10:OJ73" si="189">IF(OG10=1,OF10,0)</f>
        <v>0</v>
      </c>
      <c r="OK10" s="199">
        <f t="shared" ref="OK10:OK73" si="190">IF(OH10=1,OF10,0)</f>
        <v>0</v>
      </c>
      <c r="OL10" s="199">
        <f t="shared" ref="OL10:OL73" si="191">IF((OG10+OH10)=0,OF10,0)</f>
        <v>0</v>
      </c>
      <c r="OM10" s="199">
        <f t="shared" ref="OM10:OM73" si="192">SUM(OJ10:OL10)</f>
        <v>0</v>
      </c>
      <c r="OO10" s="207">
        <f t="shared" si="89"/>
        <v>0</v>
      </c>
      <c r="OP10" s="207">
        <f t="shared" si="90"/>
        <v>0</v>
      </c>
      <c r="OQ10" s="207">
        <f t="shared" ref="OQ10:OQ73" si="193">OG10</f>
        <v>0</v>
      </c>
      <c r="OR10" s="207">
        <f t="shared" ref="OR10:OR73" si="194">OH10</f>
        <v>0</v>
      </c>
      <c r="OS10" s="207">
        <f t="shared" ref="OS10:OS73" si="195">OI10</f>
        <v>0</v>
      </c>
      <c r="OT10" s="199">
        <f t="shared" ref="OT10:OT73" si="196">IF(OQ10=1,OP10,0)</f>
        <v>0</v>
      </c>
      <c r="OU10" s="199">
        <f t="shared" ref="OU10:OU73" si="197">IF(OR10=1,OP10,0)</f>
        <v>0</v>
      </c>
      <c r="OV10" s="199">
        <f t="shared" ref="OV10:OV73" si="198">IF((OQ10+OR10)=0,OP10,0)</f>
        <v>0</v>
      </c>
      <c r="OW10" s="199">
        <f t="shared" ref="OW10:OW73" si="199">SUM(OT10:OV10)</f>
        <v>0</v>
      </c>
      <c r="OZ10" s="208">
        <f t="shared" si="91"/>
        <v>0</v>
      </c>
      <c r="PA10" s="209"/>
      <c r="PB10" s="209"/>
      <c r="PC10" s="209"/>
      <c r="PD10" s="210">
        <f t="shared" ref="PD10:PD73" si="200">PB10-PC10</f>
        <v>0</v>
      </c>
      <c r="PE10" s="210"/>
      <c r="PF10" s="210">
        <f t="shared" ref="PF10:PF73" si="201">PD10-PE10</f>
        <v>0</v>
      </c>
      <c r="PG10" s="210">
        <f t="shared" ref="PG10:PG73" si="202">IF(PA10=1,$BB10,0)</f>
        <v>0</v>
      </c>
      <c r="PH10" s="210">
        <f t="shared" si="92"/>
        <v>0</v>
      </c>
      <c r="PI10" s="210">
        <f t="shared" si="93"/>
        <v>0</v>
      </c>
      <c r="PJ10" s="210">
        <f t="shared" si="94"/>
        <v>0</v>
      </c>
      <c r="PK10" s="210">
        <f t="shared" si="95"/>
        <v>0</v>
      </c>
      <c r="PL10" s="210">
        <f t="shared" si="96"/>
        <v>0</v>
      </c>
      <c r="PM10" s="211"/>
      <c r="PN10" s="211"/>
      <c r="PO10" s="212">
        <f t="shared" ref="PO10:PO73" si="203">IF(FC10=1,AB10,0)</f>
        <v>0</v>
      </c>
      <c r="PP10" s="212">
        <f t="shared" ref="PP10:PP73" si="204">IF(FF10=1,AB10,0)</f>
        <v>0</v>
      </c>
      <c r="PQ10" s="212">
        <f t="shared" ref="PQ10:PQ73" si="205">AB10-(PO10+PP10)</f>
        <v>0</v>
      </c>
      <c r="PR10" s="211"/>
      <c r="PS10" s="211"/>
      <c r="PT10" s="211"/>
      <c r="PU10" s="211"/>
    </row>
    <row r="11" spans="1:437" s="195" customFormat="1" ht="16" x14ac:dyDescent="0.2">
      <c r="A11" s="213">
        <f t="shared" ref="A11:A96" si="206">A10+1</f>
        <v>2</v>
      </c>
      <c r="B11" s="186" t="s">
        <v>30</v>
      </c>
      <c r="C11" s="186">
        <v>4</v>
      </c>
      <c r="D11" s="188">
        <v>1</v>
      </c>
      <c r="E11" s="188">
        <v>73</v>
      </c>
      <c r="F11" s="188">
        <v>1</v>
      </c>
      <c r="G11" s="188">
        <f t="shared" si="97"/>
        <v>73</v>
      </c>
      <c r="H11" s="214">
        <f t="shared" si="98"/>
        <v>1</v>
      </c>
      <c r="I11" s="214">
        <f t="shared" si="99"/>
        <v>1</v>
      </c>
      <c r="J11" s="188">
        <v>1</v>
      </c>
      <c r="K11" s="188">
        <f t="shared" si="100"/>
        <v>73</v>
      </c>
      <c r="L11" s="214">
        <f t="shared" si="101"/>
        <v>1</v>
      </c>
      <c r="M11" s="214">
        <f t="shared" si="102"/>
        <v>1</v>
      </c>
      <c r="N11" s="188">
        <v>1</v>
      </c>
      <c r="O11" s="188">
        <f t="shared" si="103"/>
        <v>73</v>
      </c>
      <c r="P11" s="214">
        <f t="shared" si="104"/>
        <v>1</v>
      </c>
      <c r="Q11" s="214">
        <f t="shared" si="105"/>
        <v>1</v>
      </c>
      <c r="R11" s="188">
        <v>1</v>
      </c>
      <c r="S11" s="188">
        <f t="shared" si="106"/>
        <v>73</v>
      </c>
      <c r="T11" s="214">
        <f t="shared" si="107"/>
        <v>1</v>
      </c>
      <c r="U11" s="214">
        <f t="shared" si="108"/>
        <v>1</v>
      </c>
      <c r="V11" s="215">
        <v>1</v>
      </c>
      <c r="W11" s="188">
        <f t="shared" si="109"/>
        <v>73</v>
      </c>
      <c r="X11" s="214">
        <f t="shared" si="110"/>
        <v>1</v>
      </c>
      <c r="Y11" s="214">
        <f t="shared" si="111"/>
        <v>1</v>
      </c>
      <c r="Z11" s="216">
        <f>1023273000/1000000000</f>
        <v>1.0232730000000001</v>
      </c>
      <c r="AA11" s="188">
        <v>0</v>
      </c>
      <c r="AB11" s="188">
        <f t="shared" si="112"/>
        <v>0</v>
      </c>
      <c r="AC11" s="214">
        <f t="shared" si="113"/>
        <v>0</v>
      </c>
      <c r="AD11" s="214">
        <f t="shared" si="114"/>
        <v>0</v>
      </c>
      <c r="AE11" s="188"/>
      <c r="AF11" s="188">
        <f t="shared" si="115"/>
        <v>0</v>
      </c>
      <c r="AG11" s="188"/>
      <c r="AH11" s="188"/>
      <c r="AI11" s="188">
        <v>1</v>
      </c>
      <c r="AJ11" s="188">
        <f t="shared" si="2"/>
        <v>73</v>
      </c>
      <c r="AK11" s="188" t="s">
        <v>304</v>
      </c>
      <c r="AL11" s="188">
        <v>0</v>
      </c>
      <c r="AM11" s="188">
        <v>0</v>
      </c>
      <c r="AN11" s="217"/>
      <c r="AO11" s="188">
        <f t="shared" ref="AO11:AO66" si="207">IF(AI11=1,D11,0)</f>
        <v>1</v>
      </c>
      <c r="AP11" s="188">
        <f t="shared" ref="AP11:AP66" si="208">IF(AO11=D11,E11,0)</f>
        <v>73</v>
      </c>
      <c r="AQ11" s="188">
        <f t="shared" si="5"/>
        <v>1</v>
      </c>
      <c r="AR11" s="188">
        <f t="shared" si="6"/>
        <v>73</v>
      </c>
      <c r="AS11" s="188">
        <f t="shared" si="7"/>
        <v>1</v>
      </c>
      <c r="AT11" s="188">
        <f t="shared" si="8"/>
        <v>73</v>
      </c>
      <c r="AU11" s="188">
        <f t="shared" ref="AU11:AU66" si="209">IF(AI11=1,R11,0)</f>
        <v>1</v>
      </c>
      <c r="AV11" s="188">
        <f t="shared" ref="AV11:AV66" si="210">IF(AU11=1,S11,0)</f>
        <v>73</v>
      </c>
      <c r="AW11" s="188">
        <f t="shared" ref="AW11:AW66" si="211">IF(AI11=1,V11,0)</f>
        <v>1</v>
      </c>
      <c r="AX11" s="188">
        <f t="shared" ref="AX11:AX66" si="212">IF(AW11=1,W11,0)</f>
        <v>73</v>
      </c>
      <c r="AY11" s="188">
        <f t="shared" si="116"/>
        <v>0</v>
      </c>
      <c r="AZ11" s="188">
        <f t="shared" si="117"/>
        <v>0</v>
      </c>
      <c r="BA11" s="188">
        <f t="shared" si="14"/>
        <v>1.0232730000000001</v>
      </c>
      <c r="BB11" s="188">
        <f t="shared" si="15"/>
        <v>0</v>
      </c>
      <c r="BD11" s="196">
        <f t="shared" si="118"/>
        <v>0</v>
      </c>
      <c r="BE11" s="188">
        <f t="shared" si="16"/>
        <v>0</v>
      </c>
      <c r="BF11" s="188">
        <f t="shared" si="17"/>
        <v>0</v>
      </c>
      <c r="BG11" s="188">
        <f t="shared" si="18"/>
        <v>0</v>
      </c>
      <c r="BH11" s="188">
        <f t="shared" si="19"/>
        <v>0</v>
      </c>
      <c r="BI11" s="188">
        <f t="shared" si="20"/>
        <v>0</v>
      </c>
      <c r="BJ11" s="188">
        <f t="shared" si="21"/>
        <v>0</v>
      </c>
      <c r="BK11" s="188">
        <f t="shared" si="22"/>
        <v>0</v>
      </c>
      <c r="BN11" s="143"/>
      <c r="BO11" s="282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B11" s="188"/>
      <c r="CD11" s="188">
        <f t="shared" si="23"/>
        <v>0</v>
      </c>
      <c r="CE11" s="188">
        <f t="shared" si="24"/>
        <v>0</v>
      </c>
      <c r="CF11" s="188">
        <f t="shared" si="25"/>
        <v>0</v>
      </c>
      <c r="CG11" s="188">
        <f t="shared" si="26"/>
        <v>0</v>
      </c>
      <c r="CH11" s="188">
        <f t="shared" si="27"/>
        <v>0</v>
      </c>
      <c r="CI11" s="188">
        <f t="shared" si="28"/>
        <v>0</v>
      </c>
      <c r="CJ11" s="188">
        <f t="shared" si="29"/>
        <v>0</v>
      </c>
      <c r="CK11" s="188">
        <f t="shared" si="30"/>
        <v>0</v>
      </c>
      <c r="CL11" s="188">
        <f t="shared" si="31"/>
        <v>0</v>
      </c>
      <c r="CM11" s="188">
        <f t="shared" si="32"/>
        <v>0</v>
      </c>
      <c r="CN11" s="188">
        <f t="shared" si="33"/>
        <v>0</v>
      </c>
      <c r="CO11" s="188">
        <f t="shared" si="34"/>
        <v>0</v>
      </c>
      <c r="CP11" s="188">
        <f t="shared" si="35"/>
        <v>0</v>
      </c>
      <c r="DV11" s="188">
        <f t="shared" si="36"/>
        <v>0</v>
      </c>
      <c r="DW11" s="188">
        <f t="shared" si="37"/>
        <v>0</v>
      </c>
      <c r="DX11" s="188">
        <f t="shared" si="38"/>
        <v>0</v>
      </c>
      <c r="DY11" s="188">
        <f t="shared" si="39"/>
        <v>0</v>
      </c>
      <c r="DZ11" s="188">
        <f t="shared" si="40"/>
        <v>0</v>
      </c>
      <c r="EA11" s="188">
        <f t="shared" si="41"/>
        <v>0</v>
      </c>
      <c r="EB11" s="188">
        <f t="shared" si="42"/>
        <v>0</v>
      </c>
      <c r="ED11" s="197" t="s">
        <v>371</v>
      </c>
      <c r="EE11" s="197" t="s">
        <v>372</v>
      </c>
      <c r="EF11" s="219"/>
      <c r="EG11" s="220">
        <f t="shared" si="43"/>
        <v>0</v>
      </c>
      <c r="EH11" s="220">
        <f t="shared" si="44"/>
        <v>0</v>
      </c>
      <c r="EI11" s="188"/>
      <c r="EJ11" s="188"/>
      <c r="EK11" s="188"/>
      <c r="EL11" s="188"/>
      <c r="EM11" s="188"/>
      <c r="EN11" s="188"/>
      <c r="EO11" s="188"/>
      <c r="EP11" s="188"/>
      <c r="EQ11" s="188"/>
      <c r="ER11" s="188"/>
      <c r="ES11" s="188"/>
      <c r="ET11" s="188"/>
      <c r="EU11" s="188"/>
      <c r="EV11" s="188"/>
      <c r="EW11" s="188"/>
      <c r="EX11" s="188"/>
      <c r="EY11" s="188"/>
      <c r="EZ11" s="188"/>
      <c r="FA11" s="188"/>
      <c r="FB11" s="188"/>
      <c r="FC11" s="188"/>
      <c r="FD11" s="188"/>
      <c r="FE11" s="188"/>
      <c r="FF11" s="188"/>
      <c r="FH11" s="189"/>
      <c r="FI11" s="189"/>
      <c r="FJ11" s="189"/>
      <c r="FK11" s="189"/>
      <c r="FL11" s="189"/>
      <c r="FM11" s="189"/>
      <c r="FN11" s="189"/>
      <c r="FO11" s="189"/>
      <c r="FP11" s="189"/>
      <c r="FQ11" s="189"/>
      <c r="FR11" s="189"/>
      <c r="FS11" s="189"/>
      <c r="FT11" s="189"/>
      <c r="FU11" s="189"/>
      <c r="FV11" s="189"/>
      <c r="FX11" s="217"/>
      <c r="FY11" s="188">
        <f t="shared" si="45"/>
        <v>0</v>
      </c>
      <c r="FZ11" s="188">
        <f t="shared" si="46"/>
        <v>0</v>
      </c>
      <c r="GA11" s="188">
        <f t="shared" si="47"/>
        <v>0</v>
      </c>
      <c r="GB11" s="188">
        <f t="shared" si="48"/>
        <v>0</v>
      </c>
      <c r="GC11" s="188">
        <f t="shared" si="49"/>
        <v>0</v>
      </c>
      <c r="GD11" s="188">
        <f t="shared" si="50"/>
        <v>0</v>
      </c>
      <c r="GE11" s="188">
        <f t="shared" si="51"/>
        <v>0</v>
      </c>
      <c r="GF11" s="199"/>
      <c r="GG11" s="189">
        <v>0</v>
      </c>
      <c r="GH11" s="189">
        <v>0</v>
      </c>
      <c r="GI11" s="199"/>
      <c r="GJ11" s="200">
        <f t="shared" si="52"/>
        <v>0</v>
      </c>
      <c r="GK11" s="200">
        <f t="shared" si="53"/>
        <v>0</v>
      </c>
      <c r="GO11" s="189">
        <f t="shared" si="119"/>
        <v>0</v>
      </c>
      <c r="GP11" s="189">
        <f t="shared" si="120"/>
        <v>0</v>
      </c>
      <c r="GQ11" s="189">
        <f t="shared" si="121"/>
        <v>0</v>
      </c>
      <c r="GR11" s="189">
        <f t="shared" si="122"/>
        <v>0</v>
      </c>
      <c r="GS11" s="189">
        <f t="shared" si="123"/>
        <v>0</v>
      </c>
      <c r="GT11" s="189">
        <f t="shared" si="124"/>
        <v>1</v>
      </c>
      <c r="GU11" s="201">
        <f t="shared" si="125"/>
        <v>43243</v>
      </c>
      <c r="GV11" s="189" t="str">
        <f t="shared" si="126"/>
        <v>SELESAI</v>
      </c>
      <c r="GW11" s="189">
        <f t="shared" si="127"/>
        <v>0</v>
      </c>
      <c r="GX11" s="202" t="str">
        <f t="shared" si="128"/>
        <v>SELESAI</v>
      </c>
      <c r="GY11" s="202">
        <f t="shared" si="129"/>
        <v>0</v>
      </c>
      <c r="GZ11" s="203" t="str">
        <f t="shared" si="130"/>
        <v>SELESAI</v>
      </c>
      <c r="HA11" s="204"/>
      <c r="HB11" s="204"/>
      <c r="HC11" s="189">
        <f t="shared" si="131"/>
        <v>0</v>
      </c>
      <c r="HD11" s="189">
        <f t="shared" si="132"/>
        <v>0</v>
      </c>
      <c r="HE11" s="189">
        <f t="shared" si="133"/>
        <v>0</v>
      </c>
      <c r="HF11" s="189">
        <f t="shared" si="134"/>
        <v>0</v>
      </c>
      <c r="HG11" s="189">
        <f t="shared" si="135"/>
        <v>0</v>
      </c>
      <c r="HH11" s="201" t="str">
        <f t="shared" si="136"/>
        <v>TIDAK KONSINYASI</v>
      </c>
      <c r="HI11" s="201" t="str">
        <f t="shared" si="137"/>
        <v>SELESAI</v>
      </c>
      <c r="HJ11" s="205"/>
      <c r="HK11" s="201">
        <f t="shared" si="138"/>
        <v>0</v>
      </c>
      <c r="HL11" s="204"/>
      <c r="HM11" s="204"/>
      <c r="HN11" s="204"/>
      <c r="HO11" s="204"/>
      <c r="HP11" s="203">
        <f t="shared" si="139"/>
        <v>0</v>
      </c>
      <c r="HQ11" s="202">
        <f t="shared" si="140"/>
        <v>0</v>
      </c>
      <c r="HR11" s="202">
        <f t="shared" si="141"/>
        <v>0</v>
      </c>
      <c r="HS11" s="203">
        <f t="shared" si="142"/>
        <v>0</v>
      </c>
      <c r="HT11" s="202">
        <f t="shared" si="143"/>
        <v>0</v>
      </c>
      <c r="HU11" s="202">
        <f t="shared" si="144"/>
        <v>0</v>
      </c>
      <c r="HV11" s="203">
        <f t="shared" si="145"/>
        <v>0</v>
      </c>
      <c r="HW11" s="202">
        <f t="shared" si="146"/>
        <v>0</v>
      </c>
      <c r="HX11" s="202">
        <f t="shared" si="147"/>
        <v>0</v>
      </c>
      <c r="HY11" s="203">
        <f t="shared" si="148"/>
        <v>0</v>
      </c>
      <c r="HZ11" s="202">
        <f t="shared" si="149"/>
        <v>0</v>
      </c>
      <c r="IA11" s="202">
        <f t="shared" si="150"/>
        <v>0</v>
      </c>
      <c r="IB11" s="203">
        <f t="shared" si="151"/>
        <v>0</v>
      </c>
      <c r="IC11" s="202">
        <f t="shared" si="152"/>
        <v>0</v>
      </c>
      <c r="ID11" s="202">
        <f t="shared" si="153"/>
        <v>0</v>
      </c>
      <c r="IE11" s="203">
        <f t="shared" si="154"/>
        <v>0</v>
      </c>
      <c r="IF11" s="202">
        <f t="shared" si="155"/>
        <v>0</v>
      </c>
      <c r="IG11" s="202">
        <f t="shared" si="156"/>
        <v>0</v>
      </c>
      <c r="IH11" s="203">
        <f t="shared" si="157"/>
        <v>0</v>
      </c>
      <c r="II11" s="202">
        <f t="shared" si="158"/>
        <v>0</v>
      </c>
      <c r="IJ11" s="202">
        <f t="shared" si="159"/>
        <v>0</v>
      </c>
      <c r="IK11" s="203">
        <f t="shared" si="160"/>
        <v>0</v>
      </c>
      <c r="IL11" s="202">
        <f t="shared" si="161"/>
        <v>0</v>
      </c>
      <c r="IM11" s="202">
        <f t="shared" si="162"/>
        <v>0</v>
      </c>
      <c r="IN11" s="204"/>
      <c r="IO11" s="203">
        <f t="shared" si="163"/>
        <v>0</v>
      </c>
      <c r="IP11" s="202">
        <f t="shared" si="164"/>
        <v>0</v>
      </c>
      <c r="IQ11" s="202">
        <f t="shared" si="165"/>
        <v>0</v>
      </c>
      <c r="IR11" s="204"/>
      <c r="IS11" s="203"/>
      <c r="IT11" s="202">
        <f t="shared" si="166"/>
        <v>1</v>
      </c>
      <c r="IU11" s="202">
        <f t="shared" si="167"/>
        <v>73</v>
      </c>
      <c r="IV11" s="204"/>
      <c r="IW11" s="203"/>
      <c r="IX11" s="202">
        <f t="shared" si="168"/>
        <v>0</v>
      </c>
      <c r="IY11" s="202">
        <f t="shared" si="169"/>
        <v>0</v>
      </c>
      <c r="IZ11" s="204"/>
      <c r="JA11" s="203"/>
      <c r="JB11" s="202">
        <f t="shared" si="170"/>
        <v>0</v>
      </c>
      <c r="JC11" s="202">
        <f t="shared" si="171"/>
        <v>0</v>
      </c>
      <c r="JD11" s="204"/>
      <c r="JE11" s="203"/>
      <c r="JF11" s="202">
        <f t="shared" si="172"/>
        <v>1</v>
      </c>
      <c r="JG11" s="202">
        <f t="shared" si="173"/>
        <v>73</v>
      </c>
      <c r="JH11" s="204"/>
      <c r="JI11" s="203"/>
      <c r="JJ11" s="202">
        <f t="shared" si="174"/>
        <v>0</v>
      </c>
      <c r="JK11" s="202">
        <f t="shared" si="175"/>
        <v>0</v>
      </c>
      <c r="JM11" s="203">
        <f t="shared" si="176"/>
        <v>0</v>
      </c>
      <c r="JO11" s="196">
        <f t="shared" si="54"/>
        <v>0</v>
      </c>
      <c r="JP11" s="189">
        <f t="shared" si="55"/>
        <v>0</v>
      </c>
      <c r="JQ11" s="189">
        <f t="shared" si="56"/>
        <v>0</v>
      </c>
      <c r="JR11" s="189">
        <f t="shared" si="57"/>
        <v>0</v>
      </c>
      <c r="JS11" s="189">
        <f t="shared" si="58"/>
        <v>0</v>
      </c>
      <c r="JT11" s="189">
        <f t="shared" si="59"/>
        <v>0</v>
      </c>
      <c r="JU11" s="189">
        <f t="shared" si="60"/>
        <v>0</v>
      </c>
      <c r="JV11" s="189">
        <f t="shared" si="61"/>
        <v>0</v>
      </c>
      <c r="JW11" s="189">
        <f t="shared" si="62"/>
        <v>0</v>
      </c>
      <c r="JX11" s="189">
        <f t="shared" si="63"/>
        <v>0</v>
      </c>
      <c r="JY11" s="189">
        <f t="shared" si="64"/>
        <v>0</v>
      </c>
      <c r="JZ11" s="189">
        <f t="shared" si="65"/>
        <v>0</v>
      </c>
      <c r="KA11" s="189">
        <f t="shared" si="66"/>
        <v>0</v>
      </c>
      <c r="KB11" s="189">
        <f t="shared" si="67"/>
        <v>0</v>
      </c>
      <c r="KD11" s="206">
        <f t="shared" si="177"/>
        <v>0</v>
      </c>
      <c r="KE11" s="206">
        <f t="shared" si="69"/>
        <v>0</v>
      </c>
      <c r="KF11" s="206">
        <f t="shared" si="70"/>
        <v>0</v>
      </c>
      <c r="KG11" s="206">
        <f t="shared" si="71"/>
        <v>0</v>
      </c>
      <c r="KH11" s="206">
        <f t="shared" si="72"/>
        <v>0</v>
      </c>
      <c r="KI11" s="206">
        <f t="shared" si="73"/>
        <v>0</v>
      </c>
      <c r="KJ11" s="206">
        <f t="shared" si="74"/>
        <v>0</v>
      </c>
      <c r="KK11" s="206">
        <f t="shared" si="75"/>
        <v>0</v>
      </c>
      <c r="KL11" s="206">
        <f t="shared" si="76"/>
        <v>0</v>
      </c>
      <c r="KM11" s="206">
        <f t="shared" si="77"/>
        <v>0</v>
      </c>
      <c r="KN11" s="221">
        <f t="shared" si="78"/>
        <v>0</v>
      </c>
      <c r="KO11" s="221">
        <f t="shared" si="79"/>
        <v>0</v>
      </c>
      <c r="KP11" s="221">
        <f t="shared" si="80"/>
        <v>0</v>
      </c>
      <c r="KQ11" s="221">
        <f t="shared" si="81"/>
        <v>0</v>
      </c>
      <c r="KR11" s="221">
        <f t="shared" si="82"/>
        <v>0</v>
      </c>
      <c r="KT11" s="195">
        <f t="shared" si="83"/>
        <v>0</v>
      </c>
      <c r="KU11" s="221"/>
      <c r="KV11" s="221"/>
      <c r="KW11" s="221"/>
      <c r="KX11" s="221"/>
      <c r="KY11" s="221"/>
      <c r="KZ11" s="221"/>
      <c r="LA11" s="221"/>
      <c r="LB11" s="221"/>
      <c r="LC11" s="221"/>
      <c r="LD11" s="221"/>
      <c r="LE11" s="221"/>
      <c r="LF11" s="221"/>
      <c r="LG11" s="221"/>
      <c r="LH11" s="221"/>
      <c r="LI11" s="221"/>
      <c r="LJ11" s="221"/>
      <c r="LK11" s="221"/>
      <c r="LL11" s="221"/>
      <c r="LM11" s="221"/>
      <c r="LN11" s="221"/>
      <c r="LO11" s="221"/>
      <c r="LP11" s="221"/>
      <c r="LQ11" s="221"/>
      <c r="LR11" s="221"/>
      <c r="LS11" s="221"/>
      <c r="LT11" s="221"/>
      <c r="LU11" s="221"/>
      <c r="LV11" s="221"/>
      <c r="LW11" s="221"/>
      <c r="LX11" s="221"/>
      <c r="LY11" s="221"/>
      <c r="LZ11" s="221"/>
      <c r="MA11" s="221"/>
      <c r="MB11" s="221"/>
      <c r="MC11" s="221"/>
      <c r="MD11" s="221"/>
      <c r="ME11" s="221"/>
      <c r="MF11" s="221"/>
      <c r="MG11" s="221"/>
      <c r="MH11" s="221"/>
      <c r="MI11" s="221"/>
      <c r="MJ11" s="221"/>
      <c r="MK11" s="221"/>
      <c r="ML11" s="221"/>
      <c r="MM11" s="221"/>
      <c r="MN11" s="221"/>
      <c r="MO11" s="221"/>
      <c r="MP11" s="221"/>
      <c r="MQ11" s="221"/>
      <c r="MR11" s="221"/>
      <c r="MS11" s="221"/>
      <c r="MT11" s="221"/>
      <c r="MU11" s="221"/>
      <c r="MV11" s="221"/>
      <c r="MW11" s="221"/>
      <c r="MX11" s="221"/>
      <c r="MY11" s="221"/>
      <c r="MZ11" s="221"/>
      <c r="NA11" s="221"/>
      <c r="NB11" s="221"/>
      <c r="NC11" s="221"/>
      <c r="ND11" s="221"/>
      <c r="NE11" s="221"/>
      <c r="NF11" s="221"/>
      <c r="NG11" s="221"/>
      <c r="NH11" s="221"/>
      <c r="NI11" s="221"/>
      <c r="NJ11" s="221"/>
      <c r="NK11" s="221"/>
      <c r="NM11" s="195">
        <f t="shared" si="178"/>
        <v>0</v>
      </c>
      <c r="NN11" s="195">
        <f t="shared" si="179"/>
        <v>0</v>
      </c>
      <c r="NO11" s="195">
        <f t="shared" si="180"/>
        <v>0</v>
      </c>
      <c r="NP11" s="195">
        <f t="shared" si="181"/>
        <v>0</v>
      </c>
      <c r="NQ11" s="195">
        <f t="shared" si="182"/>
        <v>0</v>
      </c>
      <c r="NR11" s="195">
        <f t="shared" si="183"/>
        <v>0</v>
      </c>
      <c r="NS11" s="195">
        <f t="shared" si="184"/>
        <v>0</v>
      </c>
      <c r="NT11" s="195">
        <f t="shared" si="185"/>
        <v>0</v>
      </c>
      <c r="NU11" s="196">
        <f t="shared" si="186"/>
        <v>0</v>
      </c>
      <c r="NY11" s="215">
        <f t="shared" si="187"/>
        <v>1</v>
      </c>
      <c r="NZ11" s="222">
        <v>12500000</v>
      </c>
      <c r="OE11" s="207">
        <f t="shared" si="85"/>
        <v>0</v>
      </c>
      <c r="OF11" s="207">
        <f t="shared" si="86"/>
        <v>0</v>
      </c>
      <c r="OG11" s="207">
        <f t="shared" si="87"/>
        <v>0</v>
      </c>
      <c r="OH11" s="207">
        <f t="shared" si="188"/>
        <v>0</v>
      </c>
      <c r="OI11" s="207">
        <f t="shared" si="88"/>
        <v>0</v>
      </c>
      <c r="OJ11" s="199">
        <f t="shared" si="189"/>
        <v>0</v>
      </c>
      <c r="OK11" s="199">
        <f t="shared" si="190"/>
        <v>0</v>
      </c>
      <c r="OL11" s="199">
        <f t="shared" si="191"/>
        <v>0</v>
      </c>
      <c r="OM11" s="199">
        <f t="shared" si="192"/>
        <v>0</v>
      </c>
      <c r="OO11" s="207">
        <f t="shared" si="89"/>
        <v>0</v>
      </c>
      <c r="OP11" s="207">
        <f t="shared" si="90"/>
        <v>0</v>
      </c>
      <c r="OQ11" s="207">
        <f t="shared" si="193"/>
        <v>0</v>
      </c>
      <c r="OR11" s="207">
        <f t="shared" si="194"/>
        <v>0</v>
      </c>
      <c r="OS11" s="207">
        <f t="shared" si="195"/>
        <v>0</v>
      </c>
      <c r="OT11" s="199">
        <f t="shared" si="196"/>
        <v>0</v>
      </c>
      <c r="OU11" s="199">
        <f t="shared" si="197"/>
        <v>0</v>
      </c>
      <c r="OV11" s="199">
        <f t="shared" si="198"/>
        <v>0</v>
      </c>
      <c r="OW11" s="199">
        <f t="shared" si="199"/>
        <v>0</v>
      </c>
      <c r="OZ11" s="208">
        <f t="shared" si="91"/>
        <v>0</v>
      </c>
      <c r="PA11" s="209"/>
      <c r="PB11" s="209"/>
      <c r="PC11" s="209"/>
      <c r="PD11" s="210">
        <f t="shared" si="200"/>
        <v>0</v>
      </c>
      <c r="PE11" s="210"/>
      <c r="PF11" s="210">
        <f t="shared" si="201"/>
        <v>0</v>
      </c>
      <c r="PG11" s="210">
        <f t="shared" si="202"/>
        <v>0</v>
      </c>
      <c r="PH11" s="210">
        <f t="shared" si="92"/>
        <v>0</v>
      </c>
      <c r="PI11" s="210">
        <f t="shared" si="93"/>
        <v>0</v>
      </c>
      <c r="PJ11" s="210">
        <f t="shared" si="94"/>
        <v>0</v>
      </c>
      <c r="PK11" s="210">
        <f t="shared" si="95"/>
        <v>0</v>
      </c>
      <c r="PL11" s="210">
        <f t="shared" si="96"/>
        <v>0</v>
      </c>
      <c r="PM11" s="211"/>
      <c r="PN11" s="211"/>
      <c r="PO11" s="212">
        <f t="shared" si="203"/>
        <v>0</v>
      </c>
      <c r="PP11" s="212">
        <f t="shared" si="204"/>
        <v>0</v>
      </c>
      <c r="PQ11" s="212">
        <f t="shared" si="205"/>
        <v>0</v>
      </c>
      <c r="PR11" s="211"/>
      <c r="PS11" s="211"/>
      <c r="PT11" s="211"/>
      <c r="PU11" s="211"/>
    </row>
    <row r="12" spans="1:437" s="195" customFormat="1" ht="16" x14ac:dyDescent="0.2">
      <c r="A12" s="213">
        <f t="shared" si="206"/>
        <v>3</v>
      </c>
      <c r="B12" s="186" t="s">
        <v>31</v>
      </c>
      <c r="C12" s="186">
        <v>5</v>
      </c>
      <c r="D12" s="188">
        <v>1</v>
      </c>
      <c r="E12" s="188">
        <v>28</v>
      </c>
      <c r="F12" s="188">
        <v>1</v>
      </c>
      <c r="G12" s="188">
        <f t="shared" si="97"/>
        <v>28</v>
      </c>
      <c r="H12" s="214">
        <f t="shared" si="98"/>
        <v>1</v>
      </c>
      <c r="I12" s="214">
        <f t="shared" si="99"/>
        <v>1</v>
      </c>
      <c r="J12" s="188">
        <v>1</v>
      </c>
      <c r="K12" s="188">
        <f t="shared" si="100"/>
        <v>28</v>
      </c>
      <c r="L12" s="214">
        <f t="shared" si="101"/>
        <v>1</v>
      </c>
      <c r="M12" s="214">
        <f t="shared" si="102"/>
        <v>1</v>
      </c>
      <c r="N12" s="188">
        <v>1</v>
      </c>
      <c r="O12" s="188">
        <f t="shared" si="103"/>
        <v>28</v>
      </c>
      <c r="P12" s="214">
        <f t="shared" si="104"/>
        <v>1</v>
      </c>
      <c r="Q12" s="214">
        <f t="shared" si="105"/>
        <v>1</v>
      </c>
      <c r="R12" s="188">
        <v>1</v>
      </c>
      <c r="S12" s="188">
        <f t="shared" si="106"/>
        <v>28</v>
      </c>
      <c r="T12" s="214">
        <f t="shared" si="107"/>
        <v>1</v>
      </c>
      <c r="U12" s="214">
        <f t="shared" si="108"/>
        <v>1</v>
      </c>
      <c r="V12" s="215">
        <v>1</v>
      </c>
      <c r="W12" s="188">
        <f t="shared" si="109"/>
        <v>28</v>
      </c>
      <c r="X12" s="214">
        <f t="shared" si="110"/>
        <v>1</v>
      </c>
      <c r="Y12" s="214">
        <f t="shared" si="111"/>
        <v>1</v>
      </c>
      <c r="Z12" s="216">
        <f>1125636000/1000000000</f>
        <v>1.1256360000000001</v>
      </c>
      <c r="AA12" s="188">
        <v>0</v>
      </c>
      <c r="AB12" s="188">
        <f t="shared" si="112"/>
        <v>0</v>
      </c>
      <c r="AC12" s="214">
        <f t="shared" si="113"/>
        <v>0</v>
      </c>
      <c r="AD12" s="214">
        <f t="shared" si="114"/>
        <v>0</v>
      </c>
      <c r="AE12" s="188"/>
      <c r="AF12" s="188">
        <f t="shared" si="115"/>
        <v>0</v>
      </c>
      <c r="AG12" s="188"/>
      <c r="AH12" s="188"/>
      <c r="AI12" s="188">
        <v>1</v>
      </c>
      <c r="AJ12" s="188">
        <f t="shared" si="2"/>
        <v>28</v>
      </c>
      <c r="AK12" s="188" t="s">
        <v>304</v>
      </c>
      <c r="AL12" s="188">
        <v>0</v>
      </c>
      <c r="AM12" s="188">
        <v>0</v>
      </c>
      <c r="AN12" s="217"/>
      <c r="AO12" s="188">
        <f t="shared" si="207"/>
        <v>1</v>
      </c>
      <c r="AP12" s="188">
        <f t="shared" si="208"/>
        <v>28</v>
      </c>
      <c r="AQ12" s="188">
        <f t="shared" si="5"/>
        <v>1</v>
      </c>
      <c r="AR12" s="188">
        <f t="shared" si="6"/>
        <v>28</v>
      </c>
      <c r="AS12" s="188">
        <f t="shared" si="7"/>
        <v>1</v>
      </c>
      <c r="AT12" s="188">
        <f t="shared" si="8"/>
        <v>28</v>
      </c>
      <c r="AU12" s="188">
        <f t="shared" si="209"/>
        <v>1</v>
      </c>
      <c r="AV12" s="188">
        <f t="shared" si="210"/>
        <v>28</v>
      </c>
      <c r="AW12" s="188">
        <f t="shared" si="211"/>
        <v>1</v>
      </c>
      <c r="AX12" s="188">
        <f t="shared" si="212"/>
        <v>28</v>
      </c>
      <c r="AY12" s="188">
        <f t="shared" si="116"/>
        <v>0</v>
      </c>
      <c r="AZ12" s="188">
        <f t="shared" si="117"/>
        <v>0</v>
      </c>
      <c r="BA12" s="188">
        <f t="shared" si="14"/>
        <v>1.1256360000000001</v>
      </c>
      <c r="BB12" s="188">
        <f t="shared" si="15"/>
        <v>0</v>
      </c>
      <c r="BD12" s="196">
        <f t="shared" si="118"/>
        <v>0</v>
      </c>
      <c r="BE12" s="188">
        <f t="shared" si="16"/>
        <v>0</v>
      </c>
      <c r="BF12" s="188">
        <f t="shared" si="17"/>
        <v>0</v>
      </c>
      <c r="BG12" s="188">
        <f t="shared" si="18"/>
        <v>0</v>
      </c>
      <c r="BH12" s="188">
        <f t="shared" si="19"/>
        <v>0</v>
      </c>
      <c r="BI12" s="188">
        <f t="shared" si="20"/>
        <v>0</v>
      </c>
      <c r="BJ12" s="188">
        <f t="shared" si="21"/>
        <v>0</v>
      </c>
      <c r="BK12" s="188">
        <f t="shared" si="22"/>
        <v>0</v>
      </c>
      <c r="BN12" s="277"/>
      <c r="BO12" s="139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B12" s="188"/>
      <c r="CD12" s="188">
        <f t="shared" si="23"/>
        <v>0</v>
      </c>
      <c r="CE12" s="188">
        <f t="shared" si="24"/>
        <v>0</v>
      </c>
      <c r="CF12" s="188">
        <f t="shared" si="25"/>
        <v>0</v>
      </c>
      <c r="CG12" s="188">
        <f t="shared" si="26"/>
        <v>0</v>
      </c>
      <c r="CH12" s="188">
        <f t="shared" si="27"/>
        <v>0</v>
      </c>
      <c r="CI12" s="188">
        <f t="shared" si="28"/>
        <v>0</v>
      </c>
      <c r="CJ12" s="188">
        <f t="shared" si="29"/>
        <v>0</v>
      </c>
      <c r="CK12" s="188">
        <f t="shared" si="30"/>
        <v>0</v>
      </c>
      <c r="CL12" s="188">
        <f t="shared" si="31"/>
        <v>0</v>
      </c>
      <c r="CM12" s="188">
        <f t="shared" si="32"/>
        <v>0</v>
      </c>
      <c r="CN12" s="188">
        <f t="shared" si="33"/>
        <v>0</v>
      </c>
      <c r="CO12" s="188">
        <f t="shared" si="34"/>
        <v>0</v>
      </c>
      <c r="CP12" s="188">
        <f t="shared" si="35"/>
        <v>0</v>
      </c>
      <c r="DV12" s="188">
        <f t="shared" si="36"/>
        <v>0</v>
      </c>
      <c r="DW12" s="188">
        <f t="shared" si="37"/>
        <v>0</v>
      </c>
      <c r="DX12" s="188">
        <f t="shared" si="38"/>
        <v>0</v>
      </c>
      <c r="DY12" s="188">
        <f t="shared" si="39"/>
        <v>0</v>
      </c>
      <c r="DZ12" s="188">
        <f t="shared" si="40"/>
        <v>0</v>
      </c>
      <c r="EA12" s="188">
        <f t="shared" si="41"/>
        <v>0</v>
      </c>
      <c r="EB12" s="188">
        <f t="shared" si="42"/>
        <v>0</v>
      </c>
      <c r="ED12" s="197" t="s">
        <v>300</v>
      </c>
      <c r="EE12" s="197" t="s">
        <v>373</v>
      </c>
      <c r="EF12" s="219"/>
      <c r="EG12" s="220">
        <f t="shared" si="43"/>
        <v>0</v>
      </c>
      <c r="EH12" s="220">
        <f t="shared" si="44"/>
        <v>0</v>
      </c>
      <c r="EI12" s="188"/>
      <c r="EJ12" s="188"/>
      <c r="EK12" s="188"/>
      <c r="EL12" s="188"/>
      <c r="EM12" s="188"/>
      <c r="EN12" s="188"/>
      <c r="EO12" s="188"/>
      <c r="EP12" s="188"/>
      <c r="EQ12" s="188"/>
      <c r="ER12" s="188"/>
      <c r="ES12" s="188"/>
      <c r="ET12" s="188"/>
      <c r="EU12" s="188"/>
      <c r="EV12" s="188"/>
      <c r="EW12" s="188"/>
      <c r="EX12" s="188"/>
      <c r="EY12" s="188"/>
      <c r="EZ12" s="188"/>
      <c r="FA12" s="188"/>
      <c r="FB12" s="188"/>
      <c r="FC12" s="188"/>
      <c r="FD12" s="188"/>
      <c r="FE12" s="188"/>
      <c r="FF12" s="188"/>
      <c r="FH12" s="189"/>
      <c r="FI12" s="189"/>
      <c r="FJ12" s="189"/>
      <c r="FK12" s="189"/>
      <c r="FL12" s="189"/>
      <c r="FM12" s="189"/>
      <c r="FN12" s="189"/>
      <c r="FO12" s="189"/>
      <c r="FP12" s="189"/>
      <c r="FQ12" s="189"/>
      <c r="FR12" s="189"/>
      <c r="FS12" s="189"/>
      <c r="FT12" s="189"/>
      <c r="FU12" s="189"/>
      <c r="FV12" s="189"/>
      <c r="FX12" s="217"/>
      <c r="FY12" s="188">
        <f t="shared" si="45"/>
        <v>0</v>
      </c>
      <c r="FZ12" s="188">
        <f t="shared" si="46"/>
        <v>0</v>
      </c>
      <c r="GA12" s="188">
        <f t="shared" si="47"/>
        <v>0</v>
      </c>
      <c r="GB12" s="188">
        <f t="shared" si="48"/>
        <v>0</v>
      </c>
      <c r="GC12" s="188">
        <f t="shared" si="49"/>
        <v>0</v>
      </c>
      <c r="GD12" s="188">
        <f t="shared" si="50"/>
        <v>0</v>
      </c>
      <c r="GE12" s="188">
        <f t="shared" si="51"/>
        <v>0</v>
      </c>
      <c r="GF12" s="199"/>
      <c r="GG12" s="189">
        <v>0</v>
      </c>
      <c r="GH12" s="189">
        <v>0</v>
      </c>
      <c r="GI12" s="199"/>
      <c r="GJ12" s="200">
        <f t="shared" si="52"/>
        <v>0</v>
      </c>
      <c r="GK12" s="200">
        <f t="shared" si="53"/>
        <v>0</v>
      </c>
      <c r="GO12" s="189">
        <f t="shared" si="119"/>
        <v>0</v>
      </c>
      <c r="GP12" s="189">
        <f t="shared" si="120"/>
        <v>0</v>
      </c>
      <c r="GQ12" s="189">
        <f t="shared" si="121"/>
        <v>0</v>
      </c>
      <c r="GR12" s="189">
        <f t="shared" si="122"/>
        <v>0</v>
      </c>
      <c r="GS12" s="189">
        <f t="shared" si="123"/>
        <v>0</v>
      </c>
      <c r="GT12" s="189">
        <f t="shared" si="124"/>
        <v>1</v>
      </c>
      <c r="GU12" s="201">
        <f t="shared" si="125"/>
        <v>43243</v>
      </c>
      <c r="GV12" s="189" t="str">
        <f t="shared" si="126"/>
        <v>SELESAI</v>
      </c>
      <c r="GW12" s="189">
        <f t="shared" si="127"/>
        <v>0</v>
      </c>
      <c r="GX12" s="202" t="str">
        <f t="shared" si="128"/>
        <v>SELESAI</v>
      </c>
      <c r="GY12" s="202">
        <f t="shared" si="129"/>
        <v>0</v>
      </c>
      <c r="GZ12" s="203" t="str">
        <f t="shared" si="130"/>
        <v>SELESAI</v>
      </c>
      <c r="HA12" s="204"/>
      <c r="HB12" s="204"/>
      <c r="HC12" s="189">
        <f t="shared" si="131"/>
        <v>0</v>
      </c>
      <c r="HD12" s="189">
        <f t="shared" si="132"/>
        <v>0</v>
      </c>
      <c r="HE12" s="189">
        <f t="shared" si="133"/>
        <v>0</v>
      </c>
      <c r="HF12" s="189">
        <f t="shared" si="134"/>
        <v>0</v>
      </c>
      <c r="HG12" s="189">
        <f t="shared" si="135"/>
        <v>0</v>
      </c>
      <c r="HH12" s="201" t="str">
        <f t="shared" si="136"/>
        <v>TIDAK KONSINYASI</v>
      </c>
      <c r="HI12" s="201" t="str">
        <f t="shared" si="137"/>
        <v>SELESAI</v>
      </c>
      <c r="HJ12" s="205"/>
      <c r="HK12" s="201">
        <f t="shared" si="138"/>
        <v>0</v>
      </c>
      <c r="HL12" s="204"/>
      <c r="HM12" s="204"/>
      <c r="HN12" s="204"/>
      <c r="HO12" s="204"/>
      <c r="HP12" s="203">
        <f t="shared" si="139"/>
        <v>0</v>
      </c>
      <c r="HQ12" s="202">
        <f t="shared" si="140"/>
        <v>0</v>
      </c>
      <c r="HR12" s="202">
        <f t="shared" si="141"/>
        <v>0</v>
      </c>
      <c r="HS12" s="203">
        <f t="shared" si="142"/>
        <v>0</v>
      </c>
      <c r="HT12" s="202">
        <f t="shared" si="143"/>
        <v>0</v>
      </c>
      <c r="HU12" s="202">
        <f t="shared" si="144"/>
        <v>0</v>
      </c>
      <c r="HV12" s="203">
        <f t="shared" si="145"/>
        <v>0</v>
      </c>
      <c r="HW12" s="202">
        <f t="shared" si="146"/>
        <v>0</v>
      </c>
      <c r="HX12" s="202">
        <f t="shared" si="147"/>
        <v>0</v>
      </c>
      <c r="HY12" s="203">
        <f t="shared" si="148"/>
        <v>0</v>
      </c>
      <c r="HZ12" s="202">
        <f t="shared" si="149"/>
        <v>0</v>
      </c>
      <c r="IA12" s="202">
        <f t="shared" si="150"/>
        <v>0</v>
      </c>
      <c r="IB12" s="203">
        <f t="shared" si="151"/>
        <v>0</v>
      </c>
      <c r="IC12" s="202">
        <f t="shared" si="152"/>
        <v>0</v>
      </c>
      <c r="ID12" s="202">
        <f t="shared" si="153"/>
        <v>0</v>
      </c>
      <c r="IE12" s="203">
        <f t="shared" si="154"/>
        <v>0</v>
      </c>
      <c r="IF12" s="202">
        <f t="shared" si="155"/>
        <v>0</v>
      </c>
      <c r="IG12" s="202">
        <f t="shared" si="156"/>
        <v>0</v>
      </c>
      <c r="IH12" s="203">
        <f t="shared" si="157"/>
        <v>0</v>
      </c>
      <c r="II12" s="202">
        <f t="shared" si="158"/>
        <v>0</v>
      </c>
      <c r="IJ12" s="202">
        <f t="shared" si="159"/>
        <v>0</v>
      </c>
      <c r="IK12" s="203">
        <f t="shared" si="160"/>
        <v>0</v>
      </c>
      <c r="IL12" s="202">
        <f t="shared" si="161"/>
        <v>0</v>
      </c>
      <c r="IM12" s="202">
        <f t="shared" si="162"/>
        <v>0</v>
      </c>
      <c r="IN12" s="204"/>
      <c r="IO12" s="203">
        <f t="shared" si="163"/>
        <v>0</v>
      </c>
      <c r="IP12" s="202">
        <f t="shared" si="164"/>
        <v>0</v>
      </c>
      <c r="IQ12" s="202">
        <f t="shared" si="165"/>
        <v>0</v>
      </c>
      <c r="IR12" s="204"/>
      <c r="IS12" s="203"/>
      <c r="IT12" s="202">
        <f t="shared" si="166"/>
        <v>1</v>
      </c>
      <c r="IU12" s="202">
        <f t="shared" si="167"/>
        <v>28</v>
      </c>
      <c r="IV12" s="204"/>
      <c r="IW12" s="203"/>
      <c r="IX12" s="202">
        <f t="shared" si="168"/>
        <v>0</v>
      </c>
      <c r="IY12" s="202">
        <f t="shared" si="169"/>
        <v>0</v>
      </c>
      <c r="IZ12" s="204"/>
      <c r="JA12" s="203"/>
      <c r="JB12" s="202">
        <f t="shared" si="170"/>
        <v>0</v>
      </c>
      <c r="JC12" s="202">
        <f t="shared" si="171"/>
        <v>0</v>
      </c>
      <c r="JD12" s="204"/>
      <c r="JE12" s="203"/>
      <c r="JF12" s="202">
        <f t="shared" si="172"/>
        <v>1</v>
      </c>
      <c r="JG12" s="202">
        <f t="shared" si="173"/>
        <v>28</v>
      </c>
      <c r="JH12" s="204"/>
      <c r="JI12" s="203"/>
      <c r="JJ12" s="202">
        <f t="shared" si="174"/>
        <v>0</v>
      </c>
      <c r="JK12" s="202">
        <f t="shared" si="175"/>
        <v>0</v>
      </c>
      <c r="JM12" s="203">
        <f t="shared" si="176"/>
        <v>0</v>
      </c>
      <c r="JO12" s="196">
        <f t="shared" si="54"/>
        <v>0</v>
      </c>
      <c r="JP12" s="189">
        <f t="shared" si="55"/>
        <v>0</v>
      </c>
      <c r="JQ12" s="189">
        <f t="shared" si="56"/>
        <v>0</v>
      </c>
      <c r="JR12" s="189">
        <f t="shared" si="57"/>
        <v>0</v>
      </c>
      <c r="JS12" s="189">
        <f t="shared" si="58"/>
        <v>0</v>
      </c>
      <c r="JT12" s="189">
        <f t="shared" si="59"/>
        <v>0</v>
      </c>
      <c r="JU12" s="189">
        <f t="shared" si="60"/>
        <v>0</v>
      </c>
      <c r="JV12" s="189">
        <f t="shared" si="61"/>
        <v>0</v>
      </c>
      <c r="JW12" s="189">
        <f t="shared" si="62"/>
        <v>0</v>
      </c>
      <c r="JX12" s="189">
        <f t="shared" si="63"/>
        <v>0</v>
      </c>
      <c r="JY12" s="189">
        <f t="shared" si="64"/>
        <v>0</v>
      </c>
      <c r="JZ12" s="189">
        <f t="shared" si="65"/>
        <v>0</v>
      </c>
      <c r="KA12" s="189">
        <f t="shared" si="66"/>
        <v>0</v>
      </c>
      <c r="KB12" s="189">
        <f t="shared" si="67"/>
        <v>0</v>
      </c>
      <c r="KD12" s="206">
        <f t="shared" si="177"/>
        <v>0</v>
      </c>
      <c r="KE12" s="206">
        <f t="shared" si="69"/>
        <v>0</v>
      </c>
      <c r="KF12" s="206">
        <f t="shared" si="70"/>
        <v>0</v>
      </c>
      <c r="KG12" s="206">
        <f t="shared" si="71"/>
        <v>0</v>
      </c>
      <c r="KH12" s="206">
        <f t="shared" si="72"/>
        <v>0</v>
      </c>
      <c r="KI12" s="206">
        <f t="shared" si="73"/>
        <v>0</v>
      </c>
      <c r="KJ12" s="206">
        <f t="shared" si="74"/>
        <v>0</v>
      </c>
      <c r="KK12" s="206">
        <f t="shared" si="75"/>
        <v>0</v>
      </c>
      <c r="KL12" s="206">
        <f t="shared" si="76"/>
        <v>0</v>
      </c>
      <c r="KM12" s="206">
        <f t="shared" si="77"/>
        <v>0</v>
      </c>
      <c r="KN12" s="221">
        <f t="shared" si="78"/>
        <v>0</v>
      </c>
      <c r="KO12" s="221">
        <f t="shared" si="79"/>
        <v>0</v>
      </c>
      <c r="KP12" s="221">
        <f t="shared" si="80"/>
        <v>0</v>
      </c>
      <c r="KQ12" s="221">
        <f t="shared" si="81"/>
        <v>0</v>
      </c>
      <c r="KR12" s="221">
        <f t="shared" si="82"/>
        <v>0</v>
      </c>
      <c r="KT12" s="195">
        <f t="shared" si="83"/>
        <v>0</v>
      </c>
      <c r="KU12" s="221"/>
      <c r="KV12" s="221"/>
      <c r="KW12" s="221"/>
      <c r="KX12" s="221"/>
      <c r="KY12" s="221"/>
      <c r="KZ12" s="221"/>
      <c r="LA12" s="221"/>
      <c r="LB12" s="221"/>
      <c r="LC12" s="221"/>
      <c r="LD12" s="221"/>
      <c r="LE12" s="221"/>
      <c r="LF12" s="221"/>
      <c r="LG12" s="221"/>
      <c r="LH12" s="221"/>
      <c r="LI12" s="221"/>
      <c r="LJ12" s="221"/>
      <c r="LK12" s="221"/>
      <c r="LL12" s="221"/>
      <c r="LM12" s="221"/>
      <c r="LN12" s="221"/>
      <c r="LO12" s="221"/>
      <c r="LP12" s="221"/>
      <c r="LQ12" s="221"/>
      <c r="LR12" s="221"/>
      <c r="LS12" s="221"/>
      <c r="LT12" s="221"/>
      <c r="LU12" s="221"/>
      <c r="LV12" s="221"/>
      <c r="LW12" s="221"/>
      <c r="LX12" s="221"/>
      <c r="LY12" s="221"/>
      <c r="LZ12" s="221"/>
      <c r="MA12" s="221"/>
      <c r="MB12" s="221"/>
      <c r="MC12" s="221"/>
      <c r="MD12" s="221"/>
      <c r="ME12" s="221"/>
      <c r="MF12" s="221"/>
      <c r="MG12" s="221"/>
      <c r="MH12" s="221"/>
      <c r="MI12" s="221"/>
      <c r="MJ12" s="221"/>
      <c r="MK12" s="221"/>
      <c r="ML12" s="221"/>
      <c r="MM12" s="221"/>
      <c r="MN12" s="221"/>
      <c r="MO12" s="221"/>
      <c r="MP12" s="221"/>
      <c r="MQ12" s="221"/>
      <c r="MR12" s="221"/>
      <c r="MS12" s="221"/>
      <c r="MT12" s="221"/>
      <c r="MU12" s="221"/>
      <c r="MV12" s="221"/>
      <c r="MW12" s="221"/>
      <c r="MX12" s="221"/>
      <c r="MY12" s="221"/>
      <c r="MZ12" s="221"/>
      <c r="NA12" s="221"/>
      <c r="NB12" s="221"/>
      <c r="NC12" s="221"/>
      <c r="ND12" s="221"/>
      <c r="NE12" s="221"/>
      <c r="NF12" s="221"/>
      <c r="NG12" s="221"/>
      <c r="NH12" s="221"/>
      <c r="NI12" s="221"/>
      <c r="NJ12" s="221"/>
      <c r="NK12" s="221"/>
      <c r="NM12" s="195">
        <f t="shared" si="178"/>
        <v>0</v>
      </c>
      <c r="NN12" s="195">
        <f t="shared" si="179"/>
        <v>0</v>
      </c>
      <c r="NO12" s="195">
        <f t="shared" si="180"/>
        <v>0</v>
      </c>
      <c r="NP12" s="195">
        <f t="shared" si="181"/>
        <v>0</v>
      </c>
      <c r="NQ12" s="195">
        <f t="shared" si="182"/>
        <v>0</v>
      </c>
      <c r="NR12" s="195">
        <f t="shared" si="183"/>
        <v>0</v>
      </c>
      <c r="NS12" s="195">
        <f t="shared" si="184"/>
        <v>0</v>
      </c>
      <c r="NT12" s="195">
        <f t="shared" si="185"/>
        <v>0</v>
      </c>
      <c r="NU12" s="196">
        <f t="shared" si="186"/>
        <v>0</v>
      </c>
      <c r="NY12" s="215">
        <f t="shared" si="187"/>
        <v>1</v>
      </c>
      <c r="NZ12" s="222">
        <v>12250000</v>
      </c>
      <c r="OE12" s="207">
        <f t="shared" si="85"/>
        <v>0</v>
      </c>
      <c r="OF12" s="207">
        <f t="shared" si="86"/>
        <v>0</v>
      </c>
      <c r="OG12" s="207">
        <f t="shared" si="87"/>
        <v>0</v>
      </c>
      <c r="OH12" s="207">
        <f t="shared" si="188"/>
        <v>0</v>
      </c>
      <c r="OI12" s="207">
        <f t="shared" si="88"/>
        <v>0</v>
      </c>
      <c r="OJ12" s="199">
        <f t="shared" si="189"/>
        <v>0</v>
      </c>
      <c r="OK12" s="199">
        <f t="shared" si="190"/>
        <v>0</v>
      </c>
      <c r="OL12" s="199">
        <f t="shared" si="191"/>
        <v>0</v>
      </c>
      <c r="OM12" s="199">
        <f t="shared" si="192"/>
        <v>0</v>
      </c>
      <c r="OO12" s="207">
        <f t="shared" si="89"/>
        <v>0</v>
      </c>
      <c r="OP12" s="207">
        <f t="shared" si="90"/>
        <v>0</v>
      </c>
      <c r="OQ12" s="207">
        <f t="shared" si="193"/>
        <v>0</v>
      </c>
      <c r="OR12" s="207">
        <f t="shared" si="194"/>
        <v>0</v>
      </c>
      <c r="OS12" s="207">
        <f t="shared" si="195"/>
        <v>0</v>
      </c>
      <c r="OT12" s="199">
        <f t="shared" si="196"/>
        <v>0</v>
      </c>
      <c r="OU12" s="199">
        <f t="shared" si="197"/>
        <v>0</v>
      </c>
      <c r="OV12" s="199">
        <f t="shared" si="198"/>
        <v>0</v>
      </c>
      <c r="OW12" s="199">
        <f t="shared" si="199"/>
        <v>0</v>
      </c>
      <c r="OZ12" s="208">
        <f t="shared" si="91"/>
        <v>0</v>
      </c>
      <c r="PA12" s="209"/>
      <c r="PB12" s="209"/>
      <c r="PC12" s="209"/>
      <c r="PD12" s="210">
        <f t="shared" si="200"/>
        <v>0</v>
      </c>
      <c r="PE12" s="210"/>
      <c r="PF12" s="210">
        <f t="shared" si="201"/>
        <v>0</v>
      </c>
      <c r="PG12" s="210">
        <f t="shared" si="202"/>
        <v>0</v>
      </c>
      <c r="PH12" s="210">
        <f t="shared" si="92"/>
        <v>0</v>
      </c>
      <c r="PI12" s="210">
        <f t="shared" si="93"/>
        <v>0</v>
      </c>
      <c r="PJ12" s="210">
        <f t="shared" si="94"/>
        <v>0</v>
      </c>
      <c r="PK12" s="210">
        <f t="shared" si="95"/>
        <v>0</v>
      </c>
      <c r="PL12" s="210">
        <f t="shared" si="96"/>
        <v>0</v>
      </c>
      <c r="PM12" s="211"/>
      <c r="PN12" s="211"/>
      <c r="PO12" s="212">
        <f t="shared" si="203"/>
        <v>0</v>
      </c>
      <c r="PP12" s="212">
        <f t="shared" si="204"/>
        <v>0</v>
      </c>
      <c r="PQ12" s="212">
        <f t="shared" si="205"/>
        <v>0</v>
      </c>
      <c r="PR12" s="211"/>
      <c r="PS12" s="211"/>
      <c r="PT12" s="211"/>
      <c r="PU12" s="211"/>
    </row>
    <row r="13" spans="1:437" s="195" customFormat="1" ht="16" x14ac:dyDescent="0.2">
      <c r="A13" s="213">
        <f t="shared" si="206"/>
        <v>4</v>
      </c>
      <c r="B13" s="186" t="s">
        <v>31</v>
      </c>
      <c r="C13" s="186">
        <v>6</v>
      </c>
      <c r="D13" s="188">
        <v>1</v>
      </c>
      <c r="E13" s="188">
        <v>42</v>
      </c>
      <c r="F13" s="188">
        <v>1</v>
      </c>
      <c r="G13" s="188">
        <f t="shared" si="97"/>
        <v>42</v>
      </c>
      <c r="H13" s="214">
        <f t="shared" si="98"/>
        <v>1</v>
      </c>
      <c r="I13" s="214">
        <f t="shared" si="99"/>
        <v>1</v>
      </c>
      <c r="J13" s="188">
        <v>1</v>
      </c>
      <c r="K13" s="188">
        <f t="shared" si="100"/>
        <v>42</v>
      </c>
      <c r="L13" s="214">
        <f t="shared" si="101"/>
        <v>1</v>
      </c>
      <c r="M13" s="214">
        <f t="shared" si="102"/>
        <v>1</v>
      </c>
      <c r="N13" s="188">
        <v>1</v>
      </c>
      <c r="O13" s="188">
        <f t="shared" si="103"/>
        <v>42</v>
      </c>
      <c r="P13" s="214">
        <f t="shared" si="104"/>
        <v>1</v>
      </c>
      <c r="Q13" s="214">
        <f t="shared" si="105"/>
        <v>1</v>
      </c>
      <c r="R13" s="188">
        <v>1</v>
      </c>
      <c r="S13" s="188">
        <f t="shared" si="106"/>
        <v>42</v>
      </c>
      <c r="T13" s="214">
        <f t="shared" si="107"/>
        <v>1</v>
      </c>
      <c r="U13" s="214">
        <f t="shared" si="108"/>
        <v>1</v>
      </c>
      <c r="V13" s="215">
        <v>1</v>
      </c>
      <c r="W13" s="188">
        <f t="shared" si="109"/>
        <v>42</v>
      </c>
      <c r="X13" s="214">
        <f t="shared" si="110"/>
        <v>1</v>
      </c>
      <c r="Y13" s="214">
        <f t="shared" si="111"/>
        <v>1</v>
      </c>
      <c r="Z13" s="216">
        <f>675581000/1000000000</f>
        <v>0.67558099999999999</v>
      </c>
      <c r="AA13" s="188">
        <v>0</v>
      </c>
      <c r="AB13" s="188">
        <f t="shared" si="112"/>
        <v>0</v>
      </c>
      <c r="AC13" s="214">
        <f t="shared" si="113"/>
        <v>0</v>
      </c>
      <c r="AD13" s="214">
        <f t="shared" si="114"/>
        <v>0</v>
      </c>
      <c r="AE13" s="188"/>
      <c r="AF13" s="188">
        <f t="shared" si="115"/>
        <v>0</v>
      </c>
      <c r="AG13" s="188"/>
      <c r="AH13" s="188"/>
      <c r="AI13" s="188">
        <v>1</v>
      </c>
      <c r="AJ13" s="188">
        <f t="shared" si="2"/>
        <v>42</v>
      </c>
      <c r="AK13" s="188" t="s">
        <v>304</v>
      </c>
      <c r="AL13" s="188">
        <v>0</v>
      </c>
      <c r="AM13" s="188">
        <v>0</v>
      </c>
      <c r="AN13" s="217"/>
      <c r="AO13" s="188">
        <f t="shared" si="207"/>
        <v>1</v>
      </c>
      <c r="AP13" s="188">
        <f t="shared" si="208"/>
        <v>42</v>
      </c>
      <c r="AQ13" s="188">
        <f t="shared" si="5"/>
        <v>1</v>
      </c>
      <c r="AR13" s="188">
        <f t="shared" si="6"/>
        <v>42</v>
      </c>
      <c r="AS13" s="188">
        <f t="shared" si="7"/>
        <v>1</v>
      </c>
      <c r="AT13" s="188">
        <f t="shared" si="8"/>
        <v>42</v>
      </c>
      <c r="AU13" s="188">
        <f t="shared" si="209"/>
        <v>1</v>
      </c>
      <c r="AV13" s="188">
        <f t="shared" si="210"/>
        <v>42</v>
      </c>
      <c r="AW13" s="188">
        <f t="shared" si="211"/>
        <v>1</v>
      </c>
      <c r="AX13" s="188">
        <f t="shared" si="212"/>
        <v>42</v>
      </c>
      <c r="AY13" s="188">
        <f t="shared" si="116"/>
        <v>0</v>
      </c>
      <c r="AZ13" s="188">
        <f t="shared" si="117"/>
        <v>0</v>
      </c>
      <c r="BA13" s="188">
        <f t="shared" si="14"/>
        <v>0.67558099999999999</v>
      </c>
      <c r="BB13" s="188">
        <f t="shared" si="15"/>
        <v>0</v>
      </c>
      <c r="BD13" s="196">
        <f t="shared" si="118"/>
        <v>0</v>
      </c>
      <c r="BE13" s="188">
        <f t="shared" si="16"/>
        <v>0</v>
      </c>
      <c r="BF13" s="188">
        <f t="shared" si="17"/>
        <v>0</v>
      </c>
      <c r="BG13" s="188">
        <f t="shared" si="18"/>
        <v>0</v>
      </c>
      <c r="BH13" s="188">
        <f t="shared" si="19"/>
        <v>0</v>
      </c>
      <c r="BI13" s="188">
        <f t="shared" si="20"/>
        <v>0</v>
      </c>
      <c r="BJ13" s="188">
        <f t="shared" si="21"/>
        <v>0</v>
      </c>
      <c r="BK13" s="188">
        <f t="shared" si="22"/>
        <v>0</v>
      </c>
      <c r="BN13" s="277"/>
      <c r="BO13" s="139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B13" s="188"/>
      <c r="CD13" s="188">
        <f t="shared" si="23"/>
        <v>0</v>
      </c>
      <c r="CE13" s="188">
        <f t="shared" si="24"/>
        <v>0</v>
      </c>
      <c r="CF13" s="188">
        <f t="shared" si="25"/>
        <v>0</v>
      </c>
      <c r="CG13" s="188">
        <f t="shared" si="26"/>
        <v>0</v>
      </c>
      <c r="CH13" s="188">
        <f t="shared" si="27"/>
        <v>0</v>
      </c>
      <c r="CI13" s="188">
        <f t="shared" si="28"/>
        <v>0</v>
      </c>
      <c r="CJ13" s="188">
        <f t="shared" si="29"/>
        <v>0</v>
      </c>
      <c r="CK13" s="188">
        <f t="shared" si="30"/>
        <v>0</v>
      </c>
      <c r="CL13" s="188">
        <f t="shared" si="31"/>
        <v>0</v>
      </c>
      <c r="CM13" s="188">
        <f t="shared" si="32"/>
        <v>0</v>
      </c>
      <c r="CN13" s="188">
        <f t="shared" si="33"/>
        <v>0</v>
      </c>
      <c r="CO13" s="188">
        <f t="shared" si="34"/>
        <v>0</v>
      </c>
      <c r="CP13" s="188">
        <f t="shared" si="35"/>
        <v>0</v>
      </c>
      <c r="DV13" s="188">
        <f t="shared" si="36"/>
        <v>0</v>
      </c>
      <c r="DW13" s="188">
        <f t="shared" si="37"/>
        <v>0</v>
      </c>
      <c r="DX13" s="188">
        <f t="shared" si="38"/>
        <v>0</v>
      </c>
      <c r="DY13" s="188">
        <f t="shared" si="39"/>
        <v>0</v>
      </c>
      <c r="DZ13" s="188">
        <f t="shared" si="40"/>
        <v>0</v>
      </c>
      <c r="EA13" s="188">
        <f t="shared" si="41"/>
        <v>0</v>
      </c>
      <c r="EB13" s="188">
        <f t="shared" si="42"/>
        <v>0</v>
      </c>
      <c r="ED13" s="197" t="s">
        <v>301</v>
      </c>
      <c r="EE13" s="197" t="s">
        <v>374</v>
      </c>
      <c r="EF13" s="219"/>
      <c r="EG13" s="220">
        <f t="shared" si="43"/>
        <v>0</v>
      </c>
      <c r="EH13" s="220">
        <f t="shared" si="44"/>
        <v>0</v>
      </c>
      <c r="EI13" s="188"/>
      <c r="EJ13" s="188"/>
      <c r="EK13" s="188"/>
      <c r="EL13" s="188"/>
      <c r="EM13" s="188"/>
      <c r="EN13" s="188"/>
      <c r="EO13" s="188"/>
      <c r="EP13" s="188"/>
      <c r="EQ13" s="188"/>
      <c r="ER13" s="188"/>
      <c r="ES13" s="188"/>
      <c r="ET13" s="188"/>
      <c r="EU13" s="188"/>
      <c r="EV13" s="188"/>
      <c r="EW13" s="188"/>
      <c r="EX13" s="188"/>
      <c r="EY13" s="188"/>
      <c r="EZ13" s="188"/>
      <c r="FA13" s="188"/>
      <c r="FB13" s="188"/>
      <c r="FC13" s="188"/>
      <c r="FD13" s="188"/>
      <c r="FE13" s="188"/>
      <c r="FF13" s="188"/>
      <c r="FH13" s="189"/>
      <c r="FI13" s="189"/>
      <c r="FJ13" s="189"/>
      <c r="FK13" s="189"/>
      <c r="FL13" s="189"/>
      <c r="FM13" s="189"/>
      <c r="FN13" s="189"/>
      <c r="FO13" s="189"/>
      <c r="FP13" s="189"/>
      <c r="FQ13" s="189"/>
      <c r="FR13" s="189"/>
      <c r="FS13" s="189"/>
      <c r="FT13" s="189"/>
      <c r="FU13" s="189"/>
      <c r="FV13" s="189"/>
      <c r="FX13" s="217"/>
      <c r="FY13" s="188">
        <f t="shared" si="45"/>
        <v>0</v>
      </c>
      <c r="FZ13" s="188">
        <f t="shared" si="46"/>
        <v>0</v>
      </c>
      <c r="GA13" s="188">
        <f t="shared" si="47"/>
        <v>0</v>
      </c>
      <c r="GB13" s="188">
        <f t="shared" si="48"/>
        <v>0</v>
      </c>
      <c r="GC13" s="188">
        <f t="shared" si="49"/>
        <v>0</v>
      </c>
      <c r="GD13" s="188">
        <f t="shared" si="50"/>
        <v>0</v>
      </c>
      <c r="GE13" s="188">
        <f t="shared" si="51"/>
        <v>0</v>
      </c>
      <c r="GF13" s="199"/>
      <c r="GG13" s="189">
        <v>0</v>
      </c>
      <c r="GH13" s="189">
        <v>0</v>
      </c>
      <c r="GI13" s="199"/>
      <c r="GJ13" s="200">
        <f t="shared" si="52"/>
        <v>0</v>
      </c>
      <c r="GK13" s="200">
        <f t="shared" si="53"/>
        <v>0</v>
      </c>
      <c r="GO13" s="189">
        <f t="shared" si="119"/>
        <v>0</v>
      </c>
      <c r="GP13" s="189">
        <f t="shared" si="120"/>
        <v>0</v>
      </c>
      <c r="GQ13" s="189">
        <f t="shared" si="121"/>
        <v>0</v>
      </c>
      <c r="GR13" s="189">
        <f t="shared" si="122"/>
        <v>0</v>
      </c>
      <c r="GS13" s="189">
        <f t="shared" si="123"/>
        <v>0</v>
      </c>
      <c r="GT13" s="189">
        <f t="shared" si="124"/>
        <v>1</v>
      </c>
      <c r="GU13" s="201">
        <f t="shared" si="125"/>
        <v>43243</v>
      </c>
      <c r="GV13" s="189" t="str">
        <f t="shared" si="126"/>
        <v>SELESAI</v>
      </c>
      <c r="GW13" s="189">
        <f t="shared" si="127"/>
        <v>0</v>
      </c>
      <c r="GX13" s="202" t="str">
        <f t="shared" si="128"/>
        <v>SELESAI</v>
      </c>
      <c r="GY13" s="202">
        <f t="shared" si="129"/>
        <v>0</v>
      </c>
      <c r="GZ13" s="203" t="str">
        <f t="shared" si="130"/>
        <v>SELESAI</v>
      </c>
      <c r="HA13" s="204"/>
      <c r="HB13" s="204"/>
      <c r="HC13" s="189">
        <f t="shared" si="131"/>
        <v>0</v>
      </c>
      <c r="HD13" s="189">
        <f t="shared" si="132"/>
        <v>0</v>
      </c>
      <c r="HE13" s="189">
        <f t="shared" si="133"/>
        <v>0</v>
      </c>
      <c r="HF13" s="189">
        <f t="shared" si="134"/>
        <v>0</v>
      </c>
      <c r="HG13" s="189">
        <f t="shared" si="135"/>
        <v>0</v>
      </c>
      <c r="HH13" s="201" t="str">
        <f t="shared" si="136"/>
        <v>TIDAK KONSINYASI</v>
      </c>
      <c r="HI13" s="201" t="str">
        <f t="shared" si="137"/>
        <v>SELESAI</v>
      </c>
      <c r="HJ13" s="205"/>
      <c r="HK13" s="201">
        <f t="shared" si="138"/>
        <v>0</v>
      </c>
      <c r="HL13" s="204"/>
      <c r="HM13" s="204"/>
      <c r="HN13" s="204"/>
      <c r="HO13" s="204"/>
      <c r="HP13" s="203">
        <f t="shared" si="139"/>
        <v>0</v>
      </c>
      <c r="HQ13" s="202">
        <f t="shared" si="140"/>
        <v>0</v>
      </c>
      <c r="HR13" s="202">
        <f t="shared" si="141"/>
        <v>0</v>
      </c>
      <c r="HS13" s="203">
        <f t="shared" si="142"/>
        <v>0</v>
      </c>
      <c r="HT13" s="202">
        <f t="shared" si="143"/>
        <v>0</v>
      </c>
      <c r="HU13" s="202">
        <f t="shared" si="144"/>
        <v>0</v>
      </c>
      <c r="HV13" s="203">
        <f t="shared" si="145"/>
        <v>0</v>
      </c>
      <c r="HW13" s="202">
        <f t="shared" si="146"/>
        <v>0</v>
      </c>
      <c r="HX13" s="202">
        <f t="shared" si="147"/>
        <v>0</v>
      </c>
      <c r="HY13" s="203">
        <f t="shared" si="148"/>
        <v>0</v>
      </c>
      <c r="HZ13" s="202">
        <f t="shared" si="149"/>
        <v>0</v>
      </c>
      <c r="IA13" s="202">
        <f t="shared" si="150"/>
        <v>0</v>
      </c>
      <c r="IB13" s="203">
        <f t="shared" si="151"/>
        <v>0</v>
      </c>
      <c r="IC13" s="202">
        <f t="shared" si="152"/>
        <v>0</v>
      </c>
      <c r="ID13" s="202">
        <f t="shared" si="153"/>
        <v>0</v>
      </c>
      <c r="IE13" s="203">
        <f t="shared" si="154"/>
        <v>0</v>
      </c>
      <c r="IF13" s="202">
        <f t="shared" si="155"/>
        <v>0</v>
      </c>
      <c r="IG13" s="202">
        <f t="shared" si="156"/>
        <v>0</v>
      </c>
      <c r="IH13" s="203">
        <f t="shared" si="157"/>
        <v>0</v>
      </c>
      <c r="II13" s="202">
        <f t="shared" si="158"/>
        <v>0</v>
      </c>
      <c r="IJ13" s="202">
        <f t="shared" si="159"/>
        <v>0</v>
      </c>
      <c r="IK13" s="203">
        <f t="shared" si="160"/>
        <v>0</v>
      </c>
      <c r="IL13" s="202">
        <f t="shared" si="161"/>
        <v>0</v>
      </c>
      <c r="IM13" s="202">
        <f t="shared" si="162"/>
        <v>0</v>
      </c>
      <c r="IN13" s="204"/>
      <c r="IO13" s="203">
        <f t="shared" si="163"/>
        <v>0</v>
      </c>
      <c r="IP13" s="202">
        <f t="shared" si="164"/>
        <v>0</v>
      </c>
      <c r="IQ13" s="202">
        <f t="shared" si="165"/>
        <v>0</v>
      </c>
      <c r="IR13" s="204"/>
      <c r="IS13" s="203"/>
      <c r="IT13" s="202">
        <f t="shared" si="166"/>
        <v>1</v>
      </c>
      <c r="IU13" s="202">
        <f t="shared" si="167"/>
        <v>42</v>
      </c>
      <c r="IV13" s="204"/>
      <c r="IW13" s="203"/>
      <c r="IX13" s="202">
        <f t="shared" si="168"/>
        <v>0</v>
      </c>
      <c r="IY13" s="202">
        <f t="shared" si="169"/>
        <v>0</v>
      </c>
      <c r="IZ13" s="204"/>
      <c r="JA13" s="203"/>
      <c r="JB13" s="202">
        <f t="shared" si="170"/>
        <v>0</v>
      </c>
      <c r="JC13" s="202">
        <f t="shared" si="171"/>
        <v>0</v>
      </c>
      <c r="JD13" s="204"/>
      <c r="JE13" s="203"/>
      <c r="JF13" s="202">
        <f t="shared" si="172"/>
        <v>1</v>
      </c>
      <c r="JG13" s="202">
        <f t="shared" si="173"/>
        <v>42</v>
      </c>
      <c r="JH13" s="204"/>
      <c r="JI13" s="203"/>
      <c r="JJ13" s="202">
        <f t="shared" si="174"/>
        <v>0</v>
      </c>
      <c r="JK13" s="202">
        <f t="shared" si="175"/>
        <v>0</v>
      </c>
      <c r="JM13" s="203">
        <f t="shared" si="176"/>
        <v>0</v>
      </c>
      <c r="JO13" s="196">
        <f t="shared" si="54"/>
        <v>0</v>
      </c>
      <c r="JP13" s="189">
        <f t="shared" si="55"/>
        <v>0</v>
      </c>
      <c r="JQ13" s="189">
        <f t="shared" si="56"/>
        <v>0</v>
      </c>
      <c r="JR13" s="189">
        <f t="shared" si="57"/>
        <v>0</v>
      </c>
      <c r="JS13" s="189">
        <f t="shared" si="58"/>
        <v>0</v>
      </c>
      <c r="JT13" s="189">
        <f t="shared" si="59"/>
        <v>0</v>
      </c>
      <c r="JU13" s="189">
        <f t="shared" si="60"/>
        <v>0</v>
      </c>
      <c r="JV13" s="189">
        <f t="shared" si="61"/>
        <v>0</v>
      </c>
      <c r="JW13" s="189">
        <f t="shared" si="62"/>
        <v>0</v>
      </c>
      <c r="JX13" s="189">
        <f t="shared" si="63"/>
        <v>0</v>
      </c>
      <c r="JY13" s="189">
        <f t="shared" si="64"/>
        <v>0</v>
      </c>
      <c r="JZ13" s="189">
        <f t="shared" si="65"/>
        <v>0</v>
      </c>
      <c r="KA13" s="189">
        <f t="shared" si="66"/>
        <v>0</v>
      </c>
      <c r="KB13" s="189">
        <f t="shared" si="67"/>
        <v>0</v>
      </c>
      <c r="KD13" s="206">
        <f t="shared" si="177"/>
        <v>0</v>
      </c>
      <c r="KE13" s="206">
        <f t="shared" si="69"/>
        <v>0</v>
      </c>
      <c r="KF13" s="206">
        <f t="shared" si="70"/>
        <v>0</v>
      </c>
      <c r="KG13" s="206">
        <f t="shared" si="71"/>
        <v>0</v>
      </c>
      <c r="KH13" s="206">
        <f t="shared" si="72"/>
        <v>0</v>
      </c>
      <c r="KI13" s="206">
        <f t="shared" si="73"/>
        <v>0</v>
      </c>
      <c r="KJ13" s="206">
        <f t="shared" si="74"/>
        <v>0</v>
      </c>
      <c r="KK13" s="206">
        <f t="shared" si="75"/>
        <v>0</v>
      </c>
      <c r="KL13" s="206">
        <f t="shared" si="76"/>
        <v>0</v>
      </c>
      <c r="KM13" s="206">
        <f t="shared" si="77"/>
        <v>0</v>
      </c>
      <c r="KN13" s="221">
        <f t="shared" si="78"/>
        <v>0</v>
      </c>
      <c r="KO13" s="221">
        <f t="shared" si="79"/>
        <v>0</v>
      </c>
      <c r="KP13" s="221">
        <f t="shared" si="80"/>
        <v>0</v>
      </c>
      <c r="KQ13" s="221">
        <f t="shared" si="81"/>
        <v>0</v>
      </c>
      <c r="KR13" s="221">
        <f t="shared" si="82"/>
        <v>0</v>
      </c>
      <c r="KT13" s="195">
        <f t="shared" si="83"/>
        <v>0</v>
      </c>
      <c r="KU13" s="221"/>
      <c r="KV13" s="221"/>
      <c r="KW13" s="221"/>
      <c r="KX13" s="221"/>
      <c r="KY13" s="221"/>
      <c r="KZ13" s="221"/>
      <c r="LA13" s="221"/>
      <c r="LB13" s="221"/>
      <c r="LC13" s="221"/>
      <c r="LD13" s="221"/>
      <c r="LE13" s="221"/>
      <c r="LF13" s="221"/>
      <c r="LG13" s="221"/>
      <c r="LH13" s="221"/>
      <c r="LI13" s="221"/>
      <c r="LJ13" s="221"/>
      <c r="LK13" s="221"/>
      <c r="LL13" s="221"/>
      <c r="LM13" s="221"/>
      <c r="LN13" s="221"/>
      <c r="LO13" s="221"/>
      <c r="LP13" s="221"/>
      <c r="LQ13" s="221"/>
      <c r="LR13" s="221"/>
      <c r="LS13" s="221"/>
      <c r="LT13" s="221"/>
      <c r="LU13" s="221"/>
      <c r="LV13" s="221"/>
      <c r="LW13" s="221"/>
      <c r="LX13" s="221"/>
      <c r="LY13" s="221"/>
      <c r="LZ13" s="221"/>
      <c r="MA13" s="221"/>
      <c r="MB13" s="221"/>
      <c r="MC13" s="221"/>
      <c r="MD13" s="221"/>
      <c r="ME13" s="221"/>
      <c r="MF13" s="221"/>
      <c r="MG13" s="221"/>
      <c r="MH13" s="221"/>
      <c r="MI13" s="221"/>
      <c r="MJ13" s="221"/>
      <c r="MK13" s="221"/>
      <c r="ML13" s="221"/>
      <c r="MM13" s="221"/>
      <c r="MN13" s="221"/>
      <c r="MO13" s="221"/>
      <c r="MP13" s="221"/>
      <c r="MQ13" s="221"/>
      <c r="MR13" s="221"/>
      <c r="MS13" s="221"/>
      <c r="MT13" s="221"/>
      <c r="MU13" s="221"/>
      <c r="MV13" s="221"/>
      <c r="MW13" s="221"/>
      <c r="MX13" s="221"/>
      <c r="MY13" s="221"/>
      <c r="MZ13" s="221"/>
      <c r="NA13" s="221"/>
      <c r="NB13" s="221"/>
      <c r="NC13" s="221"/>
      <c r="ND13" s="221"/>
      <c r="NE13" s="221"/>
      <c r="NF13" s="221"/>
      <c r="NG13" s="221"/>
      <c r="NH13" s="221"/>
      <c r="NI13" s="221"/>
      <c r="NJ13" s="221"/>
      <c r="NK13" s="221"/>
      <c r="NM13" s="195">
        <f t="shared" si="178"/>
        <v>0</v>
      </c>
      <c r="NN13" s="195">
        <f t="shared" si="179"/>
        <v>0</v>
      </c>
      <c r="NO13" s="195">
        <f t="shared" si="180"/>
        <v>0</v>
      </c>
      <c r="NP13" s="195">
        <f t="shared" si="181"/>
        <v>0</v>
      </c>
      <c r="NQ13" s="195">
        <f t="shared" si="182"/>
        <v>0</v>
      </c>
      <c r="NR13" s="195">
        <f t="shared" si="183"/>
        <v>0</v>
      </c>
      <c r="NS13" s="195">
        <f t="shared" si="184"/>
        <v>0</v>
      </c>
      <c r="NT13" s="195">
        <f t="shared" si="185"/>
        <v>0</v>
      </c>
      <c r="NU13" s="196">
        <f t="shared" si="186"/>
        <v>0</v>
      </c>
      <c r="NY13" s="215">
        <f t="shared" si="187"/>
        <v>1</v>
      </c>
      <c r="NZ13" s="222">
        <v>12250000</v>
      </c>
      <c r="OE13" s="207">
        <f t="shared" si="85"/>
        <v>0</v>
      </c>
      <c r="OF13" s="207">
        <f t="shared" si="86"/>
        <v>0</v>
      </c>
      <c r="OG13" s="207">
        <f t="shared" si="87"/>
        <v>0</v>
      </c>
      <c r="OH13" s="207">
        <f t="shared" si="188"/>
        <v>0</v>
      </c>
      <c r="OI13" s="207">
        <f t="shared" si="88"/>
        <v>0</v>
      </c>
      <c r="OJ13" s="199">
        <f t="shared" si="189"/>
        <v>0</v>
      </c>
      <c r="OK13" s="199">
        <f t="shared" si="190"/>
        <v>0</v>
      </c>
      <c r="OL13" s="199">
        <f t="shared" si="191"/>
        <v>0</v>
      </c>
      <c r="OM13" s="199">
        <f t="shared" si="192"/>
        <v>0</v>
      </c>
      <c r="OO13" s="207">
        <f t="shared" si="89"/>
        <v>0</v>
      </c>
      <c r="OP13" s="207">
        <f t="shared" si="90"/>
        <v>0</v>
      </c>
      <c r="OQ13" s="207">
        <f t="shared" si="193"/>
        <v>0</v>
      </c>
      <c r="OR13" s="207">
        <f t="shared" si="194"/>
        <v>0</v>
      </c>
      <c r="OS13" s="207">
        <f t="shared" si="195"/>
        <v>0</v>
      </c>
      <c r="OT13" s="199">
        <f t="shared" si="196"/>
        <v>0</v>
      </c>
      <c r="OU13" s="199">
        <f t="shared" si="197"/>
        <v>0</v>
      </c>
      <c r="OV13" s="199">
        <f t="shared" si="198"/>
        <v>0</v>
      </c>
      <c r="OW13" s="199">
        <f t="shared" si="199"/>
        <v>0</v>
      </c>
      <c r="OZ13" s="208">
        <f t="shared" si="91"/>
        <v>0</v>
      </c>
      <c r="PA13" s="209"/>
      <c r="PB13" s="209"/>
      <c r="PC13" s="209"/>
      <c r="PD13" s="210">
        <f t="shared" si="200"/>
        <v>0</v>
      </c>
      <c r="PE13" s="210"/>
      <c r="PF13" s="210">
        <f t="shared" si="201"/>
        <v>0</v>
      </c>
      <c r="PG13" s="210">
        <f t="shared" si="202"/>
        <v>0</v>
      </c>
      <c r="PH13" s="210">
        <f t="shared" si="92"/>
        <v>0</v>
      </c>
      <c r="PI13" s="210">
        <f t="shared" si="93"/>
        <v>0</v>
      </c>
      <c r="PJ13" s="210">
        <f t="shared" si="94"/>
        <v>0</v>
      </c>
      <c r="PK13" s="210">
        <f t="shared" si="95"/>
        <v>0</v>
      </c>
      <c r="PL13" s="210">
        <f t="shared" si="96"/>
        <v>0</v>
      </c>
      <c r="PM13" s="211"/>
      <c r="PN13" s="211"/>
      <c r="PO13" s="212">
        <f t="shared" si="203"/>
        <v>0</v>
      </c>
      <c r="PP13" s="212">
        <f t="shared" si="204"/>
        <v>0</v>
      </c>
      <c r="PQ13" s="212">
        <f t="shared" si="205"/>
        <v>0</v>
      </c>
      <c r="PR13" s="211"/>
      <c r="PS13" s="211"/>
      <c r="PT13" s="211"/>
      <c r="PU13" s="211"/>
    </row>
    <row r="14" spans="1:437" s="195" customFormat="1" ht="16" x14ac:dyDescent="0.2">
      <c r="A14" s="213">
        <f t="shared" si="206"/>
        <v>5</v>
      </c>
      <c r="B14" s="186" t="s">
        <v>30</v>
      </c>
      <c r="C14" s="186">
        <v>7</v>
      </c>
      <c r="D14" s="188">
        <v>1</v>
      </c>
      <c r="E14" s="188">
        <v>67</v>
      </c>
      <c r="F14" s="188">
        <v>1</v>
      </c>
      <c r="G14" s="188">
        <f t="shared" si="97"/>
        <v>67</v>
      </c>
      <c r="H14" s="214">
        <f t="shared" si="98"/>
        <v>1</v>
      </c>
      <c r="I14" s="214">
        <f t="shared" si="99"/>
        <v>1</v>
      </c>
      <c r="J14" s="188">
        <v>1</v>
      </c>
      <c r="K14" s="188">
        <f t="shared" si="100"/>
        <v>67</v>
      </c>
      <c r="L14" s="214">
        <f t="shared" si="101"/>
        <v>1</v>
      </c>
      <c r="M14" s="214">
        <f t="shared" si="102"/>
        <v>1</v>
      </c>
      <c r="N14" s="188">
        <v>1</v>
      </c>
      <c r="O14" s="188">
        <f t="shared" si="103"/>
        <v>67</v>
      </c>
      <c r="P14" s="214">
        <f t="shared" si="104"/>
        <v>1</v>
      </c>
      <c r="Q14" s="214">
        <f t="shared" si="105"/>
        <v>1</v>
      </c>
      <c r="R14" s="188">
        <v>1</v>
      </c>
      <c r="S14" s="188">
        <f t="shared" si="106"/>
        <v>67</v>
      </c>
      <c r="T14" s="214">
        <f t="shared" si="107"/>
        <v>1</v>
      </c>
      <c r="U14" s="214">
        <f t="shared" si="108"/>
        <v>1</v>
      </c>
      <c r="V14" s="215">
        <v>1</v>
      </c>
      <c r="W14" s="188">
        <f t="shared" si="109"/>
        <v>67</v>
      </c>
      <c r="X14" s="214">
        <f t="shared" si="110"/>
        <v>1</v>
      </c>
      <c r="Y14" s="214">
        <f t="shared" si="111"/>
        <v>1</v>
      </c>
      <c r="Z14" s="216">
        <f>1365792000/1000000000</f>
        <v>1.3657919999999999</v>
      </c>
      <c r="AA14" s="188">
        <v>0</v>
      </c>
      <c r="AB14" s="188">
        <f t="shared" si="112"/>
        <v>0</v>
      </c>
      <c r="AC14" s="214">
        <f t="shared" si="113"/>
        <v>0</v>
      </c>
      <c r="AD14" s="214">
        <f t="shared" si="114"/>
        <v>0</v>
      </c>
      <c r="AE14" s="188"/>
      <c r="AF14" s="188">
        <f t="shared" si="115"/>
        <v>0</v>
      </c>
      <c r="AG14" s="188"/>
      <c r="AH14" s="188"/>
      <c r="AI14" s="188">
        <v>1</v>
      </c>
      <c r="AJ14" s="188">
        <f t="shared" si="2"/>
        <v>67</v>
      </c>
      <c r="AK14" s="188" t="s">
        <v>304</v>
      </c>
      <c r="AL14" s="188">
        <v>0</v>
      </c>
      <c r="AM14" s="188">
        <v>0</v>
      </c>
      <c r="AN14" s="217"/>
      <c r="AO14" s="188">
        <f t="shared" si="207"/>
        <v>1</v>
      </c>
      <c r="AP14" s="188">
        <f t="shared" si="208"/>
        <v>67</v>
      </c>
      <c r="AQ14" s="188">
        <f t="shared" si="5"/>
        <v>1</v>
      </c>
      <c r="AR14" s="188">
        <f t="shared" si="6"/>
        <v>67</v>
      </c>
      <c r="AS14" s="188">
        <f t="shared" si="7"/>
        <v>1</v>
      </c>
      <c r="AT14" s="188">
        <f t="shared" si="8"/>
        <v>67</v>
      </c>
      <c r="AU14" s="188">
        <f t="shared" si="209"/>
        <v>1</v>
      </c>
      <c r="AV14" s="188">
        <f t="shared" si="210"/>
        <v>67</v>
      </c>
      <c r="AW14" s="188">
        <f t="shared" si="211"/>
        <v>1</v>
      </c>
      <c r="AX14" s="188">
        <f t="shared" si="212"/>
        <v>67</v>
      </c>
      <c r="AY14" s="188">
        <f t="shared" si="116"/>
        <v>0</v>
      </c>
      <c r="AZ14" s="188">
        <f t="shared" si="117"/>
        <v>0</v>
      </c>
      <c r="BA14" s="188">
        <f t="shared" si="14"/>
        <v>1.3657919999999999</v>
      </c>
      <c r="BB14" s="188">
        <f t="shared" si="15"/>
        <v>0</v>
      </c>
      <c r="BD14" s="196">
        <f t="shared" si="118"/>
        <v>0</v>
      </c>
      <c r="BE14" s="188">
        <f t="shared" si="16"/>
        <v>0</v>
      </c>
      <c r="BF14" s="188">
        <f t="shared" si="17"/>
        <v>0</v>
      </c>
      <c r="BG14" s="188">
        <f t="shared" si="18"/>
        <v>0</v>
      </c>
      <c r="BH14" s="188">
        <f t="shared" si="19"/>
        <v>0</v>
      </c>
      <c r="BI14" s="188">
        <f t="shared" si="20"/>
        <v>0</v>
      </c>
      <c r="BJ14" s="188">
        <f t="shared" si="21"/>
        <v>0</v>
      </c>
      <c r="BK14" s="188">
        <f t="shared" si="22"/>
        <v>0</v>
      </c>
      <c r="BN14" s="277">
        <v>26</v>
      </c>
      <c r="BO14" s="139">
        <v>1</v>
      </c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B14" s="188"/>
      <c r="CD14" s="188">
        <f t="shared" si="23"/>
        <v>26</v>
      </c>
      <c r="CE14" s="188">
        <f t="shared" si="24"/>
        <v>26</v>
      </c>
      <c r="CF14" s="188">
        <f t="shared" si="25"/>
        <v>0</v>
      </c>
      <c r="CG14" s="188">
        <f t="shared" si="26"/>
        <v>0</v>
      </c>
      <c r="CH14" s="188">
        <f t="shared" si="27"/>
        <v>0</v>
      </c>
      <c r="CI14" s="188">
        <f t="shared" si="28"/>
        <v>0</v>
      </c>
      <c r="CJ14" s="188">
        <f t="shared" si="29"/>
        <v>0</v>
      </c>
      <c r="CK14" s="188">
        <f t="shared" si="30"/>
        <v>0</v>
      </c>
      <c r="CL14" s="188">
        <f t="shared" si="31"/>
        <v>0</v>
      </c>
      <c r="CM14" s="188">
        <f t="shared" si="32"/>
        <v>0</v>
      </c>
      <c r="CN14" s="188">
        <f t="shared" si="33"/>
        <v>0</v>
      </c>
      <c r="CO14" s="188">
        <f t="shared" si="34"/>
        <v>0</v>
      </c>
      <c r="CP14" s="188">
        <f t="shared" si="35"/>
        <v>0</v>
      </c>
      <c r="DV14" s="188">
        <f t="shared" si="36"/>
        <v>0</v>
      </c>
      <c r="DW14" s="188">
        <f t="shared" si="37"/>
        <v>0</v>
      </c>
      <c r="DX14" s="188">
        <f t="shared" si="38"/>
        <v>0</v>
      </c>
      <c r="DY14" s="188">
        <f t="shared" si="39"/>
        <v>0</v>
      </c>
      <c r="DZ14" s="188">
        <f t="shared" si="40"/>
        <v>0</v>
      </c>
      <c r="EA14" s="188">
        <f t="shared" si="41"/>
        <v>0</v>
      </c>
      <c r="EB14" s="188">
        <f t="shared" si="42"/>
        <v>0</v>
      </c>
      <c r="ED14" s="197" t="s">
        <v>343</v>
      </c>
      <c r="EE14" s="197" t="s">
        <v>375</v>
      </c>
      <c r="EF14" s="219"/>
      <c r="EG14" s="220">
        <f t="shared" si="43"/>
        <v>0</v>
      </c>
      <c r="EH14" s="220">
        <f t="shared" si="44"/>
        <v>0</v>
      </c>
      <c r="EI14" s="188"/>
      <c r="EJ14" s="188"/>
      <c r="EK14" s="188"/>
      <c r="EL14" s="188"/>
      <c r="EM14" s="188"/>
      <c r="EN14" s="188"/>
      <c r="EO14" s="188"/>
      <c r="EP14" s="188"/>
      <c r="EQ14" s="188"/>
      <c r="ER14" s="188"/>
      <c r="ES14" s="188"/>
      <c r="ET14" s="188"/>
      <c r="EU14" s="188"/>
      <c r="EV14" s="188"/>
      <c r="EW14" s="188"/>
      <c r="EX14" s="188"/>
      <c r="EY14" s="188"/>
      <c r="EZ14" s="188"/>
      <c r="FA14" s="188"/>
      <c r="FB14" s="188"/>
      <c r="FC14" s="188"/>
      <c r="FD14" s="188"/>
      <c r="FE14" s="188"/>
      <c r="FF14" s="188"/>
      <c r="FH14" s="189"/>
      <c r="FI14" s="189"/>
      <c r="FJ14" s="189"/>
      <c r="FK14" s="189"/>
      <c r="FL14" s="189"/>
      <c r="FM14" s="189"/>
      <c r="FN14" s="189"/>
      <c r="FO14" s="189"/>
      <c r="FP14" s="189"/>
      <c r="FQ14" s="189"/>
      <c r="FR14" s="189"/>
      <c r="FS14" s="189"/>
      <c r="FT14" s="189"/>
      <c r="FU14" s="189"/>
      <c r="FV14" s="189"/>
      <c r="FX14" s="217">
        <v>1</v>
      </c>
      <c r="FY14" s="188">
        <f t="shared" si="45"/>
        <v>26</v>
      </c>
      <c r="FZ14" s="188">
        <f t="shared" si="46"/>
        <v>26</v>
      </c>
      <c r="GA14" s="188">
        <f t="shared" si="47"/>
        <v>0</v>
      </c>
      <c r="GB14" s="188">
        <f t="shared" si="48"/>
        <v>0</v>
      </c>
      <c r="GC14" s="188">
        <f t="shared" si="49"/>
        <v>0</v>
      </c>
      <c r="GD14" s="188">
        <f t="shared" si="50"/>
        <v>0</v>
      </c>
      <c r="GE14" s="188">
        <f t="shared" si="51"/>
        <v>0</v>
      </c>
      <c r="GF14" s="199"/>
      <c r="GG14" s="189">
        <v>0</v>
      </c>
      <c r="GH14" s="189">
        <v>0</v>
      </c>
      <c r="GI14" s="199"/>
      <c r="GJ14" s="200">
        <f t="shared" si="52"/>
        <v>0</v>
      </c>
      <c r="GK14" s="200">
        <f t="shared" si="53"/>
        <v>0</v>
      </c>
      <c r="GO14" s="189">
        <f t="shared" si="119"/>
        <v>0</v>
      </c>
      <c r="GP14" s="189">
        <f t="shared" si="120"/>
        <v>0</v>
      </c>
      <c r="GQ14" s="189">
        <f t="shared" si="121"/>
        <v>0</v>
      </c>
      <c r="GR14" s="189">
        <f t="shared" si="122"/>
        <v>0</v>
      </c>
      <c r="GS14" s="189">
        <f t="shared" si="123"/>
        <v>0</v>
      </c>
      <c r="GT14" s="189">
        <f t="shared" si="124"/>
        <v>1</v>
      </c>
      <c r="GU14" s="201">
        <f t="shared" si="125"/>
        <v>43243</v>
      </c>
      <c r="GV14" s="189" t="str">
        <f t="shared" si="126"/>
        <v>SELESAI</v>
      </c>
      <c r="GW14" s="189">
        <f t="shared" si="127"/>
        <v>0</v>
      </c>
      <c r="GX14" s="202" t="str">
        <f t="shared" si="128"/>
        <v>SELESAI</v>
      </c>
      <c r="GY14" s="202">
        <f t="shared" si="129"/>
        <v>0</v>
      </c>
      <c r="GZ14" s="203" t="str">
        <f t="shared" si="130"/>
        <v>SELESAI</v>
      </c>
      <c r="HA14" s="204"/>
      <c r="HB14" s="204"/>
      <c r="HC14" s="189">
        <f t="shared" si="131"/>
        <v>0</v>
      </c>
      <c r="HD14" s="189">
        <f t="shared" si="132"/>
        <v>0</v>
      </c>
      <c r="HE14" s="189">
        <f t="shared" si="133"/>
        <v>0</v>
      </c>
      <c r="HF14" s="189">
        <f t="shared" si="134"/>
        <v>0</v>
      </c>
      <c r="HG14" s="189">
        <f t="shared" si="135"/>
        <v>0</v>
      </c>
      <c r="HH14" s="201" t="str">
        <f t="shared" si="136"/>
        <v>TIDAK KONSINYASI</v>
      </c>
      <c r="HI14" s="201" t="str">
        <f t="shared" si="137"/>
        <v>SELESAI</v>
      </c>
      <c r="HJ14" s="205"/>
      <c r="HK14" s="201">
        <f t="shared" si="138"/>
        <v>0</v>
      </c>
      <c r="HL14" s="204"/>
      <c r="HM14" s="204"/>
      <c r="HN14" s="204"/>
      <c r="HO14" s="204"/>
      <c r="HP14" s="203">
        <f t="shared" si="139"/>
        <v>0</v>
      </c>
      <c r="HQ14" s="202">
        <f t="shared" si="140"/>
        <v>0</v>
      </c>
      <c r="HR14" s="202">
        <f t="shared" si="141"/>
        <v>0</v>
      </c>
      <c r="HS14" s="203">
        <f t="shared" si="142"/>
        <v>0</v>
      </c>
      <c r="HT14" s="202">
        <f t="shared" si="143"/>
        <v>0</v>
      </c>
      <c r="HU14" s="202">
        <f t="shared" si="144"/>
        <v>0</v>
      </c>
      <c r="HV14" s="203">
        <f t="shared" si="145"/>
        <v>0</v>
      </c>
      <c r="HW14" s="202">
        <f t="shared" si="146"/>
        <v>0</v>
      </c>
      <c r="HX14" s="202">
        <f t="shared" si="147"/>
        <v>0</v>
      </c>
      <c r="HY14" s="203">
        <f t="shared" si="148"/>
        <v>0</v>
      </c>
      <c r="HZ14" s="202">
        <f t="shared" si="149"/>
        <v>0</v>
      </c>
      <c r="IA14" s="202">
        <f t="shared" si="150"/>
        <v>0</v>
      </c>
      <c r="IB14" s="203">
        <f t="shared" si="151"/>
        <v>0</v>
      </c>
      <c r="IC14" s="202">
        <f t="shared" si="152"/>
        <v>0</v>
      </c>
      <c r="ID14" s="202">
        <f t="shared" si="153"/>
        <v>0</v>
      </c>
      <c r="IE14" s="203">
        <f t="shared" si="154"/>
        <v>0</v>
      </c>
      <c r="IF14" s="202">
        <f t="shared" si="155"/>
        <v>0</v>
      </c>
      <c r="IG14" s="202">
        <f t="shared" si="156"/>
        <v>0</v>
      </c>
      <c r="IH14" s="203">
        <f t="shared" si="157"/>
        <v>0</v>
      </c>
      <c r="II14" s="202">
        <f t="shared" si="158"/>
        <v>0</v>
      </c>
      <c r="IJ14" s="202">
        <f t="shared" si="159"/>
        <v>0</v>
      </c>
      <c r="IK14" s="203">
        <f t="shared" si="160"/>
        <v>0</v>
      </c>
      <c r="IL14" s="202">
        <f t="shared" si="161"/>
        <v>0</v>
      </c>
      <c r="IM14" s="202">
        <f t="shared" si="162"/>
        <v>0</v>
      </c>
      <c r="IN14" s="204"/>
      <c r="IO14" s="203">
        <f t="shared" si="163"/>
        <v>0</v>
      </c>
      <c r="IP14" s="202">
        <f t="shared" si="164"/>
        <v>0</v>
      </c>
      <c r="IQ14" s="202">
        <f t="shared" si="165"/>
        <v>0</v>
      </c>
      <c r="IR14" s="204"/>
      <c r="IS14" s="203"/>
      <c r="IT14" s="202">
        <f t="shared" si="166"/>
        <v>1</v>
      </c>
      <c r="IU14" s="202">
        <f t="shared" si="167"/>
        <v>67</v>
      </c>
      <c r="IV14" s="204"/>
      <c r="IW14" s="203"/>
      <c r="IX14" s="202">
        <f t="shared" si="168"/>
        <v>0</v>
      </c>
      <c r="IY14" s="202">
        <f t="shared" si="169"/>
        <v>0</v>
      </c>
      <c r="IZ14" s="204"/>
      <c r="JA14" s="203"/>
      <c r="JB14" s="202">
        <f t="shared" si="170"/>
        <v>0</v>
      </c>
      <c r="JC14" s="202">
        <f t="shared" si="171"/>
        <v>0</v>
      </c>
      <c r="JD14" s="204"/>
      <c r="JE14" s="203"/>
      <c r="JF14" s="202">
        <f t="shared" si="172"/>
        <v>1</v>
      </c>
      <c r="JG14" s="202">
        <f t="shared" si="173"/>
        <v>67</v>
      </c>
      <c r="JH14" s="204"/>
      <c r="JI14" s="203"/>
      <c r="JJ14" s="202">
        <f t="shared" si="174"/>
        <v>0</v>
      </c>
      <c r="JK14" s="202">
        <f t="shared" si="175"/>
        <v>0</v>
      </c>
      <c r="JM14" s="203">
        <f t="shared" si="176"/>
        <v>0</v>
      </c>
      <c r="JO14" s="196">
        <f t="shared" si="54"/>
        <v>1</v>
      </c>
      <c r="JP14" s="189">
        <f t="shared" si="55"/>
        <v>26</v>
      </c>
      <c r="JQ14" s="189">
        <f t="shared" si="56"/>
        <v>1</v>
      </c>
      <c r="JR14" s="189">
        <f t="shared" si="57"/>
        <v>0</v>
      </c>
      <c r="JS14" s="189">
        <f t="shared" si="58"/>
        <v>0</v>
      </c>
      <c r="JT14" s="189">
        <f t="shared" si="59"/>
        <v>0</v>
      </c>
      <c r="JU14" s="189">
        <f t="shared" si="60"/>
        <v>0</v>
      </c>
      <c r="JV14" s="189">
        <f t="shared" si="61"/>
        <v>0</v>
      </c>
      <c r="JW14" s="189">
        <f t="shared" si="62"/>
        <v>0</v>
      </c>
      <c r="JX14" s="189">
        <f t="shared" si="63"/>
        <v>0</v>
      </c>
      <c r="JY14" s="189">
        <f t="shared" si="64"/>
        <v>0</v>
      </c>
      <c r="JZ14" s="189">
        <f t="shared" si="65"/>
        <v>0</v>
      </c>
      <c r="KA14" s="189">
        <f t="shared" si="66"/>
        <v>0</v>
      </c>
      <c r="KB14" s="189">
        <f t="shared" si="67"/>
        <v>0</v>
      </c>
      <c r="KD14" s="206">
        <f t="shared" si="177"/>
        <v>0</v>
      </c>
      <c r="KE14" s="206">
        <f t="shared" si="69"/>
        <v>0</v>
      </c>
      <c r="KF14" s="206">
        <f t="shared" si="70"/>
        <v>26</v>
      </c>
      <c r="KG14" s="206">
        <f t="shared" si="71"/>
        <v>26</v>
      </c>
      <c r="KH14" s="206">
        <f t="shared" si="72"/>
        <v>0</v>
      </c>
      <c r="KI14" s="206">
        <f t="shared" si="73"/>
        <v>0</v>
      </c>
      <c r="KJ14" s="206">
        <f t="shared" si="74"/>
        <v>0</v>
      </c>
      <c r="KK14" s="206">
        <f t="shared" si="75"/>
        <v>0</v>
      </c>
      <c r="KL14" s="206">
        <f t="shared" si="76"/>
        <v>0</v>
      </c>
      <c r="KM14" s="206">
        <f t="shared" si="77"/>
        <v>0</v>
      </c>
      <c r="KN14" s="221">
        <f t="shared" si="78"/>
        <v>0</v>
      </c>
      <c r="KO14" s="221">
        <f t="shared" si="79"/>
        <v>0</v>
      </c>
      <c r="KP14" s="221">
        <f t="shared" si="80"/>
        <v>0</v>
      </c>
      <c r="KQ14" s="221">
        <f t="shared" si="81"/>
        <v>0</v>
      </c>
      <c r="KR14" s="221">
        <f t="shared" si="82"/>
        <v>0</v>
      </c>
      <c r="KT14" s="195">
        <f t="shared" si="83"/>
        <v>0</v>
      </c>
      <c r="KU14" s="221"/>
      <c r="KV14" s="221"/>
      <c r="KW14" s="221"/>
      <c r="KX14" s="221"/>
      <c r="KY14" s="221"/>
      <c r="KZ14" s="221"/>
      <c r="LA14" s="221"/>
      <c r="LB14" s="221"/>
      <c r="LC14" s="221"/>
      <c r="LD14" s="221"/>
      <c r="LE14" s="221"/>
      <c r="LF14" s="221"/>
      <c r="LG14" s="221"/>
      <c r="LH14" s="221"/>
      <c r="LI14" s="221"/>
      <c r="LJ14" s="221"/>
      <c r="LK14" s="221"/>
      <c r="LL14" s="221"/>
      <c r="LM14" s="221"/>
      <c r="LN14" s="221"/>
      <c r="LO14" s="221"/>
      <c r="LP14" s="221"/>
      <c r="LQ14" s="221"/>
      <c r="LR14" s="221"/>
      <c r="LS14" s="221"/>
      <c r="LT14" s="221"/>
      <c r="LU14" s="221"/>
      <c r="LV14" s="221"/>
      <c r="LW14" s="221"/>
      <c r="LX14" s="221"/>
      <c r="LY14" s="221"/>
      <c r="LZ14" s="221"/>
      <c r="MA14" s="221"/>
      <c r="MB14" s="221"/>
      <c r="MC14" s="221"/>
      <c r="MD14" s="221"/>
      <c r="ME14" s="221"/>
      <c r="MF14" s="221"/>
      <c r="MG14" s="221"/>
      <c r="MH14" s="221"/>
      <c r="MI14" s="221"/>
      <c r="MJ14" s="221"/>
      <c r="MK14" s="221"/>
      <c r="ML14" s="221"/>
      <c r="MM14" s="221"/>
      <c r="MN14" s="221"/>
      <c r="MO14" s="221"/>
      <c r="MP14" s="221"/>
      <c r="MQ14" s="221"/>
      <c r="MR14" s="221"/>
      <c r="MS14" s="221"/>
      <c r="MT14" s="221"/>
      <c r="MU14" s="221"/>
      <c r="MV14" s="221"/>
      <c r="MW14" s="221"/>
      <c r="MX14" s="221"/>
      <c r="MY14" s="221"/>
      <c r="MZ14" s="221"/>
      <c r="NA14" s="221"/>
      <c r="NB14" s="221"/>
      <c r="NC14" s="221"/>
      <c r="ND14" s="221"/>
      <c r="NE14" s="221"/>
      <c r="NF14" s="221"/>
      <c r="NG14" s="221"/>
      <c r="NH14" s="221"/>
      <c r="NI14" s="221"/>
      <c r="NJ14" s="221"/>
      <c r="NK14" s="221"/>
      <c r="NM14" s="195">
        <f t="shared" si="178"/>
        <v>0</v>
      </c>
      <c r="NN14" s="195">
        <f t="shared" si="179"/>
        <v>0</v>
      </c>
      <c r="NO14" s="195">
        <f t="shared" si="180"/>
        <v>0</v>
      </c>
      <c r="NP14" s="195">
        <f t="shared" si="181"/>
        <v>0</v>
      </c>
      <c r="NQ14" s="195">
        <f t="shared" si="182"/>
        <v>0</v>
      </c>
      <c r="NR14" s="195">
        <f t="shared" si="183"/>
        <v>0</v>
      </c>
      <c r="NS14" s="195">
        <f t="shared" si="184"/>
        <v>0</v>
      </c>
      <c r="NT14" s="195">
        <f t="shared" si="185"/>
        <v>0</v>
      </c>
      <c r="NU14" s="196">
        <f t="shared" si="186"/>
        <v>0</v>
      </c>
      <c r="NY14" s="215">
        <f t="shared" si="187"/>
        <v>1</v>
      </c>
      <c r="NZ14" s="222">
        <v>12500000</v>
      </c>
      <c r="OE14" s="207">
        <f t="shared" si="85"/>
        <v>0</v>
      </c>
      <c r="OF14" s="207">
        <f t="shared" si="86"/>
        <v>0</v>
      </c>
      <c r="OG14" s="207">
        <f t="shared" si="87"/>
        <v>0</v>
      </c>
      <c r="OH14" s="207">
        <f t="shared" si="188"/>
        <v>0</v>
      </c>
      <c r="OI14" s="207">
        <f t="shared" si="88"/>
        <v>0</v>
      </c>
      <c r="OJ14" s="199">
        <f t="shared" si="189"/>
        <v>0</v>
      </c>
      <c r="OK14" s="199">
        <f t="shared" si="190"/>
        <v>0</v>
      </c>
      <c r="OL14" s="199">
        <f t="shared" si="191"/>
        <v>0</v>
      </c>
      <c r="OM14" s="199">
        <f t="shared" si="192"/>
        <v>0</v>
      </c>
      <c r="OO14" s="207">
        <f t="shared" si="89"/>
        <v>0</v>
      </c>
      <c r="OP14" s="207">
        <f t="shared" si="90"/>
        <v>0</v>
      </c>
      <c r="OQ14" s="207">
        <f t="shared" si="193"/>
        <v>0</v>
      </c>
      <c r="OR14" s="207">
        <f t="shared" si="194"/>
        <v>0</v>
      </c>
      <c r="OS14" s="207">
        <f t="shared" si="195"/>
        <v>0</v>
      </c>
      <c r="OT14" s="199">
        <f t="shared" si="196"/>
        <v>0</v>
      </c>
      <c r="OU14" s="199">
        <f t="shared" si="197"/>
        <v>0</v>
      </c>
      <c r="OV14" s="199">
        <f t="shared" si="198"/>
        <v>0</v>
      </c>
      <c r="OW14" s="199">
        <f t="shared" si="199"/>
        <v>0</v>
      </c>
      <c r="OZ14" s="208">
        <f t="shared" si="91"/>
        <v>0</v>
      </c>
      <c r="PA14" s="209"/>
      <c r="PB14" s="209"/>
      <c r="PC14" s="209"/>
      <c r="PD14" s="210">
        <f t="shared" si="200"/>
        <v>0</v>
      </c>
      <c r="PE14" s="210"/>
      <c r="PF14" s="210">
        <f t="shared" si="201"/>
        <v>0</v>
      </c>
      <c r="PG14" s="210">
        <f t="shared" si="202"/>
        <v>0</v>
      </c>
      <c r="PH14" s="210">
        <f t="shared" si="92"/>
        <v>0</v>
      </c>
      <c r="PI14" s="210">
        <f t="shared" si="93"/>
        <v>0</v>
      </c>
      <c r="PJ14" s="210">
        <f t="shared" si="94"/>
        <v>0</v>
      </c>
      <c r="PK14" s="210">
        <f t="shared" si="95"/>
        <v>0</v>
      </c>
      <c r="PL14" s="210">
        <f t="shared" si="96"/>
        <v>0</v>
      </c>
      <c r="PM14" s="211"/>
      <c r="PN14" s="211"/>
      <c r="PO14" s="212">
        <f t="shared" si="203"/>
        <v>0</v>
      </c>
      <c r="PP14" s="212">
        <f t="shared" si="204"/>
        <v>0</v>
      </c>
      <c r="PQ14" s="212">
        <f t="shared" si="205"/>
        <v>0</v>
      </c>
      <c r="PR14" s="211"/>
      <c r="PS14" s="211"/>
      <c r="PT14" s="211"/>
      <c r="PU14" s="211"/>
    </row>
    <row r="15" spans="1:437" s="195" customFormat="1" ht="16" x14ac:dyDescent="0.2">
      <c r="A15" s="213">
        <f t="shared" si="206"/>
        <v>6</v>
      </c>
      <c r="B15" s="186" t="s">
        <v>32</v>
      </c>
      <c r="C15" s="186">
        <v>8</v>
      </c>
      <c r="D15" s="188">
        <v>1</v>
      </c>
      <c r="E15" s="188">
        <v>48</v>
      </c>
      <c r="F15" s="188">
        <v>1</v>
      </c>
      <c r="G15" s="188">
        <f t="shared" si="97"/>
        <v>48</v>
      </c>
      <c r="H15" s="214">
        <f t="shared" si="98"/>
        <v>1</v>
      </c>
      <c r="I15" s="214">
        <f t="shared" si="99"/>
        <v>1</v>
      </c>
      <c r="J15" s="188">
        <v>1</v>
      </c>
      <c r="K15" s="188">
        <f t="shared" si="100"/>
        <v>48</v>
      </c>
      <c r="L15" s="214">
        <f t="shared" si="101"/>
        <v>1</v>
      </c>
      <c r="M15" s="214">
        <f t="shared" si="102"/>
        <v>1</v>
      </c>
      <c r="N15" s="188">
        <v>1</v>
      </c>
      <c r="O15" s="188">
        <f t="shared" si="103"/>
        <v>48</v>
      </c>
      <c r="P15" s="214">
        <f t="shared" si="104"/>
        <v>1</v>
      </c>
      <c r="Q15" s="214">
        <f t="shared" si="105"/>
        <v>1</v>
      </c>
      <c r="R15" s="188">
        <v>1</v>
      </c>
      <c r="S15" s="188">
        <f t="shared" si="106"/>
        <v>48</v>
      </c>
      <c r="T15" s="214">
        <f t="shared" si="107"/>
        <v>1</v>
      </c>
      <c r="U15" s="214">
        <f t="shared" si="108"/>
        <v>1</v>
      </c>
      <c r="V15" s="215">
        <v>1</v>
      </c>
      <c r="W15" s="188">
        <f t="shared" si="109"/>
        <v>48</v>
      </c>
      <c r="X15" s="214">
        <f t="shared" si="110"/>
        <v>1</v>
      </c>
      <c r="Y15" s="214">
        <f t="shared" si="111"/>
        <v>1</v>
      </c>
      <c r="Z15" s="216">
        <f>894767000/1000000000</f>
        <v>0.89476699999999998</v>
      </c>
      <c r="AA15" s="188">
        <v>0</v>
      </c>
      <c r="AB15" s="188">
        <f t="shared" si="112"/>
        <v>0</v>
      </c>
      <c r="AC15" s="214">
        <f t="shared" si="113"/>
        <v>0</v>
      </c>
      <c r="AD15" s="214">
        <f t="shared" si="114"/>
        <v>0</v>
      </c>
      <c r="AE15" s="188"/>
      <c r="AF15" s="188">
        <f t="shared" si="115"/>
        <v>0</v>
      </c>
      <c r="AG15" s="188"/>
      <c r="AH15" s="188"/>
      <c r="AI15" s="188">
        <v>1</v>
      </c>
      <c r="AJ15" s="188">
        <f t="shared" si="2"/>
        <v>48</v>
      </c>
      <c r="AK15" s="188" t="s">
        <v>304</v>
      </c>
      <c r="AL15" s="188">
        <v>0</v>
      </c>
      <c r="AM15" s="188">
        <v>0</v>
      </c>
      <c r="AN15" s="217"/>
      <c r="AO15" s="188">
        <f t="shared" si="207"/>
        <v>1</v>
      </c>
      <c r="AP15" s="188">
        <f t="shared" si="208"/>
        <v>48</v>
      </c>
      <c r="AQ15" s="188">
        <f t="shared" si="5"/>
        <v>1</v>
      </c>
      <c r="AR15" s="188">
        <f t="shared" si="6"/>
        <v>48</v>
      </c>
      <c r="AS15" s="188">
        <f t="shared" si="7"/>
        <v>1</v>
      </c>
      <c r="AT15" s="188">
        <f t="shared" si="8"/>
        <v>48</v>
      </c>
      <c r="AU15" s="188">
        <f t="shared" si="209"/>
        <v>1</v>
      </c>
      <c r="AV15" s="188">
        <f t="shared" si="210"/>
        <v>48</v>
      </c>
      <c r="AW15" s="188">
        <f t="shared" si="211"/>
        <v>1</v>
      </c>
      <c r="AX15" s="188">
        <f t="shared" si="212"/>
        <v>48</v>
      </c>
      <c r="AY15" s="188">
        <f t="shared" si="116"/>
        <v>0</v>
      </c>
      <c r="AZ15" s="188">
        <f t="shared" si="117"/>
        <v>0</v>
      </c>
      <c r="BA15" s="188">
        <f t="shared" si="14"/>
        <v>0.89476699999999998</v>
      </c>
      <c r="BB15" s="188">
        <f t="shared" si="15"/>
        <v>0</v>
      </c>
      <c r="BD15" s="196">
        <f t="shared" si="118"/>
        <v>0</v>
      </c>
      <c r="BE15" s="188">
        <f t="shared" si="16"/>
        <v>0</v>
      </c>
      <c r="BF15" s="188">
        <f t="shared" si="17"/>
        <v>0</v>
      </c>
      <c r="BG15" s="188">
        <f t="shared" si="18"/>
        <v>0</v>
      </c>
      <c r="BH15" s="188">
        <f t="shared" si="19"/>
        <v>0</v>
      </c>
      <c r="BI15" s="188">
        <f t="shared" si="20"/>
        <v>0</v>
      </c>
      <c r="BJ15" s="188">
        <f t="shared" si="21"/>
        <v>0</v>
      </c>
      <c r="BK15" s="188">
        <f t="shared" si="22"/>
        <v>0</v>
      </c>
      <c r="BN15" s="143"/>
      <c r="BO15" s="278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B15" s="188"/>
      <c r="CD15" s="188">
        <f t="shared" si="23"/>
        <v>0</v>
      </c>
      <c r="CE15" s="188">
        <f t="shared" si="24"/>
        <v>0</v>
      </c>
      <c r="CF15" s="188">
        <f t="shared" si="25"/>
        <v>0</v>
      </c>
      <c r="CG15" s="188">
        <f t="shared" si="26"/>
        <v>0</v>
      </c>
      <c r="CH15" s="188">
        <f t="shared" si="27"/>
        <v>0</v>
      </c>
      <c r="CI15" s="188">
        <f t="shared" si="28"/>
        <v>0</v>
      </c>
      <c r="CJ15" s="188">
        <f t="shared" si="29"/>
        <v>0</v>
      </c>
      <c r="CK15" s="188">
        <f t="shared" si="30"/>
        <v>0</v>
      </c>
      <c r="CL15" s="188">
        <f t="shared" si="31"/>
        <v>0</v>
      </c>
      <c r="CM15" s="188">
        <f t="shared" si="32"/>
        <v>0</v>
      </c>
      <c r="CN15" s="188">
        <f t="shared" si="33"/>
        <v>0</v>
      </c>
      <c r="CO15" s="188">
        <f t="shared" si="34"/>
        <v>0</v>
      </c>
      <c r="CP15" s="188">
        <f t="shared" si="35"/>
        <v>0</v>
      </c>
      <c r="DV15" s="188">
        <f t="shared" si="36"/>
        <v>0</v>
      </c>
      <c r="DW15" s="188">
        <f t="shared" si="37"/>
        <v>0</v>
      </c>
      <c r="DX15" s="188">
        <f t="shared" si="38"/>
        <v>0</v>
      </c>
      <c r="DY15" s="188">
        <f t="shared" si="39"/>
        <v>0</v>
      </c>
      <c r="DZ15" s="188">
        <f t="shared" si="40"/>
        <v>0</v>
      </c>
      <c r="EA15" s="188">
        <f t="shared" si="41"/>
        <v>0</v>
      </c>
      <c r="EB15" s="188">
        <f t="shared" si="42"/>
        <v>0</v>
      </c>
      <c r="ED15" s="197" t="s">
        <v>302</v>
      </c>
      <c r="EE15" s="197" t="s">
        <v>376</v>
      </c>
      <c r="EF15" s="219"/>
      <c r="EG15" s="220">
        <f t="shared" si="43"/>
        <v>0</v>
      </c>
      <c r="EH15" s="220">
        <f t="shared" si="44"/>
        <v>0</v>
      </c>
      <c r="EI15" s="188"/>
      <c r="EJ15" s="188"/>
      <c r="EK15" s="188"/>
      <c r="EL15" s="188"/>
      <c r="EM15" s="188"/>
      <c r="EN15" s="188"/>
      <c r="EO15" s="188"/>
      <c r="EP15" s="188"/>
      <c r="EQ15" s="188"/>
      <c r="ER15" s="188"/>
      <c r="ES15" s="188"/>
      <c r="ET15" s="188"/>
      <c r="EU15" s="188"/>
      <c r="EV15" s="188"/>
      <c r="EW15" s="188"/>
      <c r="EX15" s="188"/>
      <c r="EY15" s="188"/>
      <c r="EZ15" s="188"/>
      <c r="FA15" s="188"/>
      <c r="FB15" s="188"/>
      <c r="FC15" s="188"/>
      <c r="FD15" s="188"/>
      <c r="FE15" s="188"/>
      <c r="FF15" s="188"/>
      <c r="FH15" s="189"/>
      <c r="FI15" s="189"/>
      <c r="FJ15" s="189"/>
      <c r="FK15" s="189"/>
      <c r="FL15" s="189"/>
      <c r="FM15" s="189"/>
      <c r="FN15" s="189"/>
      <c r="FO15" s="189"/>
      <c r="FP15" s="189"/>
      <c r="FQ15" s="189"/>
      <c r="FR15" s="189"/>
      <c r="FS15" s="189"/>
      <c r="FT15" s="189"/>
      <c r="FU15" s="189"/>
      <c r="FV15" s="189"/>
      <c r="FX15" s="217"/>
      <c r="FY15" s="188">
        <f t="shared" si="45"/>
        <v>0</v>
      </c>
      <c r="FZ15" s="188">
        <f t="shared" si="46"/>
        <v>0</v>
      </c>
      <c r="GA15" s="188">
        <f t="shared" si="47"/>
        <v>0</v>
      </c>
      <c r="GB15" s="188">
        <f t="shared" si="48"/>
        <v>0</v>
      </c>
      <c r="GC15" s="188">
        <f t="shared" si="49"/>
        <v>0</v>
      </c>
      <c r="GD15" s="188">
        <f t="shared" si="50"/>
        <v>0</v>
      </c>
      <c r="GE15" s="188">
        <f t="shared" si="51"/>
        <v>0</v>
      </c>
      <c r="GF15" s="199"/>
      <c r="GG15" s="189">
        <v>0</v>
      </c>
      <c r="GH15" s="189">
        <v>0</v>
      </c>
      <c r="GI15" s="199"/>
      <c r="GJ15" s="200">
        <f t="shared" si="52"/>
        <v>0</v>
      </c>
      <c r="GK15" s="200">
        <f t="shared" si="53"/>
        <v>0</v>
      </c>
      <c r="GO15" s="189">
        <f t="shared" si="119"/>
        <v>0</v>
      </c>
      <c r="GP15" s="189">
        <f t="shared" si="120"/>
        <v>0</v>
      </c>
      <c r="GQ15" s="189">
        <f t="shared" si="121"/>
        <v>0</v>
      </c>
      <c r="GR15" s="189">
        <f t="shared" si="122"/>
        <v>0</v>
      </c>
      <c r="GS15" s="189">
        <f t="shared" si="123"/>
        <v>0</v>
      </c>
      <c r="GT15" s="189">
        <f t="shared" si="124"/>
        <v>1</v>
      </c>
      <c r="GU15" s="201">
        <f t="shared" si="125"/>
        <v>43243</v>
      </c>
      <c r="GV15" s="189" t="str">
        <f t="shared" si="126"/>
        <v>SELESAI</v>
      </c>
      <c r="GW15" s="189">
        <f t="shared" si="127"/>
        <v>0</v>
      </c>
      <c r="GX15" s="202" t="str">
        <f t="shared" si="128"/>
        <v>SELESAI</v>
      </c>
      <c r="GY15" s="202">
        <f t="shared" si="129"/>
        <v>0</v>
      </c>
      <c r="GZ15" s="203" t="str">
        <f t="shared" si="130"/>
        <v>SELESAI</v>
      </c>
      <c r="HA15" s="204"/>
      <c r="HB15" s="204"/>
      <c r="HC15" s="189">
        <f t="shared" si="131"/>
        <v>0</v>
      </c>
      <c r="HD15" s="189">
        <f t="shared" si="132"/>
        <v>0</v>
      </c>
      <c r="HE15" s="189">
        <f t="shared" si="133"/>
        <v>0</v>
      </c>
      <c r="HF15" s="189">
        <f t="shared" si="134"/>
        <v>0</v>
      </c>
      <c r="HG15" s="189">
        <f t="shared" si="135"/>
        <v>0</v>
      </c>
      <c r="HH15" s="201" t="str">
        <f t="shared" si="136"/>
        <v>TIDAK KONSINYASI</v>
      </c>
      <c r="HI15" s="201" t="str">
        <f t="shared" si="137"/>
        <v>SELESAI</v>
      </c>
      <c r="HJ15" s="205"/>
      <c r="HK15" s="201">
        <f t="shared" si="138"/>
        <v>0</v>
      </c>
      <c r="HL15" s="204"/>
      <c r="HM15" s="204"/>
      <c r="HN15" s="204"/>
      <c r="HO15" s="204"/>
      <c r="HP15" s="203">
        <f t="shared" si="139"/>
        <v>0</v>
      </c>
      <c r="HQ15" s="202">
        <f t="shared" si="140"/>
        <v>0</v>
      </c>
      <c r="HR15" s="202">
        <f t="shared" si="141"/>
        <v>0</v>
      </c>
      <c r="HS15" s="203">
        <f t="shared" si="142"/>
        <v>0</v>
      </c>
      <c r="HT15" s="202">
        <f t="shared" si="143"/>
        <v>0</v>
      </c>
      <c r="HU15" s="202">
        <f t="shared" si="144"/>
        <v>0</v>
      </c>
      <c r="HV15" s="203">
        <f t="shared" si="145"/>
        <v>0</v>
      </c>
      <c r="HW15" s="202">
        <f t="shared" si="146"/>
        <v>0</v>
      </c>
      <c r="HX15" s="202">
        <f t="shared" si="147"/>
        <v>0</v>
      </c>
      <c r="HY15" s="203">
        <f t="shared" si="148"/>
        <v>0</v>
      </c>
      <c r="HZ15" s="202">
        <f t="shared" si="149"/>
        <v>0</v>
      </c>
      <c r="IA15" s="202">
        <f t="shared" si="150"/>
        <v>0</v>
      </c>
      <c r="IB15" s="203">
        <f t="shared" si="151"/>
        <v>0</v>
      </c>
      <c r="IC15" s="202">
        <f t="shared" si="152"/>
        <v>0</v>
      </c>
      <c r="ID15" s="202">
        <f t="shared" si="153"/>
        <v>0</v>
      </c>
      <c r="IE15" s="203">
        <f t="shared" si="154"/>
        <v>0</v>
      </c>
      <c r="IF15" s="202">
        <f t="shared" si="155"/>
        <v>0</v>
      </c>
      <c r="IG15" s="202">
        <f t="shared" si="156"/>
        <v>0</v>
      </c>
      <c r="IH15" s="203">
        <f t="shared" si="157"/>
        <v>0</v>
      </c>
      <c r="II15" s="202">
        <f t="shared" si="158"/>
        <v>0</v>
      </c>
      <c r="IJ15" s="202">
        <f t="shared" si="159"/>
        <v>0</v>
      </c>
      <c r="IK15" s="203">
        <f t="shared" si="160"/>
        <v>0</v>
      </c>
      <c r="IL15" s="202">
        <f t="shared" si="161"/>
        <v>0</v>
      </c>
      <c r="IM15" s="202">
        <f t="shared" si="162"/>
        <v>0</v>
      </c>
      <c r="IN15" s="204"/>
      <c r="IO15" s="203">
        <f t="shared" si="163"/>
        <v>0</v>
      </c>
      <c r="IP15" s="202">
        <f t="shared" si="164"/>
        <v>0</v>
      </c>
      <c r="IQ15" s="202">
        <f t="shared" si="165"/>
        <v>0</v>
      </c>
      <c r="IR15" s="204"/>
      <c r="IS15" s="203"/>
      <c r="IT15" s="202">
        <f t="shared" si="166"/>
        <v>1</v>
      </c>
      <c r="IU15" s="202">
        <f t="shared" si="167"/>
        <v>48</v>
      </c>
      <c r="IV15" s="204"/>
      <c r="IW15" s="203"/>
      <c r="IX15" s="202">
        <f t="shared" si="168"/>
        <v>0</v>
      </c>
      <c r="IY15" s="202">
        <f t="shared" si="169"/>
        <v>0</v>
      </c>
      <c r="IZ15" s="204"/>
      <c r="JA15" s="203"/>
      <c r="JB15" s="202">
        <f t="shared" si="170"/>
        <v>0</v>
      </c>
      <c r="JC15" s="202">
        <f t="shared" si="171"/>
        <v>0</v>
      </c>
      <c r="JD15" s="204"/>
      <c r="JE15" s="203"/>
      <c r="JF15" s="202">
        <f t="shared" si="172"/>
        <v>1</v>
      </c>
      <c r="JG15" s="202">
        <f t="shared" si="173"/>
        <v>48</v>
      </c>
      <c r="JH15" s="204"/>
      <c r="JI15" s="203"/>
      <c r="JJ15" s="202">
        <f t="shared" si="174"/>
        <v>0</v>
      </c>
      <c r="JK15" s="202">
        <f t="shared" si="175"/>
        <v>0</v>
      </c>
      <c r="JM15" s="203">
        <f t="shared" si="176"/>
        <v>0</v>
      </c>
      <c r="JO15" s="196">
        <f t="shared" si="54"/>
        <v>0</v>
      </c>
      <c r="JP15" s="189">
        <f t="shared" si="55"/>
        <v>0</v>
      </c>
      <c r="JQ15" s="189">
        <f t="shared" si="56"/>
        <v>0</v>
      </c>
      <c r="JR15" s="189">
        <f t="shared" si="57"/>
        <v>0</v>
      </c>
      <c r="JS15" s="189">
        <f t="shared" si="58"/>
        <v>0</v>
      </c>
      <c r="JT15" s="189">
        <f t="shared" si="59"/>
        <v>0</v>
      </c>
      <c r="JU15" s="189">
        <f t="shared" si="60"/>
        <v>0</v>
      </c>
      <c r="JV15" s="189">
        <f t="shared" si="61"/>
        <v>0</v>
      </c>
      <c r="JW15" s="189">
        <f t="shared" si="62"/>
        <v>0</v>
      </c>
      <c r="JX15" s="189">
        <f t="shared" si="63"/>
        <v>0</v>
      </c>
      <c r="JY15" s="189">
        <f t="shared" si="64"/>
        <v>0</v>
      </c>
      <c r="JZ15" s="189">
        <f t="shared" si="65"/>
        <v>0</v>
      </c>
      <c r="KA15" s="189">
        <f t="shared" si="66"/>
        <v>0</v>
      </c>
      <c r="KB15" s="189">
        <f t="shared" si="67"/>
        <v>0</v>
      </c>
      <c r="KD15" s="206">
        <f t="shared" si="177"/>
        <v>0</v>
      </c>
      <c r="KE15" s="206">
        <f t="shared" si="69"/>
        <v>0</v>
      </c>
      <c r="KF15" s="206">
        <f t="shared" si="70"/>
        <v>0</v>
      </c>
      <c r="KG15" s="206">
        <f t="shared" si="71"/>
        <v>0</v>
      </c>
      <c r="KH15" s="206">
        <f t="shared" si="72"/>
        <v>0</v>
      </c>
      <c r="KI15" s="206">
        <f t="shared" si="73"/>
        <v>0</v>
      </c>
      <c r="KJ15" s="206">
        <f t="shared" si="74"/>
        <v>0</v>
      </c>
      <c r="KK15" s="206">
        <f t="shared" si="75"/>
        <v>0</v>
      </c>
      <c r="KL15" s="206">
        <f t="shared" si="76"/>
        <v>0</v>
      </c>
      <c r="KM15" s="206">
        <f t="shared" si="77"/>
        <v>0</v>
      </c>
      <c r="KN15" s="221">
        <f t="shared" si="78"/>
        <v>0</v>
      </c>
      <c r="KO15" s="221">
        <f t="shared" si="79"/>
        <v>0</v>
      </c>
      <c r="KP15" s="221">
        <f t="shared" si="80"/>
        <v>0</v>
      </c>
      <c r="KQ15" s="221">
        <f t="shared" si="81"/>
        <v>0</v>
      </c>
      <c r="KR15" s="221">
        <f t="shared" si="82"/>
        <v>0</v>
      </c>
      <c r="KT15" s="195">
        <f t="shared" si="83"/>
        <v>0</v>
      </c>
      <c r="KU15" s="221"/>
      <c r="KV15" s="221"/>
      <c r="KW15" s="221"/>
      <c r="KX15" s="221"/>
      <c r="KY15" s="221"/>
      <c r="KZ15" s="221"/>
      <c r="LA15" s="221"/>
      <c r="LB15" s="221"/>
      <c r="LC15" s="221"/>
      <c r="LD15" s="221"/>
      <c r="LE15" s="221"/>
      <c r="LF15" s="221"/>
      <c r="LG15" s="221"/>
      <c r="LH15" s="221"/>
      <c r="LI15" s="221"/>
      <c r="LJ15" s="221"/>
      <c r="LK15" s="221"/>
      <c r="LL15" s="221"/>
      <c r="LM15" s="221"/>
      <c r="LN15" s="221"/>
      <c r="LO15" s="221"/>
      <c r="LP15" s="221"/>
      <c r="LQ15" s="221"/>
      <c r="LR15" s="221"/>
      <c r="LS15" s="221"/>
      <c r="LT15" s="221"/>
      <c r="LU15" s="221"/>
      <c r="LV15" s="221"/>
      <c r="LW15" s="221"/>
      <c r="LX15" s="221"/>
      <c r="LY15" s="221"/>
      <c r="LZ15" s="221"/>
      <c r="MA15" s="221"/>
      <c r="MB15" s="221"/>
      <c r="MC15" s="221"/>
      <c r="MD15" s="221"/>
      <c r="ME15" s="221"/>
      <c r="MF15" s="221"/>
      <c r="MG15" s="221"/>
      <c r="MH15" s="221"/>
      <c r="MI15" s="221"/>
      <c r="MJ15" s="221"/>
      <c r="MK15" s="221"/>
      <c r="ML15" s="221"/>
      <c r="MM15" s="221"/>
      <c r="MN15" s="221"/>
      <c r="MO15" s="221"/>
      <c r="MP15" s="221"/>
      <c r="MQ15" s="221"/>
      <c r="MR15" s="221"/>
      <c r="MS15" s="221"/>
      <c r="MT15" s="221"/>
      <c r="MU15" s="221"/>
      <c r="MV15" s="221"/>
      <c r="MW15" s="221"/>
      <c r="MX15" s="221"/>
      <c r="MY15" s="221"/>
      <c r="MZ15" s="221"/>
      <c r="NA15" s="221"/>
      <c r="NB15" s="221"/>
      <c r="NC15" s="221"/>
      <c r="ND15" s="221"/>
      <c r="NE15" s="221"/>
      <c r="NF15" s="221"/>
      <c r="NG15" s="221"/>
      <c r="NH15" s="221"/>
      <c r="NI15" s="221"/>
      <c r="NJ15" s="221"/>
      <c r="NK15" s="221"/>
      <c r="NM15" s="195">
        <f t="shared" si="178"/>
        <v>0</v>
      </c>
      <c r="NN15" s="195">
        <f t="shared" si="179"/>
        <v>0</v>
      </c>
      <c r="NO15" s="195">
        <f t="shared" si="180"/>
        <v>0</v>
      </c>
      <c r="NP15" s="195">
        <f t="shared" si="181"/>
        <v>0</v>
      </c>
      <c r="NQ15" s="195">
        <f t="shared" si="182"/>
        <v>0</v>
      </c>
      <c r="NR15" s="195">
        <f t="shared" si="183"/>
        <v>0</v>
      </c>
      <c r="NS15" s="195">
        <f t="shared" si="184"/>
        <v>0</v>
      </c>
      <c r="NT15" s="195">
        <f t="shared" si="185"/>
        <v>0</v>
      </c>
      <c r="NU15" s="196">
        <f t="shared" si="186"/>
        <v>0</v>
      </c>
      <c r="NY15" s="215">
        <f t="shared" si="187"/>
        <v>1</v>
      </c>
      <c r="NZ15" s="222">
        <v>12250000</v>
      </c>
      <c r="OE15" s="207">
        <f t="shared" si="85"/>
        <v>0</v>
      </c>
      <c r="OF15" s="207">
        <f t="shared" si="86"/>
        <v>0</v>
      </c>
      <c r="OG15" s="207">
        <f t="shared" si="87"/>
        <v>0</v>
      </c>
      <c r="OH15" s="207">
        <f t="shared" si="188"/>
        <v>0</v>
      </c>
      <c r="OI15" s="207">
        <f t="shared" si="88"/>
        <v>0</v>
      </c>
      <c r="OJ15" s="199">
        <f t="shared" si="189"/>
        <v>0</v>
      </c>
      <c r="OK15" s="199">
        <f t="shared" si="190"/>
        <v>0</v>
      </c>
      <c r="OL15" s="199">
        <f t="shared" si="191"/>
        <v>0</v>
      </c>
      <c r="OM15" s="199">
        <f t="shared" si="192"/>
        <v>0</v>
      </c>
      <c r="OO15" s="207">
        <f t="shared" si="89"/>
        <v>0</v>
      </c>
      <c r="OP15" s="207">
        <f t="shared" si="90"/>
        <v>0</v>
      </c>
      <c r="OQ15" s="207">
        <f t="shared" si="193"/>
        <v>0</v>
      </c>
      <c r="OR15" s="207">
        <f t="shared" si="194"/>
        <v>0</v>
      </c>
      <c r="OS15" s="207">
        <f t="shared" si="195"/>
        <v>0</v>
      </c>
      <c r="OT15" s="199">
        <f t="shared" si="196"/>
        <v>0</v>
      </c>
      <c r="OU15" s="199">
        <f t="shared" si="197"/>
        <v>0</v>
      </c>
      <c r="OV15" s="199">
        <f t="shared" si="198"/>
        <v>0</v>
      </c>
      <c r="OW15" s="199">
        <f t="shared" si="199"/>
        <v>0</v>
      </c>
      <c r="OZ15" s="208">
        <f t="shared" si="91"/>
        <v>0</v>
      </c>
      <c r="PA15" s="209"/>
      <c r="PB15" s="209"/>
      <c r="PC15" s="209"/>
      <c r="PD15" s="210">
        <f t="shared" si="200"/>
        <v>0</v>
      </c>
      <c r="PE15" s="210"/>
      <c r="PF15" s="210">
        <f t="shared" si="201"/>
        <v>0</v>
      </c>
      <c r="PG15" s="210">
        <f t="shared" si="202"/>
        <v>0</v>
      </c>
      <c r="PH15" s="210">
        <f t="shared" si="92"/>
        <v>0</v>
      </c>
      <c r="PI15" s="210">
        <f t="shared" si="93"/>
        <v>0</v>
      </c>
      <c r="PJ15" s="210">
        <f t="shared" si="94"/>
        <v>0</v>
      </c>
      <c r="PK15" s="210">
        <f t="shared" si="95"/>
        <v>0</v>
      </c>
      <c r="PL15" s="210">
        <f t="shared" si="96"/>
        <v>0</v>
      </c>
      <c r="PM15" s="211"/>
      <c r="PN15" s="211"/>
      <c r="PO15" s="212">
        <f t="shared" si="203"/>
        <v>0</v>
      </c>
      <c r="PP15" s="212">
        <f t="shared" si="204"/>
        <v>0</v>
      </c>
      <c r="PQ15" s="212">
        <f t="shared" si="205"/>
        <v>0</v>
      </c>
      <c r="PR15" s="211"/>
      <c r="PS15" s="211"/>
      <c r="PT15" s="211"/>
      <c r="PU15" s="211"/>
    </row>
    <row r="16" spans="1:437" s="195" customFormat="1" ht="16" x14ac:dyDescent="0.2">
      <c r="A16" s="213">
        <f t="shared" si="206"/>
        <v>7</v>
      </c>
      <c r="B16" s="186" t="s">
        <v>33</v>
      </c>
      <c r="C16" s="186">
        <v>9</v>
      </c>
      <c r="D16" s="188">
        <v>1</v>
      </c>
      <c r="E16" s="188">
        <v>111</v>
      </c>
      <c r="F16" s="188">
        <v>1</v>
      </c>
      <c r="G16" s="188">
        <f t="shared" si="97"/>
        <v>111</v>
      </c>
      <c r="H16" s="214">
        <f t="shared" si="98"/>
        <v>1</v>
      </c>
      <c r="I16" s="214">
        <f t="shared" si="99"/>
        <v>1</v>
      </c>
      <c r="J16" s="188">
        <v>1</v>
      </c>
      <c r="K16" s="188">
        <f t="shared" si="100"/>
        <v>111</v>
      </c>
      <c r="L16" s="214">
        <f t="shared" si="101"/>
        <v>1</v>
      </c>
      <c r="M16" s="214">
        <f t="shared" si="102"/>
        <v>1</v>
      </c>
      <c r="N16" s="188">
        <v>1</v>
      </c>
      <c r="O16" s="188">
        <f t="shared" si="103"/>
        <v>111</v>
      </c>
      <c r="P16" s="214">
        <f t="shared" si="104"/>
        <v>1</v>
      </c>
      <c r="Q16" s="214">
        <f t="shared" si="105"/>
        <v>1</v>
      </c>
      <c r="R16" s="188">
        <v>1</v>
      </c>
      <c r="S16" s="188">
        <f t="shared" si="106"/>
        <v>111</v>
      </c>
      <c r="T16" s="214">
        <f t="shared" si="107"/>
        <v>1</v>
      </c>
      <c r="U16" s="214">
        <f t="shared" si="108"/>
        <v>1</v>
      </c>
      <c r="V16" s="215">
        <v>1</v>
      </c>
      <c r="W16" s="188">
        <f t="shared" si="109"/>
        <v>111</v>
      </c>
      <c r="X16" s="214">
        <f t="shared" si="110"/>
        <v>1</v>
      </c>
      <c r="Y16" s="214">
        <f t="shared" si="111"/>
        <v>1</v>
      </c>
      <c r="Z16" s="216">
        <f>2385398000/1000000000</f>
        <v>2.3853979999999999</v>
      </c>
      <c r="AA16" s="188">
        <v>0</v>
      </c>
      <c r="AB16" s="188">
        <f t="shared" si="112"/>
        <v>0</v>
      </c>
      <c r="AC16" s="214">
        <f t="shared" si="113"/>
        <v>0</v>
      </c>
      <c r="AD16" s="214">
        <f t="shared" si="114"/>
        <v>0</v>
      </c>
      <c r="AE16" s="188"/>
      <c r="AF16" s="188">
        <f t="shared" si="115"/>
        <v>0</v>
      </c>
      <c r="AG16" s="223"/>
      <c r="AH16" s="188"/>
      <c r="AI16" s="188">
        <v>1</v>
      </c>
      <c r="AJ16" s="188">
        <f t="shared" si="2"/>
        <v>111</v>
      </c>
      <c r="AK16" s="188" t="s">
        <v>304</v>
      </c>
      <c r="AL16" s="188">
        <v>0</v>
      </c>
      <c r="AM16" s="188">
        <v>0</v>
      </c>
      <c r="AN16" s="217"/>
      <c r="AO16" s="188">
        <f t="shared" si="207"/>
        <v>1</v>
      </c>
      <c r="AP16" s="188">
        <f t="shared" si="208"/>
        <v>111</v>
      </c>
      <c r="AQ16" s="188">
        <f t="shared" si="5"/>
        <v>1</v>
      </c>
      <c r="AR16" s="188">
        <f t="shared" si="6"/>
        <v>111</v>
      </c>
      <c r="AS16" s="188">
        <f t="shared" si="7"/>
        <v>1</v>
      </c>
      <c r="AT16" s="188">
        <f t="shared" si="8"/>
        <v>111</v>
      </c>
      <c r="AU16" s="188">
        <f t="shared" si="209"/>
        <v>1</v>
      </c>
      <c r="AV16" s="188">
        <f t="shared" si="210"/>
        <v>111</v>
      </c>
      <c r="AW16" s="188">
        <f t="shared" si="211"/>
        <v>1</v>
      </c>
      <c r="AX16" s="188">
        <f t="shared" si="212"/>
        <v>111</v>
      </c>
      <c r="AY16" s="188">
        <f t="shared" si="116"/>
        <v>0</v>
      </c>
      <c r="AZ16" s="188">
        <f t="shared" si="117"/>
        <v>0</v>
      </c>
      <c r="BA16" s="188">
        <f t="shared" si="14"/>
        <v>2.3853979999999999</v>
      </c>
      <c r="BB16" s="188">
        <f t="shared" si="15"/>
        <v>0</v>
      </c>
      <c r="BD16" s="196">
        <f t="shared" si="118"/>
        <v>0</v>
      </c>
      <c r="BE16" s="188">
        <f t="shared" si="16"/>
        <v>0</v>
      </c>
      <c r="BF16" s="188">
        <f t="shared" si="17"/>
        <v>0</v>
      </c>
      <c r="BG16" s="188">
        <f t="shared" si="18"/>
        <v>0</v>
      </c>
      <c r="BH16" s="188">
        <f t="shared" si="19"/>
        <v>0</v>
      </c>
      <c r="BI16" s="188">
        <f t="shared" si="20"/>
        <v>0</v>
      </c>
      <c r="BJ16" s="188">
        <f t="shared" si="21"/>
        <v>0</v>
      </c>
      <c r="BK16" s="188">
        <f t="shared" si="22"/>
        <v>0</v>
      </c>
      <c r="BN16" s="279">
        <v>27</v>
      </c>
      <c r="BO16" s="139">
        <v>1</v>
      </c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B16" s="188"/>
      <c r="CD16" s="188">
        <f t="shared" si="23"/>
        <v>27</v>
      </c>
      <c r="CE16" s="188">
        <f t="shared" si="24"/>
        <v>27</v>
      </c>
      <c r="CF16" s="188">
        <f t="shared" si="25"/>
        <v>0</v>
      </c>
      <c r="CG16" s="188">
        <f t="shared" si="26"/>
        <v>0</v>
      </c>
      <c r="CH16" s="188">
        <f t="shared" si="27"/>
        <v>0</v>
      </c>
      <c r="CI16" s="188">
        <f t="shared" si="28"/>
        <v>0</v>
      </c>
      <c r="CJ16" s="188">
        <f t="shared" si="29"/>
        <v>0</v>
      </c>
      <c r="CK16" s="188">
        <f t="shared" si="30"/>
        <v>0</v>
      </c>
      <c r="CL16" s="188">
        <f t="shared" si="31"/>
        <v>0</v>
      </c>
      <c r="CM16" s="188">
        <f t="shared" si="32"/>
        <v>0</v>
      </c>
      <c r="CN16" s="188">
        <f t="shared" si="33"/>
        <v>0</v>
      </c>
      <c r="CO16" s="188">
        <f t="shared" si="34"/>
        <v>0</v>
      </c>
      <c r="CP16" s="188">
        <f t="shared" si="35"/>
        <v>0</v>
      </c>
      <c r="DV16" s="188">
        <f t="shared" si="36"/>
        <v>0</v>
      </c>
      <c r="DW16" s="188">
        <f t="shared" si="37"/>
        <v>0</v>
      </c>
      <c r="DX16" s="188">
        <f t="shared" si="38"/>
        <v>0</v>
      </c>
      <c r="DY16" s="188">
        <f t="shared" si="39"/>
        <v>0</v>
      </c>
      <c r="DZ16" s="188">
        <f t="shared" si="40"/>
        <v>0</v>
      </c>
      <c r="EA16" s="188">
        <f t="shared" si="41"/>
        <v>0</v>
      </c>
      <c r="EB16" s="188">
        <f t="shared" si="42"/>
        <v>0</v>
      </c>
      <c r="ED16" s="197" t="s">
        <v>351</v>
      </c>
      <c r="EE16" s="197" t="s">
        <v>377</v>
      </c>
      <c r="EF16" s="219"/>
      <c r="EG16" s="220">
        <f t="shared" si="43"/>
        <v>0</v>
      </c>
      <c r="EH16" s="220">
        <f t="shared" si="44"/>
        <v>0</v>
      </c>
      <c r="EI16" s="188"/>
      <c r="EJ16" s="188"/>
      <c r="EK16" s="188"/>
      <c r="EL16" s="188"/>
      <c r="EM16" s="188"/>
      <c r="EN16" s="188"/>
      <c r="EO16" s="188"/>
      <c r="EP16" s="188"/>
      <c r="EQ16" s="188"/>
      <c r="ER16" s="188"/>
      <c r="ES16" s="188"/>
      <c r="ET16" s="188"/>
      <c r="EU16" s="188"/>
      <c r="EV16" s="188"/>
      <c r="EW16" s="188"/>
      <c r="EX16" s="188"/>
      <c r="EY16" s="188"/>
      <c r="EZ16" s="188"/>
      <c r="FA16" s="188"/>
      <c r="FB16" s="188"/>
      <c r="FC16" s="188"/>
      <c r="FD16" s="188"/>
      <c r="FE16" s="188"/>
      <c r="FF16" s="188"/>
      <c r="FH16" s="189"/>
      <c r="FI16" s="189"/>
      <c r="FJ16" s="189"/>
      <c r="FK16" s="189"/>
      <c r="FL16" s="189"/>
      <c r="FM16" s="189"/>
      <c r="FN16" s="189"/>
      <c r="FO16" s="189"/>
      <c r="FP16" s="189"/>
      <c r="FQ16" s="189"/>
      <c r="FR16" s="189"/>
      <c r="FS16" s="189"/>
      <c r="FT16" s="189"/>
      <c r="FU16" s="189"/>
      <c r="FV16" s="189"/>
      <c r="FX16" s="217">
        <v>1</v>
      </c>
      <c r="FY16" s="188">
        <f t="shared" si="45"/>
        <v>27</v>
      </c>
      <c r="FZ16" s="188">
        <f t="shared" si="46"/>
        <v>27</v>
      </c>
      <c r="GA16" s="188">
        <f t="shared" si="47"/>
        <v>0</v>
      </c>
      <c r="GB16" s="188">
        <f t="shared" si="48"/>
        <v>0</v>
      </c>
      <c r="GC16" s="188">
        <f t="shared" si="49"/>
        <v>0</v>
      </c>
      <c r="GD16" s="188">
        <f t="shared" si="50"/>
        <v>0</v>
      </c>
      <c r="GE16" s="188">
        <f t="shared" si="51"/>
        <v>0</v>
      </c>
      <c r="GF16" s="199"/>
      <c r="GG16" s="189">
        <v>0</v>
      </c>
      <c r="GH16" s="189">
        <v>0</v>
      </c>
      <c r="GI16" s="199"/>
      <c r="GJ16" s="200">
        <f t="shared" si="52"/>
        <v>0</v>
      </c>
      <c r="GK16" s="200">
        <f t="shared" si="53"/>
        <v>0</v>
      </c>
      <c r="GO16" s="189">
        <f t="shared" si="119"/>
        <v>0</v>
      </c>
      <c r="GP16" s="189">
        <f t="shared" si="120"/>
        <v>0</v>
      </c>
      <c r="GQ16" s="189">
        <f t="shared" si="121"/>
        <v>0</v>
      </c>
      <c r="GR16" s="189">
        <f t="shared" si="122"/>
        <v>0</v>
      </c>
      <c r="GS16" s="189">
        <f t="shared" si="123"/>
        <v>0</v>
      </c>
      <c r="GT16" s="189">
        <f t="shared" si="124"/>
        <v>1</v>
      </c>
      <c r="GU16" s="201">
        <f t="shared" si="125"/>
        <v>43243</v>
      </c>
      <c r="GV16" s="189" t="str">
        <f t="shared" si="126"/>
        <v>SELESAI</v>
      </c>
      <c r="GW16" s="189">
        <f t="shared" si="127"/>
        <v>0</v>
      </c>
      <c r="GX16" s="202" t="str">
        <f t="shared" si="128"/>
        <v>SELESAI</v>
      </c>
      <c r="GY16" s="202">
        <f t="shared" si="129"/>
        <v>0</v>
      </c>
      <c r="GZ16" s="203" t="str">
        <f t="shared" si="130"/>
        <v>SELESAI</v>
      </c>
      <c r="HA16" s="204"/>
      <c r="HB16" s="204"/>
      <c r="HC16" s="189">
        <f t="shared" si="131"/>
        <v>0</v>
      </c>
      <c r="HD16" s="189">
        <f t="shared" si="132"/>
        <v>0</v>
      </c>
      <c r="HE16" s="189">
        <f t="shared" si="133"/>
        <v>0</v>
      </c>
      <c r="HF16" s="189">
        <f t="shared" si="134"/>
        <v>0</v>
      </c>
      <c r="HG16" s="189">
        <f t="shared" si="135"/>
        <v>0</v>
      </c>
      <c r="HH16" s="201" t="str">
        <f t="shared" si="136"/>
        <v>TIDAK KONSINYASI</v>
      </c>
      <c r="HI16" s="201" t="str">
        <f t="shared" si="137"/>
        <v>SELESAI</v>
      </c>
      <c r="HJ16" s="205"/>
      <c r="HK16" s="201">
        <f t="shared" si="138"/>
        <v>0</v>
      </c>
      <c r="HL16" s="204"/>
      <c r="HM16" s="204"/>
      <c r="HN16" s="204"/>
      <c r="HO16" s="204"/>
      <c r="HP16" s="203">
        <f t="shared" si="139"/>
        <v>0</v>
      </c>
      <c r="HQ16" s="202">
        <f t="shared" si="140"/>
        <v>0</v>
      </c>
      <c r="HR16" s="202">
        <f t="shared" si="141"/>
        <v>0</v>
      </c>
      <c r="HS16" s="203">
        <f t="shared" si="142"/>
        <v>0</v>
      </c>
      <c r="HT16" s="202">
        <f t="shared" si="143"/>
        <v>0</v>
      </c>
      <c r="HU16" s="202">
        <f t="shared" si="144"/>
        <v>0</v>
      </c>
      <c r="HV16" s="203">
        <f t="shared" si="145"/>
        <v>0</v>
      </c>
      <c r="HW16" s="202">
        <f t="shared" si="146"/>
        <v>0</v>
      </c>
      <c r="HX16" s="202">
        <f t="shared" si="147"/>
        <v>0</v>
      </c>
      <c r="HY16" s="203">
        <f t="shared" si="148"/>
        <v>0</v>
      </c>
      <c r="HZ16" s="202">
        <f t="shared" si="149"/>
        <v>0</v>
      </c>
      <c r="IA16" s="202">
        <f t="shared" si="150"/>
        <v>0</v>
      </c>
      <c r="IB16" s="203">
        <f t="shared" si="151"/>
        <v>0</v>
      </c>
      <c r="IC16" s="202">
        <f t="shared" si="152"/>
        <v>0</v>
      </c>
      <c r="ID16" s="202">
        <f t="shared" si="153"/>
        <v>0</v>
      </c>
      <c r="IE16" s="203">
        <f t="shared" si="154"/>
        <v>0</v>
      </c>
      <c r="IF16" s="202">
        <f t="shared" si="155"/>
        <v>0</v>
      </c>
      <c r="IG16" s="202">
        <f t="shared" si="156"/>
        <v>0</v>
      </c>
      <c r="IH16" s="203">
        <f t="shared" si="157"/>
        <v>0</v>
      </c>
      <c r="II16" s="202">
        <f t="shared" si="158"/>
        <v>0</v>
      </c>
      <c r="IJ16" s="202">
        <f t="shared" si="159"/>
        <v>0</v>
      </c>
      <c r="IK16" s="203">
        <f t="shared" si="160"/>
        <v>0</v>
      </c>
      <c r="IL16" s="202">
        <f t="shared" si="161"/>
        <v>0</v>
      </c>
      <c r="IM16" s="202">
        <f t="shared" si="162"/>
        <v>0</v>
      </c>
      <c r="IN16" s="204"/>
      <c r="IO16" s="203">
        <f t="shared" si="163"/>
        <v>0</v>
      </c>
      <c r="IP16" s="202">
        <f t="shared" si="164"/>
        <v>0</v>
      </c>
      <c r="IQ16" s="202">
        <f t="shared" si="165"/>
        <v>0</v>
      </c>
      <c r="IR16" s="204"/>
      <c r="IS16" s="203"/>
      <c r="IT16" s="202">
        <f t="shared" si="166"/>
        <v>1</v>
      </c>
      <c r="IU16" s="202">
        <f t="shared" si="167"/>
        <v>111</v>
      </c>
      <c r="IV16" s="204"/>
      <c r="IW16" s="203"/>
      <c r="IX16" s="202">
        <f t="shared" si="168"/>
        <v>0</v>
      </c>
      <c r="IY16" s="202">
        <f t="shared" si="169"/>
        <v>0</v>
      </c>
      <c r="IZ16" s="204"/>
      <c r="JA16" s="203"/>
      <c r="JB16" s="202">
        <f t="shared" si="170"/>
        <v>0</v>
      </c>
      <c r="JC16" s="202">
        <f t="shared" si="171"/>
        <v>0</v>
      </c>
      <c r="JD16" s="204"/>
      <c r="JE16" s="203"/>
      <c r="JF16" s="202">
        <f t="shared" si="172"/>
        <v>1</v>
      </c>
      <c r="JG16" s="202">
        <f t="shared" si="173"/>
        <v>111</v>
      </c>
      <c r="JH16" s="204"/>
      <c r="JI16" s="203"/>
      <c r="JJ16" s="202">
        <f t="shared" si="174"/>
        <v>0</v>
      </c>
      <c r="JK16" s="202">
        <f t="shared" si="175"/>
        <v>0</v>
      </c>
      <c r="JM16" s="203">
        <f t="shared" si="176"/>
        <v>0</v>
      </c>
      <c r="JO16" s="196">
        <f t="shared" si="54"/>
        <v>1</v>
      </c>
      <c r="JP16" s="189">
        <f t="shared" si="55"/>
        <v>27</v>
      </c>
      <c r="JQ16" s="189">
        <f t="shared" si="56"/>
        <v>1</v>
      </c>
      <c r="JR16" s="189">
        <f t="shared" si="57"/>
        <v>0</v>
      </c>
      <c r="JS16" s="189">
        <f t="shared" si="58"/>
        <v>0</v>
      </c>
      <c r="JT16" s="189">
        <f t="shared" si="59"/>
        <v>0</v>
      </c>
      <c r="JU16" s="189">
        <f t="shared" si="60"/>
        <v>0</v>
      </c>
      <c r="JV16" s="189">
        <f t="shared" si="61"/>
        <v>0</v>
      </c>
      <c r="JW16" s="189">
        <f t="shared" si="62"/>
        <v>0</v>
      </c>
      <c r="JX16" s="189">
        <f t="shared" si="63"/>
        <v>0</v>
      </c>
      <c r="JY16" s="189">
        <f t="shared" si="64"/>
        <v>0</v>
      </c>
      <c r="JZ16" s="189">
        <f t="shared" si="65"/>
        <v>0</v>
      </c>
      <c r="KA16" s="189">
        <f t="shared" si="66"/>
        <v>0</v>
      </c>
      <c r="KB16" s="189">
        <f t="shared" si="67"/>
        <v>0</v>
      </c>
      <c r="KD16" s="206">
        <f t="shared" si="177"/>
        <v>0</v>
      </c>
      <c r="KE16" s="206">
        <f t="shared" si="69"/>
        <v>0</v>
      </c>
      <c r="KF16" s="206">
        <f t="shared" si="70"/>
        <v>27</v>
      </c>
      <c r="KG16" s="206">
        <f t="shared" si="71"/>
        <v>27</v>
      </c>
      <c r="KH16" s="206">
        <f t="shared" si="72"/>
        <v>0</v>
      </c>
      <c r="KI16" s="206">
        <f t="shared" si="73"/>
        <v>0</v>
      </c>
      <c r="KJ16" s="206">
        <f t="shared" si="74"/>
        <v>0</v>
      </c>
      <c r="KK16" s="206">
        <f t="shared" si="75"/>
        <v>0</v>
      </c>
      <c r="KL16" s="206">
        <f t="shared" si="76"/>
        <v>0</v>
      </c>
      <c r="KM16" s="206">
        <f t="shared" si="77"/>
        <v>0</v>
      </c>
      <c r="KN16" s="221">
        <f t="shared" si="78"/>
        <v>0</v>
      </c>
      <c r="KO16" s="221">
        <f t="shared" si="79"/>
        <v>0</v>
      </c>
      <c r="KP16" s="221">
        <f t="shared" si="80"/>
        <v>0</v>
      </c>
      <c r="KQ16" s="221">
        <f t="shared" si="81"/>
        <v>0</v>
      </c>
      <c r="KR16" s="221">
        <f t="shared" si="82"/>
        <v>0</v>
      </c>
      <c r="KT16" s="195">
        <f t="shared" si="83"/>
        <v>0</v>
      </c>
      <c r="KU16" s="221"/>
      <c r="KV16" s="221"/>
      <c r="KW16" s="221"/>
      <c r="KX16" s="221"/>
      <c r="KY16" s="221"/>
      <c r="KZ16" s="221"/>
      <c r="LA16" s="221"/>
      <c r="LB16" s="221"/>
      <c r="LC16" s="221"/>
      <c r="LD16" s="221"/>
      <c r="LE16" s="221"/>
      <c r="LF16" s="221"/>
      <c r="LG16" s="221"/>
      <c r="LH16" s="221"/>
      <c r="LI16" s="221"/>
      <c r="LJ16" s="221"/>
      <c r="LK16" s="221"/>
      <c r="LL16" s="221"/>
      <c r="LM16" s="221"/>
      <c r="LN16" s="221"/>
      <c r="LO16" s="221"/>
      <c r="LP16" s="221"/>
      <c r="LQ16" s="221"/>
      <c r="LR16" s="221"/>
      <c r="LS16" s="221"/>
      <c r="LT16" s="221"/>
      <c r="LU16" s="221"/>
      <c r="LV16" s="221"/>
      <c r="LW16" s="221"/>
      <c r="LX16" s="221"/>
      <c r="LY16" s="221"/>
      <c r="LZ16" s="221"/>
      <c r="MA16" s="221"/>
      <c r="MB16" s="221"/>
      <c r="MC16" s="221"/>
      <c r="MD16" s="221"/>
      <c r="ME16" s="221"/>
      <c r="MF16" s="221"/>
      <c r="MG16" s="221"/>
      <c r="MH16" s="221"/>
      <c r="MI16" s="221"/>
      <c r="MJ16" s="221"/>
      <c r="MK16" s="221"/>
      <c r="ML16" s="221"/>
      <c r="MM16" s="221"/>
      <c r="MN16" s="221"/>
      <c r="MO16" s="221"/>
      <c r="MP16" s="221"/>
      <c r="MQ16" s="221"/>
      <c r="MR16" s="221"/>
      <c r="MS16" s="221"/>
      <c r="MT16" s="221"/>
      <c r="MU16" s="221"/>
      <c r="MV16" s="221"/>
      <c r="MW16" s="221"/>
      <c r="MX16" s="221"/>
      <c r="MY16" s="221"/>
      <c r="MZ16" s="221"/>
      <c r="NA16" s="221"/>
      <c r="NB16" s="221"/>
      <c r="NC16" s="221"/>
      <c r="ND16" s="221"/>
      <c r="NE16" s="221"/>
      <c r="NF16" s="221"/>
      <c r="NG16" s="221"/>
      <c r="NH16" s="221"/>
      <c r="NI16" s="221"/>
      <c r="NJ16" s="221"/>
      <c r="NK16" s="221"/>
      <c r="NM16" s="195">
        <f t="shared" si="178"/>
        <v>0</v>
      </c>
      <c r="NN16" s="195">
        <f t="shared" si="179"/>
        <v>0</v>
      </c>
      <c r="NO16" s="195">
        <f t="shared" si="180"/>
        <v>0</v>
      </c>
      <c r="NP16" s="195">
        <f t="shared" si="181"/>
        <v>0</v>
      </c>
      <c r="NQ16" s="195">
        <f t="shared" si="182"/>
        <v>0</v>
      </c>
      <c r="NR16" s="195">
        <f t="shared" si="183"/>
        <v>0</v>
      </c>
      <c r="NS16" s="195">
        <f t="shared" si="184"/>
        <v>0</v>
      </c>
      <c r="NT16" s="195">
        <f t="shared" si="185"/>
        <v>0</v>
      </c>
      <c r="NU16" s="196">
        <f t="shared" si="186"/>
        <v>0</v>
      </c>
      <c r="NY16" s="215">
        <f t="shared" si="187"/>
        <v>1</v>
      </c>
      <c r="NZ16" s="222">
        <v>12250000</v>
      </c>
      <c r="OE16" s="207">
        <f t="shared" si="85"/>
        <v>0</v>
      </c>
      <c r="OF16" s="207">
        <f t="shared" si="86"/>
        <v>0</v>
      </c>
      <c r="OG16" s="207">
        <f t="shared" si="87"/>
        <v>0</v>
      </c>
      <c r="OH16" s="207">
        <f t="shared" si="188"/>
        <v>0</v>
      </c>
      <c r="OI16" s="207">
        <f t="shared" si="88"/>
        <v>0</v>
      </c>
      <c r="OJ16" s="199">
        <f t="shared" si="189"/>
        <v>0</v>
      </c>
      <c r="OK16" s="199">
        <f t="shared" si="190"/>
        <v>0</v>
      </c>
      <c r="OL16" s="199">
        <f t="shared" si="191"/>
        <v>0</v>
      </c>
      <c r="OM16" s="199">
        <f t="shared" si="192"/>
        <v>0</v>
      </c>
      <c r="OO16" s="207">
        <f t="shared" si="89"/>
        <v>0</v>
      </c>
      <c r="OP16" s="207">
        <f t="shared" si="90"/>
        <v>0</v>
      </c>
      <c r="OQ16" s="207">
        <f t="shared" si="193"/>
        <v>0</v>
      </c>
      <c r="OR16" s="207">
        <f t="shared" si="194"/>
        <v>0</v>
      </c>
      <c r="OS16" s="207">
        <f t="shared" si="195"/>
        <v>0</v>
      </c>
      <c r="OT16" s="199">
        <f t="shared" si="196"/>
        <v>0</v>
      </c>
      <c r="OU16" s="199">
        <f t="shared" si="197"/>
        <v>0</v>
      </c>
      <c r="OV16" s="199">
        <f t="shared" si="198"/>
        <v>0</v>
      </c>
      <c r="OW16" s="199">
        <f t="shared" si="199"/>
        <v>0</v>
      </c>
      <c r="OZ16" s="208">
        <f t="shared" si="91"/>
        <v>0</v>
      </c>
      <c r="PA16" s="209"/>
      <c r="PB16" s="209"/>
      <c r="PC16" s="209"/>
      <c r="PD16" s="210">
        <f t="shared" si="200"/>
        <v>0</v>
      </c>
      <c r="PE16" s="210"/>
      <c r="PF16" s="210">
        <f t="shared" si="201"/>
        <v>0</v>
      </c>
      <c r="PG16" s="210">
        <f t="shared" si="202"/>
        <v>0</v>
      </c>
      <c r="PH16" s="210">
        <f t="shared" si="92"/>
        <v>0</v>
      </c>
      <c r="PI16" s="210">
        <f t="shared" si="93"/>
        <v>0</v>
      </c>
      <c r="PJ16" s="210">
        <f t="shared" si="94"/>
        <v>0</v>
      </c>
      <c r="PK16" s="210">
        <f t="shared" si="95"/>
        <v>0</v>
      </c>
      <c r="PL16" s="210">
        <f t="shared" si="96"/>
        <v>0</v>
      </c>
      <c r="PM16" s="211"/>
      <c r="PN16" s="211"/>
      <c r="PO16" s="212">
        <f t="shared" si="203"/>
        <v>0</v>
      </c>
      <c r="PP16" s="212">
        <f t="shared" si="204"/>
        <v>0</v>
      </c>
      <c r="PQ16" s="212">
        <f t="shared" si="205"/>
        <v>0</v>
      </c>
      <c r="PR16" s="211"/>
      <c r="PS16" s="211"/>
      <c r="PT16" s="211"/>
      <c r="PU16" s="211"/>
    </row>
    <row r="17" spans="1:437" s="195" customFormat="1" ht="16" x14ac:dyDescent="0.2">
      <c r="A17" s="213">
        <f t="shared" si="206"/>
        <v>8</v>
      </c>
      <c r="B17" s="186" t="s">
        <v>34</v>
      </c>
      <c r="C17" s="186">
        <v>10</v>
      </c>
      <c r="D17" s="188">
        <v>1</v>
      </c>
      <c r="E17" s="188">
        <v>176</v>
      </c>
      <c r="F17" s="188">
        <v>1</v>
      </c>
      <c r="G17" s="188">
        <f t="shared" si="97"/>
        <v>176</v>
      </c>
      <c r="H17" s="214">
        <f t="shared" si="98"/>
        <v>1</v>
      </c>
      <c r="I17" s="214">
        <f t="shared" si="99"/>
        <v>1</v>
      </c>
      <c r="J17" s="188">
        <v>1</v>
      </c>
      <c r="K17" s="188">
        <f t="shared" si="100"/>
        <v>176</v>
      </c>
      <c r="L17" s="214">
        <f t="shared" si="101"/>
        <v>1</v>
      </c>
      <c r="M17" s="214">
        <f t="shared" si="102"/>
        <v>1</v>
      </c>
      <c r="N17" s="188">
        <v>1</v>
      </c>
      <c r="O17" s="188">
        <f t="shared" si="103"/>
        <v>176</v>
      </c>
      <c r="P17" s="214">
        <f t="shared" si="104"/>
        <v>1</v>
      </c>
      <c r="Q17" s="214">
        <f t="shared" si="105"/>
        <v>1</v>
      </c>
      <c r="R17" s="188">
        <v>1</v>
      </c>
      <c r="S17" s="188">
        <f t="shared" si="106"/>
        <v>176</v>
      </c>
      <c r="T17" s="214">
        <f t="shared" si="107"/>
        <v>1</v>
      </c>
      <c r="U17" s="214">
        <f t="shared" si="108"/>
        <v>1</v>
      </c>
      <c r="V17" s="215">
        <v>1</v>
      </c>
      <c r="W17" s="188">
        <f t="shared" si="109"/>
        <v>176</v>
      </c>
      <c r="X17" s="214">
        <f t="shared" si="110"/>
        <v>1</v>
      </c>
      <c r="Y17" s="214">
        <f t="shared" si="111"/>
        <v>1</v>
      </c>
      <c r="Z17" s="216">
        <f>2783779000/1000000000</f>
        <v>2.783779</v>
      </c>
      <c r="AA17" s="188">
        <v>0</v>
      </c>
      <c r="AB17" s="188">
        <f t="shared" si="112"/>
        <v>0</v>
      </c>
      <c r="AC17" s="214">
        <f t="shared" si="113"/>
        <v>0</v>
      </c>
      <c r="AD17" s="214">
        <f t="shared" si="114"/>
        <v>0</v>
      </c>
      <c r="AE17" s="188"/>
      <c r="AF17" s="188">
        <f t="shared" si="115"/>
        <v>0</v>
      </c>
      <c r="AG17" s="223"/>
      <c r="AH17" s="188"/>
      <c r="AI17" s="188">
        <v>1</v>
      </c>
      <c r="AJ17" s="188">
        <f t="shared" si="2"/>
        <v>176</v>
      </c>
      <c r="AK17" s="188" t="s">
        <v>304</v>
      </c>
      <c r="AL17" s="188">
        <v>0</v>
      </c>
      <c r="AM17" s="188">
        <v>0</v>
      </c>
      <c r="AN17" s="217"/>
      <c r="AO17" s="188">
        <f t="shared" si="207"/>
        <v>1</v>
      </c>
      <c r="AP17" s="188">
        <f t="shared" si="208"/>
        <v>176</v>
      </c>
      <c r="AQ17" s="188">
        <f t="shared" si="5"/>
        <v>1</v>
      </c>
      <c r="AR17" s="188">
        <f t="shared" si="6"/>
        <v>176</v>
      </c>
      <c r="AS17" s="188">
        <f t="shared" si="7"/>
        <v>1</v>
      </c>
      <c r="AT17" s="188">
        <f t="shared" si="8"/>
        <v>176</v>
      </c>
      <c r="AU17" s="188">
        <f t="shared" si="209"/>
        <v>1</v>
      </c>
      <c r="AV17" s="188">
        <f t="shared" si="210"/>
        <v>176</v>
      </c>
      <c r="AW17" s="188">
        <f t="shared" si="211"/>
        <v>1</v>
      </c>
      <c r="AX17" s="188">
        <f t="shared" si="212"/>
        <v>176</v>
      </c>
      <c r="AY17" s="188">
        <f t="shared" si="116"/>
        <v>0</v>
      </c>
      <c r="AZ17" s="188">
        <f t="shared" si="117"/>
        <v>0</v>
      </c>
      <c r="BA17" s="188">
        <f t="shared" si="14"/>
        <v>2.783779</v>
      </c>
      <c r="BB17" s="188">
        <f t="shared" si="15"/>
        <v>0</v>
      </c>
      <c r="BD17" s="196">
        <f t="shared" si="118"/>
        <v>0</v>
      </c>
      <c r="BE17" s="188">
        <f t="shared" si="16"/>
        <v>0</v>
      </c>
      <c r="BF17" s="188">
        <f t="shared" si="17"/>
        <v>0</v>
      </c>
      <c r="BG17" s="188">
        <f t="shared" si="18"/>
        <v>0</v>
      </c>
      <c r="BH17" s="188">
        <f t="shared" si="19"/>
        <v>0</v>
      </c>
      <c r="BI17" s="188">
        <f t="shared" si="20"/>
        <v>0</v>
      </c>
      <c r="BJ17" s="188">
        <f t="shared" si="21"/>
        <v>0</v>
      </c>
      <c r="BK17" s="188">
        <f t="shared" si="22"/>
        <v>0</v>
      </c>
      <c r="BN17" s="277">
        <v>10</v>
      </c>
      <c r="BO17" s="139">
        <v>1</v>
      </c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B17" s="188"/>
      <c r="CD17" s="188">
        <f t="shared" si="23"/>
        <v>10</v>
      </c>
      <c r="CE17" s="188">
        <f t="shared" si="24"/>
        <v>10</v>
      </c>
      <c r="CF17" s="188">
        <f t="shared" si="25"/>
        <v>0</v>
      </c>
      <c r="CG17" s="188">
        <f t="shared" si="26"/>
        <v>0</v>
      </c>
      <c r="CH17" s="188">
        <f t="shared" si="27"/>
        <v>0</v>
      </c>
      <c r="CI17" s="188">
        <f t="shared" si="28"/>
        <v>0</v>
      </c>
      <c r="CJ17" s="188">
        <f t="shared" si="29"/>
        <v>0</v>
      </c>
      <c r="CK17" s="188">
        <f t="shared" si="30"/>
        <v>0</v>
      </c>
      <c r="CL17" s="188">
        <f t="shared" si="31"/>
        <v>0</v>
      </c>
      <c r="CM17" s="188">
        <f t="shared" si="32"/>
        <v>0</v>
      </c>
      <c r="CN17" s="188">
        <f t="shared" si="33"/>
        <v>0</v>
      </c>
      <c r="CO17" s="188">
        <f t="shared" si="34"/>
        <v>0</v>
      </c>
      <c r="CP17" s="188">
        <f t="shared" si="35"/>
        <v>0</v>
      </c>
      <c r="DV17" s="188">
        <f t="shared" si="36"/>
        <v>0</v>
      </c>
      <c r="DW17" s="188">
        <f t="shared" si="37"/>
        <v>0</v>
      </c>
      <c r="DX17" s="188">
        <f t="shared" si="38"/>
        <v>0</v>
      </c>
      <c r="DY17" s="188">
        <f t="shared" si="39"/>
        <v>0</v>
      </c>
      <c r="DZ17" s="188">
        <f t="shared" si="40"/>
        <v>0</v>
      </c>
      <c r="EA17" s="188">
        <f t="shared" si="41"/>
        <v>0</v>
      </c>
      <c r="EB17" s="188">
        <f t="shared" si="42"/>
        <v>0</v>
      </c>
      <c r="EG17" s="220">
        <f t="shared" si="43"/>
        <v>0</v>
      </c>
      <c r="EH17" s="220">
        <f t="shared" si="44"/>
        <v>0</v>
      </c>
      <c r="EI17" s="188"/>
      <c r="EJ17" s="188"/>
      <c r="EK17" s="188"/>
      <c r="EL17" s="188"/>
      <c r="EM17" s="188"/>
      <c r="EN17" s="188"/>
      <c r="EO17" s="188"/>
      <c r="EP17" s="188"/>
      <c r="EQ17" s="188"/>
      <c r="ER17" s="188"/>
      <c r="ES17" s="188"/>
      <c r="ET17" s="188"/>
      <c r="EU17" s="188"/>
      <c r="EV17" s="188"/>
      <c r="EW17" s="188"/>
      <c r="EX17" s="188"/>
      <c r="EY17" s="188"/>
      <c r="EZ17" s="188"/>
      <c r="FA17" s="188"/>
      <c r="FB17" s="188"/>
      <c r="FC17" s="188"/>
      <c r="FD17" s="188"/>
      <c r="FE17" s="188"/>
      <c r="FF17" s="188"/>
      <c r="FH17" s="189"/>
      <c r="FI17" s="189"/>
      <c r="FJ17" s="189"/>
      <c r="FK17" s="189"/>
      <c r="FL17" s="189"/>
      <c r="FM17" s="189"/>
      <c r="FN17" s="189"/>
      <c r="FO17" s="189"/>
      <c r="FP17" s="189"/>
      <c r="FQ17" s="189"/>
      <c r="FR17" s="189"/>
      <c r="FS17" s="189"/>
      <c r="FT17" s="189"/>
      <c r="FU17" s="189"/>
      <c r="FV17" s="189"/>
      <c r="FX17" s="217">
        <v>1</v>
      </c>
      <c r="FY17" s="188">
        <f t="shared" si="45"/>
        <v>10</v>
      </c>
      <c r="FZ17" s="188">
        <f t="shared" si="46"/>
        <v>10</v>
      </c>
      <c r="GA17" s="188">
        <f t="shared" si="47"/>
        <v>0</v>
      </c>
      <c r="GB17" s="188">
        <f t="shared" si="48"/>
        <v>0</v>
      </c>
      <c r="GC17" s="188">
        <f t="shared" si="49"/>
        <v>0</v>
      </c>
      <c r="GD17" s="188">
        <f t="shared" si="50"/>
        <v>0</v>
      </c>
      <c r="GE17" s="188">
        <f t="shared" si="51"/>
        <v>0</v>
      </c>
      <c r="GF17" s="199"/>
      <c r="GG17" s="189">
        <v>0</v>
      </c>
      <c r="GH17" s="189">
        <v>0</v>
      </c>
      <c r="GI17" s="199"/>
      <c r="GJ17" s="200">
        <f t="shared" si="52"/>
        <v>0</v>
      </c>
      <c r="GK17" s="200">
        <f t="shared" si="53"/>
        <v>0</v>
      </c>
      <c r="GO17" s="189">
        <f t="shared" si="119"/>
        <v>0</v>
      </c>
      <c r="GP17" s="189">
        <f t="shared" si="120"/>
        <v>0</v>
      </c>
      <c r="GQ17" s="189">
        <f t="shared" si="121"/>
        <v>0</v>
      </c>
      <c r="GR17" s="189">
        <f t="shared" si="122"/>
        <v>0</v>
      </c>
      <c r="GS17" s="189">
        <f t="shared" si="123"/>
        <v>0</v>
      </c>
      <c r="GT17" s="189">
        <f t="shared" si="124"/>
        <v>1</v>
      </c>
      <c r="GU17" s="201">
        <f t="shared" si="125"/>
        <v>43243</v>
      </c>
      <c r="GV17" s="189" t="str">
        <f t="shared" si="126"/>
        <v>SELESAI</v>
      </c>
      <c r="GW17" s="189">
        <f t="shared" si="127"/>
        <v>0</v>
      </c>
      <c r="GX17" s="202" t="str">
        <f t="shared" si="128"/>
        <v>SELESAI</v>
      </c>
      <c r="GY17" s="202">
        <f t="shared" si="129"/>
        <v>0</v>
      </c>
      <c r="GZ17" s="203" t="str">
        <f t="shared" si="130"/>
        <v>SELESAI</v>
      </c>
      <c r="HA17" s="204"/>
      <c r="HB17" s="204"/>
      <c r="HC17" s="189">
        <f t="shared" si="131"/>
        <v>0</v>
      </c>
      <c r="HD17" s="189">
        <f t="shared" si="132"/>
        <v>0</v>
      </c>
      <c r="HE17" s="189">
        <f t="shared" si="133"/>
        <v>0</v>
      </c>
      <c r="HF17" s="189">
        <f t="shared" si="134"/>
        <v>0</v>
      </c>
      <c r="HG17" s="189">
        <f t="shared" si="135"/>
        <v>0</v>
      </c>
      <c r="HH17" s="201" t="str">
        <f t="shared" si="136"/>
        <v>TIDAK KONSINYASI</v>
      </c>
      <c r="HI17" s="201" t="str">
        <f t="shared" si="137"/>
        <v>SELESAI</v>
      </c>
      <c r="HJ17" s="205"/>
      <c r="HK17" s="201">
        <f t="shared" si="138"/>
        <v>0</v>
      </c>
      <c r="HL17" s="204"/>
      <c r="HM17" s="204"/>
      <c r="HN17" s="204"/>
      <c r="HO17" s="204"/>
      <c r="HP17" s="203">
        <f t="shared" si="139"/>
        <v>0</v>
      </c>
      <c r="HQ17" s="202">
        <f t="shared" si="140"/>
        <v>0</v>
      </c>
      <c r="HR17" s="202">
        <f t="shared" si="141"/>
        <v>0</v>
      </c>
      <c r="HS17" s="203">
        <f t="shared" si="142"/>
        <v>0</v>
      </c>
      <c r="HT17" s="202">
        <f t="shared" si="143"/>
        <v>0</v>
      </c>
      <c r="HU17" s="202">
        <f t="shared" si="144"/>
        <v>0</v>
      </c>
      <c r="HV17" s="203">
        <f t="shared" si="145"/>
        <v>0</v>
      </c>
      <c r="HW17" s="202">
        <f t="shared" si="146"/>
        <v>0</v>
      </c>
      <c r="HX17" s="202">
        <f t="shared" si="147"/>
        <v>0</v>
      </c>
      <c r="HY17" s="203">
        <f t="shared" si="148"/>
        <v>0</v>
      </c>
      <c r="HZ17" s="202">
        <f t="shared" si="149"/>
        <v>0</v>
      </c>
      <c r="IA17" s="202">
        <f t="shared" si="150"/>
        <v>0</v>
      </c>
      <c r="IB17" s="203">
        <f t="shared" si="151"/>
        <v>0</v>
      </c>
      <c r="IC17" s="202">
        <f t="shared" si="152"/>
        <v>0</v>
      </c>
      <c r="ID17" s="202">
        <f t="shared" si="153"/>
        <v>0</v>
      </c>
      <c r="IE17" s="203">
        <f t="shared" si="154"/>
        <v>0</v>
      </c>
      <c r="IF17" s="202">
        <f t="shared" si="155"/>
        <v>0</v>
      </c>
      <c r="IG17" s="202">
        <f t="shared" si="156"/>
        <v>0</v>
      </c>
      <c r="IH17" s="203">
        <f t="shared" si="157"/>
        <v>0</v>
      </c>
      <c r="II17" s="202">
        <f t="shared" si="158"/>
        <v>0</v>
      </c>
      <c r="IJ17" s="202">
        <f t="shared" si="159"/>
        <v>0</v>
      </c>
      <c r="IK17" s="203">
        <f t="shared" si="160"/>
        <v>0</v>
      </c>
      <c r="IL17" s="202">
        <f t="shared" si="161"/>
        <v>0</v>
      </c>
      <c r="IM17" s="202">
        <f t="shared" si="162"/>
        <v>0</v>
      </c>
      <c r="IN17" s="204"/>
      <c r="IO17" s="203">
        <f t="shared" si="163"/>
        <v>0</v>
      </c>
      <c r="IP17" s="202">
        <f t="shared" si="164"/>
        <v>0</v>
      </c>
      <c r="IQ17" s="202">
        <f t="shared" si="165"/>
        <v>0</v>
      </c>
      <c r="IR17" s="204"/>
      <c r="IS17" s="203"/>
      <c r="IT17" s="202">
        <f t="shared" si="166"/>
        <v>1</v>
      </c>
      <c r="IU17" s="202">
        <f t="shared" si="167"/>
        <v>176</v>
      </c>
      <c r="IV17" s="204"/>
      <c r="IW17" s="203"/>
      <c r="IX17" s="202">
        <f t="shared" si="168"/>
        <v>0</v>
      </c>
      <c r="IY17" s="202">
        <f t="shared" si="169"/>
        <v>0</v>
      </c>
      <c r="IZ17" s="204"/>
      <c r="JA17" s="203"/>
      <c r="JB17" s="202">
        <f t="shared" si="170"/>
        <v>0</v>
      </c>
      <c r="JC17" s="202">
        <f t="shared" si="171"/>
        <v>0</v>
      </c>
      <c r="JD17" s="204"/>
      <c r="JE17" s="203"/>
      <c r="JF17" s="202">
        <f t="shared" si="172"/>
        <v>1</v>
      </c>
      <c r="JG17" s="202">
        <f t="shared" si="173"/>
        <v>176</v>
      </c>
      <c r="JH17" s="204"/>
      <c r="JI17" s="203"/>
      <c r="JJ17" s="202">
        <f t="shared" si="174"/>
        <v>0</v>
      </c>
      <c r="JK17" s="202">
        <f t="shared" si="175"/>
        <v>0</v>
      </c>
      <c r="JM17" s="203">
        <f t="shared" si="176"/>
        <v>0</v>
      </c>
      <c r="JO17" s="196">
        <f t="shared" si="54"/>
        <v>1</v>
      </c>
      <c r="JP17" s="189">
        <f t="shared" si="55"/>
        <v>10</v>
      </c>
      <c r="JQ17" s="189">
        <f t="shared" si="56"/>
        <v>1</v>
      </c>
      <c r="JR17" s="189">
        <f t="shared" si="57"/>
        <v>0</v>
      </c>
      <c r="JS17" s="189">
        <f t="shared" si="58"/>
        <v>0</v>
      </c>
      <c r="JT17" s="189">
        <f t="shared" si="59"/>
        <v>0</v>
      </c>
      <c r="JU17" s="189">
        <f t="shared" si="60"/>
        <v>0</v>
      </c>
      <c r="JV17" s="189">
        <f t="shared" si="61"/>
        <v>0</v>
      </c>
      <c r="JW17" s="189">
        <f t="shared" si="62"/>
        <v>0</v>
      </c>
      <c r="JX17" s="189">
        <f t="shared" si="63"/>
        <v>0</v>
      </c>
      <c r="JY17" s="189">
        <f t="shared" si="64"/>
        <v>0</v>
      </c>
      <c r="JZ17" s="189">
        <f t="shared" si="65"/>
        <v>0</v>
      </c>
      <c r="KA17" s="189">
        <f t="shared" si="66"/>
        <v>0</v>
      </c>
      <c r="KB17" s="189">
        <f t="shared" si="67"/>
        <v>0</v>
      </c>
      <c r="KD17" s="206">
        <f t="shared" si="177"/>
        <v>0</v>
      </c>
      <c r="KE17" s="206">
        <f t="shared" si="69"/>
        <v>0</v>
      </c>
      <c r="KF17" s="206">
        <f t="shared" si="70"/>
        <v>10</v>
      </c>
      <c r="KG17" s="206">
        <f t="shared" si="71"/>
        <v>10</v>
      </c>
      <c r="KH17" s="206">
        <f t="shared" si="72"/>
        <v>0</v>
      </c>
      <c r="KI17" s="206">
        <f t="shared" si="73"/>
        <v>0</v>
      </c>
      <c r="KJ17" s="206">
        <f t="shared" si="74"/>
        <v>0</v>
      </c>
      <c r="KK17" s="206">
        <f t="shared" si="75"/>
        <v>0</v>
      </c>
      <c r="KL17" s="206">
        <f t="shared" si="76"/>
        <v>0</v>
      </c>
      <c r="KM17" s="206">
        <f t="shared" si="77"/>
        <v>0</v>
      </c>
      <c r="KN17" s="221">
        <f t="shared" si="78"/>
        <v>0</v>
      </c>
      <c r="KO17" s="221">
        <f t="shared" si="79"/>
        <v>0</v>
      </c>
      <c r="KP17" s="221">
        <f t="shared" si="80"/>
        <v>0</v>
      </c>
      <c r="KQ17" s="221">
        <f t="shared" si="81"/>
        <v>0</v>
      </c>
      <c r="KR17" s="221">
        <f t="shared" si="82"/>
        <v>0</v>
      </c>
      <c r="KT17" s="195">
        <f t="shared" si="83"/>
        <v>0</v>
      </c>
      <c r="KU17" s="221"/>
      <c r="KV17" s="221"/>
      <c r="KW17" s="221"/>
      <c r="KX17" s="221"/>
      <c r="KY17" s="221"/>
      <c r="KZ17" s="221"/>
      <c r="LA17" s="221"/>
      <c r="LB17" s="221"/>
      <c r="LC17" s="221"/>
      <c r="LD17" s="221"/>
      <c r="LE17" s="221"/>
      <c r="LF17" s="221"/>
      <c r="LG17" s="221"/>
      <c r="LH17" s="221"/>
      <c r="LI17" s="221"/>
      <c r="LJ17" s="221"/>
      <c r="LK17" s="221"/>
      <c r="LL17" s="221"/>
      <c r="LM17" s="221"/>
      <c r="LN17" s="221"/>
      <c r="LO17" s="221"/>
      <c r="LP17" s="221"/>
      <c r="LQ17" s="221"/>
      <c r="LR17" s="221"/>
      <c r="LS17" s="221"/>
      <c r="LT17" s="221"/>
      <c r="LU17" s="221"/>
      <c r="LV17" s="221"/>
      <c r="LW17" s="221"/>
      <c r="LX17" s="221"/>
      <c r="LY17" s="221"/>
      <c r="LZ17" s="221"/>
      <c r="MA17" s="221"/>
      <c r="MB17" s="221"/>
      <c r="MC17" s="221"/>
      <c r="MD17" s="221"/>
      <c r="ME17" s="221"/>
      <c r="MF17" s="221"/>
      <c r="MG17" s="221"/>
      <c r="MH17" s="221"/>
      <c r="MI17" s="221"/>
      <c r="MJ17" s="221"/>
      <c r="MK17" s="221"/>
      <c r="ML17" s="221"/>
      <c r="MM17" s="221"/>
      <c r="MN17" s="221"/>
      <c r="MO17" s="221"/>
      <c r="MP17" s="221"/>
      <c r="MQ17" s="221"/>
      <c r="MR17" s="221"/>
      <c r="MS17" s="221"/>
      <c r="MT17" s="221"/>
      <c r="MU17" s="221"/>
      <c r="MV17" s="221"/>
      <c r="MW17" s="221"/>
      <c r="MX17" s="221"/>
      <c r="MY17" s="221"/>
      <c r="MZ17" s="221"/>
      <c r="NA17" s="221"/>
      <c r="NB17" s="221"/>
      <c r="NC17" s="221"/>
      <c r="ND17" s="221"/>
      <c r="NE17" s="221"/>
      <c r="NF17" s="221"/>
      <c r="NG17" s="221"/>
      <c r="NH17" s="221"/>
      <c r="NI17" s="221"/>
      <c r="NJ17" s="221"/>
      <c r="NK17" s="221"/>
      <c r="NM17" s="195">
        <f t="shared" si="178"/>
        <v>0</v>
      </c>
      <c r="NN17" s="195">
        <f t="shared" si="179"/>
        <v>0</v>
      </c>
      <c r="NO17" s="195">
        <f t="shared" si="180"/>
        <v>0</v>
      </c>
      <c r="NP17" s="195">
        <f t="shared" si="181"/>
        <v>0</v>
      </c>
      <c r="NQ17" s="195">
        <f t="shared" si="182"/>
        <v>0</v>
      </c>
      <c r="NR17" s="195">
        <f t="shared" si="183"/>
        <v>0</v>
      </c>
      <c r="NS17" s="195">
        <f t="shared" si="184"/>
        <v>0</v>
      </c>
      <c r="NT17" s="195">
        <f t="shared" si="185"/>
        <v>0</v>
      </c>
      <c r="NU17" s="196">
        <f t="shared" si="186"/>
        <v>0</v>
      </c>
      <c r="NY17" s="215">
        <f t="shared" si="187"/>
        <v>1</v>
      </c>
      <c r="NZ17" s="222">
        <v>12250000</v>
      </c>
      <c r="OE17" s="207">
        <f t="shared" si="85"/>
        <v>0</v>
      </c>
      <c r="OF17" s="207">
        <f t="shared" si="86"/>
        <v>0</v>
      </c>
      <c r="OG17" s="207">
        <f t="shared" si="87"/>
        <v>0</v>
      </c>
      <c r="OH17" s="207">
        <f t="shared" si="188"/>
        <v>0</v>
      </c>
      <c r="OI17" s="207">
        <f t="shared" si="88"/>
        <v>0</v>
      </c>
      <c r="OJ17" s="199">
        <f t="shared" si="189"/>
        <v>0</v>
      </c>
      <c r="OK17" s="199">
        <f t="shared" si="190"/>
        <v>0</v>
      </c>
      <c r="OL17" s="199">
        <f t="shared" si="191"/>
        <v>0</v>
      </c>
      <c r="OM17" s="199">
        <f t="shared" si="192"/>
        <v>0</v>
      </c>
      <c r="OO17" s="207">
        <f t="shared" si="89"/>
        <v>0</v>
      </c>
      <c r="OP17" s="207">
        <f t="shared" si="90"/>
        <v>0</v>
      </c>
      <c r="OQ17" s="207">
        <f t="shared" si="193"/>
        <v>0</v>
      </c>
      <c r="OR17" s="207">
        <f t="shared" si="194"/>
        <v>0</v>
      </c>
      <c r="OS17" s="207">
        <f t="shared" si="195"/>
        <v>0</v>
      </c>
      <c r="OT17" s="199">
        <f t="shared" si="196"/>
        <v>0</v>
      </c>
      <c r="OU17" s="199">
        <f t="shared" si="197"/>
        <v>0</v>
      </c>
      <c r="OV17" s="199">
        <f t="shared" si="198"/>
        <v>0</v>
      </c>
      <c r="OW17" s="199">
        <f t="shared" si="199"/>
        <v>0</v>
      </c>
      <c r="OZ17" s="208">
        <f t="shared" si="91"/>
        <v>0</v>
      </c>
      <c r="PA17" s="209"/>
      <c r="PB17" s="209"/>
      <c r="PC17" s="209"/>
      <c r="PD17" s="210">
        <f t="shared" si="200"/>
        <v>0</v>
      </c>
      <c r="PE17" s="210"/>
      <c r="PF17" s="210">
        <f t="shared" si="201"/>
        <v>0</v>
      </c>
      <c r="PG17" s="210">
        <f t="shared" si="202"/>
        <v>0</v>
      </c>
      <c r="PH17" s="210">
        <f t="shared" si="92"/>
        <v>0</v>
      </c>
      <c r="PI17" s="210">
        <f t="shared" si="93"/>
        <v>0</v>
      </c>
      <c r="PJ17" s="210">
        <f t="shared" si="94"/>
        <v>0</v>
      </c>
      <c r="PK17" s="210">
        <f t="shared" si="95"/>
        <v>0</v>
      </c>
      <c r="PL17" s="210">
        <f t="shared" si="96"/>
        <v>0</v>
      </c>
      <c r="PM17" s="211"/>
      <c r="PN17" s="211"/>
      <c r="PO17" s="212">
        <f t="shared" si="203"/>
        <v>0</v>
      </c>
      <c r="PP17" s="212">
        <f t="shared" si="204"/>
        <v>0</v>
      </c>
      <c r="PQ17" s="212">
        <f t="shared" si="205"/>
        <v>0</v>
      </c>
      <c r="PR17" s="211"/>
      <c r="PS17" s="211"/>
      <c r="PT17" s="211"/>
      <c r="PU17" s="211"/>
    </row>
    <row r="18" spans="1:437" s="195" customFormat="1" ht="16" x14ac:dyDescent="0.2">
      <c r="A18" s="213">
        <f t="shared" si="206"/>
        <v>9</v>
      </c>
      <c r="B18" s="186" t="s">
        <v>35</v>
      </c>
      <c r="C18" s="186">
        <v>11</v>
      </c>
      <c r="D18" s="188">
        <v>1</v>
      </c>
      <c r="E18" s="188">
        <v>185</v>
      </c>
      <c r="F18" s="188">
        <v>1</v>
      </c>
      <c r="G18" s="188">
        <f t="shared" si="97"/>
        <v>185</v>
      </c>
      <c r="H18" s="214">
        <f t="shared" si="98"/>
        <v>1</v>
      </c>
      <c r="I18" s="214">
        <f t="shared" si="99"/>
        <v>1</v>
      </c>
      <c r="J18" s="188">
        <v>1</v>
      </c>
      <c r="K18" s="188">
        <f t="shared" si="100"/>
        <v>185</v>
      </c>
      <c r="L18" s="214">
        <f t="shared" si="101"/>
        <v>1</v>
      </c>
      <c r="M18" s="214">
        <f t="shared" si="102"/>
        <v>1</v>
      </c>
      <c r="N18" s="188">
        <v>1</v>
      </c>
      <c r="O18" s="188">
        <f t="shared" si="103"/>
        <v>185</v>
      </c>
      <c r="P18" s="214">
        <f t="shared" si="104"/>
        <v>1</v>
      </c>
      <c r="Q18" s="214">
        <f t="shared" si="105"/>
        <v>1</v>
      </c>
      <c r="R18" s="188">
        <v>1</v>
      </c>
      <c r="S18" s="188">
        <f t="shared" si="106"/>
        <v>185</v>
      </c>
      <c r="T18" s="214">
        <f t="shared" si="107"/>
        <v>1</v>
      </c>
      <c r="U18" s="214">
        <f t="shared" si="108"/>
        <v>1</v>
      </c>
      <c r="V18" s="215">
        <v>1</v>
      </c>
      <c r="W18" s="188">
        <f t="shared" si="109"/>
        <v>185</v>
      </c>
      <c r="X18" s="214">
        <f t="shared" si="110"/>
        <v>1</v>
      </c>
      <c r="Y18" s="214">
        <f t="shared" si="111"/>
        <v>1</v>
      </c>
      <c r="Z18" s="216">
        <f>3643769000/1000000000</f>
        <v>3.6437689999999998</v>
      </c>
      <c r="AA18" s="188">
        <v>0</v>
      </c>
      <c r="AB18" s="188">
        <f t="shared" si="112"/>
        <v>0</v>
      </c>
      <c r="AC18" s="214">
        <f t="shared" si="113"/>
        <v>0</v>
      </c>
      <c r="AD18" s="214">
        <f t="shared" si="114"/>
        <v>0</v>
      </c>
      <c r="AE18" s="188"/>
      <c r="AF18" s="188">
        <f t="shared" si="115"/>
        <v>0</v>
      </c>
      <c r="AG18" s="223"/>
      <c r="AH18" s="188"/>
      <c r="AI18" s="188">
        <v>1</v>
      </c>
      <c r="AJ18" s="188">
        <f t="shared" si="2"/>
        <v>185</v>
      </c>
      <c r="AK18" s="188" t="s">
        <v>304</v>
      </c>
      <c r="AL18" s="188">
        <v>0</v>
      </c>
      <c r="AM18" s="188">
        <v>0</v>
      </c>
      <c r="AN18" s="217"/>
      <c r="AO18" s="188">
        <f t="shared" si="207"/>
        <v>1</v>
      </c>
      <c r="AP18" s="188">
        <f t="shared" si="208"/>
        <v>185</v>
      </c>
      <c r="AQ18" s="188">
        <f t="shared" si="5"/>
        <v>1</v>
      </c>
      <c r="AR18" s="188">
        <f t="shared" si="6"/>
        <v>185</v>
      </c>
      <c r="AS18" s="188">
        <f t="shared" si="7"/>
        <v>1</v>
      </c>
      <c r="AT18" s="188">
        <f t="shared" si="8"/>
        <v>185</v>
      </c>
      <c r="AU18" s="188">
        <f t="shared" si="209"/>
        <v>1</v>
      </c>
      <c r="AV18" s="188">
        <f t="shared" si="210"/>
        <v>185</v>
      </c>
      <c r="AW18" s="188">
        <f t="shared" si="211"/>
        <v>1</v>
      </c>
      <c r="AX18" s="188">
        <f t="shared" si="212"/>
        <v>185</v>
      </c>
      <c r="AY18" s="188">
        <f t="shared" si="116"/>
        <v>0</v>
      </c>
      <c r="AZ18" s="188">
        <f t="shared" si="117"/>
        <v>0</v>
      </c>
      <c r="BA18" s="188">
        <f t="shared" si="14"/>
        <v>3.6437689999999998</v>
      </c>
      <c r="BB18" s="188">
        <f t="shared" si="15"/>
        <v>0</v>
      </c>
      <c r="BD18" s="196">
        <f t="shared" si="118"/>
        <v>0</v>
      </c>
      <c r="BE18" s="188">
        <f t="shared" si="16"/>
        <v>0</v>
      </c>
      <c r="BF18" s="188">
        <f t="shared" si="17"/>
        <v>0</v>
      </c>
      <c r="BG18" s="188">
        <f t="shared" si="18"/>
        <v>0</v>
      </c>
      <c r="BH18" s="188">
        <f t="shared" si="19"/>
        <v>0</v>
      </c>
      <c r="BI18" s="188">
        <f t="shared" si="20"/>
        <v>0</v>
      </c>
      <c r="BJ18" s="188">
        <f t="shared" si="21"/>
        <v>0</v>
      </c>
      <c r="BK18" s="188">
        <f t="shared" si="22"/>
        <v>0</v>
      </c>
      <c r="BN18" s="277">
        <v>34</v>
      </c>
      <c r="BO18" s="139">
        <v>1</v>
      </c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B18" s="188"/>
      <c r="CD18" s="188">
        <f t="shared" si="23"/>
        <v>34</v>
      </c>
      <c r="CE18" s="188">
        <f t="shared" si="24"/>
        <v>34</v>
      </c>
      <c r="CF18" s="188">
        <f t="shared" si="25"/>
        <v>0</v>
      </c>
      <c r="CG18" s="188">
        <f t="shared" si="26"/>
        <v>0</v>
      </c>
      <c r="CH18" s="188">
        <f t="shared" si="27"/>
        <v>0</v>
      </c>
      <c r="CI18" s="188">
        <f t="shared" si="28"/>
        <v>0</v>
      </c>
      <c r="CJ18" s="188">
        <f t="shared" si="29"/>
        <v>0</v>
      </c>
      <c r="CK18" s="188">
        <f t="shared" si="30"/>
        <v>0</v>
      </c>
      <c r="CL18" s="188">
        <f t="shared" si="31"/>
        <v>0</v>
      </c>
      <c r="CM18" s="188">
        <f t="shared" si="32"/>
        <v>0</v>
      </c>
      <c r="CN18" s="188">
        <f t="shared" si="33"/>
        <v>0</v>
      </c>
      <c r="CO18" s="188">
        <f t="shared" si="34"/>
        <v>0</v>
      </c>
      <c r="CP18" s="188">
        <f t="shared" si="35"/>
        <v>0</v>
      </c>
      <c r="DV18" s="188">
        <f t="shared" si="36"/>
        <v>0</v>
      </c>
      <c r="DW18" s="188">
        <f t="shared" si="37"/>
        <v>0</v>
      </c>
      <c r="DX18" s="188">
        <f t="shared" si="38"/>
        <v>0</v>
      </c>
      <c r="DY18" s="188">
        <f t="shared" si="39"/>
        <v>0</v>
      </c>
      <c r="DZ18" s="188">
        <f t="shared" si="40"/>
        <v>0</v>
      </c>
      <c r="EA18" s="188">
        <f t="shared" si="41"/>
        <v>0</v>
      </c>
      <c r="EB18" s="188">
        <f t="shared" si="42"/>
        <v>0</v>
      </c>
      <c r="EG18" s="220">
        <f t="shared" si="43"/>
        <v>0</v>
      </c>
      <c r="EH18" s="220">
        <f t="shared" si="44"/>
        <v>0</v>
      </c>
      <c r="EI18" s="188"/>
      <c r="EJ18" s="188"/>
      <c r="EK18" s="188"/>
      <c r="EL18" s="188"/>
      <c r="EM18" s="188"/>
      <c r="EN18" s="188"/>
      <c r="EO18" s="188"/>
      <c r="EP18" s="188"/>
      <c r="EQ18" s="188"/>
      <c r="ER18" s="188"/>
      <c r="ES18" s="188"/>
      <c r="ET18" s="188"/>
      <c r="EU18" s="188"/>
      <c r="EV18" s="188"/>
      <c r="EW18" s="188"/>
      <c r="EX18" s="188"/>
      <c r="EY18" s="188"/>
      <c r="EZ18" s="188"/>
      <c r="FA18" s="188"/>
      <c r="FB18" s="188"/>
      <c r="FC18" s="188"/>
      <c r="FD18" s="188"/>
      <c r="FE18" s="188"/>
      <c r="FF18" s="188"/>
      <c r="FH18" s="189"/>
      <c r="FI18" s="189"/>
      <c r="FJ18" s="189"/>
      <c r="FK18" s="189"/>
      <c r="FL18" s="189"/>
      <c r="FM18" s="189"/>
      <c r="FN18" s="189"/>
      <c r="FO18" s="189"/>
      <c r="FP18" s="189"/>
      <c r="FQ18" s="189"/>
      <c r="FR18" s="189"/>
      <c r="FS18" s="189"/>
      <c r="FT18" s="189"/>
      <c r="FU18" s="189"/>
      <c r="FV18" s="189"/>
      <c r="FX18" s="217">
        <v>1</v>
      </c>
      <c r="FY18" s="188">
        <f t="shared" si="45"/>
        <v>34</v>
      </c>
      <c r="FZ18" s="188">
        <f t="shared" si="46"/>
        <v>34</v>
      </c>
      <c r="GA18" s="188">
        <f t="shared" si="47"/>
        <v>0</v>
      </c>
      <c r="GB18" s="188">
        <f t="shared" si="48"/>
        <v>0</v>
      </c>
      <c r="GC18" s="188">
        <f t="shared" si="49"/>
        <v>0</v>
      </c>
      <c r="GD18" s="188">
        <f t="shared" si="50"/>
        <v>0</v>
      </c>
      <c r="GE18" s="188">
        <f t="shared" si="51"/>
        <v>0</v>
      </c>
      <c r="GF18" s="199"/>
      <c r="GG18" s="189">
        <v>0</v>
      </c>
      <c r="GH18" s="189">
        <v>0</v>
      </c>
      <c r="GI18" s="199"/>
      <c r="GJ18" s="200">
        <f t="shared" si="52"/>
        <v>0</v>
      </c>
      <c r="GK18" s="200">
        <f t="shared" si="53"/>
        <v>0</v>
      </c>
      <c r="GO18" s="189">
        <f t="shared" si="119"/>
        <v>0</v>
      </c>
      <c r="GP18" s="189">
        <f t="shared" si="120"/>
        <v>0</v>
      </c>
      <c r="GQ18" s="189">
        <f t="shared" si="121"/>
        <v>0</v>
      </c>
      <c r="GR18" s="189">
        <f t="shared" si="122"/>
        <v>0</v>
      </c>
      <c r="GS18" s="189">
        <f t="shared" si="123"/>
        <v>0</v>
      </c>
      <c r="GT18" s="189">
        <f t="shared" si="124"/>
        <v>1</v>
      </c>
      <c r="GU18" s="201">
        <f t="shared" si="125"/>
        <v>43243</v>
      </c>
      <c r="GV18" s="189" t="str">
        <f t="shared" si="126"/>
        <v>SELESAI</v>
      </c>
      <c r="GW18" s="189">
        <f t="shared" si="127"/>
        <v>0</v>
      </c>
      <c r="GX18" s="202" t="str">
        <f t="shared" si="128"/>
        <v>SELESAI</v>
      </c>
      <c r="GY18" s="202">
        <f t="shared" si="129"/>
        <v>0</v>
      </c>
      <c r="GZ18" s="203" t="str">
        <f t="shared" si="130"/>
        <v>SELESAI</v>
      </c>
      <c r="HA18" s="204"/>
      <c r="HB18" s="204"/>
      <c r="HC18" s="189">
        <f t="shared" si="131"/>
        <v>0</v>
      </c>
      <c r="HD18" s="189">
        <f t="shared" si="132"/>
        <v>0</v>
      </c>
      <c r="HE18" s="189">
        <f t="shared" si="133"/>
        <v>0</v>
      </c>
      <c r="HF18" s="189">
        <f t="shared" si="134"/>
        <v>0</v>
      </c>
      <c r="HG18" s="189">
        <f t="shared" si="135"/>
        <v>0</v>
      </c>
      <c r="HH18" s="201" t="str">
        <f t="shared" si="136"/>
        <v>TIDAK KONSINYASI</v>
      </c>
      <c r="HI18" s="201" t="str">
        <f t="shared" si="137"/>
        <v>SELESAI</v>
      </c>
      <c r="HJ18" s="205"/>
      <c r="HK18" s="201">
        <f t="shared" si="138"/>
        <v>0</v>
      </c>
      <c r="HL18" s="204"/>
      <c r="HM18" s="204"/>
      <c r="HN18" s="204"/>
      <c r="HO18" s="204"/>
      <c r="HP18" s="203">
        <f t="shared" si="139"/>
        <v>0</v>
      </c>
      <c r="HQ18" s="202">
        <f t="shared" si="140"/>
        <v>0</v>
      </c>
      <c r="HR18" s="202">
        <f t="shared" si="141"/>
        <v>0</v>
      </c>
      <c r="HS18" s="203">
        <f t="shared" si="142"/>
        <v>0</v>
      </c>
      <c r="HT18" s="202">
        <f t="shared" si="143"/>
        <v>0</v>
      </c>
      <c r="HU18" s="202">
        <f t="shared" si="144"/>
        <v>0</v>
      </c>
      <c r="HV18" s="203">
        <f t="shared" si="145"/>
        <v>0</v>
      </c>
      <c r="HW18" s="202">
        <f t="shared" si="146"/>
        <v>0</v>
      </c>
      <c r="HX18" s="202">
        <f t="shared" si="147"/>
        <v>0</v>
      </c>
      <c r="HY18" s="203">
        <f t="shared" si="148"/>
        <v>0</v>
      </c>
      <c r="HZ18" s="202">
        <f t="shared" si="149"/>
        <v>0</v>
      </c>
      <c r="IA18" s="202">
        <f t="shared" si="150"/>
        <v>0</v>
      </c>
      <c r="IB18" s="203">
        <f t="shared" si="151"/>
        <v>0</v>
      </c>
      <c r="IC18" s="202">
        <f t="shared" si="152"/>
        <v>0</v>
      </c>
      <c r="ID18" s="202">
        <f t="shared" si="153"/>
        <v>0</v>
      </c>
      <c r="IE18" s="203">
        <f t="shared" si="154"/>
        <v>0</v>
      </c>
      <c r="IF18" s="202">
        <f t="shared" si="155"/>
        <v>0</v>
      </c>
      <c r="IG18" s="202">
        <f t="shared" si="156"/>
        <v>0</v>
      </c>
      <c r="IH18" s="203">
        <f t="shared" si="157"/>
        <v>0</v>
      </c>
      <c r="II18" s="202">
        <f t="shared" si="158"/>
        <v>0</v>
      </c>
      <c r="IJ18" s="202">
        <f t="shared" si="159"/>
        <v>0</v>
      </c>
      <c r="IK18" s="203">
        <f t="shared" si="160"/>
        <v>0</v>
      </c>
      <c r="IL18" s="202">
        <f t="shared" si="161"/>
        <v>0</v>
      </c>
      <c r="IM18" s="202">
        <f t="shared" si="162"/>
        <v>0</v>
      </c>
      <c r="IN18" s="204"/>
      <c r="IO18" s="203">
        <f t="shared" si="163"/>
        <v>0</v>
      </c>
      <c r="IP18" s="202">
        <f t="shared" si="164"/>
        <v>0</v>
      </c>
      <c r="IQ18" s="202">
        <f t="shared" si="165"/>
        <v>0</v>
      </c>
      <c r="IR18" s="204"/>
      <c r="IS18" s="203"/>
      <c r="IT18" s="202">
        <f t="shared" si="166"/>
        <v>1</v>
      </c>
      <c r="IU18" s="202">
        <f t="shared" si="167"/>
        <v>185</v>
      </c>
      <c r="IV18" s="204"/>
      <c r="IW18" s="203"/>
      <c r="IX18" s="202">
        <f t="shared" si="168"/>
        <v>0</v>
      </c>
      <c r="IY18" s="202">
        <f t="shared" si="169"/>
        <v>0</v>
      </c>
      <c r="IZ18" s="204"/>
      <c r="JA18" s="203"/>
      <c r="JB18" s="202">
        <f t="shared" si="170"/>
        <v>0</v>
      </c>
      <c r="JC18" s="202">
        <f t="shared" si="171"/>
        <v>0</v>
      </c>
      <c r="JD18" s="204"/>
      <c r="JE18" s="203"/>
      <c r="JF18" s="202">
        <f t="shared" si="172"/>
        <v>1</v>
      </c>
      <c r="JG18" s="202">
        <f t="shared" si="173"/>
        <v>185</v>
      </c>
      <c r="JH18" s="204"/>
      <c r="JI18" s="203"/>
      <c r="JJ18" s="202">
        <f t="shared" si="174"/>
        <v>0</v>
      </c>
      <c r="JK18" s="202">
        <f t="shared" si="175"/>
        <v>0</v>
      </c>
      <c r="JM18" s="203">
        <f t="shared" si="176"/>
        <v>0</v>
      </c>
      <c r="JO18" s="196">
        <f t="shared" si="54"/>
        <v>1</v>
      </c>
      <c r="JP18" s="189">
        <f t="shared" si="55"/>
        <v>34</v>
      </c>
      <c r="JQ18" s="189">
        <f t="shared" si="56"/>
        <v>1</v>
      </c>
      <c r="JR18" s="189">
        <f t="shared" si="57"/>
        <v>0</v>
      </c>
      <c r="JS18" s="189">
        <f t="shared" si="58"/>
        <v>0</v>
      </c>
      <c r="JT18" s="189">
        <f t="shared" si="59"/>
        <v>0</v>
      </c>
      <c r="JU18" s="189">
        <f t="shared" si="60"/>
        <v>0</v>
      </c>
      <c r="JV18" s="189">
        <f t="shared" si="61"/>
        <v>0</v>
      </c>
      <c r="JW18" s="189">
        <f t="shared" si="62"/>
        <v>0</v>
      </c>
      <c r="JX18" s="189">
        <f t="shared" si="63"/>
        <v>0</v>
      </c>
      <c r="JY18" s="189">
        <f t="shared" si="64"/>
        <v>0</v>
      </c>
      <c r="JZ18" s="189">
        <f t="shared" si="65"/>
        <v>0</v>
      </c>
      <c r="KA18" s="189">
        <f t="shared" si="66"/>
        <v>0</v>
      </c>
      <c r="KB18" s="189">
        <f t="shared" si="67"/>
        <v>0</v>
      </c>
      <c r="KD18" s="206">
        <f t="shared" si="177"/>
        <v>0</v>
      </c>
      <c r="KE18" s="206">
        <f t="shared" si="69"/>
        <v>0</v>
      </c>
      <c r="KF18" s="206">
        <f t="shared" si="70"/>
        <v>34</v>
      </c>
      <c r="KG18" s="206">
        <f t="shared" si="71"/>
        <v>34</v>
      </c>
      <c r="KH18" s="206">
        <f t="shared" si="72"/>
        <v>0</v>
      </c>
      <c r="KI18" s="206">
        <f t="shared" si="73"/>
        <v>0</v>
      </c>
      <c r="KJ18" s="206">
        <f t="shared" si="74"/>
        <v>0</v>
      </c>
      <c r="KK18" s="206">
        <f t="shared" si="75"/>
        <v>0</v>
      </c>
      <c r="KL18" s="206">
        <f t="shared" si="76"/>
        <v>0</v>
      </c>
      <c r="KM18" s="206">
        <f t="shared" si="77"/>
        <v>0</v>
      </c>
      <c r="KN18" s="221">
        <f t="shared" si="78"/>
        <v>0</v>
      </c>
      <c r="KO18" s="221">
        <f t="shared" si="79"/>
        <v>0</v>
      </c>
      <c r="KP18" s="221">
        <f t="shared" si="80"/>
        <v>0</v>
      </c>
      <c r="KQ18" s="221">
        <f t="shared" si="81"/>
        <v>0</v>
      </c>
      <c r="KR18" s="221">
        <f t="shared" si="82"/>
        <v>0</v>
      </c>
      <c r="KT18" s="195">
        <f t="shared" si="83"/>
        <v>0</v>
      </c>
      <c r="KU18" s="221"/>
      <c r="KV18" s="221"/>
      <c r="KW18" s="221"/>
      <c r="KX18" s="221"/>
      <c r="KY18" s="221"/>
      <c r="KZ18" s="221"/>
      <c r="LA18" s="221"/>
      <c r="LB18" s="221"/>
      <c r="LC18" s="221"/>
      <c r="LD18" s="221"/>
      <c r="LE18" s="221"/>
      <c r="LF18" s="221"/>
      <c r="LG18" s="221"/>
      <c r="LH18" s="221"/>
      <c r="LI18" s="221"/>
      <c r="LJ18" s="221"/>
      <c r="LK18" s="221"/>
      <c r="LL18" s="221"/>
      <c r="LM18" s="221"/>
      <c r="LN18" s="221"/>
      <c r="LO18" s="221"/>
      <c r="LP18" s="221"/>
      <c r="LQ18" s="221"/>
      <c r="LR18" s="221"/>
      <c r="LS18" s="221"/>
      <c r="LT18" s="221"/>
      <c r="LU18" s="221"/>
      <c r="LV18" s="221"/>
      <c r="LW18" s="221"/>
      <c r="LX18" s="221"/>
      <c r="LY18" s="221"/>
      <c r="LZ18" s="221"/>
      <c r="MA18" s="221"/>
      <c r="MB18" s="221"/>
      <c r="MC18" s="221"/>
      <c r="MD18" s="221"/>
      <c r="ME18" s="221"/>
      <c r="MF18" s="221"/>
      <c r="MG18" s="221"/>
      <c r="MH18" s="221"/>
      <c r="MI18" s="221"/>
      <c r="MJ18" s="221"/>
      <c r="MK18" s="221"/>
      <c r="ML18" s="221"/>
      <c r="MM18" s="221"/>
      <c r="MN18" s="221"/>
      <c r="MO18" s="221"/>
      <c r="MP18" s="221"/>
      <c r="MQ18" s="221"/>
      <c r="MR18" s="221"/>
      <c r="MS18" s="221"/>
      <c r="MT18" s="221"/>
      <c r="MU18" s="221"/>
      <c r="MV18" s="221"/>
      <c r="MW18" s="221"/>
      <c r="MX18" s="221"/>
      <c r="MY18" s="221"/>
      <c r="MZ18" s="221"/>
      <c r="NA18" s="221"/>
      <c r="NB18" s="221"/>
      <c r="NC18" s="221"/>
      <c r="ND18" s="221"/>
      <c r="NE18" s="221"/>
      <c r="NF18" s="221"/>
      <c r="NG18" s="221"/>
      <c r="NH18" s="221"/>
      <c r="NI18" s="221"/>
      <c r="NJ18" s="221"/>
      <c r="NK18" s="221"/>
      <c r="NM18" s="195">
        <f t="shared" si="178"/>
        <v>0</v>
      </c>
      <c r="NN18" s="195">
        <f t="shared" si="179"/>
        <v>0</v>
      </c>
      <c r="NO18" s="195">
        <f t="shared" si="180"/>
        <v>0</v>
      </c>
      <c r="NP18" s="195">
        <f t="shared" si="181"/>
        <v>0</v>
      </c>
      <c r="NQ18" s="195">
        <f t="shared" si="182"/>
        <v>0</v>
      </c>
      <c r="NR18" s="195">
        <f t="shared" si="183"/>
        <v>0</v>
      </c>
      <c r="NS18" s="195">
        <f t="shared" si="184"/>
        <v>0</v>
      </c>
      <c r="NT18" s="195">
        <f t="shared" si="185"/>
        <v>0</v>
      </c>
      <c r="NU18" s="196">
        <f t="shared" si="186"/>
        <v>0</v>
      </c>
      <c r="NY18" s="215">
        <f t="shared" si="187"/>
        <v>1</v>
      </c>
      <c r="NZ18" s="222">
        <v>12250000</v>
      </c>
      <c r="OE18" s="207">
        <f t="shared" si="85"/>
        <v>0</v>
      </c>
      <c r="OF18" s="207">
        <f t="shared" si="86"/>
        <v>0</v>
      </c>
      <c r="OG18" s="207">
        <f t="shared" si="87"/>
        <v>0</v>
      </c>
      <c r="OH18" s="207">
        <f t="shared" si="188"/>
        <v>0</v>
      </c>
      <c r="OI18" s="207">
        <f t="shared" si="88"/>
        <v>0</v>
      </c>
      <c r="OJ18" s="199">
        <f t="shared" si="189"/>
        <v>0</v>
      </c>
      <c r="OK18" s="199">
        <f t="shared" si="190"/>
        <v>0</v>
      </c>
      <c r="OL18" s="199">
        <f t="shared" si="191"/>
        <v>0</v>
      </c>
      <c r="OM18" s="199">
        <f t="shared" si="192"/>
        <v>0</v>
      </c>
      <c r="OO18" s="207">
        <f t="shared" si="89"/>
        <v>0</v>
      </c>
      <c r="OP18" s="207">
        <f t="shared" si="90"/>
        <v>0</v>
      </c>
      <c r="OQ18" s="207">
        <f t="shared" si="193"/>
        <v>0</v>
      </c>
      <c r="OR18" s="207">
        <f t="shared" si="194"/>
        <v>0</v>
      </c>
      <c r="OS18" s="207">
        <f t="shared" si="195"/>
        <v>0</v>
      </c>
      <c r="OT18" s="199">
        <f t="shared" si="196"/>
        <v>0</v>
      </c>
      <c r="OU18" s="199">
        <f t="shared" si="197"/>
        <v>0</v>
      </c>
      <c r="OV18" s="199">
        <f t="shared" si="198"/>
        <v>0</v>
      </c>
      <c r="OW18" s="199">
        <f t="shared" si="199"/>
        <v>0</v>
      </c>
      <c r="OZ18" s="208">
        <f t="shared" si="91"/>
        <v>0</v>
      </c>
      <c r="PA18" s="209"/>
      <c r="PB18" s="209"/>
      <c r="PC18" s="209"/>
      <c r="PD18" s="210">
        <f t="shared" si="200"/>
        <v>0</v>
      </c>
      <c r="PE18" s="210"/>
      <c r="PF18" s="210">
        <f t="shared" si="201"/>
        <v>0</v>
      </c>
      <c r="PG18" s="210">
        <f t="shared" si="202"/>
        <v>0</v>
      </c>
      <c r="PH18" s="210">
        <f t="shared" si="92"/>
        <v>0</v>
      </c>
      <c r="PI18" s="210">
        <f t="shared" si="93"/>
        <v>0</v>
      </c>
      <c r="PJ18" s="210">
        <f t="shared" si="94"/>
        <v>0</v>
      </c>
      <c r="PK18" s="210">
        <f t="shared" si="95"/>
        <v>0</v>
      </c>
      <c r="PL18" s="210">
        <f t="shared" si="96"/>
        <v>0</v>
      </c>
      <c r="PM18" s="211"/>
      <c r="PN18" s="211"/>
      <c r="PO18" s="212">
        <f t="shared" si="203"/>
        <v>0</v>
      </c>
      <c r="PP18" s="212">
        <f t="shared" si="204"/>
        <v>0</v>
      </c>
      <c r="PQ18" s="212">
        <f t="shared" si="205"/>
        <v>0</v>
      </c>
      <c r="PR18" s="211"/>
      <c r="PS18" s="211"/>
      <c r="PT18" s="211"/>
      <c r="PU18" s="211"/>
    </row>
    <row r="19" spans="1:437" s="195" customFormat="1" ht="16" x14ac:dyDescent="0.2">
      <c r="A19" s="213">
        <f t="shared" si="206"/>
        <v>10</v>
      </c>
      <c r="B19" s="186" t="s">
        <v>36</v>
      </c>
      <c r="C19" s="186">
        <v>12</v>
      </c>
      <c r="D19" s="188">
        <v>1</v>
      </c>
      <c r="E19" s="188">
        <v>82</v>
      </c>
      <c r="F19" s="188">
        <v>1</v>
      </c>
      <c r="G19" s="188">
        <f t="shared" si="97"/>
        <v>82</v>
      </c>
      <c r="H19" s="214">
        <f t="shared" si="98"/>
        <v>1</v>
      </c>
      <c r="I19" s="214">
        <f t="shared" si="99"/>
        <v>1</v>
      </c>
      <c r="J19" s="188">
        <v>1</v>
      </c>
      <c r="K19" s="188">
        <f t="shared" si="100"/>
        <v>82</v>
      </c>
      <c r="L19" s="214">
        <f t="shared" si="101"/>
        <v>1</v>
      </c>
      <c r="M19" s="214">
        <f t="shared" si="102"/>
        <v>1</v>
      </c>
      <c r="N19" s="188">
        <v>1</v>
      </c>
      <c r="O19" s="188">
        <f t="shared" si="103"/>
        <v>82</v>
      </c>
      <c r="P19" s="214">
        <f t="shared" si="104"/>
        <v>1</v>
      </c>
      <c r="Q19" s="214">
        <f t="shared" si="105"/>
        <v>1</v>
      </c>
      <c r="R19" s="188">
        <v>1</v>
      </c>
      <c r="S19" s="188">
        <f t="shared" si="106"/>
        <v>82</v>
      </c>
      <c r="T19" s="214">
        <f t="shared" si="107"/>
        <v>1</v>
      </c>
      <c r="U19" s="214">
        <f t="shared" si="108"/>
        <v>1</v>
      </c>
      <c r="V19" s="215">
        <v>1</v>
      </c>
      <c r="W19" s="188">
        <f t="shared" si="109"/>
        <v>82</v>
      </c>
      <c r="X19" s="214">
        <f t="shared" si="110"/>
        <v>1</v>
      </c>
      <c r="Y19" s="214">
        <f t="shared" si="111"/>
        <v>1</v>
      </c>
      <c r="Z19" s="216">
        <f>1383409000/1000000000</f>
        <v>1.3834090000000001</v>
      </c>
      <c r="AA19" s="188">
        <v>0</v>
      </c>
      <c r="AB19" s="188">
        <f t="shared" si="112"/>
        <v>0</v>
      </c>
      <c r="AC19" s="214">
        <f t="shared" si="113"/>
        <v>0</v>
      </c>
      <c r="AD19" s="214">
        <f t="shared" si="114"/>
        <v>0</v>
      </c>
      <c r="AE19" s="188"/>
      <c r="AF19" s="188">
        <f t="shared" si="115"/>
        <v>0</v>
      </c>
      <c r="AG19" s="187"/>
      <c r="AH19" s="187" t="s">
        <v>314</v>
      </c>
      <c r="AI19" s="188">
        <v>1</v>
      </c>
      <c r="AJ19" s="188">
        <f t="shared" si="2"/>
        <v>82</v>
      </c>
      <c r="AK19" s="188" t="s">
        <v>304</v>
      </c>
      <c r="AL19" s="188">
        <v>0</v>
      </c>
      <c r="AM19" s="188">
        <v>0</v>
      </c>
      <c r="AN19" s="217"/>
      <c r="AO19" s="188">
        <f t="shared" si="207"/>
        <v>1</v>
      </c>
      <c r="AP19" s="188">
        <f t="shared" si="208"/>
        <v>82</v>
      </c>
      <c r="AQ19" s="188">
        <f t="shared" si="5"/>
        <v>1</v>
      </c>
      <c r="AR19" s="188">
        <f t="shared" si="6"/>
        <v>82</v>
      </c>
      <c r="AS19" s="188">
        <f t="shared" si="7"/>
        <v>1</v>
      </c>
      <c r="AT19" s="188">
        <f t="shared" si="8"/>
        <v>82</v>
      </c>
      <c r="AU19" s="188">
        <f t="shared" si="209"/>
        <v>1</v>
      </c>
      <c r="AV19" s="188">
        <f t="shared" si="210"/>
        <v>82</v>
      </c>
      <c r="AW19" s="188">
        <f t="shared" si="211"/>
        <v>1</v>
      </c>
      <c r="AX19" s="188">
        <f t="shared" si="212"/>
        <v>82</v>
      </c>
      <c r="AY19" s="188">
        <f t="shared" si="116"/>
        <v>0</v>
      </c>
      <c r="AZ19" s="188">
        <f t="shared" si="117"/>
        <v>0</v>
      </c>
      <c r="BA19" s="188">
        <f t="shared" si="14"/>
        <v>1.3834090000000001</v>
      </c>
      <c r="BB19" s="188">
        <f t="shared" si="15"/>
        <v>0</v>
      </c>
      <c r="BD19" s="196">
        <f t="shared" si="118"/>
        <v>0</v>
      </c>
      <c r="BE19" s="188">
        <f t="shared" si="16"/>
        <v>0</v>
      </c>
      <c r="BF19" s="188">
        <f t="shared" si="17"/>
        <v>0</v>
      </c>
      <c r="BG19" s="188">
        <f t="shared" si="18"/>
        <v>0</v>
      </c>
      <c r="BH19" s="188">
        <f t="shared" si="19"/>
        <v>0</v>
      </c>
      <c r="BI19" s="188">
        <f t="shared" si="20"/>
        <v>0</v>
      </c>
      <c r="BJ19" s="188">
        <f t="shared" si="21"/>
        <v>0</v>
      </c>
      <c r="BK19" s="188">
        <f t="shared" si="22"/>
        <v>0</v>
      </c>
      <c r="BN19" s="277">
        <v>2</v>
      </c>
      <c r="BO19" s="139">
        <v>1</v>
      </c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B19" s="188"/>
      <c r="CD19" s="188">
        <f t="shared" si="23"/>
        <v>2</v>
      </c>
      <c r="CE19" s="188">
        <f t="shared" si="24"/>
        <v>2</v>
      </c>
      <c r="CF19" s="188">
        <f t="shared" si="25"/>
        <v>0</v>
      </c>
      <c r="CG19" s="188">
        <f t="shared" si="26"/>
        <v>0</v>
      </c>
      <c r="CH19" s="188">
        <f t="shared" si="27"/>
        <v>0</v>
      </c>
      <c r="CI19" s="188">
        <f t="shared" si="28"/>
        <v>0</v>
      </c>
      <c r="CJ19" s="188">
        <f t="shared" si="29"/>
        <v>0</v>
      </c>
      <c r="CK19" s="188">
        <f t="shared" si="30"/>
        <v>0</v>
      </c>
      <c r="CL19" s="188">
        <f t="shared" si="31"/>
        <v>0</v>
      </c>
      <c r="CM19" s="188">
        <f t="shared" si="32"/>
        <v>0</v>
      </c>
      <c r="CN19" s="188">
        <f t="shared" si="33"/>
        <v>0</v>
      </c>
      <c r="CO19" s="188">
        <f t="shared" si="34"/>
        <v>0</v>
      </c>
      <c r="CP19" s="188">
        <f t="shared" si="35"/>
        <v>0</v>
      </c>
      <c r="DV19" s="188">
        <f t="shared" si="36"/>
        <v>0</v>
      </c>
      <c r="DW19" s="188">
        <f t="shared" si="37"/>
        <v>0</v>
      </c>
      <c r="DX19" s="188">
        <f t="shared" si="38"/>
        <v>0</v>
      </c>
      <c r="DY19" s="188">
        <f t="shared" si="39"/>
        <v>0</v>
      </c>
      <c r="DZ19" s="188">
        <f t="shared" si="40"/>
        <v>0</v>
      </c>
      <c r="EA19" s="188">
        <f t="shared" si="41"/>
        <v>0</v>
      </c>
      <c r="EB19" s="188">
        <f t="shared" si="42"/>
        <v>0</v>
      </c>
      <c r="EG19" s="220">
        <f t="shared" si="43"/>
        <v>0</v>
      </c>
      <c r="EH19" s="220">
        <f t="shared" si="44"/>
        <v>0</v>
      </c>
      <c r="EI19" s="188"/>
      <c r="EJ19" s="188"/>
      <c r="EK19" s="188"/>
      <c r="EL19" s="188"/>
      <c r="EM19" s="188"/>
      <c r="EN19" s="188"/>
      <c r="EO19" s="188"/>
      <c r="EP19" s="188"/>
      <c r="EQ19" s="188"/>
      <c r="ER19" s="188"/>
      <c r="ES19" s="188"/>
      <c r="ET19" s="188"/>
      <c r="EU19" s="188"/>
      <c r="EV19" s="188"/>
      <c r="EW19" s="188"/>
      <c r="EX19" s="188"/>
      <c r="EY19" s="188"/>
      <c r="EZ19" s="188"/>
      <c r="FA19" s="188"/>
      <c r="FB19" s="188"/>
      <c r="FC19" s="188"/>
      <c r="FD19" s="188"/>
      <c r="FE19" s="188"/>
      <c r="FF19" s="188"/>
      <c r="FH19" s="189"/>
      <c r="FI19" s="189"/>
      <c r="FJ19" s="189"/>
      <c r="FK19" s="189"/>
      <c r="FL19" s="189"/>
      <c r="FM19" s="189"/>
      <c r="FN19" s="189"/>
      <c r="FO19" s="189"/>
      <c r="FP19" s="189"/>
      <c r="FQ19" s="189"/>
      <c r="FR19" s="189"/>
      <c r="FS19" s="189"/>
      <c r="FT19" s="189"/>
      <c r="FU19" s="189"/>
      <c r="FV19" s="189"/>
      <c r="FX19" s="217">
        <v>1</v>
      </c>
      <c r="FY19" s="188">
        <f t="shared" si="45"/>
        <v>2</v>
      </c>
      <c r="FZ19" s="188">
        <f t="shared" si="46"/>
        <v>2</v>
      </c>
      <c r="GA19" s="188">
        <f t="shared" si="47"/>
        <v>0</v>
      </c>
      <c r="GB19" s="188">
        <f t="shared" si="48"/>
        <v>0</v>
      </c>
      <c r="GC19" s="188">
        <f t="shared" si="49"/>
        <v>0</v>
      </c>
      <c r="GD19" s="188">
        <f t="shared" si="50"/>
        <v>0</v>
      </c>
      <c r="GE19" s="188">
        <f t="shared" si="51"/>
        <v>0</v>
      </c>
      <c r="GF19" s="199"/>
      <c r="GG19" s="189">
        <v>0</v>
      </c>
      <c r="GH19" s="189">
        <v>0</v>
      </c>
      <c r="GI19" s="199"/>
      <c r="GJ19" s="200">
        <f t="shared" si="52"/>
        <v>0</v>
      </c>
      <c r="GK19" s="200">
        <f t="shared" si="53"/>
        <v>0</v>
      </c>
      <c r="GO19" s="189">
        <f t="shared" si="119"/>
        <v>0</v>
      </c>
      <c r="GP19" s="189">
        <f t="shared" si="120"/>
        <v>0</v>
      </c>
      <c r="GQ19" s="189">
        <f t="shared" si="121"/>
        <v>0</v>
      </c>
      <c r="GR19" s="189">
        <f t="shared" si="122"/>
        <v>0</v>
      </c>
      <c r="GS19" s="189">
        <f t="shared" si="123"/>
        <v>0</v>
      </c>
      <c r="GT19" s="189">
        <f t="shared" si="124"/>
        <v>1</v>
      </c>
      <c r="GU19" s="201">
        <f t="shared" si="125"/>
        <v>43243</v>
      </c>
      <c r="GV19" s="189" t="str">
        <f t="shared" si="126"/>
        <v>SELESAI</v>
      </c>
      <c r="GW19" s="189">
        <f t="shared" si="127"/>
        <v>0</v>
      </c>
      <c r="GX19" s="202" t="str">
        <f t="shared" si="128"/>
        <v>SELESAI</v>
      </c>
      <c r="GY19" s="202">
        <f t="shared" si="129"/>
        <v>0</v>
      </c>
      <c r="GZ19" s="203" t="str">
        <f t="shared" si="130"/>
        <v>SELESAI</v>
      </c>
      <c r="HA19" s="204"/>
      <c r="HB19" s="204"/>
      <c r="HC19" s="189">
        <f t="shared" si="131"/>
        <v>0</v>
      </c>
      <c r="HD19" s="189">
        <f t="shared" si="132"/>
        <v>0</v>
      </c>
      <c r="HE19" s="189">
        <f t="shared" si="133"/>
        <v>0</v>
      </c>
      <c r="HF19" s="189">
        <f t="shared" si="134"/>
        <v>0</v>
      </c>
      <c r="HG19" s="189">
        <f t="shared" si="135"/>
        <v>0</v>
      </c>
      <c r="HH19" s="201" t="str">
        <f t="shared" si="136"/>
        <v>TIDAK KONSINYASI</v>
      </c>
      <c r="HI19" s="201" t="str">
        <f t="shared" si="137"/>
        <v>SELESAI</v>
      </c>
      <c r="HJ19" s="205"/>
      <c r="HK19" s="201">
        <f t="shared" si="138"/>
        <v>0</v>
      </c>
      <c r="HL19" s="204"/>
      <c r="HM19" s="204"/>
      <c r="HN19" s="204"/>
      <c r="HO19" s="204"/>
      <c r="HP19" s="203">
        <f t="shared" si="139"/>
        <v>0</v>
      </c>
      <c r="HQ19" s="202">
        <f t="shared" si="140"/>
        <v>0</v>
      </c>
      <c r="HR19" s="202">
        <f t="shared" si="141"/>
        <v>0</v>
      </c>
      <c r="HS19" s="203">
        <f t="shared" si="142"/>
        <v>0</v>
      </c>
      <c r="HT19" s="202">
        <f t="shared" si="143"/>
        <v>0</v>
      </c>
      <c r="HU19" s="202">
        <f t="shared" si="144"/>
        <v>0</v>
      </c>
      <c r="HV19" s="203">
        <f t="shared" si="145"/>
        <v>0</v>
      </c>
      <c r="HW19" s="202">
        <f t="shared" si="146"/>
        <v>0</v>
      </c>
      <c r="HX19" s="202">
        <f t="shared" si="147"/>
        <v>0</v>
      </c>
      <c r="HY19" s="203">
        <f t="shared" si="148"/>
        <v>0</v>
      </c>
      <c r="HZ19" s="202">
        <f t="shared" si="149"/>
        <v>0</v>
      </c>
      <c r="IA19" s="202">
        <f t="shared" si="150"/>
        <v>0</v>
      </c>
      <c r="IB19" s="203">
        <f t="shared" si="151"/>
        <v>0</v>
      </c>
      <c r="IC19" s="202">
        <f t="shared" si="152"/>
        <v>0</v>
      </c>
      <c r="ID19" s="202">
        <f t="shared" si="153"/>
        <v>0</v>
      </c>
      <c r="IE19" s="203">
        <f t="shared" si="154"/>
        <v>0</v>
      </c>
      <c r="IF19" s="202">
        <f t="shared" si="155"/>
        <v>0</v>
      </c>
      <c r="IG19" s="202">
        <f t="shared" si="156"/>
        <v>0</v>
      </c>
      <c r="IH19" s="203">
        <f t="shared" si="157"/>
        <v>0</v>
      </c>
      <c r="II19" s="202">
        <f t="shared" si="158"/>
        <v>0</v>
      </c>
      <c r="IJ19" s="202">
        <f t="shared" si="159"/>
        <v>0</v>
      </c>
      <c r="IK19" s="203">
        <f t="shared" si="160"/>
        <v>0</v>
      </c>
      <c r="IL19" s="202">
        <f t="shared" si="161"/>
        <v>0</v>
      </c>
      <c r="IM19" s="202">
        <f t="shared" si="162"/>
        <v>0</v>
      </c>
      <c r="IN19" s="204"/>
      <c r="IO19" s="203">
        <f t="shared" si="163"/>
        <v>0</v>
      </c>
      <c r="IP19" s="202">
        <f t="shared" si="164"/>
        <v>0</v>
      </c>
      <c r="IQ19" s="202">
        <f t="shared" si="165"/>
        <v>0</v>
      </c>
      <c r="IR19" s="204"/>
      <c r="IS19" s="203"/>
      <c r="IT19" s="202">
        <f t="shared" si="166"/>
        <v>1</v>
      </c>
      <c r="IU19" s="202">
        <f t="shared" si="167"/>
        <v>82</v>
      </c>
      <c r="IV19" s="204"/>
      <c r="IW19" s="203"/>
      <c r="IX19" s="202">
        <f t="shared" si="168"/>
        <v>0</v>
      </c>
      <c r="IY19" s="202">
        <f t="shared" si="169"/>
        <v>0</v>
      </c>
      <c r="IZ19" s="204"/>
      <c r="JA19" s="203"/>
      <c r="JB19" s="202">
        <f t="shared" si="170"/>
        <v>0</v>
      </c>
      <c r="JC19" s="202">
        <f t="shared" si="171"/>
        <v>0</v>
      </c>
      <c r="JD19" s="204"/>
      <c r="JE19" s="203"/>
      <c r="JF19" s="202">
        <f t="shared" si="172"/>
        <v>1</v>
      </c>
      <c r="JG19" s="202">
        <f t="shared" si="173"/>
        <v>82</v>
      </c>
      <c r="JH19" s="204"/>
      <c r="JI19" s="203"/>
      <c r="JJ19" s="202">
        <f t="shared" si="174"/>
        <v>0</v>
      </c>
      <c r="JK19" s="202">
        <f t="shared" si="175"/>
        <v>0</v>
      </c>
      <c r="JM19" s="203">
        <f t="shared" si="176"/>
        <v>0</v>
      </c>
      <c r="JO19" s="196">
        <f t="shared" si="54"/>
        <v>1</v>
      </c>
      <c r="JP19" s="189">
        <f t="shared" si="55"/>
        <v>2</v>
      </c>
      <c r="JQ19" s="189">
        <f t="shared" si="56"/>
        <v>1</v>
      </c>
      <c r="JR19" s="189">
        <f t="shared" si="57"/>
        <v>0</v>
      </c>
      <c r="JS19" s="189">
        <f t="shared" si="58"/>
        <v>0</v>
      </c>
      <c r="JT19" s="189">
        <f t="shared" si="59"/>
        <v>0</v>
      </c>
      <c r="JU19" s="189">
        <f t="shared" si="60"/>
        <v>0</v>
      </c>
      <c r="JV19" s="189">
        <f t="shared" si="61"/>
        <v>0</v>
      </c>
      <c r="JW19" s="189">
        <f t="shared" si="62"/>
        <v>0</v>
      </c>
      <c r="JX19" s="189">
        <f t="shared" si="63"/>
        <v>0</v>
      </c>
      <c r="JY19" s="189">
        <f t="shared" si="64"/>
        <v>0</v>
      </c>
      <c r="JZ19" s="189">
        <f t="shared" si="65"/>
        <v>0</v>
      </c>
      <c r="KA19" s="189">
        <f t="shared" si="66"/>
        <v>0</v>
      </c>
      <c r="KB19" s="189">
        <f t="shared" si="67"/>
        <v>0</v>
      </c>
      <c r="KD19" s="206">
        <f t="shared" si="177"/>
        <v>0</v>
      </c>
      <c r="KE19" s="206">
        <f t="shared" si="69"/>
        <v>0</v>
      </c>
      <c r="KF19" s="206">
        <f t="shared" si="70"/>
        <v>2</v>
      </c>
      <c r="KG19" s="206">
        <f t="shared" si="71"/>
        <v>2</v>
      </c>
      <c r="KH19" s="206">
        <f t="shared" si="72"/>
        <v>0</v>
      </c>
      <c r="KI19" s="206">
        <f t="shared" si="73"/>
        <v>0</v>
      </c>
      <c r="KJ19" s="206">
        <f t="shared" si="74"/>
        <v>0</v>
      </c>
      <c r="KK19" s="206">
        <f t="shared" si="75"/>
        <v>0</v>
      </c>
      <c r="KL19" s="206">
        <f t="shared" si="76"/>
        <v>0</v>
      </c>
      <c r="KM19" s="206">
        <f t="shared" si="77"/>
        <v>0</v>
      </c>
      <c r="KN19" s="221">
        <f t="shared" si="78"/>
        <v>0</v>
      </c>
      <c r="KO19" s="221">
        <f t="shared" si="79"/>
        <v>0</v>
      </c>
      <c r="KP19" s="221">
        <f t="shared" si="80"/>
        <v>0</v>
      </c>
      <c r="KQ19" s="221">
        <f t="shared" si="81"/>
        <v>0</v>
      </c>
      <c r="KR19" s="221">
        <f t="shared" si="82"/>
        <v>0</v>
      </c>
      <c r="KT19" s="195">
        <f t="shared" si="83"/>
        <v>0</v>
      </c>
      <c r="KU19" s="221"/>
      <c r="KV19" s="221"/>
      <c r="KW19" s="221"/>
      <c r="KX19" s="221"/>
      <c r="KY19" s="221"/>
      <c r="KZ19" s="221"/>
      <c r="LA19" s="221"/>
      <c r="LB19" s="221"/>
      <c r="LC19" s="221"/>
      <c r="LD19" s="221"/>
      <c r="LE19" s="221"/>
      <c r="LF19" s="221"/>
      <c r="LG19" s="221"/>
      <c r="LH19" s="221"/>
      <c r="LI19" s="221"/>
      <c r="LJ19" s="221"/>
      <c r="LK19" s="221"/>
      <c r="LL19" s="221"/>
      <c r="LM19" s="221"/>
      <c r="LN19" s="221"/>
      <c r="LO19" s="221"/>
      <c r="LP19" s="221"/>
      <c r="LQ19" s="221"/>
      <c r="LR19" s="221"/>
      <c r="LS19" s="221"/>
      <c r="LT19" s="221"/>
      <c r="LU19" s="221"/>
      <c r="LV19" s="221"/>
      <c r="LW19" s="221"/>
      <c r="LX19" s="221"/>
      <c r="LY19" s="221"/>
      <c r="LZ19" s="221"/>
      <c r="MA19" s="221"/>
      <c r="MB19" s="221"/>
      <c r="MC19" s="221"/>
      <c r="MD19" s="221"/>
      <c r="ME19" s="221"/>
      <c r="MF19" s="221"/>
      <c r="MG19" s="221"/>
      <c r="MH19" s="221"/>
      <c r="MI19" s="221"/>
      <c r="MJ19" s="221"/>
      <c r="MK19" s="221"/>
      <c r="ML19" s="221"/>
      <c r="MM19" s="221"/>
      <c r="MN19" s="221"/>
      <c r="MO19" s="221"/>
      <c r="MP19" s="221"/>
      <c r="MQ19" s="221"/>
      <c r="MR19" s="221"/>
      <c r="MS19" s="221"/>
      <c r="MT19" s="221"/>
      <c r="MU19" s="221"/>
      <c r="MV19" s="221"/>
      <c r="MW19" s="221"/>
      <c r="MX19" s="221"/>
      <c r="MY19" s="221"/>
      <c r="MZ19" s="221"/>
      <c r="NA19" s="221"/>
      <c r="NB19" s="221"/>
      <c r="NC19" s="221"/>
      <c r="ND19" s="221"/>
      <c r="NE19" s="221"/>
      <c r="NF19" s="221"/>
      <c r="NG19" s="221"/>
      <c r="NH19" s="221"/>
      <c r="NI19" s="221"/>
      <c r="NJ19" s="221"/>
      <c r="NK19" s="221"/>
      <c r="NM19" s="195">
        <f t="shared" si="178"/>
        <v>0</v>
      </c>
      <c r="NN19" s="195">
        <f t="shared" si="179"/>
        <v>0</v>
      </c>
      <c r="NO19" s="195">
        <f t="shared" si="180"/>
        <v>0</v>
      </c>
      <c r="NP19" s="195">
        <f t="shared" si="181"/>
        <v>0</v>
      </c>
      <c r="NQ19" s="195">
        <f t="shared" si="182"/>
        <v>0</v>
      </c>
      <c r="NR19" s="195">
        <f t="shared" si="183"/>
        <v>0</v>
      </c>
      <c r="NS19" s="195">
        <f t="shared" si="184"/>
        <v>0</v>
      </c>
      <c r="NT19" s="195">
        <f t="shared" si="185"/>
        <v>0</v>
      </c>
      <c r="NU19" s="196">
        <f t="shared" si="186"/>
        <v>0</v>
      </c>
      <c r="NY19" s="215">
        <f t="shared" si="187"/>
        <v>1</v>
      </c>
      <c r="NZ19" s="222">
        <v>12250000</v>
      </c>
      <c r="OE19" s="207">
        <f t="shared" si="85"/>
        <v>0</v>
      </c>
      <c r="OF19" s="207">
        <f t="shared" si="86"/>
        <v>0</v>
      </c>
      <c r="OG19" s="207">
        <f t="shared" si="87"/>
        <v>0</v>
      </c>
      <c r="OH19" s="207">
        <f t="shared" si="188"/>
        <v>0</v>
      </c>
      <c r="OI19" s="207">
        <f t="shared" si="88"/>
        <v>0</v>
      </c>
      <c r="OJ19" s="199">
        <f t="shared" si="189"/>
        <v>0</v>
      </c>
      <c r="OK19" s="199">
        <f t="shared" si="190"/>
        <v>0</v>
      </c>
      <c r="OL19" s="199">
        <f t="shared" si="191"/>
        <v>0</v>
      </c>
      <c r="OM19" s="199">
        <f t="shared" si="192"/>
        <v>0</v>
      </c>
      <c r="OO19" s="207">
        <f t="shared" si="89"/>
        <v>0</v>
      </c>
      <c r="OP19" s="207">
        <f t="shared" si="90"/>
        <v>0</v>
      </c>
      <c r="OQ19" s="207">
        <f t="shared" si="193"/>
        <v>0</v>
      </c>
      <c r="OR19" s="207">
        <f t="shared" si="194"/>
        <v>0</v>
      </c>
      <c r="OS19" s="207">
        <f t="shared" si="195"/>
        <v>0</v>
      </c>
      <c r="OT19" s="199">
        <f t="shared" si="196"/>
        <v>0</v>
      </c>
      <c r="OU19" s="199">
        <f t="shared" si="197"/>
        <v>0</v>
      </c>
      <c r="OV19" s="199">
        <f t="shared" si="198"/>
        <v>0</v>
      </c>
      <c r="OW19" s="199">
        <f t="shared" si="199"/>
        <v>0</v>
      </c>
      <c r="OZ19" s="208">
        <f t="shared" si="91"/>
        <v>0</v>
      </c>
      <c r="PA19" s="209"/>
      <c r="PB19" s="209"/>
      <c r="PC19" s="209"/>
      <c r="PD19" s="210">
        <f t="shared" si="200"/>
        <v>0</v>
      </c>
      <c r="PE19" s="210"/>
      <c r="PF19" s="210">
        <f t="shared" si="201"/>
        <v>0</v>
      </c>
      <c r="PG19" s="210">
        <f t="shared" si="202"/>
        <v>0</v>
      </c>
      <c r="PH19" s="210">
        <f t="shared" si="92"/>
        <v>0</v>
      </c>
      <c r="PI19" s="210">
        <f t="shared" si="93"/>
        <v>0</v>
      </c>
      <c r="PJ19" s="210">
        <f t="shared" si="94"/>
        <v>0</v>
      </c>
      <c r="PK19" s="210">
        <f t="shared" si="95"/>
        <v>0</v>
      </c>
      <c r="PL19" s="210">
        <f t="shared" si="96"/>
        <v>0</v>
      </c>
      <c r="PM19" s="211"/>
      <c r="PN19" s="211"/>
      <c r="PO19" s="212">
        <f t="shared" si="203"/>
        <v>0</v>
      </c>
      <c r="PP19" s="212">
        <f t="shared" si="204"/>
        <v>0</v>
      </c>
      <c r="PQ19" s="212">
        <f t="shared" si="205"/>
        <v>0</v>
      </c>
      <c r="PR19" s="211"/>
      <c r="PS19" s="211"/>
      <c r="PT19" s="211"/>
      <c r="PU19" s="211"/>
    </row>
    <row r="20" spans="1:437" s="195" customFormat="1" ht="16" x14ac:dyDescent="0.2">
      <c r="A20" s="213">
        <f t="shared" si="206"/>
        <v>11</v>
      </c>
      <c r="B20" s="186" t="s">
        <v>403</v>
      </c>
      <c r="C20" s="186">
        <v>13</v>
      </c>
      <c r="D20" s="188">
        <v>1</v>
      </c>
      <c r="E20" s="188">
        <v>32</v>
      </c>
      <c r="F20" s="188">
        <v>1</v>
      </c>
      <c r="G20" s="188">
        <f t="shared" si="97"/>
        <v>32</v>
      </c>
      <c r="H20" s="214">
        <f t="shared" si="98"/>
        <v>1</v>
      </c>
      <c r="I20" s="214">
        <f t="shared" si="99"/>
        <v>1</v>
      </c>
      <c r="J20" s="188">
        <v>1</v>
      </c>
      <c r="K20" s="188">
        <f t="shared" si="100"/>
        <v>32</v>
      </c>
      <c r="L20" s="214">
        <f t="shared" si="101"/>
        <v>1</v>
      </c>
      <c r="M20" s="214">
        <f t="shared" si="102"/>
        <v>1</v>
      </c>
      <c r="N20" s="188">
        <v>1</v>
      </c>
      <c r="O20" s="188">
        <f t="shared" si="103"/>
        <v>32</v>
      </c>
      <c r="P20" s="214">
        <f t="shared" si="104"/>
        <v>1</v>
      </c>
      <c r="Q20" s="214">
        <f t="shared" si="105"/>
        <v>1</v>
      </c>
      <c r="R20" s="188">
        <v>1</v>
      </c>
      <c r="S20" s="188">
        <f t="shared" si="106"/>
        <v>32</v>
      </c>
      <c r="T20" s="214">
        <f t="shared" si="107"/>
        <v>1</v>
      </c>
      <c r="U20" s="214">
        <f t="shared" si="108"/>
        <v>1</v>
      </c>
      <c r="V20" s="215">
        <v>1</v>
      </c>
      <c r="W20" s="188">
        <f t="shared" si="109"/>
        <v>32</v>
      </c>
      <c r="X20" s="214">
        <f t="shared" si="110"/>
        <v>1</v>
      </c>
      <c r="Y20" s="214">
        <f t="shared" si="111"/>
        <v>1</v>
      </c>
      <c r="Z20" s="216">
        <f>565917000/1000000000</f>
        <v>0.565917</v>
      </c>
      <c r="AA20" s="188">
        <v>0</v>
      </c>
      <c r="AB20" s="188">
        <f t="shared" si="112"/>
        <v>0</v>
      </c>
      <c r="AC20" s="214">
        <f t="shared" si="113"/>
        <v>0</v>
      </c>
      <c r="AD20" s="214">
        <f t="shared" si="114"/>
        <v>0</v>
      </c>
      <c r="AE20" s="188"/>
      <c r="AF20" s="188">
        <f t="shared" si="115"/>
        <v>0</v>
      </c>
      <c r="AG20" s="223"/>
      <c r="AH20" s="188" t="s">
        <v>314</v>
      </c>
      <c r="AI20" s="188">
        <v>1</v>
      </c>
      <c r="AJ20" s="188">
        <f t="shared" si="2"/>
        <v>32</v>
      </c>
      <c r="AK20" s="188" t="s">
        <v>304</v>
      </c>
      <c r="AL20" s="188">
        <v>0</v>
      </c>
      <c r="AM20" s="188">
        <v>0</v>
      </c>
      <c r="AN20" s="217"/>
      <c r="AO20" s="188">
        <f t="shared" si="207"/>
        <v>1</v>
      </c>
      <c r="AP20" s="188">
        <f t="shared" si="208"/>
        <v>32</v>
      </c>
      <c r="AQ20" s="188">
        <f t="shared" si="5"/>
        <v>1</v>
      </c>
      <c r="AR20" s="188">
        <f t="shared" si="6"/>
        <v>32</v>
      </c>
      <c r="AS20" s="188">
        <f t="shared" si="7"/>
        <v>1</v>
      </c>
      <c r="AT20" s="188">
        <f t="shared" si="8"/>
        <v>32</v>
      </c>
      <c r="AU20" s="188">
        <f t="shared" si="209"/>
        <v>1</v>
      </c>
      <c r="AV20" s="188">
        <f t="shared" si="210"/>
        <v>32</v>
      </c>
      <c r="AW20" s="188">
        <f t="shared" si="211"/>
        <v>1</v>
      </c>
      <c r="AX20" s="188">
        <f t="shared" si="212"/>
        <v>32</v>
      </c>
      <c r="AY20" s="188">
        <f t="shared" si="116"/>
        <v>0</v>
      </c>
      <c r="AZ20" s="188">
        <f t="shared" si="117"/>
        <v>0</v>
      </c>
      <c r="BA20" s="188">
        <f t="shared" si="14"/>
        <v>0.565917</v>
      </c>
      <c r="BB20" s="188">
        <f t="shared" si="15"/>
        <v>0</v>
      </c>
      <c r="BD20" s="196">
        <f t="shared" si="118"/>
        <v>0</v>
      </c>
      <c r="BE20" s="188">
        <f t="shared" si="16"/>
        <v>0</v>
      </c>
      <c r="BF20" s="188">
        <f t="shared" si="17"/>
        <v>0</v>
      </c>
      <c r="BG20" s="188">
        <f t="shared" si="18"/>
        <v>0</v>
      </c>
      <c r="BH20" s="188">
        <f t="shared" si="19"/>
        <v>0</v>
      </c>
      <c r="BI20" s="188">
        <f t="shared" si="20"/>
        <v>0</v>
      </c>
      <c r="BJ20" s="188">
        <f t="shared" si="21"/>
        <v>0</v>
      </c>
      <c r="BK20" s="188">
        <f t="shared" si="22"/>
        <v>0</v>
      </c>
      <c r="BN20" s="277"/>
      <c r="BO20" s="139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B20" s="188"/>
      <c r="CD20" s="188">
        <f t="shared" si="23"/>
        <v>0</v>
      </c>
      <c r="CE20" s="188">
        <f t="shared" si="24"/>
        <v>0</v>
      </c>
      <c r="CF20" s="188">
        <f t="shared" si="25"/>
        <v>0</v>
      </c>
      <c r="CG20" s="188">
        <f t="shared" si="26"/>
        <v>0</v>
      </c>
      <c r="CH20" s="188">
        <f t="shared" si="27"/>
        <v>0</v>
      </c>
      <c r="CI20" s="188">
        <f t="shared" si="28"/>
        <v>0</v>
      </c>
      <c r="CJ20" s="188">
        <f t="shared" si="29"/>
        <v>0</v>
      </c>
      <c r="CK20" s="188">
        <f t="shared" si="30"/>
        <v>0</v>
      </c>
      <c r="CL20" s="188">
        <f t="shared" si="31"/>
        <v>0</v>
      </c>
      <c r="CM20" s="188">
        <f t="shared" si="32"/>
        <v>0</v>
      </c>
      <c r="CN20" s="188">
        <f t="shared" si="33"/>
        <v>0</v>
      </c>
      <c r="CO20" s="188">
        <f t="shared" si="34"/>
        <v>0</v>
      </c>
      <c r="CP20" s="188">
        <f t="shared" si="35"/>
        <v>0</v>
      </c>
      <c r="DV20" s="188">
        <f t="shared" si="36"/>
        <v>0</v>
      </c>
      <c r="DW20" s="188">
        <f t="shared" si="37"/>
        <v>0</v>
      </c>
      <c r="DX20" s="188">
        <f t="shared" si="38"/>
        <v>0</v>
      </c>
      <c r="DY20" s="188">
        <f t="shared" si="39"/>
        <v>0</v>
      </c>
      <c r="DZ20" s="188">
        <f t="shared" si="40"/>
        <v>0</v>
      </c>
      <c r="EA20" s="188">
        <f t="shared" si="41"/>
        <v>0</v>
      </c>
      <c r="EB20" s="188">
        <f t="shared" si="42"/>
        <v>0</v>
      </c>
      <c r="EG20" s="220">
        <f t="shared" si="43"/>
        <v>0</v>
      </c>
      <c r="EH20" s="220">
        <f t="shared" si="44"/>
        <v>0</v>
      </c>
      <c r="EI20" s="188"/>
      <c r="EJ20" s="188"/>
      <c r="EK20" s="188"/>
      <c r="EL20" s="188"/>
      <c r="EM20" s="188"/>
      <c r="EN20" s="188"/>
      <c r="EO20" s="188"/>
      <c r="EP20" s="188"/>
      <c r="EQ20" s="188"/>
      <c r="ER20" s="188"/>
      <c r="ES20" s="188"/>
      <c r="ET20" s="188"/>
      <c r="EU20" s="188"/>
      <c r="EV20" s="188"/>
      <c r="EW20" s="188"/>
      <c r="EX20" s="188"/>
      <c r="EY20" s="188"/>
      <c r="EZ20" s="188"/>
      <c r="FA20" s="188"/>
      <c r="FB20" s="188"/>
      <c r="FC20" s="188"/>
      <c r="FD20" s="188"/>
      <c r="FE20" s="188"/>
      <c r="FF20" s="188"/>
      <c r="FH20" s="189"/>
      <c r="FI20" s="189"/>
      <c r="FJ20" s="189"/>
      <c r="FK20" s="189"/>
      <c r="FL20" s="189"/>
      <c r="FM20" s="189"/>
      <c r="FN20" s="189"/>
      <c r="FO20" s="189"/>
      <c r="FP20" s="189"/>
      <c r="FQ20" s="189"/>
      <c r="FR20" s="189"/>
      <c r="FS20" s="189"/>
      <c r="FT20" s="189"/>
      <c r="FU20" s="189"/>
      <c r="FV20" s="189"/>
      <c r="FX20" s="217"/>
      <c r="FY20" s="188">
        <f t="shared" si="45"/>
        <v>0</v>
      </c>
      <c r="FZ20" s="188">
        <f t="shared" si="46"/>
        <v>0</v>
      </c>
      <c r="GA20" s="188">
        <f t="shared" si="47"/>
        <v>0</v>
      </c>
      <c r="GB20" s="188">
        <f t="shared" si="48"/>
        <v>0</v>
      </c>
      <c r="GC20" s="188">
        <f t="shared" si="49"/>
        <v>0</v>
      </c>
      <c r="GD20" s="188">
        <f t="shared" si="50"/>
        <v>0</v>
      </c>
      <c r="GE20" s="188">
        <f t="shared" si="51"/>
        <v>0</v>
      </c>
      <c r="GF20" s="199"/>
      <c r="GG20" s="189">
        <v>0</v>
      </c>
      <c r="GH20" s="189">
        <v>0</v>
      </c>
      <c r="GI20" s="199"/>
      <c r="GJ20" s="200">
        <f t="shared" si="52"/>
        <v>0</v>
      </c>
      <c r="GK20" s="200">
        <f t="shared" si="53"/>
        <v>0</v>
      </c>
      <c r="GO20" s="189">
        <f t="shared" si="119"/>
        <v>0</v>
      </c>
      <c r="GP20" s="189">
        <f t="shared" si="120"/>
        <v>0</v>
      </c>
      <c r="GQ20" s="189">
        <f t="shared" si="121"/>
        <v>0</v>
      </c>
      <c r="GR20" s="189">
        <f t="shared" si="122"/>
        <v>0</v>
      </c>
      <c r="GS20" s="189">
        <f t="shared" si="123"/>
        <v>0</v>
      </c>
      <c r="GT20" s="189">
        <f t="shared" si="124"/>
        <v>1</v>
      </c>
      <c r="GU20" s="201">
        <f t="shared" si="125"/>
        <v>43243</v>
      </c>
      <c r="GV20" s="189" t="str">
        <f t="shared" si="126"/>
        <v>SELESAI</v>
      </c>
      <c r="GW20" s="189">
        <f t="shared" si="127"/>
        <v>0</v>
      </c>
      <c r="GX20" s="202" t="str">
        <f t="shared" si="128"/>
        <v>SELESAI</v>
      </c>
      <c r="GY20" s="202">
        <f t="shared" si="129"/>
        <v>0</v>
      </c>
      <c r="GZ20" s="203" t="str">
        <f t="shared" si="130"/>
        <v>SELESAI</v>
      </c>
      <c r="HA20" s="204"/>
      <c r="HB20" s="204"/>
      <c r="HC20" s="189">
        <f t="shared" si="131"/>
        <v>0</v>
      </c>
      <c r="HD20" s="189">
        <f t="shared" si="132"/>
        <v>0</v>
      </c>
      <c r="HE20" s="189">
        <f t="shared" si="133"/>
        <v>0</v>
      </c>
      <c r="HF20" s="189">
        <f t="shared" si="134"/>
        <v>0</v>
      </c>
      <c r="HG20" s="189">
        <f t="shared" si="135"/>
        <v>0</v>
      </c>
      <c r="HH20" s="201" t="str">
        <f t="shared" si="136"/>
        <v>TIDAK KONSINYASI</v>
      </c>
      <c r="HI20" s="201" t="str">
        <f t="shared" si="137"/>
        <v>SELESAI</v>
      </c>
      <c r="HJ20" s="205"/>
      <c r="HK20" s="201">
        <f t="shared" si="138"/>
        <v>0</v>
      </c>
      <c r="HL20" s="204"/>
      <c r="HM20" s="204"/>
      <c r="HN20" s="204"/>
      <c r="HO20" s="204"/>
      <c r="HP20" s="203">
        <f t="shared" si="139"/>
        <v>0</v>
      </c>
      <c r="HQ20" s="202">
        <f t="shared" si="140"/>
        <v>0</v>
      </c>
      <c r="HR20" s="202">
        <f t="shared" si="141"/>
        <v>0</v>
      </c>
      <c r="HS20" s="203">
        <f t="shared" si="142"/>
        <v>0</v>
      </c>
      <c r="HT20" s="202">
        <f t="shared" si="143"/>
        <v>0</v>
      </c>
      <c r="HU20" s="202">
        <f t="shared" si="144"/>
        <v>0</v>
      </c>
      <c r="HV20" s="203">
        <f t="shared" si="145"/>
        <v>0</v>
      </c>
      <c r="HW20" s="202">
        <f t="shared" si="146"/>
        <v>0</v>
      </c>
      <c r="HX20" s="202">
        <f t="shared" si="147"/>
        <v>0</v>
      </c>
      <c r="HY20" s="203">
        <f t="shared" si="148"/>
        <v>0</v>
      </c>
      <c r="HZ20" s="202">
        <f t="shared" si="149"/>
        <v>0</v>
      </c>
      <c r="IA20" s="202">
        <f t="shared" si="150"/>
        <v>0</v>
      </c>
      <c r="IB20" s="203">
        <f t="shared" si="151"/>
        <v>0</v>
      </c>
      <c r="IC20" s="202">
        <f t="shared" si="152"/>
        <v>0</v>
      </c>
      <c r="ID20" s="202">
        <f t="shared" si="153"/>
        <v>0</v>
      </c>
      <c r="IE20" s="203">
        <f t="shared" si="154"/>
        <v>0</v>
      </c>
      <c r="IF20" s="202">
        <f t="shared" si="155"/>
        <v>0</v>
      </c>
      <c r="IG20" s="202">
        <f t="shared" si="156"/>
        <v>0</v>
      </c>
      <c r="IH20" s="203">
        <f t="shared" si="157"/>
        <v>0</v>
      </c>
      <c r="II20" s="202">
        <f t="shared" si="158"/>
        <v>0</v>
      </c>
      <c r="IJ20" s="202">
        <f t="shared" si="159"/>
        <v>0</v>
      </c>
      <c r="IK20" s="203">
        <f t="shared" si="160"/>
        <v>0</v>
      </c>
      <c r="IL20" s="202">
        <f t="shared" si="161"/>
        <v>0</v>
      </c>
      <c r="IM20" s="202">
        <f t="shared" si="162"/>
        <v>0</v>
      </c>
      <c r="IN20" s="204"/>
      <c r="IO20" s="203">
        <f t="shared" si="163"/>
        <v>0</v>
      </c>
      <c r="IP20" s="202">
        <f t="shared" si="164"/>
        <v>0</v>
      </c>
      <c r="IQ20" s="202">
        <f t="shared" si="165"/>
        <v>0</v>
      </c>
      <c r="IR20" s="204"/>
      <c r="IS20" s="203"/>
      <c r="IT20" s="202">
        <f t="shared" si="166"/>
        <v>1</v>
      </c>
      <c r="IU20" s="202">
        <f t="shared" si="167"/>
        <v>32</v>
      </c>
      <c r="IV20" s="204"/>
      <c r="IW20" s="203"/>
      <c r="IX20" s="202">
        <f t="shared" si="168"/>
        <v>0</v>
      </c>
      <c r="IY20" s="202">
        <f t="shared" si="169"/>
        <v>0</v>
      </c>
      <c r="IZ20" s="204"/>
      <c r="JA20" s="203"/>
      <c r="JB20" s="202">
        <f t="shared" si="170"/>
        <v>0</v>
      </c>
      <c r="JC20" s="202">
        <f t="shared" si="171"/>
        <v>0</v>
      </c>
      <c r="JD20" s="204"/>
      <c r="JE20" s="203"/>
      <c r="JF20" s="202">
        <f t="shared" si="172"/>
        <v>1</v>
      </c>
      <c r="JG20" s="202">
        <f t="shared" si="173"/>
        <v>32</v>
      </c>
      <c r="JH20" s="204"/>
      <c r="JI20" s="203"/>
      <c r="JJ20" s="202">
        <f t="shared" si="174"/>
        <v>0</v>
      </c>
      <c r="JK20" s="202">
        <f t="shared" si="175"/>
        <v>0</v>
      </c>
      <c r="JM20" s="203">
        <f t="shared" si="176"/>
        <v>0</v>
      </c>
      <c r="JO20" s="196">
        <f t="shared" si="54"/>
        <v>0</v>
      </c>
      <c r="JP20" s="189">
        <f t="shared" si="55"/>
        <v>0</v>
      </c>
      <c r="JQ20" s="189">
        <f t="shared" si="56"/>
        <v>0</v>
      </c>
      <c r="JR20" s="189">
        <f t="shared" si="57"/>
        <v>0</v>
      </c>
      <c r="JS20" s="189">
        <f t="shared" si="58"/>
        <v>0</v>
      </c>
      <c r="JT20" s="189">
        <f t="shared" si="59"/>
        <v>0</v>
      </c>
      <c r="JU20" s="189">
        <f t="shared" si="60"/>
        <v>0</v>
      </c>
      <c r="JV20" s="189">
        <f t="shared" si="61"/>
        <v>0</v>
      </c>
      <c r="JW20" s="189">
        <f t="shared" si="62"/>
        <v>0</v>
      </c>
      <c r="JX20" s="189">
        <f t="shared" si="63"/>
        <v>0</v>
      </c>
      <c r="JY20" s="189">
        <f t="shared" si="64"/>
        <v>0</v>
      </c>
      <c r="JZ20" s="189">
        <f t="shared" si="65"/>
        <v>0</v>
      </c>
      <c r="KA20" s="189">
        <f t="shared" si="66"/>
        <v>0</v>
      </c>
      <c r="KB20" s="189">
        <f t="shared" si="67"/>
        <v>0</v>
      </c>
      <c r="KD20" s="206">
        <f t="shared" si="177"/>
        <v>0</v>
      </c>
      <c r="KE20" s="206">
        <f t="shared" si="69"/>
        <v>0</v>
      </c>
      <c r="KF20" s="206">
        <f t="shared" si="70"/>
        <v>0</v>
      </c>
      <c r="KG20" s="206">
        <f t="shared" si="71"/>
        <v>0</v>
      </c>
      <c r="KH20" s="206">
        <f t="shared" si="72"/>
        <v>0</v>
      </c>
      <c r="KI20" s="206">
        <f t="shared" si="73"/>
        <v>0</v>
      </c>
      <c r="KJ20" s="206">
        <f t="shared" si="74"/>
        <v>0</v>
      </c>
      <c r="KK20" s="206">
        <f t="shared" si="75"/>
        <v>0</v>
      </c>
      <c r="KL20" s="206">
        <f t="shared" si="76"/>
        <v>0</v>
      </c>
      <c r="KM20" s="206">
        <f t="shared" si="77"/>
        <v>0</v>
      </c>
      <c r="KN20" s="221">
        <f t="shared" si="78"/>
        <v>0</v>
      </c>
      <c r="KO20" s="221">
        <f t="shared" si="79"/>
        <v>0</v>
      </c>
      <c r="KP20" s="221">
        <f t="shared" si="80"/>
        <v>0</v>
      </c>
      <c r="KQ20" s="221">
        <f t="shared" si="81"/>
        <v>0</v>
      </c>
      <c r="KR20" s="221">
        <f t="shared" si="82"/>
        <v>0</v>
      </c>
      <c r="KT20" s="195">
        <f t="shared" si="83"/>
        <v>0</v>
      </c>
      <c r="KU20" s="221"/>
      <c r="KV20" s="221"/>
      <c r="KW20" s="221"/>
      <c r="KX20" s="221"/>
      <c r="KY20" s="221"/>
      <c r="KZ20" s="221"/>
      <c r="LA20" s="221"/>
      <c r="LB20" s="221"/>
      <c r="LC20" s="221"/>
      <c r="LD20" s="221"/>
      <c r="LE20" s="221"/>
      <c r="LF20" s="221"/>
      <c r="LG20" s="221"/>
      <c r="LH20" s="221"/>
      <c r="LI20" s="221"/>
      <c r="LJ20" s="221"/>
      <c r="LK20" s="221"/>
      <c r="LL20" s="221"/>
      <c r="LM20" s="221"/>
      <c r="LN20" s="221"/>
      <c r="LO20" s="221"/>
      <c r="LP20" s="221"/>
      <c r="LQ20" s="221"/>
      <c r="LR20" s="221"/>
      <c r="LS20" s="221"/>
      <c r="LT20" s="221"/>
      <c r="LU20" s="221"/>
      <c r="LV20" s="221"/>
      <c r="LW20" s="221"/>
      <c r="LX20" s="221"/>
      <c r="LY20" s="221"/>
      <c r="LZ20" s="221"/>
      <c r="MA20" s="221"/>
      <c r="MB20" s="221"/>
      <c r="MC20" s="221"/>
      <c r="MD20" s="221"/>
      <c r="ME20" s="221"/>
      <c r="MF20" s="221"/>
      <c r="MG20" s="221"/>
      <c r="MH20" s="221"/>
      <c r="MI20" s="221"/>
      <c r="MJ20" s="221"/>
      <c r="MK20" s="221"/>
      <c r="ML20" s="221"/>
      <c r="MM20" s="221"/>
      <c r="MN20" s="221"/>
      <c r="MO20" s="221"/>
      <c r="MP20" s="221"/>
      <c r="MQ20" s="221"/>
      <c r="MR20" s="221"/>
      <c r="MS20" s="221"/>
      <c r="MT20" s="221"/>
      <c r="MU20" s="221"/>
      <c r="MV20" s="221"/>
      <c r="MW20" s="221"/>
      <c r="MX20" s="221"/>
      <c r="MY20" s="221"/>
      <c r="MZ20" s="221"/>
      <c r="NA20" s="221"/>
      <c r="NB20" s="221"/>
      <c r="NC20" s="221"/>
      <c r="ND20" s="221"/>
      <c r="NE20" s="221"/>
      <c r="NF20" s="221"/>
      <c r="NG20" s="221"/>
      <c r="NH20" s="221"/>
      <c r="NI20" s="221"/>
      <c r="NJ20" s="221"/>
      <c r="NK20" s="221"/>
      <c r="NM20" s="195">
        <f t="shared" si="178"/>
        <v>0</v>
      </c>
      <c r="NN20" s="195">
        <f t="shared" si="179"/>
        <v>0</v>
      </c>
      <c r="NO20" s="195">
        <f t="shared" si="180"/>
        <v>0</v>
      </c>
      <c r="NP20" s="195">
        <f t="shared" si="181"/>
        <v>0</v>
      </c>
      <c r="NQ20" s="195">
        <f t="shared" si="182"/>
        <v>0</v>
      </c>
      <c r="NR20" s="195">
        <f t="shared" si="183"/>
        <v>0</v>
      </c>
      <c r="NS20" s="195">
        <f t="shared" si="184"/>
        <v>0</v>
      </c>
      <c r="NT20" s="195">
        <f t="shared" si="185"/>
        <v>0</v>
      </c>
      <c r="NU20" s="196">
        <f t="shared" si="186"/>
        <v>0</v>
      </c>
      <c r="NY20" s="215">
        <f t="shared" si="187"/>
        <v>1</v>
      </c>
      <c r="NZ20" s="222">
        <v>12250000</v>
      </c>
      <c r="OE20" s="207">
        <f t="shared" si="85"/>
        <v>0</v>
      </c>
      <c r="OF20" s="207">
        <f t="shared" si="86"/>
        <v>0</v>
      </c>
      <c r="OG20" s="207">
        <f t="shared" si="87"/>
        <v>0</v>
      </c>
      <c r="OH20" s="207">
        <f t="shared" si="188"/>
        <v>0</v>
      </c>
      <c r="OI20" s="207">
        <f t="shared" si="88"/>
        <v>0</v>
      </c>
      <c r="OJ20" s="199">
        <f t="shared" si="189"/>
        <v>0</v>
      </c>
      <c r="OK20" s="199">
        <f t="shared" si="190"/>
        <v>0</v>
      </c>
      <c r="OL20" s="199">
        <f t="shared" si="191"/>
        <v>0</v>
      </c>
      <c r="OM20" s="199">
        <f t="shared" si="192"/>
        <v>0</v>
      </c>
      <c r="OO20" s="207">
        <f t="shared" si="89"/>
        <v>0</v>
      </c>
      <c r="OP20" s="207">
        <f t="shared" si="90"/>
        <v>0</v>
      </c>
      <c r="OQ20" s="207">
        <f t="shared" si="193"/>
        <v>0</v>
      </c>
      <c r="OR20" s="207">
        <f t="shared" si="194"/>
        <v>0</v>
      </c>
      <c r="OS20" s="207">
        <f t="shared" si="195"/>
        <v>0</v>
      </c>
      <c r="OT20" s="199">
        <f t="shared" si="196"/>
        <v>0</v>
      </c>
      <c r="OU20" s="199">
        <f t="shared" si="197"/>
        <v>0</v>
      </c>
      <c r="OV20" s="199">
        <f t="shared" si="198"/>
        <v>0</v>
      </c>
      <c r="OW20" s="199">
        <f t="shared" si="199"/>
        <v>0</v>
      </c>
      <c r="OZ20" s="208">
        <f t="shared" si="91"/>
        <v>0</v>
      </c>
      <c r="PA20" s="209"/>
      <c r="PB20" s="209"/>
      <c r="PC20" s="209"/>
      <c r="PD20" s="210">
        <f t="shared" si="200"/>
        <v>0</v>
      </c>
      <c r="PE20" s="210"/>
      <c r="PF20" s="210">
        <f t="shared" si="201"/>
        <v>0</v>
      </c>
      <c r="PG20" s="210">
        <f t="shared" si="202"/>
        <v>0</v>
      </c>
      <c r="PH20" s="210">
        <f t="shared" si="92"/>
        <v>0</v>
      </c>
      <c r="PI20" s="210">
        <f t="shared" si="93"/>
        <v>0</v>
      </c>
      <c r="PJ20" s="210">
        <f t="shared" si="94"/>
        <v>0</v>
      </c>
      <c r="PK20" s="210">
        <f t="shared" si="95"/>
        <v>0</v>
      </c>
      <c r="PL20" s="210">
        <f t="shared" si="96"/>
        <v>0</v>
      </c>
      <c r="PM20" s="211"/>
      <c r="PN20" s="211"/>
      <c r="PO20" s="212">
        <f t="shared" si="203"/>
        <v>0</v>
      </c>
      <c r="PP20" s="212">
        <f t="shared" si="204"/>
        <v>0</v>
      </c>
      <c r="PQ20" s="212">
        <f t="shared" si="205"/>
        <v>0</v>
      </c>
      <c r="PR20" s="211"/>
      <c r="PS20" s="211"/>
      <c r="PT20" s="211"/>
      <c r="PU20" s="211"/>
    </row>
    <row r="21" spans="1:437" s="195" customFormat="1" ht="16" x14ac:dyDescent="0.2">
      <c r="A21" s="213">
        <f t="shared" si="206"/>
        <v>12</v>
      </c>
      <c r="B21" s="186" t="s">
        <v>37</v>
      </c>
      <c r="C21" s="186">
        <v>14</v>
      </c>
      <c r="D21" s="188">
        <v>1</v>
      </c>
      <c r="E21" s="188">
        <v>104</v>
      </c>
      <c r="F21" s="188">
        <v>1</v>
      </c>
      <c r="G21" s="188">
        <f t="shared" si="97"/>
        <v>104</v>
      </c>
      <c r="H21" s="214">
        <f t="shared" si="98"/>
        <v>1</v>
      </c>
      <c r="I21" s="214">
        <f t="shared" si="99"/>
        <v>1</v>
      </c>
      <c r="J21" s="188">
        <v>1</v>
      </c>
      <c r="K21" s="188">
        <f t="shared" si="100"/>
        <v>104</v>
      </c>
      <c r="L21" s="214">
        <f t="shared" si="101"/>
        <v>1</v>
      </c>
      <c r="M21" s="214">
        <f t="shared" si="102"/>
        <v>1</v>
      </c>
      <c r="N21" s="188">
        <v>1</v>
      </c>
      <c r="O21" s="188">
        <f t="shared" si="103"/>
        <v>104</v>
      </c>
      <c r="P21" s="214">
        <f t="shared" si="104"/>
        <v>1</v>
      </c>
      <c r="Q21" s="214">
        <f t="shared" si="105"/>
        <v>1</v>
      </c>
      <c r="R21" s="188">
        <v>1</v>
      </c>
      <c r="S21" s="188">
        <f t="shared" si="106"/>
        <v>104</v>
      </c>
      <c r="T21" s="214">
        <f t="shared" si="107"/>
        <v>1</v>
      </c>
      <c r="U21" s="214">
        <f t="shared" si="108"/>
        <v>1</v>
      </c>
      <c r="V21" s="215">
        <v>1</v>
      </c>
      <c r="W21" s="188">
        <f t="shared" si="109"/>
        <v>104</v>
      </c>
      <c r="X21" s="214">
        <f t="shared" si="110"/>
        <v>1</v>
      </c>
      <c r="Y21" s="214">
        <f t="shared" si="111"/>
        <v>1</v>
      </c>
      <c r="Z21" s="216">
        <f>2347560000/1000000000</f>
        <v>2.3475600000000001</v>
      </c>
      <c r="AA21" s="188">
        <v>0</v>
      </c>
      <c r="AB21" s="188">
        <f t="shared" si="112"/>
        <v>0</v>
      </c>
      <c r="AC21" s="214">
        <f t="shared" si="113"/>
        <v>0</v>
      </c>
      <c r="AD21" s="214">
        <f t="shared" si="114"/>
        <v>0</v>
      </c>
      <c r="AE21" s="188"/>
      <c r="AF21" s="188">
        <f t="shared" si="115"/>
        <v>0</v>
      </c>
      <c r="AG21" s="223"/>
      <c r="AH21" s="188"/>
      <c r="AI21" s="188">
        <v>1</v>
      </c>
      <c r="AJ21" s="188">
        <f t="shared" si="2"/>
        <v>104</v>
      </c>
      <c r="AK21" s="188" t="s">
        <v>304</v>
      </c>
      <c r="AL21" s="188">
        <v>0</v>
      </c>
      <c r="AM21" s="188">
        <v>0</v>
      </c>
      <c r="AN21" s="217"/>
      <c r="AO21" s="188">
        <f t="shared" si="207"/>
        <v>1</v>
      </c>
      <c r="AP21" s="188">
        <f t="shared" si="208"/>
        <v>104</v>
      </c>
      <c r="AQ21" s="188">
        <f t="shared" si="5"/>
        <v>1</v>
      </c>
      <c r="AR21" s="188">
        <f t="shared" si="6"/>
        <v>104</v>
      </c>
      <c r="AS21" s="188">
        <f t="shared" si="7"/>
        <v>1</v>
      </c>
      <c r="AT21" s="188">
        <f t="shared" si="8"/>
        <v>104</v>
      </c>
      <c r="AU21" s="188">
        <f t="shared" si="209"/>
        <v>1</v>
      </c>
      <c r="AV21" s="188">
        <f t="shared" si="210"/>
        <v>104</v>
      </c>
      <c r="AW21" s="188">
        <f t="shared" si="211"/>
        <v>1</v>
      </c>
      <c r="AX21" s="188">
        <f t="shared" si="212"/>
        <v>104</v>
      </c>
      <c r="AY21" s="188">
        <f t="shared" si="116"/>
        <v>0</v>
      </c>
      <c r="AZ21" s="188">
        <f t="shared" si="117"/>
        <v>0</v>
      </c>
      <c r="BA21" s="188">
        <f t="shared" si="14"/>
        <v>2.3475600000000001</v>
      </c>
      <c r="BB21" s="188">
        <f t="shared" si="15"/>
        <v>0</v>
      </c>
      <c r="BD21" s="196">
        <f t="shared" si="118"/>
        <v>0</v>
      </c>
      <c r="BE21" s="188">
        <f t="shared" si="16"/>
        <v>0</v>
      </c>
      <c r="BF21" s="188">
        <f t="shared" si="17"/>
        <v>0</v>
      </c>
      <c r="BG21" s="188">
        <f t="shared" si="18"/>
        <v>0</v>
      </c>
      <c r="BH21" s="188">
        <f t="shared" si="19"/>
        <v>0</v>
      </c>
      <c r="BI21" s="188">
        <f t="shared" si="20"/>
        <v>0</v>
      </c>
      <c r="BJ21" s="188">
        <f t="shared" si="21"/>
        <v>0</v>
      </c>
      <c r="BK21" s="188">
        <f t="shared" si="22"/>
        <v>0</v>
      </c>
      <c r="BN21" s="277">
        <v>82</v>
      </c>
      <c r="BO21" s="139">
        <v>1</v>
      </c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B21" s="188"/>
      <c r="CD21" s="188">
        <f t="shared" si="23"/>
        <v>82</v>
      </c>
      <c r="CE21" s="188">
        <f t="shared" si="24"/>
        <v>82</v>
      </c>
      <c r="CF21" s="188">
        <f t="shared" si="25"/>
        <v>0</v>
      </c>
      <c r="CG21" s="188">
        <f t="shared" si="26"/>
        <v>0</v>
      </c>
      <c r="CH21" s="188">
        <f t="shared" si="27"/>
        <v>0</v>
      </c>
      <c r="CI21" s="188">
        <f t="shared" si="28"/>
        <v>0</v>
      </c>
      <c r="CJ21" s="188">
        <f t="shared" si="29"/>
        <v>0</v>
      </c>
      <c r="CK21" s="188">
        <f t="shared" si="30"/>
        <v>0</v>
      </c>
      <c r="CL21" s="188">
        <f t="shared" si="31"/>
        <v>0</v>
      </c>
      <c r="CM21" s="188">
        <f t="shared" si="32"/>
        <v>0</v>
      </c>
      <c r="CN21" s="188">
        <f t="shared" si="33"/>
        <v>0</v>
      </c>
      <c r="CO21" s="188">
        <f t="shared" si="34"/>
        <v>0</v>
      </c>
      <c r="CP21" s="188">
        <f t="shared" si="35"/>
        <v>0</v>
      </c>
      <c r="DV21" s="188">
        <f t="shared" si="36"/>
        <v>0</v>
      </c>
      <c r="DW21" s="188">
        <f t="shared" si="37"/>
        <v>0</v>
      </c>
      <c r="DX21" s="188">
        <f t="shared" si="38"/>
        <v>0</v>
      </c>
      <c r="DY21" s="188">
        <f t="shared" si="39"/>
        <v>0</v>
      </c>
      <c r="DZ21" s="188">
        <f t="shared" si="40"/>
        <v>0</v>
      </c>
      <c r="EA21" s="188">
        <f t="shared" si="41"/>
        <v>0</v>
      </c>
      <c r="EB21" s="188">
        <f t="shared" si="42"/>
        <v>0</v>
      </c>
      <c r="EG21" s="220">
        <f t="shared" si="43"/>
        <v>0</v>
      </c>
      <c r="EH21" s="220">
        <f t="shared" si="44"/>
        <v>0</v>
      </c>
      <c r="EI21" s="188"/>
      <c r="EJ21" s="188"/>
      <c r="EK21" s="188"/>
      <c r="EL21" s="188"/>
      <c r="EM21" s="188"/>
      <c r="EN21" s="188"/>
      <c r="EO21" s="188"/>
      <c r="EP21" s="188"/>
      <c r="EQ21" s="188"/>
      <c r="ER21" s="188"/>
      <c r="ES21" s="188"/>
      <c r="ET21" s="188"/>
      <c r="EU21" s="188"/>
      <c r="EV21" s="188"/>
      <c r="EW21" s="188"/>
      <c r="EX21" s="188"/>
      <c r="EY21" s="188"/>
      <c r="EZ21" s="188"/>
      <c r="FA21" s="188"/>
      <c r="FB21" s="188"/>
      <c r="FC21" s="188"/>
      <c r="FD21" s="188"/>
      <c r="FE21" s="188"/>
      <c r="FF21" s="188"/>
      <c r="FH21" s="189"/>
      <c r="FI21" s="189"/>
      <c r="FJ21" s="189"/>
      <c r="FK21" s="189"/>
      <c r="FL21" s="189"/>
      <c r="FM21" s="189"/>
      <c r="FN21" s="189"/>
      <c r="FO21" s="189"/>
      <c r="FP21" s="189"/>
      <c r="FQ21" s="189"/>
      <c r="FR21" s="189"/>
      <c r="FS21" s="189"/>
      <c r="FT21" s="189"/>
      <c r="FU21" s="189"/>
      <c r="FV21" s="189"/>
      <c r="FX21" s="217">
        <v>1</v>
      </c>
      <c r="FY21" s="188">
        <f t="shared" si="45"/>
        <v>82</v>
      </c>
      <c r="FZ21" s="188">
        <f t="shared" si="46"/>
        <v>82</v>
      </c>
      <c r="GA21" s="188">
        <f t="shared" si="47"/>
        <v>0</v>
      </c>
      <c r="GB21" s="188">
        <f t="shared" si="48"/>
        <v>0</v>
      </c>
      <c r="GC21" s="188">
        <f t="shared" si="49"/>
        <v>0</v>
      </c>
      <c r="GD21" s="188">
        <f t="shared" si="50"/>
        <v>0</v>
      </c>
      <c r="GE21" s="188">
        <f t="shared" si="51"/>
        <v>0</v>
      </c>
      <c r="GF21" s="199"/>
      <c r="GG21" s="189">
        <v>0</v>
      </c>
      <c r="GH21" s="189">
        <v>0</v>
      </c>
      <c r="GI21" s="199"/>
      <c r="GJ21" s="200">
        <f t="shared" si="52"/>
        <v>0</v>
      </c>
      <c r="GK21" s="200">
        <f t="shared" si="53"/>
        <v>0</v>
      </c>
      <c r="GO21" s="189">
        <f t="shared" si="119"/>
        <v>0</v>
      </c>
      <c r="GP21" s="189">
        <f t="shared" si="120"/>
        <v>0</v>
      </c>
      <c r="GQ21" s="189">
        <f t="shared" si="121"/>
        <v>0</v>
      </c>
      <c r="GR21" s="189">
        <f t="shared" si="122"/>
        <v>0</v>
      </c>
      <c r="GS21" s="189">
        <f t="shared" si="123"/>
        <v>0</v>
      </c>
      <c r="GT21" s="189">
        <f t="shared" si="124"/>
        <v>1</v>
      </c>
      <c r="GU21" s="201">
        <f t="shared" si="125"/>
        <v>43243</v>
      </c>
      <c r="GV21" s="189" t="str">
        <f t="shared" si="126"/>
        <v>SELESAI</v>
      </c>
      <c r="GW21" s="189">
        <f t="shared" si="127"/>
        <v>0</v>
      </c>
      <c r="GX21" s="202" t="str">
        <f t="shared" si="128"/>
        <v>SELESAI</v>
      </c>
      <c r="GY21" s="202">
        <f t="shared" si="129"/>
        <v>0</v>
      </c>
      <c r="GZ21" s="203" t="str">
        <f t="shared" si="130"/>
        <v>SELESAI</v>
      </c>
      <c r="HA21" s="204"/>
      <c r="HB21" s="204"/>
      <c r="HC21" s="189">
        <f t="shared" si="131"/>
        <v>0</v>
      </c>
      <c r="HD21" s="189">
        <f t="shared" si="132"/>
        <v>0</v>
      </c>
      <c r="HE21" s="189">
        <f t="shared" si="133"/>
        <v>0</v>
      </c>
      <c r="HF21" s="189">
        <f t="shared" si="134"/>
        <v>0</v>
      </c>
      <c r="HG21" s="189">
        <f t="shared" si="135"/>
        <v>0</v>
      </c>
      <c r="HH21" s="201" t="str">
        <f t="shared" si="136"/>
        <v>TIDAK KONSINYASI</v>
      </c>
      <c r="HI21" s="201" t="str">
        <f t="shared" si="137"/>
        <v>SELESAI</v>
      </c>
      <c r="HJ21" s="205"/>
      <c r="HK21" s="201">
        <f t="shared" si="138"/>
        <v>0</v>
      </c>
      <c r="HL21" s="204"/>
      <c r="HM21" s="204"/>
      <c r="HN21" s="204"/>
      <c r="HO21" s="204"/>
      <c r="HP21" s="203">
        <f t="shared" si="139"/>
        <v>0</v>
      </c>
      <c r="HQ21" s="202">
        <f t="shared" si="140"/>
        <v>0</v>
      </c>
      <c r="HR21" s="202">
        <f t="shared" si="141"/>
        <v>0</v>
      </c>
      <c r="HS21" s="203">
        <f t="shared" si="142"/>
        <v>0</v>
      </c>
      <c r="HT21" s="202">
        <f t="shared" si="143"/>
        <v>0</v>
      </c>
      <c r="HU21" s="202">
        <f t="shared" si="144"/>
        <v>0</v>
      </c>
      <c r="HV21" s="203">
        <f t="shared" si="145"/>
        <v>0</v>
      </c>
      <c r="HW21" s="202">
        <f t="shared" si="146"/>
        <v>0</v>
      </c>
      <c r="HX21" s="202">
        <f t="shared" si="147"/>
        <v>0</v>
      </c>
      <c r="HY21" s="203">
        <f t="shared" si="148"/>
        <v>0</v>
      </c>
      <c r="HZ21" s="202">
        <f t="shared" si="149"/>
        <v>0</v>
      </c>
      <c r="IA21" s="202">
        <f t="shared" si="150"/>
        <v>0</v>
      </c>
      <c r="IB21" s="203">
        <f t="shared" si="151"/>
        <v>0</v>
      </c>
      <c r="IC21" s="202">
        <f t="shared" si="152"/>
        <v>0</v>
      </c>
      <c r="ID21" s="202">
        <f t="shared" si="153"/>
        <v>0</v>
      </c>
      <c r="IE21" s="203">
        <f t="shared" si="154"/>
        <v>0</v>
      </c>
      <c r="IF21" s="202">
        <f t="shared" si="155"/>
        <v>0</v>
      </c>
      <c r="IG21" s="202">
        <f t="shared" si="156"/>
        <v>0</v>
      </c>
      <c r="IH21" s="203">
        <f t="shared" si="157"/>
        <v>0</v>
      </c>
      <c r="II21" s="202">
        <f t="shared" si="158"/>
        <v>0</v>
      </c>
      <c r="IJ21" s="202">
        <f t="shared" si="159"/>
        <v>0</v>
      </c>
      <c r="IK21" s="203">
        <f t="shared" si="160"/>
        <v>0</v>
      </c>
      <c r="IL21" s="202">
        <f t="shared" si="161"/>
        <v>0</v>
      </c>
      <c r="IM21" s="202">
        <f t="shared" si="162"/>
        <v>0</v>
      </c>
      <c r="IN21" s="204"/>
      <c r="IO21" s="203">
        <f t="shared" si="163"/>
        <v>0</v>
      </c>
      <c r="IP21" s="202">
        <f t="shared" si="164"/>
        <v>0</v>
      </c>
      <c r="IQ21" s="202">
        <f t="shared" si="165"/>
        <v>0</v>
      </c>
      <c r="IR21" s="204"/>
      <c r="IS21" s="203"/>
      <c r="IT21" s="202">
        <f t="shared" si="166"/>
        <v>1</v>
      </c>
      <c r="IU21" s="202">
        <f t="shared" si="167"/>
        <v>104</v>
      </c>
      <c r="IV21" s="204"/>
      <c r="IW21" s="203"/>
      <c r="IX21" s="202">
        <f t="shared" si="168"/>
        <v>0</v>
      </c>
      <c r="IY21" s="202">
        <f t="shared" si="169"/>
        <v>0</v>
      </c>
      <c r="IZ21" s="204"/>
      <c r="JA21" s="203"/>
      <c r="JB21" s="202">
        <f t="shared" si="170"/>
        <v>0</v>
      </c>
      <c r="JC21" s="202">
        <f t="shared" si="171"/>
        <v>0</v>
      </c>
      <c r="JD21" s="204"/>
      <c r="JE21" s="203"/>
      <c r="JF21" s="202">
        <f t="shared" si="172"/>
        <v>1</v>
      </c>
      <c r="JG21" s="202">
        <f t="shared" si="173"/>
        <v>104</v>
      </c>
      <c r="JH21" s="204"/>
      <c r="JI21" s="203"/>
      <c r="JJ21" s="202">
        <f t="shared" si="174"/>
        <v>0</v>
      </c>
      <c r="JK21" s="202">
        <f t="shared" si="175"/>
        <v>0</v>
      </c>
      <c r="JM21" s="203">
        <f t="shared" si="176"/>
        <v>0</v>
      </c>
      <c r="JO21" s="196">
        <f t="shared" si="54"/>
        <v>1</v>
      </c>
      <c r="JP21" s="189">
        <f t="shared" si="55"/>
        <v>82</v>
      </c>
      <c r="JQ21" s="189">
        <f t="shared" si="56"/>
        <v>1</v>
      </c>
      <c r="JR21" s="189">
        <f t="shared" si="57"/>
        <v>0</v>
      </c>
      <c r="JS21" s="189">
        <f t="shared" si="58"/>
        <v>0</v>
      </c>
      <c r="JT21" s="189">
        <f t="shared" si="59"/>
        <v>0</v>
      </c>
      <c r="JU21" s="189">
        <f t="shared" si="60"/>
        <v>0</v>
      </c>
      <c r="JV21" s="189">
        <f t="shared" si="61"/>
        <v>0</v>
      </c>
      <c r="JW21" s="189">
        <f t="shared" si="62"/>
        <v>0</v>
      </c>
      <c r="JX21" s="189">
        <f t="shared" si="63"/>
        <v>0</v>
      </c>
      <c r="JY21" s="189">
        <f t="shared" si="64"/>
        <v>0</v>
      </c>
      <c r="JZ21" s="189">
        <f t="shared" si="65"/>
        <v>0</v>
      </c>
      <c r="KA21" s="189">
        <f t="shared" si="66"/>
        <v>0</v>
      </c>
      <c r="KB21" s="189">
        <f t="shared" si="67"/>
        <v>0</v>
      </c>
      <c r="KD21" s="206">
        <f t="shared" si="177"/>
        <v>0</v>
      </c>
      <c r="KE21" s="206">
        <f t="shared" si="69"/>
        <v>0</v>
      </c>
      <c r="KF21" s="206">
        <f t="shared" si="70"/>
        <v>82</v>
      </c>
      <c r="KG21" s="206">
        <f t="shared" si="71"/>
        <v>82</v>
      </c>
      <c r="KH21" s="206">
        <f t="shared" si="72"/>
        <v>0</v>
      </c>
      <c r="KI21" s="206">
        <f t="shared" si="73"/>
        <v>0</v>
      </c>
      <c r="KJ21" s="206">
        <f t="shared" si="74"/>
        <v>0</v>
      </c>
      <c r="KK21" s="206">
        <f t="shared" si="75"/>
        <v>0</v>
      </c>
      <c r="KL21" s="206">
        <f t="shared" si="76"/>
        <v>0</v>
      </c>
      <c r="KM21" s="206">
        <f t="shared" si="77"/>
        <v>0</v>
      </c>
      <c r="KN21" s="221">
        <f t="shared" si="78"/>
        <v>0</v>
      </c>
      <c r="KO21" s="221">
        <f t="shared" si="79"/>
        <v>0</v>
      </c>
      <c r="KP21" s="221">
        <f t="shared" si="80"/>
        <v>0</v>
      </c>
      <c r="KQ21" s="221">
        <f t="shared" si="81"/>
        <v>0</v>
      </c>
      <c r="KR21" s="221">
        <f t="shared" si="82"/>
        <v>0</v>
      </c>
      <c r="KT21" s="195">
        <f t="shared" si="83"/>
        <v>0</v>
      </c>
      <c r="KU21" s="221"/>
      <c r="KV21" s="221"/>
      <c r="KW21" s="221"/>
      <c r="KX21" s="221"/>
      <c r="KY21" s="221"/>
      <c r="KZ21" s="221"/>
      <c r="LA21" s="221"/>
      <c r="LB21" s="221"/>
      <c r="LC21" s="221"/>
      <c r="LD21" s="221"/>
      <c r="LE21" s="221"/>
      <c r="LF21" s="221"/>
      <c r="LG21" s="221"/>
      <c r="LH21" s="221"/>
      <c r="LI21" s="221"/>
      <c r="LJ21" s="221"/>
      <c r="LK21" s="221"/>
      <c r="LL21" s="221"/>
      <c r="LM21" s="221"/>
      <c r="LN21" s="221"/>
      <c r="LO21" s="221"/>
      <c r="LP21" s="221"/>
      <c r="LQ21" s="221"/>
      <c r="LR21" s="221"/>
      <c r="LS21" s="221"/>
      <c r="LT21" s="221"/>
      <c r="LU21" s="221"/>
      <c r="LV21" s="221"/>
      <c r="LW21" s="221"/>
      <c r="LX21" s="221"/>
      <c r="LY21" s="221"/>
      <c r="LZ21" s="221"/>
      <c r="MA21" s="221"/>
      <c r="MB21" s="221"/>
      <c r="MC21" s="221"/>
      <c r="MD21" s="221"/>
      <c r="ME21" s="221"/>
      <c r="MF21" s="221"/>
      <c r="MG21" s="221"/>
      <c r="MH21" s="221"/>
      <c r="MI21" s="221"/>
      <c r="MJ21" s="221"/>
      <c r="MK21" s="221"/>
      <c r="ML21" s="221"/>
      <c r="MM21" s="221"/>
      <c r="MN21" s="221"/>
      <c r="MO21" s="221"/>
      <c r="MP21" s="221"/>
      <c r="MQ21" s="221"/>
      <c r="MR21" s="221"/>
      <c r="MS21" s="221"/>
      <c r="MT21" s="221"/>
      <c r="MU21" s="221"/>
      <c r="MV21" s="221"/>
      <c r="MW21" s="221"/>
      <c r="MX21" s="221"/>
      <c r="MY21" s="221"/>
      <c r="MZ21" s="221"/>
      <c r="NA21" s="221"/>
      <c r="NB21" s="221"/>
      <c r="NC21" s="221"/>
      <c r="ND21" s="221"/>
      <c r="NE21" s="221"/>
      <c r="NF21" s="221"/>
      <c r="NG21" s="221"/>
      <c r="NH21" s="221"/>
      <c r="NI21" s="221"/>
      <c r="NJ21" s="221"/>
      <c r="NK21" s="221"/>
      <c r="NM21" s="195">
        <f t="shared" si="178"/>
        <v>0</v>
      </c>
      <c r="NN21" s="195">
        <f t="shared" si="179"/>
        <v>0</v>
      </c>
      <c r="NO21" s="195">
        <f t="shared" si="180"/>
        <v>0</v>
      </c>
      <c r="NP21" s="195">
        <f t="shared" si="181"/>
        <v>0</v>
      </c>
      <c r="NQ21" s="195">
        <f t="shared" si="182"/>
        <v>0</v>
      </c>
      <c r="NR21" s="195">
        <f t="shared" si="183"/>
        <v>0</v>
      </c>
      <c r="NS21" s="195">
        <f t="shared" si="184"/>
        <v>0</v>
      </c>
      <c r="NT21" s="195">
        <f t="shared" si="185"/>
        <v>0</v>
      </c>
      <c r="NU21" s="196">
        <f t="shared" si="186"/>
        <v>0</v>
      </c>
      <c r="NY21" s="215">
        <f t="shared" si="187"/>
        <v>1</v>
      </c>
      <c r="NZ21" s="222">
        <v>11875000</v>
      </c>
      <c r="OE21" s="207">
        <f t="shared" si="85"/>
        <v>0</v>
      </c>
      <c r="OF21" s="207">
        <f t="shared" si="86"/>
        <v>0</v>
      </c>
      <c r="OG21" s="207">
        <f t="shared" si="87"/>
        <v>0</v>
      </c>
      <c r="OH21" s="207">
        <f t="shared" si="188"/>
        <v>0</v>
      </c>
      <c r="OI21" s="207">
        <f t="shared" si="88"/>
        <v>0</v>
      </c>
      <c r="OJ21" s="199">
        <f t="shared" si="189"/>
        <v>0</v>
      </c>
      <c r="OK21" s="199">
        <f t="shared" si="190"/>
        <v>0</v>
      </c>
      <c r="OL21" s="199">
        <f t="shared" si="191"/>
        <v>0</v>
      </c>
      <c r="OM21" s="199">
        <f t="shared" si="192"/>
        <v>0</v>
      </c>
      <c r="OO21" s="207">
        <f t="shared" si="89"/>
        <v>0</v>
      </c>
      <c r="OP21" s="207">
        <f t="shared" si="90"/>
        <v>0</v>
      </c>
      <c r="OQ21" s="207">
        <f t="shared" si="193"/>
        <v>0</v>
      </c>
      <c r="OR21" s="207">
        <f t="shared" si="194"/>
        <v>0</v>
      </c>
      <c r="OS21" s="207">
        <f t="shared" si="195"/>
        <v>0</v>
      </c>
      <c r="OT21" s="199">
        <f t="shared" si="196"/>
        <v>0</v>
      </c>
      <c r="OU21" s="199">
        <f t="shared" si="197"/>
        <v>0</v>
      </c>
      <c r="OV21" s="199">
        <f t="shared" si="198"/>
        <v>0</v>
      </c>
      <c r="OW21" s="199">
        <f t="shared" si="199"/>
        <v>0</v>
      </c>
      <c r="OZ21" s="208">
        <f t="shared" si="91"/>
        <v>0</v>
      </c>
      <c r="PA21" s="209"/>
      <c r="PB21" s="209"/>
      <c r="PC21" s="209"/>
      <c r="PD21" s="210">
        <f t="shared" si="200"/>
        <v>0</v>
      </c>
      <c r="PE21" s="210"/>
      <c r="PF21" s="210">
        <f t="shared" si="201"/>
        <v>0</v>
      </c>
      <c r="PG21" s="210">
        <f t="shared" si="202"/>
        <v>0</v>
      </c>
      <c r="PH21" s="210">
        <f t="shared" si="92"/>
        <v>0</v>
      </c>
      <c r="PI21" s="210">
        <f t="shared" si="93"/>
        <v>0</v>
      </c>
      <c r="PJ21" s="210">
        <f t="shared" si="94"/>
        <v>0</v>
      </c>
      <c r="PK21" s="210">
        <f t="shared" si="95"/>
        <v>0</v>
      </c>
      <c r="PL21" s="210">
        <f t="shared" si="96"/>
        <v>0</v>
      </c>
      <c r="PM21" s="211"/>
      <c r="PN21" s="211"/>
      <c r="PO21" s="212">
        <f t="shared" si="203"/>
        <v>0</v>
      </c>
      <c r="PP21" s="212">
        <f t="shared" si="204"/>
        <v>0</v>
      </c>
      <c r="PQ21" s="212">
        <f t="shared" si="205"/>
        <v>0</v>
      </c>
      <c r="PR21" s="211"/>
      <c r="PS21" s="211"/>
      <c r="PT21" s="211"/>
      <c r="PU21" s="211"/>
    </row>
    <row r="22" spans="1:437" s="195" customFormat="1" ht="16" x14ac:dyDescent="0.2">
      <c r="A22" s="213">
        <f t="shared" si="206"/>
        <v>13</v>
      </c>
      <c r="B22" s="186" t="s">
        <v>38</v>
      </c>
      <c r="C22" s="186">
        <v>15</v>
      </c>
      <c r="D22" s="188">
        <v>1</v>
      </c>
      <c r="E22" s="188">
        <v>134</v>
      </c>
      <c r="F22" s="188">
        <v>1</v>
      </c>
      <c r="G22" s="188">
        <f t="shared" si="97"/>
        <v>134</v>
      </c>
      <c r="H22" s="214">
        <f t="shared" si="98"/>
        <v>1</v>
      </c>
      <c r="I22" s="214">
        <f t="shared" si="99"/>
        <v>1</v>
      </c>
      <c r="J22" s="188">
        <v>1</v>
      </c>
      <c r="K22" s="188">
        <f t="shared" si="100"/>
        <v>134</v>
      </c>
      <c r="L22" s="214">
        <f t="shared" si="101"/>
        <v>1</v>
      </c>
      <c r="M22" s="214">
        <f t="shared" si="102"/>
        <v>1</v>
      </c>
      <c r="N22" s="188">
        <v>1</v>
      </c>
      <c r="O22" s="188">
        <f t="shared" si="103"/>
        <v>134</v>
      </c>
      <c r="P22" s="214">
        <f t="shared" si="104"/>
        <v>1</v>
      </c>
      <c r="Q22" s="214">
        <f t="shared" si="105"/>
        <v>1</v>
      </c>
      <c r="R22" s="188">
        <v>1</v>
      </c>
      <c r="S22" s="188">
        <f t="shared" si="106"/>
        <v>134</v>
      </c>
      <c r="T22" s="214">
        <f t="shared" si="107"/>
        <v>1</v>
      </c>
      <c r="U22" s="214">
        <f t="shared" si="108"/>
        <v>1</v>
      </c>
      <c r="V22" s="215">
        <v>1</v>
      </c>
      <c r="W22" s="188">
        <f t="shared" si="109"/>
        <v>134</v>
      </c>
      <c r="X22" s="214">
        <f t="shared" si="110"/>
        <v>1</v>
      </c>
      <c r="Y22" s="214">
        <f t="shared" si="111"/>
        <v>1</v>
      </c>
      <c r="Z22" s="216">
        <f>2190449000/1000000000</f>
        <v>2.1904490000000001</v>
      </c>
      <c r="AA22" s="188">
        <v>0</v>
      </c>
      <c r="AB22" s="188">
        <f t="shared" si="112"/>
        <v>0</v>
      </c>
      <c r="AC22" s="214">
        <f t="shared" si="113"/>
        <v>0</v>
      </c>
      <c r="AD22" s="214">
        <f t="shared" si="114"/>
        <v>0</v>
      </c>
      <c r="AE22" s="188"/>
      <c r="AF22" s="188">
        <f t="shared" si="115"/>
        <v>0</v>
      </c>
      <c r="AG22" s="223"/>
      <c r="AH22" s="188"/>
      <c r="AI22" s="188">
        <v>1</v>
      </c>
      <c r="AJ22" s="188">
        <f t="shared" si="2"/>
        <v>134</v>
      </c>
      <c r="AK22" s="188" t="s">
        <v>304</v>
      </c>
      <c r="AL22" s="188">
        <v>0</v>
      </c>
      <c r="AM22" s="188">
        <v>0</v>
      </c>
      <c r="AN22" s="217"/>
      <c r="AO22" s="188">
        <f t="shared" si="207"/>
        <v>1</v>
      </c>
      <c r="AP22" s="188">
        <f t="shared" si="208"/>
        <v>134</v>
      </c>
      <c r="AQ22" s="188">
        <f t="shared" si="5"/>
        <v>1</v>
      </c>
      <c r="AR22" s="188">
        <f t="shared" si="6"/>
        <v>134</v>
      </c>
      <c r="AS22" s="188">
        <f t="shared" si="7"/>
        <v>1</v>
      </c>
      <c r="AT22" s="188">
        <f t="shared" si="8"/>
        <v>134</v>
      </c>
      <c r="AU22" s="188">
        <f t="shared" si="209"/>
        <v>1</v>
      </c>
      <c r="AV22" s="188">
        <f t="shared" si="210"/>
        <v>134</v>
      </c>
      <c r="AW22" s="188">
        <f t="shared" si="211"/>
        <v>1</v>
      </c>
      <c r="AX22" s="188">
        <f t="shared" si="212"/>
        <v>134</v>
      </c>
      <c r="AY22" s="188">
        <f t="shared" si="116"/>
        <v>0</v>
      </c>
      <c r="AZ22" s="188">
        <f t="shared" si="117"/>
        <v>0</v>
      </c>
      <c r="BA22" s="188">
        <f t="shared" si="14"/>
        <v>2.1904490000000001</v>
      </c>
      <c r="BB22" s="188">
        <f t="shared" si="15"/>
        <v>0</v>
      </c>
      <c r="BD22" s="196">
        <f t="shared" si="118"/>
        <v>0</v>
      </c>
      <c r="BE22" s="188">
        <f t="shared" si="16"/>
        <v>0</v>
      </c>
      <c r="BF22" s="188">
        <f t="shared" si="17"/>
        <v>0</v>
      </c>
      <c r="BG22" s="188">
        <f t="shared" si="18"/>
        <v>0</v>
      </c>
      <c r="BH22" s="188">
        <f t="shared" si="19"/>
        <v>0</v>
      </c>
      <c r="BI22" s="188">
        <f t="shared" si="20"/>
        <v>0</v>
      </c>
      <c r="BJ22" s="188">
        <f t="shared" si="21"/>
        <v>0</v>
      </c>
      <c r="BK22" s="188">
        <f t="shared" si="22"/>
        <v>0</v>
      </c>
      <c r="BN22" s="277">
        <v>52</v>
      </c>
      <c r="BO22" s="139">
        <v>1</v>
      </c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B22" s="188"/>
      <c r="CD22" s="188">
        <f t="shared" si="23"/>
        <v>52</v>
      </c>
      <c r="CE22" s="188">
        <f t="shared" si="24"/>
        <v>52</v>
      </c>
      <c r="CF22" s="188">
        <f t="shared" si="25"/>
        <v>0</v>
      </c>
      <c r="CG22" s="188">
        <f t="shared" si="26"/>
        <v>0</v>
      </c>
      <c r="CH22" s="188">
        <f t="shared" si="27"/>
        <v>0</v>
      </c>
      <c r="CI22" s="188">
        <f t="shared" si="28"/>
        <v>0</v>
      </c>
      <c r="CJ22" s="188">
        <f t="shared" si="29"/>
        <v>0</v>
      </c>
      <c r="CK22" s="188">
        <f t="shared" si="30"/>
        <v>0</v>
      </c>
      <c r="CL22" s="188">
        <f t="shared" si="31"/>
        <v>0</v>
      </c>
      <c r="CM22" s="188">
        <f t="shared" si="32"/>
        <v>0</v>
      </c>
      <c r="CN22" s="188">
        <f t="shared" si="33"/>
        <v>0</v>
      </c>
      <c r="CO22" s="188">
        <f t="shared" si="34"/>
        <v>0</v>
      </c>
      <c r="CP22" s="188">
        <f t="shared" si="35"/>
        <v>0</v>
      </c>
      <c r="DV22" s="188">
        <f t="shared" si="36"/>
        <v>0</v>
      </c>
      <c r="DW22" s="188">
        <f t="shared" si="37"/>
        <v>0</v>
      </c>
      <c r="DX22" s="188">
        <f t="shared" si="38"/>
        <v>0</v>
      </c>
      <c r="DY22" s="188">
        <f t="shared" si="39"/>
        <v>0</v>
      </c>
      <c r="DZ22" s="188">
        <f t="shared" si="40"/>
        <v>0</v>
      </c>
      <c r="EA22" s="188">
        <f t="shared" si="41"/>
        <v>0</v>
      </c>
      <c r="EB22" s="188">
        <f t="shared" si="42"/>
        <v>0</v>
      </c>
      <c r="EG22" s="220">
        <f t="shared" si="43"/>
        <v>0</v>
      </c>
      <c r="EH22" s="220">
        <f t="shared" si="44"/>
        <v>0</v>
      </c>
      <c r="EI22" s="188"/>
      <c r="EJ22" s="188"/>
      <c r="EK22" s="188"/>
      <c r="EL22" s="188"/>
      <c r="EM22" s="188"/>
      <c r="EN22" s="188"/>
      <c r="EO22" s="188"/>
      <c r="EP22" s="188"/>
      <c r="EQ22" s="188"/>
      <c r="ER22" s="188"/>
      <c r="ES22" s="188"/>
      <c r="ET22" s="188"/>
      <c r="EU22" s="188"/>
      <c r="EV22" s="188"/>
      <c r="EW22" s="188"/>
      <c r="EX22" s="188"/>
      <c r="EY22" s="188"/>
      <c r="EZ22" s="188"/>
      <c r="FA22" s="188"/>
      <c r="FB22" s="188"/>
      <c r="FC22" s="188"/>
      <c r="FD22" s="188"/>
      <c r="FE22" s="188"/>
      <c r="FF22" s="188"/>
      <c r="FH22" s="189"/>
      <c r="FI22" s="189"/>
      <c r="FJ22" s="189"/>
      <c r="FK22" s="189"/>
      <c r="FL22" s="189"/>
      <c r="FM22" s="189"/>
      <c r="FN22" s="189"/>
      <c r="FO22" s="189"/>
      <c r="FP22" s="189"/>
      <c r="FQ22" s="189"/>
      <c r="FR22" s="189"/>
      <c r="FS22" s="189"/>
      <c r="FT22" s="189"/>
      <c r="FU22" s="189"/>
      <c r="FV22" s="189"/>
      <c r="FX22" s="217">
        <v>1</v>
      </c>
      <c r="FY22" s="188">
        <f t="shared" si="45"/>
        <v>52</v>
      </c>
      <c r="FZ22" s="188">
        <f t="shared" si="46"/>
        <v>52</v>
      </c>
      <c r="GA22" s="188">
        <f t="shared" si="47"/>
        <v>0</v>
      </c>
      <c r="GB22" s="188">
        <f t="shared" si="48"/>
        <v>0</v>
      </c>
      <c r="GC22" s="188">
        <f t="shared" si="49"/>
        <v>0</v>
      </c>
      <c r="GD22" s="188">
        <f t="shared" si="50"/>
        <v>0</v>
      </c>
      <c r="GE22" s="188">
        <f t="shared" si="51"/>
        <v>0</v>
      </c>
      <c r="GF22" s="199"/>
      <c r="GG22" s="189">
        <v>0</v>
      </c>
      <c r="GH22" s="189">
        <v>0</v>
      </c>
      <c r="GI22" s="199"/>
      <c r="GJ22" s="200">
        <f t="shared" si="52"/>
        <v>0</v>
      </c>
      <c r="GK22" s="200">
        <f t="shared" si="53"/>
        <v>0</v>
      </c>
      <c r="GO22" s="189">
        <f t="shared" si="119"/>
        <v>0</v>
      </c>
      <c r="GP22" s="189">
        <f t="shared" si="120"/>
        <v>0</v>
      </c>
      <c r="GQ22" s="189">
        <f t="shared" si="121"/>
        <v>0</v>
      </c>
      <c r="GR22" s="189">
        <f t="shared" si="122"/>
        <v>0</v>
      </c>
      <c r="GS22" s="189">
        <f t="shared" si="123"/>
        <v>0</v>
      </c>
      <c r="GT22" s="189">
        <f t="shared" si="124"/>
        <v>1</v>
      </c>
      <c r="GU22" s="201">
        <f t="shared" si="125"/>
        <v>43243</v>
      </c>
      <c r="GV22" s="189" t="str">
        <f t="shared" si="126"/>
        <v>SELESAI</v>
      </c>
      <c r="GW22" s="189">
        <f t="shared" si="127"/>
        <v>0</v>
      </c>
      <c r="GX22" s="202" t="str">
        <f t="shared" si="128"/>
        <v>SELESAI</v>
      </c>
      <c r="GY22" s="202">
        <f t="shared" si="129"/>
        <v>0</v>
      </c>
      <c r="GZ22" s="203" t="str">
        <f t="shared" si="130"/>
        <v>SELESAI</v>
      </c>
      <c r="HA22" s="204"/>
      <c r="HB22" s="204"/>
      <c r="HC22" s="189">
        <f t="shared" si="131"/>
        <v>0</v>
      </c>
      <c r="HD22" s="189">
        <f t="shared" si="132"/>
        <v>0</v>
      </c>
      <c r="HE22" s="189">
        <f t="shared" si="133"/>
        <v>0</v>
      </c>
      <c r="HF22" s="189">
        <f t="shared" si="134"/>
        <v>0</v>
      </c>
      <c r="HG22" s="189">
        <f t="shared" si="135"/>
        <v>0</v>
      </c>
      <c r="HH22" s="201" t="str">
        <f t="shared" si="136"/>
        <v>TIDAK KONSINYASI</v>
      </c>
      <c r="HI22" s="201" t="str">
        <f t="shared" si="137"/>
        <v>SELESAI</v>
      </c>
      <c r="HJ22" s="205"/>
      <c r="HK22" s="201">
        <f t="shared" si="138"/>
        <v>0</v>
      </c>
      <c r="HL22" s="204"/>
      <c r="HM22" s="204"/>
      <c r="HN22" s="204"/>
      <c r="HO22" s="204"/>
      <c r="HP22" s="203">
        <f t="shared" si="139"/>
        <v>0</v>
      </c>
      <c r="HQ22" s="202">
        <f t="shared" si="140"/>
        <v>0</v>
      </c>
      <c r="HR22" s="202">
        <f t="shared" si="141"/>
        <v>0</v>
      </c>
      <c r="HS22" s="203">
        <f t="shared" si="142"/>
        <v>0</v>
      </c>
      <c r="HT22" s="202">
        <f t="shared" si="143"/>
        <v>0</v>
      </c>
      <c r="HU22" s="202">
        <f t="shared" si="144"/>
        <v>0</v>
      </c>
      <c r="HV22" s="203">
        <f t="shared" si="145"/>
        <v>0</v>
      </c>
      <c r="HW22" s="202">
        <f t="shared" si="146"/>
        <v>0</v>
      </c>
      <c r="HX22" s="202">
        <f t="shared" si="147"/>
        <v>0</v>
      </c>
      <c r="HY22" s="203">
        <f t="shared" si="148"/>
        <v>0</v>
      </c>
      <c r="HZ22" s="202">
        <f t="shared" si="149"/>
        <v>0</v>
      </c>
      <c r="IA22" s="202">
        <f t="shared" si="150"/>
        <v>0</v>
      </c>
      <c r="IB22" s="203">
        <f t="shared" si="151"/>
        <v>0</v>
      </c>
      <c r="IC22" s="202">
        <f t="shared" si="152"/>
        <v>0</v>
      </c>
      <c r="ID22" s="202">
        <f t="shared" si="153"/>
        <v>0</v>
      </c>
      <c r="IE22" s="203">
        <f t="shared" si="154"/>
        <v>0</v>
      </c>
      <c r="IF22" s="202">
        <f t="shared" si="155"/>
        <v>0</v>
      </c>
      <c r="IG22" s="202">
        <f t="shared" si="156"/>
        <v>0</v>
      </c>
      <c r="IH22" s="203">
        <f t="shared" si="157"/>
        <v>0</v>
      </c>
      <c r="II22" s="202">
        <f t="shared" si="158"/>
        <v>0</v>
      </c>
      <c r="IJ22" s="202">
        <f t="shared" si="159"/>
        <v>0</v>
      </c>
      <c r="IK22" s="203">
        <f t="shared" si="160"/>
        <v>0</v>
      </c>
      <c r="IL22" s="202">
        <f t="shared" si="161"/>
        <v>0</v>
      </c>
      <c r="IM22" s="202">
        <f t="shared" si="162"/>
        <v>0</v>
      </c>
      <c r="IN22" s="204"/>
      <c r="IO22" s="203">
        <f t="shared" si="163"/>
        <v>0</v>
      </c>
      <c r="IP22" s="202">
        <f t="shared" si="164"/>
        <v>0</v>
      </c>
      <c r="IQ22" s="202">
        <f t="shared" si="165"/>
        <v>0</v>
      </c>
      <c r="IR22" s="204"/>
      <c r="IS22" s="203"/>
      <c r="IT22" s="202">
        <f t="shared" si="166"/>
        <v>1</v>
      </c>
      <c r="IU22" s="202">
        <f t="shared" si="167"/>
        <v>134</v>
      </c>
      <c r="IV22" s="204"/>
      <c r="IW22" s="203"/>
      <c r="IX22" s="202">
        <f t="shared" si="168"/>
        <v>0</v>
      </c>
      <c r="IY22" s="202">
        <f t="shared" si="169"/>
        <v>0</v>
      </c>
      <c r="IZ22" s="204"/>
      <c r="JA22" s="203"/>
      <c r="JB22" s="202">
        <f t="shared" si="170"/>
        <v>0</v>
      </c>
      <c r="JC22" s="202">
        <f t="shared" si="171"/>
        <v>0</v>
      </c>
      <c r="JD22" s="204"/>
      <c r="JE22" s="203"/>
      <c r="JF22" s="202">
        <f t="shared" si="172"/>
        <v>1</v>
      </c>
      <c r="JG22" s="202">
        <f t="shared" si="173"/>
        <v>134</v>
      </c>
      <c r="JH22" s="204"/>
      <c r="JI22" s="203"/>
      <c r="JJ22" s="202">
        <f t="shared" si="174"/>
        <v>0</v>
      </c>
      <c r="JK22" s="202">
        <f t="shared" si="175"/>
        <v>0</v>
      </c>
      <c r="JM22" s="203">
        <f t="shared" si="176"/>
        <v>0</v>
      </c>
      <c r="JO22" s="196">
        <f t="shared" si="54"/>
        <v>1</v>
      </c>
      <c r="JP22" s="189">
        <f t="shared" si="55"/>
        <v>52</v>
      </c>
      <c r="JQ22" s="189">
        <f t="shared" si="56"/>
        <v>1</v>
      </c>
      <c r="JR22" s="189">
        <f t="shared" si="57"/>
        <v>0</v>
      </c>
      <c r="JS22" s="189">
        <f t="shared" si="58"/>
        <v>0</v>
      </c>
      <c r="JT22" s="189">
        <f t="shared" si="59"/>
        <v>0</v>
      </c>
      <c r="JU22" s="189">
        <f t="shared" si="60"/>
        <v>0</v>
      </c>
      <c r="JV22" s="189">
        <f t="shared" si="61"/>
        <v>0</v>
      </c>
      <c r="JW22" s="189">
        <f t="shared" si="62"/>
        <v>0</v>
      </c>
      <c r="JX22" s="189">
        <f t="shared" si="63"/>
        <v>0</v>
      </c>
      <c r="JY22" s="189">
        <f t="shared" si="64"/>
        <v>0</v>
      </c>
      <c r="JZ22" s="189">
        <f t="shared" si="65"/>
        <v>0</v>
      </c>
      <c r="KA22" s="189">
        <f t="shared" si="66"/>
        <v>0</v>
      </c>
      <c r="KB22" s="189">
        <f t="shared" si="67"/>
        <v>0</v>
      </c>
      <c r="KD22" s="206">
        <f t="shared" si="177"/>
        <v>0</v>
      </c>
      <c r="KE22" s="206">
        <f t="shared" si="69"/>
        <v>0</v>
      </c>
      <c r="KF22" s="206">
        <f t="shared" si="70"/>
        <v>52</v>
      </c>
      <c r="KG22" s="206">
        <f t="shared" si="71"/>
        <v>52</v>
      </c>
      <c r="KH22" s="206">
        <f t="shared" si="72"/>
        <v>0</v>
      </c>
      <c r="KI22" s="206">
        <f t="shared" si="73"/>
        <v>0</v>
      </c>
      <c r="KJ22" s="206">
        <f t="shared" si="74"/>
        <v>0</v>
      </c>
      <c r="KK22" s="206">
        <f t="shared" si="75"/>
        <v>0</v>
      </c>
      <c r="KL22" s="206">
        <f t="shared" si="76"/>
        <v>0</v>
      </c>
      <c r="KM22" s="206">
        <f t="shared" si="77"/>
        <v>0</v>
      </c>
      <c r="KN22" s="221">
        <f t="shared" si="78"/>
        <v>0</v>
      </c>
      <c r="KO22" s="221">
        <f t="shared" si="79"/>
        <v>0</v>
      </c>
      <c r="KP22" s="221">
        <f t="shared" si="80"/>
        <v>0</v>
      </c>
      <c r="KQ22" s="221">
        <f t="shared" si="81"/>
        <v>0</v>
      </c>
      <c r="KR22" s="221">
        <f t="shared" si="82"/>
        <v>0</v>
      </c>
      <c r="KT22" s="195">
        <f t="shared" si="83"/>
        <v>0</v>
      </c>
      <c r="KU22" s="221"/>
      <c r="KV22" s="221"/>
      <c r="KW22" s="221"/>
      <c r="KX22" s="221"/>
      <c r="KY22" s="221"/>
      <c r="KZ22" s="221"/>
      <c r="LA22" s="221"/>
      <c r="LB22" s="221"/>
      <c r="LC22" s="221"/>
      <c r="LD22" s="221"/>
      <c r="LE22" s="221"/>
      <c r="LF22" s="221"/>
      <c r="LG22" s="221"/>
      <c r="LH22" s="221"/>
      <c r="LI22" s="221"/>
      <c r="LJ22" s="221"/>
      <c r="LK22" s="221"/>
      <c r="LL22" s="221"/>
      <c r="LM22" s="221"/>
      <c r="LN22" s="221"/>
      <c r="LO22" s="221"/>
      <c r="LP22" s="221"/>
      <c r="LQ22" s="221"/>
      <c r="LR22" s="221"/>
      <c r="LS22" s="221"/>
      <c r="LT22" s="221"/>
      <c r="LU22" s="221"/>
      <c r="LV22" s="221"/>
      <c r="LW22" s="221"/>
      <c r="LX22" s="221"/>
      <c r="LY22" s="221"/>
      <c r="LZ22" s="221"/>
      <c r="MA22" s="221"/>
      <c r="MB22" s="221"/>
      <c r="MC22" s="221"/>
      <c r="MD22" s="221"/>
      <c r="ME22" s="221"/>
      <c r="MF22" s="221"/>
      <c r="MG22" s="221"/>
      <c r="MH22" s="221"/>
      <c r="MI22" s="221"/>
      <c r="MJ22" s="221"/>
      <c r="MK22" s="221"/>
      <c r="ML22" s="221"/>
      <c r="MM22" s="221"/>
      <c r="MN22" s="221"/>
      <c r="MO22" s="221"/>
      <c r="MP22" s="221"/>
      <c r="MQ22" s="221"/>
      <c r="MR22" s="221"/>
      <c r="MS22" s="221"/>
      <c r="MT22" s="221"/>
      <c r="MU22" s="221"/>
      <c r="MV22" s="221"/>
      <c r="MW22" s="221"/>
      <c r="MX22" s="221"/>
      <c r="MY22" s="221"/>
      <c r="MZ22" s="221"/>
      <c r="NA22" s="221"/>
      <c r="NB22" s="221"/>
      <c r="NC22" s="221"/>
      <c r="ND22" s="221"/>
      <c r="NE22" s="221"/>
      <c r="NF22" s="221"/>
      <c r="NG22" s="221"/>
      <c r="NH22" s="221"/>
      <c r="NI22" s="221"/>
      <c r="NJ22" s="221"/>
      <c r="NK22" s="221"/>
      <c r="NM22" s="195">
        <f t="shared" si="178"/>
        <v>0</v>
      </c>
      <c r="NN22" s="195">
        <f t="shared" si="179"/>
        <v>0</v>
      </c>
      <c r="NO22" s="195">
        <f t="shared" si="180"/>
        <v>0</v>
      </c>
      <c r="NP22" s="195">
        <f t="shared" si="181"/>
        <v>0</v>
      </c>
      <c r="NQ22" s="195">
        <f t="shared" si="182"/>
        <v>0</v>
      </c>
      <c r="NR22" s="195">
        <f t="shared" si="183"/>
        <v>0</v>
      </c>
      <c r="NS22" s="195">
        <f t="shared" si="184"/>
        <v>0</v>
      </c>
      <c r="NT22" s="195">
        <f t="shared" si="185"/>
        <v>0</v>
      </c>
      <c r="NU22" s="196">
        <f t="shared" si="186"/>
        <v>0</v>
      </c>
      <c r="NY22" s="215">
        <f t="shared" si="187"/>
        <v>1</v>
      </c>
      <c r="NZ22" s="222">
        <v>12500000</v>
      </c>
      <c r="OE22" s="207">
        <f t="shared" si="85"/>
        <v>0</v>
      </c>
      <c r="OF22" s="207">
        <f t="shared" si="86"/>
        <v>0</v>
      </c>
      <c r="OG22" s="207">
        <f t="shared" si="87"/>
        <v>0</v>
      </c>
      <c r="OH22" s="207">
        <f t="shared" si="188"/>
        <v>0</v>
      </c>
      <c r="OI22" s="207">
        <f t="shared" si="88"/>
        <v>0</v>
      </c>
      <c r="OJ22" s="199">
        <f t="shared" si="189"/>
        <v>0</v>
      </c>
      <c r="OK22" s="199">
        <f t="shared" si="190"/>
        <v>0</v>
      </c>
      <c r="OL22" s="199">
        <f t="shared" si="191"/>
        <v>0</v>
      </c>
      <c r="OM22" s="199">
        <f t="shared" si="192"/>
        <v>0</v>
      </c>
      <c r="OO22" s="207">
        <f t="shared" si="89"/>
        <v>0</v>
      </c>
      <c r="OP22" s="207">
        <f t="shared" si="90"/>
        <v>0</v>
      </c>
      <c r="OQ22" s="207">
        <f t="shared" si="193"/>
        <v>0</v>
      </c>
      <c r="OR22" s="207">
        <f t="shared" si="194"/>
        <v>0</v>
      </c>
      <c r="OS22" s="207">
        <f t="shared" si="195"/>
        <v>0</v>
      </c>
      <c r="OT22" s="199">
        <f t="shared" si="196"/>
        <v>0</v>
      </c>
      <c r="OU22" s="199">
        <f t="shared" si="197"/>
        <v>0</v>
      </c>
      <c r="OV22" s="199">
        <f t="shared" si="198"/>
        <v>0</v>
      </c>
      <c r="OW22" s="199">
        <f t="shared" si="199"/>
        <v>0</v>
      </c>
      <c r="OZ22" s="208">
        <f t="shared" si="91"/>
        <v>0</v>
      </c>
      <c r="PA22" s="209"/>
      <c r="PB22" s="209"/>
      <c r="PC22" s="209"/>
      <c r="PD22" s="210">
        <f t="shared" si="200"/>
        <v>0</v>
      </c>
      <c r="PE22" s="210"/>
      <c r="PF22" s="210">
        <f t="shared" si="201"/>
        <v>0</v>
      </c>
      <c r="PG22" s="210">
        <f t="shared" si="202"/>
        <v>0</v>
      </c>
      <c r="PH22" s="210">
        <f t="shared" si="92"/>
        <v>0</v>
      </c>
      <c r="PI22" s="210">
        <f t="shared" si="93"/>
        <v>0</v>
      </c>
      <c r="PJ22" s="210">
        <f t="shared" si="94"/>
        <v>0</v>
      </c>
      <c r="PK22" s="210">
        <f t="shared" si="95"/>
        <v>0</v>
      </c>
      <c r="PL22" s="210">
        <f t="shared" si="96"/>
        <v>0</v>
      </c>
      <c r="PM22" s="211"/>
      <c r="PN22" s="211"/>
      <c r="PO22" s="212">
        <f t="shared" si="203"/>
        <v>0</v>
      </c>
      <c r="PP22" s="212">
        <f t="shared" si="204"/>
        <v>0</v>
      </c>
      <c r="PQ22" s="212">
        <f t="shared" si="205"/>
        <v>0</v>
      </c>
      <c r="PR22" s="211"/>
      <c r="PS22" s="211"/>
      <c r="PT22" s="211"/>
      <c r="PU22" s="211"/>
    </row>
    <row r="23" spans="1:437" s="195" customFormat="1" ht="16" x14ac:dyDescent="0.2">
      <c r="A23" s="213">
        <f t="shared" si="206"/>
        <v>14</v>
      </c>
      <c r="B23" s="186" t="s">
        <v>39</v>
      </c>
      <c r="C23" s="186">
        <v>16</v>
      </c>
      <c r="D23" s="188">
        <v>1</v>
      </c>
      <c r="E23" s="188">
        <v>202</v>
      </c>
      <c r="F23" s="188">
        <v>1</v>
      </c>
      <c r="G23" s="188">
        <f t="shared" si="97"/>
        <v>202</v>
      </c>
      <c r="H23" s="214">
        <f t="shared" si="98"/>
        <v>1</v>
      </c>
      <c r="I23" s="214">
        <f t="shared" si="99"/>
        <v>1</v>
      </c>
      <c r="J23" s="188">
        <v>1</v>
      </c>
      <c r="K23" s="188">
        <f t="shared" si="100"/>
        <v>202</v>
      </c>
      <c r="L23" s="214">
        <f t="shared" si="101"/>
        <v>1</v>
      </c>
      <c r="M23" s="214">
        <f t="shared" si="102"/>
        <v>1</v>
      </c>
      <c r="N23" s="188">
        <v>1</v>
      </c>
      <c r="O23" s="188">
        <f t="shared" si="103"/>
        <v>202</v>
      </c>
      <c r="P23" s="214">
        <f t="shared" si="104"/>
        <v>1</v>
      </c>
      <c r="Q23" s="214">
        <f t="shared" si="105"/>
        <v>1</v>
      </c>
      <c r="R23" s="188">
        <v>1</v>
      </c>
      <c r="S23" s="188">
        <f t="shared" si="106"/>
        <v>202</v>
      </c>
      <c r="T23" s="214">
        <f t="shared" si="107"/>
        <v>1</v>
      </c>
      <c r="U23" s="214">
        <f t="shared" si="108"/>
        <v>1</v>
      </c>
      <c r="V23" s="215">
        <v>1</v>
      </c>
      <c r="W23" s="188">
        <f t="shared" si="109"/>
        <v>202</v>
      </c>
      <c r="X23" s="214">
        <f t="shared" si="110"/>
        <v>1</v>
      </c>
      <c r="Y23" s="214">
        <f t="shared" si="111"/>
        <v>1</v>
      </c>
      <c r="Z23" s="216">
        <f>3895010000/1000000000</f>
        <v>3.8950100000000001</v>
      </c>
      <c r="AA23" s="188">
        <v>0</v>
      </c>
      <c r="AB23" s="188">
        <f t="shared" si="112"/>
        <v>0</v>
      </c>
      <c r="AC23" s="214">
        <f t="shared" si="113"/>
        <v>0</v>
      </c>
      <c r="AD23" s="214">
        <f t="shared" si="114"/>
        <v>0</v>
      </c>
      <c r="AE23" s="188"/>
      <c r="AF23" s="188">
        <f t="shared" si="115"/>
        <v>0</v>
      </c>
      <c r="AG23" s="188"/>
      <c r="AH23" s="188"/>
      <c r="AI23" s="188">
        <v>1</v>
      </c>
      <c r="AJ23" s="188">
        <f t="shared" si="2"/>
        <v>202</v>
      </c>
      <c r="AK23" s="188" t="s">
        <v>304</v>
      </c>
      <c r="AL23" s="188">
        <v>0</v>
      </c>
      <c r="AM23" s="188">
        <v>0</v>
      </c>
      <c r="AN23" s="217"/>
      <c r="AO23" s="188">
        <f t="shared" si="207"/>
        <v>1</v>
      </c>
      <c r="AP23" s="188">
        <f t="shared" si="208"/>
        <v>202</v>
      </c>
      <c r="AQ23" s="188">
        <f t="shared" si="5"/>
        <v>1</v>
      </c>
      <c r="AR23" s="188">
        <f t="shared" si="6"/>
        <v>202</v>
      </c>
      <c r="AS23" s="188">
        <f t="shared" si="7"/>
        <v>1</v>
      </c>
      <c r="AT23" s="188">
        <f t="shared" si="8"/>
        <v>202</v>
      </c>
      <c r="AU23" s="188">
        <f t="shared" si="209"/>
        <v>1</v>
      </c>
      <c r="AV23" s="188">
        <f t="shared" si="210"/>
        <v>202</v>
      </c>
      <c r="AW23" s="188">
        <f t="shared" si="211"/>
        <v>1</v>
      </c>
      <c r="AX23" s="188">
        <f t="shared" si="212"/>
        <v>202</v>
      </c>
      <c r="AY23" s="188">
        <f t="shared" si="116"/>
        <v>0</v>
      </c>
      <c r="AZ23" s="188">
        <f t="shared" si="117"/>
        <v>0</v>
      </c>
      <c r="BA23" s="188">
        <f t="shared" si="14"/>
        <v>3.8950100000000001</v>
      </c>
      <c r="BB23" s="188">
        <f t="shared" si="15"/>
        <v>0</v>
      </c>
      <c r="BD23" s="196">
        <f t="shared" si="118"/>
        <v>0</v>
      </c>
      <c r="BE23" s="188">
        <f t="shared" si="16"/>
        <v>0</v>
      </c>
      <c r="BF23" s="188">
        <f t="shared" si="17"/>
        <v>0</v>
      </c>
      <c r="BG23" s="188">
        <f t="shared" si="18"/>
        <v>0</v>
      </c>
      <c r="BH23" s="188">
        <f t="shared" si="19"/>
        <v>0</v>
      </c>
      <c r="BI23" s="188">
        <f t="shared" si="20"/>
        <v>0</v>
      </c>
      <c r="BJ23" s="188">
        <f t="shared" si="21"/>
        <v>0</v>
      </c>
      <c r="BK23" s="188">
        <f t="shared" si="22"/>
        <v>0</v>
      </c>
      <c r="BN23" s="277">
        <v>89</v>
      </c>
      <c r="BO23" s="139">
        <v>1</v>
      </c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B23" s="188"/>
      <c r="CD23" s="188">
        <f t="shared" si="23"/>
        <v>89</v>
      </c>
      <c r="CE23" s="188">
        <f t="shared" si="24"/>
        <v>89</v>
      </c>
      <c r="CF23" s="188">
        <f t="shared" si="25"/>
        <v>0</v>
      </c>
      <c r="CG23" s="188">
        <f t="shared" si="26"/>
        <v>0</v>
      </c>
      <c r="CH23" s="188">
        <f t="shared" si="27"/>
        <v>0</v>
      </c>
      <c r="CI23" s="188">
        <f t="shared" si="28"/>
        <v>0</v>
      </c>
      <c r="CJ23" s="188">
        <f t="shared" si="29"/>
        <v>0</v>
      </c>
      <c r="CK23" s="188">
        <f t="shared" si="30"/>
        <v>0</v>
      </c>
      <c r="CL23" s="188">
        <f t="shared" si="31"/>
        <v>0</v>
      </c>
      <c r="CM23" s="188">
        <f t="shared" si="32"/>
        <v>0</v>
      </c>
      <c r="CN23" s="188">
        <f t="shared" si="33"/>
        <v>0</v>
      </c>
      <c r="CO23" s="188">
        <f t="shared" si="34"/>
        <v>0</v>
      </c>
      <c r="CP23" s="188">
        <f t="shared" si="35"/>
        <v>0</v>
      </c>
      <c r="DV23" s="188">
        <f t="shared" si="36"/>
        <v>0</v>
      </c>
      <c r="DW23" s="188">
        <f t="shared" si="37"/>
        <v>0</v>
      </c>
      <c r="DX23" s="188">
        <f t="shared" si="38"/>
        <v>0</v>
      </c>
      <c r="DY23" s="188">
        <f t="shared" si="39"/>
        <v>0</v>
      </c>
      <c r="DZ23" s="188">
        <f t="shared" si="40"/>
        <v>0</v>
      </c>
      <c r="EA23" s="188">
        <f t="shared" si="41"/>
        <v>0</v>
      </c>
      <c r="EB23" s="188">
        <f t="shared" si="42"/>
        <v>0</v>
      </c>
      <c r="EG23" s="220">
        <f t="shared" si="43"/>
        <v>0</v>
      </c>
      <c r="EH23" s="220">
        <f t="shared" si="44"/>
        <v>0</v>
      </c>
      <c r="EI23" s="188"/>
      <c r="EJ23" s="188"/>
      <c r="EK23" s="188"/>
      <c r="EL23" s="188"/>
      <c r="EM23" s="188"/>
      <c r="EN23" s="188"/>
      <c r="EO23" s="188"/>
      <c r="EP23" s="188"/>
      <c r="EQ23" s="188"/>
      <c r="ER23" s="188"/>
      <c r="ES23" s="188"/>
      <c r="ET23" s="188"/>
      <c r="EU23" s="188"/>
      <c r="EV23" s="188"/>
      <c r="EW23" s="188"/>
      <c r="EX23" s="188"/>
      <c r="EY23" s="188"/>
      <c r="EZ23" s="188"/>
      <c r="FA23" s="188"/>
      <c r="FB23" s="188"/>
      <c r="FC23" s="188"/>
      <c r="FD23" s="188"/>
      <c r="FE23" s="188"/>
      <c r="FF23" s="188"/>
      <c r="FH23" s="189"/>
      <c r="FI23" s="189"/>
      <c r="FJ23" s="189"/>
      <c r="FK23" s="189"/>
      <c r="FL23" s="189"/>
      <c r="FM23" s="189"/>
      <c r="FN23" s="189"/>
      <c r="FO23" s="189"/>
      <c r="FP23" s="189"/>
      <c r="FQ23" s="189"/>
      <c r="FR23" s="189"/>
      <c r="FS23" s="189"/>
      <c r="FT23" s="189"/>
      <c r="FU23" s="189"/>
      <c r="FV23" s="189"/>
      <c r="FX23" s="217">
        <v>1</v>
      </c>
      <c r="FY23" s="188">
        <f t="shared" si="45"/>
        <v>89</v>
      </c>
      <c r="FZ23" s="188">
        <f t="shared" si="46"/>
        <v>89</v>
      </c>
      <c r="GA23" s="188">
        <f t="shared" si="47"/>
        <v>0</v>
      </c>
      <c r="GB23" s="188">
        <f t="shared" si="48"/>
        <v>0</v>
      </c>
      <c r="GC23" s="188">
        <f t="shared" si="49"/>
        <v>0</v>
      </c>
      <c r="GD23" s="188">
        <f t="shared" si="50"/>
        <v>0</v>
      </c>
      <c r="GE23" s="188">
        <f t="shared" si="51"/>
        <v>0</v>
      </c>
      <c r="GF23" s="199"/>
      <c r="GG23" s="189">
        <v>0</v>
      </c>
      <c r="GH23" s="189">
        <v>0</v>
      </c>
      <c r="GI23" s="199"/>
      <c r="GJ23" s="200">
        <f t="shared" si="52"/>
        <v>0</v>
      </c>
      <c r="GK23" s="200">
        <f t="shared" si="53"/>
        <v>0</v>
      </c>
      <c r="GO23" s="189">
        <f t="shared" si="119"/>
        <v>0</v>
      </c>
      <c r="GP23" s="189">
        <f t="shared" si="120"/>
        <v>0</v>
      </c>
      <c r="GQ23" s="189">
        <f t="shared" si="121"/>
        <v>0</v>
      </c>
      <c r="GR23" s="189">
        <f t="shared" si="122"/>
        <v>0</v>
      </c>
      <c r="GS23" s="189">
        <f t="shared" si="123"/>
        <v>0</v>
      </c>
      <c r="GT23" s="189">
        <f t="shared" si="124"/>
        <v>1</v>
      </c>
      <c r="GU23" s="201">
        <f t="shared" si="125"/>
        <v>43243</v>
      </c>
      <c r="GV23" s="189" t="str">
        <f t="shared" si="126"/>
        <v>SELESAI</v>
      </c>
      <c r="GW23" s="189">
        <f t="shared" si="127"/>
        <v>0</v>
      </c>
      <c r="GX23" s="202" t="str">
        <f t="shared" si="128"/>
        <v>SELESAI</v>
      </c>
      <c r="GY23" s="202">
        <f t="shared" si="129"/>
        <v>0</v>
      </c>
      <c r="GZ23" s="203" t="str">
        <f t="shared" si="130"/>
        <v>SELESAI</v>
      </c>
      <c r="HA23" s="204"/>
      <c r="HB23" s="204"/>
      <c r="HC23" s="189">
        <f t="shared" si="131"/>
        <v>0</v>
      </c>
      <c r="HD23" s="189">
        <f t="shared" si="132"/>
        <v>0</v>
      </c>
      <c r="HE23" s="189">
        <f t="shared" si="133"/>
        <v>0</v>
      </c>
      <c r="HF23" s="189">
        <f t="shared" si="134"/>
        <v>0</v>
      </c>
      <c r="HG23" s="189">
        <f t="shared" si="135"/>
        <v>0</v>
      </c>
      <c r="HH23" s="201" t="str">
        <f t="shared" si="136"/>
        <v>TIDAK KONSINYASI</v>
      </c>
      <c r="HI23" s="201" t="str">
        <f t="shared" si="137"/>
        <v>SELESAI</v>
      </c>
      <c r="HJ23" s="205"/>
      <c r="HK23" s="201">
        <f t="shared" si="138"/>
        <v>0</v>
      </c>
      <c r="HL23" s="204"/>
      <c r="HM23" s="204"/>
      <c r="HN23" s="204"/>
      <c r="HO23" s="204"/>
      <c r="HP23" s="203">
        <f t="shared" si="139"/>
        <v>0</v>
      </c>
      <c r="HQ23" s="202">
        <f t="shared" si="140"/>
        <v>0</v>
      </c>
      <c r="HR23" s="202">
        <f t="shared" si="141"/>
        <v>0</v>
      </c>
      <c r="HS23" s="203">
        <f t="shared" si="142"/>
        <v>0</v>
      </c>
      <c r="HT23" s="202">
        <f t="shared" si="143"/>
        <v>0</v>
      </c>
      <c r="HU23" s="202">
        <f t="shared" si="144"/>
        <v>0</v>
      </c>
      <c r="HV23" s="203">
        <f t="shared" si="145"/>
        <v>0</v>
      </c>
      <c r="HW23" s="202">
        <f t="shared" si="146"/>
        <v>0</v>
      </c>
      <c r="HX23" s="202">
        <f t="shared" si="147"/>
        <v>0</v>
      </c>
      <c r="HY23" s="203">
        <f t="shared" si="148"/>
        <v>0</v>
      </c>
      <c r="HZ23" s="202">
        <f t="shared" si="149"/>
        <v>0</v>
      </c>
      <c r="IA23" s="202">
        <f t="shared" si="150"/>
        <v>0</v>
      </c>
      <c r="IB23" s="203">
        <f t="shared" si="151"/>
        <v>0</v>
      </c>
      <c r="IC23" s="202">
        <f t="shared" si="152"/>
        <v>0</v>
      </c>
      <c r="ID23" s="202">
        <f t="shared" si="153"/>
        <v>0</v>
      </c>
      <c r="IE23" s="203">
        <f t="shared" si="154"/>
        <v>0</v>
      </c>
      <c r="IF23" s="202">
        <f t="shared" si="155"/>
        <v>0</v>
      </c>
      <c r="IG23" s="202">
        <f t="shared" si="156"/>
        <v>0</v>
      </c>
      <c r="IH23" s="203">
        <f t="shared" si="157"/>
        <v>0</v>
      </c>
      <c r="II23" s="202">
        <f t="shared" si="158"/>
        <v>0</v>
      </c>
      <c r="IJ23" s="202">
        <f t="shared" si="159"/>
        <v>0</v>
      </c>
      <c r="IK23" s="203">
        <f t="shared" si="160"/>
        <v>0</v>
      </c>
      <c r="IL23" s="202">
        <f t="shared" si="161"/>
        <v>0</v>
      </c>
      <c r="IM23" s="202">
        <f t="shared" si="162"/>
        <v>0</v>
      </c>
      <c r="IN23" s="204"/>
      <c r="IO23" s="203">
        <f t="shared" si="163"/>
        <v>0</v>
      </c>
      <c r="IP23" s="202">
        <f t="shared" si="164"/>
        <v>0</v>
      </c>
      <c r="IQ23" s="202">
        <f t="shared" si="165"/>
        <v>0</v>
      </c>
      <c r="IR23" s="204"/>
      <c r="IS23" s="203"/>
      <c r="IT23" s="202">
        <f t="shared" si="166"/>
        <v>1</v>
      </c>
      <c r="IU23" s="202">
        <f t="shared" si="167"/>
        <v>202</v>
      </c>
      <c r="IV23" s="204"/>
      <c r="IW23" s="203"/>
      <c r="IX23" s="202">
        <f t="shared" si="168"/>
        <v>0</v>
      </c>
      <c r="IY23" s="202">
        <f t="shared" si="169"/>
        <v>0</v>
      </c>
      <c r="IZ23" s="204"/>
      <c r="JA23" s="203"/>
      <c r="JB23" s="202">
        <f t="shared" si="170"/>
        <v>0</v>
      </c>
      <c r="JC23" s="202">
        <f t="shared" si="171"/>
        <v>0</v>
      </c>
      <c r="JD23" s="204"/>
      <c r="JE23" s="203"/>
      <c r="JF23" s="202">
        <f t="shared" si="172"/>
        <v>1</v>
      </c>
      <c r="JG23" s="202">
        <f t="shared" si="173"/>
        <v>202</v>
      </c>
      <c r="JH23" s="204"/>
      <c r="JI23" s="203"/>
      <c r="JJ23" s="202">
        <f t="shared" si="174"/>
        <v>0</v>
      </c>
      <c r="JK23" s="202">
        <f t="shared" si="175"/>
        <v>0</v>
      </c>
      <c r="JM23" s="203">
        <f t="shared" si="176"/>
        <v>0</v>
      </c>
      <c r="JO23" s="196">
        <f t="shared" si="54"/>
        <v>1</v>
      </c>
      <c r="JP23" s="189">
        <f t="shared" si="55"/>
        <v>89</v>
      </c>
      <c r="JQ23" s="189">
        <f t="shared" si="56"/>
        <v>1</v>
      </c>
      <c r="JR23" s="189">
        <f t="shared" si="57"/>
        <v>0</v>
      </c>
      <c r="JS23" s="189">
        <f t="shared" si="58"/>
        <v>0</v>
      </c>
      <c r="JT23" s="189">
        <f t="shared" si="59"/>
        <v>0</v>
      </c>
      <c r="JU23" s="189">
        <f t="shared" si="60"/>
        <v>0</v>
      </c>
      <c r="JV23" s="189">
        <f t="shared" si="61"/>
        <v>0</v>
      </c>
      <c r="JW23" s="189">
        <f t="shared" si="62"/>
        <v>0</v>
      </c>
      <c r="JX23" s="189">
        <f t="shared" si="63"/>
        <v>0</v>
      </c>
      <c r="JY23" s="189">
        <f t="shared" si="64"/>
        <v>0</v>
      </c>
      <c r="JZ23" s="189">
        <f t="shared" si="65"/>
        <v>0</v>
      </c>
      <c r="KA23" s="189">
        <f t="shared" si="66"/>
        <v>0</v>
      </c>
      <c r="KB23" s="189">
        <f t="shared" si="67"/>
        <v>0</v>
      </c>
      <c r="KD23" s="206">
        <f t="shared" si="177"/>
        <v>0</v>
      </c>
      <c r="KE23" s="206">
        <f t="shared" si="69"/>
        <v>0</v>
      </c>
      <c r="KF23" s="206">
        <f t="shared" si="70"/>
        <v>89</v>
      </c>
      <c r="KG23" s="206">
        <f t="shared" si="71"/>
        <v>89</v>
      </c>
      <c r="KH23" s="206">
        <f t="shared" si="72"/>
        <v>0</v>
      </c>
      <c r="KI23" s="206">
        <f t="shared" si="73"/>
        <v>0</v>
      </c>
      <c r="KJ23" s="206">
        <f t="shared" si="74"/>
        <v>0</v>
      </c>
      <c r="KK23" s="206">
        <f t="shared" si="75"/>
        <v>0</v>
      </c>
      <c r="KL23" s="206">
        <f t="shared" si="76"/>
        <v>0</v>
      </c>
      <c r="KM23" s="206">
        <f t="shared" si="77"/>
        <v>0</v>
      </c>
      <c r="KN23" s="221">
        <f t="shared" si="78"/>
        <v>0</v>
      </c>
      <c r="KO23" s="221">
        <f t="shared" si="79"/>
        <v>0</v>
      </c>
      <c r="KP23" s="221">
        <f t="shared" si="80"/>
        <v>0</v>
      </c>
      <c r="KQ23" s="221">
        <f t="shared" si="81"/>
        <v>0</v>
      </c>
      <c r="KR23" s="221">
        <f t="shared" si="82"/>
        <v>0</v>
      </c>
      <c r="KT23" s="195">
        <f t="shared" si="83"/>
        <v>0</v>
      </c>
      <c r="KU23" s="221"/>
      <c r="KV23" s="221"/>
      <c r="KW23" s="221"/>
      <c r="KX23" s="221"/>
      <c r="KY23" s="221"/>
      <c r="KZ23" s="221"/>
      <c r="LA23" s="221"/>
      <c r="LB23" s="221"/>
      <c r="LC23" s="221"/>
      <c r="LD23" s="221"/>
      <c r="LE23" s="221"/>
      <c r="LF23" s="221"/>
      <c r="LG23" s="221"/>
      <c r="LH23" s="221"/>
      <c r="LI23" s="221"/>
      <c r="LJ23" s="221"/>
      <c r="LK23" s="221"/>
      <c r="LL23" s="221"/>
      <c r="LM23" s="221"/>
      <c r="LN23" s="221"/>
      <c r="LO23" s="221"/>
      <c r="LP23" s="221"/>
      <c r="LQ23" s="221"/>
      <c r="LR23" s="221"/>
      <c r="LS23" s="221"/>
      <c r="LT23" s="221"/>
      <c r="LU23" s="221"/>
      <c r="LV23" s="221"/>
      <c r="LW23" s="221"/>
      <c r="LX23" s="221"/>
      <c r="LY23" s="221"/>
      <c r="LZ23" s="221"/>
      <c r="MA23" s="221"/>
      <c r="MB23" s="221"/>
      <c r="MC23" s="221"/>
      <c r="MD23" s="221"/>
      <c r="ME23" s="221"/>
      <c r="MF23" s="221"/>
      <c r="MG23" s="221"/>
      <c r="MH23" s="221"/>
      <c r="MI23" s="221"/>
      <c r="MJ23" s="221"/>
      <c r="MK23" s="221"/>
      <c r="ML23" s="221"/>
      <c r="MM23" s="221"/>
      <c r="MN23" s="221"/>
      <c r="MO23" s="221"/>
      <c r="MP23" s="221"/>
      <c r="MQ23" s="221"/>
      <c r="MR23" s="221"/>
      <c r="MS23" s="221"/>
      <c r="MT23" s="221"/>
      <c r="MU23" s="221"/>
      <c r="MV23" s="221"/>
      <c r="MW23" s="221"/>
      <c r="MX23" s="221"/>
      <c r="MY23" s="221"/>
      <c r="MZ23" s="221"/>
      <c r="NA23" s="221"/>
      <c r="NB23" s="221"/>
      <c r="NC23" s="221"/>
      <c r="ND23" s="221"/>
      <c r="NE23" s="221"/>
      <c r="NF23" s="221"/>
      <c r="NG23" s="221"/>
      <c r="NH23" s="221"/>
      <c r="NI23" s="221"/>
      <c r="NJ23" s="221"/>
      <c r="NK23" s="221"/>
      <c r="NM23" s="195">
        <f t="shared" si="178"/>
        <v>0</v>
      </c>
      <c r="NN23" s="195">
        <f t="shared" si="179"/>
        <v>0</v>
      </c>
      <c r="NO23" s="195">
        <f t="shared" si="180"/>
        <v>0</v>
      </c>
      <c r="NP23" s="195">
        <f t="shared" si="181"/>
        <v>0</v>
      </c>
      <c r="NQ23" s="195">
        <f t="shared" si="182"/>
        <v>0</v>
      </c>
      <c r="NR23" s="195">
        <f t="shared" si="183"/>
        <v>0</v>
      </c>
      <c r="NS23" s="195">
        <f t="shared" si="184"/>
        <v>0</v>
      </c>
      <c r="NT23" s="195">
        <f t="shared" si="185"/>
        <v>0</v>
      </c>
      <c r="NU23" s="196">
        <f t="shared" si="186"/>
        <v>0</v>
      </c>
      <c r="NY23" s="215">
        <f t="shared" si="187"/>
        <v>1</v>
      </c>
      <c r="NZ23" s="222">
        <v>12250000</v>
      </c>
      <c r="OE23" s="207">
        <f t="shared" si="85"/>
        <v>0</v>
      </c>
      <c r="OF23" s="207">
        <f t="shared" si="86"/>
        <v>0</v>
      </c>
      <c r="OG23" s="207">
        <f t="shared" si="87"/>
        <v>0</v>
      </c>
      <c r="OH23" s="207">
        <f t="shared" si="188"/>
        <v>0</v>
      </c>
      <c r="OI23" s="207">
        <f t="shared" si="88"/>
        <v>0</v>
      </c>
      <c r="OJ23" s="199">
        <f t="shared" si="189"/>
        <v>0</v>
      </c>
      <c r="OK23" s="199">
        <f t="shared" si="190"/>
        <v>0</v>
      </c>
      <c r="OL23" s="199">
        <f t="shared" si="191"/>
        <v>0</v>
      </c>
      <c r="OM23" s="199">
        <f t="shared" si="192"/>
        <v>0</v>
      </c>
      <c r="OO23" s="207">
        <f t="shared" si="89"/>
        <v>0</v>
      </c>
      <c r="OP23" s="207">
        <f t="shared" si="90"/>
        <v>0</v>
      </c>
      <c r="OQ23" s="207">
        <f t="shared" si="193"/>
        <v>0</v>
      </c>
      <c r="OR23" s="207">
        <f t="shared" si="194"/>
        <v>0</v>
      </c>
      <c r="OS23" s="207">
        <f t="shared" si="195"/>
        <v>0</v>
      </c>
      <c r="OT23" s="199">
        <f t="shared" si="196"/>
        <v>0</v>
      </c>
      <c r="OU23" s="199">
        <f t="shared" si="197"/>
        <v>0</v>
      </c>
      <c r="OV23" s="199">
        <f t="shared" si="198"/>
        <v>0</v>
      </c>
      <c r="OW23" s="199">
        <f t="shared" si="199"/>
        <v>0</v>
      </c>
      <c r="OZ23" s="208">
        <f t="shared" si="91"/>
        <v>0</v>
      </c>
      <c r="PA23" s="209"/>
      <c r="PB23" s="209"/>
      <c r="PC23" s="209"/>
      <c r="PD23" s="210">
        <f t="shared" si="200"/>
        <v>0</v>
      </c>
      <c r="PE23" s="210"/>
      <c r="PF23" s="210">
        <f t="shared" si="201"/>
        <v>0</v>
      </c>
      <c r="PG23" s="210">
        <f t="shared" si="202"/>
        <v>0</v>
      </c>
      <c r="PH23" s="210">
        <f t="shared" si="92"/>
        <v>0</v>
      </c>
      <c r="PI23" s="210">
        <f t="shared" si="93"/>
        <v>0</v>
      </c>
      <c r="PJ23" s="210">
        <f t="shared" si="94"/>
        <v>0</v>
      </c>
      <c r="PK23" s="210">
        <f t="shared" si="95"/>
        <v>0</v>
      </c>
      <c r="PL23" s="210">
        <f t="shared" si="96"/>
        <v>0</v>
      </c>
      <c r="PM23" s="211"/>
      <c r="PN23" s="211"/>
      <c r="PO23" s="212">
        <f t="shared" si="203"/>
        <v>0</v>
      </c>
      <c r="PP23" s="212">
        <f t="shared" si="204"/>
        <v>0</v>
      </c>
      <c r="PQ23" s="212">
        <f t="shared" si="205"/>
        <v>0</v>
      </c>
      <c r="PR23" s="211"/>
      <c r="PS23" s="211"/>
      <c r="PT23" s="211"/>
      <c r="PU23" s="211"/>
    </row>
    <row r="24" spans="1:437" s="195" customFormat="1" ht="16" x14ac:dyDescent="0.2">
      <c r="A24" s="213">
        <f t="shared" si="206"/>
        <v>15</v>
      </c>
      <c r="B24" s="186" t="s">
        <v>40</v>
      </c>
      <c r="C24" s="186">
        <v>17</v>
      </c>
      <c r="D24" s="188">
        <v>1</v>
      </c>
      <c r="E24" s="188">
        <v>139</v>
      </c>
      <c r="F24" s="188">
        <v>1</v>
      </c>
      <c r="G24" s="188">
        <f t="shared" si="97"/>
        <v>139</v>
      </c>
      <c r="H24" s="214">
        <f t="shared" si="98"/>
        <v>1</v>
      </c>
      <c r="I24" s="214">
        <f t="shared" si="99"/>
        <v>1</v>
      </c>
      <c r="J24" s="188">
        <v>1</v>
      </c>
      <c r="K24" s="188">
        <f t="shared" si="100"/>
        <v>139</v>
      </c>
      <c r="L24" s="214">
        <f t="shared" si="101"/>
        <v>1</v>
      </c>
      <c r="M24" s="214">
        <f t="shared" si="102"/>
        <v>1</v>
      </c>
      <c r="N24" s="188">
        <v>1</v>
      </c>
      <c r="O24" s="188">
        <f t="shared" si="103"/>
        <v>139</v>
      </c>
      <c r="P24" s="214">
        <f t="shared" si="104"/>
        <v>1</v>
      </c>
      <c r="Q24" s="214">
        <f t="shared" si="105"/>
        <v>1</v>
      </c>
      <c r="R24" s="188">
        <v>1</v>
      </c>
      <c r="S24" s="188">
        <f t="shared" si="106"/>
        <v>139</v>
      </c>
      <c r="T24" s="214">
        <f t="shared" si="107"/>
        <v>1</v>
      </c>
      <c r="U24" s="214">
        <f t="shared" si="108"/>
        <v>1</v>
      </c>
      <c r="V24" s="215">
        <v>1</v>
      </c>
      <c r="W24" s="188">
        <f t="shared" si="109"/>
        <v>139</v>
      </c>
      <c r="X24" s="214">
        <f t="shared" si="110"/>
        <v>1</v>
      </c>
      <c r="Y24" s="214">
        <f t="shared" si="111"/>
        <v>1</v>
      </c>
      <c r="Z24" s="216">
        <f>2570198000/1000000000</f>
        <v>2.570198</v>
      </c>
      <c r="AA24" s="188">
        <v>0</v>
      </c>
      <c r="AB24" s="188">
        <f t="shared" si="112"/>
        <v>0</v>
      </c>
      <c r="AC24" s="214">
        <f t="shared" si="113"/>
        <v>0</v>
      </c>
      <c r="AD24" s="214">
        <f t="shared" si="114"/>
        <v>0</v>
      </c>
      <c r="AE24" s="188"/>
      <c r="AF24" s="188">
        <f t="shared" si="115"/>
        <v>0</v>
      </c>
      <c r="AG24" s="223"/>
      <c r="AH24" s="188"/>
      <c r="AI24" s="188">
        <v>1</v>
      </c>
      <c r="AJ24" s="188">
        <f t="shared" si="2"/>
        <v>139</v>
      </c>
      <c r="AK24" s="188" t="s">
        <v>304</v>
      </c>
      <c r="AL24" s="188">
        <v>0</v>
      </c>
      <c r="AM24" s="188">
        <v>0</v>
      </c>
      <c r="AN24" s="217"/>
      <c r="AO24" s="188">
        <f t="shared" si="207"/>
        <v>1</v>
      </c>
      <c r="AP24" s="188">
        <f t="shared" si="208"/>
        <v>139</v>
      </c>
      <c r="AQ24" s="188">
        <f t="shared" si="5"/>
        <v>1</v>
      </c>
      <c r="AR24" s="188">
        <f t="shared" si="6"/>
        <v>139</v>
      </c>
      <c r="AS24" s="188">
        <f t="shared" si="7"/>
        <v>1</v>
      </c>
      <c r="AT24" s="188">
        <f t="shared" si="8"/>
        <v>139</v>
      </c>
      <c r="AU24" s="188">
        <f t="shared" si="209"/>
        <v>1</v>
      </c>
      <c r="AV24" s="188">
        <f t="shared" si="210"/>
        <v>139</v>
      </c>
      <c r="AW24" s="188">
        <f t="shared" si="211"/>
        <v>1</v>
      </c>
      <c r="AX24" s="188">
        <f t="shared" si="212"/>
        <v>139</v>
      </c>
      <c r="AY24" s="188">
        <f t="shared" si="116"/>
        <v>0</v>
      </c>
      <c r="AZ24" s="188">
        <f t="shared" si="117"/>
        <v>0</v>
      </c>
      <c r="BA24" s="188">
        <f t="shared" si="14"/>
        <v>2.570198</v>
      </c>
      <c r="BB24" s="188">
        <f t="shared" si="15"/>
        <v>0</v>
      </c>
      <c r="BD24" s="196">
        <f t="shared" si="118"/>
        <v>0</v>
      </c>
      <c r="BE24" s="188">
        <f t="shared" si="16"/>
        <v>0</v>
      </c>
      <c r="BF24" s="188">
        <f t="shared" si="17"/>
        <v>0</v>
      </c>
      <c r="BG24" s="188">
        <f t="shared" si="18"/>
        <v>0</v>
      </c>
      <c r="BH24" s="188">
        <f t="shared" si="19"/>
        <v>0</v>
      </c>
      <c r="BI24" s="188">
        <f t="shared" si="20"/>
        <v>0</v>
      </c>
      <c r="BJ24" s="188">
        <f t="shared" si="21"/>
        <v>0</v>
      </c>
      <c r="BK24" s="188">
        <f t="shared" si="22"/>
        <v>0</v>
      </c>
      <c r="BN24" s="277">
        <v>52</v>
      </c>
      <c r="BO24" s="139">
        <v>1</v>
      </c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B24" s="188"/>
      <c r="CD24" s="188">
        <f t="shared" si="23"/>
        <v>52</v>
      </c>
      <c r="CE24" s="188">
        <f t="shared" si="24"/>
        <v>52</v>
      </c>
      <c r="CF24" s="188">
        <f t="shared" si="25"/>
        <v>0</v>
      </c>
      <c r="CG24" s="188">
        <f t="shared" si="26"/>
        <v>0</v>
      </c>
      <c r="CH24" s="188">
        <f t="shared" si="27"/>
        <v>0</v>
      </c>
      <c r="CI24" s="188">
        <f t="shared" si="28"/>
        <v>0</v>
      </c>
      <c r="CJ24" s="188">
        <f t="shared" si="29"/>
        <v>0</v>
      </c>
      <c r="CK24" s="188">
        <f t="shared" si="30"/>
        <v>0</v>
      </c>
      <c r="CL24" s="188">
        <f t="shared" si="31"/>
        <v>0</v>
      </c>
      <c r="CM24" s="188">
        <f t="shared" si="32"/>
        <v>0</v>
      </c>
      <c r="CN24" s="188">
        <f t="shared" si="33"/>
        <v>0</v>
      </c>
      <c r="CO24" s="188">
        <f t="shared" si="34"/>
        <v>0</v>
      </c>
      <c r="CP24" s="188">
        <f t="shared" si="35"/>
        <v>0</v>
      </c>
      <c r="DV24" s="188">
        <f t="shared" si="36"/>
        <v>0</v>
      </c>
      <c r="DW24" s="188">
        <f t="shared" si="37"/>
        <v>0</v>
      </c>
      <c r="DX24" s="188">
        <f t="shared" si="38"/>
        <v>0</v>
      </c>
      <c r="DY24" s="188">
        <f t="shared" si="39"/>
        <v>0</v>
      </c>
      <c r="DZ24" s="188">
        <f t="shared" si="40"/>
        <v>0</v>
      </c>
      <c r="EA24" s="188">
        <f t="shared" si="41"/>
        <v>0</v>
      </c>
      <c r="EB24" s="188">
        <f t="shared" si="42"/>
        <v>0</v>
      </c>
      <c r="EG24" s="220">
        <f t="shared" si="43"/>
        <v>0</v>
      </c>
      <c r="EH24" s="220">
        <f t="shared" si="44"/>
        <v>0</v>
      </c>
      <c r="EI24" s="188"/>
      <c r="EJ24" s="188"/>
      <c r="EK24" s="188"/>
      <c r="EL24" s="188"/>
      <c r="EM24" s="188"/>
      <c r="EN24" s="188"/>
      <c r="EO24" s="188"/>
      <c r="EP24" s="188"/>
      <c r="EQ24" s="188"/>
      <c r="ER24" s="188"/>
      <c r="ES24" s="188"/>
      <c r="ET24" s="188"/>
      <c r="EU24" s="188"/>
      <c r="EV24" s="188"/>
      <c r="EW24" s="188"/>
      <c r="EX24" s="188"/>
      <c r="EY24" s="188"/>
      <c r="EZ24" s="188"/>
      <c r="FA24" s="188"/>
      <c r="FB24" s="188"/>
      <c r="FC24" s="188"/>
      <c r="FD24" s="188"/>
      <c r="FE24" s="188"/>
      <c r="FF24" s="188"/>
      <c r="FH24" s="189"/>
      <c r="FI24" s="189"/>
      <c r="FJ24" s="189"/>
      <c r="FK24" s="189"/>
      <c r="FL24" s="189"/>
      <c r="FM24" s="189"/>
      <c r="FN24" s="189"/>
      <c r="FO24" s="189"/>
      <c r="FP24" s="189"/>
      <c r="FQ24" s="189"/>
      <c r="FR24" s="189"/>
      <c r="FS24" s="189"/>
      <c r="FT24" s="189"/>
      <c r="FU24" s="189"/>
      <c r="FV24" s="189"/>
      <c r="FX24" s="217">
        <v>1</v>
      </c>
      <c r="FY24" s="188">
        <f t="shared" si="45"/>
        <v>52</v>
      </c>
      <c r="FZ24" s="188">
        <f t="shared" si="46"/>
        <v>52</v>
      </c>
      <c r="GA24" s="188">
        <f t="shared" si="47"/>
        <v>0</v>
      </c>
      <c r="GB24" s="188">
        <f t="shared" si="48"/>
        <v>0</v>
      </c>
      <c r="GC24" s="188">
        <f t="shared" si="49"/>
        <v>0</v>
      </c>
      <c r="GD24" s="188">
        <f t="shared" si="50"/>
        <v>0</v>
      </c>
      <c r="GE24" s="188">
        <f t="shared" si="51"/>
        <v>0</v>
      </c>
      <c r="GF24" s="199"/>
      <c r="GG24" s="189">
        <v>0</v>
      </c>
      <c r="GH24" s="189">
        <v>0</v>
      </c>
      <c r="GI24" s="199"/>
      <c r="GJ24" s="200">
        <f t="shared" si="52"/>
        <v>0</v>
      </c>
      <c r="GK24" s="200">
        <f t="shared" si="53"/>
        <v>0</v>
      </c>
      <c r="GO24" s="189">
        <f t="shared" si="119"/>
        <v>0</v>
      </c>
      <c r="GP24" s="189">
        <f t="shared" si="120"/>
        <v>0</v>
      </c>
      <c r="GQ24" s="189">
        <f t="shared" si="121"/>
        <v>0</v>
      </c>
      <c r="GR24" s="189">
        <f t="shared" si="122"/>
        <v>0</v>
      </c>
      <c r="GS24" s="189">
        <f t="shared" si="123"/>
        <v>0</v>
      </c>
      <c r="GT24" s="189">
        <f t="shared" si="124"/>
        <v>1</v>
      </c>
      <c r="GU24" s="201">
        <f t="shared" si="125"/>
        <v>43243</v>
      </c>
      <c r="GV24" s="189" t="str">
        <f t="shared" si="126"/>
        <v>SELESAI</v>
      </c>
      <c r="GW24" s="189">
        <f t="shared" si="127"/>
        <v>0</v>
      </c>
      <c r="GX24" s="202" t="str">
        <f t="shared" si="128"/>
        <v>SELESAI</v>
      </c>
      <c r="GY24" s="202">
        <f t="shared" si="129"/>
        <v>0</v>
      </c>
      <c r="GZ24" s="203" t="str">
        <f t="shared" si="130"/>
        <v>SELESAI</v>
      </c>
      <c r="HA24" s="204"/>
      <c r="HB24" s="204"/>
      <c r="HC24" s="189">
        <f t="shared" si="131"/>
        <v>0</v>
      </c>
      <c r="HD24" s="189">
        <f t="shared" si="132"/>
        <v>0</v>
      </c>
      <c r="HE24" s="189">
        <f t="shared" si="133"/>
        <v>0</v>
      </c>
      <c r="HF24" s="189">
        <f t="shared" si="134"/>
        <v>0</v>
      </c>
      <c r="HG24" s="189">
        <f t="shared" si="135"/>
        <v>0</v>
      </c>
      <c r="HH24" s="201" t="str">
        <f t="shared" si="136"/>
        <v>TIDAK KONSINYASI</v>
      </c>
      <c r="HI24" s="201" t="str">
        <f t="shared" si="137"/>
        <v>SELESAI</v>
      </c>
      <c r="HJ24" s="205"/>
      <c r="HK24" s="201">
        <f t="shared" si="138"/>
        <v>0</v>
      </c>
      <c r="HL24" s="204"/>
      <c r="HM24" s="204"/>
      <c r="HN24" s="204"/>
      <c r="HO24" s="204"/>
      <c r="HP24" s="203">
        <f t="shared" si="139"/>
        <v>0</v>
      </c>
      <c r="HQ24" s="202">
        <f t="shared" si="140"/>
        <v>0</v>
      </c>
      <c r="HR24" s="202">
        <f t="shared" si="141"/>
        <v>0</v>
      </c>
      <c r="HS24" s="203">
        <f t="shared" si="142"/>
        <v>0</v>
      </c>
      <c r="HT24" s="202">
        <f t="shared" si="143"/>
        <v>0</v>
      </c>
      <c r="HU24" s="202">
        <f t="shared" si="144"/>
        <v>0</v>
      </c>
      <c r="HV24" s="203">
        <f t="shared" si="145"/>
        <v>0</v>
      </c>
      <c r="HW24" s="202">
        <f t="shared" si="146"/>
        <v>0</v>
      </c>
      <c r="HX24" s="202">
        <f t="shared" si="147"/>
        <v>0</v>
      </c>
      <c r="HY24" s="203">
        <f t="shared" si="148"/>
        <v>0</v>
      </c>
      <c r="HZ24" s="202">
        <f t="shared" si="149"/>
        <v>0</v>
      </c>
      <c r="IA24" s="202">
        <f t="shared" si="150"/>
        <v>0</v>
      </c>
      <c r="IB24" s="203">
        <f t="shared" si="151"/>
        <v>0</v>
      </c>
      <c r="IC24" s="202">
        <f t="shared" si="152"/>
        <v>0</v>
      </c>
      <c r="ID24" s="202">
        <f t="shared" si="153"/>
        <v>0</v>
      </c>
      <c r="IE24" s="203">
        <f t="shared" si="154"/>
        <v>0</v>
      </c>
      <c r="IF24" s="202">
        <f t="shared" si="155"/>
        <v>0</v>
      </c>
      <c r="IG24" s="202">
        <f t="shared" si="156"/>
        <v>0</v>
      </c>
      <c r="IH24" s="203">
        <f t="shared" si="157"/>
        <v>0</v>
      </c>
      <c r="II24" s="202">
        <f t="shared" si="158"/>
        <v>0</v>
      </c>
      <c r="IJ24" s="202">
        <f t="shared" si="159"/>
        <v>0</v>
      </c>
      <c r="IK24" s="203">
        <f t="shared" si="160"/>
        <v>0</v>
      </c>
      <c r="IL24" s="202">
        <f t="shared" si="161"/>
        <v>0</v>
      </c>
      <c r="IM24" s="202">
        <f t="shared" si="162"/>
        <v>0</v>
      </c>
      <c r="IN24" s="204"/>
      <c r="IO24" s="203">
        <f t="shared" si="163"/>
        <v>0</v>
      </c>
      <c r="IP24" s="202">
        <f t="shared" si="164"/>
        <v>0</v>
      </c>
      <c r="IQ24" s="202">
        <f t="shared" si="165"/>
        <v>0</v>
      </c>
      <c r="IR24" s="204"/>
      <c r="IS24" s="203"/>
      <c r="IT24" s="202">
        <f t="shared" si="166"/>
        <v>1</v>
      </c>
      <c r="IU24" s="202">
        <f t="shared" si="167"/>
        <v>139</v>
      </c>
      <c r="IV24" s="204"/>
      <c r="IW24" s="203"/>
      <c r="IX24" s="202">
        <f t="shared" si="168"/>
        <v>0</v>
      </c>
      <c r="IY24" s="202">
        <f t="shared" si="169"/>
        <v>0</v>
      </c>
      <c r="IZ24" s="204"/>
      <c r="JA24" s="203"/>
      <c r="JB24" s="202">
        <f t="shared" si="170"/>
        <v>0</v>
      </c>
      <c r="JC24" s="202">
        <f t="shared" si="171"/>
        <v>0</v>
      </c>
      <c r="JD24" s="204"/>
      <c r="JE24" s="203"/>
      <c r="JF24" s="202">
        <f t="shared" si="172"/>
        <v>1</v>
      </c>
      <c r="JG24" s="202">
        <f t="shared" si="173"/>
        <v>139</v>
      </c>
      <c r="JH24" s="204"/>
      <c r="JI24" s="203"/>
      <c r="JJ24" s="202">
        <f t="shared" si="174"/>
        <v>0</v>
      </c>
      <c r="JK24" s="202">
        <f t="shared" si="175"/>
        <v>0</v>
      </c>
      <c r="JM24" s="203">
        <f t="shared" si="176"/>
        <v>0</v>
      </c>
      <c r="JO24" s="196">
        <f t="shared" si="54"/>
        <v>1</v>
      </c>
      <c r="JP24" s="189">
        <f t="shared" si="55"/>
        <v>52</v>
      </c>
      <c r="JQ24" s="189">
        <f t="shared" si="56"/>
        <v>1</v>
      </c>
      <c r="JR24" s="189">
        <f t="shared" si="57"/>
        <v>0</v>
      </c>
      <c r="JS24" s="189">
        <f t="shared" si="58"/>
        <v>0</v>
      </c>
      <c r="JT24" s="189">
        <f t="shared" si="59"/>
        <v>0</v>
      </c>
      <c r="JU24" s="189">
        <f t="shared" si="60"/>
        <v>0</v>
      </c>
      <c r="JV24" s="189">
        <f t="shared" si="61"/>
        <v>0</v>
      </c>
      <c r="JW24" s="189">
        <f t="shared" si="62"/>
        <v>0</v>
      </c>
      <c r="JX24" s="189">
        <f t="shared" si="63"/>
        <v>0</v>
      </c>
      <c r="JY24" s="189">
        <f t="shared" si="64"/>
        <v>0</v>
      </c>
      <c r="JZ24" s="189">
        <f t="shared" si="65"/>
        <v>0</v>
      </c>
      <c r="KA24" s="189">
        <f t="shared" si="66"/>
        <v>0</v>
      </c>
      <c r="KB24" s="189">
        <f t="shared" si="67"/>
        <v>0</v>
      </c>
      <c r="KD24" s="206">
        <f t="shared" si="177"/>
        <v>0</v>
      </c>
      <c r="KE24" s="206">
        <f t="shared" si="69"/>
        <v>0</v>
      </c>
      <c r="KF24" s="206">
        <f t="shared" si="70"/>
        <v>52</v>
      </c>
      <c r="KG24" s="206">
        <f t="shared" si="71"/>
        <v>52</v>
      </c>
      <c r="KH24" s="206">
        <f t="shared" si="72"/>
        <v>0</v>
      </c>
      <c r="KI24" s="206">
        <f t="shared" si="73"/>
        <v>0</v>
      </c>
      <c r="KJ24" s="206">
        <f t="shared" si="74"/>
        <v>0</v>
      </c>
      <c r="KK24" s="206">
        <f t="shared" si="75"/>
        <v>0</v>
      </c>
      <c r="KL24" s="206">
        <f t="shared" si="76"/>
        <v>0</v>
      </c>
      <c r="KM24" s="206">
        <f t="shared" si="77"/>
        <v>0</v>
      </c>
      <c r="KN24" s="221">
        <f t="shared" si="78"/>
        <v>0</v>
      </c>
      <c r="KO24" s="221">
        <f t="shared" si="79"/>
        <v>0</v>
      </c>
      <c r="KP24" s="221">
        <f t="shared" si="80"/>
        <v>0</v>
      </c>
      <c r="KQ24" s="221">
        <f t="shared" si="81"/>
        <v>0</v>
      </c>
      <c r="KR24" s="221">
        <f t="shared" si="82"/>
        <v>0</v>
      </c>
      <c r="KT24" s="195">
        <f t="shared" si="83"/>
        <v>0</v>
      </c>
      <c r="KU24" s="221"/>
      <c r="KV24" s="221"/>
      <c r="KW24" s="221"/>
      <c r="KX24" s="221"/>
      <c r="KY24" s="221"/>
      <c r="KZ24" s="221"/>
      <c r="LA24" s="221"/>
      <c r="LB24" s="221"/>
      <c r="LC24" s="221"/>
      <c r="LD24" s="221"/>
      <c r="LE24" s="221"/>
      <c r="LF24" s="221"/>
      <c r="LG24" s="221"/>
      <c r="LH24" s="221"/>
      <c r="LI24" s="221"/>
      <c r="LJ24" s="221"/>
      <c r="LK24" s="221"/>
      <c r="LL24" s="221"/>
      <c r="LM24" s="221"/>
      <c r="LN24" s="221"/>
      <c r="LO24" s="221"/>
      <c r="LP24" s="221"/>
      <c r="LQ24" s="221"/>
      <c r="LR24" s="221"/>
      <c r="LS24" s="221"/>
      <c r="LT24" s="221"/>
      <c r="LU24" s="221"/>
      <c r="LV24" s="221"/>
      <c r="LW24" s="221"/>
      <c r="LX24" s="221"/>
      <c r="LY24" s="221"/>
      <c r="LZ24" s="221"/>
      <c r="MA24" s="221"/>
      <c r="MB24" s="221"/>
      <c r="MC24" s="221"/>
      <c r="MD24" s="221"/>
      <c r="ME24" s="221"/>
      <c r="MF24" s="221"/>
      <c r="MG24" s="221"/>
      <c r="MH24" s="221"/>
      <c r="MI24" s="221"/>
      <c r="MJ24" s="221"/>
      <c r="MK24" s="221"/>
      <c r="ML24" s="221"/>
      <c r="MM24" s="221"/>
      <c r="MN24" s="221"/>
      <c r="MO24" s="221"/>
      <c r="MP24" s="221"/>
      <c r="MQ24" s="221"/>
      <c r="MR24" s="221"/>
      <c r="MS24" s="221"/>
      <c r="MT24" s="221"/>
      <c r="MU24" s="221"/>
      <c r="MV24" s="221"/>
      <c r="MW24" s="221"/>
      <c r="MX24" s="221"/>
      <c r="MY24" s="221"/>
      <c r="MZ24" s="221"/>
      <c r="NA24" s="221"/>
      <c r="NB24" s="221"/>
      <c r="NC24" s="221"/>
      <c r="ND24" s="221"/>
      <c r="NE24" s="221"/>
      <c r="NF24" s="221"/>
      <c r="NG24" s="221"/>
      <c r="NH24" s="221"/>
      <c r="NI24" s="221"/>
      <c r="NJ24" s="221"/>
      <c r="NK24" s="221"/>
      <c r="NM24" s="195">
        <f t="shared" si="178"/>
        <v>0</v>
      </c>
      <c r="NN24" s="195">
        <f t="shared" si="179"/>
        <v>0</v>
      </c>
      <c r="NO24" s="195">
        <f t="shared" si="180"/>
        <v>0</v>
      </c>
      <c r="NP24" s="195">
        <f t="shared" si="181"/>
        <v>0</v>
      </c>
      <c r="NQ24" s="195">
        <f t="shared" si="182"/>
        <v>0</v>
      </c>
      <c r="NR24" s="195">
        <f t="shared" si="183"/>
        <v>0</v>
      </c>
      <c r="NS24" s="195">
        <f t="shared" si="184"/>
        <v>0</v>
      </c>
      <c r="NT24" s="195">
        <f t="shared" si="185"/>
        <v>0</v>
      </c>
      <c r="NU24" s="196">
        <f t="shared" si="186"/>
        <v>0</v>
      </c>
      <c r="NY24" s="215">
        <f t="shared" si="187"/>
        <v>1</v>
      </c>
      <c r="NZ24" s="222">
        <v>12250000</v>
      </c>
      <c r="OE24" s="207">
        <f t="shared" si="85"/>
        <v>0</v>
      </c>
      <c r="OF24" s="207">
        <f t="shared" si="86"/>
        <v>0</v>
      </c>
      <c r="OG24" s="207">
        <f t="shared" si="87"/>
        <v>0</v>
      </c>
      <c r="OH24" s="207">
        <f t="shared" si="188"/>
        <v>0</v>
      </c>
      <c r="OI24" s="207">
        <f t="shared" si="88"/>
        <v>0</v>
      </c>
      <c r="OJ24" s="199">
        <f t="shared" si="189"/>
        <v>0</v>
      </c>
      <c r="OK24" s="199">
        <f t="shared" si="190"/>
        <v>0</v>
      </c>
      <c r="OL24" s="199">
        <f t="shared" si="191"/>
        <v>0</v>
      </c>
      <c r="OM24" s="199">
        <f t="shared" si="192"/>
        <v>0</v>
      </c>
      <c r="OO24" s="207">
        <f t="shared" si="89"/>
        <v>0</v>
      </c>
      <c r="OP24" s="207">
        <f t="shared" si="90"/>
        <v>0</v>
      </c>
      <c r="OQ24" s="207">
        <f t="shared" si="193"/>
        <v>0</v>
      </c>
      <c r="OR24" s="207">
        <f t="shared" si="194"/>
        <v>0</v>
      </c>
      <c r="OS24" s="207">
        <f t="shared" si="195"/>
        <v>0</v>
      </c>
      <c r="OT24" s="199">
        <f t="shared" si="196"/>
        <v>0</v>
      </c>
      <c r="OU24" s="199">
        <f t="shared" si="197"/>
        <v>0</v>
      </c>
      <c r="OV24" s="199">
        <f t="shared" si="198"/>
        <v>0</v>
      </c>
      <c r="OW24" s="199">
        <f t="shared" si="199"/>
        <v>0</v>
      </c>
      <c r="OZ24" s="208">
        <f t="shared" si="91"/>
        <v>0</v>
      </c>
      <c r="PA24" s="209"/>
      <c r="PB24" s="209"/>
      <c r="PC24" s="209"/>
      <c r="PD24" s="210">
        <f t="shared" si="200"/>
        <v>0</v>
      </c>
      <c r="PE24" s="210"/>
      <c r="PF24" s="210">
        <f t="shared" si="201"/>
        <v>0</v>
      </c>
      <c r="PG24" s="210">
        <f t="shared" si="202"/>
        <v>0</v>
      </c>
      <c r="PH24" s="210">
        <f t="shared" si="92"/>
        <v>0</v>
      </c>
      <c r="PI24" s="210">
        <f t="shared" si="93"/>
        <v>0</v>
      </c>
      <c r="PJ24" s="210">
        <f t="shared" si="94"/>
        <v>0</v>
      </c>
      <c r="PK24" s="210">
        <f t="shared" si="95"/>
        <v>0</v>
      </c>
      <c r="PL24" s="210">
        <f t="shared" si="96"/>
        <v>0</v>
      </c>
      <c r="PM24" s="211"/>
      <c r="PN24" s="211"/>
      <c r="PO24" s="212">
        <f t="shared" si="203"/>
        <v>0</v>
      </c>
      <c r="PP24" s="212">
        <f t="shared" si="204"/>
        <v>0</v>
      </c>
      <c r="PQ24" s="212">
        <f t="shared" si="205"/>
        <v>0</v>
      </c>
      <c r="PR24" s="211"/>
      <c r="PS24" s="211"/>
      <c r="PT24" s="211"/>
      <c r="PU24" s="211"/>
    </row>
    <row r="25" spans="1:437" s="195" customFormat="1" ht="16" x14ac:dyDescent="0.2">
      <c r="A25" s="213">
        <f t="shared" si="206"/>
        <v>16</v>
      </c>
      <c r="B25" s="186" t="s">
        <v>41</v>
      </c>
      <c r="C25" s="186">
        <v>18</v>
      </c>
      <c r="D25" s="188">
        <v>1</v>
      </c>
      <c r="E25" s="188">
        <v>109</v>
      </c>
      <c r="F25" s="188">
        <v>1</v>
      </c>
      <c r="G25" s="188">
        <f t="shared" si="97"/>
        <v>109</v>
      </c>
      <c r="H25" s="214">
        <f t="shared" si="98"/>
        <v>1</v>
      </c>
      <c r="I25" s="214">
        <f t="shared" si="99"/>
        <v>1</v>
      </c>
      <c r="J25" s="188">
        <v>1</v>
      </c>
      <c r="K25" s="188">
        <f t="shared" si="100"/>
        <v>109</v>
      </c>
      <c r="L25" s="214">
        <f t="shared" si="101"/>
        <v>1</v>
      </c>
      <c r="M25" s="214">
        <f t="shared" si="102"/>
        <v>1</v>
      </c>
      <c r="N25" s="188">
        <v>1</v>
      </c>
      <c r="O25" s="188">
        <f t="shared" si="103"/>
        <v>109</v>
      </c>
      <c r="P25" s="214">
        <f t="shared" si="104"/>
        <v>1</v>
      </c>
      <c r="Q25" s="214">
        <f t="shared" si="105"/>
        <v>1</v>
      </c>
      <c r="R25" s="188">
        <v>1</v>
      </c>
      <c r="S25" s="188">
        <f t="shared" si="106"/>
        <v>109</v>
      </c>
      <c r="T25" s="214">
        <f t="shared" si="107"/>
        <v>1</v>
      </c>
      <c r="U25" s="214">
        <f t="shared" si="108"/>
        <v>1</v>
      </c>
      <c r="V25" s="215">
        <v>1</v>
      </c>
      <c r="W25" s="188">
        <f t="shared" si="109"/>
        <v>109</v>
      </c>
      <c r="X25" s="214">
        <f t="shared" si="110"/>
        <v>1</v>
      </c>
      <c r="Y25" s="214">
        <f t="shared" si="111"/>
        <v>1</v>
      </c>
      <c r="Z25" s="216">
        <f>1774505000/1000000000</f>
        <v>1.774505</v>
      </c>
      <c r="AA25" s="188">
        <v>0</v>
      </c>
      <c r="AB25" s="188">
        <f t="shared" si="112"/>
        <v>0</v>
      </c>
      <c r="AC25" s="214">
        <f t="shared" si="113"/>
        <v>0</v>
      </c>
      <c r="AD25" s="214">
        <f t="shared" si="114"/>
        <v>0</v>
      </c>
      <c r="AE25" s="188"/>
      <c r="AF25" s="188">
        <f t="shared" si="115"/>
        <v>0</v>
      </c>
      <c r="AG25" s="223"/>
      <c r="AH25" s="188"/>
      <c r="AI25" s="188">
        <v>1</v>
      </c>
      <c r="AJ25" s="188">
        <f t="shared" si="2"/>
        <v>109</v>
      </c>
      <c r="AK25" s="188" t="s">
        <v>304</v>
      </c>
      <c r="AL25" s="188">
        <v>0</v>
      </c>
      <c r="AM25" s="188">
        <v>0</v>
      </c>
      <c r="AN25" s="217"/>
      <c r="AO25" s="188">
        <f t="shared" si="207"/>
        <v>1</v>
      </c>
      <c r="AP25" s="188">
        <f t="shared" si="208"/>
        <v>109</v>
      </c>
      <c r="AQ25" s="188">
        <f t="shared" si="5"/>
        <v>1</v>
      </c>
      <c r="AR25" s="188">
        <f t="shared" si="6"/>
        <v>109</v>
      </c>
      <c r="AS25" s="188">
        <f t="shared" si="7"/>
        <v>1</v>
      </c>
      <c r="AT25" s="188">
        <f t="shared" si="8"/>
        <v>109</v>
      </c>
      <c r="AU25" s="188">
        <f t="shared" si="209"/>
        <v>1</v>
      </c>
      <c r="AV25" s="188">
        <f t="shared" si="210"/>
        <v>109</v>
      </c>
      <c r="AW25" s="188">
        <f t="shared" si="211"/>
        <v>1</v>
      </c>
      <c r="AX25" s="188">
        <f t="shared" si="212"/>
        <v>109</v>
      </c>
      <c r="AY25" s="188">
        <f t="shared" si="116"/>
        <v>0</v>
      </c>
      <c r="AZ25" s="188">
        <f t="shared" si="117"/>
        <v>0</v>
      </c>
      <c r="BA25" s="188">
        <f t="shared" si="14"/>
        <v>1.774505</v>
      </c>
      <c r="BB25" s="188">
        <f t="shared" si="15"/>
        <v>0</v>
      </c>
      <c r="BD25" s="196">
        <f t="shared" si="118"/>
        <v>0</v>
      </c>
      <c r="BE25" s="188">
        <f t="shared" si="16"/>
        <v>0</v>
      </c>
      <c r="BF25" s="188">
        <f t="shared" si="17"/>
        <v>0</v>
      </c>
      <c r="BG25" s="188">
        <f t="shared" si="18"/>
        <v>0</v>
      </c>
      <c r="BH25" s="188">
        <f t="shared" si="19"/>
        <v>0</v>
      </c>
      <c r="BI25" s="188">
        <f t="shared" si="20"/>
        <v>0</v>
      </c>
      <c r="BJ25" s="188">
        <f t="shared" si="21"/>
        <v>0</v>
      </c>
      <c r="BK25" s="188">
        <f t="shared" si="22"/>
        <v>0</v>
      </c>
      <c r="BN25" s="143"/>
      <c r="BO25" s="277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B25" s="188"/>
      <c r="CD25" s="188">
        <f t="shared" si="23"/>
        <v>0</v>
      </c>
      <c r="CE25" s="188">
        <f t="shared" si="24"/>
        <v>0</v>
      </c>
      <c r="CF25" s="188">
        <f t="shared" si="25"/>
        <v>0</v>
      </c>
      <c r="CG25" s="188">
        <f t="shared" si="26"/>
        <v>0</v>
      </c>
      <c r="CH25" s="188">
        <f t="shared" si="27"/>
        <v>0</v>
      </c>
      <c r="CI25" s="188">
        <f t="shared" si="28"/>
        <v>0</v>
      </c>
      <c r="CJ25" s="188">
        <f t="shared" si="29"/>
        <v>0</v>
      </c>
      <c r="CK25" s="188">
        <f t="shared" si="30"/>
        <v>0</v>
      </c>
      <c r="CL25" s="188">
        <f t="shared" si="31"/>
        <v>0</v>
      </c>
      <c r="CM25" s="188">
        <f t="shared" si="32"/>
        <v>0</v>
      </c>
      <c r="CN25" s="188">
        <f t="shared" si="33"/>
        <v>0</v>
      </c>
      <c r="CO25" s="188">
        <f t="shared" si="34"/>
        <v>0</v>
      </c>
      <c r="CP25" s="188">
        <f t="shared" si="35"/>
        <v>0</v>
      </c>
      <c r="DV25" s="188">
        <f t="shared" si="36"/>
        <v>0</v>
      </c>
      <c r="DW25" s="188">
        <f t="shared" si="37"/>
        <v>0</v>
      </c>
      <c r="DX25" s="188">
        <f t="shared" si="38"/>
        <v>0</v>
      </c>
      <c r="DY25" s="188">
        <f t="shared" si="39"/>
        <v>0</v>
      </c>
      <c r="DZ25" s="188">
        <f t="shared" si="40"/>
        <v>0</v>
      </c>
      <c r="EA25" s="188">
        <f t="shared" si="41"/>
        <v>0</v>
      </c>
      <c r="EB25" s="188">
        <f t="shared" si="42"/>
        <v>0</v>
      </c>
      <c r="EG25" s="220">
        <f t="shared" si="43"/>
        <v>0</v>
      </c>
      <c r="EH25" s="220">
        <f t="shared" si="44"/>
        <v>0</v>
      </c>
      <c r="EI25" s="188"/>
      <c r="EJ25" s="188"/>
      <c r="EK25" s="188"/>
      <c r="EL25" s="188"/>
      <c r="EM25" s="188"/>
      <c r="EN25" s="188"/>
      <c r="EO25" s="188"/>
      <c r="EP25" s="188"/>
      <c r="EQ25" s="188"/>
      <c r="ER25" s="188"/>
      <c r="ES25" s="188"/>
      <c r="ET25" s="188"/>
      <c r="EU25" s="188"/>
      <c r="EV25" s="188"/>
      <c r="EW25" s="188"/>
      <c r="EX25" s="188"/>
      <c r="EY25" s="188"/>
      <c r="EZ25" s="188"/>
      <c r="FA25" s="188"/>
      <c r="FB25" s="188"/>
      <c r="FC25" s="188"/>
      <c r="FD25" s="188"/>
      <c r="FE25" s="188"/>
      <c r="FF25" s="188"/>
      <c r="FH25" s="189"/>
      <c r="FI25" s="189"/>
      <c r="FJ25" s="189"/>
      <c r="FK25" s="189"/>
      <c r="FL25" s="189"/>
      <c r="FM25" s="189"/>
      <c r="FN25" s="189"/>
      <c r="FO25" s="189"/>
      <c r="FP25" s="189"/>
      <c r="FQ25" s="189"/>
      <c r="FR25" s="189"/>
      <c r="FS25" s="189"/>
      <c r="FT25" s="189"/>
      <c r="FU25" s="189"/>
      <c r="FV25" s="189"/>
      <c r="FX25" s="217"/>
      <c r="FY25" s="188">
        <f t="shared" si="45"/>
        <v>0</v>
      </c>
      <c r="FZ25" s="188">
        <f t="shared" si="46"/>
        <v>0</v>
      </c>
      <c r="GA25" s="188">
        <f t="shared" si="47"/>
        <v>0</v>
      </c>
      <c r="GB25" s="188">
        <f t="shared" si="48"/>
        <v>0</v>
      </c>
      <c r="GC25" s="188">
        <f t="shared" si="49"/>
        <v>0</v>
      </c>
      <c r="GD25" s="188">
        <f t="shared" si="50"/>
        <v>0</v>
      </c>
      <c r="GE25" s="188">
        <f t="shared" si="51"/>
        <v>0</v>
      </c>
      <c r="GF25" s="199"/>
      <c r="GG25" s="189">
        <v>0</v>
      </c>
      <c r="GH25" s="189">
        <v>0</v>
      </c>
      <c r="GI25" s="199"/>
      <c r="GJ25" s="200">
        <f t="shared" si="52"/>
        <v>0</v>
      </c>
      <c r="GK25" s="200">
        <f t="shared" si="53"/>
        <v>0</v>
      </c>
      <c r="GO25" s="189">
        <f t="shared" si="119"/>
        <v>0</v>
      </c>
      <c r="GP25" s="189">
        <f t="shared" si="120"/>
        <v>0</v>
      </c>
      <c r="GQ25" s="189">
        <f t="shared" si="121"/>
        <v>0</v>
      </c>
      <c r="GR25" s="189">
        <f t="shared" si="122"/>
        <v>0</v>
      </c>
      <c r="GS25" s="189">
        <f t="shared" si="123"/>
        <v>0</v>
      </c>
      <c r="GT25" s="189">
        <f t="shared" si="124"/>
        <v>1</v>
      </c>
      <c r="GU25" s="201">
        <f t="shared" si="125"/>
        <v>43243</v>
      </c>
      <c r="GV25" s="189" t="str">
        <f t="shared" si="126"/>
        <v>SELESAI</v>
      </c>
      <c r="GW25" s="189">
        <f t="shared" si="127"/>
        <v>0</v>
      </c>
      <c r="GX25" s="202" t="str">
        <f t="shared" si="128"/>
        <v>SELESAI</v>
      </c>
      <c r="GY25" s="202">
        <f t="shared" si="129"/>
        <v>0</v>
      </c>
      <c r="GZ25" s="203" t="str">
        <f t="shared" si="130"/>
        <v>SELESAI</v>
      </c>
      <c r="HA25" s="204"/>
      <c r="HB25" s="204"/>
      <c r="HC25" s="189">
        <f t="shared" si="131"/>
        <v>0</v>
      </c>
      <c r="HD25" s="189">
        <f t="shared" si="132"/>
        <v>0</v>
      </c>
      <c r="HE25" s="189">
        <f t="shared" si="133"/>
        <v>0</v>
      </c>
      <c r="HF25" s="189">
        <f t="shared" si="134"/>
        <v>0</v>
      </c>
      <c r="HG25" s="189">
        <f t="shared" si="135"/>
        <v>0</v>
      </c>
      <c r="HH25" s="201" t="str">
        <f t="shared" si="136"/>
        <v>TIDAK KONSINYASI</v>
      </c>
      <c r="HI25" s="201" t="str">
        <f t="shared" si="137"/>
        <v>SELESAI</v>
      </c>
      <c r="HJ25" s="205"/>
      <c r="HK25" s="201">
        <f t="shared" si="138"/>
        <v>0</v>
      </c>
      <c r="HL25" s="204"/>
      <c r="HM25" s="204"/>
      <c r="HN25" s="204"/>
      <c r="HO25" s="204"/>
      <c r="HP25" s="203">
        <f t="shared" si="139"/>
        <v>0</v>
      </c>
      <c r="HQ25" s="202">
        <f t="shared" si="140"/>
        <v>0</v>
      </c>
      <c r="HR25" s="202">
        <f t="shared" si="141"/>
        <v>0</v>
      </c>
      <c r="HS25" s="203">
        <f t="shared" si="142"/>
        <v>0</v>
      </c>
      <c r="HT25" s="202">
        <f t="shared" si="143"/>
        <v>0</v>
      </c>
      <c r="HU25" s="202">
        <f t="shared" si="144"/>
        <v>0</v>
      </c>
      <c r="HV25" s="203">
        <f t="shared" si="145"/>
        <v>0</v>
      </c>
      <c r="HW25" s="202">
        <f t="shared" si="146"/>
        <v>0</v>
      </c>
      <c r="HX25" s="202">
        <f t="shared" si="147"/>
        <v>0</v>
      </c>
      <c r="HY25" s="203">
        <f t="shared" si="148"/>
        <v>0</v>
      </c>
      <c r="HZ25" s="202">
        <f t="shared" si="149"/>
        <v>0</v>
      </c>
      <c r="IA25" s="202">
        <f t="shared" si="150"/>
        <v>0</v>
      </c>
      <c r="IB25" s="203">
        <f t="shared" si="151"/>
        <v>0</v>
      </c>
      <c r="IC25" s="202">
        <f t="shared" si="152"/>
        <v>0</v>
      </c>
      <c r="ID25" s="202">
        <f t="shared" si="153"/>
        <v>0</v>
      </c>
      <c r="IE25" s="203">
        <f t="shared" si="154"/>
        <v>0</v>
      </c>
      <c r="IF25" s="202">
        <f t="shared" si="155"/>
        <v>0</v>
      </c>
      <c r="IG25" s="202">
        <f t="shared" si="156"/>
        <v>0</v>
      </c>
      <c r="IH25" s="203">
        <f t="shared" si="157"/>
        <v>0</v>
      </c>
      <c r="II25" s="202">
        <f t="shared" si="158"/>
        <v>0</v>
      </c>
      <c r="IJ25" s="202">
        <f t="shared" si="159"/>
        <v>0</v>
      </c>
      <c r="IK25" s="203">
        <f t="shared" si="160"/>
        <v>0</v>
      </c>
      <c r="IL25" s="202">
        <f t="shared" si="161"/>
        <v>0</v>
      </c>
      <c r="IM25" s="202">
        <f t="shared" si="162"/>
        <v>0</v>
      </c>
      <c r="IN25" s="204"/>
      <c r="IO25" s="203">
        <f t="shared" si="163"/>
        <v>0</v>
      </c>
      <c r="IP25" s="202">
        <f t="shared" si="164"/>
        <v>0</v>
      </c>
      <c r="IQ25" s="202">
        <f t="shared" si="165"/>
        <v>0</v>
      </c>
      <c r="IR25" s="204"/>
      <c r="IS25" s="203"/>
      <c r="IT25" s="202">
        <f t="shared" si="166"/>
        <v>1</v>
      </c>
      <c r="IU25" s="202">
        <f t="shared" si="167"/>
        <v>109</v>
      </c>
      <c r="IV25" s="204"/>
      <c r="IW25" s="203"/>
      <c r="IX25" s="202">
        <f t="shared" si="168"/>
        <v>0</v>
      </c>
      <c r="IY25" s="202">
        <f t="shared" si="169"/>
        <v>0</v>
      </c>
      <c r="IZ25" s="204"/>
      <c r="JA25" s="203"/>
      <c r="JB25" s="202">
        <f t="shared" si="170"/>
        <v>0</v>
      </c>
      <c r="JC25" s="202">
        <f t="shared" si="171"/>
        <v>0</v>
      </c>
      <c r="JD25" s="204"/>
      <c r="JE25" s="203"/>
      <c r="JF25" s="202">
        <f t="shared" si="172"/>
        <v>1</v>
      </c>
      <c r="JG25" s="202">
        <f t="shared" si="173"/>
        <v>109</v>
      </c>
      <c r="JH25" s="204"/>
      <c r="JI25" s="203"/>
      <c r="JJ25" s="202">
        <f t="shared" si="174"/>
        <v>0</v>
      </c>
      <c r="JK25" s="202">
        <f t="shared" si="175"/>
        <v>0</v>
      </c>
      <c r="JM25" s="203">
        <f t="shared" si="176"/>
        <v>0</v>
      </c>
      <c r="JO25" s="196">
        <f t="shared" si="54"/>
        <v>0</v>
      </c>
      <c r="JP25" s="189">
        <f t="shared" si="55"/>
        <v>0</v>
      </c>
      <c r="JQ25" s="189">
        <f t="shared" si="56"/>
        <v>0</v>
      </c>
      <c r="JR25" s="189">
        <f t="shared" si="57"/>
        <v>0</v>
      </c>
      <c r="JS25" s="189">
        <f t="shared" si="58"/>
        <v>0</v>
      </c>
      <c r="JT25" s="189">
        <f t="shared" si="59"/>
        <v>0</v>
      </c>
      <c r="JU25" s="189">
        <f t="shared" si="60"/>
        <v>0</v>
      </c>
      <c r="JV25" s="189">
        <f t="shared" si="61"/>
        <v>0</v>
      </c>
      <c r="JW25" s="189">
        <f t="shared" si="62"/>
        <v>0</v>
      </c>
      <c r="JX25" s="189">
        <f t="shared" si="63"/>
        <v>0</v>
      </c>
      <c r="JY25" s="189">
        <f t="shared" si="64"/>
        <v>0</v>
      </c>
      <c r="JZ25" s="189">
        <f t="shared" si="65"/>
        <v>0</v>
      </c>
      <c r="KA25" s="189">
        <f t="shared" si="66"/>
        <v>0</v>
      </c>
      <c r="KB25" s="189">
        <f t="shared" si="67"/>
        <v>0</v>
      </c>
      <c r="KD25" s="206">
        <f t="shared" si="177"/>
        <v>0</v>
      </c>
      <c r="KE25" s="206">
        <f t="shared" si="69"/>
        <v>0</v>
      </c>
      <c r="KF25" s="206">
        <f t="shared" si="70"/>
        <v>0</v>
      </c>
      <c r="KG25" s="206">
        <f t="shared" si="71"/>
        <v>0</v>
      </c>
      <c r="KH25" s="206">
        <f t="shared" si="72"/>
        <v>0</v>
      </c>
      <c r="KI25" s="206">
        <f t="shared" si="73"/>
        <v>0</v>
      </c>
      <c r="KJ25" s="206">
        <f t="shared" si="74"/>
        <v>0</v>
      </c>
      <c r="KK25" s="206">
        <f t="shared" si="75"/>
        <v>0</v>
      </c>
      <c r="KL25" s="206">
        <f t="shared" si="76"/>
        <v>0</v>
      </c>
      <c r="KM25" s="206">
        <f t="shared" si="77"/>
        <v>0</v>
      </c>
      <c r="KN25" s="221">
        <f t="shared" si="78"/>
        <v>0</v>
      </c>
      <c r="KO25" s="221">
        <f t="shared" si="79"/>
        <v>0</v>
      </c>
      <c r="KP25" s="221">
        <f t="shared" si="80"/>
        <v>0</v>
      </c>
      <c r="KQ25" s="221">
        <f t="shared" si="81"/>
        <v>0</v>
      </c>
      <c r="KR25" s="221">
        <f t="shared" si="82"/>
        <v>0</v>
      </c>
      <c r="KT25" s="195">
        <f t="shared" si="83"/>
        <v>0</v>
      </c>
      <c r="KU25" s="221"/>
      <c r="KV25" s="221"/>
      <c r="KW25" s="221"/>
      <c r="KX25" s="221"/>
      <c r="KY25" s="221"/>
      <c r="KZ25" s="221"/>
      <c r="LA25" s="221"/>
      <c r="LB25" s="221"/>
      <c r="LC25" s="221"/>
      <c r="LD25" s="221"/>
      <c r="LE25" s="221"/>
      <c r="LF25" s="221"/>
      <c r="LG25" s="221"/>
      <c r="LH25" s="221"/>
      <c r="LI25" s="221"/>
      <c r="LJ25" s="221"/>
      <c r="LK25" s="221"/>
      <c r="LL25" s="221"/>
      <c r="LM25" s="221"/>
      <c r="LN25" s="221"/>
      <c r="LO25" s="221"/>
      <c r="LP25" s="221"/>
      <c r="LQ25" s="221"/>
      <c r="LR25" s="221"/>
      <c r="LS25" s="221"/>
      <c r="LT25" s="221"/>
      <c r="LU25" s="221"/>
      <c r="LV25" s="221"/>
      <c r="LW25" s="221"/>
      <c r="LX25" s="221"/>
      <c r="LY25" s="221"/>
      <c r="LZ25" s="221"/>
      <c r="MA25" s="221"/>
      <c r="MB25" s="221"/>
      <c r="MC25" s="221"/>
      <c r="MD25" s="221"/>
      <c r="ME25" s="221"/>
      <c r="MF25" s="221"/>
      <c r="MG25" s="221"/>
      <c r="MH25" s="221"/>
      <c r="MI25" s="221"/>
      <c r="MJ25" s="221"/>
      <c r="MK25" s="221"/>
      <c r="ML25" s="221"/>
      <c r="MM25" s="221"/>
      <c r="MN25" s="221"/>
      <c r="MO25" s="221"/>
      <c r="MP25" s="221"/>
      <c r="MQ25" s="221"/>
      <c r="MR25" s="221"/>
      <c r="MS25" s="221"/>
      <c r="MT25" s="221"/>
      <c r="MU25" s="221"/>
      <c r="MV25" s="221"/>
      <c r="MW25" s="221"/>
      <c r="MX25" s="221"/>
      <c r="MY25" s="221"/>
      <c r="MZ25" s="221"/>
      <c r="NA25" s="221"/>
      <c r="NB25" s="221"/>
      <c r="NC25" s="221"/>
      <c r="ND25" s="221"/>
      <c r="NE25" s="221"/>
      <c r="NF25" s="221"/>
      <c r="NG25" s="221"/>
      <c r="NH25" s="221"/>
      <c r="NI25" s="221"/>
      <c r="NJ25" s="221"/>
      <c r="NK25" s="221"/>
      <c r="NM25" s="195">
        <f t="shared" si="178"/>
        <v>0</v>
      </c>
      <c r="NN25" s="195">
        <f t="shared" si="179"/>
        <v>0</v>
      </c>
      <c r="NO25" s="195">
        <f t="shared" si="180"/>
        <v>0</v>
      </c>
      <c r="NP25" s="195">
        <f t="shared" si="181"/>
        <v>0</v>
      </c>
      <c r="NQ25" s="195">
        <f t="shared" si="182"/>
        <v>0</v>
      </c>
      <c r="NR25" s="195">
        <f t="shared" si="183"/>
        <v>0</v>
      </c>
      <c r="NS25" s="195">
        <f t="shared" si="184"/>
        <v>0</v>
      </c>
      <c r="NT25" s="195">
        <f t="shared" si="185"/>
        <v>0</v>
      </c>
      <c r="NU25" s="196">
        <f t="shared" si="186"/>
        <v>0</v>
      </c>
      <c r="NY25" s="215">
        <f t="shared" si="187"/>
        <v>1</v>
      </c>
      <c r="NZ25" s="222">
        <v>12500000</v>
      </c>
      <c r="OE25" s="207">
        <f t="shared" si="85"/>
        <v>0</v>
      </c>
      <c r="OF25" s="207">
        <f t="shared" si="86"/>
        <v>0</v>
      </c>
      <c r="OG25" s="207">
        <f t="shared" si="87"/>
        <v>0</v>
      </c>
      <c r="OH25" s="207">
        <f t="shared" si="188"/>
        <v>0</v>
      </c>
      <c r="OI25" s="207">
        <f t="shared" si="88"/>
        <v>0</v>
      </c>
      <c r="OJ25" s="199">
        <f t="shared" si="189"/>
        <v>0</v>
      </c>
      <c r="OK25" s="199">
        <f t="shared" si="190"/>
        <v>0</v>
      </c>
      <c r="OL25" s="199">
        <f t="shared" si="191"/>
        <v>0</v>
      </c>
      <c r="OM25" s="199">
        <f t="shared" si="192"/>
        <v>0</v>
      </c>
      <c r="OO25" s="207">
        <f t="shared" si="89"/>
        <v>0</v>
      </c>
      <c r="OP25" s="207">
        <f t="shared" si="90"/>
        <v>0</v>
      </c>
      <c r="OQ25" s="207">
        <f t="shared" si="193"/>
        <v>0</v>
      </c>
      <c r="OR25" s="207">
        <f t="shared" si="194"/>
        <v>0</v>
      </c>
      <c r="OS25" s="207">
        <f t="shared" si="195"/>
        <v>0</v>
      </c>
      <c r="OT25" s="199">
        <f t="shared" si="196"/>
        <v>0</v>
      </c>
      <c r="OU25" s="199">
        <f t="shared" si="197"/>
        <v>0</v>
      </c>
      <c r="OV25" s="199">
        <f t="shared" si="198"/>
        <v>0</v>
      </c>
      <c r="OW25" s="199">
        <f t="shared" si="199"/>
        <v>0</v>
      </c>
      <c r="OZ25" s="208">
        <f t="shared" si="91"/>
        <v>0</v>
      </c>
      <c r="PA25" s="209"/>
      <c r="PB25" s="209"/>
      <c r="PC25" s="209"/>
      <c r="PD25" s="210">
        <f t="shared" si="200"/>
        <v>0</v>
      </c>
      <c r="PE25" s="210"/>
      <c r="PF25" s="210">
        <f t="shared" si="201"/>
        <v>0</v>
      </c>
      <c r="PG25" s="210">
        <f t="shared" si="202"/>
        <v>0</v>
      </c>
      <c r="PH25" s="210">
        <f t="shared" si="92"/>
        <v>0</v>
      </c>
      <c r="PI25" s="210">
        <f t="shared" si="93"/>
        <v>0</v>
      </c>
      <c r="PJ25" s="210">
        <f t="shared" si="94"/>
        <v>0</v>
      </c>
      <c r="PK25" s="210">
        <f t="shared" si="95"/>
        <v>0</v>
      </c>
      <c r="PL25" s="210">
        <f t="shared" si="96"/>
        <v>0</v>
      </c>
      <c r="PM25" s="211"/>
      <c r="PN25" s="211"/>
      <c r="PO25" s="212">
        <f t="shared" si="203"/>
        <v>0</v>
      </c>
      <c r="PP25" s="212">
        <f t="shared" si="204"/>
        <v>0</v>
      </c>
      <c r="PQ25" s="212">
        <f t="shared" si="205"/>
        <v>0</v>
      </c>
      <c r="PR25" s="211"/>
      <c r="PS25" s="211"/>
      <c r="PT25" s="211"/>
      <c r="PU25" s="211"/>
    </row>
    <row r="26" spans="1:437" s="195" customFormat="1" ht="16" x14ac:dyDescent="0.2">
      <c r="A26" s="213">
        <f t="shared" si="206"/>
        <v>17</v>
      </c>
      <c r="B26" s="186" t="s">
        <v>42</v>
      </c>
      <c r="C26" s="186">
        <v>19</v>
      </c>
      <c r="D26" s="188">
        <v>1</v>
      </c>
      <c r="E26" s="188">
        <v>136</v>
      </c>
      <c r="F26" s="188">
        <v>1</v>
      </c>
      <c r="G26" s="188">
        <f t="shared" si="97"/>
        <v>136</v>
      </c>
      <c r="H26" s="214">
        <f t="shared" si="98"/>
        <v>1</v>
      </c>
      <c r="I26" s="214">
        <f t="shared" si="99"/>
        <v>1</v>
      </c>
      <c r="J26" s="188">
        <v>1</v>
      </c>
      <c r="K26" s="188">
        <f t="shared" si="100"/>
        <v>136</v>
      </c>
      <c r="L26" s="214">
        <f t="shared" si="101"/>
        <v>1</v>
      </c>
      <c r="M26" s="214">
        <f t="shared" si="102"/>
        <v>1</v>
      </c>
      <c r="N26" s="188">
        <v>1</v>
      </c>
      <c r="O26" s="188">
        <f t="shared" si="103"/>
        <v>136</v>
      </c>
      <c r="P26" s="214">
        <f t="shared" si="104"/>
        <v>1</v>
      </c>
      <c r="Q26" s="214">
        <f t="shared" si="105"/>
        <v>1</v>
      </c>
      <c r="R26" s="188">
        <v>1</v>
      </c>
      <c r="S26" s="188">
        <f t="shared" si="106"/>
        <v>136</v>
      </c>
      <c r="T26" s="214">
        <f t="shared" si="107"/>
        <v>1</v>
      </c>
      <c r="U26" s="214">
        <f t="shared" si="108"/>
        <v>1</v>
      </c>
      <c r="V26" s="215">
        <v>1</v>
      </c>
      <c r="W26" s="188">
        <f t="shared" si="109"/>
        <v>136</v>
      </c>
      <c r="X26" s="214">
        <f t="shared" si="110"/>
        <v>1</v>
      </c>
      <c r="Y26" s="214">
        <f t="shared" si="111"/>
        <v>1</v>
      </c>
      <c r="Z26" s="216">
        <f>1868898000/1000000000</f>
        <v>1.8688979999999999</v>
      </c>
      <c r="AA26" s="188">
        <v>0</v>
      </c>
      <c r="AB26" s="188">
        <f t="shared" si="112"/>
        <v>0</v>
      </c>
      <c r="AC26" s="214">
        <f t="shared" si="113"/>
        <v>0</v>
      </c>
      <c r="AD26" s="214">
        <f t="shared" si="114"/>
        <v>0</v>
      </c>
      <c r="AE26" s="188"/>
      <c r="AF26" s="188">
        <f t="shared" si="115"/>
        <v>0</v>
      </c>
      <c r="AG26" s="223"/>
      <c r="AH26" s="188"/>
      <c r="AI26" s="188">
        <v>1</v>
      </c>
      <c r="AJ26" s="188">
        <f t="shared" si="2"/>
        <v>136</v>
      </c>
      <c r="AK26" s="188" t="s">
        <v>304</v>
      </c>
      <c r="AL26" s="188">
        <v>0</v>
      </c>
      <c r="AM26" s="188">
        <v>0</v>
      </c>
      <c r="AN26" s="217"/>
      <c r="AO26" s="188">
        <f t="shared" si="207"/>
        <v>1</v>
      </c>
      <c r="AP26" s="188">
        <f t="shared" si="208"/>
        <v>136</v>
      </c>
      <c r="AQ26" s="188">
        <f t="shared" si="5"/>
        <v>1</v>
      </c>
      <c r="AR26" s="188">
        <f t="shared" si="6"/>
        <v>136</v>
      </c>
      <c r="AS26" s="188">
        <f t="shared" si="7"/>
        <v>1</v>
      </c>
      <c r="AT26" s="188">
        <f t="shared" si="8"/>
        <v>136</v>
      </c>
      <c r="AU26" s="188">
        <f t="shared" si="209"/>
        <v>1</v>
      </c>
      <c r="AV26" s="188">
        <f t="shared" si="210"/>
        <v>136</v>
      </c>
      <c r="AW26" s="188">
        <f t="shared" si="211"/>
        <v>1</v>
      </c>
      <c r="AX26" s="188">
        <f t="shared" si="212"/>
        <v>136</v>
      </c>
      <c r="AY26" s="188">
        <f t="shared" si="116"/>
        <v>0</v>
      </c>
      <c r="AZ26" s="188">
        <f t="shared" si="117"/>
        <v>0</v>
      </c>
      <c r="BA26" s="188">
        <f t="shared" si="14"/>
        <v>1.8688979999999999</v>
      </c>
      <c r="BB26" s="188">
        <f t="shared" si="15"/>
        <v>0</v>
      </c>
      <c r="BD26" s="196">
        <f t="shared" si="118"/>
        <v>0</v>
      </c>
      <c r="BE26" s="188">
        <f t="shared" si="16"/>
        <v>0</v>
      </c>
      <c r="BF26" s="188">
        <f t="shared" si="17"/>
        <v>0</v>
      </c>
      <c r="BG26" s="188">
        <f t="shared" si="18"/>
        <v>0</v>
      </c>
      <c r="BH26" s="188">
        <f t="shared" si="19"/>
        <v>0</v>
      </c>
      <c r="BI26" s="188">
        <f t="shared" si="20"/>
        <v>0</v>
      </c>
      <c r="BJ26" s="188">
        <f t="shared" si="21"/>
        <v>0</v>
      </c>
      <c r="BK26" s="188">
        <f t="shared" si="22"/>
        <v>0</v>
      </c>
      <c r="BN26" s="277">
        <v>72</v>
      </c>
      <c r="BO26" s="139">
        <v>1</v>
      </c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B26" s="188"/>
      <c r="CD26" s="188">
        <f t="shared" si="23"/>
        <v>72</v>
      </c>
      <c r="CE26" s="188">
        <f t="shared" si="24"/>
        <v>72</v>
      </c>
      <c r="CF26" s="188">
        <f t="shared" si="25"/>
        <v>0</v>
      </c>
      <c r="CG26" s="188">
        <f t="shared" si="26"/>
        <v>0</v>
      </c>
      <c r="CH26" s="188">
        <f t="shared" si="27"/>
        <v>0</v>
      </c>
      <c r="CI26" s="188">
        <f t="shared" si="28"/>
        <v>0</v>
      </c>
      <c r="CJ26" s="188">
        <f t="shared" si="29"/>
        <v>0</v>
      </c>
      <c r="CK26" s="188">
        <f t="shared" si="30"/>
        <v>0</v>
      </c>
      <c r="CL26" s="188">
        <f t="shared" si="31"/>
        <v>0</v>
      </c>
      <c r="CM26" s="188">
        <f t="shared" si="32"/>
        <v>0</v>
      </c>
      <c r="CN26" s="188">
        <f t="shared" si="33"/>
        <v>0</v>
      </c>
      <c r="CO26" s="188">
        <f t="shared" si="34"/>
        <v>0</v>
      </c>
      <c r="CP26" s="188">
        <f t="shared" si="35"/>
        <v>0</v>
      </c>
      <c r="DV26" s="188">
        <f t="shared" si="36"/>
        <v>0</v>
      </c>
      <c r="DW26" s="188">
        <f t="shared" si="37"/>
        <v>0</v>
      </c>
      <c r="DX26" s="188">
        <f t="shared" si="38"/>
        <v>0</v>
      </c>
      <c r="DY26" s="188">
        <f t="shared" si="39"/>
        <v>0</v>
      </c>
      <c r="DZ26" s="188">
        <f t="shared" si="40"/>
        <v>0</v>
      </c>
      <c r="EA26" s="188">
        <f t="shared" si="41"/>
        <v>0</v>
      </c>
      <c r="EB26" s="188">
        <f t="shared" si="42"/>
        <v>0</v>
      </c>
      <c r="EG26" s="220">
        <f t="shared" si="43"/>
        <v>0</v>
      </c>
      <c r="EH26" s="220">
        <f t="shared" si="44"/>
        <v>0</v>
      </c>
      <c r="EI26" s="188"/>
      <c r="EJ26" s="188"/>
      <c r="EK26" s="188"/>
      <c r="EL26" s="188"/>
      <c r="EM26" s="188"/>
      <c r="EN26" s="188"/>
      <c r="EO26" s="188"/>
      <c r="EP26" s="188"/>
      <c r="EQ26" s="188"/>
      <c r="ER26" s="188"/>
      <c r="ES26" s="188"/>
      <c r="ET26" s="188"/>
      <c r="EU26" s="188"/>
      <c r="EV26" s="188"/>
      <c r="EW26" s="188"/>
      <c r="EX26" s="188"/>
      <c r="EY26" s="188"/>
      <c r="EZ26" s="188"/>
      <c r="FA26" s="188"/>
      <c r="FB26" s="188"/>
      <c r="FC26" s="188"/>
      <c r="FD26" s="188"/>
      <c r="FE26" s="188"/>
      <c r="FF26" s="188"/>
      <c r="FH26" s="189"/>
      <c r="FI26" s="189"/>
      <c r="FJ26" s="189"/>
      <c r="FK26" s="189"/>
      <c r="FL26" s="189"/>
      <c r="FM26" s="189"/>
      <c r="FN26" s="189"/>
      <c r="FO26" s="189"/>
      <c r="FP26" s="189"/>
      <c r="FQ26" s="189"/>
      <c r="FR26" s="189"/>
      <c r="FS26" s="189"/>
      <c r="FT26" s="189"/>
      <c r="FU26" s="189"/>
      <c r="FV26" s="189"/>
      <c r="FX26" s="217">
        <v>1</v>
      </c>
      <c r="FY26" s="188">
        <f t="shared" si="45"/>
        <v>72</v>
      </c>
      <c r="FZ26" s="188">
        <f t="shared" si="46"/>
        <v>72</v>
      </c>
      <c r="GA26" s="188">
        <f t="shared" si="47"/>
        <v>0</v>
      </c>
      <c r="GB26" s="188">
        <f t="shared" si="48"/>
        <v>0</v>
      </c>
      <c r="GC26" s="188">
        <f t="shared" si="49"/>
        <v>0</v>
      </c>
      <c r="GD26" s="188">
        <f t="shared" si="50"/>
        <v>0</v>
      </c>
      <c r="GE26" s="188">
        <f t="shared" si="51"/>
        <v>0</v>
      </c>
      <c r="GF26" s="199"/>
      <c r="GG26" s="189">
        <v>0</v>
      </c>
      <c r="GH26" s="189">
        <v>0</v>
      </c>
      <c r="GI26" s="199"/>
      <c r="GJ26" s="200">
        <f t="shared" si="52"/>
        <v>0</v>
      </c>
      <c r="GK26" s="200">
        <f t="shared" si="53"/>
        <v>0</v>
      </c>
      <c r="GO26" s="189">
        <f t="shared" si="119"/>
        <v>0</v>
      </c>
      <c r="GP26" s="189">
        <f t="shared" si="120"/>
        <v>0</v>
      </c>
      <c r="GQ26" s="189">
        <f t="shared" si="121"/>
        <v>0</v>
      </c>
      <c r="GR26" s="189">
        <f t="shared" si="122"/>
        <v>0</v>
      </c>
      <c r="GS26" s="189">
        <f t="shared" si="123"/>
        <v>0</v>
      </c>
      <c r="GT26" s="189">
        <f t="shared" si="124"/>
        <v>1</v>
      </c>
      <c r="GU26" s="201">
        <f t="shared" si="125"/>
        <v>43243</v>
      </c>
      <c r="GV26" s="189" t="str">
        <f t="shared" si="126"/>
        <v>SELESAI</v>
      </c>
      <c r="GW26" s="189">
        <f t="shared" si="127"/>
        <v>0</v>
      </c>
      <c r="GX26" s="202" t="str">
        <f t="shared" si="128"/>
        <v>SELESAI</v>
      </c>
      <c r="GY26" s="202">
        <f t="shared" si="129"/>
        <v>0</v>
      </c>
      <c r="GZ26" s="203" t="str">
        <f t="shared" si="130"/>
        <v>SELESAI</v>
      </c>
      <c r="HA26" s="204"/>
      <c r="HB26" s="204"/>
      <c r="HC26" s="189">
        <f t="shared" si="131"/>
        <v>0</v>
      </c>
      <c r="HD26" s="189">
        <f t="shared" si="132"/>
        <v>0</v>
      </c>
      <c r="HE26" s="189">
        <f t="shared" si="133"/>
        <v>0</v>
      </c>
      <c r="HF26" s="189">
        <f t="shared" si="134"/>
        <v>0</v>
      </c>
      <c r="HG26" s="189">
        <f t="shared" si="135"/>
        <v>0</v>
      </c>
      <c r="HH26" s="201" t="str">
        <f t="shared" si="136"/>
        <v>TIDAK KONSINYASI</v>
      </c>
      <c r="HI26" s="201" t="str">
        <f t="shared" si="137"/>
        <v>SELESAI</v>
      </c>
      <c r="HJ26" s="205"/>
      <c r="HK26" s="201">
        <f t="shared" si="138"/>
        <v>0</v>
      </c>
      <c r="HL26" s="204"/>
      <c r="HM26" s="204"/>
      <c r="HN26" s="204"/>
      <c r="HO26" s="204"/>
      <c r="HP26" s="203">
        <f t="shared" si="139"/>
        <v>0</v>
      </c>
      <c r="HQ26" s="202">
        <f t="shared" si="140"/>
        <v>0</v>
      </c>
      <c r="HR26" s="202">
        <f t="shared" si="141"/>
        <v>0</v>
      </c>
      <c r="HS26" s="203">
        <f t="shared" si="142"/>
        <v>0</v>
      </c>
      <c r="HT26" s="202">
        <f t="shared" si="143"/>
        <v>0</v>
      </c>
      <c r="HU26" s="202">
        <f t="shared" si="144"/>
        <v>0</v>
      </c>
      <c r="HV26" s="203">
        <f t="shared" si="145"/>
        <v>0</v>
      </c>
      <c r="HW26" s="202">
        <f t="shared" si="146"/>
        <v>0</v>
      </c>
      <c r="HX26" s="202">
        <f t="shared" si="147"/>
        <v>0</v>
      </c>
      <c r="HY26" s="203">
        <f t="shared" si="148"/>
        <v>0</v>
      </c>
      <c r="HZ26" s="202">
        <f t="shared" si="149"/>
        <v>0</v>
      </c>
      <c r="IA26" s="202">
        <f t="shared" si="150"/>
        <v>0</v>
      </c>
      <c r="IB26" s="203">
        <f t="shared" si="151"/>
        <v>0</v>
      </c>
      <c r="IC26" s="202">
        <f t="shared" si="152"/>
        <v>0</v>
      </c>
      <c r="ID26" s="202">
        <f t="shared" si="153"/>
        <v>0</v>
      </c>
      <c r="IE26" s="203">
        <f t="shared" si="154"/>
        <v>0</v>
      </c>
      <c r="IF26" s="202">
        <f t="shared" si="155"/>
        <v>0</v>
      </c>
      <c r="IG26" s="202">
        <f t="shared" si="156"/>
        <v>0</v>
      </c>
      <c r="IH26" s="203">
        <f t="shared" si="157"/>
        <v>0</v>
      </c>
      <c r="II26" s="202">
        <f t="shared" si="158"/>
        <v>0</v>
      </c>
      <c r="IJ26" s="202">
        <f t="shared" si="159"/>
        <v>0</v>
      </c>
      <c r="IK26" s="203">
        <f t="shared" si="160"/>
        <v>0</v>
      </c>
      <c r="IL26" s="202">
        <f t="shared" si="161"/>
        <v>0</v>
      </c>
      <c r="IM26" s="202">
        <f t="shared" si="162"/>
        <v>0</v>
      </c>
      <c r="IN26" s="204"/>
      <c r="IO26" s="203">
        <f t="shared" si="163"/>
        <v>0</v>
      </c>
      <c r="IP26" s="202">
        <f t="shared" si="164"/>
        <v>0</v>
      </c>
      <c r="IQ26" s="202">
        <f t="shared" si="165"/>
        <v>0</v>
      </c>
      <c r="IR26" s="204"/>
      <c r="IS26" s="203"/>
      <c r="IT26" s="202">
        <f t="shared" si="166"/>
        <v>1</v>
      </c>
      <c r="IU26" s="202">
        <f t="shared" si="167"/>
        <v>136</v>
      </c>
      <c r="IV26" s="204"/>
      <c r="IW26" s="203"/>
      <c r="IX26" s="202">
        <f t="shared" si="168"/>
        <v>0</v>
      </c>
      <c r="IY26" s="202">
        <f t="shared" si="169"/>
        <v>0</v>
      </c>
      <c r="IZ26" s="204"/>
      <c r="JA26" s="203"/>
      <c r="JB26" s="202">
        <f t="shared" si="170"/>
        <v>0</v>
      </c>
      <c r="JC26" s="202">
        <f t="shared" si="171"/>
        <v>0</v>
      </c>
      <c r="JD26" s="204"/>
      <c r="JE26" s="203"/>
      <c r="JF26" s="202">
        <f t="shared" si="172"/>
        <v>1</v>
      </c>
      <c r="JG26" s="202">
        <f t="shared" si="173"/>
        <v>136</v>
      </c>
      <c r="JH26" s="204"/>
      <c r="JI26" s="203"/>
      <c r="JJ26" s="202">
        <f t="shared" si="174"/>
        <v>0</v>
      </c>
      <c r="JK26" s="202">
        <f t="shared" si="175"/>
        <v>0</v>
      </c>
      <c r="JM26" s="203">
        <f t="shared" si="176"/>
        <v>0</v>
      </c>
      <c r="JO26" s="196">
        <f t="shared" si="54"/>
        <v>1</v>
      </c>
      <c r="JP26" s="189">
        <f t="shared" si="55"/>
        <v>72</v>
      </c>
      <c r="JQ26" s="189">
        <f t="shared" si="56"/>
        <v>1</v>
      </c>
      <c r="JR26" s="189">
        <f t="shared" si="57"/>
        <v>0</v>
      </c>
      <c r="JS26" s="189">
        <f t="shared" si="58"/>
        <v>0</v>
      </c>
      <c r="JT26" s="189">
        <f t="shared" si="59"/>
        <v>0</v>
      </c>
      <c r="JU26" s="189">
        <f t="shared" si="60"/>
        <v>0</v>
      </c>
      <c r="JV26" s="189">
        <f t="shared" si="61"/>
        <v>0</v>
      </c>
      <c r="JW26" s="189">
        <f t="shared" si="62"/>
        <v>0</v>
      </c>
      <c r="JX26" s="189">
        <f t="shared" si="63"/>
        <v>0</v>
      </c>
      <c r="JY26" s="189">
        <f t="shared" si="64"/>
        <v>0</v>
      </c>
      <c r="JZ26" s="189">
        <f t="shared" si="65"/>
        <v>0</v>
      </c>
      <c r="KA26" s="189">
        <f t="shared" si="66"/>
        <v>0</v>
      </c>
      <c r="KB26" s="189">
        <f t="shared" si="67"/>
        <v>0</v>
      </c>
      <c r="KD26" s="206">
        <f t="shared" si="177"/>
        <v>0</v>
      </c>
      <c r="KE26" s="206">
        <f t="shared" si="69"/>
        <v>0</v>
      </c>
      <c r="KF26" s="206">
        <f t="shared" si="70"/>
        <v>72</v>
      </c>
      <c r="KG26" s="206">
        <f t="shared" si="71"/>
        <v>72</v>
      </c>
      <c r="KH26" s="206">
        <f t="shared" si="72"/>
        <v>0</v>
      </c>
      <c r="KI26" s="206">
        <f t="shared" si="73"/>
        <v>0</v>
      </c>
      <c r="KJ26" s="206">
        <f t="shared" si="74"/>
        <v>0</v>
      </c>
      <c r="KK26" s="206">
        <f t="shared" si="75"/>
        <v>0</v>
      </c>
      <c r="KL26" s="206">
        <f t="shared" si="76"/>
        <v>0</v>
      </c>
      <c r="KM26" s="206">
        <f t="shared" si="77"/>
        <v>0</v>
      </c>
      <c r="KN26" s="221">
        <f t="shared" si="78"/>
        <v>0</v>
      </c>
      <c r="KO26" s="221">
        <f t="shared" si="79"/>
        <v>0</v>
      </c>
      <c r="KP26" s="221">
        <f t="shared" si="80"/>
        <v>0</v>
      </c>
      <c r="KQ26" s="221">
        <f t="shared" si="81"/>
        <v>0</v>
      </c>
      <c r="KR26" s="221">
        <f t="shared" si="82"/>
        <v>0</v>
      </c>
      <c r="KT26" s="195">
        <f t="shared" si="83"/>
        <v>0</v>
      </c>
      <c r="KU26" s="221"/>
      <c r="KV26" s="221"/>
      <c r="KW26" s="221"/>
      <c r="KX26" s="221"/>
      <c r="KY26" s="221"/>
      <c r="KZ26" s="221"/>
      <c r="LA26" s="221"/>
      <c r="LB26" s="221"/>
      <c r="LC26" s="221"/>
      <c r="LD26" s="221"/>
      <c r="LE26" s="221"/>
      <c r="LF26" s="221"/>
      <c r="LG26" s="221"/>
      <c r="LH26" s="221"/>
      <c r="LI26" s="221"/>
      <c r="LJ26" s="221"/>
      <c r="LK26" s="221"/>
      <c r="LL26" s="221"/>
      <c r="LM26" s="221"/>
      <c r="LN26" s="221"/>
      <c r="LO26" s="221"/>
      <c r="LP26" s="221"/>
      <c r="LQ26" s="221"/>
      <c r="LR26" s="221"/>
      <c r="LS26" s="221"/>
      <c r="LT26" s="221"/>
      <c r="LU26" s="221"/>
      <c r="LV26" s="221"/>
      <c r="LW26" s="221"/>
      <c r="LX26" s="221"/>
      <c r="LY26" s="221"/>
      <c r="LZ26" s="221"/>
      <c r="MA26" s="221"/>
      <c r="MB26" s="221"/>
      <c r="MC26" s="221"/>
      <c r="MD26" s="221"/>
      <c r="ME26" s="221"/>
      <c r="MF26" s="221"/>
      <c r="MG26" s="221"/>
      <c r="MH26" s="221"/>
      <c r="MI26" s="221"/>
      <c r="MJ26" s="221"/>
      <c r="MK26" s="221"/>
      <c r="ML26" s="221"/>
      <c r="MM26" s="221"/>
      <c r="MN26" s="221"/>
      <c r="MO26" s="221"/>
      <c r="MP26" s="221"/>
      <c r="MQ26" s="221"/>
      <c r="MR26" s="221"/>
      <c r="MS26" s="221"/>
      <c r="MT26" s="221"/>
      <c r="MU26" s="221"/>
      <c r="MV26" s="221"/>
      <c r="MW26" s="221"/>
      <c r="MX26" s="221"/>
      <c r="MY26" s="221"/>
      <c r="MZ26" s="221"/>
      <c r="NA26" s="221"/>
      <c r="NB26" s="221"/>
      <c r="NC26" s="221"/>
      <c r="ND26" s="221"/>
      <c r="NE26" s="221"/>
      <c r="NF26" s="221"/>
      <c r="NG26" s="221"/>
      <c r="NH26" s="221"/>
      <c r="NI26" s="221"/>
      <c r="NJ26" s="221"/>
      <c r="NK26" s="221"/>
      <c r="NM26" s="195">
        <f t="shared" si="178"/>
        <v>0</v>
      </c>
      <c r="NN26" s="195">
        <f t="shared" si="179"/>
        <v>0</v>
      </c>
      <c r="NO26" s="195">
        <f t="shared" si="180"/>
        <v>0</v>
      </c>
      <c r="NP26" s="195">
        <f t="shared" si="181"/>
        <v>0</v>
      </c>
      <c r="NQ26" s="195">
        <f t="shared" si="182"/>
        <v>0</v>
      </c>
      <c r="NR26" s="195">
        <f t="shared" si="183"/>
        <v>0</v>
      </c>
      <c r="NS26" s="195">
        <f t="shared" si="184"/>
        <v>0</v>
      </c>
      <c r="NT26" s="195">
        <f t="shared" si="185"/>
        <v>0</v>
      </c>
      <c r="NU26" s="196">
        <f t="shared" si="186"/>
        <v>0</v>
      </c>
      <c r="NY26" s="215">
        <f t="shared" si="187"/>
        <v>1</v>
      </c>
      <c r="NZ26" s="222">
        <v>12500000</v>
      </c>
      <c r="OE26" s="207">
        <f t="shared" si="85"/>
        <v>0</v>
      </c>
      <c r="OF26" s="207">
        <f t="shared" si="86"/>
        <v>0</v>
      </c>
      <c r="OG26" s="207">
        <f t="shared" si="87"/>
        <v>0</v>
      </c>
      <c r="OH26" s="207">
        <f t="shared" si="188"/>
        <v>0</v>
      </c>
      <c r="OI26" s="207">
        <f t="shared" si="88"/>
        <v>0</v>
      </c>
      <c r="OJ26" s="199">
        <f t="shared" si="189"/>
        <v>0</v>
      </c>
      <c r="OK26" s="199">
        <f t="shared" si="190"/>
        <v>0</v>
      </c>
      <c r="OL26" s="199">
        <f t="shared" si="191"/>
        <v>0</v>
      </c>
      <c r="OM26" s="199">
        <f t="shared" si="192"/>
        <v>0</v>
      </c>
      <c r="OO26" s="207">
        <f t="shared" si="89"/>
        <v>0</v>
      </c>
      <c r="OP26" s="207">
        <f t="shared" si="90"/>
        <v>0</v>
      </c>
      <c r="OQ26" s="207">
        <f t="shared" si="193"/>
        <v>0</v>
      </c>
      <c r="OR26" s="207">
        <f t="shared" si="194"/>
        <v>0</v>
      </c>
      <c r="OS26" s="207">
        <f t="shared" si="195"/>
        <v>0</v>
      </c>
      <c r="OT26" s="199">
        <f t="shared" si="196"/>
        <v>0</v>
      </c>
      <c r="OU26" s="199">
        <f t="shared" si="197"/>
        <v>0</v>
      </c>
      <c r="OV26" s="199">
        <f t="shared" si="198"/>
        <v>0</v>
      </c>
      <c r="OW26" s="199">
        <f t="shared" si="199"/>
        <v>0</v>
      </c>
      <c r="OZ26" s="208">
        <f t="shared" si="91"/>
        <v>0</v>
      </c>
      <c r="PA26" s="209"/>
      <c r="PB26" s="209"/>
      <c r="PC26" s="209"/>
      <c r="PD26" s="210">
        <f t="shared" si="200"/>
        <v>0</v>
      </c>
      <c r="PE26" s="210"/>
      <c r="PF26" s="210">
        <f t="shared" si="201"/>
        <v>0</v>
      </c>
      <c r="PG26" s="210">
        <f t="shared" si="202"/>
        <v>0</v>
      </c>
      <c r="PH26" s="210">
        <f t="shared" si="92"/>
        <v>0</v>
      </c>
      <c r="PI26" s="210">
        <f t="shared" si="93"/>
        <v>0</v>
      </c>
      <c r="PJ26" s="210">
        <f t="shared" si="94"/>
        <v>0</v>
      </c>
      <c r="PK26" s="210">
        <f t="shared" si="95"/>
        <v>0</v>
      </c>
      <c r="PL26" s="210">
        <f t="shared" si="96"/>
        <v>0</v>
      </c>
      <c r="PM26" s="211"/>
      <c r="PN26" s="211"/>
      <c r="PO26" s="212">
        <f t="shared" si="203"/>
        <v>0</v>
      </c>
      <c r="PP26" s="212">
        <f t="shared" si="204"/>
        <v>0</v>
      </c>
      <c r="PQ26" s="212">
        <f t="shared" si="205"/>
        <v>0</v>
      </c>
      <c r="PR26" s="211"/>
      <c r="PS26" s="211"/>
      <c r="PT26" s="211"/>
      <c r="PU26" s="211"/>
    </row>
    <row r="27" spans="1:437" s="195" customFormat="1" ht="16" x14ac:dyDescent="0.2">
      <c r="A27" s="213">
        <f t="shared" si="206"/>
        <v>18</v>
      </c>
      <c r="B27" s="186" t="s">
        <v>43</v>
      </c>
      <c r="C27" s="186">
        <v>20</v>
      </c>
      <c r="D27" s="188">
        <v>1</v>
      </c>
      <c r="E27" s="188">
        <v>54</v>
      </c>
      <c r="F27" s="188">
        <v>1</v>
      </c>
      <c r="G27" s="188">
        <f t="shared" si="97"/>
        <v>54</v>
      </c>
      <c r="H27" s="214">
        <f t="shared" si="98"/>
        <v>1</v>
      </c>
      <c r="I27" s="214">
        <f t="shared" si="99"/>
        <v>1</v>
      </c>
      <c r="J27" s="188">
        <v>1</v>
      </c>
      <c r="K27" s="188">
        <f t="shared" si="100"/>
        <v>54</v>
      </c>
      <c r="L27" s="214">
        <f t="shared" si="101"/>
        <v>1</v>
      </c>
      <c r="M27" s="214">
        <f t="shared" si="102"/>
        <v>1</v>
      </c>
      <c r="N27" s="188">
        <v>1</v>
      </c>
      <c r="O27" s="188">
        <f t="shared" si="103"/>
        <v>54</v>
      </c>
      <c r="P27" s="214">
        <f t="shared" si="104"/>
        <v>1</v>
      </c>
      <c r="Q27" s="214">
        <f t="shared" si="105"/>
        <v>1</v>
      </c>
      <c r="R27" s="188">
        <v>1</v>
      </c>
      <c r="S27" s="188">
        <f t="shared" si="106"/>
        <v>54</v>
      </c>
      <c r="T27" s="214">
        <f t="shared" si="107"/>
        <v>1</v>
      </c>
      <c r="U27" s="214">
        <f t="shared" si="108"/>
        <v>1</v>
      </c>
      <c r="V27" s="215">
        <v>1</v>
      </c>
      <c r="W27" s="188">
        <f t="shared" si="109"/>
        <v>54</v>
      </c>
      <c r="X27" s="214">
        <f t="shared" si="110"/>
        <v>1</v>
      </c>
      <c r="Y27" s="214">
        <f t="shared" si="111"/>
        <v>1</v>
      </c>
      <c r="Z27" s="216">
        <f>1684241000/1000000000</f>
        <v>1.6842410000000001</v>
      </c>
      <c r="AA27" s="188">
        <v>0</v>
      </c>
      <c r="AB27" s="188">
        <f t="shared" si="112"/>
        <v>0</v>
      </c>
      <c r="AC27" s="214">
        <f t="shared" si="113"/>
        <v>0</v>
      </c>
      <c r="AD27" s="214">
        <f t="shared" si="114"/>
        <v>0</v>
      </c>
      <c r="AE27" s="188"/>
      <c r="AF27" s="188">
        <f t="shared" si="115"/>
        <v>0</v>
      </c>
      <c r="AG27" s="223"/>
      <c r="AH27" s="188"/>
      <c r="AI27" s="188">
        <v>1</v>
      </c>
      <c r="AJ27" s="188">
        <f t="shared" si="2"/>
        <v>54</v>
      </c>
      <c r="AK27" s="188" t="s">
        <v>304</v>
      </c>
      <c r="AL27" s="188">
        <v>0</v>
      </c>
      <c r="AM27" s="188">
        <v>0</v>
      </c>
      <c r="AN27" s="217"/>
      <c r="AO27" s="188">
        <f t="shared" si="207"/>
        <v>1</v>
      </c>
      <c r="AP27" s="188">
        <f t="shared" si="208"/>
        <v>54</v>
      </c>
      <c r="AQ27" s="188">
        <f t="shared" si="5"/>
        <v>1</v>
      </c>
      <c r="AR27" s="188">
        <f t="shared" si="6"/>
        <v>54</v>
      </c>
      <c r="AS27" s="188">
        <f t="shared" si="7"/>
        <v>1</v>
      </c>
      <c r="AT27" s="188">
        <f t="shared" si="8"/>
        <v>54</v>
      </c>
      <c r="AU27" s="188">
        <f t="shared" si="209"/>
        <v>1</v>
      </c>
      <c r="AV27" s="188">
        <f t="shared" si="210"/>
        <v>54</v>
      </c>
      <c r="AW27" s="188">
        <f t="shared" si="211"/>
        <v>1</v>
      </c>
      <c r="AX27" s="188">
        <f t="shared" si="212"/>
        <v>54</v>
      </c>
      <c r="AY27" s="188">
        <f t="shared" si="116"/>
        <v>0</v>
      </c>
      <c r="AZ27" s="188">
        <f t="shared" si="117"/>
        <v>0</v>
      </c>
      <c r="BA27" s="188">
        <f t="shared" si="14"/>
        <v>1.6842410000000001</v>
      </c>
      <c r="BB27" s="188">
        <f t="shared" si="15"/>
        <v>0</v>
      </c>
      <c r="BD27" s="196">
        <f t="shared" si="118"/>
        <v>0</v>
      </c>
      <c r="BE27" s="188">
        <f t="shared" si="16"/>
        <v>0</v>
      </c>
      <c r="BF27" s="188">
        <f t="shared" si="17"/>
        <v>0</v>
      </c>
      <c r="BG27" s="188">
        <f t="shared" si="18"/>
        <v>0</v>
      </c>
      <c r="BH27" s="188">
        <f t="shared" si="19"/>
        <v>0</v>
      </c>
      <c r="BI27" s="188">
        <f t="shared" si="20"/>
        <v>0</v>
      </c>
      <c r="BJ27" s="188">
        <f t="shared" si="21"/>
        <v>0</v>
      </c>
      <c r="BK27" s="188">
        <f t="shared" si="22"/>
        <v>0</v>
      </c>
      <c r="BN27" s="143"/>
      <c r="BO27" s="277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B27" s="188"/>
      <c r="CD27" s="188">
        <f t="shared" si="23"/>
        <v>0</v>
      </c>
      <c r="CE27" s="188">
        <f t="shared" si="24"/>
        <v>0</v>
      </c>
      <c r="CF27" s="188">
        <f t="shared" si="25"/>
        <v>0</v>
      </c>
      <c r="CG27" s="188">
        <f t="shared" si="26"/>
        <v>0</v>
      </c>
      <c r="CH27" s="188">
        <f t="shared" si="27"/>
        <v>0</v>
      </c>
      <c r="CI27" s="188">
        <f t="shared" si="28"/>
        <v>0</v>
      </c>
      <c r="CJ27" s="188">
        <f t="shared" si="29"/>
        <v>0</v>
      </c>
      <c r="CK27" s="188">
        <f t="shared" si="30"/>
        <v>0</v>
      </c>
      <c r="CL27" s="188">
        <f t="shared" si="31"/>
        <v>0</v>
      </c>
      <c r="CM27" s="188">
        <f t="shared" si="32"/>
        <v>0</v>
      </c>
      <c r="CN27" s="188">
        <f t="shared" si="33"/>
        <v>0</v>
      </c>
      <c r="CO27" s="188">
        <f t="shared" si="34"/>
        <v>0</v>
      </c>
      <c r="CP27" s="188">
        <f t="shared" si="35"/>
        <v>0</v>
      </c>
      <c r="DV27" s="188">
        <f t="shared" si="36"/>
        <v>0</v>
      </c>
      <c r="DW27" s="188">
        <f t="shared" si="37"/>
        <v>0</v>
      </c>
      <c r="DX27" s="188">
        <f t="shared" si="38"/>
        <v>0</v>
      </c>
      <c r="DY27" s="188">
        <f t="shared" si="39"/>
        <v>0</v>
      </c>
      <c r="DZ27" s="188">
        <f t="shared" si="40"/>
        <v>0</v>
      </c>
      <c r="EA27" s="188">
        <f t="shared" si="41"/>
        <v>0</v>
      </c>
      <c r="EB27" s="188">
        <f t="shared" si="42"/>
        <v>0</v>
      </c>
      <c r="EG27" s="220">
        <f t="shared" si="43"/>
        <v>0</v>
      </c>
      <c r="EH27" s="220">
        <f t="shared" si="44"/>
        <v>0</v>
      </c>
      <c r="EI27" s="188"/>
      <c r="EJ27" s="188"/>
      <c r="EK27" s="188"/>
      <c r="EL27" s="188"/>
      <c r="EM27" s="188"/>
      <c r="EN27" s="188"/>
      <c r="EO27" s="188"/>
      <c r="EP27" s="188"/>
      <c r="EQ27" s="188"/>
      <c r="ER27" s="188"/>
      <c r="ES27" s="188"/>
      <c r="ET27" s="188"/>
      <c r="EU27" s="188"/>
      <c r="EV27" s="188"/>
      <c r="EW27" s="188"/>
      <c r="EX27" s="188"/>
      <c r="EY27" s="188"/>
      <c r="EZ27" s="188"/>
      <c r="FA27" s="188"/>
      <c r="FB27" s="188"/>
      <c r="FC27" s="188"/>
      <c r="FD27" s="188"/>
      <c r="FE27" s="188"/>
      <c r="FF27" s="188"/>
      <c r="FH27" s="189"/>
      <c r="FI27" s="189"/>
      <c r="FJ27" s="189"/>
      <c r="FK27" s="189"/>
      <c r="FL27" s="189"/>
      <c r="FM27" s="189"/>
      <c r="FN27" s="189"/>
      <c r="FO27" s="189"/>
      <c r="FP27" s="189"/>
      <c r="FQ27" s="189"/>
      <c r="FR27" s="189"/>
      <c r="FS27" s="189"/>
      <c r="FT27" s="189"/>
      <c r="FU27" s="189"/>
      <c r="FV27" s="189"/>
      <c r="FX27" s="217"/>
      <c r="FY27" s="188">
        <f t="shared" si="45"/>
        <v>0</v>
      </c>
      <c r="FZ27" s="188">
        <f t="shared" si="46"/>
        <v>0</v>
      </c>
      <c r="GA27" s="188">
        <f t="shared" si="47"/>
        <v>0</v>
      </c>
      <c r="GB27" s="188">
        <f t="shared" si="48"/>
        <v>0</v>
      </c>
      <c r="GC27" s="188">
        <f t="shared" si="49"/>
        <v>0</v>
      </c>
      <c r="GD27" s="188">
        <f t="shared" si="50"/>
        <v>0</v>
      </c>
      <c r="GE27" s="188">
        <f t="shared" si="51"/>
        <v>0</v>
      </c>
      <c r="GF27" s="199"/>
      <c r="GG27" s="189">
        <v>0</v>
      </c>
      <c r="GH27" s="189">
        <v>0</v>
      </c>
      <c r="GI27" s="199"/>
      <c r="GJ27" s="200">
        <f t="shared" si="52"/>
        <v>0</v>
      </c>
      <c r="GK27" s="200">
        <f t="shared" si="53"/>
        <v>0</v>
      </c>
      <c r="GO27" s="189">
        <f t="shared" si="119"/>
        <v>0</v>
      </c>
      <c r="GP27" s="189">
        <f t="shared" si="120"/>
        <v>0</v>
      </c>
      <c r="GQ27" s="189">
        <f t="shared" si="121"/>
        <v>0</v>
      </c>
      <c r="GR27" s="189">
        <f t="shared" si="122"/>
        <v>0</v>
      </c>
      <c r="GS27" s="189">
        <f t="shared" si="123"/>
        <v>0</v>
      </c>
      <c r="GT27" s="189">
        <f t="shared" si="124"/>
        <v>1</v>
      </c>
      <c r="GU27" s="201">
        <f t="shared" si="125"/>
        <v>43243</v>
      </c>
      <c r="GV27" s="189" t="str">
        <f t="shared" si="126"/>
        <v>SELESAI</v>
      </c>
      <c r="GW27" s="189">
        <f t="shared" si="127"/>
        <v>0</v>
      </c>
      <c r="GX27" s="202" t="str">
        <f t="shared" si="128"/>
        <v>SELESAI</v>
      </c>
      <c r="GY27" s="202">
        <f t="shared" si="129"/>
        <v>0</v>
      </c>
      <c r="GZ27" s="203" t="str">
        <f t="shared" si="130"/>
        <v>SELESAI</v>
      </c>
      <c r="HA27" s="204"/>
      <c r="HB27" s="204"/>
      <c r="HC27" s="189">
        <f t="shared" si="131"/>
        <v>0</v>
      </c>
      <c r="HD27" s="189">
        <f t="shared" si="132"/>
        <v>0</v>
      </c>
      <c r="HE27" s="189">
        <f t="shared" si="133"/>
        <v>0</v>
      </c>
      <c r="HF27" s="189">
        <f t="shared" si="134"/>
        <v>0</v>
      </c>
      <c r="HG27" s="189">
        <f t="shared" si="135"/>
        <v>0</v>
      </c>
      <c r="HH27" s="201" t="str">
        <f t="shared" si="136"/>
        <v>TIDAK KONSINYASI</v>
      </c>
      <c r="HI27" s="201" t="str">
        <f t="shared" si="137"/>
        <v>SELESAI</v>
      </c>
      <c r="HJ27" s="205"/>
      <c r="HK27" s="201">
        <f t="shared" si="138"/>
        <v>0</v>
      </c>
      <c r="HL27" s="204"/>
      <c r="HM27" s="204"/>
      <c r="HN27" s="204"/>
      <c r="HO27" s="204"/>
      <c r="HP27" s="203">
        <f t="shared" si="139"/>
        <v>0</v>
      </c>
      <c r="HQ27" s="202">
        <f t="shared" si="140"/>
        <v>0</v>
      </c>
      <c r="HR27" s="202">
        <f t="shared" si="141"/>
        <v>0</v>
      </c>
      <c r="HS27" s="203">
        <f t="shared" si="142"/>
        <v>0</v>
      </c>
      <c r="HT27" s="202">
        <f t="shared" si="143"/>
        <v>0</v>
      </c>
      <c r="HU27" s="202">
        <f t="shared" si="144"/>
        <v>0</v>
      </c>
      <c r="HV27" s="203">
        <f t="shared" si="145"/>
        <v>0</v>
      </c>
      <c r="HW27" s="202">
        <f t="shared" si="146"/>
        <v>0</v>
      </c>
      <c r="HX27" s="202">
        <f t="shared" si="147"/>
        <v>0</v>
      </c>
      <c r="HY27" s="203">
        <f t="shared" si="148"/>
        <v>0</v>
      </c>
      <c r="HZ27" s="202">
        <f t="shared" si="149"/>
        <v>0</v>
      </c>
      <c r="IA27" s="202">
        <f t="shared" si="150"/>
        <v>0</v>
      </c>
      <c r="IB27" s="203">
        <f t="shared" si="151"/>
        <v>0</v>
      </c>
      <c r="IC27" s="202">
        <f t="shared" si="152"/>
        <v>0</v>
      </c>
      <c r="ID27" s="202">
        <f t="shared" si="153"/>
        <v>0</v>
      </c>
      <c r="IE27" s="203">
        <f t="shared" si="154"/>
        <v>0</v>
      </c>
      <c r="IF27" s="202">
        <f t="shared" si="155"/>
        <v>0</v>
      </c>
      <c r="IG27" s="202">
        <f t="shared" si="156"/>
        <v>0</v>
      </c>
      <c r="IH27" s="203">
        <f t="shared" si="157"/>
        <v>0</v>
      </c>
      <c r="II27" s="202">
        <f t="shared" si="158"/>
        <v>0</v>
      </c>
      <c r="IJ27" s="202">
        <f t="shared" si="159"/>
        <v>0</v>
      </c>
      <c r="IK27" s="203">
        <f t="shared" si="160"/>
        <v>0</v>
      </c>
      <c r="IL27" s="202">
        <f t="shared" si="161"/>
        <v>0</v>
      </c>
      <c r="IM27" s="202">
        <f t="shared" si="162"/>
        <v>0</v>
      </c>
      <c r="IN27" s="204"/>
      <c r="IO27" s="203">
        <f t="shared" si="163"/>
        <v>0</v>
      </c>
      <c r="IP27" s="202">
        <f t="shared" si="164"/>
        <v>0</v>
      </c>
      <c r="IQ27" s="202">
        <f t="shared" si="165"/>
        <v>0</v>
      </c>
      <c r="IR27" s="204"/>
      <c r="IS27" s="203"/>
      <c r="IT27" s="202">
        <f t="shared" si="166"/>
        <v>1</v>
      </c>
      <c r="IU27" s="202">
        <f t="shared" si="167"/>
        <v>54</v>
      </c>
      <c r="IV27" s="204"/>
      <c r="IW27" s="203"/>
      <c r="IX27" s="202">
        <f t="shared" si="168"/>
        <v>0</v>
      </c>
      <c r="IY27" s="202">
        <f t="shared" si="169"/>
        <v>0</v>
      </c>
      <c r="IZ27" s="204"/>
      <c r="JA27" s="203"/>
      <c r="JB27" s="202">
        <f t="shared" si="170"/>
        <v>0</v>
      </c>
      <c r="JC27" s="202">
        <f t="shared" si="171"/>
        <v>0</v>
      </c>
      <c r="JD27" s="204"/>
      <c r="JE27" s="203"/>
      <c r="JF27" s="202">
        <f t="shared" si="172"/>
        <v>1</v>
      </c>
      <c r="JG27" s="202">
        <f t="shared" si="173"/>
        <v>54</v>
      </c>
      <c r="JH27" s="204"/>
      <c r="JI27" s="203"/>
      <c r="JJ27" s="202">
        <f t="shared" si="174"/>
        <v>0</v>
      </c>
      <c r="JK27" s="202">
        <f t="shared" si="175"/>
        <v>0</v>
      </c>
      <c r="JM27" s="203">
        <f t="shared" si="176"/>
        <v>0</v>
      </c>
      <c r="JO27" s="196">
        <f t="shared" si="54"/>
        <v>0</v>
      </c>
      <c r="JP27" s="189">
        <f t="shared" si="55"/>
        <v>0</v>
      </c>
      <c r="JQ27" s="189">
        <f t="shared" si="56"/>
        <v>0</v>
      </c>
      <c r="JR27" s="189">
        <f t="shared" si="57"/>
        <v>0</v>
      </c>
      <c r="JS27" s="189">
        <f t="shared" si="58"/>
        <v>0</v>
      </c>
      <c r="JT27" s="189">
        <f t="shared" si="59"/>
        <v>0</v>
      </c>
      <c r="JU27" s="189">
        <f t="shared" si="60"/>
        <v>0</v>
      </c>
      <c r="JV27" s="189">
        <f t="shared" si="61"/>
        <v>0</v>
      </c>
      <c r="JW27" s="189">
        <f t="shared" si="62"/>
        <v>0</v>
      </c>
      <c r="JX27" s="189">
        <f t="shared" si="63"/>
        <v>0</v>
      </c>
      <c r="JY27" s="189">
        <f t="shared" si="64"/>
        <v>0</v>
      </c>
      <c r="JZ27" s="189">
        <f t="shared" si="65"/>
        <v>0</v>
      </c>
      <c r="KA27" s="189">
        <f t="shared" si="66"/>
        <v>0</v>
      </c>
      <c r="KB27" s="189">
        <f t="shared" si="67"/>
        <v>0</v>
      </c>
      <c r="KD27" s="206">
        <f t="shared" si="177"/>
        <v>0</v>
      </c>
      <c r="KE27" s="206">
        <f t="shared" si="69"/>
        <v>0</v>
      </c>
      <c r="KF27" s="206">
        <f t="shared" si="70"/>
        <v>0</v>
      </c>
      <c r="KG27" s="206">
        <f t="shared" si="71"/>
        <v>0</v>
      </c>
      <c r="KH27" s="206">
        <f t="shared" si="72"/>
        <v>0</v>
      </c>
      <c r="KI27" s="206">
        <f t="shared" si="73"/>
        <v>0</v>
      </c>
      <c r="KJ27" s="206">
        <f t="shared" si="74"/>
        <v>0</v>
      </c>
      <c r="KK27" s="206">
        <f t="shared" si="75"/>
        <v>0</v>
      </c>
      <c r="KL27" s="206">
        <f t="shared" si="76"/>
        <v>0</v>
      </c>
      <c r="KM27" s="206">
        <f t="shared" si="77"/>
        <v>0</v>
      </c>
      <c r="KN27" s="221">
        <f t="shared" si="78"/>
        <v>0</v>
      </c>
      <c r="KO27" s="221">
        <f t="shared" si="79"/>
        <v>0</v>
      </c>
      <c r="KP27" s="221">
        <f t="shared" si="80"/>
        <v>0</v>
      </c>
      <c r="KQ27" s="221">
        <f t="shared" si="81"/>
        <v>0</v>
      </c>
      <c r="KR27" s="221">
        <f t="shared" si="82"/>
        <v>0</v>
      </c>
      <c r="KT27" s="195">
        <f t="shared" si="83"/>
        <v>0</v>
      </c>
      <c r="KU27" s="221"/>
      <c r="KV27" s="221"/>
      <c r="KW27" s="221"/>
      <c r="KX27" s="221"/>
      <c r="KY27" s="221"/>
      <c r="KZ27" s="221"/>
      <c r="LA27" s="221"/>
      <c r="LB27" s="221"/>
      <c r="LC27" s="221"/>
      <c r="LD27" s="221"/>
      <c r="LE27" s="221"/>
      <c r="LF27" s="221"/>
      <c r="LG27" s="221"/>
      <c r="LH27" s="221"/>
      <c r="LI27" s="221"/>
      <c r="LJ27" s="221"/>
      <c r="LK27" s="221"/>
      <c r="LL27" s="221"/>
      <c r="LM27" s="221"/>
      <c r="LN27" s="221"/>
      <c r="LO27" s="221"/>
      <c r="LP27" s="221"/>
      <c r="LQ27" s="221"/>
      <c r="LR27" s="221"/>
      <c r="LS27" s="221"/>
      <c r="LT27" s="221"/>
      <c r="LU27" s="221"/>
      <c r="LV27" s="221"/>
      <c r="LW27" s="221"/>
      <c r="LX27" s="221"/>
      <c r="LY27" s="221"/>
      <c r="LZ27" s="221"/>
      <c r="MA27" s="221"/>
      <c r="MB27" s="221"/>
      <c r="MC27" s="221"/>
      <c r="MD27" s="221"/>
      <c r="ME27" s="221"/>
      <c r="MF27" s="221"/>
      <c r="MG27" s="221"/>
      <c r="MH27" s="221"/>
      <c r="MI27" s="221"/>
      <c r="MJ27" s="221"/>
      <c r="MK27" s="221"/>
      <c r="ML27" s="221"/>
      <c r="MM27" s="221"/>
      <c r="MN27" s="221"/>
      <c r="MO27" s="221"/>
      <c r="MP27" s="221"/>
      <c r="MQ27" s="221"/>
      <c r="MR27" s="221"/>
      <c r="MS27" s="221"/>
      <c r="MT27" s="221"/>
      <c r="MU27" s="221"/>
      <c r="MV27" s="221"/>
      <c r="MW27" s="221"/>
      <c r="MX27" s="221"/>
      <c r="MY27" s="221"/>
      <c r="MZ27" s="221"/>
      <c r="NA27" s="221"/>
      <c r="NB27" s="221"/>
      <c r="NC27" s="221"/>
      <c r="ND27" s="221"/>
      <c r="NE27" s="221"/>
      <c r="NF27" s="221"/>
      <c r="NG27" s="221"/>
      <c r="NH27" s="221"/>
      <c r="NI27" s="221"/>
      <c r="NJ27" s="221"/>
      <c r="NK27" s="221"/>
      <c r="NM27" s="195">
        <f t="shared" si="178"/>
        <v>0</v>
      </c>
      <c r="NN27" s="195">
        <f t="shared" si="179"/>
        <v>0</v>
      </c>
      <c r="NO27" s="195">
        <f t="shared" si="180"/>
        <v>0</v>
      </c>
      <c r="NP27" s="195">
        <f t="shared" si="181"/>
        <v>0</v>
      </c>
      <c r="NQ27" s="195">
        <f t="shared" si="182"/>
        <v>0</v>
      </c>
      <c r="NR27" s="195">
        <f t="shared" si="183"/>
        <v>0</v>
      </c>
      <c r="NS27" s="195">
        <f t="shared" si="184"/>
        <v>0</v>
      </c>
      <c r="NT27" s="195">
        <f t="shared" si="185"/>
        <v>0</v>
      </c>
      <c r="NU27" s="196">
        <f t="shared" si="186"/>
        <v>0</v>
      </c>
      <c r="NY27" s="215">
        <f t="shared" si="187"/>
        <v>1</v>
      </c>
      <c r="NZ27" s="222">
        <v>12500000</v>
      </c>
      <c r="OE27" s="207">
        <f t="shared" si="85"/>
        <v>0</v>
      </c>
      <c r="OF27" s="207">
        <f t="shared" si="86"/>
        <v>0</v>
      </c>
      <c r="OG27" s="207">
        <f t="shared" si="87"/>
        <v>0</v>
      </c>
      <c r="OH27" s="207">
        <f t="shared" si="188"/>
        <v>0</v>
      </c>
      <c r="OI27" s="207">
        <f t="shared" si="88"/>
        <v>0</v>
      </c>
      <c r="OJ27" s="199">
        <f t="shared" si="189"/>
        <v>0</v>
      </c>
      <c r="OK27" s="199">
        <f t="shared" si="190"/>
        <v>0</v>
      </c>
      <c r="OL27" s="199">
        <f t="shared" si="191"/>
        <v>0</v>
      </c>
      <c r="OM27" s="199">
        <f t="shared" si="192"/>
        <v>0</v>
      </c>
      <c r="OO27" s="207">
        <f t="shared" si="89"/>
        <v>0</v>
      </c>
      <c r="OP27" s="207">
        <f t="shared" si="90"/>
        <v>0</v>
      </c>
      <c r="OQ27" s="207">
        <f t="shared" si="193"/>
        <v>0</v>
      </c>
      <c r="OR27" s="207">
        <f t="shared" si="194"/>
        <v>0</v>
      </c>
      <c r="OS27" s="207">
        <f t="shared" si="195"/>
        <v>0</v>
      </c>
      <c r="OT27" s="199">
        <f t="shared" si="196"/>
        <v>0</v>
      </c>
      <c r="OU27" s="199">
        <f t="shared" si="197"/>
        <v>0</v>
      </c>
      <c r="OV27" s="199">
        <f t="shared" si="198"/>
        <v>0</v>
      </c>
      <c r="OW27" s="199">
        <f t="shared" si="199"/>
        <v>0</v>
      </c>
      <c r="OZ27" s="208">
        <f t="shared" si="91"/>
        <v>0</v>
      </c>
      <c r="PA27" s="209"/>
      <c r="PB27" s="209"/>
      <c r="PC27" s="209"/>
      <c r="PD27" s="210">
        <f t="shared" si="200"/>
        <v>0</v>
      </c>
      <c r="PE27" s="210"/>
      <c r="PF27" s="210">
        <f t="shared" si="201"/>
        <v>0</v>
      </c>
      <c r="PG27" s="210">
        <f t="shared" si="202"/>
        <v>0</v>
      </c>
      <c r="PH27" s="210">
        <f t="shared" si="92"/>
        <v>0</v>
      </c>
      <c r="PI27" s="210">
        <f t="shared" si="93"/>
        <v>0</v>
      </c>
      <c r="PJ27" s="210">
        <f t="shared" si="94"/>
        <v>0</v>
      </c>
      <c r="PK27" s="210">
        <f t="shared" si="95"/>
        <v>0</v>
      </c>
      <c r="PL27" s="210">
        <f t="shared" si="96"/>
        <v>0</v>
      </c>
      <c r="PM27" s="211"/>
      <c r="PN27" s="211"/>
      <c r="PO27" s="212">
        <f t="shared" si="203"/>
        <v>0</v>
      </c>
      <c r="PP27" s="212">
        <f t="shared" si="204"/>
        <v>0</v>
      </c>
      <c r="PQ27" s="212">
        <f t="shared" si="205"/>
        <v>0</v>
      </c>
      <c r="PR27" s="211"/>
      <c r="PS27" s="211"/>
      <c r="PT27" s="211"/>
      <c r="PU27" s="211"/>
    </row>
    <row r="28" spans="1:437" s="195" customFormat="1" ht="16" x14ac:dyDescent="0.2">
      <c r="A28" s="213">
        <f t="shared" si="206"/>
        <v>19</v>
      </c>
      <c r="B28" s="186" t="s">
        <v>44</v>
      </c>
      <c r="C28" s="186">
        <v>21</v>
      </c>
      <c r="D28" s="188">
        <v>1</v>
      </c>
      <c r="E28" s="188">
        <v>28</v>
      </c>
      <c r="F28" s="188">
        <v>1</v>
      </c>
      <c r="G28" s="188">
        <f t="shared" si="97"/>
        <v>28</v>
      </c>
      <c r="H28" s="214">
        <f t="shared" si="98"/>
        <v>1</v>
      </c>
      <c r="I28" s="214">
        <f t="shared" si="99"/>
        <v>1</v>
      </c>
      <c r="J28" s="188">
        <v>1</v>
      </c>
      <c r="K28" s="188">
        <f t="shared" si="100"/>
        <v>28</v>
      </c>
      <c r="L28" s="214">
        <f t="shared" si="101"/>
        <v>1</v>
      </c>
      <c r="M28" s="214">
        <f t="shared" si="102"/>
        <v>1</v>
      </c>
      <c r="N28" s="188">
        <v>1</v>
      </c>
      <c r="O28" s="188">
        <f t="shared" si="103"/>
        <v>28</v>
      </c>
      <c r="P28" s="214">
        <f t="shared" si="104"/>
        <v>1</v>
      </c>
      <c r="Q28" s="214">
        <f t="shared" si="105"/>
        <v>1</v>
      </c>
      <c r="R28" s="188">
        <v>1</v>
      </c>
      <c r="S28" s="188">
        <f t="shared" si="106"/>
        <v>28</v>
      </c>
      <c r="T28" s="214">
        <f t="shared" si="107"/>
        <v>1</v>
      </c>
      <c r="U28" s="214">
        <f t="shared" si="108"/>
        <v>1</v>
      </c>
      <c r="V28" s="215">
        <v>1</v>
      </c>
      <c r="W28" s="188">
        <f t="shared" si="109"/>
        <v>28</v>
      </c>
      <c r="X28" s="214">
        <f t="shared" si="110"/>
        <v>1</v>
      </c>
      <c r="Y28" s="214">
        <f t="shared" si="111"/>
        <v>1</v>
      </c>
      <c r="Z28" s="216">
        <f>780572000/1000000000</f>
        <v>0.78057200000000004</v>
      </c>
      <c r="AA28" s="188">
        <v>0</v>
      </c>
      <c r="AB28" s="188">
        <f t="shared" si="112"/>
        <v>0</v>
      </c>
      <c r="AC28" s="214">
        <f t="shared" si="113"/>
        <v>0</v>
      </c>
      <c r="AD28" s="214">
        <f t="shared" si="114"/>
        <v>0</v>
      </c>
      <c r="AE28" s="188"/>
      <c r="AF28" s="188">
        <f t="shared" si="115"/>
        <v>0</v>
      </c>
      <c r="AG28" s="223"/>
      <c r="AH28" s="188"/>
      <c r="AI28" s="188">
        <v>1</v>
      </c>
      <c r="AJ28" s="188">
        <f t="shared" si="2"/>
        <v>28</v>
      </c>
      <c r="AK28" s="188" t="s">
        <v>304</v>
      </c>
      <c r="AL28" s="188">
        <v>0</v>
      </c>
      <c r="AM28" s="188">
        <v>0</v>
      </c>
      <c r="AN28" s="217"/>
      <c r="AO28" s="188">
        <f t="shared" si="207"/>
        <v>1</v>
      </c>
      <c r="AP28" s="188">
        <f t="shared" si="208"/>
        <v>28</v>
      </c>
      <c r="AQ28" s="188">
        <f t="shared" si="5"/>
        <v>1</v>
      </c>
      <c r="AR28" s="188">
        <f t="shared" si="6"/>
        <v>28</v>
      </c>
      <c r="AS28" s="188">
        <f t="shared" si="7"/>
        <v>1</v>
      </c>
      <c r="AT28" s="188">
        <f t="shared" si="8"/>
        <v>28</v>
      </c>
      <c r="AU28" s="188">
        <f t="shared" si="209"/>
        <v>1</v>
      </c>
      <c r="AV28" s="188">
        <f t="shared" si="210"/>
        <v>28</v>
      </c>
      <c r="AW28" s="188">
        <f t="shared" si="211"/>
        <v>1</v>
      </c>
      <c r="AX28" s="188">
        <f t="shared" si="212"/>
        <v>28</v>
      </c>
      <c r="AY28" s="188">
        <f t="shared" si="116"/>
        <v>0</v>
      </c>
      <c r="AZ28" s="188">
        <f t="shared" si="117"/>
        <v>0</v>
      </c>
      <c r="BA28" s="188">
        <f t="shared" si="14"/>
        <v>0.78057200000000004</v>
      </c>
      <c r="BB28" s="188">
        <f t="shared" si="15"/>
        <v>0</v>
      </c>
      <c r="BD28" s="196">
        <f t="shared" si="118"/>
        <v>0</v>
      </c>
      <c r="BE28" s="188">
        <f t="shared" si="16"/>
        <v>0</v>
      </c>
      <c r="BF28" s="188">
        <f t="shared" si="17"/>
        <v>0</v>
      </c>
      <c r="BG28" s="188">
        <f t="shared" si="18"/>
        <v>0</v>
      </c>
      <c r="BH28" s="188">
        <f t="shared" si="19"/>
        <v>0</v>
      </c>
      <c r="BI28" s="188">
        <f t="shared" si="20"/>
        <v>0</v>
      </c>
      <c r="BJ28" s="188">
        <f t="shared" si="21"/>
        <v>0</v>
      </c>
      <c r="BK28" s="188">
        <f t="shared" si="22"/>
        <v>0</v>
      </c>
      <c r="BN28" s="277"/>
      <c r="BO28" s="139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B28" s="188"/>
      <c r="CD28" s="188">
        <f t="shared" si="23"/>
        <v>0</v>
      </c>
      <c r="CE28" s="188">
        <f t="shared" si="24"/>
        <v>0</v>
      </c>
      <c r="CF28" s="188">
        <f t="shared" si="25"/>
        <v>0</v>
      </c>
      <c r="CG28" s="188">
        <f t="shared" si="26"/>
        <v>0</v>
      </c>
      <c r="CH28" s="188">
        <f t="shared" si="27"/>
        <v>0</v>
      </c>
      <c r="CI28" s="188">
        <f t="shared" si="28"/>
        <v>0</v>
      </c>
      <c r="CJ28" s="188">
        <f t="shared" si="29"/>
        <v>0</v>
      </c>
      <c r="CK28" s="188">
        <f t="shared" si="30"/>
        <v>0</v>
      </c>
      <c r="CL28" s="188">
        <f t="shared" si="31"/>
        <v>0</v>
      </c>
      <c r="CM28" s="188">
        <f t="shared" si="32"/>
        <v>0</v>
      </c>
      <c r="CN28" s="188">
        <f t="shared" si="33"/>
        <v>0</v>
      </c>
      <c r="CO28" s="188">
        <f t="shared" si="34"/>
        <v>0</v>
      </c>
      <c r="CP28" s="188">
        <f t="shared" si="35"/>
        <v>0</v>
      </c>
      <c r="DV28" s="188">
        <f t="shared" si="36"/>
        <v>0</v>
      </c>
      <c r="DW28" s="188">
        <f t="shared" si="37"/>
        <v>0</v>
      </c>
      <c r="DX28" s="188">
        <f t="shared" si="38"/>
        <v>0</v>
      </c>
      <c r="DY28" s="188">
        <f t="shared" si="39"/>
        <v>0</v>
      </c>
      <c r="DZ28" s="188">
        <f t="shared" si="40"/>
        <v>0</v>
      </c>
      <c r="EA28" s="188">
        <f t="shared" si="41"/>
        <v>0</v>
      </c>
      <c r="EB28" s="188">
        <f t="shared" si="42"/>
        <v>0</v>
      </c>
      <c r="EG28" s="220">
        <f t="shared" si="43"/>
        <v>0</v>
      </c>
      <c r="EH28" s="220">
        <f t="shared" si="44"/>
        <v>0</v>
      </c>
      <c r="EI28" s="188"/>
      <c r="EJ28" s="188"/>
      <c r="EK28" s="188"/>
      <c r="EL28" s="188"/>
      <c r="EM28" s="188"/>
      <c r="EN28" s="188"/>
      <c r="EO28" s="188"/>
      <c r="EP28" s="188"/>
      <c r="EQ28" s="188"/>
      <c r="ER28" s="188"/>
      <c r="ES28" s="188"/>
      <c r="ET28" s="188"/>
      <c r="EU28" s="188"/>
      <c r="EV28" s="188"/>
      <c r="EW28" s="188"/>
      <c r="EX28" s="188"/>
      <c r="EY28" s="188"/>
      <c r="EZ28" s="188"/>
      <c r="FA28" s="188"/>
      <c r="FB28" s="188"/>
      <c r="FC28" s="188"/>
      <c r="FD28" s="188"/>
      <c r="FE28" s="188"/>
      <c r="FF28" s="188"/>
      <c r="FH28" s="189"/>
      <c r="FI28" s="189"/>
      <c r="FJ28" s="189"/>
      <c r="FK28" s="189"/>
      <c r="FL28" s="189"/>
      <c r="FM28" s="189"/>
      <c r="FN28" s="189"/>
      <c r="FO28" s="189"/>
      <c r="FP28" s="189"/>
      <c r="FQ28" s="189"/>
      <c r="FR28" s="189"/>
      <c r="FS28" s="189"/>
      <c r="FT28" s="189"/>
      <c r="FU28" s="189"/>
      <c r="FV28" s="189"/>
      <c r="FX28" s="217"/>
      <c r="FY28" s="188">
        <f t="shared" si="45"/>
        <v>0</v>
      </c>
      <c r="FZ28" s="188">
        <f t="shared" si="46"/>
        <v>0</v>
      </c>
      <c r="GA28" s="188">
        <f t="shared" si="47"/>
        <v>0</v>
      </c>
      <c r="GB28" s="188">
        <f t="shared" si="48"/>
        <v>0</v>
      </c>
      <c r="GC28" s="188">
        <f t="shared" si="49"/>
        <v>0</v>
      </c>
      <c r="GD28" s="188">
        <f t="shared" si="50"/>
        <v>0</v>
      </c>
      <c r="GE28" s="188">
        <f t="shared" si="51"/>
        <v>0</v>
      </c>
      <c r="GF28" s="199"/>
      <c r="GG28" s="189">
        <v>0</v>
      </c>
      <c r="GH28" s="189">
        <v>0</v>
      </c>
      <c r="GI28" s="199"/>
      <c r="GJ28" s="200">
        <f t="shared" si="52"/>
        <v>0</v>
      </c>
      <c r="GK28" s="200">
        <f t="shared" si="53"/>
        <v>0</v>
      </c>
      <c r="GO28" s="189">
        <f t="shared" si="119"/>
        <v>0</v>
      </c>
      <c r="GP28" s="189">
        <f t="shared" si="120"/>
        <v>0</v>
      </c>
      <c r="GQ28" s="189">
        <f t="shared" si="121"/>
        <v>0</v>
      </c>
      <c r="GR28" s="189">
        <f t="shared" si="122"/>
        <v>0</v>
      </c>
      <c r="GS28" s="189">
        <f t="shared" si="123"/>
        <v>0</v>
      </c>
      <c r="GT28" s="189">
        <f t="shared" si="124"/>
        <v>1</v>
      </c>
      <c r="GU28" s="201">
        <f t="shared" si="125"/>
        <v>43243</v>
      </c>
      <c r="GV28" s="189" t="str">
        <f t="shared" si="126"/>
        <v>SELESAI</v>
      </c>
      <c r="GW28" s="189">
        <f t="shared" si="127"/>
        <v>0</v>
      </c>
      <c r="GX28" s="202" t="str">
        <f t="shared" si="128"/>
        <v>SELESAI</v>
      </c>
      <c r="GY28" s="202">
        <f t="shared" si="129"/>
        <v>0</v>
      </c>
      <c r="GZ28" s="203" t="str">
        <f t="shared" si="130"/>
        <v>SELESAI</v>
      </c>
      <c r="HA28" s="204"/>
      <c r="HB28" s="204"/>
      <c r="HC28" s="189">
        <f t="shared" si="131"/>
        <v>0</v>
      </c>
      <c r="HD28" s="189">
        <f t="shared" si="132"/>
        <v>0</v>
      </c>
      <c r="HE28" s="189">
        <f t="shared" si="133"/>
        <v>0</v>
      </c>
      <c r="HF28" s="189">
        <f t="shared" si="134"/>
        <v>0</v>
      </c>
      <c r="HG28" s="189">
        <f t="shared" si="135"/>
        <v>0</v>
      </c>
      <c r="HH28" s="201" t="str">
        <f t="shared" si="136"/>
        <v>TIDAK KONSINYASI</v>
      </c>
      <c r="HI28" s="201" t="str">
        <f t="shared" si="137"/>
        <v>SELESAI</v>
      </c>
      <c r="HJ28" s="205"/>
      <c r="HK28" s="201">
        <f t="shared" si="138"/>
        <v>0</v>
      </c>
      <c r="HL28" s="204"/>
      <c r="HM28" s="204"/>
      <c r="HN28" s="204"/>
      <c r="HO28" s="204"/>
      <c r="HP28" s="203">
        <f t="shared" si="139"/>
        <v>0</v>
      </c>
      <c r="HQ28" s="202">
        <f t="shared" si="140"/>
        <v>0</v>
      </c>
      <c r="HR28" s="202">
        <f t="shared" si="141"/>
        <v>0</v>
      </c>
      <c r="HS28" s="203">
        <f t="shared" si="142"/>
        <v>0</v>
      </c>
      <c r="HT28" s="202">
        <f t="shared" si="143"/>
        <v>0</v>
      </c>
      <c r="HU28" s="202">
        <f t="shared" si="144"/>
        <v>0</v>
      </c>
      <c r="HV28" s="203">
        <f t="shared" si="145"/>
        <v>0</v>
      </c>
      <c r="HW28" s="202">
        <f t="shared" si="146"/>
        <v>0</v>
      </c>
      <c r="HX28" s="202">
        <f t="shared" si="147"/>
        <v>0</v>
      </c>
      <c r="HY28" s="203">
        <f t="shared" si="148"/>
        <v>0</v>
      </c>
      <c r="HZ28" s="202">
        <f t="shared" si="149"/>
        <v>0</v>
      </c>
      <c r="IA28" s="202">
        <f t="shared" si="150"/>
        <v>0</v>
      </c>
      <c r="IB28" s="203">
        <f t="shared" si="151"/>
        <v>0</v>
      </c>
      <c r="IC28" s="202">
        <f t="shared" si="152"/>
        <v>0</v>
      </c>
      <c r="ID28" s="202">
        <f t="shared" si="153"/>
        <v>0</v>
      </c>
      <c r="IE28" s="203">
        <f t="shared" si="154"/>
        <v>0</v>
      </c>
      <c r="IF28" s="202">
        <f t="shared" si="155"/>
        <v>0</v>
      </c>
      <c r="IG28" s="202">
        <f t="shared" si="156"/>
        <v>0</v>
      </c>
      <c r="IH28" s="203">
        <f t="shared" si="157"/>
        <v>0</v>
      </c>
      <c r="II28" s="202">
        <f t="shared" si="158"/>
        <v>0</v>
      </c>
      <c r="IJ28" s="202">
        <f t="shared" si="159"/>
        <v>0</v>
      </c>
      <c r="IK28" s="203">
        <f t="shared" si="160"/>
        <v>0</v>
      </c>
      <c r="IL28" s="202">
        <f t="shared" si="161"/>
        <v>0</v>
      </c>
      <c r="IM28" s="202">
        <f t="shared" si="162"/>
        <v>0</v>
      </c>
      <c r="IN28" s="204"/>
      <c r="IO28" s="203">
        <f t="shared" si="163"/>
        <v>0</v>
      </c>
      <c r="IP28" s="202">
        <f t="shared" si="164"/>
        <v>0</v>
      </c>
      <c r="IQ28" s="202">
        <f t="shared" si="165"/>
        <v>0</v>
      </c>
      <c r="IR28" s="204"/>
      <c r="IS28" s="203"/>
      <c r="IT28" s="202">
        <f t="shared" si="166"/>
        <v>1</v>
      </c>
      <c r="IU28" s="202">
        <f t="shared" si="167"/>
        <v>28</v>
      </c>
      <c r="IV28" s="204"/>
      <c r="IW28" s="203"/>
      <c r="IX28" s="202">
        <f t="shared" si="168"/>
        <v>0</v>
      </c>
      <c r="IY28" s="202">
        <f t="shared" si="169"/>
        <v>0</v>
      </c>
      <c r="IZ28" s="204"/>
      <c r="JA28" s="203"/>
      <c r="JB28" s="202">
        <f t="shared" si="170"/>
        <v>0</v>
      </c>
      <c r="JC28" s="202">
        <f t="shared" si="171"/>
        <v>0</v>
      </c>
      <c r="JD28" s="204"/>
      <c r="JE28" s="203"/>
      <c r="JF28" s="202">
        <f t="shared" si="172"/>
        <v>1</v>
      </c>
      <c r="JG28" s="202">
        <f t="shared" si="173"/>
        <v>28</v>
      </c>
      <c r="JH28" s="204"/>
      <c r="JI28" s="203"/>
      <c r="JJ28" s="202">
        <f t="shared" si="174"/>
        <v>0</v>
      </c>
      <c r="JK28" s="202">
        <f t="shared" si="175"/>
        <v>0</v>
      </c>
      <c r="JM28" s="203">
        <f t="shared" si="176"/>
        <v>0</v>
      </c>
      <c r="JO28" s="196">
        <f t="shared" si="54"/>
        <v>0</v>
      </c>
      <c r="JP28" s="189">
        <f t="shared" si="55"/>
        <v>0</v>
      </c>
      <c r="JQ28" s="189">
        <f t="shared" si="56"/>
        <v>0</v>
      </c>
      <c r="JR28" s="189">
        <f t="shared" si="57"/>
        <v>0</v>
      </c>
      <c r="JS28" s="189">
        <f t="shared" si="58"/>
        <v>0</v>
      </c>
      <c r="JT28" s="189">
        <f t="shared" si="59"/>
        <v>0</v>
      </c>
      <c r="JU28" s="189">
        <f t="shared" si="60"/>
        <v>0</v>
      </c>
      <c r="JV28" s="189">
        <f t="shared" si="61"/>
        <v>0</v>
      </c>
      <c r="JW28" s="189">
        <f t="shared" si="62"/>
        <v>0</v>
      </c>
      <c r="JX28" s="189">
        <f t="shared" si="63"/>
        <v>0</v>
      </c>
      <c r="JY28" s="189">
        <f t="shared" si="64"/>
        <v>0</v>
      </c>
      <c r="JZ28" s="189">
        <f t="shared" si="65"/>
        <v>0</v>
      </c>
      <c r="KA28" s="189">
        <f t="shared" si="66"/>
        <v>0</v>
      </c>
      <c r="KB28" s="189">
        <f t="shared" si="67"/>
        <v>0</v>
      </c>
      <c r="KD28" s="206">
        <f t="shared" si="177"/>
        <v>0</v>
      </c>
      <c r="KE28" s="206">
        <f t="shared" si="69"/>
        <v>0</v>
      </c>
      <c r="KF28" s="206">
        <f t="shared" si="70"/>
        <v>0</v>
      </c>
      <c r="KG28" s="206">
        <f t="shared" si="71"/>
        <v>0</v>
      </c>
      <c r="KH28" s="206">
        <f t="shared" si="72"/>
        <v>0</v>
      </c>
      <c r="KI28" s="206">
        <f t="shared" si="73"/>
        <v>0</v>
      </c>
      <c r="KJ28" s="206">
        <f t="shared" si="74"/>
        <v>0</v>
      </c>
      <c r="KK28" s="206">
        <f t="shared" si="75"/>
        <v>0</v>
      </c>
      <c r="KL28" s="206">
        <f t="shared" si="76"/>
        <v>0</v>
      </c>
      <c r="KM28" s="206">
        <f t="shared" si="77"/>
        <v>0</v>
      </c>
      <c r="KN28" s="221">
        <f t="shared" si="78"/>
        <v>0</v>
      </c>
      <c r="KO28" s="221">
        <f t="shared" si="79"/>
        <v>0</v>
      </c>
      <c r="KP28" s="221">
        <f t="shared" si="80"/>
        <v>0</v>
      </c>
      <c r="KQ28" s="221">
        <f t="shared" si="81"/>
        <v>0</v>
      </c>
      <c r="KR28" s="221">
        <f t="shared" si="82"/>
        <v>0</v>
      </c>
      <c r="KT28" s="195">
        <f t="shared" si="83"/>
        <v>0</v>
      </c>
      <c r="KU28" s="221"/>
      <c r="KV28" s="221"/>
      <c r="KW28" s="221"/>
      <c r="KX28" s="221"/>
      <c r="KY28" s="221"/>
      <c r="KZ28" s="221"/>
      <c r="LA28" s="221"/>
      <c r="LB28" s="221"/>
      <c r="LC28" s="221"/>
      <c r="LD28" s="221"/>
      <c r="LE28" s="221"/>
      <c r="LF28" s="221"/>
      <c r="LG28" s="221"/>
      <c r="LH28" s="221"/>
      <c r="LI28" s="221"/>
      <c r="LJ28" s="221"/>
      <c r="LK28" s="221"/>
      <c r="LL28" s="221"/>
      <c r="LM28" s="221"/>
      <c r="LN28" s="221"/>
      <c r="LO28" s="221"/>
      <c r="LP28" s="221"/>
      <c r="LQ28" s="221"/>
      <c r="LR28" s="221"/>
      <c r="LS28" s="221"/>
      <c r="LT28" s="221"/>
      <c r="LU28" s="221"/>
      <c r="LV28" s="221"/>
      <c r="LW28" s="221"/>
      <c r="LX28" s="221"/>
      <c r="LY28" s="221"/>
      <c r="LZ28" s="221"/>
      <c r="MA28" s="221"/>
      <c r="MB28" s="221"/>
      <c r="MC28" s="221"/>
      <c r="MD28" s="221"/>
      <c r="ME28" s="221"/>
      <c r="MF28" s="221"/>
      <c r="MG28" s="221"/>
      <c r="MH28" s="221"/>
      <c r="MI28" s="221"/>
      <c r="MJ28" s="221"/>
      <c r="MK28" s="221"/>
      <c r="ML28" s="221"/>
      <c r="MM28" s="221"/>
      <c r="MN28" s="221"/>
      <c r="MO28" s="221"/>
      <c r="MP28" s="221"/>
      <c r="MQ28" s="221"/>
      <c r="MR28" s="221"/>
      <c r="MS28" s="221"/>
      <c r="MT28" s="221"/>
      <c r="MU28" s="221"/>
      <c r="MV28" s="221"/>
      <c r="MW28" s="221"/>
      <c r="MX28" s="221"/>
      <c r="MY28" s="221"/>
      <c r="MZ28" s="221"/>
      <c r="NA28" s="221"/>
      <c r="NB28" s="221"/>
      <c r="NC28" s="221"/>
      <c r="ND28" s="221"/>
      <c r="NE28" s="221"/>
      <c r="NF28" s="221"/>
      <c r="NG28" s="221"/>
      <c r="NH28" s="221"/>
      <c r="NI28" s="221"/>
      <c r="NJ28" s="221"/>
      <c r="NK28" s="221"/>
      <c r="NM28" s="195">
        <f t="shared" si="178"/>
        <v>0</v>
      </c>
      <c r="NN28" s="195">
        <f t="shared" si="179"/>
        <v>0</v>
      </c>
      <c r="NO28" s="195">
        <f t="shared" si="180"/>
        <v>0</v>
      </c>
      <c r="NP28" s="195">
        <f t="shared" si="181"/>
        <v>0</v>
      </c>
      <c r="NQ28" s="195">
        <f t="shared" si="182"/>
        <v>0</v>
      </c>
      <c r="NR28" s="195">
        <f t="shared" si="183"/>
        <v>0</v>
      </c>
      <c r="NS28" s="195">
        <f t="shared" si="184"/>
        <v>0</v>
      </c>
      <c r="NT28" s="195">
        <f t="shared" si="185"/>
        <v>0</v>
      </c>
      <c r="NU28" s="196">
        <f t="shared" si="186"/>
        <v>0</v>
      </c>
      <c r="NY28" s="215">
        <f t="shared" si="187"/>
        <v>1</v>
      </c>
      <c r="NZ28" s="222">
        <v>12250000</v>
      </c>
      <c r="OE28" s="207">
        <f t="shared" si="85"/>
        <v>0</v>
      </c>
      <c r="OF28" s="207">
        <f t="shared" si="86"/>
        <v>0</v>
      </c>
      <c r="OG28" s="207">
        <f t="shared" si="87"/>
        <v>0</v>
      </c>
      <c r="OH28" s="207">
        <f t="shared" si="188"/>
        <v>0</v>
      </c>
      <c r="OI28" s="207">
        <f t="shared" si="88"/>
        <v>0</v>
      </c>
      <c r="OJ28" s="199">
        <f t="shared" si="189"/>
        <v>0</v>
      </c>
      <c r="OK28" s="199">
        <f t="shared" si="190"/>
        <v>0</v>
      </c>
      <c r="OL28" s="199">
        <f t="shared" si="191"/>
        <v>0</v>
      </c>
      <c r="OM28" s="199">
        <f t="shared" si="192"/>
        <v>0</v>
      </c>
      <c r="OO28" s="207">
        <f t="shared" si="89"/>
        <v>0</v>
      </c>
      <c r="OP28" s="207">
        <f t="shared" si="90"/>
        <v>0</v>
      </c>
      <c r="OQ28" s="207">
        <f t="shared" si="193"/>
        <v>0</v>
      </c>
      <c r="OR28" s="207">
        <f t="shared" si="194"/>
        <v>0</v>
      </c>
      <c r="OS28" s="207">
        <f t="shared" si="195"/>
        <v>0</v>
      </c>
      <c r="OT28" s="199">
        <f t="shared" si="196"/>
        <v>0</v>
      </c>
      <c r="OU28" s="199">
        <f t="shared" si="197"/>
        <v>0</v>
      </c>
      <c r="OV28" s="199">
        <f t="shared" si="198"/>
        <v>0</v>
      </c>
      <c r="OW28" s="199">
        <f t="shared" si="199"/>
        <v>0</v>
      </c>
      <c r="OZ28" s="208">
        <f t="shared" si="91"/>
        <v>0</v>
      </c>
      <c r="PA28" s="209"/>
      <c r="PB28" s="209"/>
      <c r="PC28" s="209"/>
      <c r="PD28" s="210">
        <f t="shared" si="200"/>
        <v>0</v>
      </c>
      <c r="PE28" s="210"/>
      <c r="PF28" s="210">
        <f t="shared" si="201"/>
        <v>0</v>
      </c>
      <c r="PG28" s="210">
        <f t="shared" si="202"/>
        <v>0</v>
      </c>
      <c r="PH28" s="210">
        <f t="shared" si="92"/>
        <v>0</v>
      </c>
      <c r="PI28" s="210">
        <f t="shared" si="93"/>
        <v>0</v>
      </c>
      <c r="PJ28" s="210">
        <f t="shared" si="94"/>
        <v>0</v>
      </c>
      <c r="PK28" s="210">
        <f t="shared" si="95"/>
        <v>0</v>
      </c>
      <c r="PL28" s="210">
        <f t="shared" si="96"/>
        <v>0</v>
      </c>
      <c r="PM28" s="211"/>
      <c r="PN28" s="211"/>
      <c r="PO28" s="212">
        <f t="shared" si="203"/>
        <v>0</v>
      </c>
      <c r="PP28" s="212">
        <f t="shared" si="204"/>
        <v>0</v>
      </c>
      <c r="PQ28" s="212">
        <f t="shared" si="205"/>
        <v>0</v>
      </c>
      <c r="PR28" s="211"/>
      <c r="PS28" s="211"/>
      <c r="PT28" s="211"/>
      <c r="PU28" s="211"/>
    </row>
    <row r="29" spans="1:437" s="195" customFormat="1" ht="16" x14ac:dyDescent="0.2">
      <c r="A29" s="213">
        <f t="shared" si="206"/>
        <v>20</v>
      </c>
      <c r="B29" s="186" t="s">
        <v>45</v>
      </c>
      <c r="C29" s="186">
        <v>22</v>
      </c>
      <c r="D29" s="188">
        <v>1</v>
      </c>
      <c r="E29" s="188">
        <v>33</v>
      </c>
      <c r="F29" s="188">
        <v>1</v>
      </c>
      <c r="G29" s="188">
        <f t="shared" si="97"/>
        <v>33</v>
      </c>
      <c r="H29" s="214">
        <f t="shared" si="98"/>
        <v>1</v>
      </c>
      <c r="I29" s="214">
        <f t="shared" si="99"/>
        <v>1</v>
      </c>
      <c r="J29" s="188">
        <v>1</v>
      </c>
      <c r="K29" s="188">
        <f t="shared" si="100"/>
        <v>33</v>
      </c>
      <c r="L29" s="214">
        <f t="shared" si="101"/>
        <v>1</v>
      </c>
      <c r="M29" s="214">
        <f t="shared" si="102"/>
        <v>1</v>
      </c>
      <c r="N29" s="188">
        <v>1</v>
      </c>
      <c r="O29" s="188">
        <f t="shared" si="103"/>
        <v>33</v>
      </c>
      <c r="P29" s="214">
        <f t="shared" si="104"/>
        <v>1</v>
      </c>
      <c r="Q29" s="214">
        <f t="shared" si="105"/>
        <v>1</v>
      </c>
      <c r="R29" s="188">
        <v>1</v>
      </c>
      <c r="S29" s="188">
        <f t="shared" si="106"/>
        <v>33</v>
      </c>
      <c r="T29" s="214">
        <f t="shared" si="107"/>
        <v>1</v>
      </c>
      <c r="U29" s="214">
        <f t="shared" si="108"/>
        <v>1</v>
      </c>
      <c r="V29" s="215">
        <v>1</v>
      </c>
      <c r="W29" s="188">
        <f t="shared" si="109"/>
        <v>33</v>
      </c>
      <c r="X29" s="214">
        <f t="shared" si="110"/>
        <v>1</v>
      </c>
      <c r="Y29" s="214">
        <f t="shared" si="111"/>
        <v>1</v>
      </c>
      <c r="Z29" s="216">
        <f>659003000/1000000000</f>
        <v>0.65900300000000001</v>
      </c>
      <c r="AA29" s="188">
        <v>0</v>
      </c>
      <c r="AB29" s="188">
        <f t="shared" si="112"/>
        <v>0</v>
      </c>
      <c r="AC29" s="214">
        <f t="shared" si="113"/>
        <v>0</v>
      </c>
      <c r="AD29" s="214">
        <f t="shared" si="114"/>
        <v>0</v>
      </c>
      <c r="AE29" s="188"/>
      <c r="AF29" s="188">
        <f t="shared" si="115"/>
        <v>0</v>
      </c>
      <c r="AG29" s="223"/>
      <c r="AH29" s="188"/>
      <c r="AI29" s="188">
        <v>1</v>
      </c>
      <c r="AJ29" s="188">
        <f t="shared" si="2"/>
        <v>33</v>
      </c>
      <c r="AK29" s="188" t="s">
        <v>304</v>
      </c>
      <c r="AL29" s="188">
        <v>0</v>
      </c>
      <c r="AM29" s="188">
        <v>0</v>
      </c>
      <c r="AN29" s="217"/>
      <c r="AO29" s="188">
        <f t="shared" si="207"/>
        <v>1</v>
      </c>
      <c r="AP29" s="188">
        <f t="shared" si="208"/>
        <v>33</v>
      </c>
      <c r="AQ29" s="188">
        <f t="shared" si="5"/>
        <v>1</v>
      </c>
      <c r="AR29" s="188">
        <f t="shared" si="6"/>
        <v>33</v>
      </c>
      <c r="AS29" s="188">
        <f t="shared" si="7"/>
        <v>1</v>
      </c>
      <c r="AT29" s="188">
        <f t="shared" si="8"/>
        <v>33</v>
      </c>
      <c r="AU29" s="188">
        <f t="shared" si="209"/>
        <v>1</v>
      </c>
      <c r="AV29" s="188">
        <f t="shared" si="210"/>
        <v>33</v>
      </c>
      <c r="AW29" s="188">
        <f t="shared" si="211"/>
        <v>1</v>
      </c>
      <c r="AX29" s="188">
        <f t="shared" si="212"/>
        <v>33</v>
      </c>
      <c r="AY29" s="188">
        <f t="shared" si="116"/>
        <v>0</v>
      </c>
      <c r="AZ29" s="188">
        <f t="shared" si="117"/>
        <v>0</v>
      </c>
      <c r="BA29" s="188">
        <f t="shared" si="14"/>
        <v>0.65900300000000001</v>
      </c>
      <c r="BB29" s="188">
        <f t="shared" si="15"/>
        <v>0</v>
      </c>
      <c r="BD29" s="196">
        <f t="shared" si="118"/>
        <v>0</v>
      </c>
      <c r="BE29" s="188">
        <f t="shared" si="16"/>
        <v>0</v>
      </c>
      <c r="BF29" s="188">
        <f t="shared" si="17"/>
        <v>0</v>
      </c>
      <c r="BG29" s="188">
        <f t="shared" si="18"/>
        <v>0</v>
      </c>
      <c r="BH29" s="188">
        <f t="shared" si="19"/>
        <v>0</v>
      </c>
      <c r="BI29" s="188">
        <f t="shared" si="20"/>
        <v>0</v>
      </c>
      <c r="BJ29" s="188">
        <f t="shared" si="21"/>
        <v>0</v>
      </c>
      <c r="BK29" s="188">
        <f t="shared" si="22"/>
        <v>0</v>
      </c>
      <c r="BN29" s="143"/>
      <c r="BO29" s="277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B29" s="188"/>
      <c r="CD29" s="188">
        <f t="shared" si="23"/>
        <v>0</v>
      </c>
      <c r="CE29" s="188">
        <f t="shared" si="24"/>
        <v>0</v>
      </c>
      <c r="CF29" s="188">
        <f t="shared" si="25"/>
        <v>0</v>
      </c>
      <c r="CG29" s="188">
        <f t="shared" si="26"/>
        <v>0</v>
      </c>
      <c r="CH29" s="188">
        <f t="shared" si="27"/>
        <v>0</v>
      </c>
      <c r="CI29" s="188">
        <f t="shared" si="28"/>
        <v>0</v>
      </c>
      <c r="CJ29" s="188">
        <f t="shared" si="29"/>
        <v>0</v>
      </c>
      <c r="CK29" s="188">
        <f t="shared" si="30"/>
        <v>0</v>
      </c>
      <c r="CL29" s="188">
        <f t="shared" si="31"/>
        <v>0</v>
      </c>
      <c r="CM29" s="188">
        <f t="shared" si="32"/>
        <v>0</v>
      </c>
      <c r="CN29" s="188">
        <f t="shared" si="33"/>
        <v>0</v>
      </c>
      <c r="CO29" s="188">
        <f t="shared" si="34"/>
        <v>0</v>
      </c>
      <c r="CP29" s="188">
        <f t="shared" si="35"/>
        <v>0</v>
      </c>
      <c r="DV29" s="188">
        <f t="shared" si="36"/>
        <v>0</v>
      </c>
      <c r="DW29" s="188">
        <f t="shared" si="37"/>
        <v>0</v>
      </c>
      <c r="DX29" s="188">
        <f t="shared" si="38"/>
        <v>0</v>
      </c>
      <c r="DY29" s="188">
        <f t="shared" si="39"/>
        <v>0</v>
      </c>
      <c r="DZ29" s="188">
        <f t="shared" si="40"/>
        <v>0</v>
      </c>
      <c r="EA29" s="188">
        <f t="shared" si="41"/>
        <v>0</v>
      </c>
      <c r="EB29" s="188">
        <f t="shared" si="42"/>
        <v>0</v>
      </c>
      <c r="EG29" s="220">
        <f t="shared" si="43"/>
        <v>0</v>
      </c>
      <c r="EH29" s="220">
        <f t="shared" si="44"/>
        <v>0</v>
      </c>
      <c r="EI29" s="188"/>
      <c r="EJ29" s="188"/>
      <c r="EK29" s="188"/>
      <c r="EL29" s="188"/>
      <c r="EM29" s="188"/>
      <c r="EN29" s="188"/>
      <c r="EO29" s="188"/>
      <c r="EP29" s="188"/>
      <c r="EQ29" s="188"/>
      <c r="ER29" s="188"/>
      <c r="ES29" s="188"/>
      <c r="ET29" s="188"/>
      <c r="EU29" s="188"/>
      <c r="EV29" s="188"/>
      <c r="EW29" s="188"/>
      <c r="EX29" s="188"/>
      <c r="EY29" s="188"/>
      <c r="EZ29" s="188"/>
      <c r="FA29" s="188"/>
      <c r="FB29" s="188"/>
      <c r="FC29" s="188"/>
      <c r="FD29" s="188"/>
      <c r="FE29" s="188"/>
      <c r="FF29" s="188"/>
      <c r="FH29" s="189"/>
      <c r="FI29" s="189"/>
      <c r="FJ29" s="189"/>
      <c r="FK29" s="189"/>
      <c r="FL29" s="189"/>
      <c r="FM29" s="189"/>
      <c r="FN29" s="189"/>
      <c r="FO29" s="189"/>
      <c r="FP29" s="189"/>
      <c r="FQ29" s="189"/>
      <c r="FR29" s="189"/>
      <c r="FS29" s="189"/>
      <c r="FT29" s="189"/>
      <c r="FU29" s="189"/>
      <c r="FV29" s="189"/>
      <c r="FX29" s="217"/>
      <c r="FY29" s="188">
        <f t="shared" si="45"/>
        <v>0</v>
      </c>
      <c r="FZ29" s="188">
        <f t="shared" si="46"/>
        <v>0</v>
      </c>
      <c r="GA29" s="188">
        <f t="shared" si="47"/>
        <v>0</v>
      </c>
      <c r="GB29" s="188">
        <f t="shared" si="48"/>
        <v>0</v>
      </c>
      <c r="GC29" s="188">
        <f t="shared" si="49"/>
        <v>0</v>
      </c>
      <c r="GD29" s="188">
        <f t="shared" si="50"/>
        <v>0</v>
      </c>
      <c r="GE29" s="188">
        <f t="shared" si="51"/>
        <v>0</v>
      </c>
      <c r="GF29" s="199"/>
      <c r="GG29" s="189">
        <v>0</v>
      </c>
      <c r="GH29" s="189">
        <v>0</v>
      </c>
      <c r="GI29" s="199"/>
      <c r="GJ29" s="200">
        <f t="shared" si="52"/>
        <v>0</v>
      </c>
      <c r="GK29" s="200">
        <f t="shared" si="53"/>
        <v>0</v>
      </c>
      <c r="GO29" s="189">
        <f t="shared" si="119"/>
        <v>0</v>
      </c>
      <c r="GP29" s="189">
        <f t="shared" si="120"/>
        <v>0</v>
      </c>
      <c r="GQ29" s="189">
        <f t="shared" si="121"/>
        <v>0</v>
      </c>
      <c r="GR29" s="189">
        <f t="shared" si="122"/>
        <v>0</v>
      </c>
      <c r="GS29" s="189">
        <f t="shared" si="123"/>
        <v>0</v>
      </c>
      <c r="GT29" s="189">
        <f t="shared" si="124"/>
        <v>1</v>
      </c>
      <c r="GU29" s="201">
        <f t="shared" si="125"/>
        <v>43243</v>
      </c>
      <c r="GV29" s="189" t="str">
        <f t="shared" si="126"/>
        <v>SELESAI</v>
      </c>
      <c r="GW29" s="189">
        <f t="shared" si="127"/>
        <v>0</v>
      </c>
      <c r="GX29" s="202" t="str">
        <f t="shared" si="128"/>
        <v>SELESAI</v>
      </c>
      <c r="GY29" s="202">
        <f t="shared" si="129"/>
        <v>0</v>
      </c>
      <c r="GZ29" s="203" t="str">
        <f t="shared" si="130"/>
        <v>SELESAI</v>
      </c>
      <c r="HA29" s="204"/>
      <c r="HB29" s="204"/>
      <c r="HC29" s="189">
        <f t="shared" si="131"/>
        <v>0</v>
      </c>
      <c r="HD29" s="189">
        <f t="shared" si="132"/>
        <v>0</v>
      </c>
      <c r="HE29" s="189">
        <f t="shared" si="133"/>
        <v>0</v>
      </c>
      <c r="HF29" s="189">
        <f t="shared" si="134"/>
        <v>0</v>
      </c>
      <c r="HG29" s="189">
        <f t="shared" si="135"/>
        <v>0</v>
      </c>
      <c r="HH29" s="201" t="str">
        <f t="shared" si="136"/>
        <v>TIDAK KONSINYASI</v>
      </c>
      <c r="HI29" s="201" t="str">
        <f t="shared" si="137"/>
        <v>SELESAI</v>
      </c>
      <c r="HJ29" s="205"/>
      <c r="HK29" s="201">
        <f t="shared" si="138"/>
        <v>0</v>
      </c>
      <c r="HL29" s="204"/>
      <c r="HM29" s="204"/>
      <c r="HN29" s="204"/>
      <c r="HO29" s="204"/>
      <c r="HP29" s="203">
        <f t="shared" si="139"/>
        <v>0</v>
      </c>
      <c r="HQ29" s="202">
        <f t="shared" si="140"/>
        <v>0</v>
      </c>
      <c r="HR29" s="202">
        <f t="shared" si="141"/>
        <v>0</v>
      </c>
      <c r="HS29" s="203">
        <f t="shared" si="142"/>
        <v>0</v>
      </c>
      <c r="HT29" s="202">
        <f t="shared" si="143"/>
        <v>0</v>
      </c>
      <c r="HU29" s="202">
        <f t="shared" si="144"/>
        <v>0</v>
      </c>
      <c r="HV29" s="203">
        <f t="shared" si="145"/>
        <v>0</v>
      </c>
      <c r="HW29" s="202">
        <f t="shared" si="146"/>
        <v>0</v>
      </c>
      <c r="HX29" s="202">
        <f t="shared" si="147"/>
        <v>0</v>
      </c>
      <c r="HY29" s="203">
        <f t="shared" si="148"/>
        <v>0</v>
      </c>
      <c r="HZ29" s="202">
        <f t="shared" si="149"/>
        <v>0</v>
      </c>
      <c r="IA29" s="202">
        <f t="shared" si="150"/>
        <v>0</v>
      </c>
      <c r="IB29" s="203">
        <f t="shared" si="151"/>
        <v>0</v>
      </c>
      <c r="IC29" s="202">
        <f t="shared" si="152"/>
        <v>0</v>
      </c>
      <c r="ID29" s="202">
        <f t="shared" si="153"/>
        <v>0</v>
      </c>
      <c r="IE29" s="203">
        <f t="shared" si="154"/>
        <v>0</v>
      </c>
      <c r="IF29" s="202">
        <f t="shared" si="155"/>
        <v>0</v>
      </c>
      <c r="IG29" s="202">
        <f t="shared" si="156"/>
        <v>0</v>
      </c>
      <c r="IH29" s="203">
        <f t="shared" si="157"/>
        <v>0</v>
      </c>
      <c r="II29" s="202">
        <f t="shared" si="158"/>
        <v>0</v>
      </c>
      <c r="IJ29" s="202">
        <f t="shared" si="159"/>
        <v>0</v>
      </c>
      <c r="IK29" s="203">
        <f t="shared" si="160"/>
        <v>0</v>
      </c>
      <c r="IL29" s="202">
        <f t="shared" si="161"/>
        <v>0</v>
      </c>
      <c r="IM29" s="202">
        <f t="shared" si="162"/>
        <v>0</v>
      </c>
      <c r="IN29" s="204"/>
      <c r="IO29" s="203">
        <f t="shared" si="163"/>
        <v>0</v>
      </c>
      <c r="IP29" s="202">
        <f t="shared" si="164"/>
        <v>0</v>
      </c>
      <c r="IQ29" s="202">
        <f t="shared" si="165"/>
        <v>0</v>
      </c>
      <c r="IR29" s="204"/>
      <c r="IS29" s="203"/>
      <c r="IT29" s="202">
        <f t="shared" si="166"/>
        <v>1</v>
      </c>
      <c r="IU29" s="202">
        <f t="shared" si="167"/>
        <v>33</v>
      </c>
      <c r="IV29" s="204"/>
      <c r="IW29" s="203"/>
      <c r="IX29" s="202">
        <f t="shared" si="168"/>
        <v>0</v>
      </c>
      <c r="IY29" s="202">
        <f t="shared" si="169"/>
        <v>0</v>
      </c>
      <c r="IZ29" s="204"/>
      <c r="JA29" s="203"/>
      <c r="JB29" s="202">
        <f t="shared" si="170"/>
        <v>0</v>
      </c>
      <c r="JC29" s="202">
        <f t="shared" si="171"/>
        <v>0</v>
      </c>
      <c r="JD29" s="204"/>
      <c r="JE29" s="203"/>
      <c r="JF29" s="202">
        <f t="shared" si="172"/>
        <v>1</v>
      </c>
      <c r="JG29" s="202">
        <f t="shared" si="173"/>
        <v>33</v>
      </c>
      <c r="JH29" s="204"/>
      <c r="JI29" s="203"/>
      <c r="JJ29" s="202">
        <f t="shared" si="174"/>
        <v>0</v>
      </c>
      <c r="JK29" s="202">
        <f t="shared" si="175"/>
        <v>0</v>
      </c>
      <c r="JM29" s="203">
        <f t="shared" si="176"/>
        <v>0</v>
      </c>
      <c r="JO29" s="196">
        <f t="shared" si="54"/>
        <v>0</v>
      </c>
      <c r="JP29" s="189">
        <f t="shared" si="55"/>
        <v>0</v>
      </c>
      <c r="JQ29" s="189">
        <f t="shared" si="56"/>
        <v>0</v>
      </c>
      <c r="JR29" s="189">
        <f t="shared" si="57"/>
        <v>0</v>
      </c>
      <c r="JS29" s="189">
        <f t="shared" si="58"/>
        <v>0</v>
      </c>
      <c r="JT29" s="189">
        <f t="shared" si="59"/>
        <v>0</v>
      </c>
      <c r="JU29" s="189">
        <f t="shared" si="60"/>
        <v>0</v>
      </c>
      <c r="JV29" s="189">
        <f t="shared" si="61"/>
        <v>0</v>
      </c>
      <c r="JW29" s="189">
        <f t="shared" si="62"/>
        <v>0</v>
      </c>
      <c r="JX29" s="189">
        <f t="shared" si="63"/>
        <v>0</v>
      </c>
      <c r="JY29" s="189">
        <f t="shared" si="64"/>
        <v>0</v>
      </c>
      <c r="JZ29" s="189">
        <f t="shared" si="65"/>
        <v>0</v>
      </c>
      <c r="KA29" s="189">
        <f t="shared" si="66"/>
        <v>0</v>
      </c>
      <c r="KB29" s="189">
        <f t="shared" si="67"/>
        <v>0</v>
      </c>
      <c r="KD29" s="206">
        <f t="shared" si="177"/>
        <v>0</v>
      </c>
      <c r="KE29" s="206">
        <f t="shared" si="69"/>
        <v>0</v>
      </c>
      <c r="KF29" s="206">
        <f t="shared" si="70"/>
        <v>0</v>
      </c>
      <c r="KG29" s="206">
        <f t="shared" si="71"/>
        <v>0</v>
      </c>
      <c r="KH29" s="206">
        <f t="shared" si="72"/>
        <v>0</v>
      </c>
      <c r="KI29" s="206">
        <f t="shared" si="73"/>
        <v>0</v>
      </c>
      <c r="KJ29" s="206">
        <f t="shared" si="74"/>
        <v>0</v>
      </c>
      <c r="KK29" s="206">
        <f t="shared" si="75"/>
        <v>0</v>
      </c>
      <c r="KL29" s="206">
        <f t="shared" si="76"/>
        <v>0</v>
      </c>
      <c r="KM29" s="206">
        <f t="shared" si="77"/>
        <v>0</v>
      </c>
      <c r="KN29" s="221">
        <f t="shared" si="78"/>
        <v>0</v>
      </c>
      <c r="KO29" s="221">
        <f t="shared" si="79"/>
        <v>0</v>
      </c>
      <c r="KP29" s="221">
        <f t="shared" si="80"/>
        <v>0</v>
      </c>
      <c r="KQ29" s="221">
        <f t="shared" si="81"/>
        <v>0</v>
      </c>
      <c r="KR29" s="221">
        <f t="shared" si="82"/>
        <v>0</v>
      </c>
      <c r="KT29" s="195">
        <f t="shared" si="83"/>
        <v>0</v>
      </c>
      <c r="KU29" s="221"/>
      <c r="KV29" s="221"/>
      <c r="KW29" s="221"/>
      <c r="KX29" s="221"/>
      <c r="KY29" s="221"/>
      <c r="KZ29" s="221"/>
      <c r="LA29" s="221"/>
      <c r="LB29" s="221"/>
      <c r="LC29" s="221"/>
      <c r="LD29" s="221"/>
      <c r="LE29" s="221"/>
      <c r="LF29" s="221"/>
      <c r="LG29" s="221"/>
      <c r="LH29" s="221"/>
      <c r="LI29" s="221"/>
      <c r="LJ29" s="221"/>
      <c r="LK29" s="221"/>
      <c r="LL29" s="221"/>
      <c r="LM29" s="221"/>
      <c r="LN29" s="221"/>
      <c r="LO29" s="221"/>
      <c r="LP29" s="221"/>
      <c r="LQ29" s="221"/>
      <c r="LR29" s="221"/>
      <c r="LS29" s="221"/>
      <c r="LT29" s="221"/>
      <c r="LU29" s="221"/>
      <c r="LV29" s="221"/>
      <c r="LW29" s="221"/>
      <c r="LX29" s="221"/>
      <c r="LY29" s="221"/>
      <c r="LZ29" s="221"/>
      <c r="MA29" s="221"/>
      <c r="MB29" s="221"/>
      <c r="MC29" s="221"/>
      <c r="MD29" s="221"/>
      <c r="ME29" s="221"/>
      <c r="MF29" s="221"/>
      <c r="MG29" s="221"/>
      <c r="MH29" s="221"/>
      <c r="MI29" s="221"/>
      <c r="MJ29" s="221"/>
      <c r="MK29" s="221"/>
      <c r="ML29" s="221"/>
      <c r="MM29" s="221"/>
      <c r="MN29" s="221"/>
      <c r="MO29" s="221"/>
      <c r="MP29" s="221"/>
      <c r="MQ29" s="221"/>
      <c r="MR29" s="221"/>
      <c r="MS29" s="221"/>
      <c r="MT29" s="221"/>
      <c r="MU29" s="221"/>
      <c r="MV29" s="221"/>
      <c r="MW29" s="221"/>
      <c r="MX29" s="221"/>
      <c r="MY29" s="221"/>
      <c r="MZ29" s="221"/>
      <c r="NA29" s="221"/>
      <c r="NB29" s="221"/>
      <c r="NC29" s="221"/>
      <c r="ND29" s="221"/>
      <c r="NE29" s="221"/>
      <c r="NF29" s="221"/>
      <c r="NG29" s="221"/>
      <c r="NH29" s="221"/>
      <c r="NI29" s="221"/>
      <c r="NJ29" s="221"/>
      <c r="NK29" s="221"/>
      <c r="NM29" s="195">
        <f t="shared" si="178"/>
        <v>0</v>
      </c>
      <c r="NN29" s="195">
        <f t="shared" si="179"/>
        <v>0</v>
      </c>
      <c r="NO29" s="195">
        <f t="shared" si="180"/>
        <v>0</v>
      </c>
      <c r="NP29" s="195">
        <f t="shared" si="181"/>
        <v>0</v>
      </c>
      <c r="NQ29" s="195">
        <f t="shared" si="182"/>
        <v>0</v>
      </c>
      <c r="NR29" s="195">
        <f t="shared" si="183"/>
        <v>0</v>
      </c>
      <c r="NS29" s="195">
        <f t="shared" si="184"/>
        <v>0</v>
      </c>
      <c r="NT29" s="195">
        <f t="shared" si="185"/>
        <v>0</v>
      </c>
      <c r="NU29" s="196">
        <f t="shared" si="186"/>
        <v>0</v>
      </c>
      <c r="NY29" s="215">
        <f t="shared" si="187"/>
        <v>1</v>
      </c>
      <c r="NZ29" s="222">
        <v>12250000</v>
      </c>
      <c r="OE29" s="207">
        <f t="shared" si="85"/>
        <v>0</v>
      </c>
      <c r="OF29" s="207">
        <f t="shared" si="86"/>
        <v>0</v>
      </c>
      <c r="OG29" s="207">
        <f t="shared" si="87"/>
        <v>0</v>
      </c>
      <c r="OH29" s="207">
        <f t="shared" si="188"/>
        <v>0</v>
      </c>
      <c r="OI29" s="207">
        <f t="shared" si="88"/>
        <v>0</v>
      </c>
      <c r="OJ29" s="199">
        <f t="shared" si="189"/>
        <v>0</v>
      </c>
      <c r="OK29" s="199">
        <f t="shared" si="190"/>
        <v>0</v>
      </c>
      <c r="OL29" s="199">
        <f t="shared" si="191"/>
        <v>0</v>
      </c>
      <c r="OM29" s="199">
        <f t="shared" si="192"/>
        <v>0</v>
      </c>
      <c r="OO29" s="207">
        <f t="shared" si="89"/>
        <v>0</v>
      </c>
      <c r="OP29" s="207">
        <f t="shared" si="90"/>
        <v>0</v>
      </c>
      <c r="OQ29" s="207">
        <f t="shared" si="193"/>
        <v>0</v>
      </c>
      <c r="OR29" s="207">
        <f t="shared" si="194"/>
        <v>0</v>
      </c>
      <c r="OS29" s="207">
        <f t="shared" si="195"/>
        <v>0</v>
      </c>
      <c r="OT29" s="199">
        <f t="shared" si="196"/>
        <v>0</v>
      </c>
      <c r="OU29" s="199">
        <f t="shared" si="197"/>
        <v>0</v>
      </c>
      <c r="OV29" s="199">
        <f t="shared" si="198"/>
        <v>0</v>
      </c>
      <c r="OW29" s="199">
        <f t="shared" si="199"/>
        <v>0</v>
      </c>
      <c r="OZ29" s="208">
        <f t="shared" si="91"/>
        <v>0</v>
      </c>
      <c r="PA29" s="209"/>
      <c r="PB29" s="209"/>
      <c r="PC29" s="209"/>
      <c r="PD29" s="210">
        <f t="shared" si="200"/>
        <v>0</v>
      </c>
      <c r="PE29" s="210"/>
      <c r="PF29" s="210">
        <f t="shared" si="201"/>
        <v>0</v>
      </c>
      <c r="PG29" s="210">
        <f t="shared" si="202"/>
        <v>0</v>
      </c>
      <c r="PH29" s="210">
        <f t="shared" si="92"/>
        <v>0</v>
      </c>
      <c r="PI29" s="210">
        <f t="shared" si="93"/>
        <v>0</v>
      </c>
      <c r="PJ29" s="210">
        <f t="shared" si="94"/>
        <v>0</v>
      </c>
      <c r="PK29" s="210">
        <f t="shared" si="95"/>
        <v>0</v>
      </c>
      <c r="PL29" s="210">
        <f t="shared" si="96"/>
        <v>0</v>
      </c>
      <c r="PM29" s="211"/>
      <c r="PN29" s="211"/>
      <c r="PO29" s="212">
        <f t="shared" si="203"/>
        <v>0</v>
      </c>
      <c r="PP29" s="212">
        <f t="shared" si="204"/>
        <v>0</v>
      </c>
      <c r="PQ29" s="212">
        <f t="shared" si="205"/>
        <v>0</v>
      </c>
      <c r="PR29" s="211"/>
      <c r="PS29" s="211"/>
      <c r="PT29" s="211"/>
      <c r="PU29" s="211"/>
    </row>
    <row r="30" spans="1:437" s="195" customFormat="1" ht="16" x14ac:dyDescent="0.2">
      <c r="A30" s="213">
        <f t="shared" si="206"/>
        <v>21</v>
      </c>
      <c r="B30" s="186" t="s">
        <v>46</v>
      </c>
      <c r="C30" s="186">
        <v>23</v>
      </c>
      <c r="D30" s="188">
        <v>1</v>
      </c>
      <c r="E30" s="188">
        <v>87</v>
      </c>
      <c r="F30" s="188">
        <v>1</v>
      </c>
      <c r="G30" s="188">
        <f t="shared" si="97"/>
        <v>87</v>
      </c>
      <c r="H30" s="214">
        <f t="shared" si="98"/>
        <v>1</v>
      </c>
      <c r="I30" s="214">
        <f t="shared" si="99"/>
        <v>1</v>
      </c>
      <c r="J30" s="188">
        <v>1</v>
      </c>
      <c r="K30" s="188">
        <f t="shared" si="100"/>
        <v>87</v>
      </c>
      <c r="L30" s="214">
        <f t="shared" si="101"/>
        <v>1</v>
      </c>
      <c r="M30" s="214">
        <f t="shared" si="102"/>
        <v>1</v>
      </c>
      <c r="N30" s="188">
        <v>1</v>
      </c>
      <c r="O30" s="188">
        <f t="shared" si="103"/>
        <v>87</v>
      </c>
      <c r="P30" s="214">
        <f t="shared" si="104"/>
        <v>1</v>
      </c>
      <c r="Q30" s="214">
        <f t="shared" si="105"/>
        <v>1</v>
      </c>
      <c r="R30" s="188">
        <v>1</v>
      </c>
      <c r="S30" s="188">
        <f t="shared" si="106"/>
        <v>87</v>
      </c>
      <c r="T30" s="214">
        <f t="shared" si="107"/>
        <v>1</v>
      </c>
      <c r="U30" s="214">
        <f t="shared" si="108"/>
        <v>1</v>
      </c>
      <c r="V30" s="215">
        <v>1</v>
      </c>
      <c r="W30" s="188">
        <f t="shared" si="109"/>
        <v>87</v>
      </c>
      <c r="X30" s="214">
        <f t="shared" si="110"/>
        <v>1</v>
      </c>
      <c r="Y30" s="214">
        <f t="shared" si="111"/>
        <v>1</v>
      </c>
      <c r="Z30" s="216">
        <f>3011112000/1000000000</f>
        <v>3.0111119999999998</v>
      </c>
      <c r="AA30" s="188">
        <v>0</v>
      </c>
      <c r="AB30" s="188">
        <f t="shared" si="112"/>
        <v>0</v>
      </c>
      <c r="AC30" s="214">
        <f t="shared" si="113"/>
        <v>0</v>
      </c>
      <c r="AD30" s="214">
        <f t="shared" si="114"/>
        <v>0</v>
      </c>
      <c r="AE30" s="188"/>
      <c r="AF30" s="188">
        <f t="shared" si="115"/>
        <v>0</v>
      </c>
      <c r="AG30" s="223"/>
      <c r="AH30" s="188"/>
      <c r="AI30" s="188">
        <v>1</v>
      </c>
      <c r="AJ30" s="188">
        <f t="shared" si="2"/>
        <v>87</v>
      </c>
      <c r="AK30" s="188" t="s">
        <v>304</v>
      </c>
      <c r="AL30" s="188">
        <v>0</v>
      </c>
      <c r="AM30" s="188">
        <v>0</v>
      </c>
      <c r="AN30" s="217"/>
      <c r="AO30" s="188">
        <f t="shared" si="207"/>
        <v>1</v>
      </c>
      <c r="AP30" s="188">
        <f t="shared" si="208"/>
        <v>87</v>
      </c>
      <c r="AQ30" s="188">
        <f t="shared" si="5"/>
        <v>1</v>
      </c>
      <c r="AR30" s="188">
        <f t="shared" si="6"/>
        <v>87</v>
      </c>
      <c r="AS30" s="188">
        <f t="shared" si="7"/>
        <v>1</v>
      </c>
      <c r="AT30" s="188">
        <f t="shared" si="8"/>
        <v>87</v>
      </c>
      <c r="AU30" s="188">
        <f t="shared" si="209"/>
        <v>1</v>
      </c>
      <c r="AV30" s="188">
        <f t="shared" si="210"/>
        <v>87</v>
      </c>
      <c r="AW30" s="188">
        <f t="shared" si="211"/>
        <v>1</v>
      </c>
      <c r="AX30" s="188">
        <f t="shared" si="212"/>
        <v>87</v>
      </c>
      <c r="AY30" s="188">
        <f t="shared" si="116"/>
        <v>0</v>
      </c>
      <c r="AZ30" s="188">
        <f t="shared" si="117"/>
        <v>0</v>
      </c>
      <c r="BA30" s="188">
        <f t="shared" si="14"/>
        <v>3.0111119999999998</v>
      </c>
      <c r="BB30" s="188">
        <f t="shared" si="15"/>
        <v>0</v>
      </c>
      <c r="BD30" s="196">
        <f t="shared" si="118"/>
        <v>0</v>
      </c>
      <c r="BE30" s="188">
        <f t="shared" si="16"/>
        <v>0</v>
      </c>
      <c r="BF30" s="188">
        <f t="shared" si="17"/>
        <v>0</v>
      </c>
      <c r="BG30" s="188">
        <f t="shared" si="18"/>
        <v>0</v>
      </c>
      <c r="BH30" s="188">
        <f t="shared" si="19"/>
        <v>0</v>
      </c>
      <c r="BI30" s="188">
        <f t="shared" si="20"/>
        <v>0</v>
      </c>
      <c r="BJ30" s="188">
        <f t="shared" si="21"/>
        <v>0</v>
      </c>
      <c r="BK30" s="188">
        <f t="shared" si="22"/>
        <v>0</v>
      </c>
      <c r="BN30" s="143"/>
      <c r="BO30" s="277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B30" s="188"/>
      <c r="CD30" s="188">
        <f t="shared" si="23"/>
        <v>0</v>
      </c>
      <c r="CE30" s="188">
        <f t="shared" si="24"/>
        <v>0</v>
      </c>
      <c r="CF30" s="188">
        <f t="shared" si="25"/>
        <v>0</v>
      </c>
      <c r="CG30" s="188">
        <f t="shared" si="26"/>
        <v>0</v>
      </c>
      <c r="CH30" s="188">
        <f t="shared" si="27"/>
        <v>0</v>
      </c>
      <c r="CI30" s="188">
        <f t="shared" si="28"/>
        <v>0</v>
      </c>
      <c r="CJ30" s="188">
        <f t="shared" si="29"/>
        <v>0</v>
      </c>
      <c r="CK30" s="188">
        <f t="shared" si="30"/>
        <v>0</v>
      </c>
      <c r="CL30" s="188">
        <f t="shared" si="31"/>
        <v>0</v>
      </c>
      <c r="CM30" s="188">
        <f t="shared" si="32"/>
        <v>0</v>
      </c>
      <c r="CN30" s="188">
        <f t="shared" si="33"/>
        <v>0</v>
      </c>
      <c r="CO30" s="188">
        <f t="shared" si="34"/>
        <v>0</v>
      </c>
      <c r="CP30" s="188">
        <f t="shared" si="35"/>
        <v>0</v>
      </c>
      <c r="DV30" s="188">
        <f t="shared" si="36"/>
        <v>0</v>
      </c>
      <c r="DW30" s="188">
        <f t="shared" si="37"/>
        <v>0</v>
      </c>
      <c r="DX30" s="188">
        <f t="shared" si="38"/>
        <v>0</v>
      </c>
      <c r="DY30" s="188">
        <f t="shared" si="39"/>
        <v>0</v>
      </c>
      <c r="DZ30" s="188">
        <f t="shared" si="40"/>
        <v>0</v>
      </c>
      <c r="EA30" s="188">
        <f t="shared" si="41"/>
        <v>0</v>
      </c>
      <c r="EB30" s="188">
        <f t="shared" si="42"/>
        <v>0</v>
      </c>
      <c r="EG30" s="220">
        <f t="shared" si="43"/>
        <v>0</v>
      </c>
      <c r="EH30" s="220">
        <f t="shared" si="44"/>
        <v>0</v>
      </c>
      <c r="EI30" s="188"/>
      <c r="EJ30" s="188"/>
      <c r="EK30" s="188"/>
      <c r="EL30" s="188"/>
      <c r="EM30" s="188"/>
      <c r="EN30" s="188"/>
      <c r="EO30" s="188"/>
      <c r="EP30" s="188"/>
      <c r="EQ30" s="188"/>
      <c r="ER30" s="188"/>
      <c r="ES30" s="188"/>
      <c r="ET30" s="188"/>
      <c r="EU30" s="188"/>
      <c r="EV30" s="188"/>
      <c r="EW30" s="188"/>
      <c r="EX30" s="188"/>
      <c r="EY30" s="188"/>
      <c r="EZ30" s="188"/>
      <c r="FA30" s="188"/>
      <c r="FB30" s="188"/>
      <c r="FC30" s="188"/>
      <c r="FD30" s="188"/>
      <c r="FE30" s="188"/>
      <c r="FF30" s="188"/>
      <c r="FH30" s="189"/>
      <c r="FI30" s="189"/>
      <c r="FJ30" s="189"/>
      <c r="FK30" s="189"/>
      <c r="FL30" s="189"/>
      <c r="FM30" s="189"/>
      <c r="FN30" s="189"/>
      <c r="FO30" s="189"/>
      <c r="FP30" s="189"/>
      <c r="FQ30" s="189"/>
      <c r="FR30" s="189"/>
      <c r="FS30" s="189"/>
      <c r="FT30" s="189"/>
      <c r="FU30" s="189"/>
      <c r="FV30" s="189"/>
      <c r="FX30" s="217"/>
      <c r="FY30" s="188">
        <f t="shared" si="45"/>
        <v>0</v>
      </c>
      <c r="FZ30" s="188">
        <f t="shared" si="46"/>
        <v>0</v>
      </c>
      <c r="GA30" s="188">
        <f t="shared" si="47"/>
        <v>0</v>
      </c>
      <c r="GB30" s="188">
        <f t="shared" si="48"/>
        <v>0</v>
      </c>
      <c r="GC30" s="188">
        <f t="shared" si="49"/>
        <v>0</v>
      </c>
      <c r="GD30" s="188">
        <f t="shared" si="50"/>
        <v>0</v>
      </c>
      <c r="GE30" s="188">
        <f t="shared" si="51"/>
        <v>0</v>
      </c>
      <c r="GF30" s="199"/>
      <c r="GG30" s="189">
        <v>0</v>
      </c>
      <c r="GH30" s="189">
        <v>0</v>
      </c>
      <c r="GI30" s="199"/>
      <c r="GJ30" s="200">
        <f t="shared" si="52"/>
        <v>0</v>
      </c>
      <c r="GK30" s="200">
        <f t="shared" si="53"/>
        <v>0</v>
      </c>
      <c r="GO30" s="189">
        <f t="shared" si="119"/>
        <v>0</v>
      </c>
      <c r="GP30" s="189">
        <f t="shared" si="120"/>
        <v>0</v>
      </c>
      <c r="GQ30" s="189">
        <f t="shared" si="121"/>
        <v>0</v>
      </c>
      <c r="GR30" s="189">
        <f t="shared" si="122"/>
        <v>0</v>
      </c>
      <c r="GS30" s="189">
        <f t="shared" si="123"/>
        <v>0</v>
      </c>
      <c r="GT30" s="189">
        <f t="shared" si="124"/>
        <v>1</v>
      </c>
      <c r="GU30" s="201">
        <f t="shared" si="125"/>
        <v>43243</v>
      </c>
      <c r="GV30" s="189" t="str">
        <f t="shared" si="126"/>
        <v>SELESAI</v>
      </c>
      <c r="GW30" s="189">
        <f t="shared" si="127"/>
        <v>0</v>
      </c>
      <c r="GX30" s="202" t="str">
        <f t="shared" si="128"/>
        <v>SELESAI</v>
      </c>
      <c r="GY30" s="202">
        <f t="shared" si="129"/>
        <v>0</v>
      </c>
      <c r="GZ30" s="203" t="str">
        <f t="shared" si="130"/>
        <v>SELESAI</v>
      </c>
      <c r="HA30" s="204"/>
      <c r="HB30" s="204"/>
      <c r="HC30" s="189">
        <f t="shared" si="131"/>
        <v>0</v>
      </c>
      <c r="HD30" s="189">
        <f t="shared" si="132"/>
        <v>0</v>
      </c>
      <c r="HE30" s="189">
        <f t="shared" si="133"/>
        <v>0</v>
      </c>
      <c r="HF30" s="189">
        <f t="shared" si="134"/>
        <v>0</v>
      </c>
      <c r="HG30" s="189">
        <f t="shared" si="135"/>
        <v>0</v>
      </c>
      <c r="HH30" s="201" t="str">
        <f t="shared" si="136"/>
        <v>TIDAK KONSINYASI</v>
      </c>
      <c r="HI30" s="201" t="str">
        <f t="shared" si="137"/>
        <v>SELESAI</v>
      </c>
      <c r="HJ30" s="205"/>
      <c r="HK30" s="201">
        <f t="shared" si="138"/>
        <v>0</v>
      </c>
      <c r="HL30" s="204"/>
      <c r="HM30" s="204"/>
      <c r="HN30" s="204"/>
      <c r="HO30" s="204"/>
      <c r="HP30" s="203">
        <f t="shared" si="139"/>
        <v>0</v>
      </c>
      <c r="HQ30" s="202">
        <f t="shared" si="140"/>
        <v>0</v>
      </c>
      <c r="HR30" s="202">
        <f t="shared" si="141"/>
        <v>0</v>
      </c>
      <c r="HS30" s="203">
        <f t="shared" si="142"/>
        <v>0</v>
      </c>
      <c r="HT30" s="202">
        <f t="shared" si="143"/>
        <v>0</v>
      </c>
      <c r="HU30" s="202">
        <f t="shared" si="144"/>
        <v>0</v>
      </c>
      <c r="HV30" s="203">
        <f t="shared" si="145"/>
        <v>0</v>
      </c>
      <c r="HW30" s="202">
        <f t="shared" si="146"/>
        <v>0</v>
      </c>
      <c r="HX30" s="202">
        <f t="shared" si="147"/>
        <v>0</v>
      </c>
      <c r="HY30" s="203">
        <f t="shared" si="148"/>
        <v>0</v>
      </c>
      <c r="HZ30" s="202">
        <f t="shared" si="149"/>
        <v>0</v>
      </c>
      <c r="IA30" s="202">
        <f t="shared" si="150"/>
        <v>0</v>
      </c>
      <c r="IB30" s="203">
        <f t="shared" si="151"/>
        <v>0</v>
      </c>
      <c r="IC30" s="202">
        <f t="shared" si="152"/>
        <v>0</v>
      </c>
      <c r="ID30" s="202">
        <f t="shared" si="153"/>
        <v>0</v>
      </c>
      <c r="IE30" s="203">
        <f t="shared" si="154"/>
        <v>0</v>
      </c>
      <c r="IF30" s="202">
        <f t="shared" si="155"/>
        <v>0</v>
      </c>
      <c r="IG30" s="202">
        <f t="shared" si="156"/>
        <v>0</v>
      </c>
      <c r="IH30" s="203">
        <f t="shared" si="157"/>
        <v>0</v>
      </c>
      <c r="II30" s="202">
        <f t="shared" si="158"/>
        <v>0</v>
      </c>
      <c r="IJ30" s="202">
        <f t="shared" si="159"/>
        <v>0</v>
      </c>
      <c r="IK30" s="203">
        <f t="shared" si="160"/>
        <v>0</v>
      </c>
      <c r="IL30" s="202">
        <f t="shared" si="161"/>
        <v>0</v>
      </c>
      <c r="IM30" s="202">
        <f t="shared" si="162"/>
        <v>0</v>
      </c>
      <c r="IN30" s="204"/>
      <c r="IO30" s="203">
        <f t="shared" si="163"/>
        <v>0</v>
      </c>
      <c r="IP30" s="202">
        <f t="shared" si="164"/>
        <v>0</v>
      </c>
      <c r="IQ30" s="202">
        <f t="shared" si="165"/>
        <v>0</v>
      </c>
      <c r="IR30" s="204"/>
      <c r="IS30" s="203"/>
      <c r="IT30" s="202">
        <f t="shared" si="166"/>
        <v>1</v>
      </c>
      <c r="IU30" s="202">
        <f t="shared" si="167"/>
        <v>87</v>
      </c>
      <c r="IV30" s="204"/>
      <c r="IW30" s="203"/>
      <c r="IX30" s="202">
        <f t="shared" si="168"/>
        <v>0</v>
      </c>
      <c r="IY30" s="202">
        <f t="shared" si="169"/>
        <v>0</v>
      </c>
      <c r="IZ30" s="204"/>
      <c r="JA30" s="203"/>
      <c r="JB30" s="202">
        <f t="shared" si="170"/>
        <v>0</v>
      </c>
      <c r="JC30" s="202">
        <f t="shared" si="171"/>
        <v>0</v>
      </c>
      <c r="JD30" s="204"/>
      <c r="JE30" s="203"/>
      <c r="JF30" s="202">
        <f t="shared" si="172"/>
        <v>1</v>
      </c>
      <c r="JG30" s="202">
        <f t="shared" si="173"/>
        <v>87</v>
      </c>
      <c r="JH30" s="204"/>
      <c r="JI30" s="203"/>
      <c r="JJ30" s="202">
        <f t="shared" si="174"/>
        <v>0</v>
      </c>
      <c r="JK30" s="202">
        <f t="shared" si="175"/>
        <v>0</v>
      </c>
      <c r="JM30" s="203">
        <f t="shared" si="176"/>
        <v>0</v>
      </c>
      <c r="JO30" s="196">
        <f t="shared" si="54"/>
        <v>0</v>
      </c>
      <c r="JP30" s="189">
        <f t="shared" si="55"/>
        <v>0</v>
      </c>
      <c r="JQ30" s="189">
        <f t="shared" si="56"/>
        <v>0</v>
      </c>
      <c r="JR30" s="189">
        <f t="shared" si="57"/>
        <v>0</v>
      </c>
      <c r="JS30" s="189">
        <f t="shared" si="58"/>
        <v>0</v>
      </c>
      <c r="JT30" s="189">
        <f t="shared" si="59"/>
        <v>0</v>
      </c>
      <c r="JU30" s="189">
        <f t="shared" si="60"/>
        <v>0</v>
      </c>
      <c r="JV30" s="189">
        <f t="shared" si="61"/>
        <v>0</v>
      </c>
      <c r="JW30" s="189">
        <f t="shared" si="62"/>
        <v>0</v>
      </c>
      <c r="JX30" s="189">
        <f t="shared" si="63"/>
        <v>0</v>
      </c>
      <c r="JY30" s="189">
        <f t="shared" si="64"/>
        <v>0</v>
      </c>
      <c r="JZ30" s="189">
        <f t="shared" si="65"/>
        <v>0</v>
      </c>
      <c r="KA30" s="189">
        <f t="shared" si="66"/>
        <v>0</v>
      </c>
      <c r="KB30" s="189">
        <f t="shared" si="67"/>
        <v>0</v>
      </c>
      <c r="KD30" s="206">
        <f t="shared" si="177"/>
        <v>0</v>
      </c>
      <c r="KE30" s="206">
        <f t="shared" si="69"/>
        <v>0</v>
      </c>
      <c r="KF30" s="206">
        <f t="shared" si="70"/>
        <v>0</v>
      </c>
      <c r="KG30" s="206">
        <f t="shared" si="71"/>
        <v>0</v>
      </c>
      <c r="KH30" s="206">
        <f t="shared" si="72"/>
        <v>0</v>
      </c>
      <c r="KI30" s="206">
        <f t="shared" si="73"/>
        <v>0</v>
      </c>
      <c r="KJ30" s="206">
        <f t="shared" si="74"/>
        <v>0</v>
      </c>
      <c r="KK30" s="206">
        <f t="shared" si="75"/>
        <v>0</v>
      </c>
      <c r="KL30" s="206">
        <f t="shared" si="76"/>
        <v>0</v>
      </c>
      <c r="KM30" s="206">
        <f t="shared" si="77"/>
        <v>0</v>
      </c>
      <c r="KN30" s="221">
        <f t="shared" si="78"/>
        <v>0</v>
      </c>
      <c r="KO30" s="221">
        <f t="shared" si="79"/>
        <v>0</v>
      </c>
      <c r="KP30" s="221">
        <f t="shared" si="80"/>
        <v>0</v>
      </c>
      <c r="KQ30" s="221">
        <f t="shared" si="81"/>
        <v>0</v>
      </c>
      <c r="KR30" s="221">
        <f t="shared" si="82"/>
        <v>0</v>
      </c>
      <c r="KT30" s="195">
        <f t="shared" si="83"/>
        <v>0</v>
      </c>
      <c r="KU30" s="221"/>
      <c r="KV30" s="221"/>
      <c r="KW30" s="221"/>
      <c r="KX30" s="221"/>
      <c r="KY30" s="221"/>
      <c r="KZ30" s="221"/>
      <c r="LA30" s="221"/>
      <c r="LB30" s="221"/>
      <c r="LC30" s="221"/>
      <c r="LD30" s="221"/>
      <c r="LE30" s="221"/>
      <c r="LF30" s="221"/>
      <c r="LG30" s="221"/>
      <c r="LH30" s="221"/>
      <c r="LI30" s="221"/>
      <c r="LJ30" s="221"/>
      <c r="LK30" s="221"/>
      <c r="LL30" s="221"/>
      <c r="LM30" s="221"/>
      <c r="LN30" s="221"/>
      <c r="LO30" s="221"/>
      <c r="LP30" s="221"/>
      <c r="LQ30" s="221"/>
      <c r="LR30" s="221"/>
      <c r="LS30" s="221"/>
      <c r="LT30" s="221"/>
      <c r="LU30" s="221"/>
      <c r="LV30" s="221"/>
      <c r="LW30" s="221"/>
      <c r="LX30" s="221"/>
      <c r="LY30" s="221"/>
      <c r="LZ30" s="221"/>
      <c r="MA30" s="221"/>
      <c r="MB30" s="221"/>
      <c r="MC30" s="221"/>
      <c r="MD30" s="221"/>
      <c r="ME30" s="221"/>
      <c r="MF30" s="221"/>
      <c r="MG30" s="221"/>
      <c r="MH30" s="221"/>
      <c r="MI30" s="221"/>
      <c r="MJ30" s="221"/>
      <c r="MK30" s="221"/>
      <c r="ML30" s="221"/>
      <c r="MM30" s="221"/>
      <c r="MN30" s="221"/>
      <c r="MO30" s="221"/>
      <c r="MP30" s="221"/>
      <c r="MQ30" s="221"/>
      <c r="MR30" s="221"/>
      <c r="MS30" s="221"/>
      <c r="MT30" s="221"/>
      <c r="MU30" s="221"/>
      <c r="MV30" s="221"/>
      <c r="MW30" s="221"/>
      <c r="MX30" s="221"/>
      <c r="MY30" s="221"/>
      <c r="MZ30" s="221"/>
      <c r="NA30" s="221"/>
      <c r="NB30" s="221"/>
      <c r="NC30" s="221"/>
      <c r="ND30" s="221"/>
      <c r="NE30" s="221"/>
      <c r="NF30" s="221"/>
      <c r="NG30" s="221"/>
      <c r="NH30" s="221"/>
      <c r="NI30" s="221"/>
      <c r="NJ30" s="221"/>
      <c r="NK30" s="221"/>
      <c r="NM30" s="195">
        <f t="shared" si="178"/>
        <v>0</v>
      </c>
      <c r="NN30" s="195">
        <f t="shared" si="179"/>
        <v>0</v>
      </c>
      <c r="NO30" s="195">
        <f t="shared" si="180"/>
        <v>0</v>
      </c>
      <c r="NP30" s="195">
        <f t="shared" si="181"/>
        <v>0</v>
      </c>
      <c r="NQ30" s="195">
        <f t="shared" si="182"/>
        <v>0</v>
      </c>
      <c r="NR30" s="195">
        <f t="shared" si="183"/>
        <v>0</v>
      </c>
      <c r="NS30" s="195">
        <f t="shared" si="184"/>
        <v>0</v>
      </c>
      <c r="NT30" s="195">
        <f t="shared" si="185"/>
        <v>0</v>
      </c>
      <c r="NU30" s="196">
        <f t="shared" si="186"/>
        <v>0</v>
      </c>
      <c r="NY30" s="215">
        <f t="shared" si="187"/>
        <v>1</v>
      </c>
      <c r="NZ30" s="222">
        <v>12500000</v>
      </c>
      <c r="OE30" s="207">
        <f t="shared" si="85"/>
        <v>0</v>
      </c>
      <c r="OF30" s="207">
        <f t="shared" si="86"/>
        <v>0</v>
      </c>
      <c r="OG30" s="207">
        <f t="shared" si="87"/>
        <v>0</v>
      </c>
      <c r="OH30" s="207">
        <f t="shared" si="188"/>
        <v>0</v>
      </c>
      <c r="OI30" s="207">
        <f t="shared" si="88"/>
        <v>0</v>
      </c>
      <c r="OJ30" s="199">
        <f t="shared" si="189"/>
        <v>0</v>
      </c>
      <c r="OK30" s="199">
        <f t="shared" si="190"/>
        <v>0</v>
      </c>
      <c r="OL30" s="199">
        <f t="shared" si="191"/>
        <v>0</v>
      </c>
      <c r="OM30" s="199">
        <f t="shared" si="192"/>
        <v>0</v>
      </c>
      <c r="OO30" s="207">
        <f t="shared" si="89"/>
        <v>0</v>
      </c>
      <c r="OP30" s="207">
        <f t="shared" si="90"/>
        <v>0</v>
      </c>
      <c r="OQ30" s="207">
        <f t="shared" si="193"/>
        <v>0</v>
      </c>
      <c r="OR30" s="207">
        <f t="shared" si="194"/>
        <v>0</v>
      </c>
      <c r="OS30" s="207">
        <f t="shared" si="195"/>
        <v>0</v>
      </c>
      <c r="OT30" s="199">
        <f t="shared" si="196"/>
        <v>0</v>
      </c>
      <c r="OU30" s="199">
        <f t="shared" si="197"/>
        <v>0</v>
      </c>
      <c r="OV30" s="199">
        <f t="shared" si="198"/>
        <v>0</v>
      </c>
      <c r="OW30" s="199">
        <f t="shared" si="199"/>
        <v>0</v>
      </c>
      <c r="OZ30" s="208">
        <f t="shared" si="91"/>
        <v>0</v>
      </c>
      <c r="PA30" s="209"/>
      <c r="PB30" s="209"/>
      <c r="PC30" s="209"/>
      <c r="PD30" s="210">
        <f t="shared" si="200"/>
        <v>0</v>
      </c>
      <c r="PE30" s="210"/>
      <c r="PF30" s="210">
        <f t="shared" si="201"/>
        <v>0</v>
      </c>
      <c r="PG30" s="210">
        <f t="shared" si="202"/>
        <v>0</v>
      </c>
      <c r="PH30" s="210">
        <f t="shared" si="92"/>
        <v>0</v>
      </c>
      <c r="PI30" s="210">
        <f t="shared" si="93"/>
        <v>0</v>
      </c>
      <c r="PJ30" s="210">
        <f t="shared" si="94"/>
        <v>0</v>
      </c>
      <c r="PK30" s="210">
        <f t="shared" si="95"/>
        <v>0</v>
      </c>
      <c r="PL30" s="210">
        <f t="shared" si="96"/>
        <v>0</v>
      </c>
      <c r="PM30" s="211"/>
      <c r="PN30" s="211"/>
      <c r="PO30" s="212">
        <f t="shared" si="203"/>
        <v>0</v>
      </c>
      <c r="PP30" s="212">
        <f t="shared" si="204"/>
        <v>0</v>
      </c>
      <c r="PQ30" s="212">
        <f t="shared" si="205"/>
        <v>0</v>
      </c>
      <c r="PR30" s="211"/>
      <c r="PS30" s="211"/>
      <c r="PT30" s="211"/>
      <c r="PU30" s="211"/>
    </row>
    <row r="31" spans="1:437" s="195" customFormat="1" ht="16" x14ac:dyDescent="0.2">
      <c r="A31" s="213">
        <f t="shared" si="206"/>
        <v>22</v>
      </c>
      <c r="B31" s="186" t="s">
        <v>47</v>
      </c>
      <c r="C31" s="186">
        <v>25</v>
      </c>
      <c r="D31" s="188">
        <v>1</v>
      </c>
      <c r="E31" s="188">
        <v>11</v>
      </c>
      <c r="F31" s="188">
        <v>1</v>
      </c>
      <c r="G31" s="188">
        <f t="shared" si="97"/>
        <v>11</v>
      </c>
      <c r="H31" s="214">
        <f t="shared" si="98"/>
        <v>1</v>
      </c>
      <c r="I31" s="214">
        <f t="shared" si="99"/>
        <v>1</v>
      </c>
      <c r="J31" s="188">
        <v>1</v>
      </c>
      <c r="K31" s="188">
        <f t="shared" si="100"/>
        <v>11</v>
      </c>
      <c r="L31" s="214">
        <f t="shared" si="101"/>
        <v>1</v>
      </c>
      <c r="M31" s="214">
        <f t="shared" si="102"/>
        <v>1</v>
      </c>
      <c r="N31" s="188">
        <v>1</v>
      </c>
      <c r="O31" s="188">
        <f t="shared" si="103"/>
        <v>11</v>
      </c>
      <c r="P31" s="214">
        <f t="shared" si="104"/>
        <v>1</v>
      </c>
      <c r="Q31" s="214">
        <f t="shared" si="105"/>
        <v>1</v>
      </c>
      <c r="R31" s="188">
        <v>1</v>
      </c>
      <c r="S31" s="188">
        <f t="shared" si="106"/>
        <v>11</v>
      </c>
      <c r="T31" s="214">
        <f t="shared" si="107"/>
        <v>1</v>
      </c>
      <c r="U31" s="214">
        <f t="shared" si="108"/>
        <v>1</v>
      </c>
      <c r="V31" s="215">
        <v>1</v>
      </c>
      <c r="W31" s="188">
        <f t="shared" si="109"/>
        <v>11</v>
      </c>
      <c r="X31" s="214">
        <f t="shared" si="110"/>
        <v>1</v>
      </c>
      <c r="Y31" s="214">
        <f t="shared" si="111"/>
        <v>1</v>
      </c>
      <c r="Z31" s="216">
        <f>136286000/1000000000</f>
        <v>0.13628599999999999</v>
      </c>
      <c r="AA31" s="188">
        <v>0</v>
      </c>
      <c r="AB31" s="188">
        <f t="shared" si="112"/>
        <v>0</v>
      </c>
      <c r="AC31" s="214">
        <f t="shared" si="113"/>
        <v>0</v>
      </c>
      <c r="AD31" s="214">
        <f t="shared" si="114"/>
        <v>0</v>
      </c>
      <c r="AE31" s="188"/>
      <c r="AF31" s="188">
        <f t="shared" si="115"/>
        <v>0</v>
      </c>
      <c r="AG31" s="223"/>
      <c r="AH31" s="188"/>
      <c r="AI31" s="188">
        <v>1</v>
      </c>
      <c r="AJ31" s="188">
        <f t="shared" si="2"/>
        <v>11</v>
      </c>
      <c r="AK31" s="188" t="s">
        <v>304</v>
      </c>
      <c r="AL31" s="188">
        <v>0</v>
      </c>
      <c r="AM31" s="188">
        <v>0</v>
      </c>
      <c r="AN31" s="217"/>
      <c r="AO31" s="188">
        <f t="shared" si="207"/>
        <v>1</v>
      </c>
      <c r="AP31" s="188">
        <f t="shared" si="208"/>
        <v>11</v>
      </c>
      <c r="AQ31" s="188">
        <f t="shared" si="5"/>
        <v>1</v>
      </c>
      <c r="AR31" s="188">
        <f t="shared" si="6"/>
        <v>11</v>
      </c>
      <c r="AS31" s="188">
        <f t="shared" si="7"/>
        <v>1</v>
      </c>
      <c r="AT31" s="188">
        <f t="shared" si="8"/>
        <v>11</v>
      </c>
      <c r="AU31" s="188">
        <f t="shared" si="209"/>
        <v>1</v>
      </c>
      <c r="AV31" s="188">
        <f t="shared" si="210"/>
        <v>11</v>
      </c>
      <c r="AW31" s="188">
        <f t="shared" si="211"/>
        <v>1</v>
      </c>
      <c r="AX31" s="188">
        <f t="shared" si="212"/>
        <v>11</v>
      </c>
      <c r="AY31" s="188">
        <f t="shared" si="116"/>
        <v>0</v>
      </c>
      <c r="AZ31" s="188">
        <f t="shared" si="117"/>
        <v>0</v>
      </c>
      <c r="BA31" s="188">
        <f t="shared" si="14"/>
        <v>0.13628599999999999</v>
      </c>
      <c r="BB31" s="188">
        <f t="shared" si="15"/>
        <v>0</v>
      </c>
      <c r="BD31" s="196">
        <f t="shared" si="118"/>
        <v>0</v>
      </c>
      <c r="BE31" s="188">
        <f t="shared" si="16"/>
        <v>0</v>
      </c>
      <c r="BF31" s="188">
        <f t="shared" si="17"/>
        <v>0</v>
      </c>
      <c r="BG31" s="188">
        <f t="shared" si="18"/>
        <v>0</v>
      </c>
      <c r="BH31" s="188">
        <f t="shared" si="19"/>
        <v>0</v>
      </c>
      <c r="BI31" s="188">
        <f t="shared" si="20"/>
        <v>0</v>
      </c>
      <c r="BJ31" s="188">
        <f t="shared" si="21"/>
        <v>0</v>
      </c>
      <c r="BK31" s="188">
        <f t="shared" si="22"/>
        <v>0</v>
      </c>
      <c r="BN31" s="143"/>
      <c r="BO31" s="277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B31" s="188"/>
      <c r="CD31" s="188">
        <f t="shared" si="23"/>
        <v>0</v>
      </c>
      <c r="CE31" s="188">
        <f t="shared" si="24"/>
        <v>0</v>
      </c>
      <c r="CF31" s="188">
        <f t="shared" si="25"/>
        <v>0</v>
      </c>
      <c r="CG31" s="188">
        <f t="shared" si="26"/>
        <v>0</v>
      </c>
      <c r="CH31" s="188">
        <f t="shared" si="27"/>
        <v>0</v>
      </c>
      <c r="CI31" s="188">
        <f t="shared" si="28"/>
        <v>0</v>
      </c>
      <c r="CJ31" s="188">
        <f t="shared" si="29"/>
        <v>0</v>
      </c>
      <c r="CK31" s="188">
        <f t="shared" si="30"/>
        <v>0</v>
      </c>
      <c r="CL31" s="188">
        <f t="shared" si="31"/>
        <v>0</v>
      </c>
      <c r="CM31" s="188">
        <f t="shared" si="32"/>
        <v>0</v>
      </c>
      <c r="CN31" s="188">
        <f t="shared" si="33"/>
        <v>0</v>
      </c>
      <c r="CO31" s="188">
        <f t="shared" si="34"/>
        <v>0</v>
      </c>
      <c r="CP31" s="188">
        <f t="shared" si="35"/>
        <v>0</v>
      </c>
      <c r="DV31" s="188">
        <f t="shared" si="36"/>
        <v>0</v>
      </c>
      <c r="DW31" s="188">
        <f t="shared" si="37"/>
        <v>0</v>
      </c>
      <c r="DX31" s="188">
        <f t="shared" si="38"/>
        <v>0</v>
      </c>
      <c r="DY31" s="188">
        <f t="shared" si="39"/>
        <v>0</v>
      </c>
      <c r="DZ31" s="188">
        <f t="shared" si="40"/>
        <v>0</v>
      </c>
      <c r="EA31" s="188">
        <f t="shared" si="41"/>
        <v>0</v>
      </c>
      <c r="EB31" s="188">
        <f t="shared" si="42"/>
        <v>0</v>
      </c>
      <c r="EG31" s="220">
        <f t="shared" si="43"/>
        <v>0</v>
      </c>
      <c r="EH31" s="220">
        <f t="shared" si="44"/>
        <v>0</v>
      </c>
      <c r="EI31" s="188"/>
      <c r="EJ31" s="188"/>
      <c r="EK31" s="188"/>
      <c r="EL31" s="188"/>
      <c r="EM31" s="188"/>
      <c r="EN31" s="188"/>
      <c r="EO31" s="188"/>
      <c r="EP31" s="188"/>
      <c r="EQ31" s="188"/>
      <c r="ER31" s="188"/>
      <c r="ES31" s="188"/>
      <c r="ET31" s="188"/>
      <c r="EU31" s="188"/>
      <c r="EV31" s="188"/>
      <c r="EW31" s="188"/>
      <c r="EX31" s="188"/>
      <c r="EY31" s="188"/>
      <c r="EZ31" s="188"/>
      <c r="FA31" s="188"/>
      <c r="FB31" s="188"/>
      <c r="FC31" s="188"/>
      <c r="FD31" s="188"/>
      <c r="FE31" s="188"/>
      <c r="FF31" s="188"/>
      <c r="FH31" s="189"/>
      <c r="FI31" s="189"/>
      <c r="FJ31" s="189"/>
      <c r="FK31" s="189"/>
      <c r="FL31" s="189"/>
      <c r="FM31" s="189"/>
      <c r="FN31" s="189"/>
      <c r="FO31" s="189"/>
      <c r="FP31" s="189"/>
      <c r="FQ31" s="189"/>
      <c r="FR31" s="189"/>
      <c r="FS31" s="189"/>
      <c r="FT31" s="189"/>
      <c r="FU31" s="189"/>
      <c r="FV31" s="189"/>
      <c r="FX31" s="217"/>
      <c r="FY31" s="188">
        <f t="shared" si="45"/>
        <v>0</v>
      </c>
      <c r="FZ31" s="188">
        <f t="shared" si="46"/>
        <v>0</v>
      </c>
      <c r="GA31" s="188">
        <f t="shared" si="47"/>
        <v>0</v>
      </c>
      <c r="GB31" s="188">
        <f t="shared" si="48"/>
        <v>0</v>
      </c>
      <c r="GC31" s="188">
        <f t="shared" si="49"/>
        <v>0</v>
      </c>
      <c r="GD31" s="188">
        <f t="shared" si="50"/>
        <v>0</v>
      </c>
      <c r="GE31" s="188">
        <f t="shared" si="51"/>
        <v>0</v>
      </c>
      <c r="GF31" s="199"/>
      <c r="GG31" s="189">
        <v>0</v>
      </c>
      <c r="GH31" s="189">
        <v>0</v>
      </c>
      <c r="GI31" s="199"/>
      <c r="GJ31" s="200">
        <f t="shared" si="52"/>
        <v>0</v>
      </c>
      <c r="GK31" s="200">
        <f t="shared" si="53"/>
        <v>0</v>
      </c>
      <c r="GO31" s="189">
        <f t="shared" si="119"/>
        <v>0</v>
      </c>
      <c r="GP31" s="189">
        <f t="shared" si="120"/>
        <v>0</v>
      </c>
      <c r="GQ31" s="189">
        <f t="shared" si="121"/>
        <v>0</v>
      </c>
      <c r="GR31" s="189">
        <f t="shared" si="122"/>
        <v>0</v>
      </c>
      <c r="GS31" s="189">
        <f t="shared" si="123"/>
        <v>0</v>
      </c>
      <c r="GT31" s="189">
        <f t="shared" si="124"/>
        <v>1</v>
      </c>
      <c r="GU31" s="201">
        <f t="shared" si="125"/>
        <v>43243</v>
      </c>
      <c r="GV31" s="189" t="str">
        <f t="shared" si="126"/>
        <v>SELESAI</v>
      </c>
      <c r="GW31" s="189">
        <f t="shared" si="127"/>
        <v>0</v>
      </c>
      <c r="GX31" s="202" t="str">
        <f t="shared" si="128"/>
        <v>SELESAI</v>
      </c>
      <c r="GY31" s="202">
        <f t="shared" si="129"/>
        <v>0</v>
      </c>
      <c r="GZ31" s="203" t="str">
        <f t="shared" si="130"/>
        <v>SELESAI</v>
      </c>
      <c r="HA31" s="204"/>
      <c r="HB31" s="204"/>
      <c r="HC31" s="189">
        <f t="shared" si="131"/>
        <v>0</v>
      </c>
      <c r="HD31" s="189">
        <f t="shared" si="132"/>
        <v>0</v>
      </c>
      <c r="HE31" s="189">
        <f t="shared" si="133"/>
        <v>0</v>
      </c>
      <c r="HF31" s="189">
        <f t="shared" si="134"/>
        <v>0</v>
      </c>
      <c r="HG31" s="189">
        <f t="shared" si="135"/>
        <v>0</v>
      </c>
      <c r="HH31" s="201" t="str">
        <f t="shared" si="136"/>
        <v>TIDAK KONSINYASI</v>
      </c>
      <c r="HI31" s="201" t="str">
        <f t="shared" si="137"/>
        <v>SELESAI</v>
      </c>
      <c r="HJ31" s="205"/>
      <c r="HK31" s="201">
        <f t="shared" si="138"/>
        <v>0</v>
      </c>
      <c r="HL31" s="204"/>
      <c r="HM31" s="204"/>
      <c r="HN31" s="204"/>
      <c r="HO31" s="204"/>
      <c r="HP31" s="203">
        <f t="shared" si="139"/>
        <v>0</v>
      </c>
      <c r="HQ31" s="202">
        <f t="shared" si="140"/>
        <v>0</v>
      </c>
      <c r="HR31" s="202">
        <f t="shared" si="141"/>
        <v>0</v>
      </c>
      <c r="HS31" s="203">
        <f t="shared" si="142"/>
        <v>0</v>
      </c>
      <c r="HT31" s="202">
        <f t="shared" si="143"/>
        <v>0</v>
      </c>
      <c r="HU31" s="202">
        <f t="shared" si="144"/>
        <v>0</v>
      </c>
      <c r="HV31" s="203">
        <f t="shared" si="145"/>
        <v>0</v>
      </c>
      <c r="HW31" s="202">
        <f t="shared" si="146"/>
        <v>0</v>
      </c>
      <c r="HX31" s="202">
        <f t="shared" si="147"/>
        <v>0</v>
      </c>
      <c r="HY31" s="203">
        <f t="shared" si="148"/>
        <v>0</v>
      </c>
      <c r="HZ31" s="202">
        <f t="shared" si="149"/>
        <v>0</v>
      </c>
      <c r="IA31" s="202">
        <f t="shared" si="150"/>
        <v>0</v>
      </c>
      <c r="IB31" s="203">
        <f t="shared" si="151"/>
        <v>0</v>
      </c>
      <c r="IC31" s="202">
        <f t="shared" si="152"/>
        <v>0</v>
      </c>
      <c r="ID31" s="202">
        <f t="shared" si="153"/>
        <v>0</v>
      </c>
      <c r="IE31" s="203">
        <f t="shared" si="154"/>
        <v>0</v>
      </c>
      <c r="IF31" s="202">
        <f t="shared" si="155"/>
        <v>0</v>
      </c>
      <c r="IG31" s="202">
        <f t="shared" si="156"/>
        <v>0</v>
      </c>
      <c r="IH31" s="203">
        <f t="shared" si="157"/>
        <v>0</v>
      </c>
      <c r="II31" s="202">
        <f t="shared" si="158"/>
        <v>0</v>
      </c>
      <c r="IJ31" s="202">
        <f t="shared" si="159"/>
        <v>0</v>
      </c>
      <c r="IK31" s="203">
        <f t="shared" si="160"/>
        <v>0</v>
      </c>
      <c r="IL31" s="202">
        <f t="shared" si="161"/>
        <v>0</v>
      </c>
      <c r="IM31" s="202">
        <f t="shared" si="162"/>
        <v>0</v>
      </c>
      <c r="IN31" s="204"/>
      <c r="IO31" s="203">
        <f t="shared" si="163"/>
        <v>0</v>
      </c>
      <c r="IP31" s="202">
        <f t="shared" si="164"/>
        <v>0</v>
      </c>
      <c r="IQ31" s="202">
        <f t="shared" si="165"/>
        <v>0</v>
      </c>
      <c r="IR31" s="204"/>
      <c r="IS31" s="203"/>
      <c r="IT31" s="202">
        <f t="shared" si="166"/>
        <v>1</v>
      </c>
      <c r="IU31" s="202">
        <f t="shared" si="167"/>
        <v>11</v>
      </c>
      <c r="IV31" s="204"/>
      <c r="IW31" s="203"/>
      <c r="IX31" s="202">
        <f t="shared" si="168"/>
        <v>0</v>
      </c>
      <c r="IY31" s="202">
        <f t="shared" si="169"/>
        <v>0</v>
      </c>
      <c r="IZ31" s="204"/>
      <c r="JA31" s="203"/>
      <c r="JB31" s="202">
        <f t="shared" si="170"/>
        <v>0</v>
      </c>
      <c r="JC31" s="202">
        <f t="shared" si="171"/>
        <v>0</v>
      </c>
      <c r="JD31" s="204"/>
      <c r="JE31" s="203"/>
      <c r="JF31" s="202">
        <f t="shared" si="172"/>
        <v>1</v>
      </c>
      <c r="JG31" s="202">
        <f t="shared" si="173"/>
        <v>11</v>
      </c>
      <c r="JH31" s="204"/>
      <c r="JI31" s="203"/>
      <c r="JJ31" s="202">
        <f t="shared" si="174"/>
        <v>0</v>
      </c>
      <c r="JK31" s="202">
        <f t="shared" si="175"/>
        <v>0</v>
      </c>
      <c r="JM31" s="203">
        <f t="shared" si="176"/>
        <v>0</v>
      </c>
      <c r="JO31" s="196">
        <f t="shared" si="54"/>
        <v>0</v>
      </c>
      <c r="JP31" s="189">
        <f t="shared" si="55"/>
        <v>0</v>
      </c>
      <c r="JQ31" s="189">
        <f t="shared" si="56"/>
        <v>0</v>
      </c>
      <c r="JR31" s="189">
        <f t="shared" si="57"/>
        <v>0</v>
      </c>
      <c r="JS31" s="189">
        <f t="shared" si="58"/>
        <v>0</v>
      </c>
      <c r="JT31" s="189">
        <f t="shared" si="59"/>
        <v>0</v>
      </c>
      <c r="JU31" s="189">
        <f t="shared" si="60"/>
        <v>0</v>
      </c>
      <c r="JV31" s="189">
        <f t="shared" si="61"/>
        <v>0</v>
      </c>
      <c r="JW31" s="189">
        <f t="shared" si="62"/>
        <v>0</v>
      </c>
      <c r="JX31" s="189">
        <f t="shared" si="63"/>
        <v>0</v>
      </c>
      <c r="JY31" s="189">
        <f t="shared" si="64"/>
        <v>0</v>
      </c>
      <c r="JZ31" s="189">
        <f t="shared" si="65"/>
        <v>0</v>
      </c>
      <c r="KA31" s="189">
        <f t="shared" si="66"/>
        <v>0</v>
      </c>
      <c r="KB31" s="189">
        <f t="shared" si="67"/>
        <v>0</v>
      </c>
      <c r="KD31" s="206">
        <f t="shared" si="177"/>
        <v>0</v>
      </c>
      <c r="KE31" s="206">
        <f t="shared" si="69"/>
        <v>0</v>
      </c>
      <c r="KF31" s="206">
        <f t="shared" si="70"/>
        <v>0</v>
      </c>
      <c r="KG31" s="206">
        <f t="shared" si="71"/>
        <v>0</v>
      </c>
      <c r="KH31" s="206">
        <f t="shared" si="72"/>
        <v>0</v>
      </c>
      <c r="KI31" s="206">
        <f t="shared" si="73"/>
        <v>0</v>
      </c>
      <c r="KJ31" s="206">
        <f t="shared" si="74"/>
        <v>0</v>
      </c>
      <c r="KK31" s="206">
        <f t="shared" si="75"/>
        <v>0</v>
      </c>
      <c r="KL31" s="206">
        <f t="shared" si="76"/>
        <v>0</v>
      </c>
      <c r="KM31" s="206">
        <f t="shared" si="77"/>
        <v>0</v>
      </c>
      <c r="KN31" s="221">
        <f t="shared" si="78"/>
        <v>0</v>
      </c>
      <c r="KO31" s="221">
        <f t="shared" si="79"/>
        <v>0</v>
      </c>
      <c r="KP31" s="221">
        <f t="shared" si="80"/>
        <v>0</v>
      </c>
      <c r="KQ31" s="221">
        <f t="shared" si="81"/>
        <v>0</v>
      </c>
      <c r="KR31" s="221">
        <f t="shared" si="82"/>
        <v>0</v>
      </c>
      <c r="KT31" s="195">
        <f t="shared" si="83"/>
        <v>0</v>
      </c>
      <c r="KU31" s="221"/>
      <c r="KV31" s="221"/>
      <c r="KW31" s="221"/>
      <c r="KX31" s="221"/>
      <c r="KY31" s="221"/>
      <c r="KZ31" s="221"/>
      <c r="LA31" s="221"/>
      <c r="LB31" s="221"/>
      <c r="LC31" s="221"/>
      <c r="LD31" s="221"/>
      <c r="LE31" s="221"/>
      <c r="LF31" s="221"/>
      <c r="LG31" s="221"/>
      <c r="LH31" s="221"/>
      <c r="LI31" s="221"/>
      <c r="LJ31" s="221"/>
      <c r="LK31" s="221"/>
      <c r="LL31" s="221"/>
      <c r="LM31" s="221"/>
      <c r="LN31" s="221"/>
      <c r="LO31" s="221"/>
      <c r="LP31" s="221"/>
      <c r="LQ31" s="221"/>
      <c r="LR31" s="221"/>
      <c r="LS31" s="221"/>
      <c r="LT31" s="221"/>
      <c r="LU31" s="221"/>
      <c r="LV31" s="221"/>
      <c r="LW31" s="221"/>
      <c r="LX31" s="221"/>
      <c r="LY31" s="221"/>
      <c r="LZ31" s="221"/>
      <c r="MA31" s="221"/>
      <c r="MB31" s="221"/>
      <c r="MC31" s="221"/>
      <c r="MD31" s="221"/>
      <c r="ME31" s="221"/>
      <c r="MF31" s="221"/>
      <c r="MG31" s="221"/>
      <c r="MH31" s="221"/>
      <c r="MI31" s="221"/>
      <c r="MJ31" s="221"/>
      <c r="MK31" s="221"/>
      <c r="ML31" s="221"/>
      <c r="MM31" s="221"/>
      <c r="MN31" s="221"/>
      <c r="MO31" s="221"/>
      <c r="MP31" s="221"/>
      <c r="MQ31" s="221"/>
      <c r="MR31" s="221"/>
      <c r="MS31" s="221"/>
      <c r="MT31" s="221"/>
      <c r="MU31" s="221"/>
      <c r="MV31" s="221"/>
      <c r="MW31" s="221"/>
      <c r="MX31" s="221"/>
      <c r="MY31" s="221"/>
      <c r="MZ31" s="221"/>
      <c r="NA31" s="221"/>
      <c r="NB31" s="221"/>
      <c r="NC31" s="221"/>
      <c r="ND31" s="221"/>
      <c r="NE31" s="221"/>
      <c r="NF31" s="221"/>
      <c r="NG31" s="221"/>
      <c r="NH31" s="221"/>
      <c r="NI31" s="221"/>
      <c r="NJ31" s="221"/>
      <c r="NK31" s="221"/>
      <c r="NM31" s="195">
        <f t="shared" si="178"/>
        <v>0</v>
      </c>
      <c r="NN31" s="195">
        <f t="shared" si="179"/>
        <v>0</v>
      </c>
      <c r="NO31" s="195">
        <f t="shared" si="180"/>
        <v>0</v>
      </c>
      <c r="NP31" s="195">
        <f t="shared" si="181"/>
        <v>0</v>
      </c>
      <c r="NQ31" s="195">
        <f t="shared" si="182"/>
        <v>0</v>
      </c>
      <c r="NR31" s="195">
        <f t="shared" si="183"/>
        <v>0</v>
      </c>
      <c r="NS31" s="195">
        <f t="shared" si="184"/>
        <v>0</v>
      </c>
      <c r="NT31" s="195">
        <f t="shared" si="185"/>
        <v>0</v>
      </c>
      <c r="NU31" s="196">
        <f t="shared" si="186"/>
        <v>0</v>
      </c>
      <c r="NY31" s="215">
        <f t="shared" si="187"/>
        <v>1</v>
      </c>
      <c r="NZ31" s="222">
        <v>11637500</v>
      </c>
      <c r="OE31" s="207">
        <f t="shared" si="85"/>
        <v>0</v>
      </c>
      <c r="OF31" s="207">
        <f t="shared" si="86"/>
        <v>0</v>
      </c>
      <c r="OG31" s="207">
        <f t="shared" si="87"/>
        <v>0</v>
      </c>
      <c r="OH31" s="207">
        <f t="shared" si="188"/>
        <v>0</v>
      </c>
      <c r="OI31" s="207">
        <f t="shared" si="88"/>
        <v>0</v>
      </c>
      <c r="OJ31" s="199">
        <f t="shared" si="189"/>
        <v>0</v>
      </c>
      <c r="OK31" s="199">
        <f t="shared" si="190"/>
        <v>0</v>
      </c>
      <c r="OL31" s="199">
        <f t="shared" si="191"/>
        <v>0</v>
      </c>
      <c r="OM31" s="199">
        <f t="shared" si="192"/>
        <v>0</v>
      </c>
      <c r="OO31" s="207">
        <f t="shared" si="89"/>
        <v>0</v>
      </c>
      <c r="OP31" s="207">
        <f t="shared" si="90"/>
        <v>0</v>
      </c>
      <c r="OQ31" s="207">
        <f t="shared" si="193"/>
        <v>0</v>
      </c>
      <c r="OR31" s="207">
        <f t="shared" si="194"/>
        <v>0</v>
      </c>
      <c r="OS31" s="207">
        <f t="shared" si="195"/>
        <v>0</v>
      </c>
      <c r="OT31" s="199">
        <f t="shared" si="196"/>
        <v>0</v>
      </c>
      <c r="OU31" s="199">
        <f t="shared" si="197"/>
        <v>0</v>
      </c>
      <c r="OV31" s="199">
        <f t="shared" si="198"/>
        <v>0</v>
      </c>
      <c r="OW31" s="199">
        <f t="shared" si="199"/>
        <v>0</v>
      </c>
      <c r="OZ31" s="208">
        <f t="shared" si="91"/>
        <v>0</v>
      </c>
      <c r="PA31" s="209"/>
      <c r="PB31" s="209"/>
      <c r="PC31" s="209"/>
      <c r="PD31" s="210">
        <f t="shared" si="200"/>
        <v>0</v>
      </c>
      <c r="PE31" s="210"/>
      <c r="PF31" s="210">
        <f t="shared" si="201"/>
        <v>0</v>
      </c>
      <c r="PG31" s="210">
        <f t="shared" si="202"/>
        <v>0</v>
      </c>
      <c r="PH31" s="210">
        <f t="shared" si="92"/>
        <v>0</v>
      </c>
      <c r="PI31" s="210">
        <f t="shared" si="93"/>
        <v>0</v>
      </c>
      <c r="PJ31" s="210">
        <f t="shared" si="94"/>
        <v>0</v>
      </c>
      <c r="PK31" s="210">
        <f t="shared" si="95"/>
        <v>0</v>
      </c>
      <c r="PL31" s="210">
        <f t="shared" si="96"/>
        <v>0</v>
      </c>
      <c r="PM31" s="211"/>
      <c r="PN31" s="211"/>
      <c r="PO31" s="212">
        <f t="shared" si="203"/>
        <v>0</v>
      </c>
      <c r="PP31" s="212">
        <f t="shared" si="204"/>
        <v>0</v>
      </c>
      <c r="PQ31" s="212">
        <f t="shared" si="205"/>
        <v>0</v>
      </c>
      <c r="PR31" s="211"/>
      <c r="PS31" s="211"/>
      <c r="PT31" s="211"/>
      <c r="PU31" s="211"/>
    </row>
    <row r="32" spans="1:437" s="195" customFormat="1" ht="16" x14ac:dyDescent="0.2">
      <c r="A32" s="213">
        <f t="shared" si="206"/>
        <v>23</v>
      </c>
      <c r="B32" s="186" t="s">
        <v>48</v>
      </c>
      <c r="C32" s="186">
        <v>26</v>
      </c>
      <c r="D32" s="188">
        <v>1</v>
      </c>
      <c r="E32" s="188">
        <v>33</v>
      </c>
      <c r="F32" s="188">
        <v>1</v>
      </c>
      <c r="G32" s="188">
        <f t="shared" si="97"/>
        <v>33</v>
      </c>
      <c r="H32" s="214">
        <f t="shared" si="98"/>
        <v>1</v>
      </c>
      <c r="I32" s="214">
        <f t="shared" si="99"/>
        <v>1</v>
      </c>
      <c r="J32" s="188">
        <v>1</v>
      </c>
      <c r="K32" s="188">
        <f t="shared" si="100"/>
        <v>33</v>
      </c>
      <c r="L32" s="214">
        <f t="shared" si="101"/>
        <v>1</v>
      </c>
      <c r="M32" s="214">
        <f t="shared" si="102"/>
        <v>1</v>
      </c>
      <c r="N32" s="188">
        <v>1</v>
      </c>
      <c r="O32" s="188">
        <f t="shared" si="103"/>
        <v>33</v>
      </c>
      <c r="P32" s="214">
        <f t="shared" si="104"/>
        <v>1</v>
      </c>
      <c r="Q32" s="214">
        <f t="shared" si="105"/>
        <v>1</v>
      </c>
      <c r="R32" s="188">
        <v>1</v>
      </c>
      <c r="S32" s="188">
        <f t="shared" si="106"/>
        <v>33</v>
      </c>
      <c r="T32" s="214">
        <f t="shared" si="107"/>
        <v>1</v>
      </c>
      <c r="U32" s="214">
        <f t="shared" si="108"/>
        <v>1</v>
      </c>
      <c r="V32" s="215">
        <v>1</v>
      </c>
      <c r="W32" s="188">
        <f t="shared" si="109"/>
        <v>33</v>
      </c>
      <c r="X32" s="214">
        <f t="shared" si="110"/>
        <v>1</v>
      </c>
      <c r="Y32" s="214">
        <f t="shared" si="111"/>
        <v>1</v>
      </c>
      <c r="Z32" s="216">
        <f>681900000/1000000000</f>
        <v>0.68189999999999995</v>
      </c>
      <c r="AA32" s="188">
        <v>0</v>
      </c>
      <c r="AB32" s="188">
        <f t="shared" si="112"/>
        <v>0</v>
      </c>
      <c r="AC32" s="214">
        <f t="shared" si="113"/>
        <v>0</v>
      </c>
      <c r="AD32" s="214">
        <f t="shared" si="114"/>
        <v>0</v>
      </c>
      <c r="AE32" s="188"/>
      <c r="AF32" s="188">
        <f t="shared" si="115"/>
        <v>0</v>
      </c>
      <c r="AG32" s="187"/>
      <c r="AH32" s="187" t="s">
        <v>314</v>
      </c>
      <c r="AI32" s="188">
        <v>1</v>
      </c>
      <c r="AJ32" s="188">
        <f t="shared" si="2"/>
        <v>33</v>
      </c>
      <c r="AK32" s="188" t="s">
        <v>304</v>
      </c>
      <c r="AL32" s="188">
        <v>0</v>
      </c>
      <c r="AM32" s="188">
        <v>0</v>
      </c>
      <c r="AN32" s="217"/>
      <c r="AO32" s="188">
        <f t="shared" si="207"/>
        <v>1</v>
      </c>
      <c r="AP32" s="188">
        <f t="shared" si="208"/>
        <v>33</v>
      </c>
      <c r="AQ32" s="188">
        <f t="shared" si="5"/>
        <v>1</v>
      </c>
      <c r="AR32" s="188">
        <f t="shared" si="6"/>
        <v>33</v>
      </c>
      <c r="AS32" s="188">
        <f t="shared" si="7"/>
        <v>1</v>
      </c>
      <c r="AT32" s="188">
        <f t="shared" si="8"/>
        <v>33</v>
      </c>
      <c r="AU32" s="188">
        <f t="shared" si="209"/>
        <v>1</v>
      </c>
      <c r="AV32" s="188">
        <f t="shared" si="210"/>
        <v>33</v>
      </c>
      <c r="AW32" s="188">
        <f t="shared" si="211"/>
        <v>1</v>
      </c>
      <c r="AX32" s="188">
        <f t="shared" si="212"/>
        <v>33</v>
      </c>
      <c r="AY32" s="188">
        <f t="shared" si="116"/>
        <v>0</v>
      </c>
      <c r="AZ32" s="188">
        <f t="shared" si="117"/>
        <v>0</v>
      </c>
      <c r="BA32" s="188">
        <f t="shared" si="14"/>
        <v>0.68189999999999995</v>
      </c>
      <c r="BB32" s="188">
        <f t="shared" si="15"/>
        <v>0</v>
      </c>
      <c r="BD32" s="196">
        <f t="shared" si="118"/>
        <v>0</v>
      </c>
      <c r="BE32" s="188">
        <f t="shared" si="16"/>
        <v>0</v>
      </c>
      <c r="BF32" s="188">
        <f t="shared" si="17"/>
        <v>0</v>
      </c>
      <c r="BG32" s="188">
        <f t="shared" si="18"/>
        <v>0</v>
      </c>
      <c r="BH32" s="188">
        <f t="shared" si="19"/>
        <v>0</v>
      </c>
      <c r="BI32" s="188">
        <f t="shared" si="20"/>
        <v>0</v>
      </c>
      <c r="BJ32" s="188">
        <f t="shared" si="21"/>
        <v>0</v>
      </c>
      <c r="BK32" s="188">
        <f t="shared" si="22"/>
        <v>0</v>
      </c>
      <c r="BN32" s="277"/>
      <c r="BO32" s="139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B32" s="188"/>
      <c r="CD32" s="188">
        <f t="shared" si="23"/>
        <v>0</v>
      </c>
      <c r="CE32" s="188">
        <f t="shared" si="24"/>
        <v>0</v>
      </c>
      <c r="CF32" s="188">
        <f t="shared" si="25"/>
        <v>0</v>
      </c>
      <c r="CG32" s="188">
        <f t="shared" si="26"/>
        <v>0</v>
      </c>
      <c r="CH32" s="188">
        <f t="shared" si="27"/>
        <v>0</v>
      </c>
      <c r="CI32" s="188">
        <f t="shared" si="28"/>
        <v>0</v>
      </c>
      <c r="CJ32" s="188">
        <f t="shared" si="29"/>
        <v>0</v>
      </c>
      <c r="CK32" s="188">
        <f t="shared" si="30"/>
        <v>0</v>
      </c>
      <c r="CL32" s="188">
        <f t="shared" si="31"/>
        <v>0</v>
      </c>
      <c r="CM32" s="188">
        <f t="shared" si="32"/>
        <v>0</v>
      </c>
      <c r="CN32" s="188">
        <f t="shared" si="33"/>
        <v>0</v>
      </c>
      <c r="CO32" s="188">
        <f t="shared" si="34"/>
        <v>0</v>
      </c>
      <c r="CP32" s="188">
        <f t="shared" si="35"/>
        <v>0</v>
      </c>
      <c r="DV32" s="188">
        <f t="shared" si="36"/>
        <v>0</v>
      </c>
      <c r="DW32" s="188">
        <f t="shared" si="37"/>
        <v>0</v>
      </c>
      <c r="DX32" s="188">
        <f t="shared" si="38"/>
        <v>0</v>
      </c>
      <c r="DY32" s="188">
        <f t="shared" si="39"/>
        <v>0</v>
      </c>
      <c r="DZ32" s="188">
        <f t="shared" si="40"/>
        <v>0</v>
      </c>
      <c r="EA32" s="188">
        <f t="shared" si="41"/>
        <v>0</v>
      </c>
      <c r="EB32" s="188">
        <f t="shared" si="42"/>
        <v>0</v>
      </c>
      <c r="EG32" s="220">
        <f t="shared" si="43"/>
        <v>0</v>
      </c>
      <c r="EH32" s="220">
        <f t="shared" si="44"/>
        <v>0</v>
      </c>
      <c r="EI32" s="188"/>
      <c r="EJ32" s="188"/>
      <c r="EK32" s="188"/>
      <c r="EL32" s="188"/>
      <c r="EM32" s="188"/>
      <c r="EN32" s="188"/>
      <c r="EO32" s="188"/>
      <c r="EP32" s="188"/>
      <c r="EQ32" s="188"/>
      <c r="ER32" s="188"/>
      <c r="ES32" s="188"/>
      <c r="ET32" s="188"/>
      <c r="EU32" s="188"/>
      <c r="EV32" s="188"/>
      <c r="EW32" s="188"/>
      <c r="EX32" s="188"/>
      <c r="EY32" s="188"/>
      <c r="EZ32" s="188"/>
      <c r="FA32" s="188"/>
      <c r="FB32" s="188"/>
      <c r="FC32" s="188"/>
      <c r="FD32" s="188"/>
      <c r="FE32" s="188"/>
      <c r="FF32" s="188"/>
      <c r="FH32" s="189"/>
      <c r="FI32" s="189"/>
      <c r="FJ32" s="189"/>
      <c r="FK32" s="189"/>
      <c r="FL32" s="189"/>
      <c r="FM32" s="189"/>
      <c r="FN32" s="189"/>
      <c r="FO32" s="189"/>
      <c r="FP32" s="189"/>
      <c r="FQ32" s="189"/>
      <c r="FR32" s="189"/>
      <c r="FS32" s="189"/>
      <c r="FT32" s="189"/>
      <c r="FU32" s="189"/>
      <c r="FV32" s="189"/>
      <c r="FX32" s="217"/>
      <c r="FY32" s="188">
        <f t="shared" si="45"/>
        <v>0</v>
      </c>
      <c r="FZ32" s="188">
        <f t="shared" si="46"/>
        <v>0</v>
      </c>
      <c r="GA32" s="188">
        <f t="shared" si="47"/>
        <v>0</v>
      </c>
      <c r="GB32" s="188">
        <f t="shared" si="48"/>
        <v>0</v>
      </c>
      <c r="GC32" s="188">
        <f t="shared" si="49"/>
        <v>0</v>
      </c>
      <c r="GD32" s="188">
        <f t="shared" si="50"/>
        <v>0</v>
      </c>
      <c r="GE32" s="188">
        <f t="shared" si="51"/>
        <v>0</v>
      </c>
      <c r="GF32" s="199"/>
      <c r="GG32" s="189">
        <v>0</v>
      </c>
      <c r="GH32" s="189">
        <v>0</v>
      </c>
      <c r="GI32" s="199"/>
      <c r="GJ32" s="200">
        <f t="shared" si="52"/>
        <v>0</v>
      </c>
      <c r="GK32" s="200">
        <f t="shared" si="53"/>
        <v>0</v>
      </c>
      <c r="GO32" s="189">
        <f t="shared" si="119"/>
        <v>0</v>
      </c>
      <c r="GP32" s="189">
        <f t="shared" si="120"/>
        <v>0</v>
      </c>
      <c r="GQ32" s="189">
        <f t="shared" si="121"/>
        <v>0</v>
      </c>
      <c r="GR32" s="189">
        <f t="shared" si="122"/>
        <v>0</v>
      </c>
      <c r="GS32" s="189">
        <f t="shared" si="123"/>
        <v>0</v>
      </c>
      <c r="GT32" s="189">
        <f t="shared" si="124"/>
        <v>1</v>
      </c>
      <c r="GU32" s="201">
        <f t="shared" si="125"/>
        <v>43243</v>
      </c>
      <c r="GV32" s="189" t="str">
        <f t="shared" si="126"/>
        <v>SELESAI</v>
      </c>
      <c r="GW32" s="189">
        <f t="shared" si="127"/>
        <v>0</v>
      </c>
      <c r="GX32" s="202" t="str">
        <f t="shared" si="128"/>
        <v>SELESAI</v>
      </c>
      <c r="GY32" s="202">
        <f t="shared" si="129"/>
        <v>0</v>
      </c>
      <c r="GZ32" s="203" t="str">
        <f t="shared" si="130"/>
        <v>SELESAI</v>
      </c>
      <c r="HA32" s="204"/>
      <c r="HB32" s="204"/>
      <c r="HC32" s="189">
        <f t="shared" si="131"/>
        <v>0</v>
      </c>
      <c r="HD32" s="189">
        <f t="shared" si="132"/>
        <v>0</v>
      </c>
      <c r="HE32" s="189">
        <f t="shared" si="133"/>
        <v>0</v>
      </c>
      <c r="HF32" s="189">
        <f t="shared" si="134"/>
        <v>0</v>
      </c>
      <c r="HG32" s="189">
        <f t="shared" si="135"/>
        <v>0</v>
      </c>
      <c r="HH32" s="201" t="str">
        <f t="shared" si="136"/>
        <v>TIDAK KONSINYASI</v>
      </c>
      <c r="HI32" s="201" t="str">
        <f t="shared" si="137"/>
        <v>SELESAI</v>
      </c>
      <c r="HJ32" s="205"/>
      <c r="HK32" s="201">
        <f t="shared" si="138"/>
        <v>0</v>
      </c>
      <c r="HL32" s="204"/>
      <c r="HM32" s="204"/>
      <c r="HN32" s="204"/>
      <c r="HO32" s="204"/>
      <c r="HP32" s="203">
        <f t="shared" si="139"/>
        <v>0</v>
      </c>
      <c r="HQ32" s="202">
        <f t="shared" si="140"/>
        <v>0</v>
      </c>
      <c r="HR32" s="202">
        <f t="shared" si="141"/>
        <v>0</v>
      </c>
      <c r="HS32" s="203">
        <f t="shared" si="142"/>
        <v>0</v>
      </c>
      <c r="HT32" s="202">
        <f t="shared" si="143"/>
        <v>0</v>
      </c>
      <c r="HU32" s="202">
        <f t="shared" si="144"/>
        <v>0</v>
      </c>
      <c r="HV32" s="203">
        <f t="shared" si="145"/>
        <v>0</v>
      </c>
      <c r="HW32" s="202">
        <f t="shared" si="146"/>
        <v>0</v>
      </c>
      <c r="HX32" s="202">
        <f t="shared" si="147"/>
        <v>0</v>
      </c>
      <c r="HY32" s="203">
        <f t="shared" si="148"/>
        <v>0</v>
      </c>
      <c r="HZ32" s="202">
        <f t="shared" si="149"/>
        <v>0</v>
      </c>
      <c r="IA32" s="202">
        <f t="shared" si="150"/>
        <v>0</v>
      </c>
      <c r="IB32" s="203">
        <f t="shared" si="151"/>
        <v>0</v>
      </c>
      <c r="IC32" s="202">
        <f t="shared" si="152"/>
        <v>0</v>
      </c>
      <c r="ID32" s="202">
        <f t="shared" si="153"/>
        <v>0</v>
      </c>
      <c r="IE32" s="203">
        <f t="shared" si="154"/>
        <v>0</v>
      </c>
      <c r="IF32" s="202">
        <f t="shared" si="155"/>
        <v>0</v>
      </c>
      <c r="IG32" s="202">
        <f t="shared" si="156"/>
        <v>0</v>
      </c>
      <c r="IH32" s="203">
        <f t="shared" si="157"/>
        <v>0</v>
      </c>
      <c r="II32" s="202">
        <f t="shared" si="158"/>
        <v>0</v>
      </c>
      <c r="IJ32" s="202">
        <f t="shared" si="159"/>
        <v>0</v>
      </c>
      <c r="IK32" s="203">
        <f t="shared" si="160"/>
        <v>0</v>
      </c>
      <c r="IL32" s="202">
        <f t="shared" si="161"/>
        <v>0</v>
      </c>
      <c r="IM32" s="202">
        <f t="shared" si="162"/>
        <v>0</v>
      </c>
      <c r="IN32" s="204"/>
      <c r="IO32" s="203">
        <f t="shared" si="163"/>
        <v>0</v>
      </c>
      <c r="IP32" s="202">
        <f t="shared" si="164"/>
        <v>0</v>
      </c>
      <c r="IQ32" s="202">
        <f t="shared" si="165"/>
        <v>0</v>
      </c>
      <c r="IR32" s="204"/>
      <c r="IS32" s="203"/>
      <c r="IT32" s="202">
        <f t="shared" si="166"/>
        <v>1</v>
      </c>
      <c r="IU32" s="202">
        <f t="shared" si="167"/>
        <v>33</v>
      </c>
      <c r="IV32" s="204"/>
      <c r="IW32" s="203"/>
      <c r="IX32" s="202">
        <f t="shared" si="168"/>
        <v>0</v>
      </c>
      <c r="IY32" s="202">
        <f t="shared" si="169"/>
        <v>0</v>
      </c>
      <c r="IZ32" s="204"/>
      <c r="JA32" s="203"/>
      <c r="JB32" s="202">
        <f t="shared" si="170"/>
        <v>0</v>
      </c>
      <c r="JC32" s="202">
        <f t="shared" si="171"/>
        <v>0</v>
      </c>
      <c r="JD32" s="204"/>
      <c r="JE32" s="203"/>
      <c r="JF32" s="202">
        <f t="shared" si="172"/>
        <v>1</v>
      </c>
      <c r="JG32" s="202">
        <f t="shared" si="173"/>
        <v>33</v>
      </c>
      <c r="JH32" s="204"/>
      <c r="JI32" s="203"/>
      <c r="JJ32" s="202">
        <f t="shared" si="174"/>
        <v>0</v>
      </c>
      <c r="JK32" s="202">
        <f t="shared" si="175"/>
        <v>0</v>
      </c>
      <c r="JM32" s="203">
        <f t="shared" si="176"/>
        <v>0</v>
      </c>
      <c r="JO32" s="196">
        <f t="shared" si="54"/>
        <v>0</v>
      </c>
      <c r="JP32" s="189">
        <f t="shared" si="55"/>
        <v>0</v>
      </c>
      <c r="JQ32" s="189">
        <f t="shared" si="56"/>
        <v>0</v>
      </c>
      <c r="JR32" s="189">
        <f t="shared" si="57"/>
        <v>0</v>
      </c>
      <c r="JS32" s="189">
        <f t="shared" si="58"/>
        <v>0</v>
      </c>
      <c r="JT32" s="189">
        <f t="shared" si="59"/>
        <v>0</v>
      </c>
      <c r="JU32" s="189">
        <f t="shared" si="60"/>
        <v>0</v>
      </c>
      <c r="JV32" s="189">
        <f t="shared" si="61"/>
        <v>0</v>
      </c>
      <c r="JW32" s="189">
        <f t="shared" si="62"/>
        <v>0</v>
      </c>
      <c r="JX32" s="189">
        <f t="shared" si="63"/>
        <v>0</v>
      </c>
      <c r="JY32" s="189">
        <f t="shared" si="64"/>
        <v>0</v>
      </c>
      <c r="JZ32" s="189">
        <f t="shared" si="65"/>
        <v>0</v>
      </c>
      <c r="KA32" s="189">
        <f t="shared" si="66"/>
        <v>0</v>
      </c>
      <c r="KB32" s="189">
        <f t="shared" si="67"/>
        <v>0</v>
      </c>
      <c r="KD32" s="206">
        <f t="shared" si="177"/>
        <v>0</v>
      </c>
      <c r="KE32" s="206">
        <f t="shared" si="69"/>
        <v>0</v>
      </c>
      <c r="KF32" s="206">
        <f t="shared" si="70"/>
        <v>0</v>
      </c>
      <c r="KG32" s="206">
        <f t="shared" si="71"/>
        <v>0</v>
      </c>
      <c r="KH32" s="206">
        <f t="shared" si="72"/>
        <v>0</v>
      </c>
      <c r="KI32" s="206">
        <f t="shared" si="73"/>
        <v>0</v>
      </c>
      <c r="KJ32" s="206">
        <f t="shared" si="74"/>
        <v>0</v>
      </c>
      <c r="KK32" s="206">
        <f t="shared" si="75"/>
        <v>0</v>
      </c>
      <c r="KL32" s="206">
        <f t="shared" si="76"/>
        <v>0</v>
      </c>
      <c r="KM32" s="206">
        <f t="shared" si="77"/>
        <v>0</v>
      </c>
      <c r="KN32" s="221">
        <f t="shared" si="78"/>
        <v>0</v>
      </c>
      <c r="KO32" s="221">
        <f t="shared" si="79"/>
        <v>0</v>
      </c>
      <c r="KP32" s="221">
        <f t="shared" si="80"/>
        <v>0</v>
      </c>
      <c r="KQ32" s="221">
        <f t="shared" si="81"/>
        <v>0</v>
      </c>
      <c r="KR32" s="221">
        <f t="shared" si="82"/>
        <v>0</v>
      </c>
      <c r="KT32" s="195">
        <f t="shared" si="83"/>
        <v>0</v>
      </c>
      <c r="KU32" s="221"/>
      <c r="KV32" s="221"/>
      <c r="KW32" s="221"/>
      <c r="KX32" s="221"/>
      <c r="KY32" s="221"/>
      <c r="KZ32" s="221"/>
      <c r="LA32" s="221"/>
      <c r="LB32" s="221"/>
      <c r="LC32" s="221"/>
      <c r="LD32" s="221"/>
      <c r="LE32" s="221"/>
      <c r="LF32" s="221"/>
      <c r="LG32" s="221"/>
      <c r="LH32" s="221"/>
      <c r="LI32" s="221"/>
      <c r="LJ32" s="221"/>
      <c r="LK32" s="221"/>
      <c r="LL32" s="221"/>
      <c r="LM32" s="221"/>
      <c r="LN32" s="221"/>
      <c r="LO32" s="221"/>
      <c r="LP32" s="221"/>
      <c r="LQ32" s="221"/>
      <c r="LR32" s="221"/>
      <c r="LS32" s="221"/>
      <c r="LT32" s="221"/>
      <c r="LU32" s="221"/>
      <c r="LV32" s="221"/>
      <c r="LW32" s="221"/>
      <c r="LX32" s="221"/>
      <c r="LY32" s="221"/>
      <c r="LZ32" s="221"/>
      <c r="MA32" s="221"/>
      <c r="MB32" s="221"/>
      <c r="MC32" s="221"/>
      <c r="MD32" s="221"/>
      <c r="ME32" s="221"/>
      <c r="MF32" s="221"/>
      <c r="MG32" s="221"/>
      <c r="MH32" s="221"/>
      <c r="MI32" s="221"/>
      <c r="MJ32" s="221"/>
      <c r="MK32" s="221"/>
      <c r="ML32" s="221"/>
      <c r="MM32" s="221"/>
      <c r="MN32" s="221"/>
      <c r="MO32" s="221"/>
      <c r="MP32" s="221"/>
      <c r="MQ32" s="221"/>
      <c r="MR32" s="221"/>
      <c r="MS32" s="221"/>
      <c r="MT32" s="221"/>
      <c r="MU32" s="221"/>
      <c r="MV32" s="221"/>
      <c r="MW32" s="221"/>
      <c r="MX32" s="221"/>
      <c r="MY32" s="221"/>
      <c r="MZ32" s="221"/>
      <c r="NA32" s="221"/>
      <c r="NB32" s="221"/>
      <c r="NC32" s="221"/>
      <c r="ND32" s="221"/>
      <c r="NE32" s="221"/>
      <c r="NF32" s="221"/>
      <c r="NG32" s="221"/>
      <c r="NH32" s="221"/>
      <c r="NI32" s="221"/>
      <c r="NJ32" s="221"/>
      <c r="NK32" s="221"/>
      <c r="NM32" s="195">
        <f t="shared" si="178"/>
        <v>0</v>
      </c>
      <c r="NN32" s="195">
        <f t="shared" si="179"/>
        <v>0</v>
      </c>
      <c r="NO32" s="195">
        <f t="shared" si="180"/>
        <v>0</v>
      </c>
      <c r="NP32" s="195">
        <f t="shared" si="181"/>
        <v>0</v>
      </c>
      <c r="NQ32" s="195">
        <f t="shared" si="182"/>
        <v>0</v>
      </c>
      <c r="NR32" s="195">
        <f t="shared" si="183"/>
        <v>0</v>
      </c>
      <c r="NS32" s="195">
        <f t="shared" si="184"/>
        <v>0</v>
      </c>
      <c r="NT32" s="195">
        <f t="shared" si="185"/>
        <v>0</v>
      </c>
      <c r="NU32" s="196">
        <f t="shared" si="186"/>
        <v>0</v>
      </c>
      <c r="NY32" s="215">
        <f t="shared" si="187"/>
        <v>1</v>
      </c>
      <c r="NZ32" s="222">
        <v>12500000</v>
      </c>
      <c r="OE32" s="207">
        <f t="shared" si="85"/>
        <v>0</v>
      </c>
      <c r="OF32" s="207">
        <f t="shared" si="86"/>
        <v>0</v>
      </c>
      <c r="OG32" s="207">
        <f t="shared" si="87"/>
        <v>0</v>
      </c>
      <c r="OH32" s="207">
        <f t="shared" si="188"/>
        <v>0</v>
      </c>
      <c r="OI32" s="207">
        <f t="shared" si="88"/>
        <v>0</v>
      </c>
      <c r="OJ32" s="199">
        <f t="shared" si="189"/>
        <v>0</v>
      </c>
      <c r="OK32" s="199">
        <f t="shared" si="190"/>
        <v>0</v>
      </c>
      <c r="OL32" s="199">
        <f t="shared" si="191"/>
        <v>0</v>
      </c>
      <c r="OM32" s="199">
        <f t="shared" si="192"/>
        <v>0</v>
      </c>
      <c r="OO32" s="207">
        <f t="shared" si="89"/>
        <v>0</v>
      </c>
      <c r="OP32" s="207">
        <f t="shared" si="90"/>
        <v>0</v>
      </c>
      <c r="OQ32" s="207">
        <f t="shared" si="193"/>
        <v>0</v>
      </c>
      <c r="OR32" s="207">
        <f t="shared" si="194"/>
        <v>0</v>
      </c>
      <c r="OS32" s="207">
        <f t="shared" si="195"/>
        <v>0</v>
      </c>
      <c r="OT32" s="199">
        <f t="shared" si="196"/>
        <v>0</v>
      </c>
      <c r="OU32" s="199">
        <f t="shared" si="197"/>
        <v>0</v>
      </c>
      <c r="OV32" s="199">
        <f t="shared" si="198"/>
        <v>0</v>
      </c>
      <c r="OW32" s="199">
        <f t="shared" si="199"/>
        <v>0</v>
      </c>
      <c r="OZ32" s="208">
        <f t="shared" si="91"/>
        <v>0</v>
      </c>
      <c r="PA32" s="209"/>
      <c r="PB32" s="209"/>
      <c r="PC32" s="209"/>
      <c r="PD32" s="210">
        <f t="shared" si="200"/>
        <v>0</v>
      </c>
      <c r="PE32" s="210"/>
      <c r="PF32" s="210">
        <f t="shared" si="201"/>
        <v>0</v>
      </c>
      <c r="PG32" s="210">
        <f t="shared" si="202"/>
        <v>0</v>
      </c>
      <c r="PH32" s="210">
        <f t="shared" si="92"/>
        <v>0</v>
      </c>
      <c r="PI32" s="210">
        <f t="shared" si="93"/>
        <v>0</v>
      </c>
      <c r="PJ32" s="210">
        <f t="shared" si="94"/>
        <v>0</v>
      </c>
      <c r="PK32" s="210">
        <f t="shared" si="95"/>
        <v>0</v>
      </c>
      <c r="PL32" s="210">
        <f t="shared" si="96"/>
        <v>0</v>
      </c>
      <c r="PM32" s="211"/>
      <c r="PN32" s="211"/>
      <c r="PO32" s="212">
        <f t="shared" si="203"/>
        <v>0</v>
      </c>
      <c r="PP32" s="212">
        <f t="shared" si="204"/>
        <v>0</v>
      </c>
      <c r="PQ32" s="212">
        <f t="shared" si="205"/>
        <v>0</v>
      </c>
      <c r="PR32" s="211"/>
      <c r="PS32" s="211"/>
      <c r="PT32" s="211"/>
      <c r="PU32" s="211"/>
    </row>
    <row r="33" spans="1:437 16383:16383" s="195" customFormat="1" ht="16" x14ac:dyDescent="0.2">
      <c r="A33" s="213">
        <f t="shared" si="206"/>
        <v>24</v>
      </c>
      <c r="B33" s="186" t="s">
        <v>49</v>
      </c>
      <c r="C33" s="186">
        <v>27</v>
      </c>
      <c r="D33" s="188">
        <v>1</v>
      </c>
      <c r="E33" s="188">
        <v>37</v>
      </c>
      <c r="F33" s="188">
        <v>1</v>
      </c>
      <c r="G33" s="188">
        <f t="shared" si="97"/>
        <v>37</v>
      </c>
      <c r="H33" s="214">
        <f t="shared" si="98"/>
        <v>1</v>
      </c>
      <c r="I33" s="214">
        <f t="shared" si="99"/>
        <v>1</v>
      </c>
      <c r="J33" s="188">
        <v>1</v>
      </c>
      <c r="K33" s="188">
        <f t="shared" si="100"/>
        <v>37</v>
      </c>
      <c r="L33" s="214">
        <f t="shared" si="101"/>
        <v>1</v>
      </c>
      <c r="M33" s="214">
        <f t="shared" si="102"/>
        <v>1</v>
      </c>
      <c r="N33" s="188">
        <v>1</v>
      </c>
      <c r="O33" s="188">
        <f t="shared" si="103"/>
        <v>37</v>
      </c>
      <c r="P33" s="214">
        <f t="shared" si="104"/>
        <v>1</v>
      </c>
      <c r="Q33" s="214">
        <f t="shared" si="105"/>
        <v>1</v>
      </c>
      <c r="R33" s="188">
        <v>1</v>
      </c>
      <c r="S33" s="188">
        <f t="shared" si="106"/>
        <v>37</v>
      </c>
      <c r="T33" s="214">
        <f t="shared" si="107"/>
        <v>1</v>
      </c>
      <c r="U33" s="214">
        <f t="shared" si="108"/>
        <v>1</v>
      </c>
      <c r="V33" s="215">
        <v>1</v>
      </c>
      <c r="W33" s="188">
        <f t="shared" si="109"/>
        <v>37</v>
      </c>
      <c r="X33" s="214">
        <f t="shared" si="110"/>
        <v>1</v>
      </c>
      <c r="Y33" s="214">
        <f t="shared" si="111"/>
        <v>1</v>
      </c>
      <c r="Z33" s="216">
        <f>1333372000/1000000000</f>
        <v>1.333372</v>
      </c>
      <c r="AA33" s="188">
        <v>0</v>
      </c>
      <c r="AB33" s="188">
        <f t="shared" si="112"/>
        <v>0</v>
      </c>
      <c r="AC33" s="214">
        <f t="shared" si="113"/>
        <v>0</v>
      </c>
      <c r="AD33" s="214">
        <f t="shared" si="114"/>
        <v>0</v>
      </c>
      <c r="AE33" s="188"/>
      <c r="AF33" s="188">
        <f t="shared" si="115"/>
        <v>0</v>
      </c>
      <c r="AG33" s="223"/>
      <c r="AH33" s="188"/>
      <c r="AI33" s="188">
        <v>1</v>
      </c>
      <c r="AJ33" s="188">
        <f t="shared" si="2"/>
        <v>37</v>
      </c>
      <c r="AK33" s="188" t="s">
        <v>304</v>
      </c>
      <c r="AL33" s="188">
        <v>0</v>
      </c>
      <c r="AM33" s="188">
        <v>0</v>
      </c>
      <c r="AN33" s="217"/>
      <c r="AO33" s="188">
        <f t="shared" si="207"/>
        <v>1</v>
      </c>
      <c r="AP33" s="188">
        <f t="shared" si="208"/>
        <v>37</v>
      </c>
      <c r="AQ33" s="188">
        <f t="shared" si="5"/>
        <v>1</v>
      </c>
      <c r="AR33" s="188">
        <f t="shared" si="6"/>
        <v>37</v>
      </c>
      <c r="AS33" s="188">
        <f t="shared" si="7"/>
        <v>1</v>
      </c>
      <c r="AT33" s="188">
        <f t="shared" si="8"/>
        <v>37</v>
      </c>
      <c r="AU33" s="188">
        <f t="shared" si="209"/>
        <v>1</v>
      </c>
      <c r="AV33" s="188">
        <f t="shared" si="210"/>
        <v>37</v>
      </c>
      <c r="AW33" s="188">
        <f t="shared" si="211"/>
        <v>1</v>
      </c>
      <c r="AX33" s="188">
        <f t="shared" si="212"/>
        <v>37</v>
      </c>
      <c r="AY33" s="188">
        <f t="shared" si="116"/>
        <v>0</v>
      </c>
      <c r="AZ33" s="188">
        <f t="shared" si="117"/>
        <v>0</v>
      </c>
      <c r="BA33" s="188">
        <f t="shared" si="14"/>
        <v>1.333372</v>
      </c>
      <c r="BB33" s="188">
        <f t="shared" si="15"/>
        <v>0</v>
      </c>
      <c r="BD33" s="196">
        <f t="shared" si="118"/>
        <v>0</v>
      </c>
      <c r="BE33" s="188">
        <f t="shared" si="16"/>
        <v>0</v>
      </c>
      <c r="BF33" s="188">
        <f t="shared" si="17"/>
        <v>0</v>
      </c>
      <c r="BG33" s="188">
        <f t="shared" si="18"/>
        <v>0</v>
      </c>
      <c r="BH33" s="188">
        <f t="shared" si="19"/>
        <v>0</v>
      </c>
      <c r="BI33" s="188">
        <f t="shared" si="20"/>
        <v>0</v>
      </c>
      <c r="BJ33" s="188">
        <f t="shared" si="21"/>
        <v>0</v>
      </c>
      <c r="BK33" s="188">
        <f t="shared" si="22"/>
        <v>0</v>
      </c>
      <c r="BN33" s="277"/>
      <c r="BO33" s="139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B33" s="188"/>
      <c r="CD33" s="188">
        <f t="shared" si="23"/>
        <v>0</v>
      </c>
      <c r="CE33" s="188">
        <f t="shared" si="24"/>
        <v>0</v>
      </c>
      <c r="CF33" s="188">
        <f t="shared" si="25"/>
        <v>0</v>
      </c>
      <c r="CG33" s="188">
        <f t="shared" si="26"/>
        <v>0</v>
      </c>
      <c r="CH33" s="188">
        <f t="shared" si="27"/>
        <v>0</v>
      </c>
      <c r="CI33" s="188">
        <f t="shared" si="28"/>
        <v>0</v>
      </c>
      <c r="CJ33" s="188">
        <f t="shared" si="29"/>
        <v>0</v>
      </c>
      <c r="CK33" s="188">
        <f t="shared" si="30"/>
        <v>0</v>
      </c>
      <c r="CL33" s="188">
        <f t="shared" si="31"/>
        <v>0</v>
      </c>
      <c r="CM33" s="188">
        <f t="shared" si="32"/>
        <v>0</v>
      </c>
      <c r="CN33" s="188">
        <f t="shared" si="33"/>
        <v>0</v>
      </c>
      <c r="CO33" s="188">
        <f t="shared" si="34"/>
        <v>0</v>
      </c>
      <c r="CP33" s="188">
        <f t="shared" si="35"/>
        <v>0</v>
      </c>
      <c r="DV33" s="188">
        <f t="shared" si="36"/>
        <v>0</v>
      </c>
      <c r="DW33" s="188">
        <f t="shared" si="37"/>
        <v>0</v>
      </c>
      <c r="DX33" s="188">
        <f t="shared" si="38"/>
        <v>0</v>
      </c>
      <c r="DY33" s="188">
        <f t="shared" si="39"/>
        <v>0</v>
      </c>
      <c r="DZ33" s="188">
        <f t="shared" si="40"/>
        <v>0</v>
      </c>
      <c r="EA33" s="188">
        <f t="shared" si="41"/>
        <v>0</v>
      </c>
      <c r="EB33" s="188">
        <f t="shared" si="42"/>
        <v>0</v>
      </c>
      <c r="EG33" s="220">
        <f t="shared" si="43"/>
        <v>0</v>
      </c>
      <c r="EH33" s="220">
        <f t="shared" si="44"/>
        <v>0</v>
      </c>
      <c r="EI33" s="188"/>
      <c r="EJ33" s="188"/>
      <c r="EK33" s="188"/>
      <c r="EL33" s="188"/>
      <c r="EM33" s="188"/>
      <c r="EN33" s="188"/>
      <c r="EO33" s="188"/>
      <c r="EP33" s="188"/>
      <c r="EQ33" s="188"/>
      <c r="ER33" s="188"/>
      <c r="ES33" s="188"/>
      <c r="ET33" s="188"/>
      <c r="EU33" s="188"/>
      <c r="EV33" s="188"/>
      <c r="EW33" s="188"/>
      <c r="EX33" s="188"/>
      <c r="EY33" s="188"/>
      <c r="EZ33" s="188"/>
      <c r="FA33" s="188"/>
      <c r="FB33" s="188"/>
      <c r="FC33" s="188"/>
      <c r="FD33" s="188"/>
      <c r="FE33" s="188"/>
      <c r="FF33" s="188"/>
      <c r="FH33" s="189"/>
      <c r="FI33" s="189"/>
      <c r="FJ33" s="189"/>
      <c r="FK33" s="189"/>
      <c r="FL33" s="189"/>
      <c r="FM33" s="189"/>
      <c r="FN33" s="189"/>
      <c r="FO33" s="189"/>
      <c r="FP33" s="189"/>
      <c r="FQ33" s="189"/>
      <c r="FR33" s="189"/>
      <c r="FS33" s="189"/>
      <c r="FT33" s="189"/>
      <c r="FU33" s="189"/>
      <c r="FV33" s="189"/>
      <c r="FX33" s="217"/>
      <c r="FY33" s="188">
        <f t="shared" si="45"/>
        <v>0</v>
      </c>
      <c r="FZ33" s="188">
        <f t="shared" si="46"/>
        <v>0</v>
      </c>
      <c r="GA33" s="188">
        <f t="shared" si="47"/>
        <v>0</v>
      </c>
      <c r="GB33" s="188">
        <f t="shared" si="48"/>
        <v>0</v>
      </c>
      <c r="GC33" s="188">
        <f t="shared" si="49"/>
        <v>0</v>
      </c>
      <c r="GD33" s="188">
        <f t="shared" si="50"/>
        <v>0</v>
      </c>
      <c r="GE33" s="188">
        <f t="shared" si="51"/>
        <v>0</v>
      </c>
      <c r="GF33" s="199"/>
      <c r="GG33" s="189">
        <v>0</v>
      </c>
      <c r="GH33" s="189">
        <v>0</v>
      </c>
      <c r="GI33" s="199"/>
      <c r="GJ33" s="200">
        <f t="shared" si="52"/>
        <v>0</v>
      </c>
      <c r="GK33" s="200">
        <f t="shared" si="53"/>
        <v>0</v>
      </c>
      <c r="GO33" s="189">
        <f t="shared" si="119"/>
        <v>0</v>
      </c>
      <c r="GP33" s="189">
        <f t="shared" si="120"/>
        <v>0</v>
      </c>
      <c r="GQ33" s="189">
        <f t="shared" si="121"/>
        <v>0</v>
      </c>
      <c r="GR33" s="189">
        <f t="shared" si="122"/>
        <v>0</v>
      </c>
      <c r="GS33" s="189">
        <f t="shared" si="123"/>
        <v>0</v>
      </c>
      <c r="GT33" s="189">
        <f t="shared" si="124"/>
        <v>1</v>
      </c>
      <c r="GU33" s="201">
        <f t="shared" si="125"/>
        <v>43243</v>
      </c>
      <c r="GV33" s="189" t="str">
        <f t="shared" si="126"/>
        <v>SELESAI</v>
      </c>
      <c r="GW33" s="189">
        <f t="shared" si="127"/>
        <v>0</v>
      </c>
      <c r="GX33" s="202" t="str">
        <f t="shared" si="128"/>
        <v>SELESAI</v>
      </c>
      <c r="GY33" s="202">
        <f t="shared" si="129"/>
        <v>0</v>
      </c>
      <c r="GZ33" s="203" t="str">
        <f t="shared" si="130"/>
        <v>SELESAI</v>
      </c>
      <c r="HA33" s="204"/>
      <c r="HB33" s="204"/>
      <c r="HC33" s="189">
        <f t="shared" si="131"/>
        <v>0</v>
      </c>
      <c r="HD33" s="189">
        <f t="shared" si="132"/>
        <v>0</v>
      </c>
      <c r="HE33" s="189">
        <f t="shared" si="133"/>
        <v>0</v>
      </c>
      <c r="HF33" s="189">
        <f t="shared" si="134"/>
        <v>0</v>
      </c>
      <c r="HG33" s="189">
        <f t="shared" si="135"/>
        <v>0</v>
      </c>
      <c r="HH33" s="201" t="str">
        <f t="shared" si="136"/>
        <v>TIDAK KONSINYASI</v>
      </c>
      <c r="HI33" s="201" t="str">
        <f t="shared" si="137"/>
        <v>SELESAI</v>
      </c>
      <c r="HJ33" s="205"/>
      <c r="HK33" s="201">
        <f t="shared" si="138"/>
        <v>0</v>
      </c>
      <c r="HL33" s="204"/>
      <c r="HM33" s="204"/>
      <c r="HN33" s="204"/>
      <c r="HO33" s="204"/>
      <c r="HP33" s="203">
        <f t="shared" si="139"/>
        <v>0</v>
      </c>
      <c r="HQ33" s="202">
        <f t="shared" si="140"/>
        <v>0</v>
      </c>
      <c r="HR33" s="202">
        <f t="shared" si="141"/>
        <v>0</v>
      </c>
      <c r="HS33" s="203">
        <f t="shared" si="142"/>
        <v>0</v>
      </c>
      <c r="HT33" s="202">
        <f t="shared" si="143"/>
        <v>0</v>
      </c>
      <c r="HU33" s="202">
        <f t="shared" si="144"/>
        <v>0</v>
      </c>
      <c r="HV33" s="203">
        <f t="shared" si="145"/>
        <v>0</v>
      </c>
      <c r="HW33" s="202">
        <f t="shared" si="146"/>
        <v>0</v>
      </c>
      <c r="HX33" s="202">
        <f t="shared" si="147"/>
        <v>0</v>
      </c>
      <c r="HY33" s="203">
        <f t="shared" si="148"/>
        <v>0</v>
      </c>
      <c r="HZ33" s="202">
        <f t="shared" si="149"/>
        <v>0</v>
      </c>
      <c r="IA33" s="202">
        <f t="shared" si="150"/>
        <v>0</v>
      </c>
      <c r="IB33" s="203">
        <f t="shared" si="151"/>
        <v>0</v>
      </c>
      <c r="IC33" s="202">
        <f t="shared" si="152"/>
        <v>0</v>
      </c>
      <c r="ID33" s="202">
        <f t="shared" si="153"/>
        <v>0</v>
      </c>
      <c r="IE33" s="203">
        <f t="shared" si="154"/>
        <v>0</v>
      </c>
      <c r="IF33" s="202">
        <f t="shared" si="155"/>
        <v>0</v>
      </c>
      <c r="IG33" s="202">
        <f t="shared" si="156"/>
        <v>0</v>
      </c>
      <c r="IH33" s="203">
        <f t="shared" si="157"/>
        <v>0</v>
      </c>
      <c r="II33" s="202">
        <f t="shared" si="158"/>
        <v>0</v>
      </c>
      <c r="IJ33" s="202">
        <f t="shared" si="159"/>
        <v>0</v>
      </c>
      <c r="IK33" s="203">
        <f t="shared" si="160"/>
        <v>0</v>
      </c>
      <c r="IL33" s="202">
        <f t="shared" si="161"/>
        <v>0</v>
      </c>
      <c r="IM33" s="202">
        <f t="shared" si="162"/>
        <v>0</v>
      </c>
      <c r="IN33" s="204"/>
      <c r="IO33" s="203">
        <f t="shared" si="163"/>
        <v>0</v>
      </c>
      <c r="IP33" s="202">
        <f t="shared" si="164"/>
        <v>0</v>
      </c>
      <c r="IQ33" s="202">
        <f t="shared" si="165"/>
        <v>0</v>
      </c>
      <c r="IR33" s="204"/>
      <c r="IS33" s="203"/>
      <c r="IT33" s="202">
        <f t="shared" si="166"/>
        <v>1</v>
      </c>
      <c r="IU33" s="202">
        <f t="shared" si="167"/>
        <v>37</v>
      </c>
      <c r="IV33" s="204"/>
      <c r="IW33" s="203"/>
      <c r="IX33" s="202">
        <f t="shared" si="168"/>
        <v>0</v>
      </c>
      <c r="IY33" s="202">
        <f t="shared" si="169"/>
        <v>0</v>
      </c>
      <c r="IZ33" s="204"/>
      <c r="JA33" s="203"/>
      <c r="JB33" s="202">
        <f t="shared" si="170"/>
        <v>0</v>
      </c>
      <c r="JC33" s="202">
        <f t="shared" si="171"/>
        <v>0</v>
      </c>
      <c r="JD33" s="204"/>
      <c r="JE33" s="203"/>
      <c r="JF33" s="202">
        <f t="shared" si="172"/>
        <v>1</v>
      </c>
      <c r="JG33" s="202">
        <f t="shared" si="173"/>
        <v>37</v>
      </c>
      <c r="JH33" s="204"/>
      <c r="JI33" s="203"/>
      <c r="JJ33" s="202">
        <f t="shared" si="174"/>
        <v>0</v>
      </c>
      <c r="JK33" s="202">
        <f t="shared" si="175"/>
        <v>0</v>
      </c>
      <c r="JM33" s="203">
        <f t="shared" si="176"/>
        <v>0</v>
      </c>
      <c r="JO33" s="196">
        <f t="shared" si="54"/>
        <v>0</v>
      </c>
      <c r="JP33" s="189">
        <f t="shared" si="55"/>
        <v>0</v>
      </c>
      <c r="JQ33" s="189">
        <f t="shared" si="56"/>
        <v>0</v>
      </c>
      <c r="JR33" s="189">
        <f t="shared" si="57"/>
        <v>0</v>
      </c>
      <c r="JS33" s="189">
        <f t="shared" si="58"/>
        <v>0</v>
      </c>
      <c r="JT33" s="189">
        <f t="shared" si="59"/>
        <v>0</v>
      </c>
      <c r="JU33" s="189">
        <f t="shared" si="60"/>
        <v>0</v>
      </c>
      <c r="JV33" s="189">
        <f t="shared" si="61"/>
        <v>0</v>
      </c>
      <c r="JW33" s="189">
        <f t="shared" si="62"/>
        <v>0</v>
      </c>
      <c r="JX33" s="189">
        <f t="shared" si="63"/>
        <v>0</v>
      </c>
      <c r="JY33" s="189">
        <f t="shared" si="64"/>
        <v>0</v>
      </c>
      <c r="JZ33" s="189">
        <f t="shared" si="65"/>
        <v>0</v>
      </c>
      <c r="KA33" s="189">
        <f t="shared" si="66"/>
        <v>0</v>
      </c>
      <c r="KB33" s="189">
        <f t="shared" si="67"/>
        <v>0</v>
      </c>
      <c r="KD33" s="206">
        <f t="shared" si="177"/>
        <v>0</v>
      </c>
      <c r="KE33" s="206">
        <f t="shared" si="69"/>
        <v>0</v>
      </c>
      <c r="KF33" s="206">
        <f t="shared" si="70"/>
        <v>0</v>
      </c>
      <c r="KG33" s="206">
        <f t="shared" si="71"/>
        <v>0</v>
      </c>
      <c r="KH33" s="206">
        <f t="shared" si="72"/>
        <v>0</v>
      </c>
      <c r="KI33" s="206">
        <f t="shared" si="73"/>
        <v>0</v>
      </c>
      <c r="KJ33" s="206">
        <f t="shared" si="74"/>
        <v>0</v>
      </c>
      <c r="KK33" s="206">
        <f t="shared" si="75"/>
        <v>0</v>
      </c>
      <c r="KL33" s="206">
        <f t="shared" si="76"/>
        <v>0</v>
      </c>
      <c r="KM33" s="206">
        <f t="shared" si="77"/>
        <v>0</v>
      </c>
      <c r="KN33" s="221">
        <f t="shared" si="78"/>
        <v>0</v>
      </c>
      <c r="KO33" s="221">
        <f t="shared" si="79"/>
        <v>0</v>
      </c>
      <c r="KP33" s="221">
        <f t="shared" si="80"/>
        <v>0</v>
      </c>
      <c r="KQ33" s="221">
        <f t="shared" si="81"/>
        <v>0</v>
      </c>
      <c r="KR33" s="221">
        <f t="shared" si="82"/>
        <v>0</v>
      </c>
      <c r="KT33" s="195">
        <f t="shared" si="83"/>
        <v>0</v>
      </c>
      <c r="KU33" s="221"/>
      <c r="KV33" s="221"/>
      <c r="KW33" s="221"/>
      <c r="KX33" s="221"/>
      <c r="KY33" s="221"/>
      <c r="KZ33" s="221"/>
      <c r="LA33" s="221"/>
      <c r="LB33" s="221"/>
      <c r="LC33" s="221"/>
      <c r="LD33" s="221"/>
      <c r="LE33" s="221"/>
      <c r="LF33" s="221"/>
      <c r="LG33" s="221"/>
      <c r="LH33" s="221"/>
      <c r="LI33" s="221"/>
      <c r="LJ33" s="221"/>
      <c r="LK33" s="221"/>
      <c r="LL33" s="221"/>
      <c r="LM33" s="221"/>
      <c r="LN33" s="221"/>
      <c r="LO33" s="221"/>
      <c r="LP33" s="221"/>
      <c r="LQ33" s="221"/>
      <c r="LR33" s="221"/>
      <c r="LS33" s="221"/>
      <c r="LT33" s="221"/>
      <c r="LU33" s="221"/>
      <c r="LV33" s="221"/>
      <c r="LW33" s="221"/>
      <c r="LX33" s="221"/>
      <c r="LY33" s="221"/>
      <c r="LZ33" s="221"/>
      <c r="MA33" s="221"/>
      <c r="MB33" s="221"/>
      <c r="MC33" s="221"/>
      <c r="MD33" s="221"/>
      <c r="ME33" s="221"/>
      <c r="MF33" s="221"/>
      <c r="MG33" s="221"/>
      <c r="MH33" s="221"/>
      <c r="MI33" s="221"/>
      <c r="MJ33" s="221"/>
      <c r="MK33" s="221"/>
      <c r="ML33" s="221"/>
      <c r="MM33" s="221"/>
      <c r="MN33" s="221"/>
      <c r="MO33" s="221"/>
      <c r="MP33" s="221"/>
      <c r="MQ33" s="221"/>
      <c r="MR33" s="221"/>
      <c r="MS33" s="221"/>
      <c r="MT33" s="221"/>
      <c r="MU33" s="221"/>
      <c r="MV33" s="221"/>
      <c r="MW33" s="221"/>
      <c r="MX33" s="221"/>
      <c r="MY33" s="221"/>
      <c r="MZ33" s="221"/>
      <c r="NA33" s="221"/>
      <c r="NB33" s="221"/>
      <c r="NC33" s="221"/>
      <c r="ND33" s="221"/>
      <c r="NE33" s="221"/>
      <c r="NF33" s="221"/>
      <c r="NG33" s="221"/>
      <c r="NH33" s="221"/>
      <c r="NI33" s="221"/>
      <c r="NJ33" s="221"/>
      <c r="NK33" s="221"/>
      <c r="NM33" s="195">
        <f t="shared" si="178"/>
        <v>0</v>
      </c>
      <c r="NN33" s="195">
        <f t="shared" si="179"/>
        <v>0</v>
      </c>
      <c r="NO33" s="195">
        <f t="shared" si="180"/>
        <v>0</v>
      </c>
      <c r="NP33" s="195">
        <f t="shared" si="181"/>
        <v>0</v>
      </c>
      <c r="NQ33" s="195">
        <f t="shared" si="182"/>
        <v>0</v>
      </c>
      <c r="NR33" s="195">
        <f t="shared" si="183"/>
        <v>0</v>
      </c>
      <c r="NS33" s="195">
        <f t="shared" si="184"/>
        <v>0</v>
      </c>
      <c r="NT33" s="195">
        <f t="shared" si="185"/>
        <v>0</v>
      </c>
      <c r="NU33" s="196">
        <f t="shared" si="186"/>
        <v>0</v>
      </c>
      <c r="NY33" s="215">
        <f t="shared" si="187"/>
        <v>1</v>
      </c>
      <c r="NZ33" s="222">
        <v>12500000</v>
      </c>
      <c r="OE33" s="207">
        <f t="shared" si="85"/>
        <v>0</v>
      </c>
      <c r="OF33" s="207">
        <f t="shared" si="86"/>
        <v>0</v>
      </c>
      <c r="OG33" s="207">
        <f t="shared" si="87"/>
        <v>0</v>
      </c>
      <c r="OH33" s="207">
        <f t="shared" si="188"/>
        <v>0</v>
      </c>
      <c r="OI33" s="207">
        <f t="shared" si="88"/>
        <v>0</v>
      </c>
      <c r="OJ33" s="199">
        <f t="shared" si="189"/>
        <v>0</v>
      </c>
      <c r="OK33" s="199">
        <f t="shared" si="190"/>
        <v>0</v>
      </c>
      <c r="OL33" s="199">
        <f t="shared" si="191"/>
        <v>0</v>
      </c>
      <c r="OM33" s="199">
        <f t="shared" si="192"/>
        <v>0</v>
      </c>
      <c r="OO33" s="207">
        <f t="shared" si="89"/>
        <v>0</v>
      </c>
      <c r="OP33" s="207">
        <f t="shared" si="90"/>
        <v>0</v>
      </c>
      <c r="OQ33" s="207">
        <f t="shared" si="193"/>
        <v>0</v>
      </c>
      <c r="OR33" s="207">
        <f t="shared" si="194"/>
        <v>0</v>
      </c>
      <c r="OS33" s="207">
        <f t="shared" si="195"/>
        <v>0</v>
      </c>
      <c r="OT33" s="199">
        <f t="shared" si="196"/>
        <v>0</v>
      </c>
      <c r="OU33" s="199">
        <f t="shared" si="197"/>
        <v>0</v>
      </c>
      <c r="OV33" s="199">
        <f t="shared" si="198"/>
        <v>0</v>
      </c>
      <c r="OW33" s="199">
        <f t="shared" si="199"/>
        <v>0</v>
      </c>
      <c r="OZ33" s="208">
        <f t="shared" si="91"/>
        <v>0</v>
      </c>
      <c r="PA33" s="209"/>
      <c r="PB33" s="209"/>
      <c r="PC33" s="209"/>
      <c r="PD33" s="210">
        <f t="shared" si="200"/>
        <v>0</v>
      </c>
      <c r="PE33" s="210"/>
      <c r="PF33" s="210">
        <f t="shared" si="201"/>
        <v>0</v>
      </c>
      <c r="PG33" s="210">
        <f t="shared" si="202"/>
        <v>0</v>
      </c>
      <c r="PH33" s="210">
        <f t="shared" si="92"/>
        <v>0</v>
      </c>
      <c r="PI33" s="210">
        <f t="shared" si="93"/>
        <v>0</v>
      </c>
      <c r="PJ33" s="210">
        <f t="shared" si="94"/>
        <v>0</v>
      </c>
      <c r="PK33" s="210">
        <f t="shared" si="95"/>
        <v>0</v>
      </c>
      <c r="PL33" s="210">
        <f t="shared" si="96"/>
        <v>0</v>
      </c>
      <c r="PM33" s="211"/>
      <c r="PN33" s="211"/>
      <c r="PO33" s="212">
        <f t="shared" si="203"/>
        <v>0</v>
      </c>
      <c r="PP33" s="212">
        <f t="shared" si="204"/>
        <v>0</v>
      </c>
      <c r="PQ33" s="212">
        <f t="shared" si="205"/>
        <v>0</v>
      </c>
      <c r="PR33" s="211"/>
      <c r="PS33" s="211"/>
      <c r="PT33" s="211"/>
      <c r="PU33" s="211"/>
    </row>
    <row r="34" spans="1:437 16383:16383" s="195" customFormat="1" ht="16" x14ac:dyDescent="0.2">
      <c r="A34" s="213">
        <f t="shared" si="206"/>
        <v>25</v>
      </c>
      <c r="B34" s="186" t="s">
        <v>50</v>
      </c>
      <c r="C34" s="186">
        <v>28</v>
      </c>
      <c r="D34" s="188">
        <v>1</v>
      </c>
      <c r="E34" s="188">
        <v>119</v>
      </c>
      <c r="F34" s="188">
        <v>1</v>
      </c>
      <c r="G34" s="188">
        <f t="shared" si="97"/>
        <v>119</v>
      </c>
      <c r="H34" s="214">
        <f t="shared" si="98"/>
        <v>1</v>
      </c>
      <c r="I34" s="214">
        <f t="shared" si="99"/>
        <v>1</v>
      </c>
      <c r="J34" s="188">
        <v>1</v>
      </c>
      <c r="K34" s="188">
        <f t="shared" si="100"/>
        <v>119</v>
      </c>
      <c r="L34" s="214">
        <f t="shared" si="101"/>
        <v>1</v>
      </c>
      <c r="M34" s="214">
        <f t="shared" si="102"/>
        <v>1</v>
      </c>
      <c r="N34" s="188">
        <v>1</v>
      </c>
      <c r="O34" s="188">
        <f t="shared" si="103"/>
        <v>119</v>
      </c>
      <c r="P34" s="214">
        <f t="shared" si="104"/>
        <v>1</v>
      </c>
      <c r="Q34" s="214">
        <f t="shared" si="105"/>
        <v>1</v>
      </c>
      <c r="R34" s="188">
        <v>1</v>
      </c>
      <c r="S34" s="188">
        <f t="shared" si="106"/>
        <v>119</v>
      </c>
      <c r="T34" s="214">
        <f t="shared" si="107"/>
        <v>1</v>
      </c>
      <c r="U34" s="214">
        <f t="shared" si="108"/>
        <v>1</v>
      </c>
      <c r="V34" s="215">
        <v>1</v>
      </c>
      <c r="W34" s="188">
        <f t="shared" si="109"/>
        <v>119</v>
      </c>
      <c r="X34" s="214">
        <f t="shared" si="110"/>
        <v>1</v>
      </c>
      <c r="Y34" s="214">
        <f t="shared" si="111"/>
        <v>1</v>
      </c>
      <c r="Z34" s="216">
        <f>6378629000/1000000000</f>
        <v>6.3786290000000001</v>
      </c>
      <c r="AA34" s="188">
        <v>0</v>
      </c>
      <c r="AB34" s="188">
        <f t="shared" si="112"/>
        <v>0</v>
      </c>
      <c r="AC34" s="214">
        <f t="shared" si="113"/>
        <v>0</v>
      </c>
      <c r="AD34" s="214">
        <f t="shared" si="114"/>
        <v>0</v>
      </c>
      <c r="AE34" s="188"/>
      <c r="AF34" s="188">
        <f t="shared" si="115"/>
        <v>0</v>
      </c>
      <c r="AG34" s="223"/>
      <c r="AH34" s="188"/>
      <c r="AI34" s="188">
        <v>1</v>
      </c>
      <c r="AJ34" s="188">
        <f t="shared" si="2"/>
        <v>119</v>
      </c>
      <c r="AK34" s="188" t="s">
        <v>304</v>
      </c>
      <c r="AL34" s="188">
        <v>0</v>
      </c>
      <c r="AM34" s="188">
        <v>0</v>
      </c>
      <c r="AN34" s="217"/>
      <c r="AO34" s="188">
        <f t="shared" si="207"/>
        <v>1</v>
      </c>
      <c r="AP34" s="188">
        <f t="shared" si="208"/>
        <v>119</v>
      </c>
      <c r="AQ34" s="188">
        <f t="shared" si="5"/>
        <v>1</v>
      </c>
      <c r="AR34" s="188">
        <f t="shared" si="6"/>
        <v>119</v>
      </c>
      <c r="AS34" s="188">
        <f t="shared" si="7"/>
        <v>1</v>
      </c>
      <c r="AT34" s="188">
        <f t="shared" si="8"/>
        <v>119</v>
      </c>
      <c r="AU34" s="188">
        <f t="shared" si="209"/>
        <v>1</v>
      </c>
      <c r="AV34" s="188">
        <f t="shared" si="210"/>
        <v>119</v>
      </c>
      <c r="AW34" s="188">
        <f t="shared" si="211"/>
        <v>1</v>
      </c>
      <c r="AX34" s="188">
        <f t="shared" si="212"/>
        <v>119</v>
      </c>
      <c r="AY34" s="188">
        <f t="shared" si="116"/>
        <v>0</v>
      </c>
      <c r="AZ34" s="188">
        <f t="shared" si="117"/>
        <v>0</v>
      </c>
      <c r="BA34" s="188">
        <f t="shared" si="14"/>
        <v>6.3786290000000001</v>
      </c>
      <c r="BB34" s="188">
        <f t="shared" si="15"/>
        <v>0</v>
      </c>
      <c r="BD34" s="196">
        <f t="shared" si="118"/>
        <v>0</v>
      </c>
      <c r="BE34" s="188">
        <f t="shared" si="16"/>
        <v>0</v>
      </c>
      <c r="BF34" s="188">
        <f t="shared" si="17"/>
        <v>0</v>
      </c>
      <c r="BG34" s="188">
        <f t="shared" si="18"/>
        <v>0</v>
      </c>
      <c r="BH34" s="188">
        <f t="shared" si="19"/>
        <v>0</v>
      </c>
      <c r="BI34" s="188">
        <f t="shared" si="20"/>
        <v>0</v>
      </c>
      <c r="BJ34" s="188">
        <f t="shared" si="21"/>
        <v>0</v>
      </c>
      <c r="BK34" s="188">
        <f t="shared" si="22"/>
        <v>0</v>
      </c>
      <c r="BN34" s="143"/>
      <c r="BO34" s="277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B34" s="188"/>
      <c r="CD34" s="188">
        <f t="shared" si="23"/>
        <v>0</v>
      </c>
      <c r="CE34" s="188">
        <f t="shared" si="24"/>
        <v>0</v>
      </c>
      <c r="CF34" s="188">
        <f t="shared" si="25"/>
        <v>0</v>
      </c>
      <c r="CG34" s="188">
        <f t="shared" si="26"/>
        <v>0</v>
      </c>
      <c r="CH34" s="188">
        <f t="shared" si="27"/>
        <v>0</v>
      </c>
      <c r="CI34" s="188">
        <f t="shared" si="28"/>
        <v>0</v>
      </c>
      <c r="CJ34" s="188">
        <f t="shared" si="29"/>
        <v>0</v>
      </c>
      <c r="CK34" s="188">
        <f t="shared" si="30"/>
        <v>0</v>
      </c>
      <c r="CL34" s="188">
        <f t="shared" si="31"/>
        <v>0</v>
      </c>
      <c r="CM34" s="188">
        <f t="shared" si="32"/>
        <v>0</v>
      </c>
      <c r="CN34" s="188">
        <f t="shared" si="33"/>
        <v>0</v>
      </c>
      <c r="CO34" s="188">
        <f t="shared" si="34"/>
        <v>0</v>
      </c>
      <c r="CP34" s="188">
        <f t="shared" si="35"/>
        <v>0</v>
      </c>
      <c r="DV34" s="188">
        <f t="shared" si="36"/>
        <v>0</v>
      </c>
      <c r="DW34" s="188">
        <f t="shared" si="37"/>
        <v>0</v>
      </c>
      <c r="DX34" s="188">
        <f t="shared" si="38"/>
        <v>0</v>
      </c>
      <c r="DY34" s="188">
        <f t="shared" si="39"/>
        <v>0</v>
      </c>
      <c r="DZ34" s="188">
        <f t="shared" si="40"/>
        <v>0</v>
      </c>
      <c r="EA34" s="188">
        <f t="shared" si="41"/>
        <v>0</v>
      </c>
      <c r="EB34" s="188">
        <f t="shared" si="42"/>
        <v>0</v>
      </c>
      <c r="EG34" s="220">
        <f t="shared" si="43"/>
        <v>0</v>
      </c>
      <c r="EH34" s="220">
        <f t="shared" si="44"/>
        <v>0</v>
      </c>
      <c r="EI34" s="188"/>
      <c r="EJ34" s="188"/>
      <c r="EK34" s="188"/>
      <c r="EL34" s="188"/>
      <c r="EM34" s="188"/>
      <c r="EN34" s="188"/>
      <c r="EO34" s="188"/>
      <c r="EP34" s="188"/>
      <c r="EQ34" s="188"/>
      <c r="ER34" s="188"/>
      <c r="ES34" s="188"/>
      <c r="ET34" s="188"/>
      <c r="EU34" s="188"/>
      <c r="EV34" s="188"/>
      <c r="EW34" s="188"/>
      <c r="EX34" s="188"/>
      <c r="EY34" s="188"/>
      <c r="EZ34" s="188"/>
      <c r="FA34" s="188"/>
      <c r="FB34" s="188"/>
      <c r="FC34" s="188"/>
      <c r="FD34" s="188"/>
      <c r="FE34" s="188"/>
      <c r="FF34" s="188"/>
      <c r="FH34" s="189"/>
      <c r="FI34" s="189"/>
      <c r="FJ34" s="189"/>
      <c r="FK34" s="189"/>
      <c r="FL34" s="189"/>
      <c r="FM34" s="189"/>
      <c r="FN34" s="189"/>
      <c r="FO34" s="189"/>
      <c r="FP34" s="189"/>
      <c r="FQ34" s="189"/>
      <c r="FR34" s="189"/>
      <c r="FS34" s="189"/>
      <c r="FT34" s="189"/>
      <c r="FU34" s="189"/>
      <c r="FV34" s="189"/>
      <c r="FX34" s="217"/>
      <c r="FY34" s="188">
        <f t="shared" si="45"/>
        <v>0</v>
      </c>
      <c r="FZ34" s="188">
        <f t="shared" si="46"/>
        <v>0</v>
      </c>
      <c r="GA34" s="188">
        <f t="shared" si="47"/>
        <v>0</v>
      </c>
      <c r="GB34" s="188">
        <f t="shared" si="48"/>
        <v>0</v>
      </c>
      <c r="GC34" s="188">
        <f t="shared" si="49"/>
        <v>0</v>
      </c>
      <c r="GD34" s="188">
        <f t="shared" si="50"/>
        <v>0</v>
      </c>
      <c r="GE34" s="188">
        <f t="shared" si="51"/>
        <v>0</v>
      </c>
      <c r="GF34" s="199"/>
      <c r="GG34" s="189">
        <v>0</v>
      </c>
      <c r="GH34" s="189">
        <v>0</v>
      </c>
      <c r="GI34" s="199"/>
      <c r="GJ34" s="200">
        <f t="shared" si="52"/>
        <v>0</v>
      </c>
      <c r="GK34" s="200">
        <f t="shared" si="53"/>
        <v>0</v>
      </c>
      <c r="GO34" s="189">
        <f t="shared" si="119"/>
        <v>0</v>
      </c>
      <c r="GP34" s="189">
        <f t="shared" si="120"/>
        <v>0</v>
      </c>
      <c r="GQ34" s="189">
        <f t="shared" si="121"/>
        <v>0</v>
      </c>
      <c r="GR34" s="189">
        <f t="shared" si="122"/>
        <v>0</v>
      </c>
      <c r="GS34" s="189">
        <f t="shared" si="123"/>
        <v>0</v>
      </c>
      <c r="GT34" s="189">
        <f t="shared" si="124"/>
        <v>1</v>
      </c>
      <c r="GU34" s="201">
        <f t="shared" si="125"/>
        <v>43243</v>
      </c>
      <c r="GV34" s="189" t="str">
        <f t="shared" si="126"/>
        <v>SELESAI</v>
      </c>
      <c r="GW34" s="189">
        <f t="shared" si="127"/>
        <v>0</v>
      </c>
      <c r="GX34" s="202" t="str">
        <f t="shared" si="128"/>
        <v>SELESAI</v>
      </c>
      <c r="GY34" s="202">
        <f t="shared" si="129"/>
        <v>0</v>
      </c>
      <c r="GZ34" s="203" t="str">
        <f t="shared" si="130"/>
        <v>SELESAI</v>
      </c>
      <c r="HA34" s="204"/>
      <c r="HB34" s="204"/>
      <c r="HC34" s="189">
        <f t="shared" si="131"/>
        <v>0</v>
      </c>
      <c r="HD34" s="189">
        <f t="shared" si="132"/>
        <v>0</v>
      </c>
      <c r="HE34" s="189">
        <f t="shared" si="133"/>
        <v>0</v>
      </c>
      <c r="HF34" s="189">
        <f t="shared" si="134"/>
        <v>0</v>
      </c>
      <c r="HG34" s="189">
        <f t="shared" si="135"/>
        <v>0</v>
      </c>
      <c r="HH34" s="201" t="str">
        <f t="shared" si="136"/>
        <v>TIDAK KONSINYASI</v>
      </c>
      <c r="HI34" s="201" t="str">
        <f t="shared" si="137"/>
        <v>SELESAI</v>
      </c>
      <c r="HJ34" s="205"/>
      <c r="HK34" s="201">
        <f t="shared" si="138"/>
        <v>0</v>
      </c>
      <c r="HL34" s="204"/>
      <c r="HM34" s="204"/>
      <c r="HN34" s="204"/>
      <c r="HO34" s="204"/>
      <c r="HP34" s="203">
        <f t="shared" si="139"/>
        <v>0</v>
      </c>
      <c r="HQ34" s="202">
        <f t="shared" si="140"/>
        <v>0</v>
      </c>
      <c r="HR34" s="202">
        <f t="shared" si="141"/>
        <v>0</v>
      </c>
      <c r="HS34" s="203">
        <f t="shared" si="142"/>
        <v>0</v>
      </c>
      <c r="HT34" s="202">
        <f t="shared" si="143"/>
        <v>0</v>
      </c>
      <c r="HU34" s="202">
        <f t="shared" si="144"/>
        <v>0</v>
      </c>
      <c r="HV34" s="203">
        <f t="shared" si="145"/>
        <v>0</v>
      </c>
      <c r="HW34" s="202">
        <f t="shared" si="146"/>
        <v>0</v>
      </c>
      <c r="HX34" s="202">
        <f t="shared" si="147"/>
        <v>0</v>
      </c>
      <c r="HY34" s="203">
        <f t="shared" si="148"/>
        <v>0</v>
      </c>
      <c r="HZ34" s="202">
        <f t="shared" si="149"/>
        <v>0</v>
      </c>
      <c r="IA34" s="202">
        <f t="shared" si="150"/>
        <v>0</v>
      </c>
      <c r="IB34" s="203">
        <f t="shared" si="151"/>
        <v>0</v>
      </c>
      <c r="IC34" s="202">
        <f t="shared" si="152"/>
        <v>0</v>
      </c>
      <c r="ID34" s="202">
        <f t="shared" si="153"/>
        <v>0</v>
      </c>
      <c r="IE34" s="203">
        <f t="shared" si="154"/>
        <v>0</v>
      </c>
      <c r="IF34" s="202">
        <f t="shared" si="155"/>
        <v>0</v>
      </c>
      <c r="IG34" s="202">
        <f t="shared" si="156"/>
        <v>0</v>
      </c>
      <c r="IH34" s="203">
        <f t="shared" si="157"/>
        <v>0</v>
      </c>
      <c r="II34" s="202">
        <f t="shared" si="158"/>
        <v>0</v>
      </c>
      <c r="IJ34" s="202">
        <f t="shared" si="159"/>
        <v>0</v>
      </c>
      <c r="IK34" s="203">
        <f t="shared" si="160"/>
        <v>0</v>
      </c>
      <c r="IL34" s="202">
        <f t="shared" si="161"/>
        <v>0</v>
      </c>
      <c r="IM34" s="202">
        <f t="shared" si="162"/>
        <v>0</v>
      </c>
      <c r="IN34" s="204"/>
      <c r="IO34" s="203">
        <f t="shared" si="163"/>
        <v>0</v>
      </c>
      <c r="IP34" s="202">
        <f t="shared" si="164"/>
        <v>0</v>
      </c>
      <c r="IQ34" s="202">
        <f t="shared" si="165"/>
        <v>0</v>
      </c>
      <c r="IR34" s="204"/>
      <c r="IS34" s="203"/>
      <c r="IT34" s="202">
        <f t="shared" si="166"/>
        <v>1</v>
      </c>
      <c r="IU34" s="202">
        <f t="shared" si="167"/>
        <v>119</v>
      </c>
      <c r="IV34" s="204"/>
      <c r="IW34" s="203"/>
      <c r="IX34" s="202">
        <f t="shared" si="168"/>
        <v>0</v>
      </c>
      <c r="IY34" s="202">
        <f t="shared" si="169"/>
        <v>0</v>
      </c>
      <c r="IZ34" s="204"/>
      <c r="JA34" s="203"/>
      <c r="JB34" s="202">
        <f t="shared" si="170"/>
        <v>0</v>
      </c>
      <c r="JC34" s="202">
        <f t="shared" si="171"/>
        <v>0</v>
      </c>
      <c r="JD34" s="204"/>
      <c r="JE34" s="203"/>
      <c r="JF34" s="202">
        <f t="shared" si="172"/>
        <v>1</v>
      </c>
      <c r="JG34" s="202">
        <f t="shared" si="173"/>
        <v>119</v>
      </c>
      <c r="JH34" s="204"/>
      <c r="JI34" s="203"/>
      <c r="JJ34" s="202">
        <f t="shared" si="174"/>
        <v>0</v>
      </c>
      <c r="JK34" s="202">
        <f t="shared" si="175"/>
        <v>0</v>
      </c>
      <c r="JM34" s="203">
        <f t="shared" si="176"/>
        <v>0</v>
      </c>
      <c r="JO34" s="196">
        <f t="shared" si="54"/>
        <v>0</v>
      </c>
      <c r="JP34" s="189">
        <f t="shared" si="55"/>
        <v>0</v>
      </c>
      <c r="JQ34" s="189">
        <f t="shared" si="56"/>
        <v>0</v>
      </c>
      <c r="JR34" s="189">
        <f t="shared" si="57"/>
        <v>0</v>
      </c>
      <c r="JS34" s="189">
        <f t="shared" si="58"/>
        <v>0</v>
      </c>
      <c r="JT34" s="189">
        <f t="shared" si="59"/>
        <v>0</v>
      </c>
      <c r="JU34" s="189">
        <f t="shared" si="60"/>
        <v>0</v>
      </c>
      <c r="JV34" s="189">
        <f t="shared" si="61"/>
        <v>0</v>
      </c>
      <c r="JW34" s="189">
        <f t="shared" si="62"/>
        <v>0</v>
      </c>
      <c r="JX34" s="189">
        <f t="shared" si="63"/>
        <v>0</v>
      </c>
      <c r="JY34" s="189">
        <f t="shared" si="64"/>
        <v>0</v>
      </c>
      <c r="JZ34" s="189">
        <f t="shared" si="65"/>
        <v>0</v>
      </c>
      <c r="KA34" s="189">
        <f t="shared" si="66"/>
        <v>0</v>
      </c>
      <c r="KB34" s="189">
        <f t="shared" si="67"/>
        <v>0</v>
      </c>
      <c r="KD34" s="206">
        <f t="shared" si="177"/>
        <v>0</v>
      </c>
      <c r="KE34" s="206">
        <f t="shared" si="69"/>
        <v>0</v>
      </c>
      <c r="KF34" s="206">
        <f t="shared" si="70"/>
        <v>0</v>
      </c>
      <c r="KG34" s="206">
        <f t="shared" si="71"/>
        <v>0</v>
      </c>
      <c r="KH34" s="206">
        <f t="shared" si="72"/>
        <v>0</v>
      </c>
      <c r="KI34" s="206">
        <f t="shared" si="73"/>
        <v>0</v>
      </c>
      <c r="KJ34" s="206">
        <f t="shared" si="74"/>
        <v>0</v>
      </c>
      <c r="KK34" s="206">
        <f t="shared" si="75"/>
        <v>0</v>
      </c>
      <c r="KL34" s="206">
        <f t="shared" si="76"/>
        <v>0</v>
      </c>
      <c r="KM34" s="206">
        <f t="shared" si="77"/>
        <v>0</v>
      </c>
      <c r="KN34" s="221">
        <f t="shared" si="78"/>
        <v>0</v>
      </c>
      <c r="KO34" s="221">
        <f t="shared" si="79"/>
        <v>0</v>
      </c>
      <c r="KP34" s="221">
        <f t="shared" si="80"/>
        <v>0</v>
      </c>
      <c r="KQ34" s="221">
        <f t="shared" si="81"/>
        <v>0</v>
      </c>
      <c r="KR34" s="221">
        <f t="shared" si="82"/>
        <v>0</v>
      </c>
      <c r="KT34" s="195">
        <f t="shared" si="83"/>
        <v>0</v>
      </c>
      <c r="KU34" s="221"/>
      <c r="KV34" s="221"/>
      <c r="KW34" s="221"/>
      <c r="KX34" s="221"/>
      <c r="KY34" s="221"/>
      <c r="KZ34" s="221"/>
      <c r="LA34" s="221"/>
      <c r="LB34" s="221"/>
      <c r="LC34" s="221"/>
      <c r="LD34" s="221"/>
      <c r="LE34" s="221"/>
      <c r="LF34" s="221"/>
      <c r="LG34" s="221"/>
      <c r="LH34" s="221"/>
      <c r="LI34" s="221"/>
      <c r="LJ34" s="221"/>
      <c r="LK34" s="221"/>
      <c r="LL34" s="221"/>
      <c r="LM34" s="221"/>
      <c r="LN34" s="221"/>
      <c r="LO34" s="221"/>
      <c r="LP34" s="221"/>
      <c r="LQ34" s="221"/>
      <c r="LR34" s="221"/>
      <c r="LS34" s="221"/>
      <c r="LT34" s="221"/>
      <c r="LU34" s="221"/>
      <c r="LV34" s="221"/>
      <c r="LW34" s="221"/>
      <c r="LX34" s="221"/>
      <c r="LY34" s="221"/>
      <c r="LZ34" s="221"/>
      <c r="MA34" s="221"/>
      <c r="MB34" s="221"/>
      <c r="MC34" s="221"/>
      <c r="MD34" s="221"/>
      <c r="ME34" s="221"/>
      <c r="MF34" s="221"/>
      <c r="MG34" s="221"/>
      <c r="MH34" s="221"/>
      <c r="MI34" s="221"/>
      <c r="MJ34" s="221"/>
      <c r="MK34" s="221"/>
      <c r="ML34" s="221"/>
      <c r="MM34" s="221"/>
      <c r="MN34" s="221"/>
      <c r="MO34" s="221"/>
      <c r="MP34" s="221"/>
      <c r="MQ34" s="221"/>
      <c r="MR34" s="221"/>
      <c r="MS34" s="221"/>
      <c r="MT34" s="221"/>
      <c r="MU34" s="221"/>
      <c r="MV34" s="221"/>
      <c r="MW34" s="221"/>
      <c r="MX34" s="221"/>
      <c r="MY34" s="221"/>
      <c r="MZ34" s="221"/>
      <c r="NA34" s="221"/>
      <c r="NB34" s="221"/>
      <c r="NC34" s="221"/>
      <c r="ND34" s="221"/>
      <c r="NE34" s="221"/>
      <c r="NF34" s="221"/>
      <c r="NG34" s="221"/>
      <c r="NH34" s="221"/>
      <c r="NI34" s="221"/>
      <c r="NJ34" s="221"/>
      <c r="NK34" s="221"/>
      <c r="NM34" s="195">
        <f t="shared" si="178"/>
        <v>0</v>
      </c>
      <c r="NN34" s="195">
        <f t="shared" si="179"/>
        <v>0</v>
      </c>
      <c r="NO34" s="195">
        <f t="shared" si="180"/>
        <v>0</v>
      </c>
      <c r="NP34" s="195">
        <f t="shared" si="181"/>
        <v>0</v>
      </c>
      <c r="NQ34" s="195">
        <f t="shared" si="182"/>
        <v>0</v>
      </c>
      <c r="NR34" s="195">
        <f t="shared" si="183"/>
        <v>0</v>
      </c>
      <c r="NS34" s="195">
        <f t="shared" si="184"/>
        <v>0</v>
      </c>
      <c r="NT34" s="195">
        <f t="shared" si="185"/>
        <v>0</v>
      </c>
      <c r="NU34" s="196">
        <f t="shared" si="186"/>
        <v>0</v>
      </c>
      <c r="NY34" s="215">
        <f t="shared" si="187"/>
        <v>1</v>
      </c>
      <c r="NZ34" s="222">
        <v>12500000</v>
      </c>
      <c r="OE34" s="207">
        <f t="shared" si="85"/>
        <v>0</v>
      </c>
      <c r="OF34" s="207">
        <f t="shared" si="86"/>
        <v>0</v>
      </c>
      <c r="OG34" s="207">
        <f t="shared" si="87"/>
        <v>0</v>
      </c>
      <c r="OH34" s="207">
        <f t="shared" si="188"/>
        <v>0</v>
      </c>
      <c r="OI34" s="207">
        <f t="shared" si="88"/>
        <v>0</v>
      </c>
      <c r="OJ34" s="199">
        <f t="shared" si="189"/>
        <v>0</v>
      </c>
      <c r="OK34" s="199">
        <f t="shared" si="190"/>
        <v>0</v>
      </c>
      <c r="OL34" s="199">
        <f t="shared" si="191"/>
        <v>0</v>
      </c>
      <c r="OM34" s="199">
        <f t="shared" si="192"/>
        <v>0</v>
      </c>
      <c r="OO34" s="207">
        <f t="shared" si="89"/>
        <v>0</v>
      </c>
      <c r="OP34" s="207">
        <f t="shared" si="90"/>
        <v>0</v>
      </c>
      <c r="OQ34" s="207">
        <f t="shared" si="193"/>
        <v>0</v>
      </c>
      <c r="OR34" s="207">
        <f t="shared" si="194"/>
        <v>0</v>
      </c>
      <c r="OS34" s="207">
        <f t="shared" si="195"/>
        <v>0</v>
      </c>
      <c r="OT34" s="199">
        <f t="shared" si="196"/>
        <v>0</v>
      </c>
      <c r="OU34" s="199">
        <f t="shared" si="197"/>
        <v>0</v>
      </c>
      <c r="OV34" s="199">
        <f t="shared" si="198"/>
        <v>0</v>
      </c>
      <c r="OW34" s="199">
        <f t="shared" si="199"/>
        <v>0</v>
      </c>
      <c r="OZ34" s="208">
        <f t="shared" si="91"/>
        <v>0</v>
      </c>
      <c r="PA34" s="209"/>
      <c r="PB34" s="209"/>
      <c r="PC34" s="209"/>
      <c r="PD34" s="210">
        <f t="shared" si="200"/>
        <v>0</v>
      </c>
      <c r="PE34" s="210"/>
      <c r="PF34" s="210">
        <f t="shared" si="201"/>
        <v>0</v>
      </c>
      <c r="PG34" s="210">
        <f t="shared" si="202"/>
        <v>0</v>
      </c>
      <c r="PH34" s="210">
        <f t="shared" si="92"/>
        <v>0</v>
      </c>
      <c r="PI34" s="210">
        <f t="shared" si="93"/>
        <v>0</v>
      </c>
      <c r="PJ34" s="210">
        <f t="shared" si="94"/>
        <v>0</v>
      </c>
      <c r="PK34" s="210">
        <f t="shared" si="95"/>
        <v>0</v>
      </c>
      <c r="PL34" s="210">
        <f t="shared" si="96"/>
        <v>0</v>
      </c>
      <c r="PM34" s="211"/>
      <c r="PN34" s="211"/>
      <c r="PO34" s="212">
        <f t="shared" si="203"/>
        <v>0</v>
      </c>
      <c r="PP34" s="212">
        <f t="shared" si="204"/>
        <v>0</v>
      </c>
      <c r="PQ34" s="212">
        <f t="shared" si="205"/>
        <v>0</v>
      </c>
      <c r="PR34" s="211"/>
      <c r="PS34" s="211"/>
      <c r="PT34" s="211"/>
      <c r="PU34" s="211"/>
    </row>
    <row r="35" spans="1:437 16383:16383" s="195" customFormat="1" ht="16" x14ac:dyDescent="0.2">
      <c r="A35" s="213">
        <f t="shared" si="206"/>
        <v>26</v>
      </c>
      <c r="B35" s="186" t="s">
        <v>51</v>
      </c>
      <c r="C35" s="186">
        <v>29</v>
      </c>
      <c r="D35" s="188">
        <v>1</v>
      </c>
      <c r="E35" s="188">
        <v>170</v>
      </c>
      <c r="F35" s="188">
        <v>1</v>
      </c>
      <c r="G35" s="188">
        <f t="shared" si="97"/>
        <v>170</v>
      </c>
      <c r="H35" s="214">
        <f t="shared" si="98"/>
        <v>1</v>
      </c>
      <c r="I35" s="214">
        <f t="shared" si="99"/>
        <v>1</v>
      </c>
      <c r="J35" s="188">
        <v>1</v>
      </c>
      <c r="K35" s="188">
        <f t="shared" si="100"/>
        <v>170</v>
      </c>
      <c r="L35" s="214">
        <f t="shared" si="101"/>
        <v>1</v>
      </c>
      <c r="M35" s="214">
        <f t="shared" si="102"/>
        <v>1</v>
      </c>
      <c r="N35" s="188">
        <v>1</v>
      </c>
      <c r="O35" s="188">
        <f t="shared" si="103"/>
        <v>170</v>
      </c>
      <c r="P35" s="214">
        <f t="shared" si="104"/>
        <v>1</v>
      </c>
      <c r="Q35" s="214">
        <f t="shared" si="105"/>
        <v>1</v>
      </c>
      <c r="R35" s="188">
        <v>1</v>
      </c>
      <c r="S35" s="188">
        <f t="shared" si="106"/>
        <v>170</v>
      </c>
      <c r="T35" s="214">
        <f t="shared" si="107"/>
        <v>1</v>
      </c>
      <c r="U35" s="214">
        <f t="shared" si="108"/>
        <v>1</v>
      </c>
      <c r="V35" s="215">
        <v>1</v>
      </c>
      <c r="W35" s="188">
        <f t="shared" si="109"/>
        <v>170</v>
      </c>
      <c r="X35" s="214">
        <f t="shared" si="110"/>
        <v>1</v>
      </c>
      <c r="Y35" s="214">
        <f t="shared" si="111"/>
        <v>1</v>
      </c>
      <c r="Z35" s="216">
        <f>3458688000/1000000000</f>
        <v>3.458688</v>
      </c>
      <c r="AA35" s="188">
        <v>0</v>
      </c>
      <c r="AB35" s="188">
        <f t="shared" si="112"/>
        <v>0</v>
      </c>
      <c r="AC35" s="214">
        <f t="shared" si="113"/>
        <v>0</v>
      </c>
      <c r="AD35" s="214">
        <f t="shared" si="114"/>
        <v>0</v>
      </c>
      <c r="AE35" s="188"/>
      <c r="AF35" s="188">
        <f t="shared" si="115"/>
        <v>0</v>
      </c>
      <c r="AG35" s="223"/>
      <c r="AH35" s="188"/>
      <c r="AI35" s="188">
        <v>1</v>
      </c>
      <c r="AJ35" s="188">
        <f t="shared" si="2"/>
        <v>170</v>
      </c>
      <c r="AK35" s="188" t="s">
        <v>304</v>
      </c>
      <c r="AL35" s="188">
        <v>0</v>
      </c>
      <c r="AM35" s="188">
        <v>0</v>
      </c>
      <c r="AN35" s="217"/>
      <c r="AO35" s="188">
        <f t="shared" si="207"/>
        <v>1</v>
      </c>
      <c r="AP35" s="188">
        <f t="shared" si="208"/>
        <v>170</v>
      </c>
      <c r="AQ35" s="188">
        <f t="shared" si="5"/>
        <v>1</v>
      </c>
      <c r="AR35" s="188">
        <f t="shared" si="6"/>
        <v>170</v>
      </c>
      <c r="AS35" s="188">
        <f t="shared" si="7"/>
        <v>1</v>
      </c>
      <c r="AT35" s="188">
        <f t="shared" si="8"/>
        <v>170</v>
      </c>
      <c r="AU35" s="188">
        <f t="shared" si="209"/>
        <v>1</v>
      </c>
      <c r="AV35" s="188">
        <f t="shared" si="210"/>
        <v>170</v>
      </c>
      <c r="AW35" s="188">
        <f t="shared" si="211"/>
        <v>1</v>
      </c>
      <c r="AX35" s="188">
        <f t="shared" si="212"/>
        <v>170</v>
      </c>
      <c r="AY35" s="188">
        <f t="shared" si="116"/>
        <v>0</v>
      </c>
      <c r="AZ35" s="188">
        <f t="shared" si="117"/>
        <v>0</v>
      </c>
      <c r="BA35" s="188">
        <f t="shared" si="14"/>
        <v>3.458688</v>
      </c>
      <c r="BB35" s="188">
        <f t="shared" si="15"/>
        <v>0</v>
      </c>
      <c r="BD35" s="196">
        <f t="shared" si="118"/>
        <v>0</v>
      </c>
      <c r="BE35" s="188">
        <f t="shared" si="16"/>
        <v>0</v>
      </c>
      <c r="BF35" s="188">
        <f t="shared" si="17"/>
        <v>0</v>
      </c>
      <c r="BG35" s="188">
        <f t="shared" si="18"/>
        <v>0</v>
      </c>
      <c r="BH35" s="188">
        <f t="shared" si="19"/>
        <v>0</v>
      </c>
      <c r="BI35" s="188">
        <f t="shared" si="20"/>
        <v>0</v>
      </c>
      <c r="BJ35" s="188">
        <f t="shared" si="21"/>
        <v>0</v>
      </c>
      <c r="BK35" s="188">
        <f t="shared" si="22"/>
        <v>0</v>
      </c>
      <c r="BN35" s="277">
        <v>35</v>
      </c>
      <c r="BO35" s="139">
        <v>1</v>
      </c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B35" s="188"/>
      <c r="CD35" s="188">
        <f t="shared" si="23"/>
        <v>35</v>
      </c>
      <c r="CE35" s="188">
        <f t="shared" si="24"/>
        <v>35</v>
      </c>
      <c r="CF35" s="188">
        <f t="shared" si="25"/>
        <v>0</v>
      </c>
      <c r="CG35" s="188">
        <f t="shared" si="26"/>
        <v>0</v>
      </c>
      <c r="CH35" s="188">
        <f t="shared" si="27"/>
        <v>0</v>
      </c>
      <c r="CI35" s="188">
        <f t="shared" si="28"/>
        <v>0</v>
      </c>
      <c r="CJ35" s="188">
        <f t="shared" si="29"/>
        <v>0</v>
      </c>
      <c r="CK35" s="188">
        <f t="shared" si="30"/>
        <v>0</v>
      </c>
      <c r="CL35" s="188">
        <f t="shared" si="31"/>
        <v>0</v>
      </c>
      <c r="CM35" s="188">
        <f t="shared" si="32"/>
        <v>0</v>
      </c>
      <c r="CN35" s="188">
        <f t="shared" si="33"/>
        <v>0</v>
      </c>
      <c r="CO35" s="188">
        <f t="shared" si="34"/>
        <v>0</v>
      </c>
      <c r="CP35" s="188">
        <f t="shared" si="35"/>
        <v>0</v>
      </c>
      <c r="DV35" s="188">
        <f t="shared" si="36"/>
        <v>0</v>
      </c>
      <c r="DW35" s="188">
        <f t="shared" si="37"/>
        <v>0</v>
      </c>
      <c r="DX35" s="188">
        <f t="shared" si="38"/>
        <v>0</v>
      </c>
      <c r="DY35" s="188">
        <f t="shared" si="39"/>
        <v>0</v>
      </c>
      <c r="DZ35" s="188">
        <f t="shared" si="40"/>
        <v>0</v>
      </c>
      <c r="EA35" s="188">
        <f t="shared" si="41"/>
        <v>0</v>
      </c>
      <c r="EB35" s="188">
        <f t="shared" si="42"/>
        <v>0</v>
      </c>
      <c r="EG35" s="220">
        <f t="shared" si="43"/>
        <v>0</v>
      </c>
      <c r="EH35" s="220">
        <f t="shared" si="44"/>
        <v>0</v>
      </c>
      <c r="EI35" s="188"/>
      <c r="EJ35" s="188"/>
      <c r="EK35" s="188"/>
      <c r="EL35" s="188"/>
      <c r="EM35" s="188"/>
      <c r="EN35" s="188"/>
      <c r="EO35" s="188"/>
      <c r="EP35" s="188"/>
      <c r="EQ35" s="188"/>
      <c r="ER35" s="188"/>
      <c r="ES35" s="188"/>
      <c r="ET35" s="188"/>
      <c r="EU35" s="188"/>
      <c r="EV35" s="188"/>
      <c r="EW35" s="188"/>
      <c r="EX35" s="188"/>
      <c r="EY35" s="188"/>
      <c r="EZ35" s="188"/>
      <c r="FA35" s="188"/>
      <c r="FB35" s="188"/>
      <c r="FC35" s="188"/>
      <c r="FD35" s="188"/>
      <c r="FE35" s="188"/>
      <c r="FF35" s="188"/>
      <c r="FH35" s="189"/>
      <c r="FI35" s="189"/>
      <c r="FJ35" s="189"/>
      <c r="FK35" s="189"/>
      <c r="FL35" s="189"/>
      <c r="FM35" s="189"/>
      <c r="FN35" s="189"/>
      <c r="FO35" s="189"/>
      <c r="FP35" s="189"/>
      <c r="FQ35" s="189"/>
      <c r="FR35" s="189"/>
      <c r="FS35" s="189"/>
      <c r="FT35" s="189"/>
      <c r="FU35" s="189"/>
      <c r="FV35" s="189"/>
      <c r="FX35" s="217">
        <v>1</v>
      </c>
      <c r="FY35" s="188">
        <f t="shared" si="45"/>
        <v>35</v>
      </c>
      <c r="FZ35" s="188">
        <f t="shared" si="46"/>
        <v>35</v>
      </c>
      <c r="GA35" s="188">
        <f t="shared" si="47"/>
        <v>0</v>
      </c>
      <c r="GB35" s="188">
        <f t="shared" si="48"/>
        <v>0</v>
      </c>
      <c r="GC35" s="188">
        <f t="shared" si="49"/>
        <v>0</v>
      </c>
      <c r="GD35" s="188">
        <f t="shared" si="50"/>
        <v>0</v>
      </c>
      <c r="GE35" s="188">
        <f t="shared" si="51"/>
        <v>0</v>
      </c>
      <c r="GF35" s="199"/>
      <c r="GG35" s="189">
        <v>0</v>
      </c>
      <c r="GH35" s="189">
        <v>0</v>
      </c>
      <c r="GI35" s="199"/>
      <c r="GJ35" s="200">
        <f t="shared" si="52"/>
        <v>0</v>
      </c>
      <c r="GK35" s="200">
        <f t="shared" si="53"/>
        <v>0</v>
      </c>
      <c r="GO35" s="189">
        <f t="shared" si="119"/>
        <v>0</v>
      </c>
      <c r="GP35" s="189">
        <f t="shared" si="120"/>
        <v>0</v>
      </c>
      <c r="GQ35" s="189">
        <f t="shared" si="121"/>
        <v>0</v>
      </c>
      <c r="GR35" s="189">
        <f t="shared" si="122"/>
        <v>0</v>
      </c>
      <c r="GS35" s="189">
        <f t="shared" si="123"/>
        <v>0</v>
      </c>
      <c r="GT35" s="189">
        <f t="shared" si="124"/>
        <v>1</v>
      </c>
      <c r="GU35" s="201">
        <f t="shared" si="125"/>
        <v>43243</v>
      </c>
      <c r="GV35" s="189" t="str">
        <f t="shared" si="126"/>
        <v>SELESAI</v>
      </c>
      <c r="GW35" s="189">
        <f t="shared" si="127"/>
        <v>0</v>
      </c>
      <c r="GX35" s="202" t="str">
        <f t="shared" si="128"/>
        <v>SELESAI</v>
      </c>
      <c r="GY35" s="202">
        <f t="shared" si="129"/>
        <v>0</v>
      </c>
      <c r="GZ35" s="203" t="str">
        <f t="shared" si="130"/>
        <v>SELESAI</v>
      </c>
      <c r="HA35" s="204"/>
      <c r="HB35" s="204"/>
      <c r="HC35" s="189">
        <f t="shared" si="131"/>
        <v>0</v>
      </c>
      <c r="HD35" s="189">
        <f t="shared" si="132"/>
        <v>0</v>
      </c>
      <c r="HE35" s="189">
        <f t="shared" si="133"/>
        <v>0</v>
      </c>
      <c r="HF35" s="189">
        <f t="shared" si="134"/>
        <v>0</v>
      </c>
      <c r="HG35" s="189">
        <f t="shared" si="135"/>
        <v>0</v>
      </c>
      <c r="HH35" s="201" t="str">
        <f t="shared" si="136"/>
        <v>TIDAK KONSINYASI</v>
      </c>
      <c r="HI35" s="201" t="str">
        <f t="shared" si="137"/>
        <v>SELESAI</v>
      </c>
      <c r="HJ35" s="205"/>
      <c r="HK35" s="201">
        <f t="shared" si="138"/>
        <v>0</v>
      </c>
      <c r="HL35" s="204"/>
      <c r="HM35" s="204"/>
      <c r="HN35" s="204"/>
      <c r="HO35" s="204"/>
      <c r="HP35" s="203">
        <f t="shared" si="139"/>
        <v>0</v>
      </c>
      <c r="HQ35" s="202">
        <f t="shared" si="140"/>
        <v>0</v>
      </c>
      <c r="HR35" s="202">
        <f t="shared" si="141"/>
        <v>0</v>
      </c>
      <c r="HS35" s="203">
        <f t="shared" si="142"/>
        <v>0</v>
      </c>
      <c r="HT35" s="202">
        <f t="shared" si="143"/>
        <v>0</v>
      </c>
      <c r="HU35" s="202">
        <f t="shared" si="144"/>
        <v>0</v>
      </c>
      <c r="HV35" s="203">
        <f t="shared" si="145"/>
        <v>0</v>
      </c>
      <c r="HW35" s="202">
        <f t="shared" si="146"/>
        <v>0</v>
      </c>
      <c r="HX35" s="202">
        <f t="shared" si="147"/>
        <v>0</v>
      </c>
      <c r="HY35" s="203">
        <f t="shared" si="148"/>
        <v>0</v>
      </c>
      <c r="HZ35" s="202">
        <f t="shared" si="149"/>
        <v>0</v>
      </c>
      <c r="IA35" s="202">
        <f t="shared" si="150"/>
        <v>0</v>
      </c>
      <c r="IB35" s="203">
        <f t="shared" si="151"/>
        <v>0</v>
      </c>
      <c r="IC35" s="202">
        <f t="shared" si="152"/>
        <v>0</v>
      </c>
      <c r="ID35" s="202">
        <f t="shared" si="153"/>
        <v>0</v>
      </c>
      <c r="IE35" s="203">
        <f t="shared" si="154"/>
        <v>0</v>
      </c>
      <c r="IF35" s="202">
        <f t="shared" si="155"/>
        <v>0</v>
      </c>
      <c r="IG35" s="202">
        <f t="shared" si="156"/>
        <v>0</v>
      </c>
      <c r="IH35" s="203">
        <f t="shared" si="157"/>
        <v>0</v>
      </c>
      <c r="II35" s="202">
        <f t="shared" si="158"/>
        <v>0</v>
      </c>
      <c r="IJ35" s="202">
        <f t="shared" si="159"/>
        <v>0</v>
      </c>
      <c r="IK35" s="203">
        <f t="shared" si="160"/>
        <v>0</v>
      </c>
      <c r="IL35" s="202">
        <f t="shared" si="161"/>
        <v>0</v>
      </c>
      <c r="IM35" s="202">
        <f t="shared" si="162"/>
        <v>0</v>
      </c>
      <c r="IN35" s="204"/>
      <c r="IO35" s="203">
        <f t="shared" si="163"/>
        <v>0</v>
      </c>
      <c r="IP35" s="202">
        <f t="shared" si="164"/>
        <v>0</v>
      </c>
      <c r="IQ35" s="202">
        <f t="shared" si="165"/>
        <v>0</v>
      </c>
      <c r="IR35" s="204"/>
      <c r="IS35" s="203"/>
      <c r="IT35" s="202">
        <f t="shared" si="166"/>
        <v>1</v>
      </c>
      <c r="IU35" s="202">
        <f t="shared" si="167"/>
        <v>170</v>
      </c>
      <c r="IV35" s="204"/>
      <c r="IW35" s="203"/>
      <c r="IX35" s="202">
        <f t="shared" si="168"/>
        <v>0</v>
      </c>
      <c r="IY35" s="202">
        <f t="shared" si="169"/>
        <v>0</v>
      </c>
      <c r="IZ35" s="204"/>
      <c r="JA35" s="203"/>
      <c r="JB35" s="202">
        <f t="shared" si="170"/>
        <v>0</v>
      </c>
      <c r="JC35" s="202">
        <f t="shared" si="171"/>
        <v>0</v>
      </c>
      <c r="JD35" s="204"/>
      <c r="JE35" s="203"/>
      <c r="JF35" s="202">
        <f t="shared" si="172"/>
        <v>1</v>
      </c>
      <c r="JG35" s="202">
        <f t="shared" si="173"/>
        <v>170</v>
      </c>
      <c r="JH35" s="204"/>
      <c r="JI35" s="203"/>
      <c r="JJ35" s="202">
        <f t="shared" si="174"/>
        <v>0</v>
      </c>
      <c r="JK35" s="202">
        <f t="shared" si="175"/>
        <v>0</v>
      </c>
      <c r="JM35" s="203">
        <f t="shared" si="176"/>
        <v>0</v>
      </c>
      <c r="JO35" s="196">
        <f t="shared" si="54"/>
        <v>1</v>
      </c>
      <c r="JP35" s="189">
        <f t="shared" si="55"/>
        <v>35</v>
      </c>
      <c r="JQ35" s="189">
        <f t="shared" si="56"/>
        <v>1</v>
      </c>
      <c r="JR35" s="189">
        <f t="shared" si="57"/>
        <v>0</v>
      </c>
      <c r="JS35" s="189">
        <f t="shared" si="58"/>
        <v>0</v>
      </c>
      <c r="JT35" s="189">
        <f t="shared" si="59"/>
        <v>0</v>
      </c>
      <c r="JU35" s="189">
        <f t="shared" si="60"/>
        <v>0</v>
      </c>
      <c r="JV35" s="189">
        <f t="shared" si="61"/>
        <v>0</v>
      </c>
      <c r="JW35" s="189">
        <f t="shared" si="62"/>
        <v>0</v>
      </c>
      <c r="JX35" s="189">
        <f t="shared" si="63"/>
        <v>0</v>
      </c>
      <c r="JY35" s="189">
        <f t="shared" si="64"/>
        <v>0</v>
      </c>
      <c r="JZ35" s="189">
        <f t="shared" si="65"/>
        <v>0</v>
      </c>
      <c r="KA35" s="189">
        <f t="shared" si="66"/>
        <v>0</v>
      </c>
      <c r="KB35" s="189">
        <f t="shared" si="67"/>
        <v>0</v>
      </c>
      <c r="KD35" s="206">
        <f t="shared" si="177"/>
        <v>0</v>
      </c>
      <c r="KE35" s="206">
        <f t="shared" si="69"/>
        <v>0</v>
      </c>
      <c r="KF35" s="206">
        <f t="shared" si="70"/>
        <v>35</v>
      </c>
      <c r="KG35" s="206">
        <f t="shared" si="71"/>
        <v>35</v>
      </c>
      <c r="KH35" s="206">
        <f t="shared" si="72"/>
        <v>0</v>
      </c>
      <c r="KI35" s="206">
        <f t="shared" si="73"/>
        <v>0</v>
      </c>
      <c r="KJ35" s="206">
        <f t="shared" si="74"/>
        <v>0</v>
      </c>
      <c r="KK35" s="206">
        <f t="shared" si="75"/>
        <v>0</v>
      </c>
      <c r="KL35" s="206">
        <f t="shared" si="76"/>
        <v>0</v>
      </c>
      <c r="KM35" s="206">
        <f t="shared" si="77"/>
        <v>0</v>
      </c>
      <c r="KN35" s="221">
        <f t="shared" si="78"/>
        <v>0</v>
      </c>
      <c r="KO35" s="221">
        <f t="shared" si="79"/>
        <v>0</v>
      </c>
      <c r="KP35" s="221">
        <f t="shared" si="80"/>
        <v>0</v>
      </c>
      <c r="KQ35" s="221">
        <f t="shared" si="81"/>
        <v>0</v>
      </c>
      <c r="KR35" s="221">
        <f t="shared" si="82"/>
        <v>0</v>
      </c>
      <c r="KT35" s="195">
        <f t="shared" si="83"/>
        <v>0</v>
      </c>
      <c r="KU35" s="221"/>
      <c r="KV35" s="221"/>
      <c r="KW35" s="221"/>
      <c r="KX35" s="221"/>
      <c r="KY35" s="221"/>
      <c r="KZ35" s="221"/>
      <c r="LA35" s="221"/>
      <c r="LB35" s="221"/>
      <c r="LC35" s="221"/>
      <c r="LD35" s="221"/>
      <c r="LE35" s="221"/>
      <c r="LF35" s="221"/>
      <c r="LG35" s="221"/>
      <c r="LH35" s="221"/>
      <c r="LI35" s="221"/>
      <c r="LJ35" s="221"/>
      <c r="LK35" s="221"/>
      <c r="LL35" s="221"/>
      <c r="LM35" s="221"/>
      <c r="LN35" s="221"/>
      <c r="LO35" s="221"/>
      <c r="LP35" s="221"/>
      <c r="LQ35" s="221"/>
      <c r="LR35" s="221"/>
      <c r="LS35" s="221"/>
      <c r="LT35" s="221"/>
      <c r="LU35" s="221"/>
      <c r="LV35" s="221"/>
      <c r="LW35" s="221"/>
      <c r="LX35" s="221"/>
      <c r="LY35" s="221"/>
      <c r="LZ35" s="221"/>
      <c r="MA35" s="221"/>
      <c r="MB35" s="221"/>
      <c r="MC35" s="221"/>
      <c r="MD35" s="221"/>
      <c r="ME35" s="221"/>
      <c r="MF35" s="221"/>
      <c r="MG35" s="221"/>
      <c r="MH35" s="221"/>
      <c r="MI35" s="221"/>
      <c r="MJ35" s="221"/>
      <c r="MK35" s="221"/>
      <c r="ML35" s="221"/>
      <c r="MM35" s="221"/>
      <c r="MN35" s="221"/>
      <c r="MO35" s="221"/>
      <c r="MP35" s="221"/>
      <c r="MQ35" s="221"/>
      <c r="MR35" s="221"/>
      <c r="MS35" s="221"/>
      <c r="MT35" s="221"/>
      <c r="MU35" s="221"/>
      <c r="MV35" s="221"/>
      <c r="MW35" s="221"/>
      <c r="MX35" s="221"/>
      <c r="MY35" s="221"/>
      <c r="MZ35" s="221"/>
      <c r="NA35" s="221"/>
      <c r="NB35" s="221"/>
      <c r="NC35" s="221"/>
      <c r="ND35" s="221"/>
      <c r="NE35" s="221"/>
      <c r="NF35" s="221"/>
      <c r="NG35" s="221"/>
      <c r="NH35" s="221"/>
      <c r="NI35" s="221"/>
      <c r="NJ35" s="221"/>
      <c r="NK35" s="221"/>
      <c r="NM35" s="195">
        <f t="shared" si="178"/>
        <v>0</v>
      </c>
      <c r="NN35" s="195">
        <f t="shared" si="179"/>
        <v>0</v>
      </c>
      <c r="NO35" s="195">
        <f t="shared" si="180"/>
        <v>0</v>
      </c>
      <c r="NP35" s="195">
        <f t="shared" si="181"/>
        <v>0</v>
      </c>
      <c r="NQ35" s="195">
        <f t="shared" si="182"/>
        <v>0</v>
      </c>
      <c r="NR35" s="195">
        <f t="shared" si="183"/>
        <v>0</v>
      </c>
      <c r="NS35" s="195">
        <f t="shared" si="184"/>
        <v>0</v>
      </c>
      <c r="NT35" s="195">
        <f t="shared" si="185"/>
        <v>0</v>
      </c>
      <c r="NU35" s="196">
        <f t="shared" si="186"/>
        <v>0</v>
      </c>
      <c r="NY35" s="215">
        <f t="shared" si="187"/>
        <v>1</v>
      </c>
      <c r="NZ35" s="222">
        <v>12500000</v>
      </c>
      <c r="OE35" s="207">
        <f t="shared" si="85"/>
        <v>0</v>
      </c>
      <c r="OF35" s="207">
        <f t="shared" si="86"/>
        <v>0</v>
      </c>
      <c r="OG35" s="207">
        <f t="shared" si="87"/>
        <v>0</v>
      </c>
      <c r="OH35" s="207">
        <f t="shared" si="188"/>
        <v>0</v>
      </c>
      <c r="OI35" s="207">
        <f t="shared" si="88"/>
        <v>0</v>
      </c>
      <c r="OJ35" s="199">
        <f t="shared" si="189"/>
        <v>0</v>
      </c>
      <c r="OK35" s="199">
        <f t="shared" si="190"/>
        <v>0</v>
      </c>
      <c r="OL35" s="199">
        <f t="shared" si="191"/>
        <v>0</v>
      </c>
      <c r="OM35" s="199">
        <f t="shared" si="192"/>
        <v>0</v>
      </c>
      <c r="OO35" s="207">
        <f t="shared" si="89"/>
        <v>0</v>
      </c>
      <c r="OP35" s="207">
        <f t="shared" si="90"/>
        <v>0</v>
      </c>
      <c r="OQ35" s="207">
        <f t="shared" si="193"/>
        <v>0</v>
      </c>
      <c r="OR35" s="207">
        <f t="shared" si="194"/>
        <v>0</v>
      </c>
      <c r="OS35" s="207">
        <f t="shared" si="195"/>
        <v>0</v>
      </c>
      <c r="OT35" s="199">
        <f t="shared" si="196"/>
        <v>0</v>
      </c>
      <c r="OU35" s="199">
        <f t="shared" si="197"/>
        <v>0</v>
      </c>
      <c r="OV35" s="199">
        <f t="shared" si="198"/>
        <v>0</v>
      </c>
      <c r="OW35" s="199">
        <f t="shared" si="199"/>
        <v>0</v>
      </c>
      <c r="OZ35" s="208">
        <f t="shared" si="91"/>
        <v>0</v>
      </c>
      <c r="PA35" s="209"/>
      <c r="PB35" s="209"/>
      <c r="PC35" s="209"/>
      <c r="PD35" s="210">
        <f t="shared" si="200"/>
        <v>0</v>
      </c>
      <c r="PE35" s="210"/>
      <c r="PF35" s="210">
        <f t="shared" si="201"/>
        <v>0</v>
      </c>
      <c r="PG35" s="210">
        <f t="shared" si="202"/>
        <v>0</v>
      </c>
      <c r="PH35" s="210">
        <f t="shared" si="92"/>
        <v>0</v>
      </c>
      <c r="PI35" s="210">
        <f t="shared" si="93"/>
        <v>0</v>
      </c>
      <c r="PJ35" s="210">
        <f t="shared" si="94"/>
        <v>0</v>
      </c>
      <c r="PK35" s="210">
        <f t="shared" si="95"/>
        <v>0</v>
      </c>
      <c r="PL35" s="210">
        <f t="shared" si="96"/>
        <v>0</v>
      </c>
      <c r="PM35" s="211"/>
      <c r="PN35" s="211"/>
      <c r="PO35" s="212">
        <f t="shared" si="203"/>
        <v>0</v>
      </c>
      <c r="PP35" s="212">
        <f t="shared" si="204"/>
        <v>0</v>
      </c>
      <c r="PQ35" s="212">
        <f t="shared" si="205"/>
        <v>0</v>
      </c>
      <c r="PR35" s="211"/>
      <c r="PS35" s="211"/>
      <c r="PT35" s="211"/>
      <c r="PU35" s="211"/>
    </row>
    <row r="36" spans="1:437 16383:16383" s="195" customFormat="1" ht="16" x14ac:dyDescent="0.2">
      <c r="A36" s="213">
        <f t="shared" si="206"/>
        <v>27</v>
      </c>
      <c r="B36" s="186" t="s">
        <v>52</v>
      </c>
      <c r="C36" s="186">
        <v>30</v>
      </c>
      <c r="D36" s="188">
        <v>1</v>
      </c>
      <c r="E36" s="188">
        <v>115</v>
      </c>
      <c r="F36" s="188">
        <v>1</v>
      </c>
      <c r="G36" s="188">
        <f t="shared" si="97"/>
        <v>115</v>
      </c>
      <c r="H36" s="214">
        <f t="shared" si="98"/>
        <v>1</v>
      </c>
      <c r="I36" s="214">
        <f t="shared" si="99"/>
        <v>1</v>
      </c>
      <c r="J36" s="188">
        <v>1</v>
      </c>
      <c r="K36" s="188">
        <f t="shared" si="100"/>
        <v>115</v>
      </c>
      <c r="L36" s="214">
        <f t="shared" si="101"/>
        <v>1</v>
      </c>
      <c r="M36" s="214">
        <f t="shared" si="102"/>
        <v>1</v>
      </c>
      <c r="N36" s="188">
        <v>1</v>
      </c>
      <c r="O36" s="188">
        <f t="shared" si="103"/>
        <v>115</v>
      </c>
      <c r="P36" s="214">
        <f t="shared" si="104"/>
        <v>1</v>
      </c>
      <c r="Q36" s="214">
        <f t="shared" si="105"/>
        <v>1</v>
      </c>
      <c r="R36" s="188">
        <v>1</v>
      </c>
      <c r="S36" s="188">
        <f t="shared" si="106"/>
        <v>115</v>
      </c>
      <c r="T36" s="214">
        <f t="shared" si="107"/>
        <v>1</v>
      </c>
      <c r="U36" s="214">
        <f t="shared" si="108"/>
        <v>1</v>
      </c>
      <c r="V36" s="215">
        <v>1</v>
      </c>
      <c r="W36" s="188">
        <f t="shared" si="109"/>
        <v>115</v>
      </c>
      <c r="X36" s="214">
        <f t="shared" si="110"/>
        <v>1</v>
      </c>
      <c r="Y36" s="214">
        <f t="shared" si="111"/>
        <v>1</v>
      </c>
      <c r="Z36" s="216">
        <f>1563267000/1000000000</f>
        <v>1.563267</v>
      </c>
      <c r="AA36" s="188">
        <v>0</v>
      </c>
      <c r="AB36" s="188">
        <f t="shared" si="112"/>
        <v>0</v>
      </c>
      <c r="AC36" s="214">
        <f t="shared" si="113"/>
        <v>0</v>
      </c>
      <c r="AD36" s="214">
        <f t="shared" si="114"/>
        <v>0</v>
      </c>
      <c r="AE36" s="188"/>
      <c r="AF36" s="188">
        <f t="shared" si="115"/>
        <v>0</v>
      </c>
      <c r="AG36" s="223"/>
      <c r="AH36" s="188"/>
      <c r="AI36" s="188">
        <v>1</v>
      </c>
      <c r="AJ36" s="188">
        <f t="shared" si="2"/>
        <v>115</v>
      </c>
      <c r="AK36" s="188" t="s">
        <v>304</v>
      </c>
      <c r="AL36" s="188">
        <v>0</v>
      </c>
      <c r="AM36" s="188">
        <v>0</v>
      </c>
      <c r="AN36" s="217"/>
      <c r="AO36" s="188">
        <f t="shared" si="207"/>
        <v>1</v>
      </c>
      <c r="AP36" s="188">
        <f t="shared" si="208"/>
        <v>115</v>
      </c>
      <c r="AQ36" s="188">
        <f t="shared" si="5"/>
        <v>1</v>
      </c>
      <c r="AR36" s="188">
        <f t="shared" si="6"/>
        <v>115</v>
      </c>
      <c r="AS36" s="188">
        <f t="shared" si="7"/>
        <v>1</v>
      </c>
      <c r="AT36" s="188">
        <f t="shared" si="8"/>
        <v>115</v>
      </c>
      <c r="AU36" s="188">
        <f t="shared" si="209"/>
        <v>1</v>
      </c>
      <c r="AV36" s="188">
        <f t="shared" si="210"/>
        <v>115</v>
      </c>
      <c r="AW36" s="188">
        <f t="shared" si="211"/>
        <v>1</v>
      </c>
      <c r="AX36" s="188">
        <f t="shared" si="212"/>
        <v>115</v>
      </c>
      <c r="AY36" s="188">
        <f t="shared" si="116"/>
        <v>0</v>
      </c>
      <c r="AZ36" s="188">
        <f t="shared" si="117"/>
        <v>0</v>
      </c>
      <c r="BA36" s="188">
        <f t="shared" si="14"/>
        <v>1.563267</v>
      </c>
      <c r="BB36" s="188">
        <f t="shared" si="15"/>
        <v>0</v>
      </c>
      <c r="BD36" s="196">
        <f t="shared" si="118"/>
        <v>0</v>
      </c>
      <c r="BE36" s="188">
        <f t="shared" si="16"/>
        <v>0</v>
      </c>
      <c r="BF36" s="188">
        <f t="shared" si="17"/>
        <v>0</v>
      </c>
      <c r="BG36" s="188">
        <f t="shared" si="18"/>
        <v>0</v>
      </c>
      <c r="BH36" s="188">
        <f t="shared" si="19"/>
        <v>0</v>
      </c>
      <c r="BI36" s="188">
        <f t="shared" si="20"/>
        <v>0</v>
      </c>
      <c r="BJ36" s="188">
        <f t="shared" si="21"/>
        <v>0</v>
      </c>
      <c r="BK36" s="188">
        <f t="shared" si="22"/>
        <v>0</v>
      </c>
      <c r="BN36" s="143"/>
      <c r="BO36" s="277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B36" s="188"/>
      <c r="CD36" s="188">
        <f t="shared" si="23"/>
        <v>0</v>
      </c>
      <c r="CE36" s="188">
        <f t="shared" si="24"/>
        <v>0</v>
      </c>
      <c r="CF36" s="188">
        <f t="shared" si="25"/>
        <v>0</v>
      </c>
      <c r="CG36" s="188">
        <f t="shared" si="26"/>
        <v>0</v>
      </c>
      <c r="CH36" s="188">
        <f t="shared" si="27"/>
        <v>0</v>
      </c>
      <c r="CI36" s="188">
        <f t="shared" si="28"/>
        <v>0</v>
      </c>
      <c r="CJ36" s="188">
        <f t="shared" si="29"/>
        <v>0</v>
      </c>
      <c r="CK36" s="188">
        <f t="shared" si="30"/>
        <v>0</v>
      </c>
      <c r="CL36" s="188">
        <f t="shared" si="31"/>
        <v>0</v>
      </c>
      <c r="CM36" s="188">
        <f t="shared" si="32"/>
        <v>0</v>
      </c>
      <c r="CN36" s="188">
        <f t="shared" si="33"/>
        <v>0</v>
      </c>
      <c r="CO36" s="188">
        <f t="shared" si="34"/>
        <v>0</v>
      </c>
      <c r="CP36" s="188">
        <f t="shared" si="35"/>
        <v>0</v>
      </c>
      <c r="DV36" s="188">
        <f t="shared" si="36"/>
        <v>0</v>
      </c>
      <c r="DW36" s="188">
        <f t="shared" si="37"/>
        <v>0</v>
      </c>
      <c r="DX36" s="188">
        <f t="shared" si="38"/>
        <v>0</v>
      </c>
      <c r="DY36" s="188">
        <f t="shared" si="39"/>
        <v>0</v>
      </c>
      <c r="DZ36" s="188">
        <f t="shared" si="40"/>
        <v>0</v>
      </c>
      <c r="EA36" s="188">
        <f t="shared" si="41"/>
        <v>0</v>
      </c>
      <c r="EB36" s="188">
        <f t="shared" si="42"/>
        <v>0</v>
      </c>
      <c r="EG36" s="220">
        <f t="shared" si="43"/>
        <v>0</v>
      </c>
      <c r="EH36" s="220">
        <f t="shared" si="44"/>
        <v>0</v>
      </c>
      <c r="EI36" s="188"/>
      <c r="EJ36" s="188"/>
      <c r="EK36" s="188"/>
      <c r="EL36" s="188"/>
      <c r="EM36" s="188"/>
      <c r="EN36" s="188"/>
      <c r="EO36" s="188"/>
      <c r="EP36" s="188"/>
      <c r="EQ36" s="188"/>
      <c r="ER36" s="188"/>
      <c r="ES36" s="188"/>
      <c r="ET36" s="188"/>
      <c r="EU36" s="188"/>
      <c r="EV36" s="188"/>
      <c r="EW36" s="188"/>
      <c r="EX36" s="188"/>
      <c r="EY36" s="188"/>
      <c r="EZ36" s="188"/>
      <c r="FA36" s="188"/>
      <c r="FB36" s="188"/>
      <c r="FC36" s="188"/>
      <c r="FD36" s="188"/>
      <c r="FE36" s="188"/>
      <c r="FF36" s="188"/>
      <c r="FH36" s="189"/>
      <c r="FI36" s="189"/>
      <c r="FJ36" s="189"/>
      <c r="FK36" s="189"/>
      <c r="FL36" s="189"/>
      <c r="FM36" s="189"/>
      <c r="FN36" s="189"/>
      <c r="FO36" s="189"/>
      <c r="FP36" s="189"/>
      <c r="FQ36" s="189"/>
      <c r="FR36" s="189"/>
      <c r="FS36" s="189"/>
      <c r="FT36" s="189"/>
      <c r="FU36" s="189"/>
      <c r="FV36" s="189"/>
      <c r="FX36" s="217"/>
      <c r="FY36" s="188">
        <f t="shared" si="45"/>
        <v>0</v>
      </c>
      <c r="FZ36" s="188">
        <f t="shared" si="46"/>
        <v>0</v>
      </c>
      <c r="GA36" s="188">
        <f t="shared" si="47"/>
        <v>0</v>
      </c>
      <c r="GB36" s="188">
        <f t="shared" si="48"/>
        <v>0</v>
      </c>
      <c r="GC36" s="188">
        <f t="shared" si="49"/>
        <v>0</v>
      </c>
      <c r="GD36" s="188">
        <f t="shared" si="50"/>
        <v>0</v>
      </c>
      <c r="GE36" s="188">
        <f t="shared" si="51"/>
        <v>0</v>
      </c>
      <c r="GF36" s="199"/>
      <c r="GG36" s="189">
        <v>0</v>
      </c>
      <c r="GH36" s="189">
        <v>0</v>
      </c>
      <c r="GI36" s="199"/>
      <c r="GJ36" s="200">
        <f t="shared" si="52"/>
        <v>0</v>
      </c>
      <c r="GK36" s="200">
        <f t="shared" si="53"/>
        <v>0</v>
      </c>
      <c r="GO36" s="189">
        <f t="shared" si="119"/>
        <v>0</v>
      </c>
      <c r="GP36" s="189">
        <f t="shared" si="120"/>
        <v>0</v>
      </c>
      <c r="GQ36" s="189">
        <f t="shared" si="121"/>
        <v>0</v>
      </c>
      <c r="GR36" s="189">
        <f t="shared" si="122"/>
        <v>0</v>
      </c>
      <c r="GS36" s="189">
        <f t="shared" si="123"/>
        <v>0</v>
      </c>
      <c r="GT36" s="189">
        <f t="shared" si="124"/>
        <v>1</v>
      </c>
      <c r="GU36" s="201">
        <f t="shared" si="125"/>
        <v>43243</v>
      </c>
      <c r="GV36" s="189" t="str">
        <f t="shared" si="126"/>
        <v>SELESAI</v>
      </c>
      <c r="GW36" s="189">
        <f t="shared" si="127"/>
        <v>0</v>
      </c>
      <c r="GX36" s="202" t="str">
        <f t="shared" si="128"/>
        <v>SELESAI</v>
      </c>
      <c r="GY36" s="202">
        <f t="shared" si="129"/>
        <v>0</v>
      </c>
      <c r="GZ36" s="203" t="str">
        <f t="shared" si="130"/>
        <v>SELESAI</v>
      </c>
      <c r="HA36" s="204"/>
      <c r="HB36" s="204"/>
      <c r="HC36" s="189">
        <f t="shared" si="131"/>
        <v>0</v>
      </c>
      <c r="HD36" s="189">
        <f t="shared" si="132"/>
        <v>0</v>
      </c>
      <c r="HE36" s="189">
        <f t="shared" si="133"/>
        <v>0</v>
      </c>
      <c r="HF36" s="189">
        <f t="shared" si="134"/>
        <v>0</v>
      </c>
      <c r="HG36" s="189">
        <f t="shared" si="135"/>
        <v>0</v>
      </c>
      <c r="HH36" s="201" t="str">
        <f t="shared" si="136"/>
        <v>TIDAK KONSINYASI</v>
      </c>
      <c r="HI36" s="201" t="str">
        <f t="shared" si="137"/>
        <v>SELESAI</v>
      </c>
      <c r="HJ36" s="205"/>
      <c r="HK36" s="201">
        <f t="shared" si="138"/>
        <v>0</v>
      </c>
      <c r="HL36" s="204"/>
      <c r="HM36" s="204"/>
      <c r="HN36" s="204"/>
      <c r="HO36" s="204"/>
      <c r="HP36" s="203">
        <f t="shared" si="139"/>
        <v>0</v>
      </c>
      <c r="HQ36" s="202">
        <f t="shared" si="140"/>
        <v>0</v>
      </c>
      <c r="HR36" s="202">
        <f t="shared" si="141"/>
        <v>0</v>
      </c>
      <c r="HS36" s="203">
        <f t="shared" si="142"/>
        <v>0</v>
      </c>
      <c r="HT36" s="202">
        <f t="shared" si="143"/>
        <v>0</v>
      </c>
      <c r="HU36" s="202">
        <f t="shared" si="144"/>
        <v>0</v>
      </c>
      <c r="HV36" s="203">
        <f t="shared" si="145"/>
        <v>0</v>
      </c>
      <c r="HW36" s="202">
        <f t="shared" si="146"/>
        <v>0</v>
      </c>
      <c r="HX36" s="202">
        <f t="shared" si="147"/>
        <v>0</v>
      </c>
      <c r="HY36" s="203">
        <f t="shared" si="148"/>
        <v>0</v>
      </c>
      <c r="HZ36" s="202">
        <f t="shared" si="149"/>
        <v>0</v>
      </c>
      <c r="IA36" s="202">
        <f t="shared" si="150"/>
        <v>0</v>
      </c>
      <c r="IB36" s="203">
        <f t="shared" si="151"/>
        <v>0</v>
      </c>
      <c r="IC36" s="202">
        <f t="shared" si="152"/>
        <v>0</v>
      </c>
      <c r="ID36" s="202">
        <f t="shared" si="153"/>
        <v>0</v>
      </c>
      <c r="IE36" s="203">
        <f t="shared" si="154"/>
        <v>0</v>
      </c>
      <c r="IF36" s="202">
        <f t="shared" si="155"/>
        <v>0</v>
      </c>
      <c r="IG36" s="202">
        <f t="shared" si="156"/>
        <v>0</v>
      </c>
      <c r="IH36" s="203">
        <f t="shared" si="157"/>
        <v>0</v>
      </c>
      <c r="II36" s="202">
        <f t="shared" si="158"/>
        <v>0</v>
      </c>
      <c r="IJ36" s="202">
        <f t="shared" si="159"/>
        <v>0</v>
      </c>
      <c r="IK36" s="203">
        <f t="shared" si="160"/>
        <v>0</v>
      </c>
      <c r="IL36" s="202">
        <f t="shared" si="161"/>
        <v>0</v>
      </c>
      <c r="IM36" s="202">
        <f t="shared" si="162"/>
        <v>0</v>
      </c>
      <c r="IN36" s="204"/>
      <c r="IO36" s="203">
        <f t="shared" si="163"/>
        <v>0</v>
      </c>
      <c r="IP36" s="202">
        <f t="shared" si="164"/>
        <v>0</v>
      </c>
      <c r="IQ36" s="202">
        <f t="shared" si="165"/>
        <v>0</v>
      </c>
      <c r="IR36" s="204"/>
      <c r="IS36" s="203"/>
      <c r="IT36" s="202">
        <f t="shared" si="166"/>
        <v>1</v>
      </c>
      <c r="IU36" s="202">
        <f t="shared" si="167"/>
        <v>115</v>
      </c>
      <c r="IV36" s="204"/>
      <c r="IW36" s="203"/>
      <c r="IX36" s="202">
        <f t="shared" si="168"/>
        <v>0</v>
      </c>
      <c r="IY36" s="202">
        <f t="shared" si="169"/>
        <v>0</v>
      </c>
      <c r="IZ36" s="204"/>
      <c r="JA36" s="203"/>
      <c r="JB36" s="202">
        <f t="shared" si="170"/>
        <v>0</v>
      </c>
      <c r="JC36" s="202">
        <f t="shared" si="171"/>
        <v>0</v>
      </c>
      <c r="JD36" s="204"/>
      <c r="JE36" s="203"/>
      <c r="JF36" s="202">
        <f t="shared" si="172"/>
        <v>1</v>
      </c>
      <c r="JG36" s="202">
        <f t="shared" si="173"/>
        <v>115</v>
      </c>
      <c r="JH36" s="204"/>
      <c r="JI36" s="203"/>
      <c r="JJ36" s="202">
        <f t="shared" si="174"/>
        <v>0</v>
      </c>
      <c r="JK36" s="202">
        <f t="shared" si="175"/>
        <v>0</v>
      </c>
      <c r="JM36" s="203">
        <f t="shared" si="176"/>
        <v>0</v>
      </c>
      <c r="JO36" s="196">
        <f t="shared" si="54"/>
        <v>0</v>
      </c>
      <c r="JP36" s="189">
        <f t="shared" si="55"/>
        <v>0</v>
      </c>
      <c r="JQ36" s="189">
        <f t="shared" si="56"/>
        <v>0</v>
      </c>
      <c r="JR36" s="189">
        <f t="shared" si="57"/>
        <v>0</v>
      </c>
      <c r="JS36" s="189">
        <f t="shared" si="58"/>
        <v>0</v>
      </c>
      <c r="JT36" s="189">
        <f t="shared" si="59"/>
        <v>0</v>
      </c>
      <c r="JU36" s="189">
        <f t="shared" si="60"/>
        <v>0</v>
      </c>
      <c r="JV36" s="189">
        <f t="shared" si="61"/>
        <v>0</v>
      </c>
      <c r="JW36" s="189">
        <f t="shared" si="62"/>
        <v>0</v>
      </c>
      <c r="JX36" s="189">
        <f t="shared" si="63"/>
        <v>0</v>
      </c>
      <c r="JY36" s="189">
        <f t="shared" si="64"/>
        <v>0</v>
      </c>
      <c r="JZ36" s="189">
        <f t="shared" si="65"/>
        <v>0</v>
      </c>
      <c r="KA36" s="189">
        <f t="shared" si="66"/>
        <v>0</v>
      </c>
      <c r="KB36" s="189">
        <f t="shared" si="67"/>
        <v>0</v>
      </c>
      <c r="KD36" s="206">
        <f t="shared" si="177"/>
        <v>0</v>
      </c>
      <c r="KE36" s="206">
        <f t="shared" si="69"/>
        <v>0</v>
      </c>
      <c r="KF36" s="206">
        <f t="shared" si="70"/>
        <v>0</v>
      </c>
      <c r="KG36" s="206">
        <f t="shared" si="71"/>
        <v>0</v>
      </c>
      <c r="KH36" s="206">
        <f t="shared" si="72"/>
        <v>0</v>
      </c>
      <c r="KI36" s="206">
        <f t="shared" si="73"/>
        <v>0</v>
      </c>
      <c r="KJ36" s="206">
        <f t="shared" si="74"/>
        <v>0</v>
      </c>
      <c r="KK36" s="206">
        <f t="shared" si="75"/>
        <v>0</v>
      </c>
      <c r="KL36" s="206">
        <f t="shared" si="76"/>
        <v>0</v>
      </c>
      <c r="KM36" s="206">
        <f t="shared" si="77"/>
        <v>0</v>
      </c>
      <c r="KN36" s="221">
        <f t="shared" si="78"/>
        <v>0</v>
      </c>
      <c r="KO36" s="221">
        <f t="shared" si="79"/>
        <v>0</v>
      </c>
      <c r="KP36" s="221">
        <f t="shared" si="80"/>
        <v>0</v>
      </c>
      <c r="KQ36" s="221">
        <f t="shared" si="81"/>
        <v>0</v>
      </c>
      <c r="KR36" s="221">
        <f t="shared" si="82"/>
        <v>0</v>
      </c>
      <c r="KT36" s="195">
        <f t="shared" si="83"/>
        <v>0</v>
      </c>
      <c r="KU36" s="221"/>
      <c r="KV36" s="221"/>
      <c r="KW36" s="221"/>
      <c r="KX36" s="221"/>
      <c r="KY36" s="221"/>
      <c r="KZ36" s="221"/>
      <c r="LA36" s="221"/>
      <c r="LB36" s="221"/>
      <c r="LC36" s="221"/>
      <c r="LD36" s="221"/>
      <c r="LE36" s="221"/>
      <c r="LF36" s="221"/>
      <c r="LG36" s="221"/>
      <c r="LH36" s="221"/>
      <c r="LI36" s="221"/>
      <c r="LJ36" s="221"/>
      <c r="LK36" s="221"/>
      <c r="LL36" s="221"/>
      <c r="LM36" s="221"/>
      <c r="LN36" s="221"/>
      <c r="LO36" s="221"/>
      <c r="LP36" s="221"/>
      <c r="LQ36" s="221"/>
      <c r="LR36" s="221"/>
      <c r="LS36" s="221"/>
      <c r="LT36" s="221"/>
      <c r="LU36" s="221"/>
      <c r="LV36" s="221"/>
      <c r="LW36" s="221"/>
      <c r="LX36" s="221"/>
      <c r="LY36" s="221"/>
      <c r="LZ36" s="221"/>
      <c r="MA36" s="221"/>
      <c r="MB36" s="221"/>
      <c r="MC36" s="221"/>
      <c r="MD36" s="221"/>
      <c r="ME36" s="221"/>
      <c r="MF36" s="221"/>
      <c r="MG36" s="221"/>
      <c r="MH36" s="221"/>
      <c r="MI36" s="221"/>
      <c r="MJ36" s="221"/>
      <c r="MK36" s="221"/>
      <c r="ML36" s="221"/>
      <c r="MM36" s="221"/>
      <c r="MN36" s="221"/>
      <c r="MO36" s="221"/>
      <c r="MP36" s="221"/>
      <c r="MQ36" s="221"/>
      <c r="MR36" s="221"/>
      <c r="MS36" s="221"/>
      <c r="MT36" s="221"/>
      <c r="MU36" s="221"/>
      <c r="MV36" s="221"/>
      <c r="MW36" s="221"/>
      <c r="MX36" s="221"/>
      <c r="MY36" s="221"/>
      <c r="MZ36" s="221"/>
      <c r="NA36" s="221"/>
      <c r="NB36" s="221"/>
      <c r="NC36" s="221"/>
      <c r="ND36" s="221"/>
      <c r="NE36" s="221"/>
      <c r="NF36" s="221"/>
      <c r="NG36" s="221"/>
      <c r="NH36" s="221"/>
      <c r="NI36" s="221"/>
      <c r="NJ36" s="221"/>
      <c r="NK36" s="221"/>
      <c r="NM36" s="195">
        <f t="shared" si="178"/>
        <v>0</v>
      </c>
      <c r="NN36" s="195">
        <f t="shared" si="179"/>
        <v>0</v>
      </c>
      <c r="NO36" s="195">
        <f t="shared" si="180"/>
        <v>0</v>
      </c>
      <c r="NP36" s="195">
        <f t="shared" si="181"/>
        <v>0</v>
      </c>
      <c r="NQ36" s="195">
        <f t="shared" si="182"/>
        <v>0</v>
      </c>
      <c r="NR36" s="195">
        <f t="shared" si="183"/>
        <v>0</v>
      </c>
      <c r="NS36" s="195">
        <f t="shared" si="184"/>
        <v>0</v>
      </c>
      <c r="NT36" s="195">
        <f t="shared" si="185"/>
        <v>0</v>
      </c>
      <c r="NU36" s="196">
        <f t="shared" si="186"/>
        <v>0</v>
      </c>
      <c r="NY36" s="215">
        <f t="shared" si="187"/>
        <v>1</v>
      </c>
      <c r="NZ36" s="222">
        <v>12500000</v>
      </c>
      <c r="OE36" s="207">
        <f t="shared" si="85"/>
        <v>0</v>
      </c>
      <c r="OF36" s="207">
        <f t="shared" si="86"/>
        <v>0</v>
      </c>
      <c r="OG36" s="207">
        <f t="shared" si="87"/>
        <v>0</v>
      </c>
      <c r="OH36" s="207">
        <f t="shared" si="188"/>
        <v>0</v>
      </c>
      <c r="OI36" s="207">
        <f t="shared" si="88"/>
        <v>0</v>
      </c>
      <c r="OJ36" s="199">
        <f t="shared" si="189"/>
        <v>0</v>
      </c>
      <c r="OK36" s="199">
        <f t="shared" si="190"/>
        <v>0</v>
      </c>
      <c r="OL36" s="199">
        <f t="shared" si="191"/>
        <v>0</v>
      </c>
      <c r="OM36" s="199">
        <f t="shared" si="192"/>
        <v>0</v>
      </c>
      <c r="OO36" s="207">
        <f t="shared" si="89"/>
        <v>0</v>
      </c>
      <c r="OP36" s="207">
        <f t="shared" si="90"/>
        <v>0</v>
      </c>
      <c r="OQ36" s="207">
        <f t="shared" si="193"/>
        <v>0</v>
      </c>
      <c r="OR36" s="207">
        <f t="shared" si="194"/>
        <v>0</v>
      </c>
      <c r="OS36" s="207">
        <f t="shared" si="195"/>
        <v>0</v>
      </c>
      <c r="OT36" s="199">
        <f t="shared" si="196"/>
        <v>0</v>
      </c>
      <c r="OU36" s="199">
        <f t="shared" si="197"/>
        <v>0</v>
      </c>
      <c r="OV36" s="199">
        <f t="shared" si="198"/>
        <v>0</v>
      </c>
      <c r="OW36" s="199">
        <f t="shared" si="199"/>
        <v>0</v>
      </c>
      <c r="OZ36" s="208">
        <f t="shared" si="91"/>
        <v>0</v>
      </c>
      <c r="PA36" s="209"/>
      <c r="PB36" s="209"/>
      <c r="PC36" s="209"/>
      <c r="PD36" s="210">
        <f t="shared" si="200"/>
        <v>0</v>
      </c>
      <c r="PE36" s="210"/>
      <c r="PF36" s="210">
        <f t="shared" si="201"/>
        <v>0</v>
      </c>
      <c r="PG36" s="210">
        <f t="shared" si="202"/>
        <v>0</v>
      </c>
      <c r="PH36" s="210">
        <f t="shared" si="92"/>
        <v>0</v>
      </c>
      <c r="PI36" s="210">
        <f t="shared" si="93"/>
        <v>0</v>
      </c>
      <c r="PJ36" s="210">
        <f t="shared" si="94"/>
        <v>0</v>
      </c>
      <c r="PK36" s="210">
        <f t="shared" si="95"/>
        <v>0</v>
      </c>
      <c r="PL36" s="210">
        <f t="shared" si="96"/>
        <v>0</v>
      </c>
      <c r="PM36" s="211"/>
      <c r="PN36" s="211"/>
      <c r="PO36" s="212">
        <f t="shared" si="203"/>
        <v>0</v>
      </c>
      <c r="PP36" s="212">
        <f t="shared" si="204"/>
        <v>0</v>
      </c>
      <c r="PQ36" s="212">
        <f t="shared" si="205"/>
        <v>0</v>
      </c>
      <c r="PR36" s="211"/>
      <c r="PS36" s="211"/>
      <c r="PT36" s="211"/>
      <c r="PU36" s="211"/>
    </row>
    <row r="37" spans="1:437 16383:16383" s="195" customFormat="1" ht="16" x14ac:dyDescent="0.2">
      <c r="A37" s="213">
        <f t="shared" si="206"/>
        <v>28</v>
      </c>
      <c r="B37" s="186" t="s">
        <v>613</v>
      </c>
      <c r="C37" s="186">
        <v>31</v>
      </c>
      <c r="D37" s="188">
        <v>1</v>
      </c>
      <c r="E37" s="188">
        <v>150</v>
      </c>
      <c r="F37" s="188">
        <v>1</v>
      </c>
      <c r="G37" s="188">
        <f t="shared" si="97"/>
        <v>150</v>
      </c>
      <c r="H37" s="214">
        <f t="shared" si="98"/>
        <v>1</v>
      </c>
      <c r="I37" s="214">
        <f t="shared" si="99"/>
        <v>1</v>
      </c>
      <c r="J37" s="188">
        <v>1</v>
      </c>
      <c r="K37" s="188">
        <f t="shared" si="100"/>
        <v>150</v>
      </c>
      <c r="L37" s="214">
        <f t="shared" si="101"/>
        <v>1</v>
      </c>
      <c r="M37" s="214">
        <f t="shared" si="102"/>
        <v>1</v>
      </c>
      <c r="N37" s="188">
        <v>1</v>
      </c>
      <c r="O37" s="188">
        <f t="shared" si="103"/>
        <v>150</v>
      </c>
      <c r="P37" s="214">
        <f t="shared" si="104"/>
        <v>1</v>
      </c>
      <c r="Q37" s="214">
        <f t="shared" si="105"/>
        <v>1</v>
      </c>
      <c r="R37" s="188">
        <v>1</v>
      </c>
      <c r="S37" s="188">
        <f t="shared" si="106"/>
        <v>150</v>
      </c>
      <c r="T37" s="214">
        <f t="shared" si="107"/>
        <v>1</v>
      </c>
      <c r="U37" s="214">
        <f t="shared" si="108"/>
        <v>1</v>
      </c>
      <c r="V37" s="215">
        <v>1</v>
      </c>
      <c r="W37" s="188">
        <f t="shared" si="109"/>
        <v>150</v>
      </c>
      <c r="X37" s="214">
        <f t="shared" si="110"/>
        <v>1</v>
      </c>
      <c r="Y37" s="214">
        <f t="shared" si="111"/>
        <v>1</v>
      </c>
      <c r="Z37" s="216">
        <f>3514863000/1000000000</f>
        <v>3.5148630000000001</v>
      </c>
      <c r="AA37" s="188">
        <v>0</v>
      </c>
      <c r="AB37" s="188">
        <f t="shared" si="112"/>
        <v>0</v>
      </c>
      <c r="AC37" s="214">
        <f t="shared" si="113"/>
        <v>0</v>
      </c>
      <c r="AD37" s="214">
        <f t="shared" si="114"/>
        <v>0</v>
      </c>
      <c r="AE37" s="188"/>
      <c r="AF37" s="188">
        <f t="shared" si="115"/>
        <v>0</v>
      </c>
      <c r="AG37" s="223"/>
      <c r="AH37" s="188"/>
      <c r="AI37" s="188">
        <v>1</v>
      </c>
      <c r="AJ37" s="188">
        <f t="shared" si="2"/>
        <v>150</v>
      </c>
      <c r="AK37" s="188" t="s">
        <v>304</v>
      </c>
      <c r="AL37" s="188">
        <v>0</v>
      </c>
      <c r="AM37" s="188">
        <v>0</v>
      </c>
      <c r="AN37" s="217"/>
      <c r="AO37" s="188">
        <f t="shared" si="207"/>
        <v>1</v>
      </c>
      <c r="AP37" s="188">
        <f t="shared" si="208"/>
        <v>150</v>
      </c>
      <c r="AQ37" s="188">
        <f t="shared" si="5"/>
        <v>1</v>
      </c>
      <c r="AR37" s="188">
        <f t="shared" si="6"/>
        <v>150</v>
      </c>
      <c r="AS37" s="188">
        <f t="shared" si="7"/>
        <v>1</v>
      </c>
      <c r="AT37" s="188">
        <f t="shared" si="8"/>
        <v>150</v>
      </c>
      <c r="AU37" s="188">
        <f t="shared" si="209"/>
        <v>1</v>
      </c>
      <c r="AV37" s="188">
        <f t="shared" si="210"/>
        <v>150</v>
      </c>
      <c r="AW37" s="188">
        <f t="shared" si="211"/>
        <v>1</v>
      </c>
      <c r="AX37" s="188">
        <f t="shared" si="212"/>
        <v>150</v>
      </c>
      <c r="AY37" s="188">
        <f t="shared" si="116"/>
        <v>0</v>
      </c>
      <c r="AZ37" s="188">
        <f t="shared" si="117"/>
        <v>0</v>
      </c>
      <c r="BA37" s="188">
        <f t="shared" si="14"/>
        <v>3.5148630000000001</v>
      </c>
      <c r="BB37" s="188">
        <f t="shared" si="15"/>
        <v>0</v>
      </c>
      <c r="BD37" s="196">
        <f t="shared" si="118"/>
        <v>0</v>
      </c>
      <c r="BE37" s="188">
        <f t="shared" si="16"/>
        <v>0</v>
      </c>
      <c r="BF37" s="188">
        <f t="shared" si="17"/>
        <v>0</v>
      </c>
      <c r="BG37" s="188">
        <f t="shared" si="18"/>
        <v>0</v>
      </c>
      <c r="BH37" s="188">
        <f t="shared" si="19"/>
        <v>0</v>
      </c>
      <c r="BI37" s="188">
        <f t="shared" si="20"/>
        <v>0</v>
      </c>
      <c r="BJ37" s="188">
        <f t="shared" si="21"/>
        <v>0</v>
      </c>
      <c r="BK37" s="188">
        <f t="shared" si="22"/>
        <v>0</v>
      </c>
      <c r="BN37" s="143">
        <v>94</v>
      </c>
      <c r="BO37" s="279">
        <v>1</v>
      </c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B37" s="188"/>
      <c r="CD37" s="188">
        <f t="shared" si="23"/>
        <v>94</v>
      </c>
      <c r="CE37" s="188">
        <f t="shared" si="24"/>
        <v>94</v>
      </c>
      <c r="CF37" s="188">
        <f t="shared" si="25"/>
        <v>0</v>
      </c>
      <c r="CG37" s="188">
        <f t="shared" si="26"/>
        <v>0</v>
      </c>
      <c r="CH37" s="188">
        <f t="shared" si="27"/>
        <v>0</v>
      </c>
      <c r="CI37" s="188">
        <f t="shared" si="28"/>
        <v>0</v>
      </c>
      <c r="CJ37" s="188">
        <f t="shared" si="29"/>
        <v>0</v>
      </c>
      <c r="CK37" s="188">
        <f t="shared" si="30"/>
        <v>0</v>
      </c>
      <c r="CL37" s="188">
        <f t="shared" si="31"/>
        <v>0</v>
      </c>
      <c r="CM37" s="188">
        <f t="shared" si="32"/>
        <v>0</v>
      </c>
      <c r="CN37" s="188">
        <f t="shared" si="33"/>
        <v>0</v>
      </c>
      <c r="CO37" s="188">
        <f t="shared" si="34"/>
        <v>0</v>
      </c>
      <c r="CP37" s="188">
        <f t="shared" si="35"/>
        <v>0</v>
      </c>
      <c r="DV37" s="188">
        <f t="shared" si="36"/>
        <v>0</v>
      </c>
      <c r="DW37" s="188">
        <f t="shared" si="37"/>
        <v>0</v>
      </c>
      <c r="DX37" s="188">
        <f t="shared" si="38"/>
        <v>0</v>
      </c>
      <c r="DY37" s="188">
        <f t="shared" si="39"/>
        <v>0</v>
      </c>
      <c r="DZ37" s="188">
        <f t="shared" si="40"/>
        <v>0</v>
      </c>
      <c r="EA37" s="188">
        <f t="shared" si="41"/>
        <v>0</v>
      </c>
      <c r="EB37" s="188">
        <f t="shared" si="42"/>
        <v>0</v>
      </c>
      <c r="EG37" s="220">
        <f t="shared" si="43"/>
        <v>0</v>
      </c>
      <c r="EH37" s="220">
        <f t="shared" si="44"/>
        <v>0</v>
      </c>
      <c r="EI37" s="188"/>
      <c r="EJ37" s="188"/>
      <c r="EK37" s="188"/>
      <c r="EL37" s="188"/>
      <c r="EM37" s="188"/>
      <c r="EN37" s="188"/>
      <c r="EO37" s="188"/>
      <c r="EP37" s="188"/>
      <c r="EQ37" s="188"/>
      <c r="ER37" s="188"/>
      <c r="ES37" s="188"/>
      <c r="ET37" s="188"/>
      <c r="EU37" s="188"/>
      <c r="EV37" s="188"/>
      <c r="EW37" s="188"/>
      <c r="EX37" s="188"/>
      <c r="EY37" s="188"/>
      <c r="EZ37" s="188"/>
      <c r="FA37" s="188"/>
      <c r="FB37" s="188"/>
      <c r="FC37" s="188"/>
      <c r="FD37" s="188"/>
      <c r="FE37" s="188"/>
      <c r="FF37" s="188"/>
      <c r="FH37" s="189"/>
      <c r="FI37" s="189"/>
      <c r="FJ37" s="189"/>
      <c r="FK37" s="189"/>
      <c r="FL37" s="189"/>
      <c r="FM37" s="189"/>
      <c r="FN37" s="189"/>
      <c r="FO37" s="189"/>
      <c r="FP37" s="189"/>
      <c r="FQ37" s="189"/>
      <c r="FR37" s="189"/>
      <c r="FS37" s="189"/>
      <c r="FT37" s="189"/>
      <c r="FU37" s="189"/>
      <c r="FV37" s="189"/>
      <c r="FX37" s="217">
        <v>1</v>
      </c>
      <c r="FY37" s="188">
        <f t="shared" si="45"/>
        <v>94</v>
      </c>
      <c r="FZ37" s="188">
        <f t="shared" si="46"/>
        <v>94</v>
      </c>
      <c r="GA37" s="188">
        <f t="shared" si="47"/>
        <v>0</v>
      </c>
      <c r="GB37" s="188">
        <f t="shared" si="48"/>
        <v>0</v>
      </c>
      <c r="GC37" s="188">
        <f t="shared" si="49"/>
        <v>0</v>
      </c>
      <c r="GD37" s="188">
        <f t="shared" si="50"/>
        <v>0</v>
      </c>
      <c r="GE37" s="188">
        <f t="shared" si="51"/>
        <v>0</v>
      </c>
      <c r="GF37" s="199"/>
      <c r="GG37" s="189">
        <v>0</v>
      </c>
      <c r="GH37" s="189">
        <v>0</v>
      </c>
      <c r="GI37" s="199"/>
      <c r="GJ37" s="200">
        <f t="shared" si="52"/>
        <v>0</v>
      </c>
      <c r="GK37" s="200">
        <f t="shared" si="53"/>
        <v>0</v>
      </c>
      <c r="GO37" s="189">
        <f t="shared" si="119"/>
        <v>0</v>
      </c>
      <c r="GP37" s="189">
        <f t="shared" si="120"/>
        <v>0</v>
      </c>
      <c r="GQ37" s="189">
        <f t="shared" si="121"/>
        <v>0</v>
      </c>
      <c r="GR37" s="189">
        <f t="shared" si="122"/>
        <v>0</v>
      </c>
      <c r="GS37" s="189">
        <f t="shared" si="123"/>
        <v>0</v>
      </c>
      <c r="GT37" s="189">
        <f t="shared" si="124"/>
        <v>1</v>
      </c>
      <c r="GU37" s="201">
        <f t="shared" si="125"/>
        <v>43243</v>
      </c>
      <c r="GV37" s="189" t="str">
        <f t="shared" si="126"/>
        <v>SELESAI</v>
      </c>
      <c r="GW37" s="189">
        <f t="shared" si="127"/>
        <v>0</v>
      </c>
      <c r="GX37" s="202" t="str">
        <f t="shared" si="128"/>
        <v>SELESAI</v>
      </c>
      <c r="GY37" s="202">
        <f t="shared" si="129"/>
        <v>0</v>
      </c>
      <c r="GZ37" s="203" t="str">
        <f t="shared" si="130"/>
        <v>SELESAI</v>
      </c>
      <c r="HA37" s="204"/>
      <c r="HB37" s="204"/>
      <c r="HC37" s="189">
        <f t="shared" si="131"/>
        <v>0</v>
      </c>
      <c r="HD37" s="189">
        <f t="shared" si="132"/>
        <v>0</v>
      </c>
      <c r="HE37" s="189">
        <f t="shared" si="133"/>
        <v>0</v>
      </c>
      <c r="HF37" s="189">
        <f t="shared" si="134"/>
        <v>0</v>
      </c>
      <c r="HG37" s="189">
        <f t="shared" si="135"/>
        <v>0</v>
      </c>
      <c r="HH37" s="201" t="str">
        <f t="shared" si="136"/>
        <v>TIDAK KONSINYASI</v>
      </c>
      <c r="HI37" s="201" t="str">
        <f t="shared" si="137"/>
        <v>SELESAI</v>
      </c>
      <c r="HJ37" s="205"/>
      <c r="HK37" s="201">
        <f t="shared" si="138"/>
        <v>0</v>
      </c>
      <c r="HL37" s="204"/>
      <c r="HM37" s="204"/>
      <c r="HN37" s="204"/>
      <c r="HO37" s="204"/>
      <c r="HP37" s="203">
        <f t="shared" si="139"/>
        <v>0</v>
      </c>
      <c r="HQ37" s="202">
        <f t="shared" si="140"/>
        <v>0</v>
      </c>
      <c r="HR37" s="202">
        <f t="shared" si="141"/>
        <v>0</v>
      </c>
      <c r="HS37" s="203">
        <f t="shared" si="142"/>
        <v>0</v>
      </c>
      <c r="HT37" s="202">
        <f t="shared" si="143"/>
        <v>0</v>
      </c>
      <c r="HU37" s="202">
        <f t="shared" si="144"/>
        <v>0</v>
      </c>
      <c r="HV37" s="203">
        <f t="shared" si="145"/>
        <v>0</v>
      </c>
      <c r="HW37" s="202">
        <f t="shared" si="146"/>
        <v>0</v>
      </c>
      <c r="HX37" s="202">
        <f t="shared" si="147"/>
        <v>0</v>
      </c>
      <c r="HY37" s="203">
        <f t="shared" si="148"/>
        <v>0</v>
      </c>
      <c r="HZ37" s="202">
        <f t="shared" si="149"/>
        <v>0</v>
      </c>
      <c r="IA37" s="202">
        <f t="shared" si="150"/>
        <v>0</v>
      </c>
      <c r="IB37" s="203">
        <f t="shared" si="151"/>
        <v>0</v>
      </c>
      <c r="IC37" s="202">
        <f t="shared" si="152"/>
        <v>0</v>
      </c>
      <c r="ID37" s="202">
        <f t="shared" si="153"/>
        <v>0</v>
      </c>
      <c r="IE37" s="203">
        <f t="shared" si="154"/>
        <v>0</v>
      </c>
      <c r="IF37" s="202">
        <f t="shared" si="155"/>
        <v>0</v>
      </c>
      <c r="IG37" s="202">
        <f t="shared" si="156"/>
        <v>0</v>
      </c>
      <c r="IH37" s="203">
        <f t="shared" si="157"/>
        <v>0</v>
      </c>
      <c r="II37" s="202">
        <f t="shared" si="158"/>
        <v>0</v>
      </c>
      <c r="IJ37" s="202">
        <f t="shared" si="159"/>
        <v>0</v>
      </c>
      <c r="IK37" s="203">
        <f t="shared" si="160"/>
        <v>0</v>
      </c>
      <c r="IL37" s="202">
        <f t="shared" si="161"/>
        <v>0</v>
      </c>
      <c r="IM37" s="202">
        <f t="shared" si="162"/>
        <v>0</v>
      </c>
      <c r="IN37" s="204"/>
      <c r="IO37" s="203">
        <f t="shared" si="163"/>
        <v>0</v>
      </c>
      <c r="IP37" s="202">
        <f t="shared" si="164"/>
        <v>0</v>
      </c>
      <c r="IQ37" s="202">
        <f t="shared" si="165"/>
        <v>0</v>
      </c>
      <c r="IR37" s="204"/>
      <c r="IS37" s="203"/>
      <c r="IT37" s="202">
        <f t="shared" si="166"/>
        <v>1</v>
      </c>
      <c r="IU37" s="202">
        <f t="shared" si="167"/>
        <v>150</v>
      </c>
      <c r="IV37" s="204"/>
      <c r="IW37" s="203"/>
      <c r="IX37" s="202">
        <f t="shared" si="168"/>
        <v>0</v>
      </c>
      <c r="IY37" s="202">
        <f t="shared" si="169"/>
        <v>0</v>
      </c>
      <c r="IZ37" s="204"/>
      <c r="JA37" s="203"/>
      <c r="JB37" s="202">
        <f t="shared" si="170"/>
        <v>0</v>
      </c>
      <c r="JC37" s="202">
        <f t="shared" si="171"/>
        <v>0</v>
      </c>
      <c r="JD37" s="204"/>
      <c r="JE37" s="203"/>
      <c r="JF37" s="202">
        <f t="shared" si="172"/>
        <v>1</v>
      </c>
      <c r="JG37" s="202">
        <f t="shared" si="173"/>
        <v>150</v>
      </c>
      <c r="JH37" s="204"/>
      <c r="JI37" s="203"/>
      <c r="JJ37" s="202">
        <f t="shared" si="174"/>
        <v>0</v>
      </c>
      <c r="JK37" s="202">
        <f t="shared" si="175"/>
        <v>0</v>
      </c>
      <c r="JM37" s="203">
        <f t="shared" si="176"/>
        <v>0</v>
      </c>
      <c r="JO37" s="196">
        <f t="shared" si="54"/>
        <v>1</v>
      </c>
      <c r="JP37" s="189">
        <f t="shared" si="55"/>
        <v>94</v>
      </c>
      <c r="JQ37" s="189">
        <f t="shared" si="56"/>
        <v>1</v>
      </c>
      <c r="JR37" s="189">
        <f t="shared" si="57"/>
        <v>0</v>
      </c>
      <c r="JS37" s="189">
        <f t="shared" si="58"/>
        <v>0</v>
      </c>
      <c r="JT37" s="189">
        <f t="shared" si="59"/>
        <v>0</v>
      </c>
      <c r="JU37" s="189">
        <f t="shared" si="60"/>
        <v>0</v>
      </c>
      <c r="JV37" s="189">
        <f t="shared" si="61"/>
        <v>0</v>
      </c>
      <c r="JW37" s="189">
        <f t="shared" si="62"/>
        <v>0</v>
      </c>
      <c r="JX37" s="189">
        <f t="shared" si="63"/>
        <v>0</v>
      </c>
      <c r="JY37" s="189">
        <f t="shared" si="64"/>
        <v>0</v>
      </c>
      <c r="JZ37" s="189">
        <f t="shared" si="65"/>
        <v>0</v>
      </c>
      <c r="KA37" s="189">
        <f t="shared" si="66"/>
        <v>0</v>
      </c>
      <c r="KB37" s="189">
        <f t="shared" si="67"/>
        <v>0</v>
      </c>
      <c r="KD37" s="206">
        <f t="shared" si="177"/>
        <v>0</v>
      </c>
      <c r="KE37" s="206">
        <f t="shared" si="69"/>
        <v>0</v>
      </c>
      <c r="KF37" s="206">
        <f t="shared" si="70"/>
        <v>94</v>
      </c>
      <c r="KG37" s="206">
        <f t="shared" si="71"/>
        <v>94</v>
      </c>
      <c r="KH37" s="206">
        <f t="shared" si="72"/>
        <v>0</v>
      </c>
      <c r="KI37" s="206">
        <f t="shared" si="73"/>
        <v>0</v>
      </c>
      <c r="KJ37" s="206">
        <f t="shared" si="74"/>
        <v>0</v>
      </c>
      <c r="KK37" s="206">
        <f t="shared" si="75"/>
        <v>0</v>
      </c>
      <c r="KL37" s="206">
        <f t="shared" si="76"/>
        <v>0</v>
      </c>
      <c r="KM37" s="206">
        <f t="shared" si="77"/>
        <v>0</v>
      </c>
      <c r="KN37" s="221">
        <f t="shared" si="78"/>
        <v>0</v>
      </c>
      <c r="KO37" s="221">
        <f t="shared" si="79"/>
        <v>0</v>
      </c>
      <c r="KP37" s="221">
        <f t="shared" si="80"/>
        <v>0</v>
      </c>
      <c r="KQ37" s="221">
        <f t="shared" si="81"/>
        <v>0</v>
      </c>
      <c r="KR37" s="221">
        <f t="shared" si="82"/>
        <v>0</v>
      </c>
      <c r="KT37" s="195">
        <f t="shared" si="83"/>
        <v>0</v>
      </c>
      <c r="KU37" s="221"/>
      <c r="KV37" s="221"/>
      <c r="KW37" s="221"/>
      <c r="KX37" s="221"/>
      <c r="KY37" s="221"/>
      <c r="KZ37" s="221"/>
      <c r="LA37" s="221"/>
      <c r="LB37" s="221"/>
      <c r="LC37" s="221"/>
      <c r="LD37" s="221"/>
      <c r="LE37" s="221"/>
      <c r="LF37" s="221"/>
      <c r="LG37" s="221"/>
      <c r="LH37" s="221"/>
      <c r="LI37" s="221"/>
      <c r="LJ37" s="221"/>
      <c r="LK37" s="221"/>
      <c r="LL37" s="221"/>
      <c r="LM37" s="221"/>
      <c r="LN37" s="221"/>
      <c r="LO37" s="221"/>
      <c r="LP37" s="221"/>
      <c r="LQ37" s="221"/>
      <c r="LR37" s="221"/>
      <c r="LS37" s="221"/>
      <c r="LT37" s="221"/>
      <c r="LU37" s="221"/>
      <c r="LV37" s="221"/>
      <c r="LW37" s="221"/>
      <c r="LX37" s="221"/>
      <c r="LY37" s="221"/>
      <c r="LZ37" s="221"/>
      <c r="MA37" s="221"/>
      <c r="MB37" s="221"/>
      <c r="MC37" s="221"/>
      <c r="MD37" s="221"/>
      <c r="ME37" s="221"/>
      <c r="MF37" s="221"/>
      <c r="MG37" s="221"/>
      <c r="MH37" s="221"/>
      <c r="MI37" s="221"/>
      <c r="MJ37" s="221"/>
      <c r="MK37" s="221"/>
      <c r="ML37" s="221"/>
      <c r="MM37" s="221"/>
      <c r="MN37" s="221"/>
      <c r="MO37" s="221"/>
      <c r="MP37" s="221"/>
      <c r="MQ37" s="221"/>
      <c r="MR37" s="221"/>
      <c r="MS37" s="221"/>
      <c r="MT37" s="221"/>
      <c r="MU37" s="221"/>
      <c r="MV37" s="221"/>
      <c r="MW37" s="221"/>
      <c r="MX37" s="221"/>
      <c r="MY37" s="221"/>
      <c r="MZ37" s="221"/>
      <c r="NA37" s="221"/>
      <c r="NB37" s="221"/>
      <c r="NC37" s="221"/>
      <c r="ND37" s="221"/>
      <c r="NE37" s="221"/>
      <c r="NF37" s="221"/>
      <c r="NG37" s="221"/>
      <c r="NH37" s="221"/>
      <c r="NI37" s="221"/>
      <c r="NJ37" s="221"/>
      <c r="NK37" s="221"/>
      <c r="NM37" s="195">
        <f t="shared" si="178"/>
        <v>0</v>
      </c>
      <c r="NN37" s="195">
        <f t="shared" si="179"/>
        <v>0</v>
      </c>
      <c r="NO37" s="195">
        <f t="shared" si="180"/>
        <v>0</v>
      </c>
      <c r="NP37" s="195">
        <f t="shared" si="181"/>
        <v>0</v>
      </c>
      <c r="NQ37" s="195">
        <f t="shared" si="182"/>
        <v>0</v>
      </c>
      <c r="NR37" s="195">
        <f t="shared" si="183"/>
        <v>0</v>
      </c>
      <c r="NS37" s="195">
        <f t="shared" si="184"/>
        <v>0</v>
      </c>
      <c r="NT37" s="195">
        <f t="shared" si="185"/>
        <v>0</v>
      </c>
      <c r="NU37" s="196">
        <f t="shared" si="186"/>
        <v>0</v>
      </c>
      <c r="NY37" s="215">
        <f t="shared" si="187"/>
        <v>1</v>
      </c>
      <c r="NZ37" s="222">
        <v>16000000</v>
      </c>
      <c r="OE37" s="207">
        <f t="shared" si="85"/>
        <v>0</v>
      </c>
      <c r="OF37" s="207">
        <f t="shared" si="86"/>
        <v>0</v>
      </c>
      <c r="OG37" s="207">
        <f t="shared" si="87"/>
        <v>0</v>
      </c>
      <c r="OH37" s="207">
        <f t="shared" si="188"/>
        <v>0</v>
      </c>
      <c r="OI37" s="207">
        <f t="shared" si="88"/>
        <v>0</v>
      </c>
      <c r="OJ37" s="199">
        <f t="shared" si="189"/>
        <v>0</v>
      </c>
      <c r="OK37" s="199">
        <f t="shared" si="190"/>
        <v>0</v>
      </c>
      <c r="OL37" s="199">
        <f t="shared" si="191"/>
        <v>0</v>
      </c>
      <c r="OM37" s="199">
        <f t="shared" si="192"/>
        <v>0</v>
      </c>
      <c r="OO37" s="207">
        <f t="shared" si="89"/>
        <v>0</v>
      </c>
      <c r="OP37" s="207">
        <f t="shared" si="90"/>
        <v>0</v>
      </c>
      <c r="OQ37" s="207">
        <f t="shared" si="193"/>
        <v>0</v>
      </c>
      <c r="OR37" s="207">
        <f t="shared" si="194"/>
        <v>0</v>
      </c>
      <c r="OS37" s="207">
        <f t="shared" si="195"/>
        <v>0</v>
      </c>
      <c r="OT37" s="199">
        <f t="shared" si="196"/>
        <v>0</v>
      </c>
      <c r="OU37" s="199">
        <f t="shared" si="197"/>
        <v>0</v>
      </c>
      <c r="OV37" s="199">
        <f t="shared" si="198"/>
        <v>0</v>
      </c>
      <c r="OW37" s="199">
        <f t="shared" si="199"/>
        <v>0</v>
      </c>
      <c r="OZ37" s="208">
        <f t="shared" si="91"/>
        <v>0</v>
      </c>
      <c r="PA37" s="209"/>
      <c r="PB37" s="209"/>
      <c r="PC37" s="209"/>
      <c r="PD37" s="210">
        <f t="shared" si="200"/>
        <v>0</v>
      </c>
      <c r="PE37" s="210"/>
      <c r="PF37" s="210">
        <f t="shared" si="201"/>
        <v>0</v>
      </c>
      <c r="PG37" s="210">
        <f t="shared" si="202"/>
        <v>0</v>
      </c>
      <c r="PH37" s="210">
        <f t="shared" si="92"/>
        <v>0</v>
      </c>
      <c r="PI37" s="210">
        <f t="shared" si="93"/>
        <v>0</v>
      </c>
      <c r="PJ37" s="210">
        <f t="shared" si="94"/>
        <v>0</v>
      </c>
      <c r="PK37" s="210">
        <f t="shared" si="95"/>
        <v>0</v>
      </c>
      <c r="PL37" s="210">
        <f t="shared" si="96"/>
        <v>0</v>
      </c>
      <c r="PM37" s="211"/>
      <c r="PN37" s="211"/>
      <c r="PO37" s="212">
        <f t="shared" si="203"/>
        <v>0</v>
      </c>
      <c r="PP37" s="212">
        <f t="shared" si="204"/>
        <v>0</v>
      </c>
      <c r="PQ37" s="212">
        <f t="shared" si="205"/>
        <v>0</v>
      </c>
      <c r="PR37" s="211"/>
      <c r="PS37" s="211"/>
      <c r="PT37" s="211"/>
      <c r="PU37" s="211"/>
    </row>
    <row r="38" spans="1:437 16383:16383" s="195" customFormat="1" ht="16" x14ac:dyDescent="0.2">
      <c r="A38" s="213">
        <f t="shared" si="206"/>
        <v>29</v>
      </c>
      <c r="B38" s="186" t="s">
        <v>614</v>
      </c>
      <c r="C38" s="186">
        <v>32</v>
      </c>
      <c r="D38" s="188">
        <v>1</v>
      </c>
      <c r="E38" s="188">
        <v>80</v>
      </c>
      <c r="F38" s="188">
        <v>1</v>
      </c>
      <c r="G38" s="188">
        <f t="shared" si="97"/>
        <v>80</v>
      </c>
      <c r="H38" s="214">
        <f t="shared" si="98"/>
        <v>1</v>
      </c>
      <c r="I38" s="214">
        <f t="shared" si="99"/>
        <v>1</v>
      </c>
      <c r="J38" s="188">
        <v>1</v>
      </c>
      <c r="K38" s="188">
        <f t="shared" si="100"/>
        <v>80</v>
      </c>
      <c r="L38" s="214">
        <f t="shared" si="101"/>
        <v>1</v>
      </c>
      <c r="M38" s="214">
        <f t="shared" si="102"/>
        <v>1</v>
      </c>
      <c r="N38" s="188">
        <v>1</v>
      </c>
      <c r="O38" s="188">
        <f t="shared" si="103"/>
        <v>80</v>
      </c>
      <c r="P38" s="214">
        <f t="shared" si="104"/>
        <v>1</v>
      </c>
      <c r="Q38" s="214">
        <f t="shared" si="105"/>
        <v>1</v>
      </c>
      <c r="R38" s="188">
        <v>1</v>
      </c>
      <c r="S38" s="188">
        <f t="shared" si="106"/>
        <v>80</v>
      </c>
      <c r="T38" s="214">
        <f t="shared" si="107"/>
        <v>1</v>
      </c>
      <c r="U38" s="214">
        <f t="shared" si="108"/>
        <v>1</v>
      </c>
      <c r="V38" s="215">
        <v>0</v>
      </c>
      <c r="W38" s="188">
        <f t="shared" si="109"/>
        <v>0</v>
      </c>
      <c r="X38" s="214">
        <f t="shared" si="110"/>
        <v>0</v>
      </c>
      <c r="Y38" s="214">
        <f t="shared" si="111"/>
        <v>0</v>
      </c>
      <c r="Z38" s="215">
        <v>0</v>
      </c>
      <c r="AA38" s="188">
        <v>1</v>
      </c>
      <c r="AB38" s="188">
        <f t="shared" si="112"/>
        <v>80</v>
      </c>
      <c r="AC38" s="214">
        <f t="shared" si="113"/>
        <v>1</v>
      </c>
      <c r="AD38" s="214">
        <f t="shared" si="114"/>
        <v>1</v>
      </c>
      <c r="AE38" s="224">
        <f>1061263000/1000000000</f>
        <v>1.0612630000000001</v>
      </c>
      <c r="AF38" s="188">
        <f t="shared" si="115"/>
        <v>1</v>
      </c>
      <c r="AG38" s="223" t="s">
        <v>302</v>
      </c>
      <c r="AH38" s="188" t="s">
        <v>303</v>
      </c>
      <c r="AI38" s="188">
        <v>1</v>
      </c>
      <c r="AJ38" s="188">
        <f t="shared" si="2"/>
        <v>80</v>
      </c>
      <c r="AK38" s="188" t="s">
        <v>304</v>
      </c>
      <c r="AL38" s="188">
        <v>0</v>
      </c>
      <c r="AM38" s="188">
        <v>0</v>
      </c>
      <c r="AN38" s="217"/>
      <c r="AO38" s="188">
        <f t="shared" si="207"/>
        <v>1</v>
      </c>
      <c r="AP38" s="188">
        <f t="shared" si="208"/>
        <v>80</v>
      </c>
      <c r="AQ38" s="188">
        <f t="shared" si="5"/>
        <v>1</v>
      </c>
      <c r="AR38" s="188">
        <f t="shared" si="6"/>
        <v>80</v>
      </c>
      <c r="AS38" s="188">
        <f t="shared" si="7"/>
        <v>1</v>
      </c>
      <c r="AT38" s="188">
        <f t="shared" si="8"/>
        <v>80</v>
      </c>
      <c r="AU38" s="188">
        <f t="shared" si="209"/>
        <v>1</v>
      </c>
      <c r="AV38" s="188">
        <f t="shared" si="210"/>
        <v>80</v>
      </c>
      <c r="AW38" s="188">
        <f t="shared" si="211"/>
        <v>0</v>
      </c>
      <c r="AX38" s="188">
        <f t="shared" si="212"/>
        <v>0</v>
      </c>
      <c r="AY38" s="188">
        <f t="shared" si="116"/>
        <v>1</v>
      </c>
      <c r="AZ38" s="188">
        <f t="shared" si="117"/>
        <v>80</v>
      </c>
      <c r="BA38" s="188">
        <f t="shared" si="14"/>
        <v>0</v>
      </c>
      <c r="BB38" s="188">
        <f t="shared" si="15"/>
        <v>0</v>
      </c>
      <c r="BD38" s="196">
        <f t="shared" si="118"/>
        <v>0</v>
      </c>
      <c r="BE38" s="188">
        <f t="shared" si="16"/>
        <v>80</v>
      </c>
      <c r="BF38" s="188">
        <f t="shared" si="17"/>
        <v>0</v>
      </c>
      <c r="BG38" s="188">
        <f t="shared" si="18"/>
        <v>0</v>
      </c>
      <c r="BH38" s="188">
        <f t="shared" si="19"/>
        <v>0</v>
      </c>
      <c r="BI38" s="188">
        <f t="shared" si="20"/>
        <v>80</v>
      </c>
      <c r="BJ38" s="188">
        <f t="shared" si="21"/>
        <v>0</v>
      </c>
      <c r="BK38" s="188">
        <f t="shared" si="22"/>
        <v>80</v>
      </c>
      <c r="BN38" s="143"/>
      <c r="BO38" s="277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B38" s="188"/>
      <c r="CD38" s="188">
        <f t="shared" si="23"/>
        <v>0</v>
      </c>
      <c r="CE38" s="188">
        <f t="shared" si="24"/>
        <v>0</v>
      </c>
      <c r="CF38" s="188">
        <f t="shared" si="25"/>
        <v>0</v>
      </c>
      <c r="CG38" s="188">
        <f t="shared" si="26"/>
        <v>0</v>
      </c>
      <c r="CH38" s="188">
        <f t="shared" si="27"/>
        <v>0</v>
      </c>
      <c r="CI38" s="188">
        <f t="shared" si="28"/>
        <v>0</v>
      </c>
      <c r="CJ38" s="188">
        <f t="shared" si="29"/>
        <v>0</v>
      </c>
      <c r="CK38" s="188">
        <f t="shared" si="30"/>
        <v>0</v>
      </c>
      <c r="CL38" s="188">
        <f t="shared" si="31"/>
        <v>0</v>
      </c>
      <c r="CM38" s="188">
        <f t="shared" si="32"/>
        <v>0</v>
      </c>
      <c r="CN38" s="188">
        <f t="shared" si="33"/>
        <v>0</v>
      </c>
      <c r="CO38" s="188">
        <f t="shared" si="34"/>
        <v>0</v>
      </c>
      <c r="CP38" s="188">
        <f t="shared" si="35"/>
        <v>0</v>
      </c>
      <c r="DV38" s="188">
        <f t="shared" si="36"/>
        <v>0</v>
      </c>
      <c r="DW38" s="188">
        <f t="shared" si="37"/>
        <v>0</v>
      </c>
      <c r="DX38" s="188">
        <f t="shared" si="38"/>
        <v>0</v>
      </c>
      <c r="DY38" s="188">
        <f t="shared" si="39"/>
        <v>0</v>
      </c>
      <c r="DZ38" s="188">
        <f t="shared" si="40"/>
        <v>0</v>
      </c>
      <c r="EA38" s="188">
        <f t="shared" si="41"/>
        <v>0</v>
      </c>
      <c r="EB38" s="188">
        <f t="shared" si="42"/>
        <v>0</v>
      </c>
      <c r="EG38" s="220" t="str">
        <f t="shared" si="43"/>
        <v>D</v>
      </c>
      <c r="EH38" s="220">
        <f t="shared" si="44"/>
        <v>0</v>
      </c>
      <c r="EI38" s="188">
        <v>1</v>
      </c>
      <c r="EJ38" s="188">
        <v>1</v>
      </c>
      <c r="EK38" s="188"/>
      <c r="EL38" s="188"/>
      <c r="EM38" s="188"/>
      <c r="EN38" s="188"/>
      <c r="EO38" s="188"/>
      <c r="EP38" s="188"/>
      <c r="EQ38" s="188">
        <v>1</v>
      </c>
      <c r="ER38" s="188">
        <v>1</v>
      </c>
      <c r="ES38" s="188">
        <v>1</v>
      </c>
      <c r="ET38" s="188"/>
      <c r="EU38" s="188"/>
      <c r="EV38" s="188">
        <v>1</v>
      </c>
      <c r="EW38" s="188"/>
      <c r="EX38" s="188"/>
      <c r="EY38" s="188"/>
      <c r="EZ38" s="188">
        <v>1</v>
      </c>
      <c r="FA38" s="188">
        <v>1</v>
      </c>
      <c r="FB38" s="188">
        <v>1</v>
      </c>
      <c r="FC38" s="165">
        <v>1</v>
      </c>
      <c r="FD38" s="188"/>
      <c r="FE38" s="188"/>
      <c r="FF38" s="188"/>
      <c r="FH38" s="189"/>
      <c r="FI38" s="189"/>
      <c r="FJ38" s="189"/>
      <c r="FK38" s="189"/>
      <c r="FL38" s="189"/>
      <c r="FM38" s="189"/>
      <c r="FN38" s="189"/>
      <c r="FO38" s="189"/>
      <c r="FP38" s="189"/>
      <c r="FQ38" s="189"/>
      <c r="FR38" s="189"/>
      <c r="FS38" s="189"/>
      <c r="FT38" s="189"/>
      <c r="FU38" s="189"/>
      <c r="FV38" s="189"/>
      <c r="FX38" s="217"/>
      <c r="FY38" s="188">
        <f t="shared" si="45"/>
        <v>0</v>
      </c>
      <c r="FZ38" s="188">
        <f t="shared" si="46"/>
        <v>0</v>
      </c>
      <c r="GA38" s="188">
        <f t="shared" si="47"/>
        <v>0</v>
      </c>
      <c r="GB38" s="188">
        <f t="shared" si="48"/>
        <v>0</v>
      </c>
      <c r="GC38" s="188">
        <f t="shared" si="49"/>
        <v>0</v>
      </c>
      <c r="GD38" s="188">
        <f t="shared" si="50"/>
        <v>0</v>
      </c>
      <c r="GE38" s="188">
        <f t="shared" si="51"/>
        <v>0</v>
      </c>
      <c r="GF38" s="199"/>
      <c r="GG38" s="189">
        <v>0</v>
      </c>
      <c r="GH38" s="189">
        <v>0</v>
      </c>
      <c r="GI38" s="199"/>
      <c r="GJ38" s="200">
        <f t="shared" si="52"/>
        <v>0</v>
      </c>
      <c r="GK38" s="200">
        <f t="shared" si="53"/>
        <v>0</v>
      </c>
      <c r="GO38" s="189">
        <f t="shared" si="119"/>
        <v>0</v>
      </c>
      <c r="GP38" s="189">
        <f t="shared" si="120"/>
        <v>0</v>
      </c>
      <c r="GQ38" s="189">
        <f t="shared" si="121"/>
        <v>0</v>
      </c>
      <c r="GR38" s="189">
        <f t="shared" si="122"/>
        <v>0</v>
      </c>
      <c r="GS38" s="189">
        <f t="shared" si="123"/>
        <v>1</v>
      </c>
      <c r="GT38" s="189">
        <f t="shared" si="124"/>
        <v>0</v>
      </c>
      <c r="GU38" s="201">
        <f t="shared" si="125"/>
        <v>43243</v>
      </c>
      <c r="GV38" s="189" t="str">
        <f t="shared" si="126"/>
        <v>UGR</v>
      </c>
      <c r="GW38" s="189">
        <f t="shared" si="127"/>
        <v>1</v>
      </c>
      <c r="GX38" s="202" t="str">
        <f t="shared" si="128"/>
        <v>UGR</v>
      </c>
      <c r="GY38" s="202">
        <f t="shared" si="129"/>
        <v>14</v>
      </c>
      <c r="GZ38" s="203">
        <f t="shared" si="130"/>
        <v>43257</v>
      </c>
      <c r="HA38" s="204"/>
      <c r="HB38" s="204"/>
      <c r="HC38" s="189">
        <f t="shared" si="131"/>
        <v>1</v>
      </c>
      <c r="HD38" s="189">
        <f t="shared" si="132"/>
        <v>0</v>
      </c>
      <c r="HE38" s="189">
        <f t="shared" si="133"/>
        <v>1</v>
      </c>
      <c r="HF38" s="189">
        <f t="shared" si="134"/>
        <v>0</v>
      </c>
      <c r="HG38" s="189">
        <f t="shared" si="135"/>
        <v>1</v>
      </c>
      <c r="HH38" s="201">
        <f t="shared" si="136"/>
        <v>43288</v>
      </c>
      <c r="HI38" s="201">
        <f t="shared" si="137"/>
        <v>43302</v>
      </c>
      <c r="HJ38" s="205"/>
      <c r="HK38" s="201">
        <f t="shared" si="138"/>
        <v>43302</v>
      </c>
      <c r="HL38" s="204"/>
      <c r="HM38" s="204"/>
      <c r="HN38" s="204"/>
      <c r="HO38" s="204"/>
      <c r="HP38" s="203">
        <f t="shared" si="139"/>
        <v>0</v>
      </c>
      <c r="HQ38" s="202">
        <f t="shared" si="140"/>
        <v>0</v>
      </c>
      <c r="HR38" s="202">
        <f t="shared" si="141"/>
        <v>0</v>
      </c>
      <c r="HS38" s="203">
        <f t="shared" si="142"/>
        <v>43288</v>
      </c>
      <c r="HT38" s="202">
        <f t="shared" si="143"/>
        <v>1</v>
      </c>
      <c r="HU38" s="202">
        <f t="shared" si="144"/>
        <v>80</v>
      </c>
      <c r="HV38" s="203">
        <f t="shared" si="145"/>
        <v>0</v>
      </c>
      <c r="HW38" s="202">
        <f t="shared" si="146"/>
        <v>0</v>
      </c>
      <c r="HX38" s="202">
        <f t="shared" si="147"/>
        <v>0</v>
      </c>
      <c r="HY38" s="203">
        <f t="shared" si="148"/>
        <v>0</v>
      </c>
      <c r="HZ38" s="202">
        <f t="shared" si="149"/>
        <v>0</v>
      </c>
      <c r="IA38" s="202">
        <f t="shared" si="150"/>
        <v>0</v>
      </c>
      <c r="IB38" s="203">
        <f t="shared" si="151"/>
        <v>0</v>
      </c>
      <c r="IC38" s="202">
        <f t="shared" si="152"/>
        <v>0</v>
      </c>
      <c r="ID38" s="202">
        <f t="shared" si="153"/>
        <v>0</v>
      </c>
      <c r="IE38" s="203">
        <f t="shared" si="154"/>
        <v>0</v>
      </c>
      <c r="IF38" s="202">
        <f t="shared" si="155"/>
        <v>0</v>
      </c>
      <c r="IG38" s="202">
        <f t="shared" si="156"/>
        <v>0</v>
      </c>
      <c r="IH38" s="203">
        <f t="shared" si="157"/>
        <v>0</v>
      </c>
      <c r="II38" s="202">
        <f t="shared" si="158"/>
        <v>0</v>
      </c>
      <c r="IJ38" s="202">
        <f t="shared" si="159"/>
        <v>0</v>
      </c>
      <c r="IK38" s="203">
        <f t="shared" si="160"/>
        <v>0</v>
      </c>
      <c r="IL38" s="202">
        <f t="shared" si="161"/>
        <v>0</v>
      </c>
      <c r="IM38" s="202">
        <f t="shared" si="162"/>
        <v>0</v>
      </c>
      <c r="IN38" s="204"/>
      <c r="IO38" s="203">
        <f t="shared" si="163"/>
        <v>0</v>
      </c>
      <c r="IP38" s="202">
        <f t="shared" si="164"/>
        <v>0</v>
      </c>
      <c r="IQ38" s="202">
        <f t="shared" si="165"/>
        <v>0</v>
      </c>
      <c r="IR38" s="204"/>
      <c r="IS38" s="203"/>
      <c r="IT38" s="202">
        <f t="shared" si="166"/>
        <v>0</v>
      </c>
      <c r="IU38" s="202">
        <f t="shared" si="167"/>
        <v>0</v>
      </c>
      <c r="IV38" s="204"/>
      <c r="IW38" s="203"/>
      <c r="IX38" s="202">
        <f t="shared" si="168"/>
        <v>1</v>
      </c>
      <c r="IY38" s="202">
        <f t="shared" si="169"/>
        <v>80</v>
      </c>
      <c r="IZ38" s="204"/>
      <c r="JA38" s="203"/>
      <c r="JB38" s="202">
        <f t="shared" si="170"/>
        <v>0</v>
      </c>
      <c r="JC38" s="202">
        <f t="shared" si="171"/>
        <v>0</v>
      </c>
      <c r="JD38" s="204"/>
      <c r="JE38" s="203"/>
      <c r="JF38" s="202">
        <f t="shared" si="172"/>
        <v>2</v>
      </c>
      <c r="JG38" s="202">
        <f t="shared" si="173"/>
        <v>160</v>
      </c>
      <c r="JH38" s="204"/>
      <c r="JI38" s="203"/>
      <c r="JJ38" s="202">
        <f t="shared" si="174"/>
        <v>1</v>
      </c>
      <c r="JK38" s="202">
        <f t="shared" si="175"/>
        <v>80</v>
      </c>
      <c r="JM38" s="203">
        <f t="shared" si="176"/>
        <v>43288</v>
      </c>
      <c r="JO38" s="196">
        <f t="shared" si="54"/>
        <v>0</v>
      </c>
      <c r="JP38" s="189">
        <f t="shared" si="55"/>
        <v>0</v>
      </c>
      <c r="JQ38" s="189">
        <f t="shared" si="56"/>
        <v>0</v>
      </c>
      <c r="JR38" s="189">
        <f t="shared" si="57"/>
        <v>0</v>
      </c>
      <c r="JS38" s="189">
        <f t="shared" si="58"/>
        <v>0</v>
      </c>
      <c r="JT38" s="189">
        <f t="shared" si="59"/>
        <v>0</v>
      </c>
      <c r="JU38" s="189">
        <f t="shared" si="60"/>
        <v>0</v>
      </c>
      <c r="JV38" s="189">
        <f t="shared" si="61"/>
        <v>0</v>
      </c>
      <c r="JW38" s="189">
        <f t="shared" si="62"/>
        <v>0</v>
      </c>
      <c r="JX38" s="189">
        <f t="shared" si="63"/>
        <v>0</v>
      </c>
      <c r="JY38" s="189">
        <f t="shared" si="64"/>
        <v>0</v>
      </c>
      <c r="JZ38" s="189">
        <f t="shared" si="65"/>
        <v>0</v>
      </c>
      <c r="KA38" s="189">
        <f t="shared" si="66"/>
        <v>0</v>
      </c>
      <c r="KB38" s="189">
        <f t="shared" si="67"/>
        <v>0</v>
      </c>
      <c r="KD38" s="206">
        <f t="shared" si="177"/>
        <v>0</v>
      </c>
      <c r="KE38" s="206">
        <f t="shared" si="69"/>
        <v>0</v>
      </c>
      <c r="KF38" s="206">
        <f t="shared" si="70"/>
        <v>0</v>
      </c>
      <c r="KG38" s="206">
        <f t="shared" si="71"/>
        <v>0</v>
      </c>
      <c r="KH38" s="206">
        <f t="shared" si="72"/>
        <v>0</v>
      </c>
      <c r="KI38" s="206">
        <f t="shared" si="73"/>
        <v>0</v>
      </c>
      <c r="KJ38" s="206">
        <f t="shared" si="74"/>
        <v>0</v>
      </c>
      <c r="KK38" s="206">
        <f t="shared" si="75"/>
        <v>0</v>
      </c>
      <c r="KL38" s="206">
        <f t="shared" si="76"/>
        <v>0</v>
      </c>
      <c r="KM38" s="206">
        <f t="shared" si="77"/>
        <v>0</v>
      </c>
      <c r="KN38" s="221">
        <f t="shared" si="78"/>
        <v>0</v>
      </c>
      <c r="KO38" s="221">
        <f t="shared" si="79"/>
        <v>0</v>
      </c>
      <c r="KP38" s="221">
        <f t="shared" si="80"/>
        <v>0</v>
      </c>
      <c r="KQ38" s="221">
        <f t="shared" si="81"/>
        <v>0</v>
      </c>
      <c r="KR38" s="221">
        <f t="shared" si="82"/>
        <v>0</v>
      </c>
      <c r="KT38" s="195">
        <f t="shared" si="83"/>
        <v>0</v>
      </c>
      <c r="KU38" s="221"/>
      <c r="KV38" s="221"/>
      <c r="KW38" s="221"/>
      <c r="KX38" s="221"/>
      <c r="KY38" s="221"/>
      <c r="KZ38" s="221"/>
      <c r="LA38" s="221"/>
      <c r="LB38" s="221"/>
      <c r="LC38" s="221"/>
      <c r="LD38" s="221"/>
      <c r="LE38" s="221"/>
      <c r="LF38" s="221"/>
      <c r="LG38" s="221"/>
      <c r="LH38" s="221"/>
      <c r="LI38" s="221"/>
      <c r="LJ38" s="221"/>
      <c r="LK38" s="221"/>
      <c r="LL38" s="221"/>
      <c r="LM38" s="221"/>
      <c r="LN38" s="221"/>
      <c r="LO38" s="221"/>
      <c r="LP38" s="221"/>
      <c r="LQ38" s="221"/>
      <c r="LR38" s="221"/>
      <c r="LS38" s="221"/>
      <c r="LT38" s="221"/>
      <c r="LU38" s="221"/>
      <c r="LV38" s="221"/>
      <c r="LW38" s="221"/>
      <c r="LX38" s="221"/>
      <c r="LY38" s="221"/>
      <c r="LZ38" s="221"/>
      <c r="MA38" s="221"/>
      <c r="MB38" s="221"/>
      <c r="MC38" s="221"/>
      <c r="MD38" s="221"/>
      <c r="ME38" s="221"/>
      <c r="MF38" s="221"/>
      <c r="MG38" s="221"/>
      <c r="MH38" s="221"/>
      <c r="MI38" s="221"/>
      <c r="MJ38" s="221"/>
      <c r="MK38" s="221"/>
      <c r="ML38" s="221"/>
      <c r="MM38" s="221"/>
      <c r="MN38" s="221"/>
      <c r="MO38" s="221"/>
      <c r="MP38" s="221"/>
      <c r="MQ38" s="221"/>
      <c r="MR38" s="221"/>
      <c r="MS38" s="221"/>
      <c r="MT38" s="221"/>
      <c r="MU38" s="221"/>
      <c r="MV38" s="221"/>
      <c r="MW38" s="221"/>
      <c r="MX38" s="221"/>
      <c r="MY38" s="221"/>
      <c r="MZ38" s="221"/>
      <c r="NA38" s="221"/>
      <c r="NB38" s="221"/>
      <c r="NC38" s="221"/>
      <c r="ND38" s="221"/>
      <c r="NE38" s="221"/>
      <c r="NF38" s="221"/>
      <c r="NG38" s="221"/>
      <c r="NH38" s="221"/>
      <c r="NI38" s="221"/>
      <c r="NJ38" s="221"/>
      <c r="NK38" s="221"/>
      <c r="NM38" s="195">
        <f t="shared" si="178"/>
        <v>0</v>
      </c>
      <c r="NN38" s="195">
        <f t="shared" si="179"/>
        <v>0</v>
      </c>
      <c r="NO38" s="195">
        <f t="shared" si="180"/>
        <v>0</v>
      </c>
      <c r="NP38" s="195">
        <f t="shared" si="181"/>
        <v>0</v>
      </c>
      <c r="NQ38" s="195">
        <f t="shared" si="182"/>
        <v>0</v>
      </c>
      <c r="NR38" s="195">
        <f t="shared" si="183"/>
        <v>0</v>
      </c>
      <c r="NS38" s="195">
        <f t="shared" si="184"/>
        <v>0</v>
      </c>
      <c r="NT38" s="195">
        <f t="shared" si="185"/>
        <v>0</v>
      </c>
      <c r="NU38" s="196">
        <f t="shared" si="186"/>
        <v>0</v>
      </c>
      <c r="NY38" s="215">
        <f t="shared" si="187"/>
        <v>0</v>
      </c>
      <c r="NZ38" s="222">
        <v>12250000</v>
      </c>
      <c r="OE38" s="207">
        <f t="shared" si="85"/>
        <v>0</v>
      </c>
      <c r="OF38" s="207">
        <f t="shared" si="86"/>
        <v>0</v>
      </c>
      <c r="OG38" s="207">
        <f t="shared" si="87"/>
        <v>0</v>
      </c>
      <c r="OH38" s="207">
        <f t="shared" si="188"/>
        <v>1</v>
      </c>
      <c r="OI38" s="207">
        <f t="shared" si="88"/>
        <v>0</v>
      </c>
      <c r="OJ38" s="199">
        <f t="shared" si="189"/>
        <v>0</v>
      </c>
      <c r="OK38" s="199">
        <f t="shared" si="190"/>
        <v>0</v>
      </c>
      <c r="OL38" s="199">
        <f t="shared" si="191"/>
        <v>0</v>
      </c>
      <c r="OM38" s="199">
        <f t="shared" si="192"/>
        <v>0</v>
      </c>
      <c r="OO38" s="207">
        <f t="shared" si="89"/>
        <v>0</v>
      </c>
      <c r="OP38" s="207">
        <f t="shared" si="90"/>
        <v>0</v>
      </c>
      <c r="OQ38" s="207">
        <f t="shared" si="193"/>
        <v>0</v>
      </c>
      <c r="OR38" s="207">
        <f t="shared" si="194"/>
        <v>1</v>
      </c>
      <c r="OS38" s="207">
        <f t="shared" si="195"/>
        <v>0</v>
      </c>
      <c r="OT38" s="199">
        <f t="shared" si="196"/>
        <v>0</v>
      </c>
      <c r="OU38" s="199">
        <f t="shared" si="197"/>
        <v>0</v>
      </c>
      <c r="OV38" s="199">
        <f t="shared" si="198"/>
        <v>0</v>
      </c>
      <c r="OW38" s="199">
        <f t="shared" si="199"/>
        <v>0</v>
      </c>
      <c r="OZ38" s="208">
        <f t="shared" si="91"/>
        <v>0</v>
      </c>
      <c r="PA38" s="209"/>
      <c r="PB38" s="209"/>
      <c r="PC38" s="209"/>
      <c r="PD38" s="210">
        <f t="shared" si="200"/>
        <v>0</v>
      </c>
      <c r="PE38" s="210"/>
      <c r="PF38" s="210">
        <f t="shared" si="201"/>
        <v>0</v>
      </c>
      <c r="PG38" s="210">
        <f t="shared" si="202"/>
        <v>0</v>
      </c>
      <c r="PH38" s="210">
        <f t="shared" si="92"/>
        <v>0</v>
      </c>
      <c r="PI38" s="210">
        <f t="shared" si="93"/>
        <v>0</v>
      </c>
      <c r="PJ38" s="210">
        <f t="shared" si="94"/>
        <v>0</v>
      </c>
      <c r="PK38" s="210">
        <f t="shared" si="95"/>
        <v>0</v>
      </c>
      <c r="PL38" s="210">
        <f t="shared" si="96"/>
        <v>0</v>
      </c>
      <c r="PM38" s="211"/>
      <c r="PN38" s="211"/>
      <c r="PO38" s="212">
        <f t="shared" si="203"/>
        <v>80</v>
      </c>
      <c r="PP38" s="212">
        <f t="shared" si="204"/>
        <v>0</v>
      </c>
      <c r="PQ38" s="212">
        <f t="shared" si="205"/>
        <v>0</v>
      </c>
      <c r="PR38" s="211"/>
      <c r="PS38" s="211"/>
      <c r="PT38" s="211"/>
      <c r="PU38" s="211"/>
      <c r="XFC38" s="195">
        <v>1061263000</v>
      </c>
    </row>
    <row r="39" spans="1:437 16383:16383" s="195" customFormat="1" ht="16" x14ac:dyDescent="0.2">
      <c r="A39" s="213">
        <f t="shared" si="206"/>
        <v>30</v>
      </c>
      <c r="B39" s="186" t="s">
        <v>53</v>
      </c>
      <c r="C39" s="186">
        <v>33</v>
      </c>
      <c r="D39" s="188">
        <v>1</v>
      </c>
      <c r="E39" s="188">
        <v>124</v>
      </c>
      <c r="F39" s="188">
        <v>1</v>
      </c>
      <c r="G39" s="188">
        <f t="shared" si="97"/>
        <v>124</v>
      </c>
      <c r="H39" s="214">
        <f t="shared" si="98"/>
        <v>1</v>
      </c>
      <c r="I39" s="214">
        <f t="shared" si="99"/>
        <v>1</v>
      </c>
      <c r="J39" s="188">
        <v>1</v>
      </c>
      <c r="K39" s="188">
        <f t="shared" si="100"/>
        <v>124</v>
      </c>
      <c r="L39" s="214">
        <f t="shared" si="101"/>
        <v>1</v>
      </c>
      <c r="M39" s="214">
        <f t="shared" si="102"/>
        <v>1</v>
      </c>
      <c r="N39" s="188">
        <v>1</v>
      </c>
      <c r="O39" s="188">
        <f t="shared" si="103"/>
        <v>124</v>
      </c>
      <c r="P39" s="214">
        <f t="shared" si="104"/>
        <v>1</v>
      </c>
      <c r="Q39" s="214">
        <f t="shared" si="105"/>
        <v>1</v>
      </c>
      <c r="R39" s="188">
        <v>1</v>
      </c>
      <c r="S39" s="188">
        <f t="shared" si="106"/>
        <v>124</v>
      </c>
      <c r="T39" s="214">
        <f t="shared" si="107"/>
        <v>1</v>
      </c>
      <c r="U39" s="214">
        <f t="shared" si="108"/>
        <v>1</v>
      </c>
      <c r="V39" s="215">
        <v>1</v>
      </c>
      <c r="W39" s="188">
        <f t="shared" si="109"/>
        <v>124</v>
      </c>
      <c r="X39" s="214">
        <f t="shared" si="110"/>
        <v>1</v>
      </c>
      <c r="Y39" s="214">
        <f t="shared" si="111"/>
        <v>1</v>
      </c>
      <c r="Z39" s="216">
        <f>2865928000/1000000000</f>
        <v>2.8659279999999998</v>
      </c>
      <c r="AA39" s="188">
        <v>0</v>
      </c>
      <c r="AB39" s="188">
        <f t="shared" si="112"/>
        <v>0</v>
      </c>
      <c r="AC39" s="214">
        <f t="shared" si="113"/>
        <v>0</v>
      </c>
      <c r="AD39" s="214">
        <f t="shared" si="114"/>
        <v>0</v>
      </c>
      <c r="AE39" s="188"/>
      <c r="AF39" s="188">
        <f t="shared" si="115"/>
        <v>0</v>
      </c>
      <c r="AG39" s="223"/>
      <c r="AH39" s="188"/>
      <c r="AI39" s="188">
        <v>1</v>
      </c>
      <c r="AJ39" s="188">
        <f t="shared" si="2"/>
        <v>124</v>
      </c>
      <c r="AK39" s="188" t="s">
        <v>304</v>
      </c>
      <c r="AL39" s="188">
        <v>0</v>
      </c>
      <c r="AM39" s="188">
        <v>0</v>
      </c>
      <c r="AN39" s="217"/>
      <c r="AO39" s="188">
        <f t="shared" si="207"/>
        <v>1</v>
      </c>
      <c r="AP39" s="188">
        <f t="shared" si="208"/>
        <v>124</v>
      </c>
      <c r="AQ39" s="188">
        <f t="shared" si="5"/>
        <v>1</v>
      </c>
      <c r="AR39" s="188">
        <f t="shared" si="6"/>
        <v>124</v>
      </c>
      <c r="AS39" s="188">
        <f t="shared" si="7"/>
        <v>1</v>
      </c>
      <c r="AT39" s="188">
        <f t="shared" si="8"/>
        <v>124</v>
      </c>
      <c r="AU39" s="188">
        <f t="shared" si="209"/>
        <v>1</v>
      </c>
      <c r="AV39" s="188">
        <f t="shared" si="210"/>
        <v>124</v>
      </c>
      <c r="AW39" s="188">
        <f t="shared" si="211"/>
        <v>1</v>
      </c>
      <c r="AX39" s="188">
        <f t="shared" si="212"/>
        <v>124</v>
      </c>
      <c r="AY39" s="188">
        <f t="shared" si="116"/>
        <v>0</v>
      </c>
      <c r="AZ39" s="188">
        <f t="shared" si="117"/>
        <v>0</v>
      </c>
      <c r="BA39" s="188">
        <f t="shared" si="14"/>
        <v>2.8659279999999998</v>
      </c>
      <c r="BB39" s="188">
        <f t="shared" si="15"/>
        <v>0</v>
      </c>
      <c r="BD39" s="196">
        <f t="shared" si="118"/>
        <v>0</v>
      </c>
      <c r="BE39" s="188">
        <f t="shared" si="16"/>
        <v>0</v>
      </c>
      <c r="BF39" s="188">
        <f t="shared" si="17"/>
        <v>0</v>
      </c>
      <c r="BG39" s="188">
        <f t="shared" si="18"/>
        <v>0</v>
      </c>
      <c r="BH39" s="188">
        <f t="shared" si="19"/>
        <v>0</v>
      </c>
      <c r="BI39" s="188">
        <f t="shared" si="20"/>
        <v>0</v>
      </c>
      <c r="BJ39" s="188">
        <f t="shared" si="21"/>
        <v>0</v>
      </c>
      <c r="BK39" s="188">
        <f t="shared" si="22"/>
        <v>0</v>
      </c>
      <c r="BN39" s="143"/>
      <c r="BO39" s="277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B39" s="188"/>
      <c r="CD39" s="188">
        <f t="shared" si="23"/>
        <v>0</v>
      </c>
      <c r="CE39" s="188">
        <f t="shared" si="24"/>
        <v>0</v>
      </c>
      <c r="CF39" s="188">
        <f t="shared" si="25"/>
        <v>0</v>
      </c>
      <c r="CG39" s="188">
        <f t="shared" si="26"/>
        <v>0</v>
      </c>
      <c r="CH39" s="188">
        <f t="shared" si="27"/>
        <v>0</v>
      </c>
      <c r="CI39" s="188">
        <f t="shared" si="28"/>
        <v>0</v>
      </c>
      <c r="CJ39" s="188">
        <f t="shared" si="29"/>
        <v>0</v>
      </c>
      <c r="CK39" s="188">
        <f t="shared" si="30"/>
        <v>0</v>
      </c>
      <c r="CL39" s="188">
        <f t="shared" si="31"/>
        <v>0</v>
      </c>
      <c r="CM39" s="188">
        <f t="shared" si="32"/>
        <v>0</v>
      </c>
      <c r="CN39" s="188">
        <f t="shared" si="33"/>
        <v>0</v>
      </c>
      <c r="CO39" s="188">
        <f t="shared" si="34"/>
        <v>0</v>
      </c>
      <c r="CP39" s="188">
        <f t="shared" si="35"/>
        <v>0</v>
      </c>
      <c r="DV39" s="188">
        <f t="shared" si="36"/>
        <v>0</v>
      </c>
      <c r="DW39" s="188">
        <f t="shared" si="37"/>
        <v>0</v>
      </c>
      <c r="DX39" s="188">
        <f t="shared" si="38"/>
        <v>0</v>
      </c>
      <c r="DY39" s="188">
        <f t="shared" si="39"/>
        <v>0</v>
      </c>
      <c r="DZ39" s="188">
        <f t="shared" si="40"/>
        <v>0</v>
      </c>
      <c r="EA39" s="188">
        <f t="shared" si="41"/>
        <v>0</v>
      </c>
      <c r="EB39" s="188">
        <f t="shared" si="42"/>
        <v>0</v>
      </c>
      <c r="EG39" s="220">
        <f t="shared" si="43"/>
        <v>0</v>
      </c>
      <c r="EH39" s="220">
        <f t="shared" si="44"/>
        <v>0</v>
      </c>
      <c r="EI39" s="188"/>
      <c r="EJ39" s="188"/>
      <c r="EK39" s="188"/>
      <c r="EL39" s="188"/>
      <c r="EM39" s="188"/>
      <c r="EN39" s="188"/>
      <c r="EO39" s="188"/>
      <c r="EP39" s="188"/>
      <c r="EQ39" s="188"/>
      <c r="ER39" s="188"/>
      <c r="ES39" s="188"/>
      <c r="ET39" s="188"/>
      <c r="EU39" s="188"/>
      <c r="EV39" s="188"/>
      <c r="EW39" s="188"/>
      <c r="EX39" s="188"/>
      <c r="EY39" s="188"/>
      <c r="EZ39" s="188"/>
      <c r="FA39" s="188"/>
      <c r="FB39" s="188"/>
      <c r="FC39" s="188"/>
      <c r="FD39" s="188"/>
      <c r="FE39" s="188"/>
      <c r="FF39" s="188"/>
      <c r="FH39" s="189"/>
      <c r="FI39" s="189"/>
      <c r="FJ39" s="189"/>
      <c r="FK39" s="189"/>
      <c r="FL39" s="189"/>
      <c r="FM39" s="189"/>
      <c r="FN39" s="189"/>
      <c r="FO39" s="189"/>
      <c r="FP39" s="189"/>
      <c r="FQ39" s="189"/>
      <c r="FR39" s="189"/>
      <c r="FS39" s="189"/>
      <c r="FT39" s="189"/>
      <c r="FU39" s="189"/>
      <c r="FV39" s="189"/>
      <c r="FX39" s="217"/>
      <c r="FY39" s="188">
        <f t="shared" si="45"/>
        <v>0</v>
      </c>
      <c r="FZ39" s="188">
        <f t="shared" si="46"/>
        <v>0</v>
      </c>
      <c r="GA39" s="188">
        <f t="shared" si="47"/>
        <v>0</v>
      </c>
      <c r="GB39" s="188">
        <f t="shared" si="48"/>
        <v>0</v>
      </c>
      <c r="GC39" s="188">
        <f t="shared" si="49"/>
        <v>0</v>
      </c>
      <c r="GD39" s="188">
        <f t="shared" si="50"/>
        <v>0</v>
      </c>
      <c r="GE39" s="188">
        <f t="shared" si="51"/>
        <v>0</v>
      </c>
      <c r="GF39" s="199"/>
      <c r="GG39" s="189">
        <v>0</v>
      </c>
      <c r="GH39" s="189">
        <v>0</v>
      </c>
      <c r="GI39" s="199"/>
      <c r="GJ39" s="200">
        <f t="shared" si="52"/>
        <v>0</v>
      </c>
      <c r="GK39" s="200">
        <f t="shared" si="53"/>
        <v>0</v>
      </c>
      <c r="GO39" s="189">
        <f t="shared" si="119"/>
        <v>0</v>
      </c>
      <c r="GP39" s="189">
        <f t="shared" si="120"/>
        <v>0</v>
      </c>
      <c r="GQ39" s="189">
        <f t="shared" si="121"/>
        <v>0</v>
      </c>
      <c r="GR39" s="189">
        <f t="shared" si="122"/>
        <v>0</v>
      </c>
      <c r="GS39" s="189">
        <f t="shared" si="123"/>
        <v>0</v>
      </c>
      <c r="GT39" s="189">
        <f t="shared" si="124"/>
        <v>1</v>
      </c>
      <c r="GU39" s="201">
        <f t="shared" si="125"/>
        <v>43243</v>
      </c>
      <c r="GV39" s="189" t="str">
        <f t="shared" si="126"/>
        <v>SELESAI</v>
      </c>
      <c r="GW39" s="189">
        <f t="shared" si="127"/>
        <v>0</v>
      </c>
      <c r="GX39" s="202" t="str">
        <f t="shared" si="128"/>
        <v>SELESAI</v>
      </c>
      <c r="GY39" s="202">
        <f t="shared" si="129"/>
        <v>0</v>
      </c>
      <c r="GZ39" s="203" t="str">
        <f t="shared" si="130"/>
        <v>SELESAI</v>
      </c>
      <c r="HA39" s="204"/>
      <c r="HB39" s="204"/>
      <c r="HC39" s="189">
        <f t="shared" si="131"/>
        <v>0</v>
      </c>
      <c r="HD39" s="189">
        <f t="shared" si="132"/>
        <v>0</v>
      </c>
      <c r="HE39" s="189">
        <f t="shared" si="133"/>
        <v>0</v>
      </c>
      <c r="HF39" s="189">
        <f t="shared" si="134"/>
        <v>0</v>
      </c>
      <c r="HG39" s="189">
        <f t="shared" si="135"/>
        <v>0</v>
      </c>
      <c r="HH39" s="201" t="str">
        <f t="shared" si="136"/>
        <v>TIDAK KONSINYASI</v>
      </c>
      <c r="HI39" s="201" t="str">
        <f t="shared" si="137"/>
        <v>SELESAI</v>
      </c>
      <c r="HJ39" s="205"/>
      <c r="HK39" s="201">
        <f t="shared" si="138"/>
        <v>0</v>
      </c>
      <c r="HL39" s="204"/>
      <c r="HM39" s="204"/>
      <c r="HN39" s="204"/>
      <c r="HO39" s="204"/>
      <c r="HP39" s="203">
        <f t="shared" si="139"/>
        <v>0</v>
      </c>
      <c r="HQ39" s="202">
        <f t="shared" si="140"/>
        <v>0</v>
      </c>
      <c r="HR39" s="202">
        <f t="shared" si="141"/>
        <v>0</v>
      </c>
      <c r="HS39" s="203">
        <f t="shared" si="142"/>
        <v>0</v>
      </c>
      <c r="HT39" s="202">
        <f t="shared" si="143"/>
        <v>0</v>
      </c>
      <c r="HU39" s="202">
        <f t="shared" si="144"/>
        <v>0</v>
      </c>
      <c r="HV39" s="203">
        <f t="shared" si="145"/>
        <v>0</v>
      </c>
      <c r="HW39" s="202">
        <f t="shared" si="146"/>
        <v>0</v>
      </c>
      <c r="HX39" s="202">
        <f t="shared" si="147"/>
        <v>0</v>
      </c>
      <c r="HY39" s="203">
        <f t="shared" si="148"/>
        <v>0</v>
      </c>
      <c r="HZ39" s="202">
        <f t="shared" si="149"/>
        <v>0</v>
      </c>
      <c r="IA39" s="202">
        <f t="shared" si="150"/>
        <v>0</v>
      </c>
      <c r="IB39" s="203">
        <f t="shared" si="151"/>
        <v>0</v>
      </c>
      <c r="IC39" s="202">
        <f t="shared" si="152"/>
        <v>0</v>
      </c>
      <c r="ID39" s="202">
        <f t="shared" si="153"/>
        <v>0</v>
      </c>
      <c r="IE39" s="203">
        <f t="shared" si="154"/>
        <v>0</v>
      </c>
      <c r="IF39" s="202">
        <f t="shared" si="155"/>
        <v>0</v>
      </c>
      <c r="IG39" s="202">
        <f t="shared" si="156"/>
        <v>0</v>
      </c>
      <c r="IH39" s="203">
        <f t="shared" si="157"/>
        <v>0</v>
      </c>
      <c r="II39" s="202">
        <f t="shared" si="158"/>
        <v>0</v>
      </c>
      <c r="IJ39" s="202">
        <f t="shared" si="159"/>
        <v>0</v>
      </c>
      <c r="IK39" s="203">
        <f t="shared" si="160"/>
        <v>0</v>
      </c>
      <c r="IL39" s="202">
        <f t="shared" si="161"/>
        <v>0</v>
      </c>
      <c r="IM39" s="202">
        <f t="shared" si="162"/>
        <v>0</v>
      </c>
      <c r="IN39" s="204"/>
      <c r="IO39" s="203">
        <f t="shared" si="163"/>
        <v>0</v>
      </c>
      <c r="IP39" s="202">
        <f t="shared" si="164"/>
        <v>0</v>
      </c>
      <c r="IQ39" s="202">
        <f t="shared" si="165"/>
        <v>0</v>
      </c>
      <c r="IR39" s="204"/>
      <c r="IS39" s="203"/>
      <c r="IT39" s="202">
        <f t="shared" si="166"/>
        <v>1</v>
      </c>
      <c r="IU39" s="202">
        <f t="shared" si="167"/>
        <v>124</v>
      </c>
      <c r="IV39" s="204"/>
      <c r="IW39" s="203"/>
      <c r="IX39" s="202">
        <f t="shared" si="168"/>
        <v>0</v>
      </c>
      <c r="IY39" s="202">
        <f t="shared" si="169"/>
        <v>0</v>
      </c>
      <c r="IZ39" s="204"/>
      <c r="JA39" s="203"/>
      <c r="JB39" s="202">
        <f t="shared" si="170"/>
        <v>0</v>
      </c>
      <c r="JC39" s="202">
        <f t="shared" si="171"/>
        <v>0</v>
      </c>
      <c r="JD39" s="204"/>
      <c r="JE39" s="203"/>
      <c r="JF39" s="202">
        <f t="shared" si="172"/>
        <v>1</v>
      </c>
      <c r="JG39" s="202">
        <f t="shared" si="173"/>
        <v>124</v>
      </c>
      <c r="JH39" s="204"/>
      <c r="JI39" s="203"/>
      <c r="JJ39" s="202">
        <f t="shared" si="174"/>
        <v>0</v>
      </c>
      <c r="JK39" s="202">
        <f t="shared" si="175"/>
        <v>0</v>
      </c>
      <c r="JM39" s="203">
        <f t="shared" si="176"/>
        <v>0</v>
      </c>
      <c r="JO39" s="196">
        <f t="shared" si="54"/>
        <v>0</v>
      </c>
      <c r="JP39" s="189">
        <f t="shared" si="55"/>
        <v>0</v>
      </c>
      <c r="JQ39" s="189">
        <f t="shared" si="56"/>
        <v>0</v>
      </c>
      <c r="JR39" s="189">
        <f t="shared" si="57"/>
        <v>0</v>
      </c>
      <c r="JS39" s="189">
        <f t="shared" si="58"/>
        <v>0</v>
      </c>
      <c r="JT39" s="189">
        <f t="shared" si="59"/>
        <v>0</v>
      </c>
      <c r="JU39" s="189">
        <f t="shared" si="60"/>
        <v>0</v>
      </c>
      <c r="JV39" s="189">
        <f t="shared" si="61"/>
        <v>0</v>
      </c>
      <c r="JW39" s="189">
        <f t="shared" si="62"/>
        <v>0</v>
      </c>
      <c r="JX39" s="189">
        <f t="shared" si="63"/>
        <v>0</v>
      </c>
      <c r="JY39" s="189">
        <f t="shared" si="64"/>
        <v>0</v>
      </c>
      <c r="JZ39" s="189">
        <f t="shared" si="65"/>
        <v>0</v>
      </c>
      <c r="KA39" s="189">
        <f t="shared" si="66"/>
        <v>0</v>
      </c>
      <c r="KB39" s="189">
        <f t="shared" si="67"/>
        <v>0</v>
      </c>
      <c r="KD39" s="206">
        <f t="shared" si="177"/>
        <v>0</v>
      </c>
      <c r="KE39" s="206">
        <f t="shared" si="69"/>
        <v>0</v>
      </c>
      <c r="KF39" s="206">
        <f t="shared" si="70"/>
        <v>0</v>
      </c>
      <c r="KG39" s="206">
        <f t="shared" si="71"/>
        <v>0</v>
      </c>
      <c r="KH39" s="206">
        <f t="shared" si="72"/>
        <v>0</v>
      </c>
      <c r="KI39" s="206">
        <f t="shared" si="73"/>
        <v>0</v>
      </c>
      <c r="KJ39" s="206">
        <f t="shared" si="74"/>
        <v>0</v>
      </c>
      <c r="KK39" s="206">
        <f t="shared" si="75"/>
        <v>0</v>
      </c>
      <c r="KL39" s="206">
        <f t="shared" si="76"/>
        <v>0</v>
      </c>
      <c r="KM39" s="206">
        <f t="shared" si="77"/>
        <v>0</v>
      </c>
      <c r="KN39" s="221">
        <f t="shared" si="78"/>
        <v>0</v>
      </c>
      <c r="KO39" s="221">
        <f t="shared" si="79"/>
        <v>0</v>
      </c>
      <c r="KP39" s="221">
        <f t="shared" si="80"/>
        <v>0</v>
      </c>
      <c r="KQ39" s="221">
        <f t="shared" si="81"/>
        <v>0</v>
      </c>
      <c r="KR39" s="221">
        <f t="shared" si="82"/>
        <v>0</v>
      </c>
      <c r="KT39" s="195">
        <f t="shared" si="83"/>
        <v>0</v>
      </c>
      <c r="KU39" s="221"/>
      <c r="KV39" s="221"/>
      <c r="KW39" s="221"/>
      <c r="KX39" s="221"/>
      <c r="KY39" s="221"/>
      <c r="KZ39" s="221"/>
      <c r="LA39" s="221"/>
      <c r="LB39" s="221"/>
      <c r="LC39" s="221"/>
      <c r="LD39" s="221"/>
      <c r="LE39" s="221"/>
      <c r="LF39" s="221"/>
      <c r="LG39" s="221"/>
      <c r="LH39" s="221"/>
      <c r="LI39" s="221"/>
      <c r="LJ39" s="221"/>
      <c r="LK39" s="221"/>
      <c r="LL39" s="221"/>
      <c r="LM39" s="221"/>
      <c r="LN39" s="221"/>
      <c r="LO39" s="221"/>
      <c r="LP39" s="221"/>
      <c r="LQ39" s="221"/>
      <c r="LR39" s="221"/>
      <c r="LS39" s="221"/>
      <c r="LT39" s="221"/>
      <c r="LU39" s="221"/>
      <c r="LV39" s="221"/>
      <c r="LW39" s="221"/>
      <c r="LX39" s="221"/>
      <c r="LY39" s="221"/>
      <c r="LZ39" s="221"/>
      <c r="MA39" s="221"/>
      <c r="MB39" s="221"/>
      <c r="MC39" s="221"/>
      <c r="MD39" s="221"/>
      <c r="ME39" s="221"/>
      <c r="MF39" s="221"/>
      <c r="MG39" s="221"/>
      <c r="MH39" s="221"/>
      <c r="MI39" s="221"/>
      <c r="MJ39" s="221"/>
      <c r="MK39" s="221"/>
      <c r="ML39" s="221"/>
      <c r="MM39" s="221"/>
      <c r="MN39" s="221"/>
      <c r="MO39" s="221"/>
      <c r="MP39" s="221"/>
      <c r="MQ39" s="221"/>
      <c r="MR39" s="221"/>
      <c r="MS39" s="221"/>
      <c r="MT39" s="221"/>
      <c r="MU39" s="221"/>
      <c r="MV39" s="221"/>
      <c r="MW39" s="221"/>
      <c r="MX39" s="221"/>
      <c r="MY39" s="221"/>
      <c r="MZ39" s="221"/>
      <c r="NA39" s="221"/>
      <c r="NB39" s="221"/>
      <c r="NC39" s="221"/>
      <c r="ND39" s="221"/>
      <c r="NE39" s="221"/>
      <c r="NF39" s="221"/>
      <c r="NG39" s="221"/>
      <c r="NH39" s="221"/>
      <c r="NI39" s="221"/>
      <c r="NJ39" s="221"/>
      <c r="NK39" s="221"/>
      <c r="NM39" s="195">
        <f t="shared" si="178"/>
        <v>0</v>
      </c>
      <c r="NN39" s="195">
        <f t="shared" si="179"/>
        <v>0</v>
      </c>
      <c r="NO39" s="195">
        <f t="shared" si="180"/>
        <v>0</v>
      </c>
      <c r="NP39" s="195">
        <f t="shared" si="181"/>
        <v>0</v>
      </c>
      <c r="NQ39" s="195">
        <f t="shared" si="182"/>
        <v>0</v>
      </c>
      <c r="NR39" s="195">
        <f t="shared" si="183"/>
        <v>0</v>
      </c>
      <c r="NS39" s="195">
        <f t="shared" si="184"/>
        <v>0</v>
      </c>
      <c r="NT39" s="195">
        <f t="shared" si="185"/>
        <v>0</v>
      </c>
      <c r="NU39" s="196">
        <f t="shared" si="186"/>
        <v>0</v>
      </c>
      <c r="NY39" s="215">
        <f t="shared" si="187"/>
        <v>1</v>
      </c>
      <c r="NZ39" s="222">
        <v>12500000</v>
      </c>
      <c r="OE39" s="207">
        <f t="shared" si="85"/>
        <v>0</v>
      </c>
      <c r="OF39" s="207">
        <f t="shared" si="86"/>
        <v>0</v>
      </c>
      <c r="OG39" s="207">
        <f t="shared" si="87"/>
        <v>0</v>
      </c>
      <c r="OH39" s="207">
        <f t="shared" si="188"/>
        <v>0</v>
      </c>
      <c r="OI39" s="207">
        <f t="shared" si="88"/>
        <v>0</v>
      </c>
      <c r="OJ39" s="199">
        <f t="shared" si="189"/>
        <v>0</v>
      </c>
      <c r="OK39" s="199">
        <f t="shared" si="190"/>
        <v>0</v>
      </c>
      <c r="OL39" s="199">
        <f t="shared" si="191"/>
        <v>0</v>
      </c>
      <c r="OM39" s="199">
        <f t="shared" si="192"/>
        <v>0</v>
      </c>
      <c r="OO39" s="207">
        <f t="shared" si="89"/>
        <v>0</v>
      </c>
      <c r="OP39" s="207">
        <f t="shared" si="90"/>
        <v>0</v>
      </c>
      <c r="OQ39" s="207">
        <f t="shared" si="193"/>
        <v>0</v>
      </c>
      <c r="OR39" s="207">
        <f t="shared" si="194"/>
        <v>0</v>
      </c>
      <c r="OS39" s="207">
        <f t="shared" si="195"/>
        <v>0</v>
      </c>
      <c r="OT39" s="199">
        <f t="shared" si="196"/>
        <v>0</v>
      </c>
      <c r="OU39" s="199">
        <f t="shared" si="197"/>
        <v>0</v>
      </c>
      <c r="OV39" s="199">
        <f t="shared" si="198"/>
        <v>0</v>
      </c>
      <c r="OW39" s="199">
        <f t="shared" si="199"/>
        <v>0</v>
      </c>
      <c r="OZ39" s="208">
        <f t="shared" si="91"/>
        <v>0</v>
      </c>
      <c r="PA39" s="209"/>
      <c r="PB39" s="209"/>
      <c r="PC39" s="209"/>
      <c r="PD39" s="210">
        <f t="shared" si="200"/>
        <v>0</v>
      </c>
      <c r="PE39" s="210"/>
      <c r="PF39" s="210">
        <f t="shared" si="201"/>
        <v>0</v>
      </c>
      <c r="PG39" s="210">
        <f t="shared" si="202"/>
        <v>0</v>
      </c>
      <c r="PH39" s="210">
        <f t="shared" si="92"/>
        <v>0</v>
      </c>
      <c r="PI39" s="210">
        <f t="shared" si="93"/>
        <v>0</v>
      </c>
      <c r="PJ39" s="210">
        <f t="shared" si="94"/>
        <v>0</v>
      </c>
      <c r="PK39" s="210">
        <f t="shared" si="95"/>
        <v>0</v>
      </c>
      <c r="PL39" s="210">
        <f t="shared" si="96"/>
        <v>0</v>
      </c>
      <c r="PM39" s="211"/>
      <c r="PN39" s="211"/>
      <c r="PO39" s="212">
        <f t="shared" si="203"/>
        <v>0</v>
      </c>
      <c r="PP39" s="212">
        <f t="shared" si="204"/>
        <v>0</v>
      </c>
      <c r="PQ39" s="212">
        <f t="shared" si="205"/>
        <v>0</v>
      </c>
      <c r="PR39" s="211"/>
      <c r="PS39" s="211"/>
      <c r="PT39" s="211"/>
      <c r="PU39" s="211"/>
    </row>
    <row r="40" spans="1:437 16383:16383" s="195" customFormat="1" ht="16" x14ac:dyDescent="0.2">
      <c r="A40" s="213">
        <f t="shared" si="206"/>
        <v>31</v>
      </c>
      <c r="B40" s="186" t="s">
        <v>54</v>
      </c>
      <c r="C40" s="186">
        <v>34</v>
      </c>
      <c r="D40" s="188">
        <v>1</v>
      </c>
      <c r="E40" s="188">
        <v>195</v>
      </c>
      <c r="F40" s="188">
        <v>1</v>
      </c>
      <c r="G40" s="188">
        <f t="shared" si="97"/>
        <v>195</v>
      </c>
      <c r="H40" s="214">
        <f t="shared" ref="H40:H70" si="213">F40/$D40</f>
        <v>1</v>
      </c>
      <c r="I40" s="214">
        <f t="shared" ref="I40:I70" si="214">G40/$E40</f>
        <v>1</v>
      </c>
      <c r="J40" s="188">
        <v>1</v>
      </c>
      <c r="K40" s="188">
        <f t="shared" ref="K40:K70" si="215">IF(J40=D40,E40,0)</f>
        <v>195</v>
      </c>
      <c r="L40" s="214">
        <f t="shared" ref="L40:L70" si="216">J40/$D40</f>
        <v>1</v>
      </c>
      <c r="M40" s="214">
        <f t="shared" ref="M40:M70" si="217">K40/$E40</f>
        <v>1</v>
      </c>
      <c r="N40" s="188">
        <v>1</v>
      </c>
      <c r="O40" s="188">
        <f t="shared" ref="O40:O70" si="218">IF(N40=D40,E40,0)</f>
        <v>195</v>
      </c>
      <c r="P40" s="214">
        <f t="shared" ref="P40:P70" si="219">N40/$D40</f>
        <v>1</v>
      </c>
      <c r="Q40" s="214">
        <f t="shared" ref="Q40:Q70" si="220">O40/$E40</f>
        <v>1</v>
      </c>
      <c r="R40" s="188">
        <v>1</v>
      </c>
      <c r="S40" s="188">
        <f t="shared" ref="S40:S70" si="221">IF(R40=D40,E40,0)</f>
        <v>195</v>
      </c>
      <c r="T40" s="214">
        <f t="shared" ref="T40:T70" si="222">R40/$D40</f>
        <v>1</v>
      </c>
      <c r="U40" s="214">
        <f t="shared" ref="U40:U70" si="223">S40/$E40</f>
        <v>1</v>
      </c>
      <c r="V40" s="215">
        <v>1</v>
      </c>
      <c r="W40" s="188">
        <f t="shared" ref="W40:W70" si="224">IF(V40=D40,E40,0)</f>
        <v>195</v>
      </c>
      <c r="X40" s="214">
        <f t="shared" ref="X40:X70" si="225">V40/$D40</f>
        <v>1</v>
      </c>
      <c r="Y40" s="214">
        <f t="shared" ref="Y40:Y70" si="226">W40/$E40</f>
        <v>1</v>
      </c>
      <c r="Z40" s="216">
        <f>6585204000/1000000000</f>
        <v>6.5852040000000001</v>
      </c>
      <c r="AA40" s="188">
        <v>0</v>
      </c>
      <c r="AB40" s="188">
        <f t="shared" si="112"/>
        <v>0</v>
      </c>
      <c r="AC40" s="214">
        <f t="shared" si="113"/>
        <v>0</v>
      </c>
      <c r="AD40" s="214">
        <f t="shared" si="114"/>
        <v>0</v>
      </c>
      <c r="AE40" s="188"/>
      <c r="AF40" s="188">
        <f t="shared" si="115"/>
        <v>0</v>
      </c>
      <c r="AG40" s="223"/>
      <c r="AH40" s="188"/>
      <c r="AI40" s="188">
        <v>1</v>
      </c>
      <c r="AJ40" s="188">
        <f t="shared" si="2"/>
        <v>195</v>
      </c>
      <c r="AK40" s="188" t="s">
        <v>304</v>
      </c>
      <c r="AL40" s="188">
        <v>0</v>
      </c>
      <c r="AM40" s="188">
        <v>0</v>
      </c>
      <c r="AN40" s="217"/>
      <c r="AO40" s="188">
        <f t="shared" si="207"/>
        <v>1</v>
      </c>
      <c r="AP40" s="188">
        <f t="shared" si="208"/>
        <v>195</v>
      </c>
      <c r="AQ40" s="188">
        <f t="shared" ref="AQ40:AQ66" si="227">IF(AI40=1,J40,0)</f>
        <v>1</v>
      </c>
      <c r="AR40" s="188">
        <f t="shared" ref="AR40:AR66" si="228">IF(AQ40=1,K40,0)</f>
        <v>195</v>
      </c>
      <c r="AS40" s="188">
        <f t="shared" ref="AS40:AS66" si="229">IF(AI40=1,N40,0)</f>
        <v>1</v>
      </c>
      <c r="AT40" s="188">
        <f t="shared" ref="AT40:AT66" si="230">IF(AS40=1,O40,0)</f>
        <v>195</v>
      </c>
      <c r="AU40" s="188">
        <f t="shared" si="209"/>
        <v>1</v>
      </c>
      <c r="AV40" s="188">
        <f t="shared" si="210"/>
        <v>195</v>
      </c>
      <c r="AW40" s="188">
        <f t="shared" si="211"/>
        <v>1</v>
      </c>
      <c r="AX40" s="188">
        <f t="shared" si="212"/>
        <v>195</v>
      </c>
      <c r="AY40" s="188">
        <f t="shared" si="116"/>
        <v>0</v>
      </c>
      <c r="AZ40" s="188">
        <f t="shared" si="117"/>
        <v>0</v>
      </c>
      <c r="BA40" s="188">
        <f t="shared" si="14"/>
        <v>6.5852040000000001</v>
      </c>
      <c r="BB40" s="188">
        <f t="shared" si="15"/>
        <v>0</v>
      </c>
      <c r="BD40" s="196">
        <f t="shared" si="118"/>
        <v>0</v>
      </c>
      <c r="BE40" s="188">
        <f t="shared" ref="BE40:BE71" si="231">IF(AF40=1,S40,0)</f>
        <v>0</v>
      </c>
      <c r="BF40" s="188">
        <f t="shared" ref="BF40:BF71" si="232">IF(AG40="A",S40,0)</f>
        <v>0</v>
      </c>
      <c r="BG40" s="188">
        <f t="shared" ref="BG40:BG71" si="233">IF(AG40="B",S40,0)</f>
        <v>0</v>
      </c>
      <c r="BH40" s="188">
        <f t="shared" ref="BH40:BH71" si="234">IF(AG40="C",S40,0)</f>
        <v>0</v>
      </c>
      <c r="BI40" s="188">
        <f t="shared" ref="BI40:BI71" si="235">IF(AG40="D",S40,0)</f>
        <v>0</v>
      </c>
      <c r="BJ40" s="188">
        <f t="shared" ref="BJ40:BJ71" si="236">IF(AG40="E",S40,0)</f>
        <v>0</v>
      </c>
      <c r="BK40" s="188">
        <f t="shared" si="22"/>
        <v>0</v>
      </c>
      <c r="BN40" s="143"/>
      <c r="BO40" s="277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B40" s="188"/>
      <c r="CD40" s="188">
        <f t="shared" si="23"/>
        <v>0</v>
      </c>
      <c r="CE40" s="188">
        <f t="shared" si="24"/>
        <v>0</v>
      </c>
      <c r="CF40" s="188">
        <f t="shared" si="25"/>
        <v>0</v>
      </c>
      <c r="CG40" s="188">
        <f t="shared" si="26"/>
        <v>0</v>
      </c>
      <c r="CH40" s="188">
        <f t="shared" si="27"/>
        <v>0</v>
      </c>
      <c r="CI40" s="188">
        <f t="shared" si="28"/>
        <v>0</v>
      </c>
      <c r="CJ40" s="188">
        <f t="shared" si="29"/>
        <v>0</v>
      </c>
      <c r="CK40" s="188">
        <f t="shared" si="30"/>
        <v>0</v>
      </c>
      <c r="CL40" s="188">
        <f t="shared" si="31"/>
        <v>0</v>
      </c>
      <c r="CM40" s="188">
        <f t="shared" si="32"/>
        <v>0</v>
      </c>
      <c r="CN40" s="188">
        <f t="shared" si="33"/>
        <v>0</v>
      </c>
      <c r="CO40" s="188">
        <f t="shared" si="34"/>
        <v>0</v>
      </c>
      <c r="CP40" s="188">
        <f t="shared" si="35"/>
        <v>0</v>
      </c>
      <c r="DV40" s="188">
        <f t="shared" ref="DV40:DV71" si="237">IF(CB40=1,G40,0)</f>
        <v>0</v>
      </c>
      <c r="DW40" s="188">
        <f t="shared" ref="DW40:DW71" si="238">IF(CC40="A",G40,0)</f>
        <v>0</v>
      </c>
      <c r="DX40" s="188">
        <f t="shared" ref="DX40:DX71" si="239">IF(CC40="B",G40,0)</f>
        <v>0</v>
      </c>
      <c r="DY40" s="188">
        <f t="shared" ref="DY40:DY71" si="240">IF(CC40="C",G40,0)</f>
        <v>0</v>
      </c>
      <c r="DZ40" s="188">
        <f t="shared" ref="DZ40:DZ71" si="241">IF(CC40="D",G40,0)</f>
        <v>0</v>
      </c>
      <c r="EA40" s="188">
        <f t="shared" ref="EA40:EA71" si="242">IF(CC40="E",G40,0)</f>
        <v>0</v>
      </c>
      <c r="EB40" s="188">
        <f t="shared" si="42"/>
        <v>0</v>
      </c>
      <c r="EG40" s="220">
        <f t="shared" si="43"/>
        <v>0</v>
      </c>
      <c r="EH40" s="220">
        <f t="shared" si="44"/>
        <v>0</v>
      </c>
      <c r="EI40" s="188"/>
      <c r="EJ40" s="188"/>
      <c r="EK40" s="188"/>
      <c r="EL40" s="188"/>
      <c r="EM40" s="188"/>
      <c r="EN40" s="188"/>
      <c r="EO40" s="188"/>
      <c r="EP40" s="188"/>
      <c r="EQ40" s="188"/>
      <c r="ER40" s="188"/>
      <c r="ES40" s="188"/>
      <c r="ET40" s="188"/>
      <c r="EU40" s="188"/>
      <c r="EV40" s="188"/>
      <c r="EW40" s="188"/>
      <c r="EX40" s="188"/>
      <c r="EY40" s="188"/>
      <c r="EZ40" s="188"/>
      <c r="FA40" s="188"/>
      <c r="FB40" s="188"/>
      <c r="FC40" s="188"/>
      <c r="FD40" s="188"/>
      <c r="FE40" s="188"/>
      <c r="FF40" s="188"/>
      <c r="FH40" s="189"/>
      <c r="FI40" s="189"/>
      <c r="FJ40" s="189"/>
      <c r="FK40" s="189"/>
      <c r="FL40" s="189"/>
      <c r="FM40" s="189"/>
      <c r="FN40" s="189"/>
      <c r="FO40" s="189"/>
      <c r="FP40" s="189"/>
      <c r="FQ40" s="189"/>
      <c r="FR40" s="189"/>
      <c r="FS40" s="189"/>
      <c r="FT40" s="189"/>
      <c r="FU40" s="189"/>
      <c r="FV40" s="189"/>
      <c r="FX40" s="217"/>
      <c r="FY40" s="188">
        <f t="shared" si="45"/>
        <v>0</v>
      </c>
      <c r="FZ40" s="188">
        <f t="shared" si="46"/>
        <v>0</v>
      </c>
      <c r="GA40" s="188">
        <f t="shared" si="47"/>
        <v>0</v>
      </c>
      <c r="GB40" s="188">
        <f t="shared" si="48"/>
        <v>0</v>
      </c>
      <c r="GC40" s="188">
        <f t="shared" si="49"/>
        <v>0</v>
      </c>
      <c r="GD40" s="188">
        <f t="shared" si="50"/>
        <v>0</v>
      </c>
      <c r="GE40" s="188">
        <f t="shared" si="51"/>
        <v>0</v>
      </c>
      <c r="GF40" s="199"/>
      <c r="GG40" s="189">
        <v>0</v>
      </c>
      <c r="GH40" s="189">
        <v>0</v>
      </c>
      <c r="GI40" s="199"/>
      <c r="GJ40" s="200">
        <f t="shared" si="52"/>
        <v>0</v>
      </c>
      <c r="GK40" s="200">
        <f t="shared" si="53"/>
        <v>0</v>
      </c>
      <c r="GO40" s="189">
        <f t="shared" si="119"/>
        <v>0</v>
      </c>
      <c r="GP40" s="189">
        <f t="shared" si="120"/>
        <v>0</v>
      </c>
      <c r="GQ40" s="189">
        <f t="shared" si="121"/>
        <v>0</v>
      </c>
      <c r="GR40" s="189">
        <f t="shared" si="122"/>
        <v>0</v>
      </c>
      <c r="GS40" s="189">
        <f t="shared" si="123"/>
        <v>0</v>
      </c>
      <c r="GT40" s="189">
        <f t="shared" si="124"/>
        <v>1</v>
      </c>
      <c r="GU40" s="201">
        <f t="shared" si="125"/>
        <v>43243</v>
      </c>
      <c r="GV40" s="189" t="str">
        <f t="shared" si="126"/>
        <v>SELESAI</v>
      </c>
      <c r="GW40" s="189">
        <f t="shared" si="127"/>
        <v>0</v>
      </c>
      <c r="GX40" s="202" t="str">
        <f t="shared" si="128"/>
        <v>SELESAI</v>
      </c>
      <c r="GY40" s="202">
        <f t="shared" si="129"/>
        <v>0</v>
      </c>
      <c r="GZ40" s="203" t="str">
        <f t="shared" si="130"/>
        <v>SELESAI</v>
      </c>
      <c r="HA40" s="204"/>
      <c r="HB40" s="204"/>
      <c r="HC40" s="189">
        <f t="shared" si="131"/>
        <v>0</v>
      </c>
      <c r="HD40" s="189">
        <f t="shared" si="132"/>
        <v>0</v>
      </c>
      <c r="HE40" s="189">
        <f t="shared" si="133"/>
        <v>0</v>
      </c>
      <c r="HF40" s="189">
        <f t="shared" si="134"/>
        <v>0</v>
      </c>
      <c r="HG40" s="189">
        <f t="shared" si="135"/>
        <v>0</v>
      </c>
      <c r="HH40" s="201" t="str">
        <f t="shared" si="136"/>
        <v>TIDAK KONSINYASI</v>
      </c>
      <c r="HI40" s="201" t="str">
        <f t="shared" si="137"/>
        <v>SELESAI</v>
      </c>
      <c r="HJ40" s="205"/>
      <c r="HK40" s="201">
        <f t="shared" si="138"/>
        <v>0</v>
      </c>
      <c r="HL40" s="204"/>
      <c r="HM40" s="204"/>
      <c r="HN40" s="204"/>
      <c r="HO40" s="204"/>
      <c r="HP40" s="203">
        <f t="shared" si="139"/>
        <v>0</v>
      </c>
      <c r="HQ40" s="202">
        <f t="shared" si="140"/>
        <v>0</v>
      </c>
      <c r="HR40" s="202">
        <f t="shared" si="141"/>
        <v>0</v>
      </c>
      <c r="HS40" s="203">
        <f t="shared" si="142"/>
        <v>0</v>
      </c>
      <c r="HT40" s="202">
        <f t="shared" si="143"/>
        <v>0</v>
      </c>
      <c r="HU40" s="202">
        <f t="shared" si="144"/>
        <v>0</v>
      </c>
      <c r="HV40" s="203">
        <f t="shared" si="145"/>
        <v>0</v>
      </c>
      <c r="HW40" s="202">
        <f t="shared" si="146"/>
        <v>0</v>
      </c>
      <c r="HX40" s="202">
        <f t="shared" si="147"/>
        <v>0</v>
      </c>
      <c r="HY40" s="203">
        <f t="shared" si="148"/>
        <v>0</v>
      </c>
      <c r="HZ40" s="202">
        <f t="shared" si="149"/>
        <v>0</v>
      </c>
      <c r="IA40" s="202">
        <f t="shared" si="150"/>
        <v>0</v>
      </c>
      <c r="IB40" s="203">
        <f t="shared" si="151"/>
        <v>0</v>
      </c>
      <c r="IC40" s="202">
        <f t="shared" si="152"/>
        <v>0</v>
      </c>
      <c r="ID40" s="202">
        <f t="shared" si="153"/>
        <v>0</v>
      </c>
      <c r="IE40" s="203">
        <f t="shared" si="154"/>
        <v>0</v>
      </c>
      <c r="IF40" s="202">
        <f t="shared" si="155"/>
        <v>0</v>
      </c>
      <c r="IG40" s="202">
        <f t="shared" si="156"/>
        <v>0</v>
      </c>
      <c r="IH40" s="203">
        <f t="shared" si="157"/>
        <v>0</v>
      </c>
      <c r="II40" s="202">
        <f t="shared" si="158"/>
        <v>0</v>
      </c>
      <c r="IJ40" s="202">
        <f t="shared" si="159"/>
        <v>0</v>
      </c>
      <c r="IK40" s="203">
        <f t="shared" si="160"/>
        <v>0</v>
      </c>
      <c r="IL40" s="202">
        <f t="shared" si="161"/>
        <v>0</v>
      </c>
      <c r="IM40" s="202">
        <f t="shared" si="162"/>
        <v>0</v>
      </c>
      <c r="IN40" s="204"/>
      <c r="IO40" s="203">
        <f t="shared" si="163"/>
        <v>0</v>
      </c>
      <c r="IP40" s="202">
        <f t="shared" si="164"/>
        <v>0</v>
      </c>
      <c r="IQ40" s="202">
        <f t="shared" si="165"/>
        <v>0</v>
      </c>
      <c r="IR40" s="204"/>
      <c r="IS40" s="203"/>
      <c r="IT40" s="202">
        <f t="shared" si="166"/>
        <v>1</v>
      </c>
      <c r="IU40" s="202">
        <f t="shared" si="167"/>
        <v>195</v>
      </c>
      <c r="IV40" s="204"/>
      <c r="IW40" s="203"/>
      <c r="IX40" s="202">
        <f t="shared" si="168"/>
        <v>0</v>
      </c>
      <c r="IY40" s="202">
        <f t="shared" si="169"/>
        <v>0</v>
      </c>
      <c r="IZ40" s="204"/>
      <c r="JA40" s="203"/>
      <c r="JB40" s="202">
        <f t="shared" si="170"/>
        <v>0</v>
      </c>
      <c r="JC40" s="202">
        <f t="shared" si="171"/>
        <v>0</v>
      </c>
      <c r="JD40" s="204"/>
      <c r="JE40" s="203"/>
      <c r="JF40" s="202">
        <f t="shared" si="172"/>
        <v>1</v>
      </c>
      <c r="JG40" s="202">
        <f t="shared" si="173"/>
        <v>195</v>
      </c>
      <c r="JH40" s="204"/>
      <c r="JI40" s="203"/>
      <c r="JJ40" s="202">
        <f t="shared" si="174"/>
        <v>0</v>
      </c>
      <c r="JK40" s="202">
        <f t="shared" si="175"/>
        <v>0</v>
      </c>
      <c r="JM40" s="203">
        <f t="shared" si="176"/>
        <v>0</v>
      </c>
      <c r="JO40" s="196">
        <f t="shared" si="54"/>
        <v>0</v>
      </c>
      <c r="JP40" s="189">
        <f t="shared" si="55"/>
        <v>0</v>
      </c>
      <c r="JQ40" s="189">
        <f t="shared" si="56"/>
        <v>0</v>
      </c>
      <c r="JR40" s="189">
        <f t="shared" si="57"/>
        <v>0</v>
      </c>
      <c r="JS40" s="189">
        <f t="shared" si="58"/>
        <v>0</v>
      </c>
      <c r="JT40" s="189">
        <f t="shared" si="59"/>
        <v>0</v>
      </c>
      <c r="JU40" s="189">
        <f t="shared" si="60"/>
        <v>0</v>
      </c>
      <c r="JV40" s="189">
        <f t="shared" si="61"/>
        <v>0</v>
      </c>
      <c r="JW40" s="189">
        <f t="shared" si="62"/>
        <v>0</v>
      </c>
      <c r="JX40" s="189">
        <f t="shared" si="63"/>
        <v>0</v>
      </c>
      <c r="JY40" s="189">
        <f t="shared" si="64"/>
        <v>0</v>
      </c>
      <c r="JZ40" s="189">
        <f t="shared" si="65"/>
        <v>0</v>
      </c>
      <c r="KA40" s="189">
        <f t="shared" si="66"/>
        <v>0</v>
      </c>
      <c r="KB40" s="189">
        <f t="shared" si="67"/>
        <v>0</v>
      </c>
      <c r="KD40" s="206">
        <f t="shared" si="177"/>
        <v>0</v>
      </c>
      <c r="KE40" s="206">
        <f t="shared" si="69"/>
        <v>0</v>
      </c>
      <c r="KF40" s="206">
        <f t="shared" si="70"/>
        <v>0</v>
      </c>
      <c r="KG40" s="206">
        <f t="shared" si="71"/>
        <v>0</v>
      </c>
      <c r="KH40" s="206">
        <f t="shared" si="72"/>
        <v>0</v>
      </c>
      <c r="KI40" s="206">
        <f t="shared" si="73"/>
        <v>0</v>
      </c>
      <c r="KJ40" s="206">
        <f t="shared" si="74"/>
        <v>0</v>
      </c>
      <c r="KK40" s="206">
        <f t="shared" si="75"/>
        <v>0</v>
      </c>
      <c r="KL40" s="206">
        <f t="shared" si="76"/>
        <v>0</v>
      </c>
      <c r="KM40" s="206">
        <f t="shared" si="77"/>
        <v>0</v>
      </c>
      <c r="KN40" s="221">
        <f t="shared" si="78"/>
        <v>0</v>
      </c>
      <c r="KO40" s="221">
        <f t="shared" si="79"/>
        <v>0</v>
      </c>
      <c r="KP40" s="221">
        <f t="shared" si="80"/>
        <v>0</v>
      </c>
      <c r="KQ40" s="221">
        <f t="shared" si="81"/>
        <v>0</v>
      </c>
      <c r="KR40" s="221">
        <f t="shared" si="82"/>
        <v>0</v>
      </c>
      <c r="KT40" s="195">
        <f t="shared" si="83"/>
        <v>0</v>
      </c>
      <c r="KU40" s="221"/>
      <c r="KV40" s="221"/>
      <c r="KW40" s="221"/>
      <c r="KX40" s="221"/>
      <c r="KY40" s="221"/>
      <c r="KZ40" s="221"/>
      <c r="LA40" s="221"/>
      <c r="LB40" s="221"/>
      <c r="LC40" s="221"/>
      <c r="LD40" s="221"/>
      <c r="LE40" s="221"/>
      <c r="LF40" s="221"/>
      <c r="LG40" s="221"/>
      <c r="LH40" s="221"/>
      <c r="LI40" s="221"/>
      <c r="LJ40" s="221"/>
      <c r="LK40" s="221"/>
      <c r="LL40" s="221"/>
      <c r="LM40" s="221"/>
      <c r="LN40" s="221"/>
      <c r="LO40" s="221"/>
      <c r="LP40" s="221"/>
      <c r="LQ40" s="221"/>
      <c r="LR40" s="221"/>
      <c r="LS40" s="221"/>
      <c r="LT40" s="221"/>
      <c r="LU40" s="221"/>
      <c r="LV40" s="221"/>
      <c r="LW40" s="221"/>
      <c r="LX40" s="221"/>
      <c r="LY40" s="221"/>
      <c r="LZ40" s="221"/>
      <c r="MA40" s="221"/>
      <c r="MB40" s="221"/>
      <c r="MC40" s="221"/>
      <c r="MD40" s="221"/>
      <c r="ME40" s="221"/>
      <c r="MF40" s="221"/>
      <c r="MG40" s="221"/>
      <c r="MH40" s="221"/>
      <c r="MI40" s="221"/>
      <c r="MJ40" s="221"/>
      <c r="MK40" s="221"/>
      <c r="ML40" s="221"/>
      <c r="MM40" s="221"/>
      <c r="MN40" s="221"/>
      <c r="MO40" s="221"/>
      <c r="MP40" s="221"/>
      <c r="MQ40" s="221"/>
      <c r="MR40" s="221"/>
      <c r="MS40" s="221"/>
      <c r="MT40" s="221"/>
      <c r="MU40" s="221"/>
      <c r="MV40" s="221"/>
      <c r="MW40" s="221"/>
      <c r="MX40" s="221"/>
      <c r="MY40" s="221"/>
      <c r="MZ40" s="221"/>
      <c r="NA40" s="221"/>
      <c r="NB40" s="221"/>
      <c r="NC40" s="221"/>
      <c r="ND40" s="221"/>
      <c r="NE40" s="221"/>
      <c r="NF40" s="221"/>
      <c r="NG40" s="221"/>
      <c r="NH40" s="221"/>
      <c r="NI40" s="221"/>
      <c r="NJ40" s="221"/>
      <c r="NK40" s="221"/>
      <c r="NM40" s="195">
        <f t="shared" si="178"/>
        <v>0</v>
      </c>
      <c r="NN40" s="195">
        <f t="shared" si="179"/>
        <v>0</v>
      </c>
      <c r="NO40" s="195">
        <f t="shared" si="180"/>
        <v>0</v>
      </c>
      <c r="NP40" s="195">
        <f t="shared" si="181"/>
        <v>0</v>
      </c>
      <c r="NQ40" s="195">
        <f t="shared" si="182"/>
        <v>0</v>
      </c>
      <c r="NR40" s="195">
        <f t="shared" si="183"/>
        <v>0</v>
      </c>
      <c r="NS40" s="195">
        <f t="shared" si="184"/>
        <v>0</v>
      </c>
      <c r="NT40" s="195">
        <f t="shared" si="185"/>
        <v>0</v>
      </c>
      <c r="NU40" s="196">
        <f t="shared" si="186"/>
        <v>0</v>
      </c>
      <c r="NY40" s="215">
        <f t="shared" si="187"/>
        <v>1</v>
      </c>
      <c r="NZ40" s="222">
        <v>12500000</v>
      </c>
      <c r="OE40" s="207">
        <f t="shared" si="85"/>
        <v>0</v>
      </c>
      <c r="OF40" s="207">
        <f t="shared" si="86"/>
        <v>0</v>
      </c>
      <c r="OG40" s="207">
        <f t="shared" si="87"/>
        <v>0</v>
      </c>
      <c r="OH40" s="207">
        <f t="shared" si="188"/>
        <v>0</v>
      </c>
      <c r="OI40" s="207">
        <f t="shared" si="88"/>
        <v>0</v>
      </c>
      <c r="OJ40" s="199">
        <f t="shared" si="189"/>
        <v>0</v>
      </c>
      <c r="OK40" s="199">
        <f t="shared" si="190"/>
        <v>0</v>
      </c>
      <c r="OL40" s="199">
        <f t="shared" si="191"/>
        <v>0</v>
      </c>
      <c r="OM40" s="199">
        <f t="shared" si="192"/>
        <v>0</v>
      </c>
      <c r="OO40" s="207">
        <f t="shared" si="89"/>
        <v>0</v>
      </c>
      <c r="OP40" s="207">
        <f t="shared" si="90"/>
        <v>0</v>
      </c>
      <c r="OQ40" s="207">
        <f t="shared" si="193"/>
        <v>0</v>
      </c>
      <c r="OR40" s="207">
        <f t="shared" si="194"/>
        <v>0</v>
      </c>
      <c r="OS40" s="207">
        <f t="shared" si="195"/>
        <v>0</v>
      </c>
      <c r="OT40" s="199">
        <f t="shared" si="196"/>
        <v>0</v>
      </c>
      <c r="OU40" s="199">
        <f t="shared" si="197"/>
        <v>0</v>
      </c>
      <c r="OV40" s="199">
        <f t="shared" si="198"/>
        <v>0</v>
      </c>
      <c r="OW40" s="199">
        <f t="shared" si="199"/>
        <v>0</v>
      </c>
      <c r="OZ40" s="208">
        <f t="shared" si="91"/>
        <v>0</v>
      </c>
      <c r="PA40" s="209"/>
      <c r="PB40" s="209"/>
      <c r="PC40" s="209"/>
      <c r="PD40" s="210">
        <f t="shared" si="200"/>
        <v>0</v>
      </c>
      <c r="PE40" s="210"/>
      <c r="PF40" s="210">
        <f t="shared" si="201"/>
        <v>0</v>
      </c>
      <c r="PG40" s="210">
        <f t="shared" si="202"/>
        <v>0</v>
      </c>
      <c r="PH40" s="210">
        <f t="shared" si="92"/>
        <v>0</v>
      </c>
      <c r="PI40" s="210">
        <f t="shared" si="93"/>
        <v>0</v>
      </c>
      <c r="PJ40" s="210">
        <f t="shared" si="94"/>
        <v>0</v>
      </c>
      <c r="PK40" s="210">
        <f t="shared" si="95"/>
        <v>0</v>
      </c>
      <c r="PL40" s="210">
        <f t="shared" si="96"/>
        <v>0</v>
      </c>
      <c r="PM40" s="211"/>
      <c r="PN40" s="211"/>
      <c r="PO40" s="212">
        <f t="shared" si="203"/>
        <v>0</v>
      </c>
      <c r="PP40" s="212">
        <f t="shared" si="204"/>
        <v>0</v>
      </c>
      <c r="PQ40" s="212">
        <f t="shared" si="205"/>
        <v>0</v>
      </c>
      <c r="PR40" s="211"/>
      <c r="PS40" s="211"/>
      <c r="PT40" s="211"/>
      <c r="PU40" s="211"/>
    </row>
    <row r="41" spans="1:437 16383:16383" s="195" customFormat="1" ht="16" x14ac:dyDescent="0.2">
      <c r="A41" s="213">
        <f t="shared" si="206"/>
        <v>32</v>
      </c>
      <c r="B41" s="186" t="s">
        <v>54</v>
      </c>
      <c r="C41" s="186">
        <v>35</v>
      </c>
      <c r="D41" s="188">
        <v>1</v>
      </c>
      <c r="E41" s="188">
        <v>90</v>
      </c>
      <c r="F41" s="188">
        <v>1</v>
      </c>
      <c r="G41" s="188">
        <f t="shared" si="97"/>
        <v>90</v>
      </c>
      <c r="H41" s="214">
        <f t="shared" si="213"/>
        <v>1</v>
      </c>
      <c r="I41" s="214">
        <f t="shared" si="214"/>
        <v>1</v>
      </c>
      <c r="J41" s="188">
        <v>1</v>
      </c>
      <c r="K41" s="188">
        <f t="shared" si="215"/>
        <v>90</v>
      </c>
      <c r="L41" s="214">
        <f t="shared" si="216"/>
        <v>1</v>
      </c>
      <c r="M41" s="214">
        <f t="shared" si="217"/>
        <v>1</v>
      </c>
      <c r="N41" s="188">
        <v>1</v>
      </c>
      <c r="O41" s="188">
        <f t="shared" si="218"/>
        <v>90</v>
      </c>
      <c r="P41" s="214">
        <f t="shared" si="219"/>
        <v>1</v>
      </c>
      <c r="Q41" s="214">
        <f t="shared" si="220"/>
        <v>1</v>
      </c>
      <c r="R41" s="188">
        <v>1</v>
      </c>
      <c r="S41" s="188">
        <f t="shared" si="221"/>
        <v>90</v>
      </c>
      <c r="T41" s="214">
        <f t="shared" si="222"/>
        <v>1</v>
      </c>
      <c r="U41" s="214">
        <f t="shared" si="223"/>
        <v>1</v>
      </c>
      <c r="V41" s="215">
        <v>1</v>
      </c>
      <c r="W41" s="188">
        <f t="shared" si="224"/>
        <v>90</v>
      </c>
      <c r="X41" s="214">
        <f t="shared" si="225"/>
        <v>1</v>
      </c>
      <c r="Y41" s="214">
        <f t="shared" si="226"/>
        <v>1</v>
      </c>
      <c r="Z41" s="216">
        <f>1461660000/1000000000</f>
        <v>1.46166</v>
      </c>
      <c r="AA41" s="188">
        <v>0</v>
      </c>
      <c r="AB41" s="188">
        <f t="shared" si="112"/>
        <v>0</v>
      </c>
      <c r="AC41" s="214">
        <f t="shared" si="113"/>
        <v>0</v>
      </c>
      <c r="AD41" s="214">
        <f t="shared" si="114"/>
        <v>0</v>
      </c>
      <c r="AE41" s="188"/>
      <c r="AF41" s="188">
        <f t="shared" si="115"/>
        <v>0</v>
      </c>
      <c r="AG41" s="223"/>
      <c r="AH41" s="188"/>
      <c r="AI41" s="188">
        <v>1</v>
      </c>
      <c r="AJ41" s="188">
        <f t="shared" si="2"/>
        <v>90</v>
      </c>
      <c r="AK41" s="188" t="s">
        <v>304</v>
      </c>
      <c r="AL41" s="188">
        <v>0</v>
      </c>
      <c r="AM41" s="188">
        <v>0</v>
      </c>
      <c r="AN41" s="217"/>
      <c r="AO41" s="188">
        <f t="shared" si="207"/>
        <v>1</v>
      </c>
      <c r="AP41" s="188">
        <f t="shared" si="208"/>
        <v>90</v>
      </c>
      <c r="AQ41" s="188">
        <f t="shared" si="227"/>
        <v>1</v>
      </c>
      <c r="AR41" s="188">
        <f t="shared" si="228"/>
        <v>90</v>
      </c>
      <c r="AS41" s="188">
        <f t="shared" si="229"/>
        <v>1</v>
      </c>
      <c r="AT41" s="188">
        <f t="shared" si="230"/>
        <v>90</v>
      </c>
      <c r="AU41" s="188">
        <f t="shared" si="209"/>
        <v>1</v>
      </c>
      <c r="AV41" s="188">
        <f t="shared" si="210"/>
        <v>90</v>
      </c>
      <c r="AW41" s="188">
        <f t="shared" si="211"/>
        <v>1</v>
      </c>
      <c r="AX41" s="188">
        <f t="shared" si="212"/>
        <v>90</v>
      </c>
      <c r="AY41" s="188">
        <f t="shared" si="116"/>
        <v>0</v>
      </c>
      <c r="AZ41" s="188">
        <f t="shared" si="117"/>
        <v>0</v>
      </c>
      <c r="BA41" s="188">
        <f t="shared" si="14"/>
        <v>1.46166</v>
      </c>
      <c r="BB41" s="188">
        <f t="shared" si="15"/>
        <v>0</v>
      </c>
      <c r="BD41" s="196">
        <f t="shared" si="118"/>
        <v>0</v>
      </c>
      <c r="BE41" s="188">
        <f t="shared" si="231"/>
        <v>0</v>
      </c>
      <c r="BF41" s="188">
        <f t="shared" si="232"/>
        <v>0</v>
      </c>
      <c r="BG41" s="188">
        <f t="shared" si="233"/>
        <v>0</v>
      </c>
      <c r="BH41" s="188">
        <f t="shared" si="234"/>
        <v>0</v>
      </c>
      <c r="BI41" s="188">
        <f t="shared" si="235"/>
        <v>0</v>
      </c>
      <c r="BJ41" s="188">
        <f t="shared" si="236"/>
        <v>0</v>
      </c>
      <c r="BK41" s="188">
        <f t="shared" si="22"/>
        <v>0</v>
      </c>
      <c r="BN41" s="143"/>
      <c r="BO41" s="277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B41" s="188"/>
      <c r="CD41" s="188">
        <f t="shared" si="23"/>
        <v>0</v>
      </c>
      <c r="CE41" s="188">
        <f t="shared" si="24"/>
        <v>0</v>
      </c>
      <c r="CF41" s="188">
        <f t="shared" si="25"/>
        <v>0</v>
      </c>
      <c r="CG41" s="188">
        <f t="shared" si="26"/>
        <v>0</v>
      </c>
      <c r="CH41" s="188">
        <f t="shared" si="27"/>
        <v>0</v>
      </c>
      <c r="CI41" s="188">
        <f t="shared" si="28"/>
        <v>0</v>
      </c>
      <c r="CJ41" s="188">
        <f t="shared" si="29"/>
        <v>0</v>
      </c>
      <c r="CK41" s="188">
        <f t="shared" si="30"/>
        <v>0</v>
      </c>
      <c r="CL41" s="188">
        <f t="shared" si="31"/>
        <v>0</v>
      </c>
      <c r="CM41" s="188">
        <f t="shared" si="32"/>
        <v>0</v>
      </c>
      <c r="CN41" s="188">
        <f t="shared" si="33"/>
        <v>0</v>
      </c>
      <c r="CO41" s="188">
        <f t="shared" si="34"/>
        <v>0</v>
      </c>
      <c r="CP41" s="188">
        <f t="shared" si="35"/>
        <v>0</v>
      </c>
      <c r="DV41" s="188">
        <f t="shared" si="237"/>
        <v>0</v>
      </c>
      <c r="DW41" s="188">
        <f t="shared" si="238"/>
        <v>0</v>
      </c>
      <c r="DX41" s="188">
        <f t="shared" si="239"/>
        <v>0</v>
      </c>
      <c r="DY41" s="188">
        <f t="shared" si="240"/>
        <v>0</v>
      </c>
      <c r="DZ41" s="188">
        <f t="shared" si="241"/>
        <v>0</v>
      </c>
      <c r="EA41" s="188">
        <f t="shared" si="242"/>
        <v>0</v>
      </c>
      <c r="EB41" s="188">
        <f t="shared" si="42"/>
        <v>0</v>
      </c>
      <c r="EG41" s="220">
        <f t="shared" si="43"/>
        <v>0</v>
      </c>
      <c r="EH41" s="220">
        <f t="shared" si="44"/>
        <v>0</v>
      </c>
      <c r="EI41" s="188"/>
      <c r="EJ41" s="188"/>
      <c r="EK41" s="188"/>
      <c r="EL41" s="188"/>
      <c r="EM41" s="188"/>
      <c r="EN41" s="188"/>
      <c r="EO41" s="188"/>
      <c r="EP41" s="188"/>
      <c r="EQ41" s="188"/>
      <c r="ER41" s="188"/>
      <c r="ES41" s="188"/>
      <c r="ET41" s="188"/>
      <c r="EU41" s="188"/>
      <c r="EV41" s="188"/>
      <c r="EW41" s="188"/>
      <c r="EX41" s="188"/>
      <c r="EY41" s="188"/>
      <c r="EZ41" s="188"/>
      <c r="FA41" s="188"/>
      <c r="FB41" s="188"/>
      <c r="FC41" s="188"/>
      <c r="FD41" s="188"/>
      <c r="FE41" s="188"/>
      <c r="FF41" s="188"/>
      <c r="FH41" s="189"/>
      <c r="FI41" s="189"/>
      <c r="FJ41" s="189"/>
      <c r="FK41" s="189"/>
      <c r="FL41" s="189"/>
      <c r="FM41" s="189"/>
      <c r="FN41" s="189"/>
      <c r="FO41" s="189"/>
      <c r="FP41" s="189"/>
      <c r="FQ41" s="189"/>
      <c r="FR41" s="189"/>
      <c r="FS41" s="189"/>
      <c r="FT41" s="189"/>
      <c r="FU41" s="189"/>
      <c r="FV41" s="189"/>
      <c r="FX41" s="217"/>
      <c r="FY41" s="188">
        <f t="shared" si="45"/>
        <v>0</v>
      </c>
      <c r="FZ41" s="188">
        <f t="shared" si="46"/>
        <v>0</v>
      </c>
      <c r="GA41" s="188">
        <f t="shared" si="47"/>
        <v>0</v>
      </c>
      <c r="GB41" s="188">
        <f t="shared" si="48"/>
        <v>0</v>
      </c>
      <c r="GC41" s="188">
        <f t="shared" si="49"/>
        <v>0</v>
      </c>
      <c r="GD41" s="188">
        <f t="shared" si="50"/>
        <v>0</v>
      </c>
      <c r="GE41" s="188">
        <f t="shared" si="51"/>
        <v>0</v>
      </c>
      <c r="GF41" s="199"/>
      <c r="GG41" s="189">
        <v>0</v>
      </c>
      <c r="GH41" s="189">
        <v>0</v>
      </c>
      <c r="GI41" s="199"/>
      <c r="GJ41" s="200">
        <f t="shared" si="52"/>
        <v>0</v>
      </c>
      <c r="GK41" s="200">
        <f t="shared" si="53"/>
        <v>0</v>
      </c>
      <c r="GO41" s="189">
        <f t="shared" si="119"/>
        <v>0</v>
      </c>
      <c r="GP41" s="189">
        <f t="shared" si="120"/>
        <v>0</v>
      </c>
      <c r="GQ41" s="189">
        <f t="shared" si="121"/>
        <v>0</v>
      </c>
      <c r="GR41" s="189">
        <f t="shared" si="122"/>
        <v>0</v>
      </c>
      <c r="GS41" s="189">
        <f t="shared" si="123"/>
        <v>0</v>
      </c>
      <c r="GT41" s="189">
        <f t="shared" si="124"/>
        <v>1</v>
      </c>
      <c r="GU41" s="201">
        <f t="shared" si="125"/>
        <v>43243</v>
      </c>
      <c r="GV41" s="189" t="str">
        <f t="shared" si="126"/>
        <v>SELESAI</v>
      </c>
      <c r="GW41" s="189">
        <f t="shared" si="127"/>
        <v>0</v>
      </c>
      <c r="GX41" s="202" t="str">
        <f t="shared" si="128"/>
        <v>SELESAI</v>
      </c>
      <c r="GY41" s="202">
        <f t="shared" si="129"/>
        <v>0</v>
      </c>
      <c r="GZ41" s="203" t="str">
        <f t="shared" si="130"/>
        <v>SELESAI</v>
      </c>
      <c r="HA41" s="204"/>
      <c r="HB41" s="204"/>
      <c r="HC41" s="189">
        <f t="shared" si="131"/>
        <v>0</v>
      </c>
      <c r="HD41" s="189">
        <f t="shared" si="132"/>
        <v>0</v>
      </c>
      <c r="HE41" s="189">
        <f t="shared" si="133"/>
        <v>0</v>
      </c>
      <c r="HF41" s="189">
        <f t="shared" si="134"/>
        <v>0</v>
      </c>
      <c r="HG41" s="189">
        <f t="shared" si="135"/>
        <v>0</v>
      </c>
      <c r="HH41" s="201" t="str">
        <f t="shared" si="136"/>
        <v>TIDAK KONSINYASI</v>
      </c>
      <c r="HI41" s="201" t="str">
        <f t="shared" si="137"/>
        <v>SELESAI</v>
      </c>
      <c r="HJ41" s="205"/>
      <c r="HK41" s="201">
        <f t="shared" si="138"/>
        <v>0</v>
      </c>
      <c r="HL41" s="204"/>
      <c r="HM41" s="204"/>
      <c r="HN41" s="204"/>
      <c r="HO41" s="204"/>
      <c r="HP41" s="203">
        <f t="shared" si="139"/>
        <v>0</v>
      </c>
      <c r="HQ41" s="202">
        <f t="shared" si="140"/>
        <v>0</v>
      </c>
      <c r="HR41" s="202">
        <f t="shared" si="141"/>
        <v>0</v>
      </c>
      <c r="HS41" s="203">
        <f t="shared" si="142"/>
        <v>0</v>
      </c>
      <c r="HT41" s="202">
        <f t="shared" si="143"/>
        <v>0</v>
      </c>
      <c r="HU41" s="202">
        <f t="shared" si="144"/>
        <v>0</v>
      </c>
      <c r="HV41" s="203">
        <f t="shared" si="145"/>
        <v>0</v>
      </c>
      <c r="HW41" s="202">
        <f t="shared" si="146"/>
        <v>0</v>
      </c>
      <c r="HX41" s="202">
        <f t="shared" si="147"/>
        <v>0</v>
      </c>
      <c r="HY41" s="203">
        <f t="shared" si="148"/>
        <v>0</v>
      </c>
      <c r="HZ41" s="202">
        <f t="shared" si="149"/>
        <v>0</v>
      </c>
      <c r="IA41" s="202">
        <f t="shared" si="150"/>
        <v>0</v>
      </c>
      <c r="IB41" s="203">
        <f t="shared" si="151"/>
        <v>0</v>
      </c>
      <c r="IC41" s="202">
        <f t="shared" si="152"/>
        <v>0</v>
      </c>
      <c r="ID41" s="202">
        <f t="shared" si="153"/>
        <v>0</v>
      </c>
      <c r="IE41" s="203">
        <f t="shared" si="154"/>
        <v>0</v>
      </c>
      <c r="IF41" s="202">
        <f t="shared" si="155"/>
        <v>0</v>
      </c>
      <c r="IG41" s="202">
        <f t="shared" si="156"/>
        <v>0</v>
      </c>
      <c r="IH41" s="203">
        <f t="shared" si="157"/>
        <v>0</v>
      </c>
      <c r="II41" s="202">
        <f t="shared" si="158"/>
        <v>0</v>
      </c>
      <c r="IJ41" s="202">
        <f t="shared" si="159"/>
        <v>0</v>
      </c>
      <c r="IK41" s="203">
        <f t="shared" si="160"/>
        <v>0</v>
      </c>
      <c r="IL41" s="202">
        <f t="shared" si="161"/>
        <v>0</v>
      </c>
      <c r="IM41" s="202">
        <f t="shared" si="162"/>
        <v>0</v>
      </c>
      <c r="IN41" s="204"/>
      <c r="IO41" s="203">
        <f t="shared" si="163"/>
        <v>0</v>
      </c>
      <c r="IP41" s="202">
        <f t="shared" si="164"/>
        <v>0</v>
      </c>
      <c r="IQ41" s="202">
        <f t="shared" si="165"/>
        <v>0</v>
      </c>
      <c r="IR41" s="204"/>
      <c r="IS41" s="203"/>
      <c r="IT41" s="202">
        <f t="shared" si="166"/>
        <v>1</v>
      </c>
      <c r="IU41" s="202">
        <f t="shared" si="167"/>
        <v>90</v>
      </c>
      <c r="IV41" s="204"/>
      <c r="IW41" s="203"/>
      <c r="IX41" s="202">
        <f t="shared" si="168"/>
        <v>0</v>
      </c>
      <c r="IY41" s="202">
        <f t="shared" si="169"/>
        <v>0</v>
      </c>
      <c r="IZ41" s="204"/>
      <c r="JA41" s="203"/>
      <c r="JB41" s="202">
        <f t="shared" si="170"/>
        <v>0</v>
      </c>
      <c r="JC41" s="202">
        <f t="shared" si="171"/>
        <v>0</v>
      </c>
      <c r="JD41" s="204"/>
      <c r="JE41" s="203"/>
      <c r="JF41" s="202">
        <f t="shared" si="172"/>
        <v>1</v>
      </c>
      <c r="JG41" s="202">
        <f t="shared" si="173"/>
        <v>90</v>
      </c>
      <c r="JH41" s="204"/>
      <c r="JI41" s="203"/>
      <c r="JJ41" s="202">
        <f t="shared" si="174"/>
        <v>0</v>
      </c>
      <c r="JK41" s="202">
        <f t="shared" si="175"/>
        <v>0</v>
      </c>
      <c r="JM41" s="203">
        <f t="shared" si="176"/>
        <v>0</v>
      </c>
      <c r="JO41" s="196">
        <f t="shared" si="54"/>
        <v>0</v>
      </c>
      <c r="JP41" s="189">
        <f t="shared" si="55"/>
        <v>0</v>
      </c>
      <c r="JQ41" s="189">
        <f t="shared" si="56"/>
        <v>0</v>
      </c>
      <c r="JR41" s="189">
        <f t="shared" si="57"/>
        <v>0</v>
      </c>
      <c r="JS41" s="189">
        <f t="shared" si="58"/>
        <v>0</v>
      </c>
      <c r="JT41" s="189">
        <f t="shared" si="59"/>
        <v>0</v>
      </c>
      <c r="JU41" s="189">
        <f t="shared" si="60"/>
        <v>0</v>
      </c>
      <c r="JV41" s="189">
        <f t="shared" si="61"/>
        <v>0</v>
      </c>
      <c r="JW41" s="189">
        <f t="shared" si="62"/>
        <v>0</v>
      </c>
      <c r="JX41" s="189">
        <f t="shared" si="63"/>
        <v>0</v>
      </c>
      <c r="JY41" s="189">
        <f t="shared" si="64"/>
        <v>0</v>
      </c>
      <c r="JZ41" s="189">
        <f t="shared" si="65"/>
        <v>0</v>
      </c>
      <c r="KA41" s="189">
        <f t="shared" si="66"/>
        <v>0</v>
      </c>
      <c r="KB41" s="189">
        <f t="shared" si="67"/>
        <v>0</v>
      </c>
      <c r="KD41" s="206">
        <f t="shared" si="177"/>
        <v>0</v>
      </c>
      <c r="KE41" s="206">
        <f t="shared" si="69"/>
        <v>0</v>
      </c>
      <c r="KF41" s="206">
        <f t="shared" si="70"/>
        <v>0</v>
      </c>
      <c r="KG41" s="206">
        <f t="shared" si="71"/>
        <v>0</v>
      </c>
      <c r="KH41" s="206">
        <f t="shared" si="72"/>
        <v>0</v>
      </c>
      <c r="KI41" s="206">
        <f t="shared" si="73"/>
        <v>0</v>
      </c>
      <c r="KJ41" s="206">
        <f t="shared" si="74"/>
        <v>0</v>
      </c>
      <c r="KK41" s="206">
        <f t="shared" si="75"/>
        <v>0</v>
      </c>
      <c r="KL41" s="206">
        <f t="shared" si="76"/>
        <v>0</v>
      </c>
      <c r="KM41" s="206">
        <f t="shared" si="77"/>
        <v>0</v>
      </c>
      <c r="KN41" s="221">
        <f t="shared" si="78"/>
        <v>0</v>
      </c>
      <c r="KO41" s="221">
        <f t="shared" si="79"/>
        <v>0</v>
      </c>
      <c r="KP41" s="221">
        <f t="shared" si="80"/>
        <v>0</v>
      </c>
      <c r="KQ41" s="221">
        <f t="shared" si="81"/>
        <v>0</v>
      </c>
      <c r="KR41" s="221">
        <f t="shared" si="82"/>
        <v>0</v>
      </c>
      <c r="KT41" s="195">
        <f t="shared" si="83"/>
        <v>0</v>
      </c>
      <c r="KU41" s="221"/>
      <c r="KV41" s="221"/>
      <c r="KW41" s="221"/>
      <c r="KX41" s="221"/>
      <c r="KY41" s="221"/>
      <c r="KZ41" s="221"/>
      <c r="LA41" s="221"/>
      <c r="LB41" s="221"/>
      <c r="LC41" s="221"/>
      <c r="LD41" s="221"/>
      <c r="LE41" s="221"/>
      <c r="LF41" s="221"/>
      <c r="LG41" s="221"/>
      <c r="LH41" s="221"/>
      <c r="LI41" s="221"/>
      <c r="LJ41" s="221"/>
      <c r="LK41" s="221"/>
      <c r="LL41" s="221"/>
      <c r="LM41" s="221"/>
      <c r="LN41" s="221"/>
      <c r="LO41" s="221"/>
      <c r="LP41" s="221"/>
      <c r="LQ41" s="221"/>
      <c r="LR41" s="221"/>
      <c r="LS41" s="221"/>
      <c r="LT41" s="221"/>
      <c r="LU41" s="221"/>
      <c r="LV41" s="221"/>
      <c r="LW41" s="221"/>
      <c r="LX41" s="221"/>
      <c r="LY41" s="221"/>
      <c r="LZ41" s="221"/>
      <c r="MA41" s="221"/>
      <c r="MB41" s="221"/>
      <c r="MC41" s="221"/>
      <c r="MD41" s="221"/>
      <c r="ME41" s="221"/>
      <c r="MF41" s="221"/>
      <c r="MG41" s="221"/>
      <c r="MH41" s="221"/>
      <c r="MI41" s="221"/>
      <c r="MJ41" s="221"/>
      <c r="MK41" s="221"/>
      <c r="ML41" s="221"/>
      <c r="MM41" s="221"/>
      <c r="MN41" s="221"/>
      <c r="MO41" s="221"/>
      <c r="MP41" s="221"/>
      <c r="MQ41" s="221"/>
      <c r="MR41" s="221"/>
      <c r="MS41" s="221"/>
      <c r="MT41" s="221"/>
      <c r="MU41" s="221"/>
      <c r="MV41" s="221"/>
      <c r="MW41" s="221"/>
      <c r="MX41" s="221"/>
      <c r="MY41" s="221"/>
      <c r="MZ41" s="221"/>
      <c r="NA41" s="221"/>
      <c r="NB41" s="221"/>
      <c r="NC41" s="221"/>
      <c r="ND41" s="221"/>
      <c r="NE41" s="221"/>
      <c r="NF41" s="221"/>
      <c r="NG41" s="221"/>
      <c r="NH41" s="221"/>
      <c r="NI41" s="221"/>
      <c r="NJ41" s="221"/>
      <c r="NK41" s="221"/>
      <c r="NM41" s="195">
        <f t="shared" si="178"/>
        <v>0</v>
      </c>
      <c r="NN41" s="195">
        <f t="shared" si="179"/>
        <v>0</v>
      </c>
      <c r="NO41" s="195">
        <f t="shared" si="180"/>
        <v>0</v>
      </c>
      <c r="NP41" s="195">
        <f t="shared" si="181"/>
        <v>0</v>
      </c>
      <c r="NQ41" s="195">
        <f t="shared" si="182"/>
        <v>0</v>
      </c>
      <c r="NR41" s="195">
        <f t="shared" si="183"/>
        <v>0</v>
      </c>
      <c r="NS41" s="195">
        <f t="shared" si="184"/>
        <v>0</v>
      </c>
      <c r="NT41" s="195">
        <f t="shared" si="185"/>
        <v>0</v>
      </c>
      <c r="NU41" s="196">
        <f t="shared" si="186"/>
        <v>0</v>
      </c>
      <c r="NY41" s="215">
        <f t="shared" si="187"/>
        <v>1</v>
      </c>
      <c r="NZ41" s="222">
        <v>12500000</v>
      </c>
      <c r="OE41" s="207">
        <f t="shared" ref="OE41:OE72" si="243">D41-J41</f>
        <v>0</v>
      </c>
      <c r="OF41" s="207">
        <f t="shared" ref="OF41:OF72" si="244">D41-N41</f>
        <v>0</v>
      </c>
      <c r="OG41" s="207">
        <f t="shared" ref="OG41:OG72" si="245">AN41</f>
        <v>0</v>
      </c>
      <c r="OH41" s="207">
        <f t="shared" si="188"/>
        <v>0</v>
      </c>
      <c r="OI41" s="207">
        <f t="shared" ref="OI41:OI72" si="246">D41-R41</f>
        <v>0</v>
      </c>
      <c r="OJ41" s="199">
        <f t="shared" si="189"/>
        <v>0</v>
      </c>
      <c r="OK41" s="199">
        <f t="shared" si="190"/>
        <v>0</v>
      </c>
      <c r="OL41" s="199">
        <f t="shared" si="191"/>
        <v>0</v>
      </c>
      <c r="OM41" s="199">
        <f t="shared" si="192"/>
        <v>0</v>
      </c>
      <c r="OO41" s="207">
        <f t="shared" ref="OO41:OO72" si="247">E41-K41</f>
        <v>0</v>
      </c>
      <c r="OP41" s="207">
        <f t="shared" ref="OP41:OP72" si="248">E41-O41</f>
        <v>0</v>
      </c>
      <c r="OQ41" s="207">
        <f t="shared" si="193"/>
        <v>0</v>
      </c>
      <c r="OR41" s="207">
        <f t="shared" si="194"/>
        <v>0</v>
      </c>
      <c r="OS41" s="207">
        <f t="shared" si="195"/>
        <v>0</v>
      </c>
      <c r="OT41" s="199">
        <f t="shared" si="196"/>
        <v>0</v>
      </c>
      <c r="OU41" s="199">
        <f t="shared" si="197"/>
        <v>0</v>
      </c>
      <c r="OV41" s="199">
        <f t="shared" si="198"/>
        <v>0</v>
      </c>
      <c r="OW41" s="199">
        <f t="shared" si="199"/>
        <v>0</v>
      </c>
      <c r="OZ41" s="208">
        <f t="shared" si="91"/>
        <v>0</v>
      </c>
      <c r="PA41" s="209"/>
      <c r="PB41" s="209"/>
      <c r="PC41" s="209"/>
      <c r="PD41" s="210">
        <f t="shared" si="200"/>
        <v>0</v>
      </c>
      <c r="PE41" s="210"/>
      <c r="PF41" s="210">
        <f t="shared" si="201"/>
        <v>0</v>
      </c>
      <c r="PG41" s="210">
        <f t="shared" si="202"/>
        <v>0</v>
      </c>
      <c r="PH41" s="210">
        <f t="shared" si="92"/>
        <v>0</v>
      </c>
      <c r="PI41" s="210">
        <f t="shared" si="93"/>
        <v>0</v>
      </c>
      <c r="PJ41" s="210">
        <f t="shared" si="94"/>
        <v>0</v>
      </c>
      <c r="PK41" s="210">
        <f t="shared" si="95"/>
        <v>0</v>
      </c>
      <c r="PL41" s="210">
        <f t="shared" si="96"/>
        <v>0</v>
      </c>
      <c r="PM41" s="211"/>
      <c r="PN41" s="211"/>
      <c r="PO41" s="212">
        <f t="shared" si="203"/>
        <v>0</v>
      </c>
      <c r="PP41" s="212">
        <f t="shared" si="204"/>
        <v>0</v>
      </c>
      <c r="PQ41" s="212">
        <f t="shared" si="205"/>
        <v>0</v>
      </c>
      <c r="PR41" s="211"/>
      <c r="PS41" s="211"/>
      <c r="PT41" s="211"/>
      <c r="PU41" s="211"/>
    </row>
    <row r="42" spans="1:437 16383:16383" s="195" customFormat="1" ht="16" x14ac:dyDescent="0.2">
      <c r="A42" s="213"/>
      <c r="B42" s="186"/>
      <c r="C42" s="186"/>
      <c r="D42" s="188"/>
      <c r="E42" s="188"/>
      <c r="F42" s="188"/>
      <c r="G42" s="188"/>
      <c r="H42" s="214"/>
      <c r="I42" s="214"/>
      <c r="J42" s="188"/>
      <c r="K42" s="188"/>
      <c r="L42" s="214"/>
      <c r="M42" s="214"/>
      <c r="N42" s="188"/>
      <c r="O42" s="188"/>
      <c r="P42" s="214"/>
      <c r="Q42" s="214"/>
      <c r="R42" s="188"/>
      <c r="S42" s="188"/>
      <c r="T42" s="214"/>
      <c r="U42" s="214"/>
      <c r="V42" s="215"/>
      <c r="W42" s="188"/>
      <c r="X42" s="214"/>
      <c r="Y42" s="214"/>
      <c r="Z42" s="215"/>
      <c r="AA42" s="188">
        <v>0</v>
      </c>
      <c r="AB42" s="188"/>
      <c r="AC42" s="214"/>
      <c r="AD42" s="214"/>
      <c r="AE42" s="188"/>
      <c r="AF42" s="188"/>
      <c r="AG42" s="188"/>
      <c r="AH42" s="188"/>
      <c r="AI42" s="188"/>
      <c r="AJ42" s="188"/>
      <c r="AK42" s="188"/>
      <c r="AL42" s="188"/>
      <c r="AM42" s="188"/>
      <c r="AN42" s="217"/>
      <c r="AO42" s="188"/>
      <c r="AP42" s="188"/>
      <c r="AQ42" s="188"/>
      <c r="AR42" s="188"/>
      <c r="AS42" s="188"/>
      <c r="AT42" s="188"/>
      <c r="AU42" s="188"/>
      <c r="AV42" s="188"/>
      <c r="AW42" s="188"/>
      <c r="AX42" s="188"/>
      <c r="AY42" s="188"/>
      <c r="AZ42" s="188"/>
      <c r="BA42" s="188"/>
      <c r="BB42" s="188"/>
      <c r="BD42" s="196"/>
      <c r="BE42" s="188"/>
      <c r="BF42" s="188"/>
      <c r="BG42" s="188"/>
      <c r="BH42" s="188"/>
      <c r="BI42" s="188"/>
      <c r="BJ42" s="188"/>
      <c r="BK42" s="188"/>
      <c r="BN42" s="143"/>
      <c r="BO42" s="277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B42" s="188"/>
      <c r="CD42" s="188"/>
      <c r="CE42" s="188"/>
      <c r="CF42" s="188"/>
      <c r="CG42" s="188"/>
      <c r="CH42" s="188"/>
      <c r="CI42" s="188"/>
      <c r="CJ42" s="188"/>
      <c r="CK42" s="188"/>
      <c r="CL42" s="188"/>
      <c r="CM42" s="188"/>
      <c r="CN42" s="188"/>
      <c r="CO42" s="188"/>
      <c r="CP42" s="188"/>
      <c r="DV42" s="188"/>
      <c r="DW42" s="188"/>
      <c r="DX42" s="188"/>
      <c r="DY42" s="188"/>
      <c r="DZ42" s="188"/>
      <c r="EA42" s="188"/>
      <c r="EB42" s="188"/>
      <c r="EG42" s="220"/>
      <c r="EH42" s="220"/>
      <c r="EI42" s="188"/>
      <c r="EJ42" s="188"/>
      <c r="EK42" s="188"/>
      <c r="EL42" s="188"/>
      <c r="EM42" s="188"/>
      <c r="EN42" s="188"/>
      <c r="EO42" s="188"/>
      <c r="EP42" s="188"/>
      <c r="EQ42" s="188"/>
      <c r="ER42" s="188"/>
      <c r="ES42" s="188"/>
      <c r="ET42" s="188"/>
      <c r="EU42" s="188"/>
      <c r="EV42" s="188"/>
      <c r="EW42" s="188"/>
      <c r="EX42" s="188"/>
      <c r="EY42" s="188"/>
      <c r="EZ42" s="188"/>
      <c r="FA42" s="188"/>
      <c r="FB42" s="188"/>
      <c r="FC42" s="188"/>
      <c r="FD42" s="188"/>
      <c r="FE42" s="188"/>
      <c r="FF42" s="188"/>
      <c r="FH42" s="189"/>
      <c r="FI42" s="189"/>
      <c r="FJ42" s="189"/>
      <c r="FK42" s="189"/>
      <c r="FL42" s="189"/>
      <c r="FM42" s="189"/>
      <c r="FN42" s="189"/>
      <c r="FO42" s="189"/>
      <c r="FP42" s="189"/>
      <c r="FQ42" s="189"/>
      <c r="FR42" s="189"/>
      <c r="FS42" s="189"/>
      <c r="FT42" s="189"/>
      <c r="FU42" s="189"/>
      <c r="FV42" s="189"/>
      <c r="FX42" s="217"/>
      <c r="FY42" s="188"/>
      <c r="FZ42" s="188"/>
      <c r="GA42" s="188"/>
      <c r="GB42" s="188"/>
      <c r="GC42" s="188"/>
      <c r="GD42" s="188"/>
      <c r="GE42" s="188"/>
      <c r="GF42" s="199"/>
      <c r="GG42" s="189"/>
      <c r="GH42" s="189"/>
      <c r="GI42" s="199"/>
      <c r="GJ42" s="200"/>
      <c r="GK42" s="200"/>
      <c r="GO42" s="189"/>
      <c r="GP42" s="189"/>
      <c r="GQ42" s="189"/>
      <c r="GR42" s="189"/>
      <c r="GS42" s="189"/>
      <c r="GT42" s="189"/>
      <c r="GU42" s="201"/>
      <c r="GV42" s="189"/>
      <c r="GW42" s="189"/>
      <c r="GX42" s="202"/>
      <c r="GY42" s="202"/>
      <c r="GZ42" s="203"/>
      <c r="HA42" s="204"/>
      <c r="HB42" s="204"/>
      <c r="HC42" s="189"/>
      <c r="HD42" s="189"/>
      <c r="HE42" s="189"/>
      <c r="HF42" s="189"/>
      <c r="HG42" s="189"/>
      <c r="HH42" s="201"/>
      <c r="HI42" s="201"/>
      <c r="HJ42" s="205"/>
      <c r="HK42" s="201"/>
      <c r="HL42" s="204"/>
      <c r="HM42" s="204"/>
      <c r="HN42" s="204"/>
      <c r="HO42" s="204"/>
      <c r="HP42" s="203"/>
      <c r="HQ42" s="202"/>
      <c r="HR42" s="202"/>
      <c r="HS42" s="203"/>
      <c r="HT42" s="202"/>
      <c r="HU42" s="202"/>
      <c r="HV42" s="203"/>
      <c r="HW42" s="202"/>
      <c r="HX42" s="202"/>
      <c r="HY42" s="203"/>
      <c r="HZ42" s="202"/>
      <c r="IA42" s="202"/>
      <c r="IB42" s="203"/>
      <c r="IC42" s="202"/>
      <c r="ID42" s="202"/>
      <c r="IE42" s="203"/>
      <c r="IF42" s="202"/>
      <c r="IG42" s="202"/>
      <c r="IH42" s="203"/>
      <c r="II42" s="202"/>
      <c r="IJ42" s="202"/>
      <c r="IK42" s="203"/>
      <c r="IL42" s="202"/>
      <c r="IM42" s="202"/>
      <c r="IN42" s="204"/>
      <c r="IO42" s="203"/>
      <c r="IP42" s="202"/>
      <c r="IQ42" s="202"/>
      <c r="IR42" s="204"/>
      <c r="IS42" s="203"/>
      <c r="IT42" s="202"/>
      <c r="IU42" s="202"/>
      <c r="IV42" s="204"/>
      <c r="IW42" s="203"/>
      <c r="IX42" s="202"/>
      <c r="IY42" s="202"/>
      <c r="IZ42" s="204"/>
      <c r="JA42" s="203"/>
      <c r="JB42" s="202"/>
      <c r="JC42" s="202"/>
      <c r="JD42" s="204"/>
      <c r="JE42" s="203"/>
      <c r="JF42" s="202"/>
      <c r="JG42" s="202"/>
      <c r="JH42" s="204"/>
      <c r="JI42" s="203"/>
      <c r="JJ42" s="202"/>
      <c r="JK42" s="202"/>
      <c r="JM42" s="203"/>
      <c r="JO42" s="196"/>
      <c r="JP42" s="189"/>
      <c r="JQ42" s="189"/>
      <c r="JR42" s="189"/>
      <c r="JS42" s="189"/>
      <c r="JT42" s="189"/>
      <c r="JU42" s="189"/>
      <c r="JV42" s="189"/>
      <c r="JW42" s="189"/>
      <c r="JX42" s="189"/>
      <c r="JY42" s="189"/>
      <c r="JZ42" s="189"/>
      <c r="KA42" s="189"/>
      <c r="KB42" s="189"/>
      <c r="KD42" s="206">
        <f t="shared" si="177"/>
        <v>0</v>
      </c>
      <c r="KE42" s="206">
        <f t="shared" si="69"/>
        <v>0</v>
      </c>
      <c r="KF42" s="206"/>
      <c r="KG42" s="206"/>
      <c r="KH42" s="206"/>
      <c r="KI42" s="206"/>
      <c r="KJ42" s="206"/>
      <c r="KK42" s="206"/>
      <c r="KL42" s="206"/>
      <c r="KM42" s="206"/>
      <c r="KN42" s="221"/>
      <c r="KO42" s="221"/>
      <c r="KP42" s="221"/>
      <c r="KQ42" s="221"/>
      <c r="KR42" s="221"/>
      <c r="KU42" s="221"/>
      <c r="KV42" s="221"/>
      <c r="KW42" s="221"/>
      <c r="KX42" s="221"/>
      <c r="KY42" s="221"/>
      <c r="KZ42" s="221"/>
      <c r="LA42" s="221"/>
      <c r="LB42" s="221"/>
      <c r="LC42" s="221"/>
      <c r="LD42" s="221"/>
      <c r="LE42" s="221"/>
      <c r="LF42" s="221"/>
      <c r="LG42" s="221"/>
      <c r="LH42" s="221"/>
      <c r="LI42" s="221"/>
      <c r="LJ42" s="221"/>
      <c r="LK42" s="221"/>
      <c r="LL42" s="221"/>
      <c r="LM42" s="221"/>
      <c r="LN42" s="221"/>
      <c r="LO42" s="221"/>
      <c r="LP42" s="221"/>
      <c r="LQ42" s="221"/>
      <c r="LR42" s="221"/>
      <c r="LS42" s="221"/>
      <c r="LT42" s="221"/>
      <c r="LU42" s="221"/>
      <c r="LV42" s="221"/>
      <c r="LW42" s="221"/>
      <c r="LX42" s="221"/>
      <c r="LY42" s="221"/>
      <c r="LZ42" s="221"/>
      <c r="MA42" s="221"/>
      <c r="MB42" s="221"/>
      <c r="MC42" s="221"/>
      <c r="MD42" s="221"/>
      <c r="ME42" s="221"/>
      <c r="MF42" s="221"/>
      <c r="MG42" s="221"/>
      <c r="MH42" s="221"/>
      <c r="MI42" s="221"/>
      <c r="MJ42" s="221"/>
      <c r="MK42" s="221"/>
      <c r="ML42" s="221"/>
      <c r="MM42" s="221"/>
      <c r="MN42" s="221"/>
      <c r="MO42" s="221"/>
      <c r="MP42" s="221"/>
      <c r="MQ42" s="221"/>
      <c r="MR42" s="221"/>
      <c r="MS42" s="221"/>
      <c r="MT42" s="221"/>
      <c r="MU42" s="221"/>
      <c r="MV42" s="221"/>
      <c r="MW42" s="221"/>
      <c r="MX42" s="221"/>
      <c r="MY42" s="221"/>
      <c r="MZ42" s="221"/>
      <c r="NA42" s="221"/>
      <c r="NB42" s="221"/>
      <c r="NC42" s="221"/>
      <c r="ND42" s="221"/>
      <c r="NE42" s="221"/>
      <c r="NF42" s="221"/>
      <c r="NG42" s="221"/>
      <c r="NH42" s="221"/>
      <c r="NI42" s="221"/>
      <c r="NJ42" s="221"/>
      <c r="NK42" s="221"/>
      <c r="NU42" s="196"/>
      <c r="NY42" s="215">
        <f t="shared" ref="NY42:NY73" si="249">V42</f>
        <v>0</v>
      </c>
      <c r="NZ42" s="222"/>
      <c r="OE42" s="207">
        <f t="shared" si="243"/>
        <v>0</v>
      </c>
      <c r="OF42" s="207">
        <f t="shared" si="244"/>
        <v>0</v>
      </c>
      <c r="OG42" s="207">
        <f t="shared" si="245"/>
        <v>0</v>
      </c>
      <c r="OH42" s="207">
        <f t="shared" si="188"/>
        <v>0</v>
      </c>
      <c r="OI42" s="207">
        <f t="shared" si="246"/>
        <v>0</v>
      </c>
      <c r="OJ42" s="199">
        <f t="shared" si="189"/>
        <v>0</v>
      </c>
      <c r="OK42" s="199">
        <f t="shared" si="190"/>
        <v>0</v>
      </c>
      <c r="OL42" s="199">
        <f t="shared" si="191"/>
        <v>0</v>
      </c>
      <c r="OM42" s="199">
        <f t="shared" si="192"/>
        <v>0</v>
      </c>
      <c r="OO42" s="207">
        <f t="shared" si="247"/>
        <v>0</v>
      </c>
      <c r="OP42" s="207">
        <f t="shared" si="248"/>
        <v>0</v>
      </c>
      <c r="OQ42" s="207">
        <f t="shared" si="193"/>
        <v>0</v>
      </c>
      <c r="OR42" s="207">
        <f t="shared" si="194"/>
        <v>0</v>
      </c>
      <c r="OS42" s="207">
        <f t="shared" si="195"/>
        <v>0</v>
      </c>
      <c r="OT42" s="199">
        <f t="shared" si="196"/>
        <v>0</v>
      </c>
      <c r="OU42" s="199">
        <f t="shared" si="197"/>
        <v>0</v>
      </c>
      <c r="OV42" s="199">
        <f t="shared" si="198"/>
        <v>0</v>
      </c>
      <c r="OW42" s="199">
        <f t="shared" si="199"/>
        <v>0</v>
      </c>
      <c r="OZ42" s="208">
        <f t="shared" si="91"/>
        <v>0</v>
      </c>
      <c r="PA42" s="209"/>
      <c r="PB42" s="209"/>
      <c r="PC42" s="209"/>
      <c r="PD42" s="210">
        <f t="shared" si="200"/>
        <v>0</v>
      </c>
      <c r="PE42" s="210"/>
      <c r="PF42" s="210">
        <f t="shared" si="201"/>
        <v>0</v>
      </c>
      <c r="PG42" s="210">
        <f t="shared" si="202"/>
        <v>0</v>
      </c>
      <c r="PH42" s="210">
        <f t="shared" si="92"/>
        <v>0</v>
      </c>
      <c r="PI42" s="210">
        <f t="shared" si="93"/>
        <v>0</v>
      </c>
      <c r="PJ42" s="210">
        <f t="shared" si="94"/>
        <v>0</v>
      </c>
      <c r="PK42" s="210">
        <f t="shared" si="95"/>
        <v>0</v>
      </c>
      <c r="PL42" s="210">
        <f t="shared" si="96"/>
        <v>0</v>
      </c>
      <c r="PM42" s="211"/>
      <c r="PN42" s="211"/>
      <c r="PO42" s="212">
        <f t="shared" si="203"/>
        <v>0</v>
      </c>
      <c r="PP42" s="212">
        <f t="shared" si="204"/>
        <v>0</v>
      </c>
      <c r="PQ42" s="212">
        <f t="shared" si="205"/>
        <v>0</v>
      </c>
      <c r="PR42" s="211"/>
      <c r="PS42" s="211"/>
      <c r="PT42" s="211"/>
      <c r="PU42" s="211"/>
    </row>
    <row r="43" spans="1:437 16383:16383" s="195" customFormat="1" ht="16" x14ac:dyDescent="0.2">
      <c r="A43" s="213">
        <f>A41+1</f>
        <v>33</v>
      </c>
      <c r="B43" s="186" t="s">
        <v>55</v>
      </c>
      <c r="C43" s="186">
        <v>37</v>
      </c>
      <c r="D43" s="188">
        <v>1</v>
      </c>
      <c r="E43" s="188">
        <v>151</v>
      </c>
      <c r="F43" s="188">
        <v>1</v>
      </c>
      <c r="G43" s="188">
        <f>E43</f>
        <v>151</v>
      </c>
      <c r="H43" s="214">
        <f t="shared" si="213"/>
        <v>1</v>
      </c>
      <c r="I43" s="214">
        <f t="shared" si="214"/>
        <v>1</v>
      </c>
      <c r="J43" s="188">
        <v>1</v>
      </c>
      <c r="K43" s="188">
        <f t="shared" si="215"/>
        <v>151</v>
      </c>
      <c r="L43" s="214">
        <f t="shared" si="216"/>
        <v>1</v>
      </c>
      <c r="M43" s="214">
        <f t="shared" si="217"/>
        <v>1</v>
      </c>
      <c r="N43" s="188">
        <v>1</v>
      </c>
      <c r="O43" s="188">
        <f t="shared" si="218"/>
        <v>151</v>
      </c>
      <c r="P43" s="214">
        <f t="shared" si="219"/>
        <v>1</v>
      </c>
      <c r="Q43" s="214">
        <f t="shared" si="220"/>
        <v>1</v>
      </c>
      <c r="R43" s="188">
        <v>1</v>
      </c>
      <c r="S43" s="188">
        <f t="shared" si="221"/>
        <v>151</v>
      </c>
      <c r="T43" s="214">
        <f t="shared" si="222"/>
        <v>1</v>
      </c>
      <c r="U43" s="214">
        <f t="shared" si="223"/>
        <v>1</v>
      </c>
      <c r="V43" s="215">
        <v>1</v>
      </c>
      <c r="W43" s="188">
        <f t="shared" si="224"/>
        <v>151</v>
      </c>
      <c r="X43" s="214">
        <f t="shared" si="225"/>
        <v>1</v>
      </c>
      <c r="Y43" s="214">
        <f t="shared" si="226"/>
        <v>1</v>
      </c>
      <c r="Z43" s="216">
        <f>3700504000/1000000000</f>
        <v>3.700504</v>
      </c>
      <c r="AA43" s="188">
        <v>0</v>
      </c>
      <c r="AB43" s="188">
        <f t="shared" si="112"/>
        <v>0</v>
      </c>
      <c r="AC43" s="214">
        <f t="shared" si="113"/>
        <v>0</v>
      </c>
      <c r="AD43" s="214">
        <f t="shared" si="114"/>
        <v>0</v>
      </c>
      <c r="AE43" s="188"/>
      <c r="AF43" s="188">
        <f t="shared" si="115"/>
        <v>0</v>
      </c>
      <c r="AG43" s="188"/>
      <c r="AH43" s="188"/>
      <c r="AI43" s="188">
        <v>1</v>
      </c>
      <c r="AJ43" s="188">
        <f t="shared" si="2"/>
        <v>151</v>
      </c>
      <c r="AK43" s="188" t="s">
        <v>304</v>
      </c>
      <c r="AL43" s="188">
        <v>0</v>
      </c>
      <c r="AM43" s="188">
        <v>0</v>
      </c>
      <c r="AN43" s="217"/>
      <c r="AO43" s="188">
        <f t="shared" si="207"/>
        <v>1</v>
      </c>
      <c r="AP43" s="188">
        <f t="shared" si="208"/>
        <v>151</v>
      </c>
      <c r="AQ43" s="188">
        <f t="shared" si="227"/>
        <v>1</v>
      </c>
      <c r="AR43" s="188">
        <f t="shared" si="228"/>
        <v>151</v>
      </c>
      <c r="AS43" s="188">
        <f t="shared" si="229"/>
        <v>1</v>
      </c>
      <c r="AT43" s="188">
        <f t="shared" si="230"/>
        <v>151</v>
      </c>
      <c r="AU43" s="188">
        <f t="shared" si="209"/>
        <v>1</v>
      </c>
      <c r="AV43" s="188">
        <f t="shared" si="210"/>
        <v>151</v>
      </c>
      <c r="AW43" s="188">
        <f t="shared" si="211"/>
        <v>1</v>
      </c>
      <c r="AX43" s="188">
        <f t="shared" si="212"/>
        <v>151</v>
      </c>
      <c r="AY43" s="188">
        <f t="shared" si="116"/>
        <v>0</v>
      </c>
      <c r="AZ43" s="188">
        <f t="shared" si="117"/>
        <v>0</v>
      </c>
      <c r="BA43" s="188">
        <f t="shared" si="14"/>
        <v>3.700504</v>
      </c>
      <c r="BB43" s="188">
        <f t="shared" si="15"/>
        <v>0</v>
      </c>
      <c r="BD43" s="196">
        <f t="shared" si="118"/>
        <v>0</v>
      </c>
      <c r="BE43" s="188">
        <f t="shared" si="231"/>
        <v>0</v>
      </c>
      <c r="BF43" s="188">
        <f t="shared" si="232"/>
        <v>0</v>
      </c>
      <c r="BG43" s="188">
        <f t="shared" si="233"/>
        <v>0</v>
      </c>
      <c r="BH43" s="188">
        <f t="shared" si="234"/>
        <v>0</v>
      </c>
      <c r="BI43" s="188">
        <f t="shared" si="235"/>
        <v>0</v>
      </c>
      <c r="BJ43" s="188">
        <f t="shared" si="236"/>
        <v>0</v>
      </c>
      <c r="BK43" s="188">
        <f t="shared" si="22"/>
        <v>0</v>
      </c>
      <c r="BN43" s="143"/>
      <c r="BO43" s="277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B43" s="188"/>
      <c r="CD43" s="188">
        <f t="shared" si="23"/>
        <v>0</v>
      </c>
      <c r="CE43" s="188">
        <f t="shared" si="24"/>
        <v>0</v>
      </c>
      <c r="CF43" s="188">
        <f t="shared" si="25"/>
        <v>0</v>
      </c>
      <c r="CG43" s="188">
        <f t="shared" si="26"/>
        <v>0</v>
      </c>
      <c r="CH43" s="188">
        <f t="shared" si="27"/>
        <v>0</v>
      </c>
      <c r="CI43" s="188">
        <f t="shared" si="28"/>
        <v>0</v>
      </c>
      <c r="CJ43" s="188">
        <f t="shared" si="29"/>
        <v>0</v>
      </c>
      <c r="CK43" s="188">
        <f t="shared" si="30"/>
        <v>0</v>
      </c>
      <c r="CL43" s="188">
        <f t="shared" si="31"/>
        <v>0</v>
      </c>
      <c r="CM43" s="188">
        <f t="shared" si="32"/>
        <v>0</v>
      </c>
      <c r="CN43" s="188">
        <f t="shared" si="33"/>
        <v>0</v>
      </c>
      <c r="CO43" s="188">
        <f t="shared" si="34"/>
        <v>0</v>
      </c>
      <c r="CP43" s="188">
        <f t="shared" si="35"/>
        <v>0</v>
      </c>
      <c r="DV43" s="188">
        <f t="shared" si="237"/>
        <v>0</v>
      </c>
      <c r="DW43" s="188">
        <f t="shared" si="238"/>
        <v>0</v>
      </c>
      <c r="DX43" s="188">
        <f t="shared" si="239"/>
        <v>0</v>
      </c>
      <c r="DY43" s="188">
        <f t="shared" si="240"/>
        <v>0</v>
      </c>
      <c r="DZ43" s="188">
        <f t="shared" si="241"/>
        <v>0</v>
      </c>
      <c r="EA43" s="188">
        <f t="shared" si="242"/>
        <v>0</v>
      </c>
      <c r="EB43" s="188">
        <f t="shared" si="42"/>
        <v>0</v>
      </c>
      <c r="EG43" s="220">
        <f t="shared" si="43"/>
        <v>0</v>
      </c>
      <c r="EH43" s="220">
        <f t="shared" si="44"/>
        <v>0</v>
      </c>
      <c r="EI43" s="188"/>
      <c r="EJ43" s="188"/>
      <c r="EK43" s="188"/>
      <c r="EL43" s="188"/>
      <c r="EM43" s="188"/>
      <c r="EN43" s="188"/>
      <c r="EO43" s="188"/>
      <c r="EP43" s="188"/>
      <c r="EQ43" s="188"/>
      <c r="ER43" s="188"/>
      <c r="ES43" s="188"/>
      <c r="ET43" s="188"/>
      <c r="EU43" s="188"/>
      <c r="EV43" s="188"/>
      <c r="EW43" s="188"/>
      <c r="EX43" s="188"/>
      <c r="EY43" s="188"/>
      <c r="EZ43" s="188"/>
      <c r="FA43" s="188"/>
      <c r="FB43" s="188"/>
      <c r="FC43" s="188"/>
      <c r="FD43" s="188"/>
      <c r="FE43" s="188"/>
      <c r="FF43" s="188"/>
      <c r="FH43" s="189"/>
      <c r="FI43" s="189"/>
      <c r="FJ43" s="189"/>
      <c r="FK43" s="189"/>
      <c r="FL43" s="189"/>
      <c r="FM43" s="189"/>
      <c r="FN43" s="189"/>
      <c r="FO43" s="189"/>
      <c r="FP43" s="189"/>
      <c r="FQ43" s="189"/>
      <c r="FR43" s="189"/>
      <c r="FS43" s="189"/>
      <c r="FT43" s="189"/>
      <c r="FU43" s="189"/>
      <c r="FV43" s="189"/>
      <c r="FX43" s="217"/>
      <c r="FY43" s="188">
        <f t="shared" si="45"/>
        <v>0</v>
      </c>
      <c r="FZ43" s="188">
        <f t="shared" ref="FZ43:FZ74" si="250">DI43+CE43</f>
        <v>0</v>
      </c>
      <c r="GA43" s="188">
        <f t="shared" ref="GA43:GA74" si="251">DJ43+CF43</f>
        <v>0</v>
      </c>
      <c r="GB43" s="188">
        <f t="shared" ref="GB43:GB74" si="252">DK43+CG43</f>
        <v>0</v>
      </c>
      <c r="GC43" s="188">
        <f t="shared" ref="GC43:GC74" si="253">DM43+CI43</f>
        <v>0</v>
      </c>
      <c r="GD43" s="188">
        <f t="shared" ref="GD43:GD74" si="254">DO43+CK43</f>
        <v>0</v>
      </c>
      <c r="GE43" s="188">
        <f t="shared" ref="GE43:GE74" si="255">DT43+CP43</f>
        <v>0</v>
      </c>
      <c r="GF43" s="199"/>
      <c r="GG43" s="189">
        <v>0</v>
      </c>
      <c r="GH43" s="189">
        <v>0</v>
      </c>
      <c r="GI43" s="199"/>
      <c r="GJ43" s="200">
        <f t="shared" si="52"/>
        <v>0</v>
      </c>
      <c r="GK43" s="200">
        <f t="shared" si="53"/>
        <v>0</v>
      </c>
      <c r="GO43" s="189">
        <f t="shared" ref="GO43:GO74" si="256">D43-F43</f>
        <v>0</v>
      </c>
      <c r="GP43" s="189">
        <f t="shared" ref="GP43:GP74" si="257">D43-J43</f>
        <v>0</v>
      </c>
      <c r="GQ43" s="189">
        <f t="shared" ref="GQ43:GQ74" si="258">D43-N43</f>
        <v>0</v>
      </c>
      <c r="GR43" s="189">
        <f t="shared" ref="GR43:GR74" si="259">D43-R43</f>
        <v>0</v>
      </c>
      <c r="GS43" s="189">
        <f t="shared" ref="GS43:GS74" si="260">D43-V43</f>
        <v>0</v>
      </c>
      <c r="GT43" s="189">
        <f t="shared" si="124"/>
        <v>1</v>
      </c>
      <c r="GU43" s="201">
        <f t="shared" si="125"/>
        <v>43243</v>
      </c>
      <c r="GV43" s="189" t="str">
        <f t="shared" si="126"/>
        <v>SELESAI</v>
      </c>
      <c r="GW43" s="189">
        <f t="shared" si="127"/>
        <v>0</v>
      </c>
      <c r="GX43" s="202" t="str">
        <f t="shared" si="128"/>
        <v>SELESAI</v>
      </c>
      <c r="GY43" s="202">
        <f t="shared" si="129"/>
        <v>0</v>
      </c>
      <c r="GZ43" s="203" t="str">
        <f t="shared" si="130"/>
        <v>SELESAI</v>
      </c>
      <c r="HA43" s="204"/>
      <c r="HB43" s="204"/>
      <c r="HC43" s="189">
        <f t="shared" ref="HC43:HC74" si="261">IF(BH43&gt;0,1,IF(BI43&gt;0,1,0))</f>
        <v>0</v>
      </c>
      <c r="HD43" s="189">
        <f t="shared" ref="HD43:HD74" si="262">IF(CB43&gt;0,1,0)</f>
        <v>0</v>
      </c>
      <c r="HE43" s="189">
        <f t="shared" si="133"/>
        <v>0</v>
      </c>
      <c r="HF43" s="189">
        <f t="shared" si="134"/>
        <v>0</v>
      </c>
      <c r="HG43" s="189">
        <f t="shared" si="135"/>
        <v>0</v>
      </c>
      <c r="HH43" s="201" t="str">
        <f t="shared" si="136"/>
        <v>TIDAK KONSINYASI</v>
      </c>
      <c r="HI43" s="201" t="str">
        <f t="shared" si="137"/>
        <v>SELESAI</v>
      </c>
      <c r="HJ43" s="205"/>
      <c r="HK43" s="201">
        <f t="shared" si="138"/>
        <v>0</v>
      </c>
      <c r="HL43" s="204"/>
      <c r="HM43" s="204"/>
      <c r="HN43" s="204"/>
      <c r="HO43" s="204"/>
      <c r="HP43" s="203">
        <f t="shared" si="139"/>
        <v>0</v>
      </c>
      <c r="HQ43" s="202">
        <f t="shared" si="140"/>
        <v>0</v>
      </c>
      <c r="HR43" s="202">
        <f t="shared" ref="HR43:HR74" si="263">IF(HQ43=1,E43,0)</f>
        <v>0</v>
      </c>
      <c r="HS43" s="203">
        <f t="shared" si="142"/>
        <v>0</v>
      </c>
      <c r="HT43" s="202">
        <f t="shared" si="143"/>
        <v>0</v>
      </c>
      <c r="HU43" s="202">
        <f t="shared" ref="HU43:HU74" si="264">IF(HT43=1,E43,0)</f>
        <v>0</v>
      </c>
      <c r="HV43" s="203">
        <f t="shared" si="145"/>
        <v>0</v>
      </c>
      <c r="HW43" s="202">
        <f t="shared" si="146"/>
        <v>0</v>
      </c>
      <c r="HX43" s="202">
        <f t="shared" ref="HX43:HX74" si="265">IF(HW43=1,E43,0)</f>
        <v>0</v>
      </c>
      <c r="HY43" s="203">
        <f t="shared" si="148"/>
        <v>0</v>
      </c>
      <c r="HZ43" s="202">
        <f t="shared" si="149"/>
        <v>0</v>
      </c>
      <c r="IA43" s="202">
        <f t="shared" ref="IA43:IA74" si="266">IF(HZ43=1,E43,0)</f>
        <v>0</v>
      </c>
      <c r="IB43" s="203">
        <f t="shared" si="151"/>
        <v>0</v>
      </c>
      <c r="IC43" s="202">
        <f t="shared" si="152"/>
        <v>0</v>
      </c>
      <c r="ID43" s="202">
        <f t="shared" ref="ID43:ID74" si="267">IF(IC43=1,E43,0)</f>
        <v>0</v>
      </c>
      <c r="IE43" s="203">
        <f t="shared" si="154"/>
        <v>0</v>
      </c>
      <c r="IF43" s="202">
        <f t="shared" si="155"/>
        <v>0</v>
      </c>
      <c r="IG43" s="202">
        <f t="shared" ref="IG43:IG74" si="268">IF(IF43=1,E43,0)</f>
        <v>0</v>
      </c>
      <c r="IH43" s="203">
        <f t="shared" si="157"/>
        <v>0</v>
      </c>
      <c r="II43" s="202">
        <f t="shared" si="158"/>
        <v>0</v>
      </c>
      <c r="IJ43" s="202">
        <f t="shared" ref="IJ43:IJ74" si="269">IF(II43=1,E43,0)</f>
        <v>0</v>
      </c>
      <c r="IK43" s="203">
        <f t="shared" si="160"/>
        <v>0</v>
      </c>
      <c r="IL43" s="202">
        <f t="shared" si="161"/>
        <v>0</v>
      </c>
      <c r="IM43" s="202">
        <f t="shared" ref="IM43:IM74" si="270">IF(IL43=1,E43,0)</f>
        <v>0</v>
      </c>
      <c r="IN43" s="204"/>
      <c r="IO43" s="203">
        <f t="shared" si="163"/>
        <v>0</v>
      </c>
      <c r="IP43" s="202">
        <f t="shared" ref="IP43:IP74" si="271">IF(BG43&gt;0,1,0)</f>
        <v>0</v>
      </c>
      <c r="IQ43" s="202">
        <f t="shared" ref="IQ43:IQ74" si="272">IF(IP43=1,E43,0)</f>
        <v>0</v>
      </c>
      <c r="IR43" s="204"/>
      <c r="IS43" s="203"/>
      <c r="IT43" s="202">
        <f t="shared" ref="IT43:IT74" si="273">V43</f>
        <v>1</v>
      </c>
      <c r="IU43" s="202">
        <f t="shared" ref="IU43:IU74" si="274">W43</f>
        <v>151</v>
      </c>
      <c r="IV43" s="204"/>
      <c r="IW43" s="203"/>
      <c r="IX43" s="202">
        <f t="shared" ref="IX43:IX74" si="275">AA43</f>
        <v>0</v>
      </c>
      <c r="IY43" s="202">
        <f t="shared" ref="IY43:IY74" si="276">AB43</f>
        <v>0</v>
      </c>
      <c r="IZ43" s="204"/>
      <c r="JA43" s="203"/>
      <c r="JB43" s="202">
        <f t="shared" ref="JB43:JB74" si="277">AN43</f>
        <v>0</v>
      </c>
      <c r="JC43" s="202">
        <f t="shared" ref="JC43:JC74" si="278">BB43</f>
        <v>0</v>
      </c>
      <c r="JD43" s="204"/>
      <c r="JE43" s="203"/>
      <c r="JF43" s="202">
        <f t="shared" si="172"/>
        <v>1</v>
      </c>
      <c r="JG43" s="202">
        <f t="shared" si="173"/>
        <v>151</v>
      </c>
      <c r="JH43" s="204"/>
      <c r="JI43" s="203"/>
      <c r="JJ43" s="202">
        <f t="shared" ref="JJ43:JJ74" si="279">JF43-D43</f>
        <v>0</v>
      </c>
      <c r="JK43" s="202">
        <f t="shared" ref="JK43:JK74" si="280">JG43-E43</f>
        <v>0</v>
      </c>
      <c r="JM43" s="203">
        <f t="shared" si="176"/>
        <v>0</v>
      </c>
      <c r="JO43" s="196">
        <f t="shared" si="54"/>
        <v>0</v>
      </c>
      <c r="JP43" s="189">
        <f t="shared" ref="JP43:JP74" si="281">BN43+CR43</f>
        <v>0</v>
      </c>
      <c r="JQ43" s="189">
        <f t="shared" ref="JQ43:JQ74" si="282">IF(BO43+CS43=2,1,IF(BO43+CS43=1,1,0))</f>
        <v>0</v>
      </c>
      <c r="JR43" s="189">
        <f t="shared" ref="JR43:JR74" si="283">IF(BP43+CT43=2,1,IF(BP43+CT43=1,1,0))</f>
        <v>0</v>
      </c>
      <c r="JS43" s="189">
        <f t="shared" ref="JS43:JS74" si="284">IF(BQ43+CU43=2,1,IF(BQ43+CU43=1,1,0))</f>
        <v>0</v>
      </c>
      <c r="JT43" s="189">
        <f t="shared" ref="JT43:JT74" si="285">IF(BR43+CV43=2,1,IF(BR43+CV43=1,1,0))</f>
        <v>0</v>
      </c>
      <c r="JU43" s="189">
        <f t="shared" ref="JU43:JU74" si="286">IF(BS43+CW43=2,1,IF(BS43+CW43=1,1,0))</f>
        <v>0</v>
      </c>
      <c r="JV43" s="189">
        <f t="shared" ref="JV43:JV74" si="287">IF(BT43+CX43=2,1,IF(BT43+CX43=1,1,0))</f>
        <v>0</v>
      </c>
      <c r="JW43" s="189">
        <f t="shared" ref="JW43:JW74" si="288">IF(BU43+CY43=2,1,IF(BU43+CY43=1,1,0))</f>
        <v>0</v>
      </c>
      <c r="JX43" s="189">
        <f t="shared" ref="JX43:JX74" si="289">IF(BV43+CZ43=2,1,IF(BV43+CZ43=1,1,0))</f>
        <v>0</v>
      </c>
      <c r="JY43" s="189">
        <f t="shared" ref="JY43:JY74" si="290">IF(BW43+DA43=2,1,IF(BW43+DA43=1,1,0))</f>
        <v>0</v>
      </c>
      <c r="JZ43" s="189">
        <f t="shared" ref="JZ43:JZ74" si="291">IF(BX43+DB43=2,1,IF(BX43+DB43=1,1,0))</f>
        <v>0</v>
      </c>
      <c r="KA43" s="189">
        <f t="shared" ref="KA43:KA74" si="292">IF(BY43+DC43=2,1,IF(BY43+DC43=1,1,0))</f>
        <v>0</v>
      </c>
      <c r="KB43" s="189">
        <f t="shared" ref="KB43:KB74" si="293">IF(BZ43+DD43=2,1,IF(BZ43+DD43=1,1,0))</f>
        <v>0</v>
      </c>
      <c r="KD43" s="206">
        <f t="shared" si="177"/>
        <v>0</v>
      </c>
      <c r="KE43" s="206">
        <f t="shared" si="69"/>
        <v>0</v>
      </c>
      <c r="KF43" s="206">
        <f t="shared" ref="KF43:KF74" si="294">CD43+DH43</f>
        <v>0</v>
      </c>
      <c r="KG43" s="206">
        <f t="shared" ref="KG43:KG74" si="295">CE43+DI43</f>
        <v>0</v>
      </c>
      <c r="KH43" s="206">
        <f t="shared" ref="KH43:KH74" si="296">CF43+DJ43</f>
        <v>0</v>
      </c>
      <c r="KI43" s="206">
        <f t="shared" ref="KI43:KI74" si="297">CG43+DK43</f>
        <v>0</v>
      </c>
      <c r="KJ43" s="206">
        <f t="shared" ref="KJ43:KJ74" si="298">CH43+DL43</f>
        <v>0</v>
      </c>
      <c r="KK43" s="206">
        <f t="shared" ref="KK43:KK74" si="299">CI43+DM43</f>
        <v>0</v>
      </c>
      <c r="KL43" s="206">
        <f t="shared" ref="KL43:KL74" si="300">CJ43+DN43</f>
        <v>0</v>
      </c>
      <c r="KM43" s="206">
        <f t="shared" ref="KM43:KM74" si="301">CK43+DO43</f>
        <v>0</v>
      </c>
      <c r="KN43" s="221">
        <f t="shared" ref="KN43:KN74" si="302">CL43+DP43</f>
        <v>0</v>
      </c>
      <c r="KO43" s="221">
        <f t="shared" ref="KO43:KO74" si="303">CM43+DQ43</f>
        <v>0</v>
      </c>
      <c r="KP43" s="221">
        <f t="shared" ref="KP43:KP74" si="304">CN43+DR43</f>
        <v>0</v>
      </c>
      <c r="KQ43" s="221">
        <f t="shared" ref="KQ43:KQ74" si="305">CO43+DS43</f>
        <v>0</v>
      </c>
      <c r="KR43" s="221">
        <f t="shared" ref="KR43:KR74" si="306">CP43+DT43</f>
        <v>0</v>
      </c>
      <c r="KT43" s="195">
        <f t="shared" ref="KT43:KT74" si="307">AN43</f>
        <v>0</v>
      </c>
      <c r="KU43" s="221"/>
      <c r="KV43" s="221"/>
      <c r="KW43" s="221"/>
      <c r="KX43" s="221"/>
      <c r="KY43" s="221"/>
      <c r="KZ43" s="221"/>
      <c r="LA43" s="221"/>
      <c r="LB43" s="221"/>
      <c r="LC43" s="221"/>
      <c r="LD43" s="221"/>
      <c r="LE43" s="221"/>
      <c r="LF43" s="221"/>
      <c r="LG43" s="221"/>
      <c r="LH43" s="221"/>
      <c r="LI43" s="221"/>
      <c r="LJ43" s="221"/>
      <c r="LK43" s="221"/>
      <c r="LL43" s="221"/>
      <c r="LM43" s="221"/>
      <c r="LN43" s="221"/>
      <c r="LO43" s="221"/>
      <c r="LP43" s="221"/>
      <c r="LQ43" s="221"/>
      <c r="LR43" s="221"/>
      <c r="LS43" s="221"/>
      <c r="LT43" s="221"/>
      <c r="LU43" s="221"/>
      <c r="LV43" s="221"/>
      <c r="LW43" s="221"/>
      <c r="LX43" s="221"/>
      <c r="LY43" s="221"/>
      <c r="LZ43" s="221"/>
      <c r="MA43" s="221"/>
      <c r="MB43" s="221"/>
      <c r="MC43" s="221"/>
      <c r="MD43" s="221"/>
      <c r="ME43" s="221"/>
      <c r="MF43" s="221"/>
      <c r="MG43" s="221"/>
      <c r="MH43" s="221"/>
      <c r="MI43" s="221"/>
      <c r="MJ43" s="221"/>
      <c r="MK43" s="221"/>
      <c r="ML43" s="221"/>
      <c r="MM43" s="221"/>
      <c r="MN43" s="221"/>
      <c r="MO43" s="221"/>
      <c r="MP43" s="221"/>
      <c r="MQ43" s="221"/>
      <c r="MR43" s="221"/>
      <c r="MS43" s="221"/>
      <c r="MT43" s="221"/>
      <c r="MU43" s="221"/>
      <c r="MV43" s="221"/>
      <c r="MW43" s="221"/>
      <c r="MX43" s="221"/>
      <c r="MY43" s="221"/>
      <c r="MZ43" s="221"/>
      <c r="NA43" s="221"/>
      <c r="NB43" s="221"/>
      <c r="NC43" s="221"/>
      <c r="ND43" s="221"/>
      <c r="NE43" s="221"/>
      <c r="NF43" s="221"/>
      <c r="NG43" s="221"/>
      <c r="NH43" s="221"/>
      <c r="NI43" s="221"/>
      <c r="NJ43" s="221"/>
      <c r="NK43" s="221"/>
      <c r="NM43" s="195">
        <f t="shared" si="178"/>
        <v>0</v>
      </c>
      <c r="NN43" s="195">
        <f t="shared" si="179"/>
        <v>0</v>
      </c>
      <c r="NO43" s="195">
        <f t="shared" si="180"/>
        <v>0</v>
      </c>
      <c r="NP43" s="195">
        <f t="shared" si="181"/>
        <v>0</v>
      </c>
      <c r="NQ43" s="195">
        <f t="shared" si="182"/>
        <v>0</v>
      </c>
      <c r="NR43" s="195">
        <f t="shared" si="183"/>
        <v>0</v>
      </c>
      <c r="NS43" s="195">
        <f t="shared" si="184"/>
        <v>0</v>
      </c>
      <c r="NT43" s="195">
        <f t="shared" si="185"/>
        <v>0</v>
      </c>
      <c r="NU43" s="196">
        <f t="shared" si="186"/>
        <v>0</v>
      </c>
      <c r="NY43" s="215">
        <f t="shared" si="249"/>
        <v>1</v>
      </c>
      <c r="NZ43" s="222">
        <v>12500000</v>
      </c>
      <c r="OE43" s="207">
        <f t="shared" si="243"/>
        <v>0</v>
      </c>
      <c r="OF43" s="207">
        <f t="shared" si="244"/>
        <v>0</v>
      </c>
      <c r="OG43" s="207">
        <f t="shared" si="245"/>
        <v>0</v>
      </c>
      <c r="OH43" s="207">
        <f t="shared" si="188"/>
        <v>0</v>
      </c>
      <c r="OI43" s="207">
        <f t="shared" si="246"/>
        <v>0</v>
      </c>
      <c r="OJ43" s="199">
        <f t="shared" si="189"/>
        <v>0</v>
      </c>
      <c r="OK43" s="199">
        <f t="shared" si="190"/>
        <v>0</v>
      </c>
      <c r="OL43" s="199">
        <f t="shared" si="191"/>
        <v>0</v>
      </c>
      <c r="OM43" s="199">
        <f t="shared" si="192"/>
        <v>0</v>
      </c>
      <c r="OO43" s="207">
        <f t="shared" si="247"/>
        <v>0</v>
      </c>
      <c r="OP43" s="207">
        <f t="shared" si="248"/>
        <v>0</v>
      </c>
      <c r="OQ43" s="207">
        <f t="shared" si="193"/>
        <v>0</v>
      </c>
      <c r="OR43" s="207">
        <f t="shared" si="194"/>
        <v>0</v>
      </c>
      <c r="OS43" s="207">
        <f t="shared" si="195"/>
        <v>0</v>
      </c>
      <c r="OT43" s="199">
        <f t="shared" si="196"/>
        <v>0</v>
      </c>
      <c r="OU43" s="199">
        <f t="shared" si="197"/>
        <v>0</v>
      </c>
      <c r="OV43" s="199">
        <f t="shared" si="198"/>
        <v>0</v>
      </c>
      <c r="OW43" s="199">
        <f t="shared" si="199"/>
        <v>0</v>
      </c>
      <c r="OZ43" s="208">
        <f t="shared" si="91"/>
        <v>0</v>
      </c>
      <c r="PA43" s="209"/>
      <c r="PB43" s="209"/>
      <c r="PC43" s="209"/>
      <c r="PD43" s="210">
        <f t="shared" si="200"/>
        <v>0</v>
      </c>
      <c r="PE43" s="210"/>
      <c r="PF43" s="210">
        <f t="shared" si="201"/>
        <v>0</v>
      </c>
      <c r="PG43" s="210">
        <f t="shared" si="202"/>
        <v>0</v>
      </c>
      <c r="PH43" s="210">
        <f t="shared" si="92"/>
        <v>0</v>
      </c>
      <c r="PI43" s="210">
        <f t="shared" si="93"/>
        <v>0</v>
      </c>
      <c r="PJ43" s="210">
        <f t="shared" si="94"/>
        <v>0</v>
      </c>
      <c r="PK43" s="210">
        <f t="shared" si="95"/>
        <v>0</v>
      </c>
      <c r="PL43" s="210">
        <f t="shared" si="96"/>
        <v>0</v>
      </c>
      <c r="PM43" s="211"/>
      <c r="PN43" s="211"/>
      <c r="PO43" s="212">
        <f t="shared" si="203"/>
        <v>0</v>
      </c>
      <c r="PP43" s="212">
        <f t="shared" si="204"/>
        <v>0</v>
      </c>
      <c r="PQ43" s="212">
        <f t="shared" si="205"/>
        <v>0</v>
      </c>
      <c r="PR43" s="211"/>
      <c r="PS43" s="211"/>
      <c r="PT43" s="211"/>
      <c r="PU43" s="211"/>
    </row>
    <row r="44" spans="1:437 16383:16383" s="195" customFormat="1" ht="16" x14ac:dyDescent="0.2">
      <c r="A44" s="213">
        <f t="shared" si="206"/>
        <v>34</v>
      </c>
      <c r="B44" s="186" t="s">
        <v>287</v>
      </c>
      <c r="C44" s="186">
        <v>38</v>
      </c>
      <c r="D44" s="188">
        <v>1</v>
      </c>
      <c r="E44" s="188">
        <v>264</v>
      </c>
      <c r="F44" s="188">
        <v>1</v>
      </c>
      <c r="G44" s="188">
        <f t="shared" ref="G44:G108" si="308">E44</f>
        <v>264</v>
      </c>
      <c r="H44" s="214">
        <f t="shared" si="213"/>
        <v>1</v>
      </c>
      <c r="I44" s="214">
        <f t="shared" si="214"/>
        <v>1</v>
      </c>
      <c r="J44" s="188">
        <v>1</v>
      </c>
      <c r="K44" s="188">
        <f t="shared" si="215"/>
        <v>264</v>
      </c>
      <c r="L44" s="214">
        <f t="shared" si="216"/>
        <v>1</v>
      </c>
      <c r="M44" s="214">
        <f t="shared" si="217"/>
        <v>1</v>
      </c>
      <c r="N44" s="188">
        <v>1</v>
      </c>
      <c r="O44" s="188">
        <f t="shared" si="218"/>
        <v>264</v>
      </c>
      <c r="P44" s="214">
        <f t="shared" si="219"/>
        <v>1</v>
      </c>
      <c r="Q44" s="214">
        <f t="shared" si="220"/>
        <v>1</v>
      </c>
      <c r="R44" s="188">
        <v>1</v>
      </c>
      <c r="S44" s="188">
        <f t="shared" si="221"/>
        <v>264</v>
      </c>
      <c r="T44" s="214">
        <f t="shared" si="222"/>
        <v>1</v>
      </c>
      <c r="U44" s="214">
        <f t="shared" si="223"/>
        <v>1</v>
      </c>
      <c r="V44" s="215">
        <v>1</v>
      </c>
      <c r="W44" s="188">
        <f t="shared" si="224"/>
        <v>264</v>
      </c>
      <c r="X44" s="214">
        <f t="shared" si="225"/>
        <v>1</v>
      </c>
      <c r="Y44" s="214">
        <f t="shared" si="226"/>
        <v>1</v>
      </c>
      <c r="Z44" s="225">
        <f>7975371000/1000000000</f>
        <v>7.975371</v>
      </c>
      <c r="AA44" s="188">
        <v>0</v>
      </c>
      <c r="AB44" s="188">
        <f t="shared" si="112"/>
        <v>0</v>
      </c>
      <c r="AC44" s="214">
        <f t="shared" si="113"/>
        <v>0</v>
      </c>
      <c r="AD44" s="214">
        <f t="shared" si="114"/>
        <v>0</v>
      </c>
      <c r="AE44" s="188"/>
      <c r="AF44" s="188">
        <f t="shared" si="115"/>
        <v>0</v>
      </c>
      <c r="AG44" s="188"/>
      <c r="AH44" s="188"/>
      <c r="AI44" s="188">
        <v>1</v>
      </c>
      <c r="AJ44" s="188">
        <f t="shared" si="2"/>
        <v>264</v>
      </c>
      <c r="AK44" s="188" t="s">
        <v>304</v>
      </c>
      <c r="AL44" s="188">
        <v>0</v>
      </c>
      <c r="AM44" s="188">
        <v>0</v>
      </c>
      <c r="AN44" s="217"/>
      <c r="AO44" s="188">
        <f t="shared" si="207"/>
        <v>1</v>
      </c>
      <c r="AP44" s="188">
        <f t="shared" si="208"/>
        <v>264</v>
      </c>
      <c r="AQ44" s="188">
        <f t="shared" si="227"/>
        <v>1</v>
      </c>
      <c r="AR44" s="188">
        <f t="shared" si="228"/>
        <v>264</v>
      </c>
      <c r="AS44" s="188">
        <f t="shared" si="229"/>
        <v>1</v>
      </c>
      <c r="AT44" s="188">
        <f t="shared" si="230"/>
        <v>264</v>
      </c>
      <c r="AU44" s="188">
        <f t="shared" si="209"/>
        <v>1</v>
      </c>
      <c r="AV44" s="188">
        <f t="shared" si="210"/>
        <v>264</v>
      </c>
      <c r="AW44" s="188">
        <f t="shared" si="211"/>
        <v>1</v>
      </c>
      <c r="AX44" s="188">
        <f t="shared" si="212"/>
        <v>264</v>
      </c>
      <c r="AY44" s="188">
        <f t="shared" si="116"/>
        <v>0</v>
      </c>
      <c r="AZ44" s="188">
        <f t="shared" si="117"/>
        <v>0</v>
      </c>
      <c r="BA44" s="188">
        <f t="shared" si="14"/>
        <v>7.975371</v>
      </c>
      <c r="BB44" s="188">
        <f t="shared" si="15"/>
        <v>0</v>
      </c>
      <c r="BD44" s="196">
        <f t="shared" si="118"/>
        <v>0</v>
      </c>
      <c r="BE44" s="188">
        <f t="shared" si="231"/>
        <v>0</v>
      </c>
      <c r="BF44" s="188">
        <f t="shared" si="232"/>
        <v>0</v>
      </c>
      <c r="BG44" s="188">
        <f t="shared" si="233"/>
        <v>0</v>
      </c>
      <c r="BH44" s="188">
        <f t="shared" si="234"/>
        <v>0</v>
      </c>
      <c r="BI44" s="188">
        <f t="shared" si="235"/>
        <v>0</v>
      </c>
      <c r="BJ44" s="188">
        <f t="shared" si="236"/>
        <v>0</v>
      </c>
      <c r="BK44" s="188">
        <f t="shared" si="22"/>
        <v>0</v>
      </c>
      <c r="BN44" s="277">
        <v>36</v>
      </c>
      <c r="BO44" s="139">
        <v>1</v>
      </c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B44" s="188"/>
      <c r="CD44" s="188">
        <f t="shared" si="23"/>
        <v>36</v>
      </c>
      <c r="CE44" s="188">
        <f t="shared" si="24"/>
        <v>36</v>
      </c>
      <c r="CF44" s="188">
        <f t="shared" si="25"/>
        <v>0</v>
      </c>
      <c r="CG44" s="188">
        <f t="shared" si="26"/>
        <v>0</v>
      </c>
      <c r="CH44" s="188">
        <f t="shared" si="27"/>
        <v>0</v>
      </c>
      <c r="CI44" s="188">
        <f t="shared" si="28"/>
        <v>0</v>
      </c>
      <c r="CJ44" s="188">
        <f t="shared" si="29"/>
        <v>0</v>
      </c>
      <c r="CK44" s="188">
        <f t="shared" si="30"/>
        <v>0</v>
      </c>
      <c r="CL44" s="188">
        <f t="shared" si="31"/>
        <v>0</v>
      </c>
      <c r="CM44" s="188">
        <f t="shared" si="32"/>
        <v>0</v>
      </c>
      <c r="CN44" s="188">
        <f t="shared" si="33"/>
        <v>0</v>
      </c>
      <c r="CO44" s="188">
        <f t="shared" si="34"/>
        <v>0</v>
      </c>
      <c r="CP44" s="188">
        <f t="shared" si="35"/>
        <v>0</v>
      </c>
      <c r="DV44" s="188">
        <f t="shared" si="237"/>
        <v>0</v>
      </c>
      <c r="DW44" s="188">
        <f t="shared" si="238"/>
        <v>0</v>
      </c>
      <c r="DX44" s="188">
        <f t="shared" si="239"/>
        <v>0</v>
      </c>
      <c r="DY44" s="188">
        <f t="shared" si="240"/>
        <v>0</v>
      </c>
      <c r="DZ44" s="188">
        <f t="shared" si="241"/>
        <v>0</v>
      </c>
      <c r="EA44" s="188">
        <f t="shared" si="242"/>
        <v>0</v>
      </c>
      <c r="EB44" s="188">
        <f t="shared" si="42"/>
        <v>0</v>
      </c>
      <c r="EG44" s="220">
        <f t="shared" si="43"/>
        <v>0</v>
      </c>
      <c r="EH44" s="220">
        <f t="shared" si="44"/>
        <v>0</v>
      </c>
      <c r="EI44" s="188"/>
      <c r="EJ44" s="188"/>
      <c r="EK44" s="188"/>
      <c r="EL44" s="188"/>
      <c r="EM44" s="188"/>
      <c r="EN44" s="188"/>
      <c r="EO44" s="188"/>
      <c r="EP44" s="188"/>
      <c r="EQ44" s="188"/>
      <c r="ER44" s="188"/>
      <c r="ES44" s="188"/>
      <c r="ET44" s="188"/>
      <c r="EU44" s="188"/>
      <c r="EV44" s="188"/>
      <c r="EW44" s="188"/>
      <c r="EX44" s="188"/>
      <c r="EY44" s="188"/>
      <c r="EZ44" s="188"/>
      <c r="FA44" s="188"/>
      <c r="FB44" s="188"/>
      <c r="FC44" s="188"/>
      <c r="FD44" s="188"/>
      <c r="FE44" s="188"/>
      <c r="FF44" s="188"/>
      <c r="FH44" s="189"/>
      <c r="FI44" s="189"/>
      <c r="FJ44" s="189"/>
      <c r="FK44" s="189"/>
      <c r="FL44" s="189"/>
      <c r="FM44" s="189"/>
      <c r="FN44" s="189"/>
      <c r="FO44" s="189"/>
      <c r="FP44" s="189"/>
      <c r="FQ44" s="189"/>
      <c r="FR44" s="189"/>
      <c r="FS44" s="189"/>
      <c r="FT44" s="189"/>
      <c r="FU44" s="189"/>
      <c r="FV44" s="189"/>
      <c r="FX44" s="217">
        <v>1</v>
      </c>
      <c r="FY44" s="188">
        <f t="shared" si="45"/>
        <v>36</v>
      </c>
      <c r="FZ44" s="188">
        <f t="shared" si="250"/>
        <v>36</v>
      </c>
      <c r="GA44" s="188">
        <f t="shared" si="251"/>
        <v>0</v>
      </c>
      <c r="GB44" s="188">
        <f t="shared" si="252"/>
        <v>0</v>
      </c>
      <c r="GC44" s="188">
        <f t="shared" si="253"/>
        <v>0</v>
      </c>
      <c r="GD44" s="188">
        <f t="shared" si="254"/>
        <v>0</v>
      </c>
      <c r="GE44" s="188">
        <f t="shared" si="255"/>
        <v>0</v>
      </c>
      <c r="GF44" s="199"/>
      <c r="GG44" s="189">
        <v>0</v>
      </c>
      <c r="GH44" s="189">
        <v>0</v>
      </c>
      <c r="GI44" s="199"/>
      <c r="GJ44" s="200">
        <f t="shared" si="52"/>
        <v>0</v>
      </c>
      <c r="GK44" s="200">
        <f t="shared" si="53"/>
        <v>0</v>
      </c>
      <c r="GO44" s="189">
        <f t="shared" si="256"/>
        <v>0</v>
      </c>
      <c r="GP44" s="189">
        <f t="shared" si="257"/>
        <v>0</v>
      </c>
      <c r="GQ44" s="189">
        <f t="shared" si="258"/>
        <v>0</v>
      </c>
      <c r="GR44" s="189">
        <f t="shared" si="259"/>
        <v>0</v>
      </c>
      <c r="GS44" s="189">
        <f t="shared" si="260"/>
        <v>0</v>
      </c>
      <c r="GT44" s="189">
        <f t="shared" si="124"/>
        <v>1</v>
      </c>
      <c r="GU44" s="201">
        <f t="shared" si="125"/>
        <v>43243</v>
      </c>
      <c r="GV44" s="189" t="str">
        <f t="shared" si="126"/>
        <v>SELESAI</v>
      </c>
      <c r="GW44" s="189">
        <f t="shared" si="127"/>
        <v>0</v>
      </c>
      <c r="GX44" s="202" t="str">
        <f t="shared" si="128"/>
        <v>SELESAI</v>
      </c>
      <c r="GY44" s="202">
        <f t="shared" si="129"/>
        <v>0</v>
      </c>
      <c r="GZ44" s="203" t="str">
        <f t="shared" si="130"/>
        <v>SELESAI</v>
      </c>
      <c r="HA44" s="204"/>
      <c r="HB44" s="204"/>
      <c r="HC44" s="189">
        <f t="shared" si="261"/>
        <v>0</v>
      </c>
      <c r="HD44" s="189">
        <f t="shared" si="262"/>
        <v>0</v>
      </c>
      <c r="HE44" s="189">
        <f t="shared" si="133"/>
        <v>0</v>
      </c>
      <c r="HF44" s="189">
        <f t="shared" si="134"/>
        <v>0</v>
      </c>
      <c r="HG44" s="189">
        <f t="shared" si="135"/>
        <v>0</v>
      </c>
      <c r="HH44" s="201" t="str">
        <f t="shared" si="136"/>
        <v>TIDAK KONSINYASI</v>
      </c>
      <c r="HI44" s="201" t="str">
        <f t="shared" si="137"/>
        <v>SELESAI</v>
      </c>
      <c r="HJ44" s="205"/>
      <c r="HK44" s="201">
        <f t="shared" si="138"/>
        <v>0</v>
      </c>
      <c r="HL44" s="204"/>
      <c r="HM44" s="204"/>
      <c r="HN44" s="204"/>
      <c r="HO44" s="204"/>
      <c r="HP44" s="203">
        <f t="shared" si="139"/>
        <v>0</v>
      </c>
      <c r="HQ44" s="202">
        <f t="shared" si="140"/>
        <v>0</v>
      </c>
      <c r="HR44" s="202">
        <f t="shared" si="263"/>
        <v>0</v>
      </c>
      <c r="HS44" s="203">
        <f t="shared" si="142"/>
        <v>0</v>
      </c>
      <c r="HT44" s="202">
        <f t="shared" si="143"/>
        <v>0</v>
      </c>
      <c r="HU44" s="202">
        <f t="shared" si="264"/>
        <v>0</v>
      </c>
      <c r="HV44" s="203">
        <f t="shared" si="145"/>
        <v>0</v>
      </c>
      <c r="HW44" s="202">
        <f t="shared" si="146"/>
        <v>0</v>
      </c>
      <c r="HX44" s="202">
        <f t="shared" si="265"/>
        <v>0</v>
      </c>
      <c r="HY44" s="203">
        <f t="shared" si="148"/>
        <v>0</v>
      </c>
      <c r="HZ44" s="202">
        <f t="shared" si="149"/>
        <v>0</v>
      </c>
      <c r="IA44" s="202">
        <f t="shared" si="266"/>
        <v>0</v>
      </c>
      <c r="IB44" s="203">
        <f t="shared" si="151"/>
        <v>0</v>
      </c>
      <c r="IC44" s="202">
        <f t="shared" si="152"/>
        <v>0</v>
      </c>
      <c r="ID44" s="202">
        <f t="shared" si="267"/>
        <v>0</v>
      </c>
      <c r="IE44" s="203">
        <f t="shared" si="154"/>
        <v>0</v>
      </c>
      <c r="IF44" s="202">
        <f t="shared" si="155"/>
        <v>0</v>
      </c>
      <c r="IG44" s="202">
        <f t="shared" si="268"/>
        <v>0</v>
      </c>
      <c r="IH44" s="203">
        <f t="shared" si="157"/>
        <v>0</v>
      </c>
      <c r="II44" s="202">
        <f t="shared" si="158"/>
        <v>0</v>
      </c>
      <c r="IJ44" s="202">
        <f t="shared" si="269"/>
        <v>0</v>
      </c>
      <c r="IK44" s="203">
        <f t="shared" si="160"/>
        <v>0</v>
      </c>
      <c r="IL44" s="202">
        <f t="shared" si="161"/>
        <v>0</v>
      </c>
      <c r="IM44" s="202">
        <f t="shared" si="270"/>
        <v>0</v>
      </c>
      <c r="IN44" s="204"/>
      <c r="IO44" s="203">
        <f t="shared" si="163"/>
        <v>0</v>
      </c>
      <c r="IP44" s="202">
        <f t="shared" si="271"/>
        <v>0</v>
      </c>
      <c r="IQ44" s="202">
        <f t="shared" si="272"/>
        <v>0</v>
      </c>
      <c r="IR44" s="204"/>
      <c r="IS44" s="203"/>
      <c r="IT44" s="202">
        <f t="shared" si="273"/>
        <v>1</v>
      </c>
      <c r="IU44" s="202">
        <f t="shared" si="274"/>
        <v>264</v>
      </c>
      <c r="IV44" s="204"/>
      <c r="IW44" s="203"/>
      <c r="IX44" s="202">
        <f t="shared" si="275"/>
        <v>0</v>
      </c>
      <c r="IY44" s="202">
        <f t="shared" si="276"/>
        <v>0</v>
      </c>
      <c r="IZ44" s="204"/>
      <c r="JA44" s="203"/>
      <c r="JB44" s="202">
        <f t="shared" si="277"/>
        <v>0</v>
      </c>
      <c r="JC44" s="202">
        <f t="shared" si="278"/>
        <v>0</v>
      </c>
      <c r="JD44" s="204"/>
      <c r="JE44" s="203"/>
      <c r="JF44" s="202">
        <f t="shared" si="172"/>
        <v>1</v>
      </c>
      <c r="JG44" s="202">
        <f t="shared" si="173"/>
        <v>264</v>
      </c>
      <c r="JH44" s="204"/>
      <c r="JI44" s="203"/>
      <c r="JJ44" s="202">
        <f t="shared" si="279"/>
        <v>0</v>
      </c>
      <c r="JK44" s="202">
        <f t="shared" si="280"/>
        <v>0</v>
      </c>
      <c r="JM44" s="203">
        <f t="shared" si="176"/>
        <v>0</v>
      </c>
      <c r="JO44" s="196">
        <f t="shared" si="54"/>
        <v>1</v>
      </c>
      <c r="JP44" s="189">
        <f t="shared" si="281"/>
        <v>36</v>
      </c>
      <c r="JQ44" s="189">
        <f t="shared" si="282"/>
        <v>1</v>
      </c>
      <c r="JR44" s="189">
        <f t="shared" si="283"/>
        <v>0</v>
      </c>
      <c r="JS44" s="189">
        <f t="shared" si="284"/>
        <v>0</v>
      </c>
      <c r="JT44" s="189">
        <f t="shared" si="285"/>
        <v>0</v>
      </c>
      <c r="JU44" s="189">
        <f t="shared" si="286"/>
        <v>0</v>
      </c>
      <c r="JV44" s="189">
        <f t="shared" si="287"/>
        <v>0</v>
      </c>
      <c r="JW44" s="189">
        <f t="shared" si="288"/>
        <v>0</v>
      </c>
      <c r="JX44" s="189">
        <f t="shared" si="289"/>
        <v>0</v>
      </c>
      <c r="JY44" s="189">
        <f t="shared" si="290"/>
        <v>0</v>
      </c>
      <c r="JZ44" s="189">
        <f t="shared" si="291"/>
        <v>0</v>
      </c>
      <c r="KA44" s="189">
        <f t="shared" si="292"/>
        <v>0</v>
      </c>
      <c r="KB44" s="189">
        <f t="shared" si="293"/>
        <v>0</v>
      </c>
      <c r="KD44" s="206">
        <f t="shared" si="177"/>
        <v>0</v>
      </c>
      <c r="KE44" s="206">
        <f t="shared" si="69"/>
        <v>0</v>
      </c>
      <c r="KF44" s="206">
        <f t="shared" si="294"/>
        <v>36</v>
      </c>
      <c r="KG44" s="206">
        <f t="shared" si="295"/>
        <v>36</v>
      </c>
      <c r="KH44" s="206">
        <f t="shared" si="296"/>
        <v>0</v>
      </c>
      <c r="KI44" s="206">
        <f t="shared" si="297"/>
        <v>0</v>
      </c>
      <c r="KJ44" s="206">
        <f t="shared" si="298"/>
        <v>0</v>
      </c>
      <c r="KK44" s="206">
        <f t="shared" si="299"/>
        <v>0</v>
      </c>
      <c r="KL44" s="206">
        <f t="shared" si="300"/>
        <v>0</v>
      </c>
      <c r="KM44" s="206">
        <f t="shared" si="301"/>
        <v>0</v>
      </c>
      <c r="KN44" s="221">
        <f t="shared" si="302"/>
        <v>0</v>
      </c>
      <c r="KO44" s="221">
        <f t="shared" si="303"/>
        <v>0</v>
      </c>
      <c r="KP44" s="221">
        <f t="shared" si="304"/>
        <v>0</v>
      </c>
      <c r="KQ44" s="221">
        <f t="shared" si="305"/>
        <v>0</v>
      </c>
      <c r="KR44" s="221">
        <f t="shared" si="306"/>
        <v>0</v>
      </c>
      <c r="KT44" s="195">
        <f t="shared" si="307"/>
        <v>0</v>
      </c>
      <c r="KU44" s="221"/>
      <c r="KV44" s="221"/>
      <c r="KW44" s="221"/>
      <c r="KX44" s="221"/>
      <c r="KY44" s="221"/>
      <c r="KZ44" s="221"/>
      <c r="LA44" s="221"/>
      <c r="LB44" s="221"/>
      <c r="LC44" s="221"/>
      <c r="LD44" s="221"/>
      <c r="LE44" s="221"/>
      <c r="LF44" s="221"/>
      <c r="LG44" s="221"/>
      <c r="LH44" s="221"/>
      <c r="LI44" s="221"/>
      <c r="LJ44" s="221"/>
      <c r="LK44" s="221"/>
      <c r="LL44" s="221"/>
      <c r="LM44" s="221"/>
      <c r="LN44" s="221"/>
      <c r="LO44" s="221"/>
      <c r="LP44" s="221"/>
      <c r="LQ44" s="221"/>
      <c r="LR44" s="221"/>
      <c r="LS44" s="221"/>
      <c r="LT44" s="221"/>
      <c r="LU44" s="221"/>
      <c r="LV44" s="221"/>
      <c r="LW44" s="221"/>
      <c r="LX44" s="221"/>
      <c r="LY44" s="221"/>
      <c r="LZ44" s="221"/>
      <c r="MA44" s="221"/>
      <c r="MB44" s="221"/>
      <c r="MC44" s="221"/>
      <c r="MD44" s="221"/>
      <c r="ME44" s="221"/>
      <c r="MF44" s="221"/>
      <c r="MG44" s="221"/>
      <c r="MH44" s="221"/>
      <c r="MI44" s="221"/>
      <c r="MJ44" s="221"/>
      <c r="MK44" s="221"/>
      <c r="ML44" s="221"/>
      <c r="MM44" s="221"/>
      <c r="MN44" s="221"/>
      <c r="MO44" s="221"/>
      <c r="MP44" s="221"/>
      <c r="MQ44" s="221"/>
      <c r="MR44" s="221"/>
      <c r="MS44" s="221"/>
      <c r="MT44" s="221"/>
      <c r="MU44" s="221"/>
      <c r="MV44" s="221"/>
      <c r="MW44" s="221"/>
      <c r="MX44" s="221"/>
      <c r="MY44" s="221"/>
      <c r="MZ44" s="221"/>
      <c r="NA44" s="221"/>
      <c r="NB44" s="221"/>
      <c r="NC44" s="221"/>
      <c r="ND44" s="221"/>
      <c r="NE44" s="221"/>
      <c r="NF44" s="221"/>
      <c r="NG44" s="221"/>
      <c r="NH44" s="221"/>
      <c r="NI44" s="221"/>
      <c r="NJ44" s="221"/>
      <c r="NK44" s="221"/>
      <c r="NM44" s="195">
        <f t="shared" si="178"/>
        <v>0</v>
      </c>
      <c r="NN44" s="195">
        <f t="shared" si="179"/>
        <v>0</v>
      </c>
      <c r="NO44" s="195">
        <f t="shared" si="180"/>
        <v>0</v>
      </c>
      <c r="NP44" s="195">
        <f t="shared" si="181"/>
        <v>0</v>
      </c>
      <c r="NQ44" s="195">
        <f t="shared" si="182"/>
        <v>0</v>
      </c>
      <c r="NR44" s="195">
        <f t="shared" si="183"/>
        <v>0</v>
      </c>
      <c r="NS44" s="195">
        <f t="shared" si="184"/>
        <v>0</v>
      </c>
      <c r="NT44" s="195">
        <f t="shared" si="185"/>
        <v>0</v>
      </c>
      <c r="NU44" s="196">
        <f t="shared" si="186"/>
        <v>0</v>
      </c>
      <c r="NY44" s="215">
        <f t="shared" si="249"/>
        <v>1</v>
      </c>
      <c r="NZ44" s="222">
        <v>12500000</v>
      </c>
      <c r="OE44" s="207">
        <f t="shared" si="243"/>
        <v>0</v>
      </c>
      <c r="OF44" s="207">
        <f t="shared" si="244"/>
        <v>0</v>
      </c>
      <c r="OG44" s="207">
        <f t="shared" si="245"/>
        <v>0</v>
      </c>
      <c r="OH44" s="207">
        <f t="shared" si="188"/>
        <v>0</v>
      </c>
      <c r="OI44" s="207">
        <f t="shared" si="246"/>
        <v>0</v>
      </c>
      <c r="OJ44" s="199">
        <f t="shared" si="189"/>
        <v>0</v>
      </c>
      <c r="OK44" s="199">
        <f t="shared" si="190"/>
        <v>0</v>
      </c>
      <c r="OL44" s="199">
        <f t="shared" si="191"/>
        <v>0</v>
      </c>
      <c r="OM44" s="199">
        <f t="shared" si="192"/>
        <v>0</v>
      </c>
      <c r="OO44" s="207">
        <f t="shared" si="247"/>
        <v>0</v>
      </c>
      <c r="OP44" s="207">
        <f t="shared" si="248"/>
        <v>0</v>
      </c>
      <c r="OQ44" s="207">
        <f t="shared" si="193"/>
        <v>0</v>
      </c>
      <c r="OR44" s="207">
        <f t="shared" si="194"/>
        <v>0</v>
      </c>
      <c r="OS44" s="207">
        <f t="shared" si="195"/>
        <v>0</v>
      </c>
      <c r="OT44" s="199">
        <f t="shared" si="196"/>
        <v>0</v>
      </c>
      <c r="OU44" s="199">
        <f t="shared" si="197"/>
        <v>0</v>
      </c>
      <c r="OV44" s="199">
        <f t="shared" si="198"/>
        <v>0</v>
      </c>
      <c r="OW44" s="199">
        <f t="shared" si="199"/>
        <v>0</v>
      </c>
      <c r="OZ44" s="208">
        <f t="shared" si="91"/>
        <v>0</v>
      </c>
      <c r="PA44" s="209"/>
      <c r="PB44" s="209"/>
      <c r="PC44" s="209"/>
      <c r="PD44" s="210">
        <f t="shared" si="200"/>
        <v>0</v>
      </c>
      <c r="PE44" s="210"/>
      <c r="PF44" s="210">
        <f t="shared" si="201"/>
        <v>0</v>
      </c>
      <c r="PG44" s="210">
        <f t="shared" si="202"/>
        <v>0</v>
      </c>
      <c r="PH44" s="210">
        <f t="shared" si="92"/>
        <v>0</v>
      </c>
      <c r="PI44" s="210">
        <f t="shared" si="93"/>
        <v>0</v>
      </c>
      <c r="PJ44" s="210">
        <f t="shared" si="94"/>
        <v>0</v>
      </c>
      <c r="PK44" s="210">
        <f t="shared" si="95"/>
        <v>0</v>
      </c>
      <c r="PL44" s="210">
        <f t="shared" si="96"/>
        <v>0</v>
      </c>
      <c r="PM44" s="211"/>
      <c r="PN44" s="211"/>
      <c r="PO44" s="212">
        <f t="shared" si="203"/>
        <v>0</v>
      </c>
      <c r="PP44" s="212">
        <f t="shared" si="204"/>
        <v>0</v>
      </c>
      <c r="PQ44" s="212">
        <f t="shared" si="205"/>
        <v>0</v>
      </c>
      <c r="PR44" s="211"/>
      <c r="PS44" s="211"/>
      <c r="PT44" s="211"/>
      <c r="PU44" s="211"/>
    </row>
    <row r="45" spans="1:437 16383:16383" s="195" customFormat="1" ht="16" x14ac:dyDescent="0.2">
      <c r="A45" s="213">
        <f t="shared" si="206"/>
        <v>35</v>
      </c>
      <c r="B45" s="186" t="s">
        <v>56</v>
      </c>
      <c r="C45" s="186">
        <v>39</v>
      </c>
      <c r="D45" s="188">
        <v>1</v>
      </c>
      <c r="E45" s="188">
        <v>320</v>
      </c>
      <c r="F45" s="188">
        <v>1</v>
      </c>
      <c r="G45" s="188">
        <f t="shared" si="308"/>
        <v>320</v>
      </c>
      <c r="H45" s="214">
        <f t="shared" si="213"/>
        <v>1</v>
      </c>
      <c r="I45" s="214">
        <f t="shared" si="214"/>
        <v>1</v>
      </c>
      <c r="J45" s="188">
        <v>1</v>
      </c>
      <c r="K45" s="188">
        <f t="shared" si="215"/>
        <v>320</v>
      </c>
      <c r="L45" s="214">
        <f t="shared" si="216"/>
        <v>1</v>
      </c>
      <c r="M45" s="214">
        <f t="shared" si="217"/>
        <v>1</v>
      </c>
      <c r="N45" s="188">
        <v>1</v>
      </c>
      <c r="O45" s="188">
        <f t="shared" si="218"/>
        <v>320</v>
      </c>
      <c r="P45" s="214">
        <f t="shared" si="219"/>
        <v>1</v>
      </c>
      <c r="Q45" s="214">
        <f t="shared" si="220"/>
        <v>1</v>
      </c>
      <c r="R45" s="188">
        <v>1</v>
      </c>
      <c r="S45" s="188">
        <f t="shared" si="221"/>
        <v>320</v>
      </c>
      <c r="T45" s="214">
        <f t="shared" si="222"/>
        <v>1</v>
      </c>
      <c r="U45" s="214">
        <f t="shared" si="223"/>
        <v>1</v>
      </c>
      <c r="V45" s="215">
        <v>1</v>
      </c>
      <c r="W45" s="188">
        <f t="shared" si="224"/>
        <v>320</v>
      </c>
      <c r="X45" s="214">
        <f t="shared" si="225"/>
        <v>1</v>
      </c>
      <c r="Y45" s="214">
        <f t="shared" si="226"/>
        <v>1</v>
      </c>
      <c r="Z45" s="216">
        <f>6435322000/1000000000</f>
        <v>6.4353220000000002</v>
      </c>
      <c r="AA45" s="188">
        <v>0</v>
      </c>
      <c r="AB45" s="188">
        <f t="shared" si="112"/>
        <v>0</v>
      </c>
      <c r="AC45" s="214">
        <f t="shared" si="113"/>
        <v>0</v>
      </c>
      <c r="AD45" s="214">
        <f t="shared" si="114"/>
        <v>0</v>
      </c>
      <c r="AE45" s="188"/>
      <c r="AF45" s="188">
        <f t="shared" si="115"/>
        <v>0</v>
      </c>
      <c r="AG45" s="188"/>
      <c r="AH45" s="188"/>
      <c r="AI45" s="188">
        <v>1</v>
      </c>
      <c r="AJ45" s="188">
        <f t="shared" si="2"/>
        <v>320</v>
      </c>
      <c r="AK45" s="188" t="s">
        <v>304</v>
      </c>
      <c r="AL45" s="188">
        <v>0</v>
      </c>
      <c r="AM45" s="188">
        <v>0</v>
      </c>
      <c r="AN45" s="217"/>
      <c r="AO45" s="188">
        <f t="shared" si="207"/>
        <v>1</v>
      </c>
      <c r="AP45" s="188">
        <f t="shared" si="208"/>
        <v>320</v>
      </c>
      <c r="AQ45" s="188">
        <f t="shared" si="227"/>
        <v>1</v>
      </c>
      <c r="AR45" s="188">
        <f t="shared" si="228"/>
        <v>320</v>
      </c>
      <c r="AS45" s="188">
        <f t="shared" si="229"/>
        <v>1</v>
      </c>
      <c r="AT45" s="188">
        <f t="shared" si="230"/>
        <v>320</v>
      </c>
      <c r="AU45" s="188">
        <f t="shared" si="209"/>
        <v>1</v>
      </c>
      <c r="AV45" s="188">
        <f t="shared" si="210"/>
        <v>320</v>
      </c>
      <c r="AW45" s="188">
        <f t="shared" si="211"/>
        <v>1</v>
      </c>
      <c r="AX45" s="188">
        <f t="shared" si="212"/>
        <v>320</v>
      </c>
      <c r="AY45" s="188">
        <f t="shared" si="116"/>
        <v>0</v>
      </c>
      <c r="AZ45" s="188">
        <f t="shared" si="117"/>
        <v>0</v>
      </c>
      <c r="BA45" s="188">
        <f t="shared" si="14"/>
        <v>6.4353220000000002</v>
      </c>
      <c r="BB45" s="188">
        <f t="shared" si="15"/>
        <v>0</v>
      </c>
      <c r="BD45" s="196">
        <f t="shared" si="118"/>
        <v>0</v>
      </c>
      <c r="BE45" s="188">
        <f t="shared" si="231"/>
        <v>0</v>
      </c>
      <c r="BF45" s="188">
        <f t="shared" si="232"/>
        <v>0</v>
      </c>
      <c r="BG45" s="188">
        <f t="shared" si="233"/>
        <v>0</v>
      </c>
      <c r="BH45" s="188">
        <f t="shared" si="234"/>
        <v>0</v>
      </c>
      <c r="BI45" s="188">
        <f t="shared" si="235"/>
        <v>0</v>
      </c>
      <c r="BJ45" s="188">
        <f t="shared" si="236"/>
        <v>0</v>
      </c>
      <c r="BK45" s="188">
        <f t="shared" si="22"/>
        <v>0</v>
      </c>
      <c r="BN45" s="277">
        <v>52</v>
      </c>
      <c r="BO45" s="139">
        <v>1</v>
      </c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B45" s="188"/>
      <c r="CD45" s="188">
        <f t="shared" si="23"/>
        <v>52</v>
      </c>
      <c r="CE45" s="188">
        <f t="shared" si="24"/>
        <v>52</v>
      </c>
      <c r="CF45" s="188">
        <f t="shared" si="25"/>
        <v>0</v>
      </c>
      <c r="CG45" s="188">
        <f t="shared" si="26"/>
        <v>0</v>
      </c>
      <c r="CH45" s="188">
        <f t="shared" si="27"/>
        <v>0</v>
      </c>
      <c r="CI45" s="188">
        <f t="shared" si="28"/>
        <v>0</v>
      </c>
      <c r="CJ45" s="188">
        <f t="shared" si="29"/>
        <v>0</v>
      </c>
      <c r="CK45" s="188">
        <f t="shared" si="30"/>
        <v>0</v>
      </c>
      <c r="CL45" s="188">
        <f t="shared" si="31"/>
        <v>0</v>
      </c>
      <c r="CM45" s="188">
        <f t="shared" si="32"/>
        <v>0</v>
      </c>
      <c r="CN45" s="188">
        <f t="shared" si="33"/>
        <v>0</v>
      </c>
      <c r="CO45" s="188">
        <f t="shared" si="34"/>
        <v>0</v>
      </c>
      <c r="CP45" s="188">
        <f t="shared" si="35"/>
        <v>0</v>
      </c>
      <c r="DV45" s="188">
        <f t="shared" si="237"/>
        <v>0</v>
      </c>
      <c r="DW45" s="188">
        <f t="shared" si="238"/>
        <v>0</v>
      </c>
      <c r="DX45" s="188">
        <f t="shared" si="239"/>
        <v>0</v>
      </c>
      <c r="DY45" s="188">
        <f t="shared" si="240"/>
        <v>0</v>
      </c>
      <c r="DZ45" s="188">
        <f t="shared" si="241"/>
        <v>0</v>
      </c>
      <c r="EA45" s="188">
        <f t="shared" si="242"/>
        <v>0</v>
      </c>
      <c r="EB45" s="188">
        <f t="shared" si="42"/>
        <v>0</v>
      </c>
      <c r="EG45" s="220">
        <f t="shared" si="43"/>
        <v>0</v>
      </c>
      <c r="EH45" s="220">
        <f t="shared" si="44"/>
        <v>0</v>
      </c>
      <c r="EI45" s="188"/>
      <c r="EJ45" s="188"/>
      <c r="EK45" s="188"/>
      <c r="EL45" s="188"/>
      <c r="EM45" s="188"/>
      <c r="EN45" s="188"/>
      <c r="EO45" s="188"/>
      <c r="EP45" s="188"/>
      <c r="EQ45" s="188"/>
      <c r="ER45" s="188"/>
      <c r="ES45" s="188"/>
      <c r="ET45" s="188"/>
      <c r="EU45" s="188"/>
      <c r="EV45" s="188"/>
      <c r="EW45" s="188"/>
      <c r="EX45" s="188"/>
      <c r="EY45" s="188"/>
      <c r="EZ45" s="188"/>
      <c r="FA45" s="188"/>
      <c r="FB45" s="188"/>
      <c r="FC45" s="188"/>
      <c r="FD45" s="188"/>
      <c r="FE45" s="188"/>
      <c r="FF45" s="188"/>
      <c r="FH45" s="189"/>
      <c r="FI45" s="189"/>
      <c r="FJ45" s="189"/>
      <c r="FK45" s="189"/>
      <c r="FL45" s="189"/>
      <c r="FM45" s="189"/>
      <c r="FN45" s="189"/>
      <c r="FO45" s="189"/>
      <c r="FP45" s="189"/>
      <c r="FQ45" s="189"/>
      <c r="FR45" s="189"/>
      <c r="FS45" s="189"/>
      <c r="FT45" s="189"/>
      <c r="FU45" s="189"/>
      <c r="FV45" s="189"/>
      <c r="FX45" s="217">
        <v>1</v>
      </c>
      <c r="FY45" s="188">
        <f t="shared" si="45"/>
        <v>52</v>
      </c>
      <c r="FZ45" s="188">
        <f t="shared" si="250"/>
        <v>52</v>
      </c>
      <c r="GA45" s="188">
        <f t="shared" si="251"/>
        <v>0</v>
      </c>
      <c r="GB45" s="188">
        <f t="shared" si="252"/>
        <v>0</v>
      </c>
      <c r="GC45" s="188">
        <f t="shared" si="253"/>
        <v>0</v>
      </c>
      <c r="GD45" s="188">
        <f t="shared" si="254"/>
        <v>0</v>
      </c>
      <c r="GE45" s="188">
        <f t="shared" si="255"/>
        <v>0</v>
      </c>
      <c r="GF45" s="199"/>
      <c r="GG45" s="189">
        <v>0</v>
      </c>
      <c r="GH45" s="189">
        <v>0</v>
      </c>
      <c r="GI45" s="199"/>
      <c r="GJ45" s="200">
        <f t="shared" si="52"/>
        <v>0</v>
      </c>
      <c r="GK45" s="200">
        <f t="shared" si="53"/>
        <v>0</v>
      </c>
      <c r="GO45" s="189">
        <f t="shared" si="256"/>
        <v>0</v>
      </c>
      <c r="GP45" s="189">
        <f t="shared" si="257"/>
        <v>0</v>
      </c>
      <c r="GQ45" s="189">
        <f t="shared" si="258"/>
        <v>0</v>
      </c>
      <c r="GR45" s="189">
        <f t="shared" si="259"/>
        <v>0</v>
      </c>
      <c r="GS45" s="189">
        <f t="shared" si="260"/>
        <v>0</v>
      </c>
      <c r="GT45" s="189">
        <f t="shared" si="124"/>
        <v>1</v>
      </c>
      <c r="GU45" s="201">
        <f t="shared" si="125"/>
        <v>43243</v>
      </c>
      <c r="GV45" s="189" t="str">
        <f t="shared" si="126"/>
        <v>SELESAI</v>
      </c>
      <c r="GW45" s="189">
        <f t="shared" si="127"/>
        <v>0</v>
      </c>
      <c r="GX45" s="202" t="str">
        <f t="shared" si="128"/>
        <v>SELESAI</v>
      </c>
      <c r="GY45" s="202">
        <f t="shared" si="129"/>
        <v>0</v>
      </c>
      <c r="GZ45" s="203" t="str">
        <f t="shared" si="130"/>
        <v>SELESAI</v>
      </c>
      <c r="HA45" s="204"/>
      <c r="HB45" s="204"/>
      <c r="HC45" s="189">
        <f t="shared" si="261"/>
        <v>0</v>
      </c>
      <c r="HD45" s="189">
        <f t="shared" si="262"/>
        <v>0</v>
      </c>
      <c r="HE45" s="189">
        <f t="shared" si="133"/>
        <v>0</v>
      </c>
      <c r="HF45" s="189">
        <f t="shared" si="134"/>
        <v>0</v>
      </c>
      <c r="HG45" s="189">
        <f t="shared" si="135"/>
        <v>0</v>
      </c>
      <c r="HH45" s="201" t="str">
        <f t="shared" si="136"/>
        <v>TIDAK KONSINYASI</v>
      </c>
      <c r="HI45" s="201" t="str">
        <f t="shared" si="137"/>
        <v>SELESAI</v>
      </c>
      <c r="HJ45" s="205"/>
      <c r="HK45" s="201">
        <f t="shared" si="138"/>
        <v>0</v>
      </c>
      <c r="HL45" s="204"/>
      <c r="HM45" s="204"/>
      <c r="HN45" s="204"/>
      <c r="HO45" s="204"/>
      <c r="HP45" s="203">
        <f t="shared" si="139"/>
        <v>0</v>
      </c>
      <c r="HQ45" s="202">
        <f t="shared" si="140"/>
        <v>0</v>
      </c>
      <c r="HR45" s="202">
        <f t="shared" si="263"/>
        <v>0</v>
      </c>
      <c r="HS45" s="203">
        <f t="shared" si="142"/>
        <v>0</v>
      </c>
      <c r="HT45" s="202">
        <f t="shared" si="143"/>
        <v>0</v>
      </c>
      <c r="HU45" s="202">
        <f t="shared" si="264"/>
        <v>0</v>
      </c>
      <c r="HV45" s="203">
        <f t="shared" si="145"/>
        <v>0</v>
      </c>
      <c r="HW45" s="202">
        <f t="shared" si="146"/>
        <v>0</v>
      </c>
      <c r="HX45" s="202">
        <f t="shared" si="265"/>
        <v>0</v>
      </c>
      <c r="HY45" s="203">
        <f t="shared" si="148"/>
        <v>0</v>
      </c>
      <c r="HZ45" s="202">
        <f t="shared" si="149"/>
        <v>0</v>
      </c>
      <c r="IA45" s="202">
        <f t="shared" si="266"/>
        <v>0</v>
      </c>
      <c r="IB45" s="203">
        <f t="shared" si="151"/>
        <v>0</v>
      </c>
      <c r="IC45" s="202">
        <f t="shared" si="152"/>
        <v>0</v>
      </c>
      <c r="ID45" s="202">
        <f t="shared" si="267"/>
        <v>0</v>
      </c>
      <c r="IE45" s="203">
        <f t="shared" si="154"/>
        <v>0</v>
      </c>
      <c r="IF45" s="202">
        <f t="shared" si="155"/>
        <v>0</v>
      </c>
      <c r="IG45" s="202">
        <f t="shared" si="268"/>
        <v>0</v>
      </c>
      <c r="IH45" s="203">
        <f t="shared" si="157"/>
        <v>0</v>
      </c>
      <c r="II45" s="202">
        <f t="shared" si="158"/>
        <v>0</v>
      </c>
      <c r="IJ45" s="202">
        <f t="shared" si="269"/>
        <v>0</v>
      </c>
      <c r="IK45" s="203">
        <f t="shared" si="160"/>
        <v>0</v>
      </c>
      <c r="IL45" s="202">
        <f t="shared" si="161"/>
        <v>0</v>
      </c>
      <c r="IM45" s="202">
        <f t="shared" si="270"/>
        <v>0</v>
      </c>
      <c r="IN45" s="204"/>
      <c r="IO45" s="203">
        <f t="shared" si="163"/>
        <v>0</v>
      </c>
      <c r="IP45" s="202">
        <f t="shared" si="271"/>
        <v>0</v>
      </c>
      <c r="IQ45" s="202">
        <f t="shared" si="272"/>
        <v>0</v>
      </c>
      <c r="IR45" s="204"/>
      <c r="IS45" s="203"/>
      <c r="IT45" s="202">
        <f t="shared" si="273"/>
        <v>1</v>
      </c>
      <c r="IU45" s="202">
        <f t="shared" si="274"/>
        <v>320</v>
      </c>
      <c r="IV45" s="204"/>
      <c r="IW45" s="203"/>
      <c r="IX45" s="202">
        <f t="shared" si="275"/>
        <v>0</v>
      </c>
      <c r="IY45" s="202">
        <f t="shared" si="276"/>
        <v>0</v>
      </c>
      <c r="IZ45" s="204"/>
      <c r="JA45" s="203"/>
      <c r="JB45" s="202">
        <f t="shared" si="277"/>
        <v>0</v>
      </c>
      <c r="JC45" s="202">
        <f t="shared" si="278"/>
        <v>0</v>
      </c>
      <c r="JD45" s="204"/>
      <c r="JE45" s="203"/>
      <c r="JF45" s="202">
        <f t="shared" si="172"/>
        <v>1</v>
      </c>
      <c r="JG45" s="202">
        <f t="shared" si="173"/>
        <v>320</v>
      </c>
      <c r="JH45" s="204"/>
      <c r="JI45" s="203"/>
      <c r="JJ45" s="202">
        <f t="shared" si="279"/>
        <v>0</v>
      </c>
      <c r="JK45" s="202">
        <f t="shared" si="280"/>
        <v>0</v>
      </c>
      <c r="JM45" s="203">
        <f t="shared" si="176"/>
        <v>0</v>
      </c>
      <c r="JO45" s="196">
        <f t="shared" si="54"/>
        <v>1</v>
      </c>
      <c r="JP45" s="189">
        <f t="shared" si="281"/>
        <v>52</v>
      </c>
      <c r="JQ45" s="189">
        <f t="shared" si="282"/>
        <v>1</v>
      </c>
      <c r="JR45" s="189">
        <f t="shared" si="283"/>
        <v>0</v>
      </c>
      <c r="JS45" s="189">
        <f t="shared" si="284"/>
        <v>0</v>
      </c>
      <c r="JT45" s="189">
        <f t="shared" si="285"/>
        <v>0</v>
      </c>
      <c r="JU45" s="189">
        <f t="shared" si="286"/>
        <v>0</v>
      </c>
      <c r="JV45" s="189">
        <f t="shared" si="287"/>
        <v>0</v>
      </c>
      <c r="JW45" s="189">
        <f t="shared" si="288"/>
        <v>0</v>
      </c>
      <c r="JX45" s="189">
        <f t="shared" si="289"/>
        <v>0</v>
      </c>
      <c r="JY45" s="189">
        <f t="shared" si="290"/>
        <v>0</v>
      </c>
      <c r="JZ45" s="189">
        <f t="shared" si="291"/>
        <v>0</v>
      </c>
      <c r="KA45" s="189">
        <f t="shared" si="292"/>
        <v>0</v>
      </c>
      <c r="KB45" s="189">
        <f t="shared" si="293"/>
        <v>0</v>
      </c>
      <c r="KD45" s="206">
        <f t="shared" si="177"/>
        <v>0</v>
      </c>
      <c r="KE45" s="206">
        <f t="shared" si="69"/>
        <v>0</v>
      </c>
      <c r="KF45" s="206">
        <f t="shared" si="294"/>
        <v>52</v>
      </c>
      <c r="KG45" s="206">
        <f t="shared" si="295"/>
        <v>52</v>
      </c>
      <c r="KH45" s="206">
        <f t="shared" si="296"/>
        <v>0</v>
      </c>
      <c r="KI45" s="206">
        <f t="shared" si="297"/>
        <v>0</v>
      </c>
      <c r="KJ45" s="206">
        <f t="shared" si="298"/>
        <v>0</v>
      </c>
      <c r="KK45" s="206">
        <f t="shared" si="299"/>
        <v>0</v>
      </c>
      <c r="KL45" s="206">
        <f t="shared" si="300"/>
        <v>0</v>
      </c>
      <c r="KM45" s="206">
        <f t="shared" si="301"/>
        <v>0</v>
      </c>
      <c r="KN45" s="221">
        <f t="shared" si="302"/>
        <v>0</v>
      </c>
      <c r="KO45" s="221">
        <f t="shared" si="303"/>
        <v>0</v>
      </c>
      <c r="KP45" s="221">
        <f t="shared" si="304"/>
        <v>0</v>
      </c>
      <c r="KQ45" s="221">
        <f t="shared" si="305"/>
        <v>0</v>
      </c>
      <c r="KR45" s="221">
        <f t="shared" si="306"/>
        <v>0</v>
      </c>
      <c r="KT45" s="195">
        <f t="shared" si="307"/>
        <v>0</v>
      </c>
      <c r="KU45" s="221"/>
      <c r="KV45" s="221"/>
      <c r="KW45" s="221"/>
      <c r="KX45" s="221"/>
      <c r="KY45" s="221"/>
      <c r="KZ45" s="221"/>
      <c r="LA45" s="221"/>
      <c r="LB45" s="221"/>
      <c r="LC45" s="221"/>
      <c r="LD45" s="221"/>
      <c r="LE45" s="221"/>
      <c r="LF45" s="221"/>
      <c r="LG45" s="221"/>
      <c r="LH45" s="221"/>
      <c r="LI45" s="221"/>
      <c r="LJ45" s="221"/>
      <c r="LK45" s="221"/>
      <c r="LL45" s="221"/>
      <c r="LM45" s="221"/>
      <c r="LN45" s="221"/>
      <c r="LO45" s="221"/>
      <c r="LP45" s="221"/>
      <c r="LQ45" s="221"/>
      <c r="LR45" s="221"/>
      <c r="LS45" s="221"/>
      <c r="LT45" s="221"/>
      <c r="LU45" s="221"/>
      <c r="LV45" s="221"/>
      <c r="LW45" s="221"/>
      <c r="LX45" s="221"/>
      <c r="LY45" s="221"/>
      <c r="LZ45" s="221"/>
      <c r="MA45" s="221"/>
      <c r="MB45" s="221"/>
      <c r="MC45" s="221"/>
      <c r="MD45" s="221"/>
      <c r="ME45" s="221"/>
      <c r="MF45" s="221"/>
      <c r="MG45" s="221"/>
      <c r="MH45" s="221"/>
      <c r="MI45" s="221"/>
      <c r="MJ45" s="221"/>
      <c r="MK45" s="221"/>
      <c r="ML45" s="221"/>
      <c r="MM45" s="221"/>
      <c r="MN45" s="221"/>
      <c r="MO45" s="221"/>
      <c r="MP45" s="221"/>
      <c r="MQ45" s="221"/>
      <c r="MR45" s="221"/>
      <c r="MS45" s="221"/>
      <c r="MT45" s="221"/>
      <c r="MU45" s="221"/>
      <c r="MV45" s="221"/>
      <c r="MW45" s="221"/>
      <c r="MX45" s="221"/>
      <c r="MY45" s="221"/>
      <c r="MZ45" s="221"/>
      <c r="NA45" s="221"/>
      <c r="NB45" s="221"/>
      <c r="NC45" s="221"/>
      <c r="ND45" s="221"/>
      <c r="NE45" s="221"/>
      <c r="NF45" s="221"/>
      <c r="NG45" s="221"/>
      <c r="NH45" s="221"/>
      <c r="NI45" s="221"/>
      <c r="NJ45" s="221"/>
      <c r="NK45" s="221"/>
      <c r="NM45" s="195">
        <f t="shared" si="178"/>
        <v>0</v>
      </c>
      <c r="NN45" s="195">
        <f t="shared" si="179"/>
        <v>0</v>
      </c>
      <c r="NO45" s="195">
        <f t="shared" si="180"/>
        <v>0</v>
      </c>
      <c r="NP45" s="195">
        <f t="shared" si="181"/>
        <v>0</v>
      </c>
      <c r="NQ45" s="195">
        <f t="shared" si="182"/>
        <v>0</v>
      </c>
      <c r="NR45" s="195">
        <f t="shared" si="183"/>
        <v>0</v>
      </c>
      <c r="NS45" s="195">
        <f t="shared" si="184"/>
        <v>0</v>
      </c>
      <c r="NT45" s="195">
        <f t="shared" si="185"/>
        <v>0</v>
      </c>
      <c r="NU45" s="196">
        <f t="shared" si="186"/>
        <v>0</v>
      </c>
      <c r="NY45" s="215">
        <f t="shared" si="249"/>
        <v>1</v>
      </c>
      <c r="NZ45" s="222">
        <v>12500000</v>
      </c>
      <c r="OE45" s="207">
        <f t="shared" si="243"/>
        <v>0</v>
      </c>
      <c r="OF45" s="207">
        <f t="shared" si="244"/>
        <v>0</v>
      </c>
      <c r="OG45" s="207">
        <f t="shared" si="245"/>
        <v>0</v>
      </c>
      <c r="OH45" s="207">
        <f t="shared" si="188"/>
        <v>0</v>
      </c>
      <c r="OI45" s="207">
        <f t="shared" si="246"/>
        <v>0</v>
      </c>
      <c r="OJ45" s="199">
        <f t="shared" si="189"/>
        <v>0</v>
      </c>
      <c r="OK45" s="199">
        <f t="shared" si="190"/>
        <v>0</v>
      </c>
      <c r="OL45" s="199">
        <f t="shared" si="191"/>
        <v>0</v>
      </c>
      <c r="OM45" s="199">
        <f t="shared" si="192"/>
        <v>0</v>
      </c>
      <c r="OO45" s="207">
        <f t="shared" si="247"/>
        <v>0</v>
      </c>
      <c r="OP45" s="207">
        <f t="shared" si="248"/>
        <v>0</v>
      </c>
      <c r="OQ45" s="207">
        <f t="shared" si="193"/>
        <v>0</v>
      </c>
      <c r="OR45" s="207">
        <f t="shared" si="194"/>
        <v>0</v>
      </c>
      <c r="OS45" s="207">
        <f t="shared" si="195"/>
        <v>0</v>
      </c>
      <c r="OT45" s="199">
        <f t="shared" si="196"/>
        <v>0</v>
      </c>
      <c r="OU45" s="199">
        <f t="shared" si="197"/>
        <v>0</v>
      </c>
      <c r="OV45" s="199">
        <f t="shared" si="198"/>
        <v>0</v>
      </c>
      <c r="OW45" s="199">
        <f t="shared" si="199"/>
        <v>0</v>
      </c>
      <c r="OZ45" s="208">
        <f t="shared" si="91"/>
        <v>0</v>
      </c>
      <c r="PA45" s="209"/>
      <c r="PB45" s="209"/>
      <c r="PC45" s="209"/>
      <c r="PD45" s="210">
        <f t="shared" si="200"/>
        <v>0</v>
      </c>
      <c r="PE45" s="210"/>
      <c r="PF45" s="210">
        <f t="shared" si="201"/>
        <v>0</v>
      </c>
      <c r="PG45" s="210">
        <f t="shared" si="202"/>
        <v>0</v>
      </c>
      <c r="PH45" s="210">
        <f t="shared" si="92"/>
        <v>0</v>
      </c>
      <c r="PI45" s="210">
        <f t="shared" si="93"/>
        <v>0</v>
      </c>
      <c r="PJ45" s="210">
        <f t="shared" si="94"/>
        <v>0</v>
      </c>
      <c r="PK45" s="210">
        <f t="shared" si="95"/>
        <v>0</v>
      </c>
      <c r="PL45" s="210">
        <f t="shared" si="96"/>
        <v>0</v>
      </c>
      <c r="PM45" s="211"/>
      <c r="PN45" s="211"/>
      <c r="PO45" s="212">
        <f t="shared" si="203"/>
        <v>0</v>
      </c>
      <c r="PP45" s="212">
        <f t="shared" si="204"/>
        <v>0</v>
      </c>
      <c r="PQ45" s="212">
        <f t="shared" si="205"/>
        <v>0</v>
      </c>
      <c r="PR45" s="211"/>
      <c r="PS45" s="211"/>
      <c r="PT45" s="211"/>
      <c r="PU45" s="211"/>
    </row>
    <row r="46" spans="1:437 16383:16383" s="195" customFormat="1" ht="16" x14ac:dyDescent="0.2">
      <c r="A46" s="213">
        <f t="shared" si="206"/>
        <v>36</v>
      </c>
      <c r="B46" s="186" t="s">
        <v>57</v>
      </c>
      <c r="C46" s="186">
        <v>40</v>
      </c>
      <c r="D46" s="188">
        <v>1</v>
      </c>
      <c r="E46" s="188">
        <v>325</v>
      </c>
      <c r="F46" s="188">
        <v>1</v>
      </c>
      <c r="G46" s="188">
        <f t="shared" si="308"/>
        <v>325</v>
      </c>
      <c r="H46" s="214">
        <f t="shared" si="213"/>
        <v>1</v>
      </c>
      <c r="I46" s="214">
        <f t="shared" si="214"/>
        <v>1</v>
      </c>
      <c r="J46" s="188">
        <v>1</v>
      </c>
      <c r="K46" s="188">
        <f t="shared" si="215"/>
        <v>325</v>
      </c>
      <c r="L46" s="214">
        <f t="shared" si="216"/>
        <v>1</v>
      </c>
      <c r="M46" s="214">
        <f t="shared" si="217"/>
        <v>1</v>
      </c>
      <c r="N46" s="188">
        <v>1</v>
      </c>
      <c r="O46" s="188">
        <f t="shared" si="218"/>
        <v>325</v>
      </c>
      <c r="P46" s="214">
        <f t="shared" si="219"/>
        <v>1</v>
      </c>
      <c r="Q46" s="214">
        <f t="shared" si="220"/>
        <v>1</v>
      </c>
      <c r="R46" s="188">
        <v>1</v>
      </c>
      <c r="S46" s="188">
        <f t="shared" si="221"/>
        <v>325</v>
      </c>
      <c r="T46" s="214">
        <f t="shared" si="222"/>
        <v>1</v>
      </c>
      <c r="U46" s="214">
        <f t="shared" si="223"/>
        <v>1</v>
      </c>
      <c r="V46" s="215">
        <v>1</v>
      </c>
      <c r="W46" s="188">
        <f t="shared" si="224"/>
        <v>325</v>
      </c>
      <c r="X46" s="214">
        <f t="shared" si="225"/>
        <v>1</v>
      </c>
      <c r="Y46" s="214">
        <f t="shared" si="226"/>
        <v>1</v>
      </c>
      <c r="Z46" s="216">
        <f>5037383000/1000000000</f>
        <v>5.0373830000000002</v>
      </c>
      <c r="AA46" s="188">
        <v>0</v>
      </c>
      <c r="AB46" s="188">
        <f t="shared" si="112"/>
        <v>0</v>
      </c>
      <c r="AC46" s="214">
        <f t="shared" si="113"/>
        <v>0</v>
      </c>
      <c r="AD46" s="214">
        <f t="shared" si="114"/>
        <v>0</v>
      </c>
      <c r="AE46" s="188"/>
      <c r="AF46" s="188">
        <f t="shared" si="115"/>
        <v>0</v>
      </c>
      <c r="AG46" s="188"/>
      <c r="AH46" s="188"/>
      <c r="AI46" s="188">
        <v>1</v>
      </c>
      <c r="AJ46" s="188">
        <f t="shared" si="2"/>
        <v>325</v>
      </c>
      <c r="AK46" s="188" t="s">
        <v>304</v>
      </c>
      <c r="AL46" s="188">
        <v>0</v>
      </c>
      <c r="AM46" s="188">
        <v>0</v>
      </c>
      <c r="AN46" s="217"/>
      <c r="AO46" s="188">
        <f t="shared" si="207"/>
        <v>1</v>
      </c>
      <c r="AP46" s="188">
        <f t="shared" si="208"/>
        <v>325</v>
      </c>
      <c r="AQ46" s="188">
        <f t="shared" si="227"/>
        <v>1</v>
      </c>
      <c r="AR46" s="188">
        <f t="shared" si="228"/>
        <v>325</v>
      </c>
      <c r="AS46" s="188">
        <f t="shared" si="229"/>
        <v>1</v>
      </c>
      <c r="AT46" s="188">
        <f t="shared" si="230"/>
        <v>325</v>
      </c>
      <c r="AU46" s="188">
        <f t="shared" si="209"/>
        <v>1</v>
      </c>
      <c r="AV46" s="188">
        <f t="shared" si="210"/>
        <v>325</v>
      </c>
      <c r="AW46" s="188">
        <f t="shared" si="211"/>
        <v>1</v>
      </c>
      <c r="AX46" s="188">
        <f t="shared" si="212"/>
        <v>325</v>
      </c>
      <c r="AY46" s="188">
        <f t="shared" si="116"/>
        <v>0</v>
      </c>
      <c r="AZ46" s="188">
        <f t="shared" si="117"/>
        <v>0</v>
      </c>
      <c r="BA46" s="188">
        <f t="shared" si="14"/>
        <v>5.0373830000000002</v>
      </c>
      <c r="BB46" s="188">
        <f t="shared" si="15"/>
        <v>0</v>
      </c>
      <c r="BD46" s="196">
        <f t="shared" si="118"/>
        <v>0</v>
      </c>
      <c r="BE46" s="188">
        <f t="shared" si="231"/>
        <v>0</v>
      </c>
      <c r="BF46" s="188">
        <f t="shared" si="232"/>
        <v>0</v>
      </c>
      <c r="BG46" s="188">
        <f t="shared" si="233"/>
        <v>0</v>
      </c>
      <c r="BH46" s="188">
        <f t="shared" si="234"/>
        <v>0</v>
      </c>
      <c r="BI46" s="188">
        <f t="shared" si="235"/>
        <v>0</v>
      </c>
      <c r="BJ46" s="188">
        <f t="shared" si="236"/>
        <v>0</v>
      </c>
      <c r="BK46" s="188">
        <f t="shared" si="22"/>
        <v>0</v>
      </c>
      <c r="BN46" s="277"/>
      <c r="BO46" s="139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B46" s="188"/>
      <c r="CD46" s="188">
        <f t="shared" si="23"/>
        <v>0</v>
      </c>
      <c r="CE46" s="188">
        <f t="shared" si="24"/>
        <v>0</v>
      </c>
      <c r="CF46" s="188">
        <f t="shared" si="25"/>
        <v>0</v>
      </c>
      <c r="CG46" s="188">
        <f t="shared" si="26"/>
        <v>0</v>
      </c>
      <c r="CH46" s="188">
        <f t="shared" si="27"/>
        <v>0</v>
      </c>
      <c r="CI46" s="188">
        <f t="shared" si="28"/>
        <v>0</v>
      </c>
      <c r="CJ46" s="188">
        <f t="shared" si="29"/>
        <v>0</v>
      </c>
      <c r="CK46" s="188">
        <f t="shared" si="30"/>
        <v>0</v>
      </c>
      <c r="CL46" s="188">
        <f t="shared" si="31"/>
        <v>0</v>
      </c>
      <c r="CM46" s="188">
        <f t="shared" si="32"/>
        <v>0</v>
      </c>
      <c r="CN46" s="188">
        <f t="shared" si="33"/>
        <v>0</v>
      </c>
      <c r="CO46" s="188">
        <f t="shared" si="34"/>
        <v>0</v>
      </c>
      <c r="CP46" s="188">
        <f t="shared" si="35"/>
        <v>0</v>
      </c>
      <c r="DV46" s="188">
        <f t="shared" si="237"/>
        <v>0</v>
      </c>
      <c r="DW46" s="188">
        <f t="shared" si="238"/>
        <v>0</v>
      </c>
      <c r="DX46" s="188">
        <f t="shared" si="239"/>
        <v>0</v>
      </c>
      <c r="DY46" s="188">
        <f t="shared" si="240"/>
        <v>0</v>
      </c>
      <c r="DZ46" s="188">
        <f t="shared" si="241"/>
        <v>0</v>
      </c>
      <c r="EA46" s="188">
        <f t="shared" si="242"/>
        <v>0</v>
      </c>
      <c r="EB46" s="188">
        <f t="shared" si="42"/>
        <v>0</v>
      </c>
      <c r="EG46" s="220">
        <f t="shared" si="43"/>
        <v>0</v>
      </c>
      <c r="EH46" s="220">
        <f t="shared" si="44"/>
        <v>0</v>
      </c>
      <c r="EI46" s="188"/>
      <c r="EJ46" s="188"/>
      <c r="EK46" s="188"/>
      <c r="EL46" s="188"/>
      <c r="EM46" s="188"/>
      <c r="EN46" s="188"/>
      <c r="EO46" s="188"/>
      <c r="EP46" s="188"/>
      <c r="EQ46" s="188"/>
      <c r="ER46" s="188"/>
      <c r="ES46" s="188"/>
      <c r="ET46" s="188"/>
      <c r="EU46" s="188"/>
      <c r="EV46" s="188"/>
      <c r="EW46" s="188"/>
      <c r="EX46" s="188"/>
      <c r="EY46" s="188"/>
      <c r="EZ46" s="188"/>
      <c r="FA46" s="188"/>
      <c r="FB46" s="188"/>
      <c r="FC46" s="188"/>
      <c r="FD46" s="188"/>
      <c r="FE46" s="188"/>
      <c r="FF46" s="188"/>
      <c r="FH46" s="189"/>
      <c r="FI46" s="189"/>
      <c r="FJ46" s="189"/>
      <c r="FK46" s="189"/>
      <c r="FL46" s="189"/>
      <c r="FM46" s="189"/>
      <c r="FN46" s="189"/>
      <c r="FO46" s="189"/>
      <c r="FP46" s="189"/>
      <c r="FQ46" s="189"/>
      <c r="FR46" s="189"/>
      <c r="FS46" s="189"/>
      <c r="FT46" s="189"/>
      <c r="FU46" s="189"/>
      <c r="FV46" s="189"/>
      <c r="FX46" s="217"/>
      <c r="FY46" s="188">
        <f t="shared" si="45"/>
        <v>0</v>
      </c>
      <c r="FZ46" s="188">
        <f t="shared" si="250"/>
        <v>0</v>
      </c>
      <c r="GA46" s="188">
        <f t="shared" si="251"/>
        <v>0</v>
      </c>
      <c r="GB46" s="188">
        <f t="shared" si="252"/>
        <v>0</v>
      </c>
      <c r="GC46" s="188">
        <f t="shared" si="253"/>
        <v>0</v>
      </c>
      <c r="GD46" s="188">
        <f t="shared" si="254"/>
        <v>0</v>
      </c>
      <c r="GE46" s="188">
        <f t="shared" si="255"/>
        <v>0</v>
      </c>
      <c r="GF46" s="199"/>
      <c r="GG46" s="189">
        <v>0</v>
      </c>
      <c r="GH46" s="189">
        <v>0</v>
      </c>
      <c r="GI46" s="199"/>
      <c r="GJ46" s="200">
        <f t="shared" si="52"/>
        <v>0</v>
      </c>
      <c r="GK46" s="200">
        <f t="shared" si="53"/>
        <v>0</v>
      </c>
      <c r="GO46" s="189">
        <f t="shared" si="256"/>
        <v>0</v>
      </c>
      <c r="GP46" s="189">
        <f t="shared" si="257"/>
        <v>0</v>
      </c>
      <c r="GQ46" s="189">
        <f t="shared" si="258"/>
        <v>0</v>
      </c>
      <c r="GR46" s="189">
        <f t="shared" si="259"/>
        <v>0</v>
      </c>
      <c r="GS46" s="189">
        <f t="shared" si="260"/>
        <v>0</v>
      </c>
      <c r="GT46" s="189">
        <f t="shared" si="124"/>
        <v>1</v>
      </c>
      <c r="GU46" s="201">
        <f t="shared" si="125"/>
        <v>43243</v>
      </c>
      <c r="GV46" s="189" t="str">
        <f t="shared" si="126"/>
        <v>SELESAI</v>
      </c>
      <c r="GW46" s="189">
        <f t="shared" si="127"/>
        <v>0</v>
      </c>
      <c r="GX46" s="202" t="str">
        <f t="shared" si="128"/>
        <v>SELESAI</v>
      </c>
      <c r="GY46" s="202">
        <f t="shared" si="129"/>
        <v>0</v>
      </c>
      <c r="GZ46" s="203" t="str">
        <f t="shared" si="130"/>
        <v>SELESAI</v>
      </c>
      <c r="HA46" s="204"/>
      <c r="HB46" s="204"/>
      <c r="HC46" s="189">
        <f t="shared" si="261"/>
        <v>0</v>
      </c>
      <c r="HD46" s="189">
        <f t="shared" si="262"/>
        <v>0</v>
      </c>
      <c r="HE46" s="189">
        <f t="shared" si="133"/>
        <v>0</v>
      </c>
      <c r="HF46" s="189">
        <f t="shared" si="134"/>
        <v>0</v>
      </c>
      <c r="HG46" s="189">
        <f t="shared" si="135"/>
        <v>0</v>
      </c>
      <c r="HH46" s="201" t="str">
        <f t="shared" si="136"/>
        <v>TIDAK KONSINYASI</v>
      </c>
      <c r="HI46" s="201" t="str">
        <f t="shared" si="137"/>
        <v>SELESAI</v>
      </c>
      <c r="HJ46" s="205"/>
      <c r="HK46" s="201">
        <f t="shared" si="138"/>
        <v>0</v>
      </c>
      <c r="HL46" s="204"/>
      <c r="HM46" s="204"/>
      <c r="HN46" s="204"/>
      <c r="HO46" s="204"/>
      <c r="HP46" s="203">
        <f t="shared" si="139"/>
        <v>0</v>
      </c>
      <c r="HQ46" s="202">
        <f t="shared" si="140"/>
        <v>0</v>
      </c>
      <c r="HR46" s="202">
        <f t="shared" si="263"/>
        <v>0</v>
      </c>
      <c r="HS46" s="203">
        <f t="shared" si="142"/>
        <v>0</v>
      </c>
      <c r="HT46" s="202">
        <f t="shared" si="143"/>
        <v>0</v>
      </c>
      <c r="HU46" s="202">
        <f t="shared" si="264"/>
        <v>0</v>
      </c>
      <c r="HV46" s="203">
        <f t="shared" si="145"/>
        <v>0</v>
      </c>
      <c r="HW46" s="202">
        <f t="shared" si="146"/>
        <v>0</v>
      </c>
      <c r="HX46" s="202">
        <f t="shared" si="265"/>
        <v>0</v>
      </c>
      <c r="HY46" s="203">
        <f t="shared" si="148"/>
        <v>0</v>
      </c>
      <c r="HZ46" s="202">
        <f t="shared" si="149"/>
        <v>0</v>
      </c>
      <c r="IA46" s="202">
        <f t="shared" si="266"/>
        <v>0</v>
      </c>
      <c r="IB46" s="203">
        <f t="shared" si="151"/>
        <v>0</v>
      </c>
      <c r="IC46" s="202">
        <f t="shared" si="152"/>
        <v>0</v>
      </c>
      <c r="ID46" s="202">
        <f t="shared" si="267"/>
        <v>0</v>
      </c>
      <c r="IE46" s="203">
        <f t="shared" si="154"/>
        <v>0</v>
      </c>
      <c r="IF46" s="202">
        <f t="shared" si="155"/>
        <v>0</v>
      </c>
      <c r="IG46" s="202">
        <f t="shared" si="268"/>
        <v>0</v>
      </c>
      <c r="IH46" s="203">
        <f t="shared" si="157"/>
        <v>0</v>
      </c>
      <c r="II46" s="202">
        <f t="shared" si="158"/>
        <v>0</v>
      </c>
      <c r="IJ46" s="202">
        <f t="shared" si="269"/>
        <v>0</v>
      </c>
      <c r="IK46" s="203">
        <f t="shared" si="160"/>
        <v>0</v>
      </c>
      <c r="IL46" s="202">
        <f t="shared" si="161"/>
        <v>0</v>
      </c>
      <c r="IM46" s="202">
        <f t="shared" si="270"/>
        <v>0</v>
      </c>
      <c r="IN46" s="204"/>
      <c r="IO46" s="203">
        <f t="shared" si="163"/>
        <v>0</v>
      </c>
      <c r="IP46" s="202">
        <f t="shared" si="271"/>
        <v>0</v>
      </c>
      <c r="IQ46" s="202">
        <f t="shared" si="272"/>
        <v>0</v>
      </c>
      <c r="IR46" s="204"/>
      <c r="IS46" s="203"/>
      <c r="IT46" s="202">
        <f t="shared" si="273"/>
        <v>1</v>
      </c>
      <c r="IU46" s="202">
        <f t="shared" si="274"/>
        <v>325</v>
      </c>
      <c r="IV46" s="204"/>
      <c r="IW46" s="203"/>
      <c r="IX46" s="202">
        <f t="shared" si="275"/>
        <v>0</v>
      </c>
      <c r="IY46" s="202">
        <f t="shared" si="276"/>
        <v>0</v>
      </c>
      <c r="IZ46" s="204"/>
      <c r="JA46" s="203"/>
      <c r="JB46" s="202">
        <f t="shared" si="277"/>
        <v>0</v>
      </c>
      <c r="JC46" s="202">
        <f t="shared" si="278"/>
        <v>0</v>
      </c>
      <c r="JD46" s="204"/>
      <c r="JE46" s="203"/>
      <c r="JF46" s="202">
        <f t="shared" si="172"/>
        <v>1</v>
      </c>
      <c r="JG46" s="202">
        <f t="shared" si="173"/>
        <v>325</v>
      </c>
      <c r="JH46" s="204"/>
      <c r="JI46" s="203"/>
      <c r="JJ46" s="202">
        <f t="shared" si="279"/>
        <v>0</v>
      </c>
      <c r="JK46" s="202">
        <f t="shared" si="280"/>
        <v>0</v>
      </c>
      <c r="JM46" s="203">
        <f t="shared" si="176"/>
        <v>0</v>
      </c>
      <c r="JO46" s="196">
        <f t="shared" si="54"/>
        <v>0</v>
      </c>
      <c r="JP46" s="189">
        <f t="shared" si="281"/>
        <v>0</v>
      </c>
      <c r="JQ46" s="189">
        <f t="shared" si="282"/>
        <v>0</v>
      </c>
      <c r="JR46" s="189">
        <f t="shared" si="283"/>
        <v>0</v>
      </c>
      <c r="JS46" s="189">
        <f t="shared" si="284"/>
        <v>0</v>
      </c>
      <c r="JT46" s="189">
        <f t="shared" si="285"/>
        <v>0</v>
      </c>
      <c r="JU46" s="189">
        <f t="shared" si="286"/>
        <v>0</v>
      </c>
      <c r="JV46" s="189">
        <f t="shared" si="287"/>
        <v>0</v>
      </c>
      <c r="JW46" s="189">
        <f t="shared" si="288"/>
        <v>0</v>
      </c>
      <c r="JX46" s="189">
        <f t="shared" si="289"/>
        <v>0</v>
      </c>
      <c r="JY46" s="189">
        <f t="shared" si="290"/>
        <v>0</v>
      </c>
      <c r="JZ46" s="189">
        <f t="shared" si="291"/>
        <v>0</v>
      </c>
      <c r="KA46" s="189">
        <f t="shared" si="292"/>
        <v>0</v>
      </c>
      <c r="KB46" s="189">
        <f t="shared" si="293"/>
        <v>0</v>
      </c>
      <c r="KD46" s="206">
        <f t="shared" si="177"/>
        <v>0</v>
      </c>
      <c r="KE46" s="206">
        <f t="shared" si="69"/>
        <v>0</v>
      </c>
      <c r="KF46" s="206">
        <f t="shared" si="294"/>
        <v>0</v>
      </c>
      <c r="KG46" s="206">
        <f t="shared" si="295"/>
        <v>0</v>
      </c>
      <c r="KH46" s="206">
        <f t="shared" si="296"/>
        <v>0</v>
      </c>
      <c r="KI46" s="206">
        <f t="shared" si="297"/>
        <v>0</v>
      </c>
      <c r="KJ46" s="206">
        <f t="shared" si="298"/>
        <v>0</v>
      </c>
      <c r="KK46" s="206">
        <f t="shared" si="299"/>
        <v>0</v>
      </c>
      <c r="KL46" s="206">
        <f t="shared" si="300"/>
        <v>0</v>
      </c>
      <c r="KM46" s="206">
        <f t="shared" si="301"/>
        <v>0</v>
      </c>
      <c r="KN46" s="221">
        <f t="shared" si="302"/>
        <v>0</v>
      </c>
      <c r="KO46" s="221">
        <f t="shared" si="303"/>
        <v>0</v>
      </c>
      <c r="KP46" s="221">
        <f t="shared" si="304"/>
        <v>0</v>
      </c>
      <c r="KQ46" s="221">
        <f t="shared" si="305"/>
        <v>0</v>
      </c>
      <c r="KR46" s="221">
        <f t="shared" si="306"/>
        <v>0</v>
      </c>
      <c r="KT46" s="195">
        <f t="shared" si="307"/>
        <v>0</v>
      </c>
      <c r="KU46" s="221"/>
      <c r="KV46" s="221"/>
      <c r="KW46" s="221"/>
      <c r="KX46" s="221"/>
      <c r="KY46" s="221"/>
      <c r="KZ46" s="221"/>
      <c r="LA46" s="221"/>
      <c r="LB46" s="221"/>
      <c r="LC46" s="221"/>
      <c r="LD46" s="221"/>
      <c r="LE46" s="221"/>
      <c r="LF46" s="221"/>
      <c r="LG46" s="221"/>
      <c r="LH46" s="221"/>
      <c r="LI46" s="221"/>
      <c r="LJ46" s="221"/>
      <c r="LK46" s="221"/>
      <c r="LL46" s="221"/>
      <c r="LM46" s="221"/>
      <c r="LN46" s="221"/>
      <c r="LO46" s="221"/>
      <c r="LP46" s="221"/>
      <c r="LQ46" s="221"/>
      <c r="LR46" s="221"/>
      <c r="LS46" s="221"/>
      <c r="LT46" s="221"/>
      <c r="LU46" s="221"/>
      <c r="LV46" s="221"/>
      <c r="LW46" s="221"/>
      <c r="LX46" s="221"/>
      <c r="LY46" s="221"/>
      <c r="LZ46" s="221"/>
      <c r="MA46" s="221"/>
      <c r="MB46" s="221"/>
      <c r="MC46" s="221"/>
      <c r="MD46" s="221"/>
      <c r="ME46" s="221"/>
      <c r="MF46" s="221"/>
      <c r="MG46" s="221"/>
      <c r="MH46" s="221"/>
      <c r="MI46" s="221"/>
      <c r="MJ46" s="221"/>
      <c r="MK46" s="221"/>
      <c r="ML46" s="221"/>
      <c r="MM46" s="221"/>
      <c r="MN46" s="221"/>
      <c r="MO46" s="221"/>
      <c r="MP46" s="221"/>
      <c r="MQ46" s="221"/>
      <c r="MR46" s="221"/>
      <c r="MS46" s="221"/>
      <c r="MT46" s="221"/>
      <c r="MU46" s="221"/>
      <c r="MV46" s="221"/>
      <c r="MW46" s="221"/>
      <c r="MX46" s="221"/>
      <c r="MY46" s="221"/>
      <c r="MZ46" s="221"/>
      <c r="NA46" s="221"/>
      <c r="NB46" s="221"/>
      <c r="NC46" s="221"/>
      <c r="ND46" s="221"/>
      <c r="NE46" s="221"/>
      <c r="NF46" s="221"/>
      <c r="NG46" s="221"/>
      <c r="NH46" s="221"/>
      <c r="NI46" s="221"/>
      <c r="NJ46" s="221"/>
      <c r="NK46" s="221"/>
      <c r="NM46" s="195">
        <f t="shared" si="178"/>
        <v>0</v>
      </c>
      <c r="NN46" s="195">
        <f t="shared" si="179"/>
        <v>0</v>
      </c>
      <c r="NO46" s="195">
        <f t="shared" si="180"/>
        <v>0</v>
      </c>
      <c r="NP46" s="195">
        <f t="shared" si="181"/>
        <v>0</v>
      </c>
      <c r="NQ46" s="195">
        <f t="shared" si="182"/>
        <v>0</v>
      </c>
      <c r="NR46" s="195">
        <f t="shared" si="183"/>
        <v>0</v>
      </c>
      <c r="NS46" s="195">
        <f t="shared" si="184"/>
        <v>0</v>
      </c>
      <c r="NT46" s="195">
        <f t="shared" si="185"/>
        <v>0</v>
      </c>
      <c r="NU46" s="196">
        <f t="shared" si="186"/>
        <v>0</v>
      </c>
      <c r="NY46" s="215">
        <f t="shared" si="249"/>
        <v>1</v>
      </c>
      <c r="NZ46" s="222">
        <v>12500000</v>
      </c>
      <c r="OE46" s="207">
        <f t="shared" si="243"/>
        <v>0</v>
      </c>
      <c r="OF46" s="207">
        <f t="shared" si="244"/>
        <v>0</v>
      </c>
      <c r="OG46" s="207">
        <f t="shared" si="245"/>
        <v>0</v>
      </c>
      <c r="OH46" s="207">
        <f t="shared" si="188"/>
        <v>0</v>
      </c>
      <c r="OI46" s="207">
        <f t="shared" si="246"/>
        <v>0</v>
      </c>
      <c r="OJ46" s="199">
        <f t="shared" si="189"/>
        <v>0</v>
      </c>
      <c r="OK46" s="199">
        <f t="shared" si="190"/>
        <v>0</v>
      </c>
      <c r="OL46" s="199">
        <f t="shared" si="191"/>
        <v>0</v>
      </c>
      <c r="OM46" s="199">
        <f t="shared" si="192"/>
        <v>0</v>
      </c>
      <c r="OO46" s="207">
        <f t="shared" si="247"/>
        <v>0</v>
      </c>
      <c r="OP46" s="207">
        <f t="shared" si="248"/>
        <v>0</v>
      </c>
      <c r="OQ46" s="207">
        <f t="shared" si="193"/>
        <v>0</v>
      </c>
      <c r="OR46" s="207">
        <f t="shared" si="194"/>
        <v>0</v>
      </c>
      <c r="OS46" s="207">
        <f t="shared" si="195"/>
        <v>0</v>
      </c>
      <c r="OT46" s="199">
        <f t="shared" si="196"/>
        <v>0</v>
      </c>
      <c r="OU46" s="199">
        <f t="shared" si="197"/>
        <v>0</v>
      </c>
      <c r="OV46" s="199">
        <f t="shared" si="198"/>
        <v>0</v>
      </c>
      <c r="OW46" s="199">
        <f t="shared" si="199"/>
        <v>0</v>
      </c>
      <c r="OZ46" s="208">
        <f t="shared" si="91"/>
        <v>0</v>
      </c>
      <c r="PA46" s="209"/>
      <c r="PB46" s="209"/>
      <c r="PC46" s="209"/>
      <c r="PD46" s="210">
        <f t="shared" si="200"/>
        <v>0</v>
      </c>
      <c r="PE46" s="210"/>
      <c r="PF46" s="210">
        <f t="shared" si="201"/>
        <v>0</v>
      </c>
      <c r="PG46" s="210">
        <f t="shared" si="202"/>
        <v>0</v>
      </c>
      <c r="PH46" s="210">
        <f t="shared" si="92"/>
        <v>0</v>
      </c>
      <c r="PI46" s="210">
        <f t="shared" si="93"/>
        <v>0</v>
      </c>
      <c r="PJ46" s="210">
        <f t="shared" si="94"/>
        <v>0</v>
      </c>
      <c r="PK46" s="210">
        <f t="shared" si="95"/>
        <v>0</v>
      </c>
      <c r="PL46" s="210">
        <f t="shared" si="96"/>
        <v>0</v>
      </c>
      <c r="PM46" s="211"/>
      <c r="PN46" s="211"/>
      <c r="PO46" s="212">
        <f t="shared" si="203"/>
        <v>0</v>
      </c>
      <c r="PP46" s="212">
        <f t="shared" si="204"/>
        <v>0</v>
      </c>
      <c r="PQ46" s="212">
        <f t="shared" si="205"/>
        <v>0</v>
      </c>
      <c r="PR46" s="211"/>
      <c r="PS46" s="211"/>
      <c r="PT46" s="211"/>
      <c r="PU46" s="211"/>
    </row>
    <row r="47" spans="1:437 16383:16383" s="195" customFormat="1" ht="16" x14ac:dyDescent="0.2">
      <c r="A47" s="213">
        <f t="shared" si="206"/>
        <v>37</v>
      </c>
      <c r="B47" s="186" t="s">
        <v>58</v>
      </c>
      <c r="C47" s="186">
        <v>42</v>
      </c>
      <c r="D47" s="188">
        <v>1</v>
      </c>
      <c r="E47" s="188">
        <v>269</v>
      </c>
      <c r="F47" s="188">
        <v>1</v>
      </c>
      <c r="G47" s="188">
        <f t="shared" si="308"/>
        <v>269</v>
      </c>
      <c r="H47" s="214">
        <f t="shared" si="213"/>
        <v>1</v>
      </c>
      <c r="I47" s="214">
        <f t="shared" si="214"/>
        <v>1</v>
      </c>
      <c r="J47" s="188">
        <v>1</v>
      </c>
      <c r="K47" s="188">
        <f t="shared" si="215"/>
        <v>269</v>
      </c>
      <c r="L47" s="214">
        <f t="shared" si="216"/>
        <v>1</v>
      </c>
      <c r="M47" s="214">
        <f t="shared" si="217"/>
        <v>1</v>
      </c>
      <c r="N47" s="188">
        <v>1</v>
      </c>
      <c r="O47" s="188">
        <f t="shared" si="218"/>
        <v>269</v>
      </c>
      <c r="P47" s="214">
        <f t="shared" si="219"/>
        <v>1</v>
      </c>
      <c r="Q47" s="214">
        <f t="shared" si="220"/>
        <v>1</v>
      </c>
      <c r="R47" s="188">
        <v>1</v>
      </c>
      <c r="S47" s="188">
        <f t="shared" si="221"/>
        <v>269</v>
      </c>
      <c r="T47" s="214">
        <f t="shared" si="222"/>
        <v>1</v>
      </c>
      <c r="U47" s="214">
        <f t="shared" si="223"/>
        <v>1</v>
      </c>
      <c r="V47" s="215">
        <v>1</v>
      </c>
      <c r="W47" s="188">
        <f t="shared" si="224"/>
        <v>269</v>
      </c>
      <c r="X47" s="214">
        <f t="shared" si="225"/>
        <v>1</v>
      </c>
      <c r="Y47" s="214">
        <f t="shared" si="226"/>
        <v>1</v>
      </c>
      <c r="Z47" s="216">
        <f>3784854000/1000000000</f>
        <v>3.7848540000000002</v>
      </c>
      <c r="AA47" s="188">
        <v>0</v>
      </c>
      <c r="AB47" s="188">
        <f t="shared" si="112"/>
        <v>0</v>
      </c>
      <c r="AC47" s="214">
        <f t="shared" si="113"/>
        <v>0</v>
      </c>
      <c r="AD47" s="214">
        <f t="shared" si="114"/>
        <v>0</v>
      </c>
      <c r="AE47" s="188"/>
      <c r="AF47" s="188">
        <f t="shared" si="115"/>
        <v>0</v>
      </c>
      <c r="AG47" s="188"/>
      <c r="AH47" s="188"/>
      <c r="AI47" s="188">
        <v>1</v>
      </c>
      <c r="AJ47" s="188">
        <f t="shared" si="2"/>
        <v>269</v>
      </c>
      <c r="AK47" s="188" t="s">
        <v>304</v>
      </c>
      <c r="AL47" s="188">
        <v>0</v>
      </c>
      <c r="AM47" s="188">
        <v>0</v>
      </c>
      <c r="AN47" s="217"/>
      <c r="AO47" s="188">
        <f t="shared" si="207"/>
        <v>1</v>
      </c>
      <c r="AP47" s="188">
        <f t="shared" si="208"/>
        <v>269</v>
      </c>
      <c r="AQ47" s="188">
        <f t="shared" si="227"/>
        <v>1</v>
      </c>
      <c r="AR47" s="188">
        <f t="shared" si="228"/>
        <v>269</v>
      </c>
      <c r="AS47" s="188">
        <f t="shared" si="229"/>
        <v>1</v>
      </c>
      <c r="AT47" s="188">
        <f t="shared" si="230"/>
        <v>269</v>
      </c>
      <c r="AU47" s="188">
        <f t="shared" si="209"/>
        <v>1</v>
      </c>
      <c r="AV47" s="188">
        <f t="shared" si="210"/>
        <v>269</v>
      </c>
      <c r="AW47" s="188">
        <f t="shared" si="211"/>
        <v>1</v>
      </c>
      <c r="AX47" s="188">
        <f t="shared" si="212"/>
        <v>269</v>
      </c>
      <c r="AY47" s="188">
        <f t="shared" si="116"/>
        <v>0</v>
      </c>
      <c r="AZ47" s="188">
        <f t="shared" si="117"/>
        <v>0</v>
      </c>
      <c r="BA47" s="188">
        <f t="shared" si="14"/>
        <v>3.7848540000000002</v>
      </c>
      <c r="BB47" s="188">
        <f t="shared" si="15"/>
        <v>0</v>
      </c>
      <c r="BD47" s="196">
        <f t="shared" si="118"/>
        <v>0</v>
      </c>
      <c r="BE47" s="188">
        <f t="shared" si="231"/>
        <v>0</v>
      </c>
      <c r="BF47" s="188">
        <f t="shared" si="232"/>
        <v>0</v>
      </c>
      <c r="BG47" s="188">
        <f t="shared" si="233"/>
        <v>0</v>
      </c>
      <c r="BH47" s="188">
        <f t="shared" si="234"/>
        <v>0</v>
      </c>
      <c r="BI47" s="188">
        <f t="shared" si="235"/>
        <v>0</v>
      </c>
      <c r="BJ47" s="188">
        <f t="shared" si="236"/>
        <v>0</v>
      </c>
      <c r="BK47" s="188">
        <f t="shared" si="22"/>
        <v>0</v>
      </c>
      <c r="BN47" s="277"/>
      <c r="BO47" s="139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B47" s="188"/>
      <c r="CD47" s="188">
        <f t="shared" si="23"/>
        <v>0</v>
      </c>
      <c r="CE47" s="188">
        <f t="shared" si="24"/>
        <v>0</v>
      </c>
      <c r="CF47" s="188">
        <f t="shared" si="25"/>
        <v>0</v>
      </c>
      <c r="CG47" s="188">
        <f t="shared" si="26"/>
        <v>0</v>
      </c>
      <c r="CH47" s="188">
        <f t="shared" si="27"/>
        <v>0</v>
      </c>
      <c r="CI47" s="188">
        <f t="shared" si="28"/>
        <v>0</v>
      </c>
      <c r="CJ47" s="188">
        <f t="shared" si="29"/>
        <v>0</v>
      </c>
      <c r="CK47" s="188">
        <f t="shared" si="30"/>
        <v>0</v>
      </c>
      <c r="CL47" s="188">
        <f t="shared" si="31"/>
        <v>0</v>
      </c>
      <c r="CM47" s="188">
        <f t="shared" si="32"/>
        <v>0</v>
      </c>
      <c r="CN47" s="188">
        <f t="shared" si="33"/>
        <v>0</v>
      </c>
      <c r="CO47" s="188">
        <f t="shared" si="34"/>
        <v>0</v>
      </c>
      <c r="CP47" s="188">
        <f t="shared" si="35"/>
        <v>0</v>
      </c>
      <c r="DV47" s="188">
        <f t="shared" si="237"/>
        <v>0</v>
      </c>
      <c r="DW47" s="188">
        <f t="shared" si="238"/>
        <v>0</v>
      </c>
      <c r="DX47" s="188">
        <f t="shared" si="239"/>
        <v>0</v>
      </c>
      <c r="DY47" s="188">
        <f t="shared" si="240"/>
        <v>0</v>
      </c>
      <c r="DZ47" s="188">
        <f t="shared" si="241"/>
        <v>0</v>
      </c>
      <c r="EA47" s="188">
        <f t="shared" si="242"/>
        <v>0</v>
      </c>
      <c r="EB47" s="188">
        <f t="shared" si="42"/>
        <v>0</v>
      </c>
      <c r="EG47" s="220">
        <f t="shared" si="43"/>
        <v>0</v>
      </c>
      <c r="EH47" s="220">
        <f t="shared" si="44"/>
        <v>0</v>
      </c>
      <c r="EI47" s="188"/>
      <c r="EJ47" s="188"/>
      <c r="EK47" s="188"/>
      <c r="EL47" s="188"/>
      <c r="EM47" s="188"/>
      <c r="EN47" s="188"/>
      <c r="EO47" s="188"/>
      <c r="EP47" s="188"/>
      <c r="EQ47" s="188"/>
      <c r="ER47" s="188"/>
      <c r="ES47" s="188"/>
      <c r="ET47" s="188"/>
      <c r="EU47" s="188"/>
      <c r="EV47" s="188"/>
      <c r="EW47" s="188"/>
      <c r="EX47" s="188"/>
      <c r="EY47" s="188"/>
      <c r="EZ47" s="188"/>
      <c r="FA47" s="188"/>
      <c r="FB47" s="188"/>
      <c r="FC47" s="188"/>
      <c r="FD47" s="188"/>
      <c r="FE47" s="188"/>
      <c r="FF47" s="188"/>
      <c r="FH47" s="189"/>
      <c r="FI47" s="189"/>
      <c r="FJ47" s="189"/>
      <c r="FK47" s="189"/>
      <c r="FL47" s="189"/>
      <c r="FM47" s="189"/>
      <c r="FN47" s="189"/>
      <c r="FO47" s="189"/>
      <c r="FP47" s="189"/>
      <c r="FQ47" s="189"/>
      <c r="FR47" s="189"/>
      <c r="FS47" s="189"/>
      <c r="FT47" s="189"/>
      <c r="FU47" s="189"/>
      <c r="FV47" s="189"/>
      <c r="FX47" s="217"/>
      <c r="FY47" s="188">
        <f t="shared" si="45"/>
        <v>0</v>
      </c>
      <c r="FZ47" s="188">
        <f t="shared" si="250"/>
        <v>0</v>
      </c>
      <c r="GA47" s="188">
        <f t="shared" si="251"/>
        <v>0</v>
      </c>
      <c r="GB47" s="188">
        <f t="shared" si="252"/>
        <v>0</v>
      </c>
      <c r="GC47" s="188">
        <f t="shared" si="253"/>
        <v>0</v>
      </c>
      <c r="GD47" s="188">
        <f t="shared" si="254"/>
        <v>0</v>
      </c>
      <c r="GE47" s="188">
        <f t="shared" si="255"/>
        <v>0</v>
      </c>
      <c r="GF47" s="199"/>
      <c r="GG47" s="189">
        <v>0</v>
      </c>
      <c r="GH47" s="189">
        <v>0</v>
      </c>
      <c r="GI47" s="199"/>
      <c r="GJ47" s="200">
        <f t="shared" si="52"/>
        <v>0</v>
      </c>
      <c r="GK47" s="200">
        <f t="shared" si="53"/>
        <v>0</v>
      </c>
      <c r="GO47" s="189">
        <f t="shared" si="256"/>
        <v>0</v>
      </c>
      <c r="GP47" s="189">
        <f t="shared" si="257"/>
        <v>0</v>
      </c>
      <c r="GQ47" s="189">
        <f t="shared" si="258"/>
        <v>0</v>
      </c>
      <c r="GR47" s="189">
        <f t="shared" si="259"/>
        <v>0</v>
      </c>
      <c r="GS47" s="189">
        <f t="shared" si="260"/>
        <v>0</v>
      </c>
      <c r="GT47" s="189">
        <f t="shared" si="124"/>
        <v>1</v>
      </c>
      <c r="GU47" s="201">
        <f t="shared" si="125"/>
        <v>43243</v>
      </c>
      <c r="GV47" s="189" t="str">
        <f t="shared" si="126"/>
        <v>SELESAI</v>
      </c>
      <c r="GW47" s="189">
        <f t="shared" si="127"/>
        <v>0</v>
      </c>
      <c r="GX47" s="202" t="str">
        <f t="shared" si="128"/>
        <v>SELESAI</v>
      </c>
      <c r="GY47" s="202">
        <f t="shared" si="129"/>
        <v>0</v>
      </c>
      <c r="GZ47" s="203" t="str">
        <f t="shared" si="130"/>
        <v>SELESAI</v>
      </c>
      <c r="HA47" s="204"/>
      <c r="HB47" s="204"/>
      <c r="HC47" s="189">
        <f t="shared" si="261"/>
        <v>0</v>
      </c>
      <c r="HD47" s="189">
        <f t="shared" si="262"/>
        <v>0</v>
      </c>
      <c r="HE47" s="189">
        <f t="shared" si="133"/>
        <v>0</v>
      </c>
      <c r="HF47" s="189">
        <f t="shared" si="134"/>
        <v>0</v>
      </c>
      <c r="HG47" s="189">
        <f t="shared" si="135"/>
        <v>0</v>
      </c>
      <c r="HH47" s="201" t="str">
        <f t="shared" si="136"/>
        <v>TIDAK KONSINYASI</v>
      </c>
      <c r="HI47" s="201" t="str">
        <f t="shared" si="137"/>
        <v>SELESAI</v>
      </c>
      <c r="HJ47" s="205"/>
      <c r="HK47" s="201">
        <f t="shared" si="138"/>
        <v>0</v>
      </c>
      <c r="HL47" s="204"/>
      <c r="HM47" s="204"/>
      <c r="HN47" s="204"/>
      <c r="HO47" s="204"/>
      <c r="HP47" s="203">
        <f t="shared" si="139"/>
        <v>0</v>
      </c>
      <c r="HQ47" s="202">
        <f t="shared" si="140"/>
        <v>0</v>
      </c>
      <c r="HR47" s="202">
        <f t="shared" si="263"/>
        <v>0</v>
      </c>
      <c r="HS47" s="203">
        <f t="shared" si="142"/>
        <v>0</v>
      </c>
      <c r="HT47" s="202">
        <f t="shared" si="143"/>
        <v>0</v>
      </c>
      <c r="HU47" s="202">
        <f t="shared" si="264"/>
        <v>0</v>
      </c>
      <c r="HV47" s="203">
        <f t="shared" si="145"/>
        <v>0</v>
      </c>
      <c r="HW47" s="202">
        <f t="shared" si="146"/>
        <v>0</v>
      </c>
      <c r="HX47" s="202">
        <f t="shared" si="265"/>
        <v>0</v>
      </c>
      <c r="HY47" s="203">
        <f t="shared" si="148"/>
        <v>0</v>
      </c>
      <c r="HZ47" s="202">
        <f t="shared" si="149"/>
        <v>0</v>
      </c>
      <c r="IA47" s="202">
        <f t="shared" si="266"/>
        <v>0</v>
      </c>
      <c r="IB47" s="203">
        <f t="shared" si="151"/>
        <v>0</v>
      </c>
      <c r="IC47" s="202">
        <f t="shared" si="152"/>
        <v>0</v>
      </c>
      <c r="ID47" s="202">
        <f t="shared" si="267"/>
        <v>0</v>
      </c>
      <c r="IE47" s="203">
        <f t="shared" si="154"/>
        <v>0</v>
      </c>
      <c r="IF47" s="202">
        <f t="shared" si="155"/>
        <v>0</v>
      </c>
      <c r="IG47" s="202">
        <f t="shared" si="268"/>
        <v>0</v>
      </c>
      <c r="IH47" s="203">
        <f t="shared" si="157"/>
        <v>0</v>
      </c>
      <c r="II47" s="202">
        <f t="shared" si="158"/>
        <v>0</v>
      </c>
      <c r="IJ47" s="202">
        <f t="shared" si="269"/>
        <v>0</v>
      </c>
      <c r="IK47" s="203">
        <f t="shared" si="160"/>
        <v>0</v>
      </c>
      <c r="IL47" s="202">
        <f t="shared" si="161"/>
        <v>0</v>
      </c>
      <c r="IM47" s="202">
        <f t="shared" si="270"/>
        <v>0</v>
      </c>
      <c r="IN47" s="204"/>
      <c r="IO47" s="203">
        <f t="shared" si="163"/>
        <v>0</v>
      </c>
      <c r="IP47" s="202">
        <f t="shared" si="271"/>
        <v>0</v>
      </c>
      <c r="IQ47" s="202">
        <f t="shared" si="272"/>
        <v>0</v>
      </c>
      <c r="IR47" s="204"/>
      <c r="IS47" s="203"/>
      <c r="IT47" s="202">
        <f t="shared" si="273"/>
        <v>1</v>
      </c>
      <c r="IU47" s="202">
        <f t="shared" si="274"/>
        <v>269</v>
      </c>
      <c r="IV47" s="204"/>
      <c r="IW47" s="203"/>
      <c r="IX47" s="202">
        <f t="shared" si="275"/>
        <v>0</v>
      </c>
      <c r="IY47" s="202">
        <f t="shared" si="276"/>
        <v>0</v>
      </c>
      <c r="IZ47" s="204"/>
      <c r="JA47" s="203"/>
      <c r="JB47" s="202">
        <f t="shared" si="277"/>
        <v>0</v>
      </c>
      <c r="JC47" s="202">
        <f t="shared" si="278"/>
        <v>0</v>
      </c>
      <c r="JD47" s="204"/>
      <c r="JE47" s="203"/>
      <c r="JF47" s="202">
        <f t="shared" si="172"/>
        <v>1</v>
      </c>
      <c r="JG47" s="202">
        <f t="shared" si="173"/>
        <v>269</v>
      </c>
      <c r="JH47" s="204"/>
      <c r="JI47" s="203"/>
      <c r="JJ47" s="202">
        <f t="shared" si="279"/>
        <v>0</v>
      </c>
      <c r="JK47" s="202">
        <f t="shared" si="280"/>
        <v>0</v>
      </c>
      <c r="JM47" s="203">
        <f t="shared" si="176"/>
        <v>0</v>
      </c>
      <c r="JO47" s="196">
        <f t="shared" si="54"/>
        <v>0</v>
      </c>
      <c r="JP47" s="189">
        <f t="shared" si="281"/>
        <v>0</v>
      </c>
      <c r="JQ47" s="189">
        <f t="shared" si="282"/>
        <v>0</v>
      </c>
      <c r="JR47" s="189">
        <f t="shared" si="283"/>
        <v>0</v>
      </c>
      <c r="JS47" s="189">
        <f t="shared" si="284"/>
        <v>0</v>
      </c>
      <c r="JT47" s="189">
        <f t="shared" si="285"/>
        <v>0</v>
      </c>
      <c r="JU47" s="189">
        <f t="shared" si="286"/>
        <v>0</v>
      </c>
      <c r="JV47" s="189">
        <f t="shared" si="287"/>
        <v>0</v>
      </c>
      <c r="JW47" s="189">
        <f t="shared" si="288"/>
        <v>0</v>
      </c>
      <c r="JX47" s="189">
        <f t="shared" si="289"/>
        <v>0</v>
      </c>
      <c r="JY47" s="189">
        <f t="shared" si="290"/>
        <v>0</v>
      </c>
      <c r="JZ47" s="189">
        <f t="shared" si="291"/>
        <v>0</v>
      </c>
      <c r="KA47" s="189">
        <f t="shared" si="292"/>
        <v>0</v>
      </c>
      <c r="KB47" s="189">
        <f t="shared" si="293"/>
        <v>0</v>
      </c>
      <c r="KD47" s="206">
        <f t="shared" si="177"/>
        <v>0</v>
      </c>
      <c r="KE47" s="206">
        <f t="shared" si="69"/>
        <v>0</v>
      </c>
      <c r="KF47" s="206">
        <f t="shared" si="294"/>
        <v>0</v>
      </c>
      <c r="KG47" s="206">
        <f t="shared" si="295"/>
        <v>0</v>
      </c>
      <c r="KH47" s="206">
        <f t="shared" si="296"/>
        <v>0</v>
      </c>
      <c r="KI47" s="206">
        <f t="shared" si="297"/>
        <v>0</v>
      </c>
      <c r="KJ47" s="206">
        <f t="shared" si="298"/>
        <v>0</v>
      </c>
      <c r="KK47" s="206">
        <f t="shared" si="299"/>
        <v>0</v>
      </c>
      <c r="KL47" s="206">
        <f t="shared" si="300"/>
        <v>0</v>
      </c>
      <c r="KM47" s="206">
        <f t="shared" si="301"/>
        <v>0</v>
      </c>
      <c r="KN47" s="221">
        <f t="shared" si="302"/>
        <v>0</v>
      </c>
      <c r="KO47" s="221">
        <f t="shared" si="303"/>
        <v>0</v>
      </c>
      <c r="KP47" s="221">
        <f t="shared" si="304"/>
        <v>0</v>
      </c>
      <c r="KQ47" s="221">
        <f t="shared" si="305"/>
        <v>0</v>
      </c>
      <c r="KR47" s="221">
        <f t="shared" si="306"/>
        <v>0</v>
      </c>
      <c r="KT47" s="195">
        <f t="shared" si="307"/>
        <v>0</v>
      </c>
      <c r="KU47" s="221"/>
      <c r="KV47" s="221"/>
      <c r="KW47" s="221"/>
      <c r="KX47" s="221"/>
      <c r="KY47" s="221"/>
      <c r="KZ47" s="221"/>
      <c r="LA47" s="221"/>
      <c r="LB47" s="221"/>
      <c r="LC47" s="221"/>
      <c r="LD47" s="221"/>
      <c r="LE47" s="221"/>
      <c r="LF47" s="221"/>
      <c r="LG47" s="221"/>
      <c r="LH47" s="221"/>
      <c r="LI47" s="221"/>
      <c r="LJ47" s="221"/>
      <c r="LK47" s="221"/>
      <c r="LL47" s="221"/>
      <c r="LM47" s="221"/>
      <c r="LN47" s="221"/>
      <c r="LO47" s="221"/>
      <c r="LP47" s="221"/>
      <c r="LQ47" s="221"/>
      <c r="LR47" s="221"/>
      <c r="LS47" s="221"/>
      <c r="LT47" s="221"/>
      <c r="LU47" s="221"/>
      <c r="LV47" s="221"/>
      <c r="LW47" s="221"/>
      <c r="LX47" s="221"/>
      <c r="LY47" s="221"/>
      <c r="LZ47" s="221"/>
      <c r="MA47" s="221"/>
      <c r="MB47" s="221"/>
      <c r="MC47" s="221"/>
      <c r="MD47" s="221"/>
      <c r="ME47" s="221"/>
      <c r="MF47" s="221"/>
      <c r="MG47" s="221"/>
      <c r="MH47" s="221"/>
      <c r="MI47" s="221"/>
      <c r="MJ47" s="221"/>
      <c r="MK47" s="221"/>
      <c r="ML47" s="221"/>
      <c r="MM47" s="221"/>
      <c r="MN47" s="221"/>
      <c r="MO47" s="221"/>
      <c r="MP47" s="221"/>
      <c r="MQ47" s="221"/>
      <c r="MR47" s="221"/>
      <c r="MS47" s="221"/>
      <c r="MT47" s="221"/>
      <c r="MU47" s="221"/>
      <c r="MV47" s="221"/>
      <c r="MW47" s="221"/>
      <c r="MX47" s="221"/>
      <c r="MY47" s="221"/>
      <c r="MZ47" s="221"/>
      <c r="NA47" s="221"/>
      <c r="NB47" s="221"/>
      <c r="NC47" s="221"/>
      <c r="ND47" s="221"/>
      <c r="NE47" s="221"/>
      <c r="NF47" s="221"/>
      <c r="NG47" s="221"/>
      <c r="NH47" s="221"/>
      <c r="NI47" s="221"/>
      <c r="NJ47" s="221"/>
      <c r="NK47" s="221"/>
      <c r="NM47" s="195">
        <f t="shared" si="178"/>
        <v>0</v>
      </c>
      <c r="NN47" s="195">
        <f t="shared" si="179"/>
        <v>0</v>
      </c>
      <c r="NO47" s="195">
        <f t="shared" si="180"/>
        <v>0</v>
      </c>
      <c r="NP47" s="195">
        <f t="shared" si="181"/>
        <v>0</v>
      </c>
      <c r="NQ47" s="195">
        <f t="shared" si="182"/>
        <v>0</v>
      </c>
      <c r="NR47" s="195">
        <f t="shared" si="183"/>
        <v>0</v>
      </c>
      <c r="NS47" s="195">
        <f t="shared" si="184"/>
        <v>0</v>
      </c>
      <c r="NT47" s="195">
        <f t="shared" si="185"/>
        <v>0</v>
      </c>
      <c r="NU47" s="196">
        <f t="shared" si="186"/>
        <v>0</v>
      </c>
      <c r="NY47" s="215">
        <f t="shared" si="249"/>
        <v>1</v>
      </c>
      <c r="NZ47" s="222">
        <v>12250000</v>
      </c>
      <c r="OE47" s="207">
        <f t="shared" si="243"/>
        <v>0</v>
      </c>
      <c r="OF47" s="207">
        <f t="shared" si="244"/>
        <v>0</v>
      </c>
      <c r="OG47" s="207">
        <f t="shared" si="245"/>
        <v>0</v>
      </c>
      <c r="OH47" s="207">
        <f t="shared" si="188"/>
        <v>0</v>
      </c>
      <c r="OI47" s="207">
        <f t="shared" si="246"/>
        <v>0</v>
      </c>
      <c r="OJ47" s="199">
        <f t="shared" si="189"/>
        <v>0</v>
      </c>
      <c r="OK47" s="199">
        <f t="shared" si="190"/>
        <v>0</v>
      </c>
      <c r="OL47" s="199">
        <f t="shared" si="191"/>
        <v>0</v>
      </c>
      <c r="OM47" s="199">
        <f t="shared" si="192"/>
        <v>0</v>
      </c>
      <c r="OO47" s="207">
        <f t="shared" si="247"/>
        <v>0</v>
      </c>
      <c r="OP47" s="207">
        <f t="shared" si="248"/>
        <v>0</v>
      </c>
      <c r="OQ47" s="207">
        <f t="shared" si="193"/>
        <v>0</v>
      </c>
      <c r="OR47" s="207">
        <f t="shared" si="194"/>
        <v>0</v>
      </c>
      <c r="OS47" s="207">
        <f t="shared" si="195"/>
        <v>0</v>
      </c>
      <c r="OT47" s="199">
        <f t="shared" si="196"/>
        <v>0</v>
      </c>
      <c r="OU47" s="199">
        <f t="shared" si="197"/>
        <v>0</v>
      </c>
      <c r="OV47" s="199">
        <f t="shared" si="198"/>
        <v>0</v>
      </c>
      <c r="OW47" s="199">
        <f t="shared" si="199"/>
        <v>0</v>
      </c>
      <c r="OZ47" s="208">
        <f t="shared" si="91"/>
        <v>0</v>
      </c>
      <c r="PA47" s="209"/>
      <c r="PB47" s="209"/>
      <c r="PC47" s="209"/>
      <c r="PD47" s="210">
        <f t="shared" si="200"/>
        <v>0</v>
      </c>
      <c r="PE47" s="210"/>
      <c r="PF47" s="210">
        <f t="shared" si="201"/>
        <v>0</v>
      </c>
      <c r="PG47" s="210">
        <f t="shared" si="202"/>
        <v>0</v>
      </c>
      <c r="PH47" s="210">
        <f t="shared" si="92"/>
        <v>0</v>
      </c>
      <c r="PI47" s="210">
        <f t="shared" si="93"/>
        <v>0</v>
      </c>
      <c r="PJ47" s="210">
        <f t="shared" si="94"/>
        <v>0</v>
      </c>
      <c r="PK47" s="210">
        <f t="shared" si="95"/>
        <v>0</v>
      </c>
      <c r="PL47" s="210">
        <f t="shared" si="96"/>
        <v>0</v>
      </c>
      <c r="PM47" s="211"/>
      <c r="PN47" s="211"/>
      <c r="PO47" s="212">
        <f t="shared" si="203"/>
        <v>0</v>
      </c>
      <c r="PP47" s="212">
        <f t="shared" si="204"/>
        <v>0</v>
      </c>
      <c r="PQ47" s="212">
        <f t="shared" si="205"/>
        <v>0</v>
      </c>
      <c r="PR47" s="211"/>
      <c r="PS47" s="211"/>
      <c r="PT47" s="211"/>
      <c r="PU47" s="211"/>
    </row>
    <row r="48" spans="1:437 16383:16383" s="195" customFormat="1" ht="16" x14ac:dyDescent="0.2">
      <c r="A48" s="213">
        <f t="shared" si="206"/>
        <v>38</v>
      </c>
      <c r="B48" s="186" t="s">
        <v>404</v>
      </c>
      <c r="C48" s="186">
        <v>43</v>
      </c>
      <c r="D48" s="188">
        <v>1</v>
      </c>
      <c r="E48" s="188">
        <v>45</v>
      </c>
      <c r="F48" s="188">
        <v>1</v>
      </c>
      <c r="G48" s="188">
        <f t="shared" si="308"/>
        <v>45</v>
      </c>
      <c r="H48" s="214">
        <f t="shared" si="213"/>
        <v>1</v>
      </c>
      <c r="I48" s="214">
        <f t="shared" si="214"/>
        <v>1</v>
      </c>
      <c r="J48" s="188">
        <v>1</v>
      </c>
      <c r="K48" s="188">
        <f t="shared" si="215"/>
        <v>45</v>
      </c>
      <c r="L48" s="214">
        <f t="shared" si="216"/>
        <v>1</v>
      </c>
      <c r="M48" s="214">
        <f t="shared" si="217"/>
        <v>1</v>
      </c>
      <c r="N48" s="188">
        <v>1</v>
      </c>
      <c r="O48" s="188">
        <f t="shared" si="218"/>
        <v>45</v>
      </c>
      <c r="P48" s="214">
        <f t="shared" si="219"/>
        <v>1</v>
      </c>
      <c r="Q48" s="214">
        <f t="shared" si="220"/>
        <v>1</v>
      </c>
      <c r="R48" s="188">
        <v>1</v>
      </c>
      <c r="S48" s="188">
        <f t="shared" si="221"/>
        <v>45</v>
      </c>
      <c r="T48" s="214">
        <f t="shared" si="222"/>
        <v>1</v>
      </c>
      <c r="U48" s="214">
        <f t="shared" si="223"/>
        <v>1</v>
      </c>
      <c r="V48" s="215">
        <v>1</v>
      </c>
      <c r="W48" s="188">
        <f t="shared" si="224"/>
        <v>45</v>
      </c>
      <c r="X48" s="214">
        <f t="shared" si="225"/>
        <v>1</v>
      </c>
      <c r="Y48" s="214">
        <f t="shared" si="226"/>
        <v>1</v>
      </c>
      <c r="Z48" s="216">
        <f>1617777000/1000000000</f>
        <v>1.617777</v>
      </c>
      <c r="AA48" s="188">
        <v>0</v>
      </c>
      <c r="AB48" s="188">
        <f t="shared" si="112"/>
        <v>0</v>
      </c>
      <c r="AC48" s="214">
        <f t="shared" si="113"/>
        <v>0</v>
      </c>
      <c r="AD48" s="214">
        <f t="shared" si="114"/>
        <v>0</v>
      </c>
      <c r="AE48" s="188"/>
      <c r="AF48" s="188">
        <f t="shared" si="115"/>
        <v>0</v>
      </c>
      <c r="AG48" s="188"/>
      <c r="AH48" s="188"/>
      <c r="AI48" s="188">
        <v>1</v>
      </c>
      <c r="AJ48" s="188">
        <f t="shared" si="2"/>
        <v>45</v>
      </c>
      <c r="AK48" s="188" t="s">
        <v>304</v>
      </c>
      <c r="AL48" s="188">
        <v>0</v>
      </c>
      <c r="AM48" s="188">
        <v>0</v>
      </c>
      <c r="AN48" s="217"/>
      <c r="AO48" s="188">
        <f t="shared" si="207"/>
        <v>1</v>
      </c>
      <c r="AP48" s="188">
        <f t="shared" si="208"/>
        <v>45</v>
      </c>
      <c r="AQ48" s="188">
        <f t="shared" si="227"/>
        <v>1</v>
      </c>
      <c r="AR48" s="188">
        <f t="shared" si="228"/>
        <v>45</v>
      </c>
      <c r="AS48" s="188">
        <f t="shared" si="229"/>
        <v>1</v>
      </c>
      <c r="AT48" s="188">
        <f t="shared" si="230"/>
        <v>45</v>
      </c>
      <c r="AU48" s="188">
        <f t="shared" si="209"/>
        <v>1</v>
      </c>
      <c r="AV48" s="188">
        <f t="shared" si="210"/>
        <v>45</v>
      </c>
      <c r="AW48" s="188">
        <f t="shared" si="211"/>
        <v>1</v>
      </c>
      <c r="AX48" s="188">
        <f t="shared" si="212"/>
        <v>45</v>
      </c>
      <c r="AY48" s="188">
        <f t="shared" si="116"/>
        <v>0</v>
      </c>
      <c r="AZ48" s="188">
        <f t="shared" si="117"/>
        <v>0</v>
      </c>
      <c r="BA48" s="188">
        <f t="shared" si="14"/>
        <v>1.617777</v>
      </c>
      <c r="BB48" s="188">
        <f t="shared" si="15"/>
        <v>0</v>
      </c>
      <c r="BD48" s="196">
        <f t="shared" si="118"/>
        <v>0</v>
      </c>
      <c r="BE48" s="188">
        <f t="shared" si="231"/>
        <v>0</v>
      </c>
      <c r="BF48" s="188">
        <f t="shared" si="232"/>
        <v>0</v>
      </c>
      <c r="BG48" s="188">
        <f t="shared" si="233"/>
        <v>0</v>
      </c>
      <c r="BH48" s="188">
        <f t="shared" si="234"/>
        <v>0</v>
      </c>
      <c r="BI48" s="188">
        <f t="shared" si="235"/>
        <v>0</v>
      </c>
      <c r="BJ48" s="188">
        <f t="shared" si="236"/>
        <v>0</v>
      </c>
      <c r="BK48" s="188">
        <f t="shared" si="22"/>
        <v>0</v>
      </c>
      <c r="BN48" s="277"/>
      <c r="BO48" s="139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B48" s="188"/>
      <c r="CD48" s="188">
        <f t="shared" si="23"/>
        <v>0</v>
      </c>
      <c r="CE48" s="188">
        <f t="shared" si="24"/>
        <v>0</v>
      </c>
      <c r="CF48" s="188">
        <f t="shared" si="25"/>
        <v>0</v>
      </c>
      <c r="CG48" s="188">
        <f t="shared" si="26"/>
        <v>0</v>
      </c>
      <c r="CH48" s="188">
        <f t="shared" si="27"/>
        <v>0</v>
      </c>
      <c r="CI48" s="188">
        <f t="shared" si="28"/>
        <v>0</v>
      </c>
      <c r="CJ48" s="188">
        <f t="shared" si="29"/>
        <v>0</v>
      </c>
      <c r="CK48" s="188">
        <f t="shared" si="30"/>
        <v>0</v>
      </c>
      <c r="CL48" s="188">
        <f t="shared" si="31"/>
        <v>0</v>
      </c>
      <c r="CM48" s="188">
        <f t="shared" si="32"/>
        <v>0</v>
      </c>
      <c r="CN48" s="188">
        <f t="shared" si="33"/>
        <v>0</v>
      </c>
      <c r="CO48" s="188">
        <f t="shared" si="34"/>
        <v>0</v>
      </c>
      <c r="CP48" s="188">
        <f t="shared" si="35"/>
        <v>0</v>
      </c>
      <c r="DV48" s="188">
        <f t="shared" si="237"/>
        <v>0</v>
      </c>
      <c r="DW48" s="188">
        <f t="shared" si="238"/>
        <v>0</v>
      </c>
      <c r="DX48" s="188">
        <f t="shared" si="239"/>
        <v>0</v>
      </c>
      <c r="DY48" s="188">
        <f t="shared" si="240"/>
        <v>0</v>
      </c>
      <c r="DZ48" s="188">
        <f t="shared" si="241"/>
        <v>0</v>
      </c>
      <c r="EA48" s="188">
        <f t="shared" si="242"/>
        <v>0</v>
      </c>
      <c r="EB48" s="188">
        <f t="shared" si="42"/>
        <v>0</v>
      </c>
      <c r="EG48" s="220">
        <f t="shared" si="43"/>
        <v>0</v>
      </c>
      <c r="EH48" s="220">
        <f t="shared" si="44"/>
        <v>0</v>
      </c>
      <c r="EI48" s="188"/>
      <c r="EJ48" s="188"/>
      <c r="EK48" s="188"/>
      <c r="EL48" s="188"/>
      <c r="EM48" s="188"/>
      <c r="EN48" s="188"/>
      <c r="EO48" s="188"/>
      <c r="EP48" s="188"/>
      <c r="EQ48" s="188"/>
      <c r="ER48" s="188"/>
      <c r="ES48" s="188"/>
      <c r="ET48" s="188"/>
      <c r="EU48" s="188"/>
      <c r="EV48" s="188"/>
      <c r="EW48" s="188"/>
      <c r="EX48" s="188"/>
      <c r="EY48" s="188"/>
      <c r="EZ48" s="188"/>
      <c r="FA48" s="188"/>
      <c r="FB48" s="188"/>
      <c r="FC48" s="188"/>
      <c r="FD48" s="188"/>
      <c r="FE48" s="188"/>
      <c r="FF48" s="188"/>
      <c r="FH48" s="189"/>
      <c r="FI48" s="189"/>
      <c r="FJ48" s="189"/>
      <c r="FK48" s="189"/>
      <c r="FL48" s="189"/>
      <c r="FM48" s="189"/>
      <c r="FN48" s="189"/>
      <c r="FO48" s="189"/>
      <c r="FP48" s="189"/>
      <c r="FQ48" s="189"/>
      <c r="FR48" s="189"/>
      <c r="FS48" s="189"/>
      <c r="FT48" s="189"/>
      <c r="FU48" s="189"/>
      <c r="FV48" s="189"/>
      <c r="FX48" s="217"/>
      <c r="FY48" s="188">
        <f t="shared" si="45"/>
        <v>0</v>
      </c>
      <c r="FZ48" s="188">
        <f t="shared" si="250"/>
        <v>0</v>
      </c>
      <c r="GA48" s="188">
        <f t="shared" si="251"/>
        <v>0</v>
      </c>
      <c r="GB48" s="188">
        <f t="shared" si="252"/>
        <v>0</v>
      </c>
      <c r="GC48" s="188">
        <f t="shared" si="253"/>
        <v>0</v>
      </c>
      <c r="GD48" s="188">
        <f t="shared" si="254"/>
        <v>0</v>
      </c>
      <c r="GE48" s="188">
        <f t="shared" si="255"/>
        <v>0</v>
      </c>
      <c r="GF48" s="199"/>
      <c r="GG48" s="189">
        <v>0</v>
      </c>
      <c r="GH48" s="189">
        <v>0</v>
      </c>
      <c r="GI48" s="199"/>
      <c r="GJ48" s="200">
        <f t="shared" si="52"/>
        <v>0</v>
      </c>
      <c r="GK48" s="200">
        <f t="shared" si="53"/>
        <v>0</v>
      </c>
      <c r="GO48" s="189">
        <f t="shared" si="256"/>
        <v>0</v>
      </c>
      <c r="GP48" s="189">
        <f t="shared" si="257"/>
        <v>0</v>
      </c>
      <c r="GQ48" s="189">
        <f t="shared" si="258"/>
        <v>0</v>
      </c>
      <c r="GR48" s="189">
        <f t="shared" si="259"/>
        <v>0</v>
      </c>
      <c r="GS48" s="189">
        <f t="shared" si="260"/>
        <v>0</v>
      </c>
      <c r="GT48" s="189">
        <f t="shared" si="124"/>
        <v>1</v>
      </c>
      <c r="GU48" s="201">
        <f t="shared" si="125"/>
        <v>43243</v>
      </c>
      <c r="GV48" s="189" t="str">
        <f t="shared" si="126"/>
        <v>SELESAI</v>
      </c>
      <c r="GW48" s="189">
        <f t="shared" si="127"/>
        <v>0</v>
      </c>
      <c r="GX48" s="202" t="str">
        <f t="shared" si="128"/>
        <v>SELESAI</v>
      </c>
      <c r="GY48" s="202">
        <f t="shared" si="129"/>
        <v>0</v>
      </c>
      <c r="GZ48" s="203" t="str">
        <f t="shared" si="130"/>
        <v>SELESAI</v>
      </c>
      <c r="HA48" s="204"/>
      <c r="HB48" s="204"/>
      <c r="HC48" s="189">
        <f t="shared" si="261"/>
        <v>0</v>
      </c>
      <c r="HD48" s="189">
        <f t="shared" si="262"/>
        <v>0</v>
      </c>
      <c r="HE48" s="189">
        <f t="shared" si="133"/>
        <v>0</v>
      </c>
      <c r="HF48" s="189">
        <f t="shared" si="134"/>
        <v>0</v>
      </c>
      <c r="HG48" s="189">
        <f t="shared" si="135"/>
        <v>0</v>
      </c>
      <c r="HH48" s="201" t="str">
        <f t="shared" si="136"/>
        <v>TIDAK KONSINYASI</v>
      </c>
      <c r="HI48" s="201" t="str">
        <f t="shared" si="137"/>
        <v>SELESAI</v>
      </c>
      <c r="HJ48" s="205"/>
      <c r="HK48" s="201">
        <f t="shared" si="138"/>
        <v>0</v>
      </c>
      <c r="HL48" s="204"/>
      <c r="HM48" s="204"/>
      <c r="HN48" s="204"/>
      <c r="HO48" s="204"/>
      <c r="HP48" s="203">
        <f t="shared" si="139"/>
        <v>0</v>
      </c>
      <c r="HQ48" s="202">
        <f t="shared" si="140"/>
        <v>0</v>
      </c>
      <c r="HR48" s="202">
        <f t="shared" si="263"/>
        <v>0</v>
      </c>
      <c r="HS48" s="203">
        <f t="shared" si="142"/>
        <v>0</v>
      </c>
      <c r="HT48" s="202">
        <f t="shared" si="143"/>
        <v>0</v>
      </c>
      <c r="HU48" s="202">
        <f t="shared" si="264"/>
        <v>0</v>
      </c>
      <c r="HV48" s="203">
        <f t="shared" si="145"/>
        <v>0</v>
      </c>
      <c r="HW48" s="202">
        <f t="shared" si="146"/>
        <v>0</v>
      </c>
      <c r="HX48" s="202">
        <f t="shared" si="265"/>
        <v>0</v>
      </c>
      <c r="HY48" s="203">
        <f t="shared" si="148"/>
        <v>0</v>
      </c>
      <c r="HZ48" s="202">
        <f t="shared" si="149"/>
        <v>0</v>
      </c>
      <c r="IA48" s="202">
        <f t="shared" si="266"/>
        <v>0</v>
      </c>
      <c r="IB48" s="203">
        <f t="shared" si="151"/>
        <v>0</v>
      </c>
      <c r="IC48" s="202">
        <f t="shared" si="152"/>
        <v>0</v>
      </c>
      <c r="ID48" s="202">
        <f t="shared" si="267"/>
        <v>0</v>
      </c>
      <c r="IE48" s="203">
        <f t="shared" si="154"/>
        <v>0</v>
      </c>
      <c r="IF48" s="202">
        <f t="shared" si="155"/>
        <v>0</v>
      </c>
      <c r="IG48" s="202">
        <f t="shared" si="268"/>
        <v>0</v>
      </c>
      <c r="IH48" s="203">
        <f t="shared" si="157"/>
        <v>0</v>
      </c>
      <c r="II48" s="202">
        <f t="shared" si="158"/>
        <v>0</v>
      </c>
      <c r="IJ48" s="202">
        <f t="shared" si="269"/>
        <v>0</v>
      </c>
      <c r="IK48" s="203">
        <f t="shared" si="160"/>
        <v>0</v>
      </c>
      <c r="IL48" s="202">
        <f t="shared" si="161"/>
        <v>0</v>
      </c>
      <c r="IM48" s="202">
        <f t="shared" si="270"/>
        <v>0</v>
      </c>
      <c r="IN48" s="204"/>
      <c r="IO48" s="203">
        <f t="shared" si="163"/>
        <v>0</v>
      </c>
      <c r="IP48" s="202">
        <f t="shared" si="271"/>
        <v>0</v>
      </c>
      <c r="IQ48" s="202">
        <f t="shared" si="272"/>
        <v>0</v>
      </c>
      <c r="IR48" s="204"/>
      <c r="IS48" s="203"/>
      <c r="IT48" s="202">
        <f t="shared" si="273"/>
        <v>1</v>
      </c>
      <c r="IU48" s="202">
        <f t="shared" si="274"/>
        <v>45</v>
      </c>
      <c r="IV48" s="204"/>
      <c r="IW48" s="203"/>
      <c r="IX48" s="202">
        <f t="shared" si="275"/>
        <v>0</v>
      </c>
      <c r="IY48" s="202">
        <f t="shared" si="276"/>
        <v>0</v>
      </c>
      <c r="IZ48" s="204"/>
      <c r="JA48" s="203"/>
      <c r="JB48" s="202">
        <f t="shared" si="277"/>
        <v>0</v>
      </c>
      <c r="JC48" s="202">
        <f t="shared" si="278"/>
        <v>0</v>
      </c>
      <c r="JD48" s="204"/>
      <c r="JE48" s="203"/>
      <c r="JF48" s="202">
        <f t="shared" si="172"/>
        <v>1</v>
      </c>
      <c r="JG48" s="202">
        <f t="shared" si="173"/>
        <v>45</v>
      </c>
      <c r="JH48" s="204"/>
      <c r="JI48" s="203"/>
      <c r="JJ48" s="202">
        <f t="shared" si="279"/>
        <v>0</v>
      </c>
      <c r="JK48" s="202">
        <f t="shared" si="280"/>
        <v>0</v>
      </c>
      <c r="JM48" s="203">
        <f t="shared" si="176"/>
        <v>0</v>
      </c>
      <c r="JO48" s="196">
        <f t="shared" si="54"/>
        <v>0</v>
      </c>
      <c r="JP48" s="189">
        <f t="shared" si="281"/>
        <v>0</v>
      </c>
      <c r="JQ48" s="189">
        <f t="shared" si="282"/>
        <v>0</v>
      </c>
      <c r="JR48" s="189">
        <f t="shared" si="283"/>
        <v>0</v>
      </c>
      <c r="JS48" s="189">
        <f t="shared" si="284"/>
        <v>0</v>
      </c>
      <c r="JT48" s="189">
        <f t="shared" si="285"/>
        <v>0</v>
      </c>
      <c r="JU48" s="189">
        <f t="shared" si="286"/>
        <v>0</v>
      </c>
      <c r="JV48" s="189">
        <f t="shared" si="287"/>
        <v>0</v>
      </c>
      <c r="JW48" s="189">
        <f t="shared" si="288"/>
        <v>0</v>
      </c>
      <c r="JX48" s="189">
        <f t="shared" si="289"/>
        <v>0</v>
      </c>
      <c r="JY48" s="189">
        <f t="shared" si="290"/>
        <v>0</v>
      </c>
      <c r="JZ48" s="189">
        <f t="shared" si="291"/>
        <v>0</v>
      </c>
      <c r="KA48" s="189">
        <f t="shared" si="292"/>
        <v>0</v>
      </c>
      <c r="KB48" s="189">
        <f t="shared" si="293"/>
        <v>0</v>
      </c>
      <c r="KD48" s="206">
        <f t="shared" si="177"/>
        <v>0</v>
      </c>
      <c r="KE48" s="206">
        <f t="shared" si="69"/>
        <v>0</v>
      </c>
      <c r="KF48" s="206">
        <f t="shared" si="294"/>
        <v>0</v>
      </c>
      <c r="KG48" s="206">
        <f t="shared" si="295"/>
        <v>0</v>
      </c>
      <c r="KH48" s="206">
        <f t="shared" si="296"/>
        <v>0</v>
      </c>
      <c r="KI48" s="206">
        <f t="shared" si="297"/>
        <v>0</v>
      </c>
      <c r="KJ48" s="206">
        <f t="shared" si="298"/>
        <v>0</v>
      </c>
      <c r="KK48" s="206">
        <f t="shared" si="299"/>
        <v>0</v>
      </c>
      <c r="KL48" s="206">
        <f t="shared" si="300"/>
        <v>0</v>
      </c>
      <c r="KM48" s="206">
        <f t="shared" si="301"/>
        <v>0</v>
      </c>
      <c r="KN48" s="221">
        <f t="shared" si="302"/>
        <v>0</v>
      </c>
      <c r="KO48" s="221">
        <f t="shared" si="303"/>
        <v>0</v>
      </c>
      <c r="KP48" s="221">
        <f t="shared" si="304"/>
        <v>0</v>
      </c>
      <c r="KQ48" s="221">
        <f t="shared" si="305"/>
        <v>0</v>
      </c>
      <c r="KR48" s="221">
        <f t="shared" si="306"/>
        <v>0</v>
      </c>
      <c r="KT48" s="195">
        <f t="shared" si="307"/>
        <v>0</v>
      </c>
      <c r="KU48" s="221"/>
      <c r="KV48" s="221"/>
      <c r="KW48" s="221"/>
      <c r="KX48" s="221"/>
      <c r="KY48" s="221"/>
      <c r="KZ48" s="221"/>
      <c r="LA48" s="221"/>
      <c r="LB48" s="221"/>
      <c r="LC48" s="221"/>
      <c r="LD48" s="221"/>
      <c r="LE48" s="221"/>
      <c r="LF48" s="221"/>
      <c r="LG48" s="221"/>
      <c r="LH48" s="221"/>
      <c r="LI48" s="221"/>
      <c r="LJ48" s="221"/>
      <c r="LK48" s="221"/>
      <c r="LL48" s="221"/>
      <c r="LM48" s="221"/>
      <c r="LN48" s="221"/>
      <c r="LO48" s="221"/>
      <c r="LP48" s="221"/>
      <c r="LQ48" s="221"/>
      <c r="LR48" s="221"/>
      <c r="LS48" s="221"/>
      <c r="LT48" s="221"/>
      <c r="LU48" s="221"/>
      <c r="LV48" s="221"/>
      <c r="LW48" s="221"/>
      <c r="LX48" s="221"/>
      <c r="LY48" s="221"/>
      <c r="LZ48" s="221"/>
      <c r="MA48" s="221"/>
      <c r="MB48" s="221"/>
      <c r="MC48" s="221"/>
      <c r="MD48" s="221"/>
      <c r="ME48" s="221"/>
      <c r="MF48" s="221"/>
      <c r="MG48" s="221"/>
      <c r="MH48" s="221"/>
      <c r="MI48" s="221"/>
      <c r="MJ48" s="221"/>
      <c r="MK48" s="221"/>
      <c r="ML48" s="221"/>
      <c r="MM48" s="221"/>
      <c r="MN48" s="221"/>
      <c r="MO48" s="221"/>
      <c r="MP48" s="221"/>
      <c r="MQ48" s="221"/>
      <c r="MR48" s="221"/>
      <c r="MS48" s="221"/>
      <c r="MT48" s="221"/>
      <c r="MU48" s="221"/>
      <c r="MV48" s="221"/>
      <c r="MW48" s="221"/>
      <c r="MX48" s="221"/>
      <c r="MY48" s="221"/>
      <c r="MZ48" s="221"/>
      <c r="NA48" s="221"/>
      <c r="NB48" s="221"/>
      <c r="NC48" s="221"/>
      <c r="ND48" s="221"/>
      <c r="NE48" s="221"/>
      <c r="NF48" s="221"/>
      <c r="NG48" s="221"/>
      <c r="NH48" s="221"/>
      <c r="NI48" s="221"/>
      <c r="NJ48" s="221"/>
      <c r="NK48" s="221"/>
      <c r="NM48" s="195">
        <f t="shared" si="178"/>
        <v>0</v>
      </c>
      <c r="NN48" s="195">
        <f t="shared" si="179"/>
        <v>0</v>
      </c>
      <c r="NO48" s="195">
        <f t="shared" si="180"/>
        <v>0</v>
      </c>
      <c r="NP48" s="195">
        <f t="shared" si="181"/>
        <v>0</v>
      </c>
      <c r="NQ48" s="195">
        <f t="shared" si="182"/>
        <v>0</v>
      </c>
      <c r="NR48" s="195">
        <f t="shared" si="183"/>
        <v>0</v>
      </c>
      <c r="NS48" s="195">
        <f t="shared" si="184"/>
        <v>0</v>
      </c>
      <c r="NT48" s="195">
        <f t="shared" si="185"/>
        <v>0</v>
      </c>
      <c r="NU48" s="196">
        <f t="shared" si="186"/>
        <v>0</v>
      </c>
      <c r="NY48" s="215">
        <f t="shared" si="249"/>
        <v>1</v>
      </c>
      <c r="NZ48" s="222">
        <v>16000000</v>
      </c>
      <c r="OE48" s="207">
        <f t="shared" si="243"/>
        <v>0</v>
      </c>
      <c r="OF48" s="207">
        <f t="shared" si="244"/>
        <v>0</v>
      </c>
      <c r="OG48" s="207">
        <f t="shared" si="245"/>
        <v>0</v>
      </c>
      <c r="OH48" s="207">
        <f t="shared" si="188"/>
        <v>0</v>
      </c>
      <c r="OI48" s="207">
        <f t="shared" si="246"/>
        <v>0</v>
      </c>
      <c r="OJ48" s="199">
        <f t="shared" si="189"/>
        <v>0</v>
      </c>
      <c r="OK48" s="199">
        <f t="shared" si="190"/>
        <v>0</v>
      </c>
      <c r="OL48" s="199">
        <f t="shared" si="191"/>
        <v>0</v>
      </c>
      <c r="OM48" s="199">
        <f t="shared" si="192"/>
        <v>0</v>
      </c>
      <c r="OO48" s="207">
        <f t="shared" si="247"/>
        <v>0</v>
      </c>
      <c r="OP48" s="207">
        <f t="shared" si="248"/>
        <v>0</v>
      </c>
      <c r="OQ48" s="207">
        <f t="shared" si="193"/>
        <v>0</v>
      </c>
      <c r="OR48" s="207">
        <f t="shared" si="194"/>
        <v>0</v>
      </c>
      <c r="OS48" s="207">
        <f t="shared" si="195"/>
        <v>0</v>
      </c>
      <c r="OT48" s="199">
        <f t="shared" si="196"/>
        <v>0</v>
      </c>
      <c r="OU48" s="199">
        <f t="shared" si="197"/>
        <v>0</v>
      </c>
      <c r="OV48" s="199">
        <f t="shared" si="198"/>
        <v>0</v>
      </c>
      <c r="OW48" s="199">
        <f t="shared" si="199"/>
        <v>0</v>
      </c>
      <c r="OZ48" s="208">
        <f t="shared" si="91"/>
        <v>0</v>
      </c>
      <c r="PA48" s="209"/>
      <c r="PB48" s="209"/>
      <c r="PC48" s="209"/>
      <c r="PD48" s="210">
        <f t="shared" si="200"/>
        <v>0</v>
      </c>
      <c r="PE48" s="210"/>
      <c r="PF48" s="210">
        <f t="shared" si="201"/>
        <v>0</v>
      </c>
      <c r="PG48" s="210">
        <f t="shared" si="202"/>
        <v>0</v>
      </c>
      <c r="PH48" s="210">
        <f t="shared" si="92"/>
        <v>0</v>
      </c>
      <c r="PI48" s="210">
        <f t="shared" si="93"/>
        <v>0</v>
      </c>
      <c r="PJ48" s="210">
        <f t="shared" si="94"/>
        <v>0</v>
      </c>
      <c r="PK48" s="210">
        <f t="shared" si="95"/>
        <v>0</v>
      </c>
      <c r="PL48" s="210">
        <f t="shared" si="96"/>
        <v>0</v>
      </c>
      <c r="PM48" s="211"/>
      <c r="PN48" s="211"/>
      <c r="PO48" s="212">
        <f t="shared" si="203"/>
        <v>0</v>
      </c>
      <c r="PP48" s="212">
        <f t="shared" si="204"/>
        <v>0</v>
      </c>
      <c r="PQ48" s="212">
        <f t="shared" si="205"/>
        <v>0</v>
      </c>
      <c r="PR48" s="211"/>
      <c r="PS48" s="211"/>
      <c r="PT48" s="211"/>
      <c r="PU48" s="211"/>
    </row>
    <row r="49" spans="1:437 16383:16383" s="195" customFormat="1" ht="16" x14ac:dyDescent="0.2">
      <c r="A49" s="213">
        <f t="shared" si="206"/>
        <v>39</v>
      </c>
      <c r="B49" s="186" t="s">
        <v>59</v>
      </c>
      <c r="C49" s="186">
        <v>44</v>
      </c>
      <c r="D49" s="188">
        <v>1</v>
      </c>
      <c r="E49" s="188">
        <v>45</v>
      </c>
      <c r="F49" s="188">
        <v>1</v>
      </c>
      <c r="G49" s="188">
        <f t="shared" si="308"/>
        <v>45</v>
      </c>
      <c r="H49" s="214">
        <f t="shared" si="213"/>
        <v>1</v>
      </c>
      <c r="I49" s="214">
        <f t="shared" si="214"/>
        <v>1</v>
      </c>
      <c r="J49" s="188">
        <v>1</v>
      </c>
      <c r="K49" s="188">
        <f t="shared" si="215"/>
        <v>45</v>
      </c>
      <c r="L49" s="214">
        <f t="shared" si="216"/>
        <v>1</v>
      </c>
      <c r="M49" s="214">
        <f t="shared" si="217"/>
        <v>1</v>
      </c>
      <c r="N49" s="188">
        <v>1</v>
      </c>
      <c r="O49" s="188">
        <f t="shared" si="218"/>
        <v>45</v>
      </c>
      <c r="P49" s="214">
        <f t="shared" si="219"/>
        <v>1</v>
      </c>
      <c r="Q49" s="214">
        <f t="shared" si="220"/>
        <v>1</v>
      </c>
      <c r="R49" s="188">
        <v>1</v>
      </c>
      <c r="S49" s="188">
        <f t="shared" si="221"/>
        <v>45</v>
      </c>
      <c r="T49" s="214">
        <f t="shared" si="222"/>
        <v>1</v>
      </c>
      <c r="U49" s="214">
        <f t="shared" si="223"/>
        <v>1</v>
      </c>
      <c r="V49" s="215">
        <v>1</v>
      </c>
      <c r="W49" s="188">
        <f t="shared" si="224"/>
        <v>45</v>
      </c>
      <c r="X49" s="214">
        <f t="shared" si="225"/>
        <v>1</v>
      </c>
      <c r="Y49" s="214">
        <f t="shared" si="226"/>
        <v>1</v>
      </c>
      <c r="Z49" s="216">
        <f>1227641000/1000000000</f>
        <v>1.227641</v>
      </c>
      <c r="AA49" s="188">
        <v>0</v>
      </c>
      <c r="AB49" s="188">
        <f t="shared" si="112"/>
        <v>0</v>
      </c>
      <c r="AC49" s="214">
        <f t="shared" si="113"/>
        <v>0</v>
      </c>
      <c r="AD49" s="214">
        <f t="shared" si="114"/>
        <v>0</v>
      </c>
      <c r="AE49" s="188"/>
      <c r="AF49" s="188">
        <f t="shared" si="115"/>
        <v>0</v>
      </c>
      <c r="AG49" s="188"/>
      <c r="AH49" s="188"/>
      <c r="AI49" s="188">
        <v>1</v>
      </c>
      <c r="AJ49" s="188">
        <f t="shared" si="2"/>
        <v>45</v>
      </c>
      <c r="AK49" s="188" t="s">
        <v>304</v>
      </c>
      <c r="AL49" s="188">
        <v>0</v>
      </c>
      <c r="AM49" s="188">
        <v>0</v>
      </c>
      <c r="AN49" s="217"/>
      <c r="AO49" s="188">
        <f t="shared" si="207"/>
        <v>1</v>
      </c>
      <c r="AP49" s="188">
        <f t="shared" si="208"/>
        <v>45</v>
      </c>
      <c r="AQ49" s="188">
        <f t="shared" si="227"/>
        <v>1</v>
      </c>
      <c r="AR49" s="188">
        <f t="shared" si="228"/>
        <v>45</v>
      </c>
      <c r="AS49" s="188">
        <f t="shared" si="229"/>
        <v>1</v>
      </c>
      <c r="AT49" s="188">
        <f t="shared" si="230"/>
        <v>45</v>
      </c>
      <c r="AU49" s="188">
        <f t="shared" si="209"/>
        <v>1</v>
      </c>
      <c r="AV49" s="188">
        <f t="shared" si="210"/>
        <v>45</v>
      </c>
      <c r="AW49" s="188">
        <f t="shared" si="211"/>
        <v>1</v>
      </c>
      <c r="AX49" s="188">
        <f t="shared" si="212"/>
        <v>45</v>
      </c>
      <c r="AY49" s="188">
        <f t="shared" si="116"/>
        <v>0</v>
      </c>
      <c r="AZ49" s="188">
        <f t="shared" si="117"/>
        <v>0</v>
      </c>
      <c r="BA49" s="188">
        <f t="shared" si="14"/>
        <v>1.227641</v>
      </c>
      <c r="BB49" s="188">
        <f t="shared" si="15"/>
        <v>0</v>
      </c>
      <c r="BD49" s="196">
        <f t="shared" si="118"/>
        <v>0</v>
      </c>
      <c r="BE49" s="188">
        <f t="shared" si="231"/>
        <v>0</v>
      </c>
      <c r="BF49" s="188">
        <f t="shared" si="232"/>
        <v>0</v>
      </c>
      <c r="BG49" s="188">
        <f t="shared" si="233"/>
        <v>0</v>
      </c>
      <c r="BH49" s="188">
        <f t="shared" si="234"/>
        <v>0</v>
      </c>
      <c r="BI49" s="188">
        <f t="shared" si="235"/>
        <v>0</v>
      </c>
      <c r="BJ49" s="188">
        <f t="shared" si="236"/>
        <v>0</v>
      </c>
      <c r="BK49" s="188">
        <f t="shared" si="22"/>
        <v>0</v>
      </c>
      <c r="BN49" s="277"/>
      <c r="BO49" s="139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B49" s="188"/>
      <c r="CD49" s="188">
        <f t="shared" si="23"/>
        <v>0</v>
      </c>
      <c r="CE49" s="188">
        <f t="shared" si="24"/>
        <v>0</v>
      </c>
      <c r="CF49" s="188">
        <f t="shared" si="25"/>
        <v>0</v>
      </c>
      <c r="CG49" s="188">
        <f t="shared" si="26"/>
        <v>0</v>
      </c>
      <c r="CH49" s="188">
        <f t="shared" si="27"/>
        <v>0</v>
      </c>
      <c r="CI49" s="188">
        <f t="shared" si="28"/>
        <v>0</v>
      </c>
      <c r="CJ49" s="188">
        <f t="shared" si="29"/>
        <v>0</v>
      </c>
      <c r="CK49" s="188">
        <f t="shared" si="30"/>
        <v>0</v>
      </c>
      <c r="CL49" s="188">
        <f t="shared" si="31"/>
        <v>0</v>
      </c>
      <c r="CM49" s="188">
        <f t="shared" si="32"/>
        <v>0</v>
      </c>
      <c r="CN49" s="188">
        <f t="shared" si="33"/>
        <v>0</v>
      </c>
      <c r="CO49" s="188">
        <f t="shared" si="34"/>
        <v>0</v>
      </c>
      <c r="CP49" s="188">
        <f t="shared" si="35"/>
        <v>0</v>
      </c>
      <c r="DV49" s="188">
        <f t="shared" si="237"/>
        <v>0</v>
      </c>
      <c r="DW49" s="188">
        <f t="shared" si="238"/>
        <v>0</v>
      </c>
      <c r="DX49" s="188">
        <f t="shared" si="239"/>
        <v>0</v>
      </c>
      <c r="DY49" s="188">
        <f t="shared" si="240"/>
        <v>0</v>
      </c>
      <c r="DZ49" s="188">
        <f t="shared" si="241"/>
        <v>0</v>
      </c>
      <c r="EA49" s="188">
        <f t="shared" si="242"/>
        <v>0</v>
      </c>
      <c r="EB49" s="188">
        <f t="shared" si="42"/>
        <v>0</v>
      </c>
      <c r="EG49" s="220">
        <f t="shared" si="43"/>
        <v>0</v>
      </c>
      <c r="EH49" s="220">
        <f t="shared" si="44"/>
        <v>0</v>
      </c>
      <c r="EI49" s="188"/>
      <c r="EJ49" s="188"/>
      <c r="EK49" s="188"/>
      <c r="EL49" s="188"/>
      <c r="EM49" s="188"/>
      <c r="EN49" s="188"/>
      <c r="EO49" s="188"/>
      <c r="EP49" s="188"/>
      <c r="EQ49" s="188"/>
      <c r="ER49" s="188"/>
      <c r="ES49" s="188"/>
      <c r="ET49" s="188"/>
      <c r="EU49" s="188"/>
      <c r="EV49" s="188"/>
      <c r="EW49" s="188"/>
      <c r="EX49" s="188"/>
      <c r="EY49" s="188"/>
      <c r="EZ49" s="188"/>
      <c r="FA49" s="188"/>
      <c r="FB49" s="188"/>
      <c r="FC49" s="188"/>
      <c r="FD49" s="188"/>
      <c r="FE49" s="188"/>
      <c r="FF49" s="188"/>
      <c r="FH49" s="189"/>
      <c r="FI49" s="189"/>
      <c r="FJ49" s="189"/>
      <c r="FK49" s="189"/>
      <c r="FL49" s="189"/>
      <c r="FM49" s="189"/>
      <c r="FN49" s="189"/>
      <c r="FO49" s="189"/>
      <c r="FP49" s="189"/>
      <c r="FQ49" s="189"/>
      <c r="FR49" s="189"/>
      <c r="FS49" s="189"/>
      <c r="FT49" s="189"/>
      <c r="FU49" s="189"/>
      <c r="FV49" s="189"/>
      <c r="FX49" s="217"/>
      <c r="FY49" s="188">
        <f t="shared" si="45"/>
        <v>0</v>
      </c>
      <c r="FZ49" s="188">
        <f t="shared" si="250"/>
        <v>0</v>
      </c>
      <c r="GA49" s="188">
        <f t="shared" si="251"/>
        <v>0</v>
      </c>
      <c r="GB49" s="188">
        <f t="shared" si="252"/>
        <v>0</v>
      </c>
      <c r="GC49" s="188">
        <f t="shared" si="253"/>
        <v>0</v>
      </c>
      <c r="GD49" s="188">
        <f t="shared" si="254"/>
        <v>0</v>
      </c>
      <c r="GE49" s="188">
        <f t="shared" si="255"/>
        <v>0</v>
      </c>
      <c r="GF49" s="199"/>
      <c r="GG49" s="189">
        <v>0</v>
      </c>
      <c r="GH49" s="189">
        <v>0</v>
      </c>
      <c r="GI49" s="199"/>
      <c r="GJ49" s="200">
        <f t="shared" si="52"/>
        <v>0</v>
      </c>
      <c r="GK49" s="200">
        <f t="shared" si="53"/>
        <v>0</v>
      </c>
      <c r="GO49" s="189">
        <f t="shared" si="256"/>
        <v>0</v>
      </c>
      <c r="GP49" s="189">
        <f t="shared" si="257"/>
        <v>0</v>
      </c>
      <c r="GQ49" s="189">
        <f t="shared" si="258"/>
        <v>0</v>
      </c>
      <c r="GR49" s="189">
        <f t="shared" si="259"/>
        <v>0</v>
      </c>
      <c r="GS49" s="189">
        <f t="shared" si="260"/>
        <v>0</v>
      </c>
      <c r="GT49" s="189">
        <f t="shared" si="124"/>
        <v>1</v>
      </c>
      <c r="GU49" s="201">
        <f t="shared" si="125"/>
        <v>43243</v>
      </c>
      <c r="GV49" s="189" t="str">
        <f t="shared" si="126"/>
        <v>SELESAI</v>
      </c>
      <c r="GW49" s="189">
        <f t="shared" si="127"/>
        <v>0</v>
      </c>
      <c r="GX49" s="202" t="str">
        <f t="shared" si="128"/>
        <v>SELESAI</v>
      </c>
      <c r="GY49" s="202">
        <f t="shared" si="129"/>
        <v>0</v>
      </c>
      <c r="GZ49" s="203" t="str">
        <f t="shared" si="130"/>
        <v>SELESAI</v>
      </c>
      <c r="HA49" s="204"/>
      <c r="HB49" s="204"/>
      <c r="HC49" s="189">
        <f t="shared" si="261"/>
        <v>0</v>
      </c>
      <c r="HD49" s="189">
        <f t="shared" si="262"/>
        <v>0</v>
      </c>
      <c r="HE49" s="189">
        <f t="shared" si="133"/>
        <v>0</v>
      </c>
      <c r="HF49" s="189">
        <f t="shared" si="134"/>
        <v>0</v>
      </c>
      <c r="HG49" s="189">
        <f t="shared" si="135"/>
        <v>0</v>
      </c>
      <c r="HH49" s="201" t="str">
        <f t="shared" si="136"/>
        <v>TIDAK KONSINYASI</v>
      </c>
      <c r="HI49" s="201" t="str">
        <f t="shared" si="137"/>
        <v>SELESAI</v>
      </c>
      <c r="HJ49" s="205"/>
      <c r="HK49" s="201">
        <f t="shared" si="138"/>
        <v>0</v>
      </c>
      <c r="HL49" s="204"/>
      <c r="HM49" s="204"/>
      <c r="HN49" s="204"/>
      <c r="HO49" s="204"/>
      <c r="HP49" s="203">
        <f t="shared" si="139"/>
        <v>0</v>
      </c>
      <c r="HQ49" s="202">
        <f t="shared" si="140"/>
        <v>0</v>
      </c>
      <c r="HR49" s="202">
        <f t="shared" si="263"/>
        <v>0</v>
      </c>
      <c r="HS49" s="203">
        <f t="shared" si="142"/>
        <v>0</v>
      </c>
      <c r="HT49" s="202">
        <f t="shared" si="143"/>
        <v>0</v>
      </c>
      <c r="HU49" s="202">
        <f t="shared" si="264"/>
        <v>0</v>
      </c>
      <c r="HV49" s="203">
        <f t="shared" si="145"/>
        <v>0</v>
      </c>
      <c r="HW49" s="202">
        <f t="shared" si="146"/>
        <v>0</v>
      </c>
      <c r="HX49" s="202">
        <f t="shared" si="265"/>
        <v>0</v>
      </c>
      <c r="HY49" s="203">
        <f t="shared" si="148"/>
        <v>0</v>
      </c>
      <c r="HZ49" s="202">
        <f t="shared" si="149"/>
        <v>0</v>
      </c>
      <c r="IA49" s="202">
        <f t="shared" si="266"/>
        <v>0</v>
      </c>
      <c r="IB49" s="203">
        <f t="shared" si="151"/>
        <v>0</v>
      </c>
      <c r="IC49" s="202">
        <f t="shared" si="152"/>
        <v>0</v>
      </c>
      <c r="ID49" s="202">
        <f t="shared" si="267"/>
        <v>0</v>
      </c>
      <c r="IE49" s="203">
        <f t="shared" si="154"/>
        <v>0</v>
      </c>
      <c r="IF49" s="202">
        <f t="shared" si="155"/>
        <v>0</v>
      </c>
      <c r="IG49" s="202">
        <f t="shared" si="268"/>
        <v>0</v>
      </c>
      <c r="IH49" s="203">
        <f t="shared" si="157"/>
        <v>0</v>
      </c>
      <c r="II49" s="202">
        <f t="shared" si="158"/>
        <v>0</v>
      </c>
      <c r="IJ49" s="202">
        <f t="shared" si="269"/>
        <v>0</v>
      </c>
      <c r="IK49" s="203">
        <f t="shared" si="160"/>
        <v>0</v>
      </c>
      <c r="IL49" s="202">
        <f t="shared" si="161"/>
        <v>0</v>
      </c>
      <c r="IM49" s="202">
        <f t="shared" si="270"/>
        <v>0</v>
      </c>
      <c r="IN49" s="204"/>
      <c r="IO49" s="203">
        <f t="shared" si="163"/>
        <v>0</v>
      </c>
      <c r="IP49" s="202">
        <f t="shared" si="271"/>
        <v>0</v>
      </c>
      <c r="IQ49" s="202">
        <f t="shared" si="272"/>
        <v>0</v>
      </c>
      <c r="IR49" s="204"/>
      <c r="IS49" s="203"/>
      <c r="IT49" s="202">
        <f t="shared" si="273"/>
        <v>1</v>
      </c>
      <c r="IU49" s="202">
        <f t="shared" si="274"/>
        <v>45</v>
      </c>
      <c r="IV49" s="204"/>
      <c r="IW49" s="203"/>
      <c r="IX49" s="202">
        <f t="shared" si="275"/>
        <v>0</v>
      </c>
      <c r="IY49" s="202">
        <f t="shared" si="276"/>
        <v>0</v>
      </c>
      <c r="IZ49" s="204"/>
      <c r="JA49" s="203"/>
      <c r="JB49" s="202">
        <f t="shared" si="277"/>
        <v>0</v>
      </c>
      <c r="JC49" s="202">
        <f t="shared" si="278"/>
        <v>0</v>
      </c>
      <c r="JD49" s="204"/>
      <c r="JE49" s="203"/>
      <c r="JF49" s="202">
        <f t="shared" si="172"/>
        <v>1</v>
      </c>
      <c r="JG49" s="202">
        <f t="shared" si="173"/>
        <v>45</v>
      </c>
      <c r="JH49" s="204"/>
      <c r="JI49" s="203"/>
      <c r="JJ49" s="202">
        <f t="shared" si="279"/>
        <v>0</v>
      </c>
      <c r="JK49" s="202">
        <f t="shared" si="280"/>
        <v>0</v>
      </c>
      <c r="JM49" s="203">
        <f t="shared" si="176"/>
        <v>0</v>
      </c>
      <c r="JO49" s="196">
        <f t="shared" si="54"/>
        <v>0</v>
      </c>
      <c r="JP49" s="189">
        <f t="shared" si="281"/>
        <v>0</v>
      </c>
      <c r="JQ49" s="189">
        <f t="shared" si="282"/>
        <v>0</v>
      </c>
      <c r="JR49" s="189">
        <f t="shared" si="283"/>
        <v>0</v>
      </c>
      <c r="JS49" s="189">
        <f t="shared" si="284"/>
        <v>0</v>
      </c>
      <c r="JT49" s="189">
        <f t="shared" si="285"/>
        <v>0</v>
      </c>
      <c r="JU49" s="189">
        <f t="shared" si="286"/>
        <v>0</v>
      </c>
      <c r="JV49" s="189">
        <f t="shared" si="287"/>
        <v>0</v>
      </c>
      <c r="JW49" s="189">
        <f t="shared" si="288"/>
        <v>0</v>
      </c>
      <c r="JX49" s="189">
        <f t="shared" si="289"/>
        <v>0</v>
      </c>
      <c r="JY49" s="189">
        <f t="shared" si="290"/>
        <v>0</v>
      </c>
      <c r="JZ49" s="189">
        <f t="shared" si="291"/>
        <v>0</v>
      </c>
      <c r="KA49" s="189">
        <f t="shared" si="292"/>
        <v>0</v>
      </c>
      <c r="KB49" s="189">
        <f t="shared" si="293"/>
        <v>0</v>
      </c>
      <c r="KD49" s="206">
        <f t="shared" si="177"/>
        <v>0</v>
      </c>
      <c r="KE49" s="206">
        <f t="shared" si="69"/>
        <v>0</v>
      </c>
      <c r="KF49" s="206">
        <f t="shared" si="294"/>
        <v>0</v>
      </c>
      <c r="KG49" s="206">
        <f t="shared" si="295"/>
        <v>0</v>
      </c>
      <c r="KH49" s="206">
        <f t="shared" si="296"/>
        <v>0</v>
      </c>
      <c r="KI49" s="206">
        <f t="shared" si="297"/>
        <v>0</v>
      </c>
      <c r="KJ49" s="206">
        <f t="shared" si="298"/>
        <v>0</v>
      </c>
      <c r="KK49" s="206">
        <f t="shared" si="299"/>
        <v>0</v>
      </c>
      <c r="KL49" s="206">
        <f t="shared" si="300"/>
        <v>0</v>
      </c>
      <c r="KM49" s="206">
        <f t="shared" si="301"/>
        <v>0</v>
      </c>
      <c r="KN49" s="221">
        <f t="shared" si="302"/>
        <v>0</v>
      </c>
      <c r="KO49" s="221">
        <f t="shared" si="303"/>
        <v>0</v>
      </c>
      <c r="KP49" s="221">
        <f t="shared" si="304"/>
        <v>0</v>
      </c>
      <c r="KQ49" s="221">
        <f t="shared" si="305"/>
        <v>0</v>
      </c>
      <c r="KR49" s="221">
        <f t="shared" si="306"/>
        <v>0</v>
      </c>
      <c r="KT49" s="195">
        <f t="shared" si="307"/>
        <v>0</v>
      </c>
      <c r="KU49" s="221"/>
      <c r="KV49" s="221"/>
      <c r="KW49" s="221"/>
      <c r="KX49" s="221"/>
      <c r="KY49" s="221"/>
      <c r="KZ49" s="221"/>
      <c r="LA49" s="221"/>
      <c r="LB49" s="221"/>
      <c r="LC49" s="221"/>
      <c r="LD49" s="221"/>
      <c r="LE49" s="221"/>
      <c r="LF49" s="221"/>
      <c r="LG49" s="221"/>
      <c r="LH49" s="221"/>
      <c r="LI49" s="221"/>
      <c r="LJ49" s="221"/>
      <c r="LK49" s="221"/>
      <c r="LL49" s="221"/>
      <c r="LM49" s="221"/>
      <c r="LN49" s="221"/>
      <c r="LO49" s="221"/>
      <c r="LP49" s="221"/>
      <c r="LQ49" s="221"/>
      <c r="LR49" s="221"/>
      <c r="LS49" s="221"/>
      <c r="LT49" s="221"/>
      <c r="LU49" s="221"/>
      <c r="LV49" s="221"/>
      <c r="LW49" s="221"/>
      <c r="LX49" s="221"/>
      <c r="LY49" s="221"/>
      <c r="LZ49" s="221"/>
      <c r="MA49" s="221"/>
      <c r="MB49" s="221"/>
      <c r="MC49" s="221"/>
      <c r="MD49" s="221"/>
      <c r="ME49" s="221"/>
      <c r="MF49" s="221"/>
      <c r="MG49" s="221"/>
      <c r="MH49" s="221"/>
      <c r="MI49" s="221"/>
      <c r="MJ49" s="221"/>
      <c r="MK49" s="221"/>
      <c r="ML49" s="221"/>
      <c r="MM49" s="221"/>
      <c r="MN49" s="221"/>
      <c r="MO49" s="221"/>
      <c r="MP49" s="221"/>
      <c r="MQ49" s="221"/>
      <c r="MR49" s="221"/>
      <c r="MS49" s="221"/>
      <c r="MT49" s="221"/>
      <c r="MU49" s="221"/>
      <c r="MV49" s="221"/>
      <c r="MW49" s="221"/>
      <c r="MX49" s="221"/>
      <c r="MY49" s="221"/>
      <c r="MZ49" s="221"/>
      <c r="NA49" s="221"/>
      <c r="NB49" s="221"/>
      <c r="NC49" s="221"/>
      <c r="ND49" s="221"/>
      <c r="NE49" s="221"/>
      <c r="NF49" s="221"/>
      <c r="NG49" s="221"/>
      <c r="NH49" s="221"/>
      <c r="NI49" s="221"/>
      <c r="NJ49" s="221"/>
      <c r="NK49" s="221"/>
      <c r="NM49" s="195">
        <f t="shared" si="178"/>
        <v>0</v>
      </c>
      <c r="NN49" s="195">
        <f t="shared" si="179"/>
        <v>0</v>
      </c>
      <c r="NO49" s="195">
        <f t="shared" si="180"/>
        <v>0</v>
      </c>
      <c r="NP49" s="195">
        <f t="shared" si="181"/>
        <v>0</v>
      </c>
      <c r="NQ49" s="195">
        <f t="shared" si="182"/>
        <v>0</v>
      </c>
      <c r="NR49" s="195">
        <f t="shared" si="183"/>
        <v>0</v>
      </c>
      <c r="NS49" s="195">
        <f t="shared" si="184"/>
        <v>0</v>
      </c>
      <c r="NT49" s="195">
        <f t="shared" si="185"/>
        <v>0</v>
      </c>
      <c r="NU49" s="196">
        <f t="shared" si="186"/>
        <v>0</v>
      </c>
      <c r="NY49" s="215">
        <f t="shared" si="249"/>
        <v>1</v>
      </c>
      <c r="NZ49" s="222">
        <v>16000000</v>
      </c>
      <c r="OE49" s="207">
        <f t="shared" si="243"/>
        <v>0</v>
      </c>
      <c r="OF49" s="207">
        <f t="shared" si="244"/>
        <v>0</v>
      </c>
      <c r="OG49" s="207">
        <f t="shared" si="245"/>
        <v>0</v>
      </c>
      <c r="OH49" s="207">
        <f t="shared" si="188"/>
        <v>0</v>
      </c>
      <c r="OI49" s="207">
        <f t="shared" si="246"/>
        <v>0</v>
      </c>
      <c r="OJ49" s="199">
        <f t="shared" si="189"/>
        <v>0</v>
      </c>
      <c r="OK49" s="199">
        <f t="shared" si="190"/>
        <v>0</v>
      </c>
      <c r="OL49" s="199">
        <f t="shared" si="191"/>
        <v>0</v>
      </c>
      <c r="OM49" s="199">
        <f t="shared" si="192"/>
        <v>0</v>
      </c>
      <c r="OO49" s="207">
        <f t="shared" si="247"/>
        <v>0</v>
      </c>
      <c r="OP49" s="207">
        <f t="shared" si="248"/>
        <v>0</v>
      </c>
      <c r="OQ49" s="207">
        <f t="shared" si="193"/>
        <v>0</v>
      </c>
      <c r="OR49" s="207">
        <f t="shared" si="194"/>
        <v>0</v>
      </c>
      <c r="OS49" s="207">
        <f t="shared" si="195"/>
        <v>0</v>
      </c>
      <c r="OT49" s="199">
        <f t="shared" si="196"/>
        <v>0</v>
      </c>
      <c r="OU49" s="199">
        <f t="shared" si="197"/>
        <v>0</v>
      </c>
      <c r="OV49" s="199">
        <f t="shared" si="198"/>
        <v>0</v>
      </c>
      <c r="OW49" s="199">
        <f t="shared" si="199"/>
        <v>0</v>
      </c>
      <c r="OZ49" s="208">
        <f t="shared" si="91"/>
        <v>0</v>
      </c>
      <c r="PA49" s="209"/>
      <c r="PB49" s="209"/>
      <c r="PC49" s="209"/>
      <c r="PD49" s="210">
        <f t="shared" si="200"/>
        <v>0</v>
      </c>
      <c r="PE49" s="210"/>
      <c r="PF49" s="210">
        <f t="shared" si="201"/>
        <v>0</v>
      </c>
      <c r="PG49" s="210">
        <f t="shared" si="202"/>
        <v>0</v>
      </c>
      <c r="PH49" s="210">
        <f t="shared" si="92"/>
        <v>0</v>
      </c>
      <c r="PI49" s="210">
        <f t="shared" si="93"/>
        <v>0</v>
      </c>
      <c r="PJ49" s="210">
        <f t="shared" si="94"/>
        <v>0</v>
      </c>
      <c r="PK49" s="210">
        <f t="shared" si="95"/>
        <v>0</v>
      </c>
      <c r="PL49" s="210">
        <f t="shared" si="96"/>
        <v>0</v>
      </c>
      <c r="PM49" s="211"/>
      <c r="PN49" s="211"/>
      <c r="PO49" s="212">
        <f t="shared" si="203"/>
        <v>0</v>
      </c>
      <c r="PP49" s="212">
        <f t="shared" si="204"/>
        <v>0</v>
      </c>
      <c r="PQ49" s="212">
        <f t="shared" si="205"/>
        <v>0</v>
      </c>
      <c r="PR49" s="211"/>
      <c r="PS49" s="211"/>
      <c r="PT49" s="211"/>
      <c r="PU49" s="211"/>
    </row>
    <row r="50" spans="1:437 16383:16383" s="195" customFormat="1" ht="16" x14ac:dyDescent="0.2">
      <c r="A50" s="213">
        <f t="shared" si="206"/>
        <v>40</v>
      </c>
      <c r="B50" s="186" t="s">
        <v>60</v>
      </c>
      <c r="C50" s="186">
        <v>45</v>
      </c>
      <c r="D50" s="188">
        <v>1</v>
      </c>
      <c r="E50" s="188">
        <v>45</v>
      </c>
      <c r="F50" s="188">
        <v>1</v>
      </c>
      <c r="G50" s="188">
        <f t="shared" si="308"/>
        <v>45</v>
      </c>
      <c r="H50" s="214">
        <f t="shared" si="213"/>
        <v>1</v>
      </c>
      <c r="I50" s="214">
        <f t="shared" si="214"/>
        <v>1</v>
      </c>
      <c r="J50" s="188">
        <v>1</v>
      </c>
      <c r="K50" s="188">
        <f t="shared" si="215"/>
        <v>45</v>
      </c>
      <c r="L50" s="214">
        <f t="shared" si="216"/>
        <v>1</v>
      </c>
      <c r="M50" s="214">
        <f t="shared" si="217"/>
        <v>1</v>
      </c>
      <c r="N50" s="188">
        <v>1</v>
      </c>
      <c r="O50" s="188">
        <f t="shared" si="218"/>
        <v>45</v>
      </c>
      <c r="P50" s="214">
        <f t="shared" si="219"/>
        <v>1</v>
      </c>
      <c r="Q50" s="214">
        <f t="shared" si="220"/>
        <v>1</v>
      </c>
      <c r="R50" s="188">
        <v>1</v>
      </c>
      <c r="S50" s="188">
        <f t="shared" si="221"/>
        <v>45</v>
      </c>
      <c r="T50" s="214">
        <f t="shared" si="222"/>
        <v>1</v>
      </c>
      <c r="U50" s="214">
        <f t="shared" si="223"/>
        <v>1</v>
      </c>
      <c r="V50" s="215">
        <v>1</v>
      </c>
      <c r="W50" s="188">
        <f t="shared" si="224"/>
        <v>45</v>
      </c>
      <c r="X50" s="214">
        <f t="shared" si="225"/>
        <v>1</v>
      </c>
      <c r="Y50" s="214">
        <f t="shared" si="226"/>
        <v>1</v>
      </c>
      <c r="Z50" s="216">
        <f>1268156000/1000000000</f>
        <v>1.2681560000000001</v>
      </c>
      <c r="AA50" s="188">
        <v>0</v>
      </c>
      <c r="AB50" s="188">
        <f t="shared" si="112"/>
        <v>0</v>
      </c>
      <c r="AC50" s="214">
        <f t="shared" si="113"/>
        <v>0</v>
      </c>
      <c r="AD50" s="214">
        <f t="shared" si="114"/>
        <v>0</v>
      </c>
      <c r="AE50" s="188"/>
      <c r="AF50" s="188">
        <f t="shared" si="115"/>
        <v>0</v>
      </c>
      <c r="AG50" s="188"/>
      <c r="AH50" s="188"/>
      <c r="AI50" s="188">
        <v>1</v>
      </c>
      <c r="AJ50" s="188">
        <f t="shared" si="2"/>
        <v>45</v>
      </c>
      <c r="AK50" s="188" t="s">
        <v>304</v>
      </c>
      <c r="AL50" s="188">
        <v>0</v>
      </c>
      <c r="AM50" s="188">
        <v>0</v>
      </c>
      <c r="AN50" s="217"/>
      <c r="AO50" s="188">
        <f t="shared" si="207"/>
        <v>1</v>
      </c>
      <c r="AP50" s="188">
        <f t="shared" si="208"/>
        <v>45</v>
      </c>
      <c r="AQ50" s="188">
        <f t="shared" si="227"/>
        <v>1</v>
      </c>
      <c r="AR50" s="188">
        <f t="shared" si="228"/>
        <v>45</v>
      </c>
      <c r="AS50" s="188">
        <f t="shared" si="229"/>
        <v>1</v>
      </c>
      <c r="AT50" s="188">
        <f t="shared" si="230"/>
        <v>45</v>
      </c>
      <c r="AU50" s="188">
        <f t="shared" si="209"/>
        <v>1</v>
      </c>
      <c r="AV50" s="188">
        <f t="shared" si="210"/>
        <v>45</v>
      </c>
      <c r="AW50" s="188">
        <f t="shared" si="211"/>
        <v>1</v>
      </c>
      <c r="AX50" s="188">
        <f t="shared" si="212"/>
        <v>45</v>
      </c>
      <c r="AY50" s="188">
        <f t="shared" si="116"/>
        <v>0</v>
      </c>
      <c r="AZ50" s="188">
        <f t="shared" si="117"/>
        <v>0</v>
      </c>
      <c r="BA50" s="188">
        <f t="shared" si="14"/>
        <v>1.2681560000000001</v>
      </c>
      <c r="BB50" s="188">
        <f t="shared" si="15"/>
        <v>0</v>
      </c>
      <c r="BD50" s="196">
        <f t="shared" si="118"/>
        <v>0</v>
      </c>
      <c r="BE50" s="188">
        <f t="shared" si="231"/>
        <v>0</v>
      </c>
      <c r="BF50" s="188">
        <f t="shared" si="232"/>
        <v>0</v>
      </c>
      <c r="BG50" s="188">
        <f t="shared" si="233"/>
        <v>0</v>
      </c>
      <c r="BH50" s="188">
        <f t="shared" si="234"/>
        <v>0</v>
      </c>
      <c r="BI50" s="188">
        <f t="shared" si="235"/>
        <v>0</v>
      </c>
      <c r="BJ50" s="188">
        <f t="shared" si="236"/>
        <v>0</v>
      </c>
      <c r="BK50" s="188">
        <f t="shared" si="22"/>
        <v>0</v>
      </c>
      <c r="BN50" s="279"/>
      <c r="BO50" s="139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B50" s="188"/>
      <c r="CD50" s="188">
        <f t="shared" si="23"/>
        <v>0</v>
      </c>
      <c r="CE50" s="188">
        <f t="shared" si="24"/>
        <v>0</v>
      </c>
      <c r="CF50" s="188">
        <f t="shared" si="25"/>
        <v>0</v>
      </c>
      <c r="CG50" s="188">
        <f t="shared" si="26"/>
        <v>0</v>
      </c>
      <c r="CH50" s="188">
        <f t="shared" si="27"/>
        <v>0</v>
      </c>
      <c r="CI50" s="188">
        <f t="shared" si="28"/>
        <v>0</v>
      </c>
      <c r="CJ50" s="188">
        <f t="shared" si="29"/>
        <v>0</v>
      </c>
      <c r="CK50" s="188">
        <f t="shared" si="30"/>
        <v>0</v>
      </c>
      <c r="CL50" s="188">
        <f t="shared" si="31"/>
        <v>0</v>
      </c>
      <c r="CM50" s="188">
        <f t="shared" si="32"/>
        <v>0</v>
      </c>
      <c r="CN50" s="188">
        <f t="shared" si="33"/>
        <v>0</v>
      </c>
      <c r="CO50" s="188">
        <f t="shared" si="34"/>
        <v>0</v>
      </c>
      <c r="CP50" s="188">
        <f t="shared" si="35"/>
        <v>0</v>
      </c>
      <c r="DV50" s="188">
        <f t="shared" si="237"/>
        <v>0</v>
      </c>
      <c r="DW50" s="188">
        <f t="shared" si="238"/>
        <v>0</v>
      </c>
      <c r="DX50" s="188">
        <f t="shared" si="239"/>
        <v>0</v>
      </c>
      <c r="DY50" s="188">
        <f t="shared" si="240"/>
        <v>0</v>
      </c>
      <c r="DZ50" s="188">
        <f t="shared" si="241"/>
        <v>0</v>
      </c>
      <c r="EA50" s="188">
        <f t="shared" si="242"/>
        <v>0</v>
      </c>
      <c r="EB50" s="188">
        <f t="shared" si="42"/>
        <v>0</v>
      </c>
      <c r="EG50" s="220">
        <f t="shared" si="43"/>
        <v>0</v>
      </c>
      <c r="EH50" s="220">
        <f t="shared" si="44"/>
        <v>0</v>
      </c>
      <c r="EI50" s="188"/>
      <c r="EJ50" s="188"/>
      <c r="EK50" s="188"/>
      <c r="EL50" s="188"/>
      <c r="EM50" s="188"/>
      <c r="EN50" s="188"/>
      <c r="EO50" s="188"/>
      <c r="EP50" s="188"/>
      <c r="EQ50" s="188"/>
      <c r="ER50" s="188"/>
      <c r="ES50" s="188"/>
      <c r="ET50" s="188"/>
      <c r="EU50" s="188"/>
      <c r="EV50" s="188"/>
      <c r="EW50" s="188"/>
      <c r="EX50" s="188"/>
      <c r="EY50" s="188"/>
      <c r="EZ50" s="188"/>
      <c r="FA50" s="188"/>
      <c r="FB50" s="188"/>
      <c r="FC50" s="188"/>
      <c r="FD50" s="188"/>
      <c r="FE50" s="188"/>
      <c r="FF50" s="188"/>
      <c r="FH50" s="189"/>
      <c r="FI50" s="189"/>
      <c r="FJ50" s="189"/>
      <c r="FK50" s="189"/>
      <c r="FL50" s="189"/>
      <c r="FM50" s="189"/>
      <c r="FN50" s="189"/>
      <c r="FO50" s="189"/>
      <c r="FP50" s="189"/>
      <c r="FQ50" s="189"/>
      <c r="FR50" s="189"/>
      <c r="FS50" s="189"/>
      <c r="FT50" s="189"/>
      <c r="FU50" s="189"/>
      <c r="FV50" s="189"/>
      <c r="FX50" s="217"/>
      <c r="FY50" s="188">
        <f t="shared" si="45"/>
        <v>0</v>
      </c>
      <c r="FZ50" s="188">
        <f t="shared" si="250"/>
        <v>0</v>
      </c>
      <c r="GA50" s="188">
        <f t="shared" si="251"/>
        <v>0</v>
      </c>
      <c r="GB50" s="188">
        <f t="shared" si="252"/>
        <v>0</v>
      </c>
      <c r="GC50" s="188">
        <f t="shared" si="253"/>
        <v>0</v>
      </c>
      <c r="GD50" s="188">
        <f t="shared" si="254"/>
        <v>0</v>
      </c>
      <c r="GE50" s="188">
        <f t="shared" si="255"/>
        <v>0</v>
      </c>
      <c r="GF50" s="199"/>
      <c r="GG50" s="189">
        <v>0</v>
      </c>
      <c r="GH50" s="189">
        <v>0</v>
      </c>
      <c r="GI50" s="199"/>
      <c r="GJ50" s="200">
        <f t="shared" si="52"/>
        <v>0</v>
      </c>
      <c r="GK50" s="200">
        <f t="shared" si="53"/>
        <v>0</v>
      </c>
      <c r="GO50" s="189">
        <f t="shared" si="256"/>
        <v>0</v>
      </c>
      <c r="GP50" s="189">
        <f t="shared" si="257"/>
        <v>0</v>
      </c>
      <c r="GQ50" s="189">
        <f t="shared" si="258"/>
        <v>0</v>
      </c>
      <c r="GR50" s="189">
        <f t="shared" si="259"/>
        <v>0</v>
      </c>
      <c r="GS50" s="189">
        <f t="shared" si="260"/>
        <v>0</v>
      </c>
      <c r="GT50" s="189">
        <f t="shared" si="124"/>
        <v>1</v>
      </c>
      <c r="GU50" s="201">
        <f t="shared" si="125"/>
        <v>43243</v>
      </c>
      <c r="GV50" s="189" t="str">
        <f t="shared" si="126"/>
        <v>SELESAI</v>
      </c>
      <c r="GW50" s="189">
        <f t="shared" si="127"/>
        <v>0</v>
      </c>
      <c r="GX50" s="202" t="str">
        <f t="shared" si="128"/>
        <v>SELESAI</v>
      </c>
      <c r="GY50" s="202">
        <f t="shared" si="129"/>
        <v>0</v>
      </c>
      <c r="GZ50" s="203" t="str">
        <f t="shared" si="130"/>
        <v>SELESAI</v>
      </c>
      <c r="HA50" s="204"/>
      <c r="HB50" s="204"/>
      <c r="HC50" s="189">
        <f t="shared" si="261"/>
        <v>0</v>
      </c>
      <c r="HD50" s="189">
        <f t="shared" si="262"/>
        <v>0</v>
      </c>
      <c r="HE50" s="189">
        <f t="shared" si="133"/>
        <v>0</v>
      </c>
      <c r="HF50" s="189">
        <f t="shared" si="134"/>
        <v>0</v>
      </c>
      <c r="HG50" s="189">
        <f t="shared" si="135"/>
        <v>0</v>
      </c>
      <c r="HH50" s="201" t="str">
        <f t="shared" si="136"/>
        <v>TIDAK KONSINYASI</v>
      </c>
      <c r="HI50" s="201" t="str">
        <f t="shared" si="137"/>
        <v>SELESAI</v>
      </c>
      <c r="HJ50" s="205"/>
      <c r="HK50" s="201">
        <f t="shared" si="138"/>
        <v>0</v>
      </c>
      <c r="HL50" s="204"/>
      <c r="HM50" s="204"/>
      <c r="HN50" s="204"/>
      <c r="HO50" s="204"/>
      <c r="HP50" s="203">
        <f t="shared" si="139"/>
        <v>0</v>
      </c>
      <c r="HQ50" s="202">
        <f t="shared" si="140"/>
        <v>0</v>
      </c>
      <c r="HR50" s="202">
        <f t="shared" si="263"/>
        <v>0</v>
      </c>
      <c r="HS50" s="203">
        <f t="shared" si="142"/>
        <v>0</v>
      </c>
      <c r="HT50" s="202">
        <f t="shared" si="143"/>
        <v>0</v>
      </c>
      <c r="HU50" s="202">
        <f t="shared" si="264"/>
        <v>0</v>
      </c>
      <c r="HV50" s="203">
        <f t="shared" si="145"/>
        <v>0</v>
      </c>
      <c r="HW50" s="202">
        <f t="shared" si="146"/>
        <v>0</v>
      </c>
      <c r="HX50" s="202">
        <f t="shared" si="265"/>
        <v>0</v>
      </c>
      <c r="HY50" s="203">
        <f t="shared" si="148"/>
        <v>0</v>
      </c>
      <c r="HZ50" s="202">
        <f t="shared" si="149"/>
        <v>0</v>
      </c>
      <c r="IA50" s="202">
        <f t="shared" si="266"/>
        <v>0</v>
      </c>
      <c r="IB50" s="203">
        <f t="shared" si="151"/>
        <v>0</v>
      </c>
      <c r="IC50" s="202">
        <f t="shared" si="152"/>
        <v>0</v>
      </c>
      <c r="ID50" s="202">
        <f t="shared" si="267"/>
        <v>0</v>
      </c>
      <c r="IE50" s="203">
        <f t="shared" si="154"/>
        <v>0</v>
      </c>
      <c r="IF50" s="202">
        <f t="shared" si="155"/>
        <v>0</v>
      </c>
      <c r="IG50" s="202">
        <f t="shared" si="268"/>
        <v>0</v>
      </c>
      <c r="IH50" s="203">
        <f t="shared" si="157"/>
        <v>0</v>
      </c>
      <c r="II50" s="202">
        <f t="shared" si="158"/>
        <v>0</v>
      </c>
      <c r="IJ50" s="202">
        <f t="shared" si="269"/>
        <v>0</v>
      </c>
      <c r="IK50" s="203">
        <f t="shared" si="160"/>
        <v>0</v>
      </c>
      <c r="IL50" s="202">
        <f t="shared" si="161"/>
        <v>0</v>
      </c>
      <c r="IM50" s="202">
        <f t="shared" si="270"/>
        <v>0</v>
      </c>
      <c r="IN50" s="204"/>
      <c r="IO50" s="203">
        <f t="shared" si="163"/>
        <v>0</v>
      </c>
      <c r="IP50" s="202">
        <f t="shared" si="271"/>
        <v>0</v>
      </c>
      <c r="IQ50" s="202">
        <f t="shared" si="272"/>
        <v>0</v>
      </c>
      <c r="IR50" s="204"/>
      <c r="IS50" s="203"/>
      <c r="IT50" s="202">
        <f t="shared" si="273"/>
        <v>1</v>
      </c>
      <c r="IU50" s="202">
        <f t="shared" si="274"/>
        <v>45</v>
      </c>
      <c r="IV50" s="204"/>
      <c r="IW50" s="203"/>
      <c r="IX50" s="202">
        <f t="shared" si="275"/>
        <v>0</v>
      </c>
      <c r="IY50" s="202">
        <f t="shared" si="276"/>
        <v>0</v>
      </c>
      <c r="IZ50" s="204"/>
      <c r="JA50" s="203"/>
      <c r="JB50" s="202">
        <f t="shared" si="277"/>
        <v>0</v>
      </c>
      <c r="JC50" s="202">
        <f t="shared" si="278"/>
        <v>0</v>
      </c>
      <c r="JD50" s="204"/>
      <c r="JE50" s="203"/>
      <c r="JF50" s="202">
        <f t="shared" si="172"/>
        <v>1</v>
      </c>
      <c r="JG50" s="202">
        <f t="shared" si="173"/>
        <v>45</v>
      </c>
      <c r="JH50" s="204"/>
      <c r="JI50" s="203"/>
      <c r="JJ50" s="202">
        <f t="shared" si="279"/>
        <v>0</v>
      </c>
      <c r="JK50" s="202">
        <f t="shared" si="280"/>
        <v>0</v>
      </c>
      <c r="JM50" s="203">
        <f t="shared" si="176"/>
        <v>0</v>
      </c>
      <c r="JO50" s="196">
        <f t="shared" si="54"/>
        <v>0</v>
      </c>
      <c r="JP50" s="189">
        <f t="shared" si="281"/>
        <v>0</v>
      </c>
      <c r="JQ50" s="189">
        <f t="shared" si="282"/>
        <v>0</v>
      </c>
      <c r="JR50" s="189">
        <f t="shared" si="283"/>
        <v>0</v>
      </c>
      <c r="JS50" s="189">
        <f t="shared" si="284"/>
        <v>0</v>
      </c>
      <c r="JT50" s="189">
        <f t="shared" si="285"/>
        <v>0</v>
      </c>
      <c r="JU50" s="189">
        <f t="shared" si="286"/>
        <v>0</v>
      </c>
      <c r="JV50" s="189">
        <f t="shared" si="287"/>
        <v>0</v>
      </c>
      <c r="JW50" s="189">
        <f t="shared" si="288"/>
        <v>0</v>
      </c>
      <c r="JX50" s="189">
        <f t="shared" si="289"/>
        <v>0</v>
      </c>
      <c r="JY50" s="189">
        <f t="shared" si="290"/>
        <v>0</v>
      </c>
      <c r="JZ50" s="189">
        <f t="shared" si="291"/>
        <v>0</v>
      </c>
      <c r="KA50" s="189">
        <f t="shared" si="292"/>
        <v>0</v>
      </c>
      <c r="KB50" s="189">
        <f t="shared" si="293"/>
        <v>0</v>
      </c>
      <c r="KD50" s="206">
        <f t="shared" si="177"/>
        <v>0</v>
      </c>
      <c r="KE50" s="206">
        <f t="shared" si="69"/>
        <v>0</v>
      </c>
      <c r="KF50" s="206">
        <f t="shared" si="294"/>
        <v>0</v>
      </c>
      <c r="KG50" s="206">
        <f t="shared" si="295"/>
        <v>0</v>
      </c>
      <c r="KH50" s="206">
        <f t="shared" si="296"/>
        <v>0</v>
      </c>
      <c r="KI50" s="206">
        <f t="shared" si="297"/>
        <v>0</v>
      </c>
      <c r="KJ50" s="206">
        <f t="shared" si="298"/>
        <v>0</v>
      </c>
      <c r="KK50" s="206">
        <f t="shared" si="299"/>
        <v>0</v>
      </c>
      <c r="KL50" s="206">
        <f t="shared" si="300"/>
        <v>0</v>
      </c>
      <c r="KM50" s="206">
        <f t="shared" si="301"/>
        <v>0</v>
      </c>
      <c r="KN50" s="221">
        <f t="shared" si="302"/>
        <v>0</v>
      </c>
      <c r="KO50" s="221">
        <f t="shared" si="303"/>
        <v>0</v>
      </c>
      <c r="KP50" s="221">
        <f t="shared" si="304"/>
        <v>0</v>
      </c>
      <c r="KQ50" s="221">
        <f t="shared" si="305"/>
        <v>0</v>
      </c>
      <c r="KR50" s="221">
        <f t="shared" si="306"/>
        <v>0</v>
      </c>
      <c r="KT50" s="195">
        <f t="shared" si="307"/>
        <v>0</v>
      </c>
      <c r="KU50" s="221"/>
      <c r="KV50" s="221"/>
      <c r="KW50" s="221"/>
      <c r="KX50" s="221"/>
      <c r="KY50" s="221"/>
      <c r="KZ50" s="221"/>
      <c r="LA50" s="221"/>
      <c r="LB50" s="221"/>
      <c r="LC50" s="221"/>
      <c r="LD50" s="221"/>
      <c r="LE50" s="221"/>
      <c r="LF50" s="221"/>
      <c r="LG50" s="221"/>
      <c r="LH50" s="221"/>
      <c r="LI50" s="221"/>
      <c r="LJ50" s="221"/>
      <c r="LK50" s="221"/>
      <c r="LL50" s="221"/>
      <c r="LM50" s="221"/>
      <c r="LN50" s="221"/>
      <c r="LO50" s="221"/>
      <c r="LP50" s="221"/>
      <c r="LQ50" s="221"/>
      <c r="LR50" s="221"/>
      <c r="LS50" s="221"/>
      <c r="LT50" s="221"/>
      <c r="LU50" s="221"/>
      <c r="LV50" s="221"/>
      <c r="LW50" s="221"/>
      <c r="LX50" s="221"/>
      <c r="LY50" s="221"/>
      <c r="LZ50" s="221"/>
      <c r="MA50" s="221"/>
      <c r="MB50" s="221"/>
      <c r="MC50" s="221"/>
      <c r="MD50" s="221"/>
      <c r="ME50" s="221"/>
      <c r="MF50" s="221"/>
      <c r="MG50" s="221"/>
      <c r="MH50" s="221"/>
      <c r="MI50" s="221"/>
      <c r="MJ50" s="221"/>
      <c r="MK50" s="221"/>
      <c r="ML50" s="221"/>
      <c r="MM50" s="221"/>
      <c r="MN50" s="221"/>
      <c r="MO50" s="221"/>
      <c r="MP50" s="221"/>
      <c r="MQ50" s="221"/>
      <c r="MR50" s="221"/>
      <c r="MS50" s="221"/>
      <c r="MT50" s="221"/>
      <c r="MU50" s="221"/>
      <c r="MV50" s="221"/>
      <c r="MW50" s="221"/>
      <c r="MX50" s="221"/>
      <c r="MY50" s="221"/>
      <c r="MZ50" s="221"/>
      <c r="NA50" s="221"/>
      <c r="NB50" s="221"/>
      <c r="NC50" s="221"/>
      <c r="ND50" s="221"/>
      <c r="NE50" s="221"/>
      <c r="NF50" s="221"/>
      <c r="NG50" s="221"/>
      <c r="NH50" s="221"/>
      <c r="NI50" s="221"/>
      <c r="NJ50" s="221"/>
      <c r="NK50" s="221"/>
      <c r="NM50" s="195">
        <f t="shared" si="178"/>
        <v>0</v>
      </c>
      <c r="NN50" s="195">
        <f t="shared" si="179"/>
        <v>0</v>
      </c>
      <c r="NO50" s="195">
        <f t="shared" si="180"/>
        <v>0</v>
      </c>
      <c r="NP50" s="195">
        <f t="shared" si="181"/>
        <v>0</v>
      </c>
      <c r="NQ50" s="195">
        <f t="shared" si="182"/>
        <v>0</v>
      </c>
      <c r="NR50" s="195">
        <f t="shared" si="183"/>
        <v>0</v>
      </c>
      <c r="NS50" s="195">
        <f t="shared" si="184"/>
        <v>0</v>
      </c>
      <c r="NT50" s="195">
        <f t="shared" si="185"/>
        <v>0</v>
      </c>
      <c r="NU50" s="196">
        <f t="shared" si="186"/>
        <v>0</v>
      </c>
      <c r="NY50" s="215">
        <f t="shared" si="249"/>
        <v>1</v>
      </c>
      <c r="NZ50" s="222">
        <v>16000000</v>
      </c>
      <c r="OE50" s="207">
        <f t="shared" si="243"/>
        <v>0</v>
      </c>
      <c r="OF50" s="207">
        <f t="shared" si="244"/>
        <v>0</v>
      </c>
      <c r="OG50" s="207">
        <f t="shared" si="245"/>
        <v>0</v>
      </c>
      <c r="OH50" s="207">
        <f t="shared" si="188"/>
        <v>0</v>
      </c>
      <c r="OI50" s="207">
        <f t="shared" si="246"/>
        <v>0</v>
      </c>
      <c r="OJ50" s="199">
        <f t="shared" si="189"/>
        <v>0</v>
      </c>
      <c r="OK50" s="199">
        <f t="shared" si="190"/>
        <v>0</v>
      </c>
      <c r="OL50" s="199">
        <f t="shared" si="191"/>
        <v>0</v>
      </c>
      <c r="OM50" s="199">
        <f t="shared" si="192"/>
        <v>0</v>
      </c>
      <c r="OO50" s="207">
        <f t="shared" si="247"/>
        <v>0</v>
      </c>
      <c r="OP50" s="207">
        <f t="shared" si="248"/>
        <v>0</v>
      </c>
      <c r="OQ50" s="207">
        <f t="shared" si="193"/>
        <v>0</v>
      </c>
      <c r="OR50" s="207">
        <f t="shared" si="194"/>
        <v>0</v>
      </c>
      <c r="OS50" s="207">
        <f t="shared" si="195"/>
        <v>0</v>
      </c>
      <c r="OT50" s="199">
        <f t="shared" si="196"/>
        <v>0</v>
      </c>
      <c r="OU50" s="199">
        <f t="shared" si="197"/>
        <v>0</v>
      </c>
      <c r="OV50" s="199">
        <f t="shared" si="198"/>
        <v>0</v>
      </c>
      <c r="OW50" s="199">
        <f t="shared" si="199"/>
        <v>0</v>
      </c>
      <c r="OZ50" s="208">
        <f t="shared" si="91"/>
        <v>0</v>
      </c>
      <c r="PA50" s="209"/>
      <c r="PB50" s="209"/>
      <c r="PC50" s="209"/>
      <c r="PD50" s="210">
        <f t="shared" si="200"/>
        <v>0</v>
      </c>
      <c r="PE50" s="210"/>
      <c r="PF50" s="210">
        <f t="shared" si="201"/>
        <v>0</v>
      </c>
      <c r="PG50" s="210">
        <f t="shared" si="202"/>
        <v>0</v>
      </c>
      <c r="PH50" s="210">
        <f t="shared" si="92"/>
        <v>0</v>
      </c>
      <c r="PI50" s="210">
        <f t="shared" si="93"/>
        <v>0</v>
      </c>
      <c r="PJ50" s="210">
        <f t="shared" si="94"/>
        <v>0</v>
      </c>
      <c r="PK50" s="210">
        <f t="shared" si="95"/>
        <v>0</v>
      </c>
      <c r="PL50" s="210">
        <f t="shared" si="96"/>
        <v>0</v>
      </c>
      <c r="PM50" s="211"/>
      <c r="PN50" s="211"/>
      <c r="PO50" s="212">
        <f t="shared" si="203"/>
        <v>0</v>
      </c>
      <c r="PP50" s="212">
        <f t="shared" si="204"/>
        <v>0</v>
      </c>
      <c r="PQ50" s="212">
        <f t="shared" si="205"/>
        <v>0</v>
      </c>
      <c r="PR50" s="211"/>
      <c r="PS50" s="211"/>
      <c r="PT50" s="211"/>
      <c r="PU50" s="211"/>
    </row>
    <row r="51" spans="1:437 16383:16383" s="195" customFormat="1" ht="16" x14ac:dyDescent="0.2">
      <c r="A51" s="213">
        <f t="shared" si="206"/>
        <v>41</v>
      </c>
      <c r="B51" s="186" t="s">
        <v>61</v>
      </c>
      <c r="C51" s="186">
        <v>46</v>
      </c>
      <c r="D51" s="188">
        <v>1</v>
      </c>
      <c r="E51" s="188">
        <v>45</v>
      </c>
      <c r="F51" s="188">
        <v>1</v>
      </c>
      <c r="G51" s="188">
        <f t="shared" si="308"/>
        <v>45</v>
      </c>
      <c r="H51" s="214">
        <f t="shared" si="213"/>
        <v>1</v>
      </c>
      <c r="I51" s="214">
        <f t="shared" si="214"/>
        <v>1</v>
      </c>
      <c r="J51" s="188">
        <v>1</v>
      </c>
      <c r="K51" s="188">
        <f t="shared" si="215"/>
        <v>45</v>
      </c>
      <c r="L51" s="214">
        <f t="shared" si="216"/>
        <v>1</v>
      </c>
      <c r="M51" s="214">
        <f t="shared" si="217"/>
        <v>1</v>
      </c>
      <c r="N51" s="188">
        <v>1</v>
      </c>
      <c r="O51" s="188">
        <f t="shared" si="218"/>
        <v>45</v>
      </c>
      <c r="P51" s="214">
        <f t="shared" si="219"/>
        <v>1</v>
      </c>
      <c r="Q51" s="214">
        <f t="shared" si="220"/>
        <v>1</v>
      </c>
      <c r="R51" s="188">
        <v>1</v>
      </c>
      <c r="S51" s="188">
        <f t="shared" si="221"/>
        <v>45</v>
      </c>
      <c r="T51" s="214">
        <f t="shared" si="222"/>
        <v>1</v>
      </c>
      <c r="U51" s="214">
        <f t="shared" si="223"/>
        <v>1</v>
      </c>
      <c r="V51" s="215">
        <v>1</v>
      </c>
      <c r="W51" s="188">
        <f t="shared" si="224"/>
        <v>45</v>
      </c>
      <c r="X51" s="214">
        <f t="shared" si="225"/>
        <v>1</v>
      </c>
      <c r="Y51" s="214">
        <f t="shared" si="226"/>
        <v>1</v>
      </c>
      <c r="Z51" s="216">
        <f>1776049000/1000000000</f>
        <v>1.776049</v>
      </c>
      <c r="AA51" s="188">
        <v>0</v>
      </c>
      <c r="AB51" s="188">
        <f t="shared" si="112"/>
        <v>0</v>
      </c>
      <c r="AC51" s="214">
        <f t="shared" si="113"/>
        <v>0</v>
      </c>
      <c r="AD51" s="214">
        <f t="shared" si="114"/>
        <v>0</v>
      </c>
      <c r="AE51" s="188"/>
      <c r="AF51" s="188">
        <f t="shared" si="115"/>
        <v>0</v>
      </c>
      <c r="AG51" s="188"/>
      <c r="AH51" s="188"/>
      <c r="AI51" s="188">
        <v>1</v>
      </c>
      <c r="AJ51" s="188">
        <f t="shared" si="2"/>
        <v>45</v>
      </c>
      <c r="AK51" s="188" t="s">
        <v>304</v>
      </c>
      <c r="AL51" s="188">
        <v>0</v>
      </c>
      <c r="AM51" s="188">
        <v>0</v>
      </c>
      <c r="AN51" s="217"/>
      <c r="AO51" s="188">
        <f t="shared" si="207"/>
        <v>1</v>
      </c>
      <c r="AP51" s="188">
        <f t="shared" si="208"/>
        <v>45</v>
      </c>
      <c r="AQ51" s="188">
        <f t="shared" si="227"/>
        <v>1</v>
      </c>
      <c r="AR51" s="188">
        <f t="shared" si="228"/>
        <v>45</v>
      </c>
      <c r="AS51" s="188">
        <f t="shared" si="229"/>
        <v>1</v>
      </c>
      <c r="AT51" s="188">
        <f t="shared" si="230"/>
        <v>45</v>
      </c>
      <c r="AU51" s="188">
        <f t="shared" si="209"/>
        <v>1</v>
      </c>
      <c r="AV51" s="188">
        <f t="shared" si="210"/>
        <v>45</v>
      </c>
      <c r="AW51" s="188">
        <f t="shared" si="211"/>
        <v>1</v>
      </c>
      <c r="AX51" s="188">
        <f t="shared" si="212"/>
        <v>45</v>
      </c>
      <c r="AY51" s="188">
        <f t="shared" si="116"/>
        <v>0</v>
      </c>
      <c r="AZ51" s="188">
        <f t="shared" si="117"/>
        <v>0</v>
      </c>
      <c r="BA51" s="188">
        <f t="shared" si="14"/>
        <v>1.776049</v>
      </c>
      <c r="BB51" s="188">
        <f t="shared" si="15"/>
        <v>0</v>
      </c>
      <c r="BD51" s="196">
        <f t="shared" si="118"/>
        <v>0</v>
      </c>
      <c r="BE51" s="188">
        <f t="shared" si="231"/>
        <v>0</v>
      </c>
      <c r="BF51" s="188">
        <f t="shared" si="232"/>
        <v>0</v>
      </c>
      <c r="BG51" s="188">
        <f t="shared" si="233"/>
        <v>0</v>
      </c>
      <c r="BH51" s="188">
        <f t="shared" si="234"/>
        <v>0</v>
      </c>
      <c r="BI51" s="188">
        <f t="shared" si="235"/>
        <v>0</v>
      </c>
      <c r="BJ51" s="188">
        <f t="shared" si="236"/>
        <v>0</v>
      </c>
      <c r="BK51" s="188">
        <f t="shared" si="22"/>
        <v>0</v>
      </c>
      <c r="BN51" s="277"/>
      <c r="BO51" s="139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B51" s="188"/>
      <c r="CD51" s="188">
        <f t="shared" si="23"/>
        <v>0</v>
      </c>
      <c r="CE51" s="188">
        <f t="shared" si="24"/>
        <v>0</v>
      </c>
      <c r="CF51" s="188">
        <f t="shared" si="25"/>
        <v>0</v>
      </c>
      <c r="CG51" s="188">
        <f t="shared" si="26"/>
        <v>0</v>
      </c>
      <c r="CH51" s="188">
        <f t="shared" si="27"/>
        <v>0</v>
      </c>
      <c r="CI51" s="188">
        <f t="shared" si="28"/>
        <v>0</v>
      </c>
      <c r="CJ51" s="188">
        <f t="shared" si="29"/>
        <v>0</v>
      </c>
      <c r="CK51" s="188">
        <f t="shared" si="30"/>
        <v>0</v>
      </c>
      <c r="CL51" s="188">
        <f t="shared" si="31"/>
        <v>0</v>
      </c>
      <c r="CM51" s="188">
        <f t="shared" si="32"/>
        <v>0</v>
      </c>
      <c r="CN51" s="188">
        <f t="shared" si="33"/>
        <v>0</v>
      </c>
      <c r="CO51" s="188">
        <f t="shared" si="34"/>
        <v>0</v>
      </c>
      <c r="CP51" s="188">
        <f t="shared" si="35"/>
        <v>0</v>
      </c>
      <c r="DV51" s="188">
        <f t="shared" si="237"/>
        <v>0</v>
      </c>
      <c r="DW51" s="188">
        <f t="shared" si="238"/>
        <v>0</v>
      </c>
      <c r="DX51" s="188">
        <f t="shared" si="239"/>
        <v>0</v>
      </c>
      <c r="DY51" s="188">
        <f t="shared" si="240"/>
        <v>0</v>
      </c>
      <c r="DZ51" s="188">
        <f t="shared" si="241"/>
        <v>0</v>
      </c>
      <c r="EA51" s="188">
        <f t="shared" si="242"/>
        <v>0</v>
      </c>
      <c r="EB51" s="188">
        <f t="shared" si="42"/>
        <v>0</v>
      </c>
      <c r="EG51" s="220">
        <f t="shared" si="43"/>
        <v>0</v>
      </c>
      <c r="EH51" s="220">
        <f t="shared" si="44"/>
        <v>0</v>
      </c>
      <c r="EI51" s="188"/>
      <c r="EJ51" s="188"/>
      <c r="EK51" s="188"/>
      <c r="EL51" s="188"/>
      <c r="EM51" s="188"/>
      <c r="EN51" s="188"/>
      <c r="EO51" s="188"/>
      <c r="EP51" s="188"/>
      <c r="EQ51" s="188"/>
      <c r="ER51" s="188"/>
      <c r="ES51" s="188"/>
      <c r="ET51" s="188"/>
      <c r="EU51" s="188"/>
      <c r="EV51" s="188"/>
      <c r="EW51" s="188"/>
      <c r="EX51" s="188"/>
      <c r="EY51" s="188"/>
      <c r="EZ51" s="188"/>
      <c r="FA51" s="188"/>
      <c r="FB51" s="188"/>
      <c r="FC51" s="188"/>
      <c r="FD51" s="188"/>
      <c r="FE51" s="188"/>
      <c r="FF51" s="188"/>
      <c r="FH51" s="189"/>
      <c r="FI51" s="189"/>
      <c r="FJ51" s="189"/>
      <c r="FK51" s="189"/>
      <c r="FL51" s="189"/>
      <c r="FM51" s="189"/>
      <c r="FN51" s="189"/>
      <c r="FO51" s="189"/>
      <c r="FP51" s="189"/>
      <c r="FQ51" s="189"/>
      <c r="FR51" s="189"/>
      <c r="FS51" s="189"/>
      <c r="FT51" s="189"/>
      <c r="FU51" s="189"/>
      <c r="FV51" s="189"/>
      <c r="FX51" s="217"/>
      <c r="FY51" s="188">
        <f t="shared" si="45"/>
        <v>0</v>
      </c>
      <c r="FZ51" s="188">
        <f t="shared" si="250"/>
        <v>0</v>
      </c>
      <c r="GA51" s="188">
        <f t="shared" si="251"/>
        <v>0</v>
      </c>
      <c r="GB51" s="188">
        <f t="shared" si="252"/>
        <v>0</v>
      </c>
      <c r="GC51" s="188">
        <f t="shared" si="253"/>
        <v>0</v>
      </c>
      <c r="GD51" s="188">
        <f t="shared" si="254"/>
        <v>0</v>
      </c>
      <c r="GE51" s="188">
        <f t="shared" si="255"/>
        <v>0</v>
      </c>
      <c r="GF51" s="199"/>
      <c r="GG51" s="189">
        <v>0</v>
      </c>
      <c r="GH51" s="189">
        <v>0</v>
      </c>
      <c r="GI51" s="199"/>
      <c r="GJ51" s="200">
        <f t="shared" si="52"/>
        <v>0</v>
      </c>
      <c r="GK51" s="200">
        <f t="shared" si="53"/>
        <v>0</v>
      </c>
      <c r="GO51" s="189">
        <f t="shared" si="256"/>
        <v>0</v>
      </c>
      <c r="GP51" s="189">
        <f t="shared" si="257"/>
        <v>0</v>
      </c>
      <c r="GQ51" s="189">
        <f t="shared" si="258"/>
        <v>0</v>
      </c>
      <c r="GR51" s="189">
        <f t="shared" si="259"/>
        <v>0</v>
      </c>
      <c r="GS51" s="189">
        <f t="shared" si="260"/>
        <v>0</v>
      </c>
      <c r="GT51" s="189">
        <f t="shared" si="124"/>
        <v>1</v>
      </c>
      <c r="GU51" s="201">
        <f t="shared" si="125"/>
        <v>43243</v>
      </c>
      <c r="GV51" s="189" t="str">
        <f t="shared" si="126"/>
        <v>SELESAI</v>
      </c>
      <c r="GW51" s="189">
        <f t="shared" si="127"/>
        <v>0</v>
      </c>
      <c r="GX51" s="202" t="str">
        <f t="shared" si="128"/>
        <v>SELESAI</v>
      </c>
      <c r="GY51" s="202">
        <f t="shared" si="129"/>
        <v>0</v>
      </c>
      <c r="GZ51" s="203" t="str">
        <f t="shared" si="130"/>
        <v>SELESAI</v>
      </c>
      <c r="HA51" s="204"/>
      <c r="HB51" s="204"/>
      <c r="HC51" s="189">
        <f t="shared" si="261"/>
        <v>0</v>
      </c>
      <c r="HD51" s="189">
        <f t="shared" si="262"/>
        <v>0</v>
      </c>
      <c r="HE51" s="189">
        <f t="shared" si="133"/>
        <v>0</v>
      </c>
      <c r="HF51" s="189">
        <f t="shared" si="134"/>
        <v>0</v>
      </c>
      <c r="HG51" s="189">
        <f t="shared" si="135"/>
        <v>0</v>
      </c>
      <c r="HH51" s="201" t="str">
        <f t="shared" si="136"/>
        <v>TIDAK KONSINYASI</v>
      </c>
      <c r="HI51" s="201" t="str">
        <f t="shared" si="137"/>
        <v>SELESAI</v>
      </c>
      <c r="HJ51" s="205"/>
      <c r="HK51" s="201">
        <f t="shared" si="138"/>
        <v>0</v>
      </c>
      <c r="HL51" s="204"/>
      <c r="HM51" s="204"/>
      <c r="HN51" s="204"/>
      <c r="HO51" s="204"/>
      <c r="HP51" s="203">
        <f t="shared" si="139"/>
        <v>0</v>
      </c>
      <c r="HQ51" s="202">
        <f t="shared" si="140"/>
        <v>0</v>
      </c>
      <c r="HR51" s="202">
        <f t="shared" si="263"/>
        <v>0</v>
      </c>
      <c r="HS51" s="203">
        <f t="shared" si="142"/>
        <v>0</v>
      </c>
      <c r="HT51" s="202">
        <f t="shared" si="143"/>
        <v>0</v>
      </c>
      <c r="HU51" s="202">
        <f t="shared" si="264"/>
        <v>0</v>
      </c>
      <c r="HV51" s="203">
        <f t="shared" si="145"/>
        <v>0</v>
      </c>
      <c r="HW51" s="202">
        <f t="shared" si="146"/>
        <v>0</v>
      </c>
      <c r="HX51" s="202">
        <f t="shared" si="265"/>
        <v>0</v>
      </c>
      <c r="HY51" s="203">
        <f t="shared" si="148"/>
        <v>0</v>
      </c>
      <c r="HZ51" s="202">
        <f t="shared" si="149"/>
        <v>0</v>
      </c>
      <c r="IA51" s="202">
        <f t="shared" si="266"/>
        <v>0</v>
      </c>
      <c r="IB51" s="203">
        <f t="shared" si="151"/>
        <v>0</v>
      </c>
      <c r="IC51" s="202">
        <f t="shared" si="152"/>
        <v>0</v>
      </c>
      <c r="ID51" s="202">
        <f t="shared" si="267"/>
        <v>0</v>
      </c>
      <c r="IE51" s="203">
        <f t="shared" si="154"/>
        <v>0</v>
      </c>
      <c r="IF51" s="202">
        <f t="shared" si="155"/>
        <v>0</v>
      </c>
      <c r="IG51" s="202">
        <f t="shared" si="268"/>
        <v>0</v>
      </c>
      <c r="IH51" s="203">
        <f t="shared" si="157"/>
        <v>0</v>
      </c>
      <c r="II51" s="202">
        <f t="shared" si="158"/>
        <v>0</v>
      </c>
      <c r="IJ51" s="202">
        <f t="shared" si="269"/>
        <v>0</v>
      </c>
      <c r="IK51" s="203">
        <f t="shared" si="160"/>
        <v>0</v>
      </c>
      <c r="IL51" s="202">
        <f t="shared" si="161"/>
        <v>0</v>
      </c>
      <c r="IM51" s="202">
        <f t="shared" si="270"/>
        <v>0</v>
      </c>
      <c r="IN51" s="204"/>
      <c r="IO51" s="203">
        <f t="shared" si="163"/>
        <v>0</v>
      </c>
      <c r="IP51" s="202">
        <f t="shared" si="271"/>
        <v>0</v>
      </c>
      <c r="IQ51" s="202">
        <f t="shared" si="272"/>
        <v>0</v>
      </c>
      <c r="IR51" s="204"/>
      <c r="IS51" s="203"/>
      <c r="IT51" s="202">
        <f t="shared" si="273"/>
        <v>1</v>
      </c>
      <c r="IU51" s="202">
        <f t="shared" si="274"/>
        <v>45</v>
      </c>
      <c r="IV51" s="204"/>
      <c r="IW51" s="203"/>
      <c r="IX51" s="202">
        <f t="shared" si="275"/>
        <v>0</v>
      </c>
      <c r="IY51" s="202">
        <f t="shared" si="276"/>
        <v>0</v>
      </c>
      <c r="IZ51" s="204"/>
      <c r="JA51" s="203"/>
      <c r="JB51" s="202">
        <f t="shared" si="277"/>
        <v>0</v>
      </c>
      <c r="JC51" s="202">
        <f t="shared" si="278"/>
        <v>0</v>
      </c>
      <c r="JD51" s="204"/>
      <c r="JE51" s="203"/>
      <c r="JF51" s="202">
        <f t="shared" si="172"/>
        <v>1</v>
      </c>
      <c r="JG51" s="202">
        <f t="shared" si="173"/>
        <v>45</v>
      </c>
      <c r="JH51" s="204"/>
      <c r="JI51" s="203"/>
      <c r="JJ51" s="202">
        <f t="shared" si="279"/>
        <v>0</v>
      </c>
      <c r="JK51" s="202">
        <f t="shared" si="280"/>
        <v>0</v>
      </c>
      <c r="JM51" s="203">
        <f t="shared" si="176"/>
        <v>0</v>
      </c>
      <c r="JO51" s="196">
        <f t="shared" si="54"/>
        <v>0</v>
      </c>
      <c r="JP51" s="189">
        <f t="shared" si="281"/>
        <v>0</v>
      </c>
      <c r="JQ51" s="189">
        <f t="shared" si="282"/>
        <v>0</v>
      </c>
      <c r="JR51" s="189">
        <f t="shared" si="283"/>
        <v>0</v>
      </c>
      <c r="JS51" s="189">
        <f t="shared" si="284"/>
        <v>0</v>
      </c>
      <c r="JT51" s="189">
        <f t="shared" si="285"/>
        <v>0</v>
      </c>
      <c r="JU51" s="189">
        <f t="shared" si="286"/>
        <v>0</v>
      </c>
      <c r="JV51" s="189">
        <f t="shared" si="287"/>
        <v>0</v>
      </c>
      <c r="JW51" s="189">
        <f t="shared" si="288"/>
        <v>0</v>
      </c>
      <c r="JX51" s="189">
        <f t="shared" si="289"/>
        <v>0</v>
      </c>
      <c r="JY51" s="189">
        <f t="shared" si="290"/>
        <v>0</v>
      </c>
      <c r="JZ51" s="189">
        <f t="shared" si="291"/>
        <v>0</v>
      </c>
      <c r="KA51" s="189">
        <f t="shared" si="292"/>
        <v>0</v>
      </c>
      <c r="KB51" s="189">
        <f t="shared" si="293"/>
        <v>0</v>
      </c>
      <c r="KD51" s="206">
        <f t="shared" si="177"/>
        <v>0</v>
      </c>
      <c r="KE51" s="206">
        <f t="shared" si="69"/>
        <v>0</v>
      </c>
      <c r="KF51" s="206">
        <f t="shared" si="294"/>
        <v>0</v>
      </c>
      <c r="KG51" s="206">
        <f t="shared" si="295"/>
        <v>0</v>
      </c>
      <c r="KH51" s="206">
        <f t="shared" si="296"/>
        <v>0</v>
      </c>
      <c r="KI51" s="206">
        <f t="shared" si="297"/>
        <v>0</v>
      </c>
      <c r="KJ51" s="206">
        <f t="shared" si="298"/>
        <v>0</v>
      </c>
      <c r="KK51" s="206">
        <f t="shared" si="299"/>
        <v>0</v>
      </c>
      <c r="KL51" s="206">
        <f t="shared" si="300"/>
        <v>0</v>
      </c>
      <c r="KM51" s="206">
        <f t="shared" si="301"/>
        <v>0</v>
      </c>
      <c r="KN51" s="221">
        <f t="shared" si="302"/>
        <v>0</v>
      </c>
      <c r="KO51" s="221">
        <f t="shared" si="303"/>
        <v>0</v>
      </c>
      <c r="KP51" s="221">
        <f t="shared" si="304"/>
        <v>0</v>
      </c>
      <c r="KQ51" s="221">
        <f t="shared" si="305"/>
        <v>0</v>
      </c>
      <c r="KR51" s="221">
        <f t="shared" si="306"/>
        <v>0</v>
      </c>
      <c r="KT51" s="195">
        <f t="shared" si="307"/>
        <v>0</v>
      </c>
      <c r="KU51" s="221"/>
      <c r="KV51" s="221"/>
      <c r="KW51" s="221"/>
      <c r="KX51" s="221"/>
      <c r="KY51" s="221"/>
      <c r="KZ51" s="221"/>
      <c r="LA51" s="221"/>
      <c r="LB51" s="221"/>
      <c r="LC51" s="221"/>
      <c r="LD51" s="221"/>
      <c r="LE51" s="221"/>
      <c r="LF51" s="221"/>
      <c r="LG51" s="221"/>
      <c r="LH51" s="221"/>
      <c r="LI51" s="221"/>
      <c r="LJ51" s="221"/>
      <c r="LK51" s="221"/>
      <c r="LL51" s="221"/>
      <c r="LM51" s="221"/>
      <c r="LN51" s="221"/>
      <c r="LO51" s="221"/>
      <c r="LP51" s="221"/>
      <c r="LQ51" s="221"/>
      <c r="LR51" s="221"/>
      <c r="LS51" s="221"/>
      <c r="LT51" s="221"/>
      <c r="LU51" s="221"/>
      <c r="LV51" s="221"/>
      <c r="LW51" s="221"/>
      <c r="LX51" s="221"/>
      <c r="LY51" s="221"/>
      <c r="LZ51" s="221"/>
      <c r="MA51" s="221"/>
      <c r="MB51" s="221"/>
      <c r="MC51" s="221"/>
      <c r="MD51" s="221"/>
      <c r="ME51" s="221"/>
      <c r="MF51" s="221"/>
      <c r="MG51" s="221"/>
      <c r="MH51" s="221"/>
      <c r="MI51" s="221"/>
      <c r="MJ51" s="221"/>
      <c r="MK51" s="221"/>
      <c r="ML51" s="221"/>
      <c r="MM51" s="221"/>
      <c r="MN51" s="221"/>
      <c r="MO51" s="221"/>
      <c r="MP51" s="221"/>
      <c r="MQ51" s="221"/>
      <c r="MR51" s="221"/>
      <c r="MS51" s="221"/>
      <c r="MT51" s="221"/>
      <c r="MU51" s="221"/>
      <c r="MV51" s="221"/>
      <c r="MW51" s="221"/>
      <c r="MX51" s="221"/>
      <c r="MY51" s="221"/>
      <c r="MZ51" s="221"/>
      <c r="NA51" s="221"/>
      <c r="NB51" s="221"/>
      <c r="NC51" s="221"/>
      <c r="ND51" s="221"/>
      <c r="NE51" s="221"/>
      <c r="NF51" s="221"/>
      <c r="NG51" s="221"/>
      <c r="NH51" s="221"/>
      <c r="NI51" s="221"/>
      <c r="NJ51" s="221"/>
      <c r="NK51" s="221"/>
      <c r="NM51" s="195">
        <f t="shared" si="178"/>
        <v>0</v>
      </c>
      <c r="NN51" s="195">
        <f t="shared" si="179"/>
        <v>0</v>
      </c>
      <c r="NO51" s="195">
        <f t="shared" si="180"/>
        <v>0</v>
      </c>
      <c r="NP51" s="195">
        <f t="shared" si="181"/>
        <v>0</v>
      </c>
      <c r="NQ51" s="195">
        <f t="shared" si="182"/>
        <v>0</v>
      </c>
      <c r="NR51" s="195">
        <f t="shared" si="183"/>
        <v>0</v>
      </c>
      <c r="NS51" s="195">
        <f t="shared" si="184"/>
        <v>0</v>
      </c>
      <c r="NT51" s="195">
        <f t="shared" si="185"/>
        <v>0</v>
      </c>
      <c r="NU51" s="196">
        <f t="shared" si="186"/>
        <v>0</v>
      </c>
      <c r="NY51" s="215">
        <f t="shared" si="249"/>
        <v>1</v>
      </c>
      <c r="NZ51" s="222">
        <v>16000000</v>
      </c>
      <c r="OE51" s="207">
        <f t="shared" si="243"/>
        <v>0</v>
      </c>
      <c r="OF51" s="207">
        <f t="shared" si="244"/>
        <v>0</v>
      </c>
      <c r="OG51" s="207">
        <f t="shared" si="245"/>
        <v>0</v>
      </c>
      <c r="OH51" s="207">
        <f t="shared" si="188"/>
        <v>0</v>
      </c>
      <c r="OI51" s="207">
        <f t="shared" si="246"/>
        <v>0</v>
      </c>
      <c r="OJ51" s="199">
        <f t="shared" si="189"/>
        <v>0</v>
      </c>
      <c r="OK51" s="199">
        <f t="shared" si="190"/>
        <v>0</v>
      </c>
      <c r="OL51" s="199">
        <f t="shared" si="191"/>
        <v>0</v>
      </c>
      <c r="OM51" s="199">
        <f t="shared" si="192"/>
        <v>0</v>
      </c>
      <c r="OO51" s="207">
        <f t="shared" si="247"/>
        <v>0</v>
      </c>
      <c r="OP51" s="207">
        <f t="shared" si="248"/>
        <v>0</v>
      </c>
      <c r="OQ51" s="207">
        <f t="shared" si="193"/>
        <v>0</v>
      </c>
      <c r="OR51" s="207">
        <f t="shared" si="194"/>
        <v>0</v>
      </c>
      <c r="OS51" s="207">
        <f t="shared" si="195"/>
        <v>0</v>
      </c>
      <c r="OT51" s="199">
        <f t="shared" si="196"/>
        <v>0</v>
      </c>
      <c r="OU51" s="199">
        <f t="shared" si="197"/>
        <v>0</v>
      </c>
      <c r="OV51" s="199">
        <f t="shared" si="198"/>
        <v>0</v>
      </c>
      <c r="OW51" s="199">
        <f t="shared" si="199"/>
        <v>0</v>
      </c>
      <c r="OZ51" s="208">
        <f t="shared" si="91"/>
        <v>0</v>
      </c>
      <c r="PA51" s="209"/>
      <c r="PB51" s="209"/>
      <c r="PC51" s="209"/>
      <c r="PD51" s="210">
        <f t="shared" si="200"/>
        <v>0</v>
      </c>
      <c r="PE51" s="210"/>
      <c r="PF51" s="210">
        <f t="shared" si="201"/>
        <v>0</v>
      </c>
      <c r="PG51" s="210">
        <f t="shared" si="202"/>
        <v>0</v>
      </c>
      <c r="PH51" s="210">
        <f t="shared" si="92"/>
        <v>0</v>
      </c>
      <c r="PI51" s="210">
        <f t="shared" si="93"/>
        <v>0</v>
      </c>
      <c r="PJ51" s="210">
        <f t="shared" si="94"/>
        <v>0</v>
      </c>
      <c r="PK51" s="210">
        <f t="shared" si="95"/>
        <v>0</v>
      </c>
      <c r="PL51" s="210">
        <f t="shared" si="96"/>
        <v>0</v>
      </c>
      <c r="PM51" s="211"/>
      <c r="PN51" s="211"/>
      <c r="PO51" s="212">
        <f t="shared" si="203"/>
        <v>0</v>
      </c>
      <c r="PP51" s="212">
        <f t="shared" si="204"/>
        <v>0</v>
      </c>
      <c r="PQ51" s="212">
        <f t="shared" si="205"/>
        <v>0</v>
      </c>
      <c r="PR51" s="211"/>
      <c r="PS51" s="211"/>
      <c r="PT51" s="211"/>
      <c r="PU51" s="211"/>
    </row>
    <row r="52" spans="1:437 16383:16383" s="195" customFormat="1" ht="16" x14ac:dyDescent="0.2">
      <c r="A52" s="213">
        <f t="shared" si="206"/>
        <v>42</v>
      </c>
      <c r="B52" s="186" t="s">
        <v>62</v>
      </c>
      <c r="C52" s="186">
        <v>47</v>
      </c>
      <c r="D52" s="188">
        <v>1</v>
      </c>
      <c r="E52" s="188">
        <v>97</v>
      </c>
      <c r="F52" s="188">
        <v>1</v>
      </c>
      <c r="G52" s="188">
        <f t="shared" si="308"/>
        <v>97</v>
      </c>
      <c r="H52" s="214">
        <f t="shared" si="213"/>
        <v>1</v>
      </c>
      <c r="I52" s="214">
        <f t="shared" si="214"/>
        <v>1</v>
      </c>
      <c r="J52" s="188">
        <v>1</v>
      </c>
      <c r="K52" s="188">
        <f t="shared" si="215"/>
        <v>97</v>
      </c>
      <c r="L52" s="214">
        <f t="shared" si="216"/>
        <v>1</v>
      </c>
      <c r="M52" s="214">
        <f t="shared" si="217"/>
        <v>1</v>
      </c>
      <c r="N52" s="188">
        <v>1</v>
      </c>
      <c r="O52" s="188">
        <f t="shared" si="218"/>
        <v>97</v>
      </c>
      <c r="P52" s="214">
        <f t="shared" si="219"/>
        <v>1</v>
      </c>
      <c r="Q52" s="214">
        <f t="shared" si="220"/>
        <v>1</v>
      </c>
      <c r="R52" s="188">
        <v>1</v>
      </c>
      <c r="S52" s="188">
        <f t="shared" si="221"/>
        <v>97</v>
      </c>
      <c r="T52" s="214">
        <f t="shared" si="222"/>
        <v>1</v>
      </c>
      <c r="U52" s="214">
        <f t="shared" si="223"/>
        <v>1</v>
      </c>
      <c r="V52" s="215">
        <v>1</v>
      </c>
      <c r="W52" s="188">
        <f t="shared" si="224"/>
        <v>97</v>
      </c>
      <c r="X52" s="214">
        <f t="shared" si="225"/>
        <v>1</v>
      </c>
      <c r="Y52" s="214">
        <f t="shared" si="226"/>
        <v>1</v>
      </c>
      <c r="Z52" s="216">
        <f>2282473000/1000000000</f>
        <v>2.282473</v>
      </c>
      <c r="AA52" s="188">
        <v>0</v>
      </c>
      <c r="AB52" s="188">
        <f t="shared" si="112"/>
        <v>0</v>
      </c>
      <c r="AC52" s="214">
        <f t="shared" si="113"/>
        <v>0</v>
      </c>
      <c r="AD52" s="214">
        <f t="shared" si="114"/>
        <v>0</v>
      </c>
      <c r="AE52" s="188"/>
      <c r="AF52" s="188">
        <f t="shared" si="115"/>
        <v>0</v>
      </c>
      <c r="AG52" s="188"/>
      <c r="AH52" s="188"/>
      <c r="AI52" s="188">
        <v>1</v>
      </c>
      <c r="AJ52" s="188">
        <f t="shared" si="2"/>
        <v>97</v>
      </c>
      <c r="AK52" s="188" t="s">
        <v>304</v>
      </c>
      <c r="AL52" s="188">
        <v>0</v>
      </c>
      <c r="AM52" s="188">
        <v>0</v>
      </c>
      <c r="AN52" s="217"/>
      <c r="AO52" s="188">
        <f t="shared" si="207"/>
        <v>1</v>
      </c>
      <c r="AP52" s="188">
        <f t="shared" si="208"/>
        <v>97</v>
      </c>
      <c r="AQ52" s="188">
        <f t="shared" si="227"/>
        <v>1</v>
      </c>
      <c r="AR52" s="188">
        <f t="shared" si="228"/>
        <v>97</v>
      </c>
      <c r="AS52" s="188">
        <f t="shared" si="229"/>
        <v>1</v>
      </c>
      <c r="AT52" s="188">
        <f t="shared" si="230"/>
        <v>97</v>
      </c>
      <c r="AU52" s="188">
        <f t="shared" si="209"/>
        <v>1</v>
      </c>
      <c r="AV52" s="188">
        <f t="shared" si="210"/>
        <v>97</v>
      </c>
      <c r="AW52" s="188">
        <f t="shared" si="211"/>
        <v>1</v>
      </c>
      <c r="AX52" s="188">
        <f t="shared" si="212"/>
        <v>97</v>
      </c>
      <c r="AY52" s="188">
        <f t="shared" si="116"/>
        <v>0</v>
      </c>
      <c r="AZ52" s="188">
        <f t="shared" si="117"/>
        <v>0</v>
      </c>
      <c r="BA52" s="188">
        <f t="shared" si="14"/>
        <v>2.282473</v>
      </c>
      <c r="BB52" s="188">
        <f t="shared" si="15"/>
        <v>0</v>
      </c>
      <c r="BD52" s="196">
        <f t="shared" si="118"/>
        <v>0</v>
      </c>
      <c r="BE52" s="188">
        <f t="shared" si="231"/>
        <v>0</v>
      </c>
      <c r="BF52" s="188">
        <f t="shared" si="232"/>
        <v>0</v>
      </c>
      <c r="BG52" s="188">
        <f t="shared" si="233"/>
        <v>0</v>
      </c>
      <c r="BH52" s="188">
        <f t="shared" si="234"/>
        <v>0</v>
      </c>
      <c r="BI52" s="188">
        <f t="shared" si="235"/>
        <v>0</v>
      </c>
      <c r="BJ52" s="188">
        <f t="shared" si="236"/>
        <v>0</v>
      </c>
      <c r="BK52" s="188">
        <f t="shared" si="22"/>
        <v>0</v>
      </c>
      <c r="BN52" s="277">
        <v>1</v>
      </c>
      <c r="BO52" s="139">
        <v>1</v>
      </c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B52" s="188"/>
      <c r="CD52" s="188">
        <f t="shared" si="23"/>
        <v>1</v>
      </c>
      <c r="CE52" s="188">
        <f t="shared" si="24"/>
        <v>1</v>
      </c>
      <c r="CF52" s="188">
        <f t="shared" si="25"/>
        <v>0</v>
      </c>
      <c r="CG52" s="188">
        <f t="shared" si="26"/>
        <v>0</v>
      </c>
      <c r="CH52" s="188">
        <f t="shared" si="27"/>
        <v>0</v>
      </c>
      <c r="CI52" s="188">
        <f t="shared" si="28"/>
        <v>0</v>
      </c>
      <c r="CJ52" s="188">
        <f t="shared" si="29"/>
        <v>0</v>
      </c>
      <c r="CK52" s="188">
        <f t="shared" si="30"/>
        <v>0</v>
      </c>
      <c r="CL52" s="188">
        <f t="shared" si="31"/>
        <v>0</v>
      </c>
      <c r="CM52" s="188">
        <f t="shared" si="32"/>
        <v>0</v>
      </c>
      <c r="CN52" s="188">
        <f t="shared" si="33"/>
        <v>0</v>
      </c>
      <c r="CO52" s="188">
        <f t="shared" si="34"/>
        <v>0</v>
      </c>
      <c r="CP52" s="188">
        <f t="shared" si="35"/>
        <v>0</v>
      </c>
      <c r="DV52" s="188">
        <f t="shared" si="237"/>
        <v>0</v>
      </c>
      <c r="DW52" s="188">
        <f t="shared" si="238"/>
        <v>0</v>
      </c>
      <c r="DX52" s="188">
        <f t="shared" si="239"/>
        <v>0</v>
      </c>
      <c r="DY52" s="188">
        <f t="shared" si="240"/>
        <v>0</v>
      </c>
      <c r="DZ52" s="188">
        <f t="shared" si="241"/>
        <v>0</v>
      </c>
      <c r="EA52" s="188">
        <f t="shared" si="242"/>
        <v>0</v>
      </c>
      <c r="EB52" s="188">
        <f t="shared" si="42"/>
        <v>0</v>
      </c>
      <c r="EG52" s="220">
        <f t="shared" si="43"/>
        <v>0</v>
      </c>
      <c r="EH52" s="220">
        <f t="shared" si="44"/>
        <v>0</v>
      </c>
      <c r="EI52" s="188"/>
      <c r="EJ52" s="188"/>
      <c r="EK52" s="188"/>
      <c r="EL52" s="188"/>
      <c r="EM52" s="188"/>
      <c r="EN52" s="188"/>
      <c r="EO52" s="188"/>
      <c r="EP52" s="188"/>
      <c r="EQ52" s="188"/>
      <c r="ER52" s="188"/>
      <c r="ES52" s="188"/>
      <c r="ET52" s="188"/>
      <c r="EU52" s="188"/>
      <c r="EV52" s="188"/>
      <c r="EW52" s="188"/>
      <c r="EX52" s="188"/>
      <c r="EY52" s="188"/>
      <c r="EZ52" s="188"/>
      <c r="FA52" s="188"/>
      <c r="FB52" s="188"/>
      <c r="FC52" s="188"/>
      <c r="FD52" s="188"/>
      <c r="FE52" s="188"/>
      <c r="FF52" s="188"/>
      <c r="FH52" s="189"/>
      <c r="FI52" s="189"/>
      <c r="FJ52" s="189"/>
      <c r="FK52" s="189"/>
      <c r="FL52" s="189"/>
      <c r="FM52" s="189"/>
      <c r="FN52" s="189"/>
      <c r="FO52" s="189"/>
      <c r="FP52" s="189"/>
      <c r="FQ52" s="189"/>
      <c r="FR52" s="189"/>
      <c r="FS52" s="189"/>
      <c r="FT52" s="189"/>
      <c r="FU52" s="189"/>
      <c r="FV52" s="189"/>
      <c r="FX52" s="217">
        <v>1</v>
      </c>
      <c r="FY52" s="188">
        <f t="shared" si="45"/>
        <v>1</v>
      </c>
      <c r="FZ52" s="188">
        <f t="shared" si="250"/>
        <v>1</v>
      </c>
      <c r="GA52" s="188">
        <f t="shared" si="251"/>
        <v>0</v>
      </c>
      <c r="GB52" s="188">
        <f t="shared" si="252"/>
        <v>0</v>
      </c>
      <c r="GC52" s="188">
        <f t="shared" si="253"/>
        <v>0</v>
      </c>
      <c r="GD52" s="188">
        <f t="shared" si="254"/>
        <v>0</v>
      </c>
      <c r="GE52" s="188">
        <f t="shared" si="255"/>
        <v>0</v>
      </c>
      <c r="GF52" s="199"/>
      <c r="GG52" s="189">
        <v>0</v>
      </c>
      <c r="GH52" s="189">
        <v>0</v>
      </c>
      <c r="GI52" s="199"/>
      <c r="GJ52" s="200">
        <f t="shared" si="52"/>
        <v>0</v>
      </c>
      <c r="GK52" s="200">
        <f t="shared" si="53"/>
        <v>0</v>
      </c>
      <c r="GO52" s="189">
        <f t="shared" si="256"/>
        <v>0</v>
      </c>
      <c r="GP52" s="189">
        <f t="shared" si="257"/>
        <v>0</v>
      </c>
      <c r="GQ52" s="189">
        <f t="shared" si="258"/>
        <v>0</v>
      </c>
      <c r="GR52" s="189">
        <f t="shared" si="259"/>
        <v>0</v>
      </c>
      <c r="GS52" s="189">
        <f t="shared" si="260"/>
        <v>0</v>
      </c>
      <c r="GT52" s="189">
        <f t="shared" si="124"/>
        <v>1</v>
      </c>
      <c r="GU52" s="201">
        <f t="shared" si="125"/>
        <v>43243</v>
      </c>
      <c r="GV52" s="189" t="str">
        <f t="shared" si="126"/>
        <v>SELESAI</v>
      </c>
      <c r="GW52" s="189">
        <f t="shared" si="127"/>
        <v>0</v>
      </c>
      <c r="GX52" s="202" t="str">
        <f t="shared" si="128"/>
        <v>SELESAI</v>
      </c>
      <c r="GY52" s="202">
        <f t="shared" si="129"/>
        <v>0</v>
      </c>
      <c r="GZ52" s="203" t="str">
        <f t="shared" si="130"/>
        <v>SELESAI</v>
      </c>
      <c r="HA52" s="204"/>
      <c r="HB52" s="204"/>
      <c r="HC52" s="189">
        <f t="shared" si="261"/>
        <v>0</v>
      </c>
      <c r="HD52" s="189">
        <f t="shared" si="262"/>
        <v>0</v>
      </c>
      <c r="HE52" s="189">
        <f t="shared" si="133"/>
        <v>0</v>
      </c>
      <c r="HF52" s="189">
        <f t="shared" si="134"/>
        <v>0</v>
      </c>
      <c r="HG52" s="189">
        <f t="shared" si="135"/>
        <v>0</v>
      </c>
      <c r="HH52" s="201" t="str">
        <f t="shared" si="136"/>
        <v>TIDAK KONSINYASI</v>
      </c>
      <c r="HI52" s="201" t="str">
        <f t="shared" si="137"/>
        <v>SELESAI</v>
      </c>
      <c r="HJ52" s="205"/>
      <c r="HK52" s="201">
        <f t="shared" si="138"/>
        <v>0</v>
      </c>
      <c r="HL52" s="204"/>
      <c r="HM52" s="204"/>
      <c r="HN52" s="204"/>
      <c r="HO52" s="204"/>
      <c r="HP52" s="203">
        <f t="shared" si="139"/>
        <v>0</v>
      </c>
      <c r="HQ52" s="202">
        <f t="shared" si="140"/>
        <v>0</v>
      </c>
      <c r="HR52" s="202">
        <f t="shared" si="263"/>
        <v>0</v>
      </c>
      <c r="HS52" s="203">
        <f t="shared" si="142"/>
        <v>0</v>
      </c>
      <c r="HT52" s="202">
        <f t="shared" si="143"/>
        <v>0</v>
      </c>
      <c r="HU52" s="202">
        <f t="shared" si="264"/>
        <v>0</v>
      </c>
      <c r="HV52" s="203">
        <f t="shared" si="145"/>
        <v>0</v>
      </c>
      <c r="HW52" s="202">
        <f t="shared" si="146"/>
        <v>0</v>
      </c>
      <c r="HX52" s="202">
        <f t="shared" si="265"/>
        <v>0</v>
      </c>
      <c r="HY52" s="203">
        <f t="shared" si="148"/>
        <v>0</v>
      </c>
      <c r="HZ52" s="202">
        <f t="shared" si="149"/>
        <v>0</v>
      </c>
      <c r="IA52" s="202">
        <f t="shared" si="266"/>
        <v>0</v>
      </c>
      <c r="IB52" s="203">
        <f t="shared" si="151"/>
        <v>0</v>
      </c>
      <c r="IC52" s="202">
        <f t="shared" si="152"/>
        <v>0</v>
      </c>
      <c r="ID52" s="202">
        <f t="shared" si="267"/>
        <v>0</v>
      </c>
      <c r="IE52" s="203">
        <f t="shared" si="154"/>
        <v>0</v>
      </c>
      <c r="IF52" s="202">
        <f t="shared" si="155"/>
        <v>0</v>
      </c>
      <c r="IG52" s="202">
        <f t="shared" si="268"/>
        <v>0</v>
      </c>
      <c r="IH52" s="203">
        <f t="shared" si="157"/>
        <v>0</v>
      </c>
      <c r="II52" s="202">
        <f t="shared" si="158"/>
        <v>0</v>
      </c>
      <c r="IJ52" s="202">
        <f t="shared" si="269"/>
        <v>0</v>
      </c>
      <c r="IK52" s="203">
        <f t="shared" si="160"/>
        <v>0</v>
      </c>
      <c r="IL52" s="202">
        <f t="shared" si="161"/>
        <v>0</v>
      </c>
      <c r="IM52" s="202">
        <f t="shared" si="270"/>
        <v>0</v>
      </c>
      <c r="IN52" s="204"/>
      <c r="IO52" s="203">
        <f t="shared" si="163"/>
        <v>0</v>
      </c>
      <c r="IP52" s="202">
        <f t="shared" si="271"/>
        <v>0</v>
      </c>
      <c r="IQ52" s="202">
        <f t="shared" si="272"/>
        <v>0</v>
      </c>
      <c r="IR52" s="204"/>
      <c r="IS52" s="203"/>
      <c r="IT52" s="202">
        <f t="shared" si="273"/>
        <v>1</v>
      </c>
      <c r="IU52" s="202">
        <f t="shared" si="274"/>
        <v>97</v>
      </c>
      <c r="IV52" s="204"/>
      <c r="IW52" s="203"/>
      <c r="IX52" s="202">
        <f t="shared" si="275"/>
        <v>0</v>
      </c>
      <c r="IY52" s="202">
        <f t="shared" si="276"/>
        <v>0</v>
      </c>
      <c r="IZ52" s="204"/>
      <c r="JA52" s="203"/>
      <c r="JB52" s="202">
        <f t="shared" si="277"/>
        <v>0</v>
      </c>
      <c r="JC52" s="202">
        <f t="shared" si="278"/>
        <v>0</v>
      </c>
      <c r="JD52" s="204"/>
      <c r="JE52" s="203"/>
      <c r="JF52" s="202">
        <f t="shared" si="172"/>
        <v>1</v>
      </c>
      <c r="JG52" s="202">
        <f t="shared" si="173"/>
        <v>97</v>
      </c>
      <c r="JH52" s="204"/>
      <c r="JI52" s="203"/>
      <c r="JJ52" s="202">
        <f t="shared" si="279"/>
        <v>0</v>
      </c>
      <c r="JK52" s="202">
        <f t="shared" si="280"/>
        <v>0</v>
      </c>
      <c r="JM52" s="203">
        <f t="shared" si="176"/>
        <v>0</v>
      </c>
      <c r="JO52" s="196">
        <f t="shared" si="54"/>
        <v>1</v>
      </c>
      <c r="JP52" s="189">
        <f t="shared" si="281"/>
        <v>1</v>
      </c>
      <c r="JQ52" s="189">
        <f t="shared" si="282"/>
        <v>1</v>
      </c>
      <c r="JR52" s="189">
        <f t="shared" si="283"/>
        <v>0</v>
      </c>
      <c r="JS52" s="189">
        <f t="shared" si="284"/>
        <v>0</v>
      </c>
      <c r="JT52" s="189">
        <f t="shared" si="285"/>
        <v>0</v>
      </c>
      <c r="JU52" s="189">
        <f t="shared" si="286"/>
        <v>0</v>
      </c>
      <c r="JV52" s="189">
        <f t="shared" si="287"/>
        <v>0</v>
      </c>
      <c r="JW52" s="189">
        <f t="shared" si="288"/>
        <v>0</v>
      </c>
      <c r="JX52" s="189">
        <f t="shared" si="289"/>
        <v>0</v>
      </c>
      <c r="JY52" s="189">
        <f t="shared" si="290"/>
        <v>0</v>
      </c>
      <c r="JZ52" s="189">
        <f t="shared" si="291"/>
        <v>0</v>
      </c>
      <c r="KA52" s="189">
        <f t="shared" si="292"/>
        <v>0</v>
      </c>
      <c r="KB52" s="189">
        <f t="shared" si="293"/>
        <v>0</v>
      </c>
      <c r="KD52" s="206">
        <f t="shared" si="177"/>
        <v>0</v>
      </c>
      <c r="KE52" s="206">
        <f t="shared" si="69"/>
        <v>0</v>
      </c>
      <c r="KF52" s="206">
        <f t="shared" si="294"/>
        <v>1</v>
      </c>
      <c r="KG52" s="206">
        <f t="shared" si="295"/>
        <v>1</v>
      </c>
      <c r="KH52" s="206">
        <f t="shared" si="296"/>
        <v>0</v>
      </c>
      <c r="KI52" s="206">
        <f t="shared" si="297"/>
        <v>0</v>
      </c>
      <c r="KJ52" s="206">
        <f t="shared" si="298"/>
        <v>0</v>
      </c>
      <c r="KK52" s="206">
        <f t="shared" si="299"/>
        <v>0</v>
      </c>
      <c r="KL52" s="206">
        <f t="shared" si="300"/>
        <v>0</v>
      </c>
      <c r="KM52" s="206">
        <f t="shared" si="301"/>
        <v>0</v>
      </c>
      <c r="KN52" s="221">
        <f t="shared" si="302"/>
        <v>0</v>
      </c>
      <c r="KO52" s="221">
        <f t="shared" si="303"/>
        <v>0</v>
      </c>
      <c r="KP52" s="221">
        <f t="shared" si="304"/>
        <v>0</v>
      </c>
      <c r="KQ52" s="221">
        <f t="shared" si="305"/>
        <v>0</v>
      </c>
      <c r="KR52" s="221">
        <f t="shared" si="306"/>
        <v>0</v>
      </c>
      <c r="KT52" s="195">
        <f t="shared" si="307"/>
        <v>0</v>
      </c>
      <c r="KU52" s="221"/>
      <c r="KV52" s="221"/>
      <c r="KW52" s="221"/>
      <c r="KX52" s="221"/>
      <c r="KY52" s="221"/>
      <c r="KZ52" s="221"/>
      <c r="LA52" s="221"/>
      <c r="LB52" s="221"/>
      <c r="LC52" s="221"/>
      <c r="LD52" s="221"/>
      <c r="LE52" s="221"/>
      <c r="LF52" s="221"/>
      <c r="LG52" s="221"/>
      <c r="LH52" s="221"/>
      <c r="LI52" s="221"/>
      <c r="LJ52" s="221"/>
      <c r="LK52" s="221"/>
      <c r="LL52" s="221"/>
      <c r="LM52" s="221"/>
      <c r="LN52" s="221"/>
      <c r="LO52" s="221"/>
      <c r="LP52" s="221"/>
      <c r="LQ52" s="221"/>
      <c r="LR52" s="221"/>
      <c r="LS52" s="221"/>
      <c r="LT52" s="221"/>
      <c r="LU52" s="221"/>
      <c r="LV52" s="221"/>
      <c r="LW52" s="221"/>
      <c r="LX52" s="221"/>
      <c r="LY52" s="221"/>
      <c r="LZ52" s="221"/>
      <c r="MA52" s="221"/>
      <c r="MB52" s="221"/>
      <c r="MC52" s="221"/>
      <c r="MD52" s="221"/>
      <c r="ME52" s="221"/>
      <c r="MF52" s="221"/>
      <c r="MG52" s="221"/>
      <c r="MH52" s="221"/>
      <c r="MI52" s="221"/>
      <c r="MJ52" s="221"/>
      <c r="MK52" s="221"/>
      <c r="ML52" s="221"/>
      <c r="MM52" s="221"/>
      <c r="MN52" s="221"/>
      <c r="MO52" s="221"/>
      <c r="MP52" s="221"/>
      <c r="MQ52" s="221"/>
      <c r="MR52" s="221"/>
      <c r="MS52" s="221"/>
      <c r="MT52" s="221"/>
      <c r="MU52" s="221"/>
      <c r="MV52" s="221"/>
      <c r="MW52" s="221"/>
      <c r="MX52" s="221"/>
      <c r="MY52" s="221"/>
      <c r="MZ52" s="221"/>
      <c r="NA52" s="221"/>
      <c r="NB52" s="221"/>
      <c r="NC52" s="221"/>
      <c r="ND52" s="221"/>
      <c r="NE52" s="221"/>
      <c r="NF52" s="221"/>
      <c r="NG52" s="221"/>
      <c r="NH52" s="221"/>
      <c r="NI52" s="221"/>
      <c r="NJ52" s="221"/>
      <c r="NK52" s="221"/>
      <c r="NM52" s="195">
        <f t="shared" si="178"/>
        <v>0</v>
      </c>
      <c r="NN52" s="195">
        <f t="shared" si="179"/>
        <v>0</v>
      </c>
      <c r="NO52" s="195">
        <f t="shared" si="180"/>
        <v>0</v>
      </c>
      <c r="NP52" s="195">
        <f t="shared" si="181"/>
        <v>0</v>
      </c>
      <c r="NQ52" s="195">
        <f t="shared" si="182"/>
        <v>0</v>
      </c>
      <c r="NR52" s="195">
        <f t="shared" si="183"/>
        <v>0</v>
      </c>
      <c r="NS52" s="195">
        <f t="shared" si="184"/>
        <v>0</v>
      </c>
      <c r="NT52" s="195">
        <f t="shared" si="185"/>
        <v>0</v>
      </c>
      <c r="NU52" s="196">
        <f t="shared" si="186"/>
        <v>0</v>
      </c>
      <c r="NY52" s="215">
        <f t="shared" si="249"/>
        <v>1</v>
      </c>
      <c r="NZ52" s="222">
        <v>16000000</v>
      </c>
      <c r="OE52" s="207">
        <f t="shared" si="243"/>
        <v>0</v>
      </c>
      <c r="OF52" s="207">
        <f t="shared" si="244"/>
        <v>0</v>
      </c>
      <c r="OG52" s="207">
        <f t="shared" si="245"/>
        <v>0</v>
      </c>
      <c r="OH52" s="207">
        <f t="shared" si="188"/>
        <v>0</v>
      </c>
      <c r="OI52" s="207">
        <f t="shared" si="246"/>
        <v>0</v>
      </c>
      <c r="OJ52" s="199">
        <f t="shared" si="189"/>
        <v>0</v>
      </c>
      <c r="OK52" s="199">
        <f t="shared" si="190"/>
        <v>0</v>
      </c>
      <c r="OL52" s="199">
        <f t="shared" si="191"/>
        <v>0</v>
      </c>
      <c r="OM52" s="199">
        <f t="shared" si="192"/>
        <v>0</v>
      </c>
      <c r="OO52" s="207">
        <f t="shared" si="247"/>
        <v>0</v>
      </c>
      <c r="OP52" s="207">
        <f t="shared" si="248"/>
        <v>0</v>
      </c>
      <c r="OQ52" s="207">
        <f t="shared" si="193"/>
        <v>0</v>
      </c>
      <c r="OR52" s="207">
        <f t="shared" si="194"/>
        <v>0</v>
      </c>
      <c r="OS52" s="207">
        <f t="shared" si="195"/>
        <v>0</v>
      </c>
      <c r="OT52" s="199">
        <f t="shared" si="196"/>
        <v>0</v>
      </c>
      <c r="OU52" s="199">
        <f t="shared" si="197"/>
        <v>0</v>
      </c>
      <c r="OV52" s="199">
        <f t="shared" si="198"/>
        <v>0</v>
      </c>
      <c r="OW52" s="199">
        <f t="shared" si="199"/>
        <v>0</v>
      </c>
      <c r="OZ52" s="208">
        <f t="shared" si="91"/>
        <v>0</v>
      </c>
      <c r="PA52" s="209"/>
      <c r="PB52" s="209"/>
      <c r="PC52" s="209"/>
      <c r="PD52" s="210">
        <f t="shared" si="200"/>
        <v>0</v>
      </c>
      <c r="PE52" s="210"/>
      <c r="PF52" s="210">
        <f t="shared" si="201"/>
        <v>0</v>
      </c>
      <c r="PG52" s="210">
        <f t="shared" si="202"/>
        <v>0</v>
      </c>
      <c r="PH52" s="210">
        <f t="shared" si="92"/>
        <v>0</v>
      </c>
      <c r="PI52" s="210">
        <f t="shared" si="93"/>
        <v>0</v>
      </c>
      <c r="PJ52" s="210">
        <f t="shared" si="94"/>
        <v>0</v>
      </c>
      <c r="PK52" s="210">
        <f t="shared" si="95"/>
        <v>0</v>
      </c>
      <c r="PL52" s="210">
        <f t="shared" si="96"/>
        <v>0</v>
      </c>
      <c r="PM52" s="211"/>
      <c r="PN52" s="211"/>
      <c r="PO52" s="212">
        <f t="shared" si="203"/>
        <v>0</v>
      </c>
      <c r="PP52" s="212">
        <f t="shared" si="204"/>
        <v>0</v>
      </c>
      <c r="PQ52" s="212">
        <f t="shared" si="205"/>
        <v>0</v>
      </c>
      <c r="PR52" s="211"/>
      <c r="PS52" s="211"/>
      <c r="PT52" s="211"/>
      <c r="PU52" s="211"/>
    </row>
    <row r="53" spans="1:437 16383:16383" s="195" customFormat="1" ht="16" x14ac:dyDescent="0.2">
      <c r="A53" s="213">
        <f t="shared" si="206"/>
        <v>43</v>
      </c>
      <c r="B53" s="186" t="s">
        <v>63</v>
      </c>
      <c r="C53" s="186">
        <v>48</v>
      </c>
      <c r="D53" s="188">
        <v>1</v>
      </c>
      <c r="E53" s="188">
        <v>100</v>
      </c>
      <c r="F53" s="188">
        <v>1</v>
      </c>
      <c r="G53" s="188">
        <f t="shared" si="308"/>
        <v>100</v>
      </c>
      <c r="H53" s="214">
        <f t="shared" si="213"/>
        <v>1</v>
      </c>
      <c r="I53" s="214">
        <f t="shared" si="214"/>
        <v>1</v>
      </c>
      <c r="J53" s="188">
        <v>1</v>
      </c>
      <c r="K53" s="188">
        <f t="shared" si="215"/>
        <v>100</v>
      </c>
      <c r="L53" s="214">
        <f t="shared" si="216"/>
        <v>1</v>
      </c>
      <c r="M53" s="214">
        <f t="shared" si="217"/>
        <v>1</v>
      </c>
      <c r="N53" s="188">
        <v>1</v>
      </c>
      <c r="O53" s="188">
        <f t="shared" si="218"/>
        <v>100</v>
      </c>
      <c r="P53" s="214">
        <f t="shared" si="219"/>
        <v>1</v>
      </c>
      <c r="Q53" s="214">
        <f t="shared" si="220"/>
        <v>1</v>
      </c>
      <c r="R53" s="188">
        <v>1</v>
      </c>
      <c r="S53" s="188">
        <f t="shared" si="221"/>
        <v>100</v>
      </c>
      <c r="T53" s="214">
        <f t="shared" si="222"/>
        <v>1</v>
      </c>
      <c r="U53" s="214">
        <f t="shared" si="223"/>
        <v>1</v>
      </c>
      <c r="V53" s="215">
        <v>1</v>
      </c>
      <c r="W53" s="188">
        <f t="shared" si="224"/>
        <v>100</v>
      </c>
      <c r="X53" s="214">
        <f t="shared" si="225"/>
        <v>1</v>
      </c>
      <c r="Y53" s="214">
        <f t="shared" si="226"/>
        <v>1</v>
      </c>
      <c r="Z53" s="216">
        <f>2368012000/1000000000</f>
        <v>2.3680119999999998</v>
      </c>
      <c r="AA53" s="188">
        <v>0</v>
      </c>
      <c r="AB53" s="188">
        <f t="shared" si="112"/>
        <v>0</v>
      </c>
      <c r="AC53" s="214">
        <f t="shared" si="113"/>
        <v>0</v>
      </c>
      <c r="AD53" s="214">
        <f t="shared" si="114"/>
        <v>0</v>
      </c>
      <c r="AE53" s="188"/>
      <c r="AF53" s="188">
        <f t="shared" si="115"/>
        <v>0</v>
      </c>
      <c r="AG53" s="188"/>
      <c r="AH53" s="188"/>
      <c r="AI53" s="188">
        <v>1</v>
      </c>
      <c r="AJ53" s="188">
        <f t="shared" si="2"/>
        <v>100</v>
      </c>
      <c r="AK53" s="188" t="s">
        <v>304</v>
      </c>
      <c r="AL53" s="188">
        <v>0</v>
      </c>
      <c r="AM53" s="188">
        <v>0</v>
      </c>
      <c r="AN53" s="217"/>
      <c r="AO53" s="188">
        <f t="shared" si="207"/>
        <v>1</v>
      </c>
      <c r="AP53" s="188">
        <f t="shared" si="208"/>
        <v>100</v>
      </c>
      <c r="AQ53" s="188">
        <f t="shared" si="227"/>
        <v>1</v>
      </c>
      <c r="AR53" s="188">
        <f t="shared" si="228"/>
        <v>100</v>
      </c>
      <c r="AS53" s="188">
        <f t="shared" si="229"/>
        <v>1</v>
      </c>
      <c r="AT53" s="188">
        <f t="shared" si="230"/>
        <v>100</v>
      </c>
      <c r="AU53" s="188">
        <f t="shared" si="209"/>
        <v>1</v>
      </c>
      <c r="AV53" s="188">
        <f t="shared" si="210"/>
        <v>100</v>
      </c>
      <c r="AW53" s="188">
        <f t="shared" si="211"/>
        <v>1</v>
      </c>
      <c r="AX53" s="188">
        <f t="shared" si="212"/>
        <v>100</v>
      </c>
      <c r="AY53" s="188">
        <f t="shared" si="116"/>
        <v>0</v>
      </c>
      <c r="AZ53" s="188">
        <f t="shared" si="117"/>
        <v>0</v>
      </c>
      <c r="BA53" s="188">
        <f t="shared" si="14"/>
        <v>2.3680119999999998</v>
      </c>
      <c r="BB53" s="188">
        <f t="shared" si="15"/>
        <v>0</v>
      </c>
      <c r="BD53" s="196">
        <f t="shared" si="118"/>
        <v>0</v>
      </c>
      <c r="BE53" s="188">
        <f t="shared" si="231"/>
        <v>0</v>
      </c>
      <c r="BF53" s="188">
        <f t="shared" si="232"/>
        <v>0</v>
      </c>
      <c r="BG53" s="188">
        <f t="shared" si="233"/>
        <v>0</v>
      </c>
      <c r="BH53" s="188">
        <f t="shared" si="234"/>
        <v>0</v>
      </c>
      <c r="BI53" s="188">
        <f t="shared" si="235"/>
        <v>0</v>
      </c>
      <c r="BJ53" s="188">
        <f t="shared" si="236"/>
        <v>0</v>
      </c>
      <c r="BK53" s="188">
        <f t="shared" si="22"/>
        <v>0</v>
      </c>
      <c r="BN53" s="279">
        <v>2</v>
      </c>
      <c r="BO53" s="139">
        <v>1</v>
      </c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B53" s="188"/>
      <c r="CD53" s="188">
        <f t="shared" si="23"/>
        <v>2</v>
      </c>
      <c r="CE53" s="188">
        <f t="shared" si="24"/>
        <v>2</v>
      </c>
      <c r="CF53" s="188">
        <f t="shared" si="25"/>
        <v>0</v>
      </c>
      <c r="CG53" s="188">
        <f t="shared" si="26"/>
        <v>0</v>
      </c>
      <c r="CH53" s="188">
        <f t="shared" si="27"/>
        <v>0</v>
      </c>
      <c r="CI53" s="188">
        <f t="shared" si="28"/>
        <v>0</v>
      </c>
      <c r="CJ53" s="188">
        <f t="shared" si="29"/>
        <v>0</v>
      </c>
      <c r="CK53" s="188">
        <f t="shared" si="30"/>
        <v>0</v>
      </c>
      <c r="CL53" s="188">
        <f t="shared" si="31"/>
        <v>0</v>
      </c>
      <c r="CM53" s="188">
        <f t="shared" si="32"/>
        <v>0</v>
      </c>
      <c r="CN53" s="188">
        <f t="shared" si="33"/>
        <v>0</v>
      </c>
      <c r="CO53" s="188">
        <f t="shared" si="34"/>
        <v>0</v>
      </c>
      <c r="CP53" s="188">
        <f t="shared" si="35"/>
        <v>0</v>
      </c>
      <c r="DV53" s="188">
        <f t="shared" si="237"/>
        <v>0</v>
      </c>
      <c r="DW53" s="188">
        <f t="shared" si="238"/>
        <v>0</v>
      </c>
      <c r="DX53" s="188">
        <f t="shared" si="239"/>
        <v>0</v>
      </c>
      <c r="DY53" s="188">
        <f t="shared" si="240"/>
        <v>0</v>
      </c>
      <c r="DZ53" s="188">
        <f t="shared" si="241"/>
        <v>0</v>
      </c>
      <c r="EA53" s="188">
        <f t="shared" si="242"/>
        <v>0</v>
      </c>
      <c r="EB53" s="188">
        <f t="shared" si="42"/>
        <v>0</v>
      </c>
      <c r="EG53" s="220">
        <f t="shared" si="43"/>
        <v>0</v>
      </c>
      <c r="EH53" s="220">
        <f t="shared" si="44"/>
        <v>0</v>
      </c>
      <c r="EI53" s="188"/>
      <c r="EJ53" s="188"/>
      <c r="EK53" s="188"/>
      <c r="EL53" s="188"/>
      <c r="EM53" s="188"/>
      <c r="EN53" s="188"/>
      <c r="EO53" s="188"/>
      <c r="EP53" s="188"/>
      <c r="EQ53" s="188"/>
      <c r="ER53" s="188"/>
      <c r="ES53" s="188"/>
      <c r="ET53" s="188"/>
      <c r="EU53" s="188"/>
      <c r="EV53" s="188"/>
      <c r="EW53" s="188"/>
      <c r="EX53" s="188"/>
      <c r="EY53" s="188"/>
      <c r="EZ53" s="188"/>
      <c r="FA53" s="188"/>
      <c r="FB53" s="188"/>
      <c r="FC53" s="188"/>
      <c r="FD53" s="188"/>
      <c r="FE53" s="188"/>
      <c r="FF53" s="188"/>
      <c r="FH53" s="189"/>
      <c r="FI53" s="189"/>
      <c r="FJ53" s="189"/>
      <c r="FK53" s="189"/>
      <c r="FL53" s="189"/>
      <c r="FM53" s="189"/>
      <c r="FN53" s="189"/>
      <c r="FO53" s="189"/>
      <c r="FP53" s="189"/>
      <c r="FQ53" s="189"/>
      <c r="FR53" s="189"/>
      <c r="FS53" s="189"/>
      <c r="FT53" s="189"/>
      <c r="FU53" s="189"/>
      <c r="FV53" s="189"/>
      <c r="FX53" s="217">
        <v>1</v>
      </c>
      <c r="FY53" s="188">
        <f t="shared" si="45"/>
        <v>2</v>
      </c>
      <c r="FZ53" s="188">
        <f t="shared" si="250"/>
        <v>2</v>
      </c>
      <c r="GA53" s="188">
        <f t="shared" si="251"/>
        <v>0</v>
      </c>
      <c r="GB53" s="188">
        <f t="shared" si="252"/>
        <v>0</v>
      </c>
      <c r="GC53" s="188">
        <f t="shared" si="253"/>
        <v>0</v>
      </c>
      <c r="GD53" s="188">
        <f t="shared" si="254"/>
        <v>0</v>
      </c>
      <c r="GE53" s="188">
        <f t="shared" si="255"/>
        <v>0</v>
      </c>
      <c r="GF53" s="199"/>
      <c r="GG53" s="189">
        <v>0</v>
      </c>
      <c r="GH53" s="189">
        <v>0</v>
      </c>
      <c r="GI53" s="199"/>
      <c r="GJ53" s="200">
        <f t="shared" si="52"/>
        <v>0</v>
      </c>
      <c r="GK53" s="200">
        <f t="shared" si="53"/>
        <v>0</v>
      </c>
      <c r="GO53" s="189">
        <f t="shared" si="256"/>
        <v>0</v>
      </c>
      <c r="GP53" s="189">
        <f t="shared" si="257"/>
        <v>0</v>
      </c>
      <c r="GQ53" s="189">
        <f t="shared" si="258"/>
        <v>0</v>
      </c>
      <c r="GR53" s="189">
        <f t="shared" si="259"/>
        <v>0</v>
      </c>
      <c r="GS53" s="189">
        <f t="shared" si="260"/>
        <v>0</v>
      </c>
      <c r="GT53" s="189">
        <f t="shared" si="124"/>
        <v>1</v>
      </c>
      <c r="GU53" s="201">
        <f t="shared" si="125"/>
        <v>43243</v>
      </c>
      <c r="GV53" s="189" t="str">
        <f t="shared" si="126"/>
        <v>SELESAI</v>
      </c>
      <c r="GW53" s="189">
        <f t="shared" si="127"/>
        <v>0</v>
      </c>
      <c r="GX53" s="202" t="str">
        <f t="shared" si="128"/>
        <v>SELESAI</v>
      </c>
      <c r="GY53" s="202">
        <f t="shared" si="129"/>
        <v>0</v>
      </c>
      <c r="GZ53" s="203" t="str">
        <f t="shared" si="130"/>
        <v>SELESAI</v>
      </c>
      <c r="HA53" s="204"/>
      <c r="HB53" s="204"/>
      <c r="HC53" s="189">
        <f t="shared" si="261"/>
        <v>0</v>
      </c>
      <c r="HD53" s="189">
        <f t="shared" si="262"/>
        <v>0</v>
      </c>
      <c r="HE53" s="189">
        <f t="shared" si="133"/>
        <v>0</v>
      </c>
      <c r="HF53" s="189">
        <f t="shared" si="134"/>
        <v>0</v>
      </c>
      <c r="HG53" s="189">
        <f t="shared" si="135"/>
        <v>0</v>
      </c>
      <c r="HH53" s="201" t="str">
        <f t="shared" si="136"/>
        <v>TIDAK KONSINYASI</v>
      </c>
      <c r="HI53" s="201" t="str">
        <f t="shared" si="137"/>
        <v>SELESAI</v>
      </c>
      <c r="HJ53" s="205"/>
      <c r="HK53" s="201">
        <f t="shared" si="138"/>
        <v>0</v>
      </c>
      <c r="HL53" s="204"/>
      <c r="HM53" s="204"/>
      <c r="HN53" s="204"/>
      <c r="HO53" s="204"/>
      <c r="HP53" s="203">
        <f t="shared" si="139"/>
        <v>0</v>
      </c>
      <c r="HQ53" s="202">
        <f t="shared" si="140"/>
        <v>0</v>
      </c>
      <c r="HR53" s="202">
        <f t="shared" si="263"/>
        <v>0</v>
      </c>
      <c r="HS53" s="203">
        <f t="shared" si="142"/>
        <v>0</v>
      </c>
      <c r="HT53" s="202">
        <f t="shared" si="143"/>
        <v>0</v>
      </c>
      <c r="HU53" s="202">
        <f t="shared" si="264"/>
        <v>0</v>
      </c>
      <c r="HV53" s="203">
        <f t="shared" si="145"/>
        <v>0</v>
      </c>
      <c r="HW53" s="202">
        <f t="shared" si="146"/>
        <v>0</v>
      </c>
      <c r="HX53" s="202">
        <f t="shared" si="265"/>
        <v>0</v>
      </c>
      <c r="HY53" s="203">
        <f t="shared" si="148"/>
        <v>0</v>
      </c>
      <c r="HZ53" s="202">
        <f t="shared" si="149"/>
        <v>0</v>
      </c>
      <c r="IA53" s="202">
        <f t="shared" si="266"/>
        <v>0</v>
      </c>
      <c r="IB53" s="203">
        <f t="shared" si="151"/>
        <v>0</v>
      </c>
      <c r="IC53" s="202">
        <f t="shared" si="152"/>
        <v>0</v>
      </c>
      <c r="ID53" s="202">
        <f t="shared" si="267"/>
        <v>0</v>
      </c>
      <c r="IE53" s="203">
        <f t="shared" si="154"/>
        <v>0</v>
      </c>
      <c r="IF53" s="202">
        <f t="shared" si="155"/>
        <v>0</v>
      </c>
      <c r="IG53" s="202">
        <f t="shared" si="268"/>
        <v>0</v>
      </c>
      <c r="IH53" s="203">
        <f t="shared" si="157"/>
        <v>0</v>
      </c>
      <c r="II53" s="202">
        <f t="shared" si="158"/>
        <v>0</v>
      </c>
      <c r="IJ53" s="202">
        <f t="shared" si="269"/>
        <v>0</v>
      </c>
      <c r="IK53" s="203">
        <f t="shared" si="160"/>
        <v>0</v>
      </c>
      <c r="IL53" s="202">
        <f t="shared" si="161"/>
        <v>0</v>
      </c>
      <c r="IM53" s="202">
        <f t="shared" si="270"/>
        <v>0</v>
      </c>
      <c r="IN53" s="204"/>
      <c r="IO53" s="203">
        <f t="shared" si="163"/>
        <v>0</v>
      </c>
      <c r="IP53" s="202">
        <f t="shared" si="271"/>
        <v>0</v>
      </c>
      <c r="IQ53" s="202">
        <f t="shared" si="272"/>
        <v>0</v>
      </c>
      <c r="IR53" s="204"/>
      <c r="IS53" s="203"/>
      <c r="IT53" s="202">
        <f t="shared" si="273"/>
        <v>1</v>
      </c>
      <c r="IU53" s="202">
        <f t="shared" si="274"/>
        <v>100</v>
      </c>
      <c r="IV53" s="204"/>
      <c r="IW53" s="203"/>
      <c r="IX53" s="202">
        <f t="shared" si="275"/>
        <v>0</v>
      </c>
      <c r="IY53" s="202">
        <f t="shared" si="276"/>
        <v>0</v>
      </c>
      <c r="IZ53" s="204"/>
      <c r="JA53" s="203"/>
      <c r="JB53" s="202">
        <f t="shared" si="277"/>
        <v>0</v>
      </c>
      <c r="JC53" s="202">
        <f t="shared" si="278"/>
        <v>0</v>
      </c>
      <c r="JD53" s="204"/>
      <c r="JE53" s="203"/>
      <c r="JF53" s="202">
        <f t="shared" si="172"/>
        <v>1</v>
      </c>
      <c r="JG53" s="202">
        <f t="shared" si="173"/>
        <v>100</v>
      </c>
      <c r="JH53" s="204"/>
      <c r="JI53" s="203"/>
      <c r="JJ53" s="202">
        <f t="shared" si="279"/>
        <v>0</v>
      </c>
      <c r="JK53" s="202">
        <f t="shared" si="280"/>
        <v>0</v>
      </c>
      <c r="JM53" s="203">
        <f t="shared" si="176"/>
        <v>0</v>
      </c>
      <c r="JO53" s="196">
        <f t="shared" si="54"/>
        <v>1</v>
      </c>
      <c r="JP53" s="189">
        <f t="shared" si="281"/>
        <v>2</v>
      </c>
      <c r="JQ53" s="189">
        <f t="shared" si="282"/>
        <v>1</v>
      </c>
      <c r="JR53" s="189">
        <f t="shared" si="283"/>
        <v>0</v>
      </c>
      <c r="JS53" s="189">
        <f t="shared" si="284"/>
        <v>0</v>
      </c>
      <c r="JT53" s="189">
        <f t="shared" si="285"/>
        <v>0</v>
      </c>
      <c r="JU53" s="189">
        <f t="shared" si="286"/>
        <v>0</v>
      </c>
      <c r="JV53" s="189">
        <f t="shared" si="287"/>
        <v>0</v>
      </c>
      <c r="JW53" s="189">
        <f t="shared" si="288"/>
        <v>0</v>
      </c>
      <c r="JX53" s="189">
        <f t="shared" si="289"/>
        <v>0</v>
      </c>
      <c r="JY53" s="189">
        <f t="shared" si="290"/>
        <v>0</v>
      </c>
      <c r="JZ53" s="189">
        <f t="shared" si="291"/>
        <v>0</v>
      </c>
      <c r="KA53" s="189">
        <f t="shared" si="292"/>
        <v>0</v>
      </c>
      <c r="KB53" s="189">
        <f t="shared" si="293"/>
        <v>0</v>
      </c>
      <c r="KD53" s="206">
        <f t="shared" si="177"/>
        <v>0</v>
      </c>
      <c r="KE53" s="206">
        <f t="shared" si="69"/>
        <v>0</v>
      </c>
      <c r="KF53" s="206">
        <f t="shared" si="294"/>
        <v>2</v>
      </c>
      <c r="KG53" s="206">
        <f t="shared" si="295"/>
        <v>2</v>
      </c>
      <c r="KH53" s="206">
        <f t="shared" si="296"/>
        <v>0</v>
      </c>
      <c r="KI53" s="206">
        <f t="shared" si="297"/>
        <v>0</v>
      </c>
      <c r="KJ53" s="206">
        <f t="shared" si="298"/>
        <v>0</v>
      </c>
      <c r="KK53" s="206">
        <f t="shared" si="299"/>
        <v>0</v>
      </c>
      <c r="KL53" s="206">
        <f t="shared" si="300"/>
        <v>0</v>
      </c>
      <c r="KM53" s="206">
        <f t="shared" si="301"/>
        <v>0</v>
      </c>
      <c r="KN53" s="221">
        <f t="shared" si="302"/>
        <v>0</v>
      </c>
      <c r="KO53" s="221">
        <f t="shared" si="303"/>
        <v>0</v>
      </c>
      <c r="KP53" s="221">
        <f t="shared" si="304"/>
        <v>0</v>
      </c>
      <c r="KQ53" s="221">
        <f t="shared" si="305"/>
        <v>0</v>
      </c>
      <c r="KR53" s="221">
        <f t="shared" si="306"/>
        <v>0</v>
      </c>
      <c r="KT53" s="195">
        <f t="shared" si="307"/>
        <v>0</v>
      </c>
      <c r="KU53" s="221"/>
      <c r="KV53" s="221"/>
      <c r="KW53" s="221"/>
      <c r="KX53" s="221"/>
      <c r="KY53" s="221"/>
      <c r="KZ53" s="221"/>
      <c r="LA53" s="221"/>
      <c r="LB53" s="221"/>
      <c r="LC53" s="221"/>
      <c r="LD53" s="221"/>
      <c r="LE53" s="221"/>
      <c r="LF53" s="221"/>
      <c r="LG53" s="221"/>
      <c r="LH53" s="221"/>
      <c r="LI53" s="221"/>
      <c r="LJ53" s="221"/>
      <c r="LK53" s="221"/>
      <c r="LL53" s="221"/>
      <c r="LM53" s="221"/>
      <c r="LN53" s="221"/>
      <c r="LO53" s="221"/>
      <c r="LP53" s="221"/>
      <c r="LQ53" s="221"/>
      <c r="LR53" s="221"/>
      <c r="LS53" s="221"/>
      <c r="LT53" s="221"/>
      <c r="LU53" s="221"/>
      <c r="LV53" s="221"/>
      <c r="LW53" s="221"/>
      <c r="LX53" s="221"/>
      <c r="LY53" s="221"/>
      <c r="LZ53" s="221"/>
      <c r="MA53" s="221"/>
      <c r="MB53" s="221"/>
      <c r="MC53" s="221"/>
      <c r="MD53" s="221"/>
      <c r="ME53" s="221"/>
      <c r="MF53" s="221"/>
      <c r="MG53" s="221"/>
      <c r="MH53" s="221"/>
      <c r="MI53" s="221"/>
      <c r="MJ53" s="221"/>
      <c r="MK53" s="221"/>
      <c r="ML53" s="221"/>
      <c r="MM53" s="221"/>
      <c r="MN53" s="221"/>
      <c r="MO53" s="221"/>
      <c r="MP53" s="221"/>
      <c r="MQ53" s="221"/>
      <c r="MR53" s="221"/>
      <c r="MS53" s="221"/>
      <c r="MT53" s="221"/>
      <c r="MU53" s="221"/>
      <c r="MV53" s="221"/>
      <c r="MW53" s="221"/>
      <c r="MX53" s="221"/>
      <c r="MY53" s="221"/>
      <c r="MZ53" s="221"/>
      <c r="NA53" s="221"/>
      <c r="NB53" s="221"/>
      <c r="NC53" s="221"/>
      <c r="ND53" s="221"/>
      <c r="NE53" s="221"/>
      <c r="NF53" s="221"/>
      <c r="NG53" s="221"/>
      <c r="NH53" s="221"/>
      <c r="NI53" s="221"/>
      <c r="NJ53" s="221"/>
      <c r="NK53" s="221"/>
      <c r="NM53" s="195">
        <f t="shared" si="178"/>
        <v>0</v>
      </c>
      <c r="NN53" s="195">
        <f t="shared" si="179"/>
        <v>0</v>
      </c>
      <c r="NO53" s="195">
        <f t="shared" si="180"/>
        <v>0</v>
      </c>
      <c r="NP53" s="195">
        <f t="shared" si="181"/>
        <v>0</v>
      </c>
      <c r="NQ53" s="195">
        <f t="shared" si="182"/>
        <v>0</v>
      </c>
      <c r="NR53" s="195">
        <f t="shared" si="183"/>
        <v>0</v>
      </c>
      <c r="NS53" s="195">
        <f t="shared" si="184"/>
        <v>0</v>
      </c>
      <c r="NT53" s="195">
        <f t="shared" si="185"/>
        <v>0</v>
      </c>
      <c r="NU53" s="196">
        <f t="shared" si="186"/>
        <v>0</v>
      </c>
      <c r="NY53" s="215">
        <f t="shared" si="249"/>
        <v>1</v>
      </c>
      <c r="NZ53" s="222">
        <v>16000000</v>
      </c>
      <c r="OE53" s="207">
        <f t="shared" si="243"/>
        <v>0</v>
      </c>
      <c r="OF53" s="207">
        <f t="shared" si="244"/>
        <v>0</v>
      </c>
      <c r="OG53" s="207">
        <f t="shared" si="245"/>
        <v>0</v>
      </c>
      <c r="OH53" s="207">
        <f t="shared" si="188"/>
        <v>0</v>
      </c>
      <c r="OI53" s="207">
        <f t="shared" si="246"/>
        <v>0</v>
      </c>
      <c r="OJ53" s="199">
        <f t="shared" si="189"/>
        <v>0</v>
      </c>
      <c r="OK53" s="199">
        <f t="shared" si="190"/>
        <v>0</v>
      </c>
      <c r="OL53" s="199">
        <f t="shared" si="191"/>
        <v>0</v>
      </c>
      <c r="OM53" s="199">
        <f t="shared" si="192"/>
        <v>0</v>
      </c>
      <c r="OO53" s="207">
        <f t="shared" si="247"/>
        <v>0</v>
      </c>
      <c r="OP53" s="207">
        <f t="shared" si="248"/>
        <v>0</v>
      </c>
      <c r="OQ53" s="207">
        <f t="shared" si="193"/>
        <v>0</v>
      </c>
      <c r="OR53" s="207">
        <f t="shared" si="194"/>
        <v>0</v>
      </c>
      <c r="OS53" s="207">
        <f t="shared" si="195"/>
        <v>0</v>
      </c>
      <c r="OT53" s="199">
        <f t="shared" si="196"/>
        <v>0</v>
      </c>
      <c r="OU53" s="199">
        <f t="shared" si="197"/>
        <v>0</v>
      </c>
      <c r="OV53" s="199">
        <f t="shared" si="198"/>
        <v>0</v>
      </c>
      <c r="OW53" s="199">
        <f t="shared" si="199"/>
        <v>0</v>
      </c>
      <c r="OZ53" s="208">
        <f t="shared" si="91"/>
        <v>0</v>
      </c>
      <c r="PA53" s="209"/>
      <c r="PB53" s="209"/>
      <c r="PC53" s="209"/>
      <c r="PD53" s="210">
        <f t="shared" si="200"/>
        <v>0</v>
      </c>
      <c r="PE53" s="210"/>
      <c r="PF53" s="210">
        <f t="shared" si="201"/>
        <v>0</v>
      </c>
      <c r="PG53" s="210">
        <f t="shared" si="202"/>
        <v>0</v>
      </c>
      <c r="PH53" s="210">
        <f t="shared" si="92"/>
        <v>0</v>
      </c>
      <c r="PI53" s="210">
        <f t="shared" si="93"/>
        <v>0</v>
      </c>
      <c r="PJ53" s="210">
        <f t="shared" si="94"/>
        <v>0</v>
      </c>
      <c r="PK53" s="210">
        <f t="shared" si="95"/>
        <v>0</v>
      </c>
      <c r="PL53" s="210">
        <f t="shared" si="96"/>
        <v>0</v>
      </c>
      <c r="PM53" s="211"/>
      <c r="PN53" s="211"/>
      <c r="PO53" s="212">
        <f t="shared" si="203"/>
        <v>0</v>
      </c>
      <c r="PP53" s="212">
        <f t="shared" si="204"/>
        <v>0</v>
      </c>
      <c r="PQ53" s="212">
        <f t="shared" si="205"/>
        <v>0</v>
      </c>
      <c r="PR53" s="211"/>
      <c r="PS53" s="211"/>
      <c r="PT53" s="211"/>
      <c r="PU53" s="211"/>
    </row>
    <row r="54" spans="1:437 16383:16383" s="195" customFormat="1" ht="16" x14ac:dyDescent="0.2">
      <c r="A54" s="213">
        <f t="shared" si="206"/>
        <v>44</v>
      </c>
      <c r="B54" s="186" t="s">
        <v>64</v>
      </c>
      <c r="C54" s="186">
        <v>49</v>
      </c>
      <c r="D54" s="188">
        <v>1</v>
      </c>
      <c r="E54" s="188">
        <v>103</v>
      </c>
      <c r="F54" s="188">
        <v>1</v>
      </c>
      <c r="G54" s="188">
        <f t="shared" si="308"/>
        <v>103</v>
      </c>
      <c r="H54" s="214">
        <f t="shared" si="213"/>
        <v>1</v>
      </c>
      <c r="I54" s="214">
        <f t="shared" si="214"/>
        <v>1</v>
      </c>
      <c r="J54" s="188">
        <v>1</v>
      </c>
      <c r="K54" s="188">
        <f t="shared" si="215"/>
        <v>103</v>
      </c>
      <c r="L54" s="214">
        <f t="shared" si="216"/>
        <v>1</v>
      </c>
      <c r="M54" s="214">
        <f t="shared" si="217"/>
        <v>1</v>
      </c>
      <c r="N54" s="188">
        <v>1</v>
      </c>
      <c r="O54" s="188">
        <f t="shared" si="218"/>
        <v>103</v>
      </c>
      <c r="P54" s="214">
        <f t="shared" si="219"/>
        <v>1</v>
      </c>
      <c r="Q54" s="214">
        <f t="shared" si="220"/>
        <v>1</v>
      </c>
      <c r="R54" s="188">
        <v>1</v>
      </c>
      <c r="S54" s="188">
        <f t="shared" si="221"/>
        <v>103</v>
      </c>
      <c r="T54" s="214">
        <f t="shared" si="222"/>
        <v>1</v>
      </c>
      <c r="U54" s="214">
        <f t="shared" si="223"/>
        <v>1</v>
      </c>
      <c r="V54" s="215">
        <v>1</v>
      </c>
      <c r="W54" s="188">
        <f t="shared" si="224"/>
        <v>103</v>
      </c>
      <c r="X54" s="214">
        <f t="shared" si="225"/>
        <v>1</v>
      </c>
      <c r="Y54" s="214">
        <f t="shared" si="226"/>
        <v>1</v>
      </c>
      <c r="Z54" s="216">
        <f>2466647000/1000000000</f>
        <v>2.466647</v>
      </c>
      <c r="AA54" s="188">
        <v>0</v>
      </c>
      <c r="AB54" s="188">
        <f t="shared" si="112"/>
        <v>0</v>
      </c>
      <c r="AC54" s="214">
        <f t="shared" si="113"/>
        <v>0</v>
      </c>
      <c r="AD54" s="214">
        <f t="shared" si="114"/>
        <v>0</v>
      </c>
      <c r="AE54" s="188"/>
      <c r="AF54" s="188">
        <f t="shared" si="115"/>
        <v>0</v>
      </c>
      <c r="AG54" s="188"/>
      <c r="AH54" s="188"/>
      <c r="AI54" s="188">
        <v>1</v>
      </c>
      <c r="AJ54" s="188">
        <f t="shared" si="2"/>
        <v>103</v>
      </c>
      <c r="AK54" s="188" t="s">
        <v>304</v>
      </c>
      <c r="AL54" s="188">
        <v>0</v>
      </c>
      <c r="AM54" s="188">
        <v>0</v>
      </c>
      <c r="AN54" s="217"/>
      <c r="AO54" s="188">
        <f t="shared" si="207"/>
        <v>1</v>
      </c>
      <c r="AP54" s="188">
        <f t="shared" si="208"/>
        <v>103</v>
      </c>
      <c r="AQ54" s="188">
        <f t="shared" si="227"/>
        <v>1</v>
      </c>
      <c r="AR54" s="188">
        <f t="shared" si="228"/>
        <v>103</v>
      </c>
      <c r="AS54" s="188">
        <f t="shared" si="229"/>
        <v>1</v>
      </c>
      <c r="AT54" s="188">
        <f t="shared" si="230"/>
        <v>103</v>
      </c>
      <c r="AU54" s="188">
        <f t="shared" si="209"/>
        <v>1</v>
      </c>
      <c r="AV54" s="188">
        <f t="shared" si="210"/>
        <v>103</v>
      </c>
      <c r="AW54" s="188">
        <f t="shared" si="211"/>
        <v>1</v>
      </c>
      <c r="AX54" s="188">
        <f t="shared" si="212"/>
        <v>103</v>
      </c>
      <c r="AY54" s="188">
        <f t="shared" si="116"/>
        <v>0</v>
      </c>
      <c r="AZ54" s="188">
        <f t="shared" si="117"/>
        <v>0</v>
      </c>
      <c r="BA54" s="188">
        <f t="shared" si="14"/>
        <v>2.466647</v>
      </c>
      <c r="BB54" s="188">
        <f t="shared" si="15"/>
        <v>0</v>
      </c>
      <c r="BD54" s="196">
        <f t="shared" si="118"/>
        <v>0</v>
      </c>
      <c r="BE54" s="188">
        <f t="shared" si="231"/>
        <v>0</v>
      </c>
      <c r="BF54" s="188">
        <f t="shared" si="232"/>
        <v>0</v>
      </c>
      <c r="BG54" s="188">
        <f t="shared" si="233"/>
        <v>0</v>
      </c>
      <c r="BH54" s="188">
        <f t="shared" si="234"/>
        <v>0</v>
      </c>
      <c r="BI54" s="188">
        <f t="shared" si="235"/>
        <v>0</v>
      </c>
      <c r="BJ54" s="188">
        <f t="shared" si="236"/>
        <v>0</v>
      </c>
      <c r="BK54" s="188">
        <f t="shared" si="22"/>
        <v>0</v>
      </c>
      <c r="BN54" s="143"/>
      <c r="BO54" s="277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B54" s="188"/>
      <c r="CD54" s="188">
        <f t="shared" si="23"/>
        <v>0</v>
      </c>
      <c r="CE54" s="188">
        <f t="shared" si="24"/>
        <v>0</v>
      </c>
      <c r="CF54" s="188">
        <f t="shared" si="25"/>
        <v>0</v>
      </c>
      <c r="CG54" s="188">
        <f t="shared" si="26"/>
        <v>0</v>
      </c>
      <c r="CH54" s="188">
        <f t="shared" si="27"/>
        <v>0</v>
      </c>
      <c r="CI54" s="188">
        <f t="shared" si="28"/>
        <v>0</v>
      </c>
      <c r="CJ54" s="188">
        <f t="shared" si="29"/>
        <v>0</v>
      </c>
      <c r="CK54" s="188">
        <f t="shared" si="30"/>
        <v>0</v>
      </c>
      <c r="CL54" s="188">
        <f t="shared" si="31"/>
        <v>0</v>
      </c>
      <c r="CM54" s="188">
        <f t="shared" si="32"/>
        <v>0</v>
      </c>
      <c r="CN54" s="188">
        <f t="shared" si="33"/>
        <v>0</v>
      </c>
      <c r="CO54" s="188">
        <f t="shared" si="34"/>
        <v>0</v>
      </c>
      <c r="CP54" s="188">
        <f t="shared" si="35"/>
        <v>0</v>
      </c>
      <c r="DV54" s="188">
        <f t="shared" si="237"/>
        <v>0</v>
      </c>
      <c r="DW54" s="188">
        <f t="shared" si="238"/>
        <v>0</v>
      </c>
      <c r="DX54" s="188">
        <f t="shared" si="239"/>
        <v>0</v>
      </c>
      <c r="DY54" s="188">
        <f t="shared" si="240"/>
        <v>0</v>
      </c>
      <c r="DZ54" s="188">
        <f t="shared" si="241"/>
        <v>0</v>
      </c>
      <c r="EA54" s="188">
        <f t="shared" si="242"/>
        <v>0</v>
      </c>
      <c r="EB54" s="188">
        <f t="shared" si="42"/>
        <v>0</v>
      </c>
      <c r="EG54" s="220">
        <f t="shared" si="43"/>
        <v>0</v>
      </c>
      <c r="EH54" s="220">
        <f t="shared" si="44"/>
        <v>0</v>
      </c>
      <c r="EI54" s="188"/>
      <c r="EJ54" s="188"/>
      <c r="EK54" s="188"/>
      <c r="EL54" s="188"/>
      <c r="EM54" s="188"/>
      <c r="EN54" s="188"/>
      <c r="EO54" s="188"/>
      <c r="EP54" s="188"/>
      <c r="EQ54" s="188"/>
      <c r="ER54" s="188"/>
      <c r="ES54" s="188"/>
      <c r="ET54" s="188"/>
      <c r="EU54" s="188"/>
      <c r="EV54" s="188"/>
      <c r="EW54" s="188"/>
      <c r="EX54" s="188"/>
      <c r="EY54" s="188"/>
      <c r="EZ54" s="188"/>
      <c r="FA54" s="188"/>
      <c r="FB54" s="188"/>
      <c r="FC54" s="188"/>
      <c r="FD54" s="188"/>
      <c r="FE54" s="188"/>
      <c r="FF54" s="188"/>
      <c r="FH54" s="189"/>
      <c r="FI54" s="189"/>
      <c r="FJ54" s="189"/>
      <c r="FK54" s="189"/>
      <c r="FL54" s="189"/>
      <c r="FM54" s="189"/>
      <c r="FN54" s="189"/>
      <c r="FO54" s="189"/>
      <c r="FP54" s="189"/>
      <c r="FQ54" s="189"/>
      <c r="FR54" s="189"/>
      <c r="FS54" s="189"/>
      <c r="FT54" s="189"/>
      <c r="FU54" s="189"/>
      <c r="FV54" s="189"/>
      <c r="FX54" s="217"/>
      <c r="FY54" s="188">
        <f t="shared" si="45"/>
        <v>0</v>
      </c>
      <c r="FZ54" s="188">
        <f t="shared" si="250"/>
        <v>0</v>
      </c>
      <c r="GA54" s="188">
        <f t="shared" si="251"/>
        <v>0</v>
      </c>
      <c r="GB54" s="188">
        <f t="shared" si="252"/>
        <v>0</v>
      </c>
      <c r="GC54" s="188">
        <f t="shared" si="253"/>
        <v>0</v>
      </c>
      <c r="GD54" s="188">
        <f t="shared" si="254"/>
        <v>0</v>
      </c>
      <c r="GE54" s="188">
        <f t="shared" si="255"/>
        <v>0</v>
      </c>
      <c r="GF54" s="199"/>
      <c r="GG54" s="189">
        <v>0</v>
      </c>
      <c r="GH54" s="189">
        <v>0</v>
      </c>
      <c r="GI54" s="199"/>
      <c r="GJ54" s="200">
        <f t="shared" si="52"/>
        <v>0</v>
      </c>
      <c r="GK54" s="200">
        <f t="shared" si="53"/>
        <v>0</v>
      </c>
      <c r="GO54" s="189">
        <f t="shared" si="256"/>
        <v>0</v>
      </c>
      <c r="GP54" s="189">
        <f t="shared" si="257"/>
        <v>0</v>
      </c>
      <c r="GQ54" s="189">
        <f t="shared" si="258"/>
        <v>0</v>
      </c>
      <c r="GR54" s="189">
        <f t="shared" si="259"/>
        <v>0</v>
      </c>
      <c r="GS54" s="189">
        <f t="shared" si="260"/>
        <v>0</v>
      </c>
      <c r="GT54" s="189">
        <f t="shared" si="124"/>
        <v>1</v>
      </c>
      <c r="GU54" s="201">
        <f t="shared" si="125"/>
        <v>43243</v>
      </c>
      <c r="GV54" s="189" t="str">
        <f t="shared" si="126"/>
        <v>SELESAI</v>
      </c>
      <c r="GW54" s="189">
        <f t="shared" si="127"/>
        <v>0</v>
      </c>
      <c r="GX54" s="202" t="str">
        <f t="shared" si="128"/>
        <v>SELESAI</v>
      </c>
      <c r="GY54" s="202">
        <f t="shared" si="129"/>
        <v>0</v>
      </c>
      <c r="GZ54" s="203" t="str">
        <f t="shared" si="130"/>
        <v>SELESAI</v>
      </c>
      <c r="HA54" s="204"/>
      <c r="HB54" s="204"/>
      <c r="HC54" s="189">
        <f t="shared" si="261"/>
        <v>0</v>
      </c>
      <c r="HD54" s="189">
        <f t="shared" si="262"/>
        <v>0</v>
      </c>
      <c r="HE54" s="189">
        <f t="shared" si="133"/>
        <v>0</v>
      </c>
      <c r="HF54" s="189">
        <f t="shared" si="134"/>
        <v>0</v>
      </c>
      <c r="HG54" s="189">
        <f t="shared" si="135"/>
        <v>0</v>
      </c>
      <c r="HH54" s="201" t="str">
        <f t="shared" si="136"/>
        <v>TIDAK KONSINYASI</v>
      </c>
      <c r="HI54" s="201" t="str">
        <f t="shared" si="137"/>
        <v>SELESAI</v>
      </c>
      <c r="HJ54" s="205"/>
      <c r="HK54" s="201">
        <f t="shared" si="138"/>
        <v>0</v>
      </c>
      <c r="HL54" s="204"/>
      <c r="HM54" s="204"/>
      <c r="HN54" s="204"/>
      <c r="HO54" s="204"/>
      <c r="HP54" s="203">
        <f t="shared" si="139"/>
        <v>0</v>
      </c>
      <c r="HQ54" s="202">
        <f t="shared" si="140"/>
        <v>0</v>
      </c>
      <c r="HR54" s="202">
        <f t="shared" si="263"/>
        <v>0</v>
      </c>
      <c r="HS54" s="203">
        <f t="shared" si="142"/>
        <v>0</v>
      </c>
      <c r="HT54" s="202">
        <f t="shared" si="143"/>
        <v>0</v>
      </c>
      <c r="HU54" s="202">
        <f t="shared" si="264"/>
        <v>0</v>
      </c>
      <c r="HV54" s="203">
        <f t="shared" si="145"/>
        <v>0</v>
      </c>
      <c r="HW54" s="202">
        <f t="shared" si="146"/>
        <v>0</v>
      </c>
      <c r="HX54" s="202">
        <f t="shared" si="265"/>
        <v>0</v>
      </c>
      <c r="HY54" s="203">
        <f t="shared" si="148"/>
        <v>0</v>
      </c>
      <c r="HZ54" s="202">
        <f t="shared" si="149"/>
        <v>0</v>
      </c>
      <c r="IA54" s="202">
        <f t="shared" si="266"/>
        <v>0</v>
      </c>
      <c r="IB54" s="203">
        <f t="shared" si="151"/>
        <v>0</v>
      </c>
      <c r="IC54" s="202">
        <f t="shared" si="152"/>
        <v>0</v>
      </c>
      <c r="ID54" s="202">
        <f t="shared" si="267"/>
        <v>0</v>
      </c>
      <c r="IE54" s="203">
        <f t="shared" si="154"/>
        <v>0</v>
      </c>
      <c r="IF54" s="202">
        <f t="shared" si="155"/>
        <v>0</v>
      </c>
      <c r="IG54" s="202">
        <f t="shared" si="268"/>
        <v>0</v>
      </c>
      <c r="IH54" s="203">
        <f t="shared" si="157"/>
        <v>0</v>
      </c>
      <c r="II54" s="202">
        <f t="shared" si="158"/>
        <v>0</v>
      </c>
      <c r="IJ54" s="202">
        <f t="shared" si="269"/>
        <v>0</v>
      </c>
      <c r="IK54" s="203">
        <f t="shared" si="160"/>
        <v>0</v>
      </c>
      <c r="IL54" s="202">
        <f t="shared" si="161"/>
        <v>0</v>
      </c>
      <c r="IM54" s="202">
        <f t="shared" si="270"/>
        <v>0</v>
      </c>
      <c r="IN54" s="204"/>
      <c r="IO54" s="203">
        <f t="shared" si="163"/>
        <v>0</v>
      </c>
      <c r="IP54" s="202">
        <f t="shared" si="271"/>
        <v>0</v>
      </c>
      <c r="IQ54" s="202">
        <f t="shared" si="272"/>
        <v>0</v>
      </c>
      <c r="IR54" s="204"/>
      <c r="IS54" s="203"/>
      <c r="IT54" s="202">
        <f t="shared" si="273"/>
        <v>1</v>
      </c>
      <c r="IU54" s="202">
        <f t="shared" si="274"/>
        <v>103</v>
      </c>
      <c r="IV54" s="204"/>
      <c r="IW54" s="203"/>
      <c r="IX54" s="202">
        <f t="shared" si="275"/>
        <v>0</v>
      </c>
      <c r="IY54" s="202">
        <f t="shared" si="276"/>
        <v>0</v>
      </c>
      <c r="IZ54" s="204"/>
      <c r="JA54" s="203"/>
      <c r="JB54" s="202">
        <f t="shared" si="277"/>
        <v>0</v>
      </c>
      <c r="JC54" s="202">
        <f t="shared" si="278"/>
        <v>0</v>
      </c>
      <c r="JD54" s="204"/>
      <c r="JE54" s="203"/>
      <c r="JF54" s="202">
        <f t="shared" si="172"/>
        <v>1</v>
      </c>
      <c r="JG54" s="202">
        <f t="shared" si="173"/>
        <v>103</v>
      </c>
      <c r="JH54" s="204"/>
      <c r="JI54" s="203"/>
      <c r="JJ54" s="202">
        <f t="shared" si="279"/>
        <v>0</v>
      </c>
      <c r="JK54" s="202">
        <f t="shared" si="280"/>
        <v>0</v>
      </c>
      <c r="JM54" s="203">
        <f t="shared" si="176"/>
        <v>0</v>
      </c>
      <c r="JO54" s="196">
        <f t="shared" si="54"/>
        <v>0</v>
      </c>
      <c r="JP54" s="189">
        <f t="shared" si="281"/>
        <v>0</v>
      </c>
      <c r="JQ54" s="189">
        <f t="shared" si="282"/>
        <v>0</v>
      </c>
      <c r="JR54" s="189">
        <f t="shared" si="283"/>
        <v>0</v>
      </c>
      <c r="JS54" s="189">
        <f t="shared" si="284"/>
        <v>0</v>
      </c>
      <c r="JT54" s="189">
        <f t="shared" si="285"/>
        <v>0</v>
      </c>
      <c r="JU54" s="189">
        <f t="shared" si="286"/>
        <v>0</v>
      </c>
      <c r="JV54" s="189">
        <f t="shared" si="287"/>
        <v>0</v>
      </c>
      <c r="JW54" s="189">
        <f t="shared" si="288"/>
        <v>0</v>
      </c>
      <c r="JX54" s="189">
        <f t="shared" si="289"/>
        <v>0</v>
      </c>
      <c r="JY54" s="189">
        <f t="shared" si="290"/>
        <v>0</v>
      </c>
      <c r="JZ54" s="189">
        <f t="shared" si="291"/>
        <v>0</v>
      </c>
      <c r="KA54" s="189">
        <f t="shared" si="292"/>
        <v>0</v>
      </c>
      <c r="KB54" s="189">
        <f t="shared" si="293"/>
        <v>0</v>
      </c>
      <c r="KD54" s="206">
        <f t="shared" si="177"/>
        <v>0</v>
      </c>
      <c r="KE54" s="206">
        <f t="shared" si="69"/>
        <v>0</v>
      </c>
      <c r="KF54" s="206">
        <f t="shared" si="294"/>
        <v>0</v>
      </c>
      <c r="KG54" s="206">
        <f t="shared" si="295"/>
        <v>0</v>
      </c>
      <c r="KH54" s="206">
        <f t="shared" si="296"/>
        <v>0</v>
      </c>
      <c r="KI54" s="206">
        <f t="shared" si="297"/>
        <v>0</v>
      </c>
      <c r="KJ54" s="206">
        <f t="shared" si="298"/>
        <v>0</v>
      </c>
      <c r="KK54" s="206">
        <f t="shared" si="299"/>
        <v>0</v>
      </c>
      <c r="KL54" s="206">
        <f t="shared" si="300"/>
        <v>0</v>
      </c>
      <c r="KM54" s="206">
        <f t="shared" si="301"/>
        <v>0</v>
      </c>
      <c r="KN54" s="221">
        <f t="shared" si="302"/>
        <v>0</v>
      </c>
      <c r="KO54" s="221">
        <f t="shared" si="303"/>
        <v>0</v>
      </c>
      <c r="KP54" s="221">
        <f t="shared" si="304"/>
        <v>0</v>
      </c>
      <c r="KQ54" s="221">
        <f t="shared" si="305"/>
        <v>0</v>
      </c>
      <c r="KR54" s="221">
        <f t="shared" si="306"/>
        <v>0</v>
      </c>
      <c r="KT54" s="195">
        <f t="shared" si="307"/>
        <v>0</v>
      </c>
      <c r="KU54" s="221"/>
      <c r="KV54" s="221"/>
      <c r="KW54" s="221"/>
      <c r="KX54" s="221"/>
      <c r="KY54" s="221"/>
      <c r="KZ54" s="221"/>
      <c r="LA54" s="221"/>
      <c r="LB54" s="221"/>
      <c r="LC54" s="221"/>
      <c r="LD54" s="221"/>
      <c r="LE54" s="221"/>
      <c r="LF54" s="221"/>
      <c r="LG54" s="221"/>
      <c r="LH54" s="221"/>
      <c r="LI54" s="221"/>
      <c r="LJ54" s="221"/>
      <c r="LK54" s="221"/>
      <c r="LL54" s="221"/>
      <c r="LM54" s="221"/>
      <c r="LN54" s="221"/>
      <c r="LO54" s="221"/>
      <c r="LP54" s="221"/>
      <c r="LQ54" s="221"/>
      <c r="LR54" s="221"/>
      <c r="LS54" s="221"/>
      <c r="LT54" s="221"/>
      <c r="LU54" s="221"/>
      <c r="LV54" s="221"/>
      <c r="LW54" s="221"/>
      <c r="LX54" s="221"/>
      <c r="LY54" s="221"/>
      <c r="LZ54" s="221"/>
      <c r="MA54" s="221"/>
      <c r="MB54" s="221"/>
      <c r="MC54" s="221"/>
      <c r="MD54" s="221"/>
      <c r="ME54" s="221"/>
      <c r="MF54" s="221"/>
      <c r="MG54" s="221"/>
      <c r="MH54" s="221"/>
      <c r="MI54" s="221"/>
      <c r="MJ54" s="221"/>
      <c r="MK54" s="221"/>
      <c r="ML54" s="221"/>
      <c r="MM54" s="221"/>
      <c r="MN54" s="221"/>
      <c r="MO54" s="221"/>
      <c r="MP54" s="221"/>
      <c r="MQ54" s="221"/>
      <c r="MR54" s="221"/>
      <c r="MS54" s="221"/>
      <c r="MT54" s="221"/>
      <c r="MU54" s="221"/>
      <c r="MV54" s="221"/>
      <c r="MW54" s="221"/>
      <c r="MX54" s="221"/>
      <c r="MY54" s="221"/>
      <c r="MZ54" s="221"/>
      <c r="NA54" s="221"/>
      <c r="NB54" s="221"/>
      <c r="NC54" s="221"/>
      <c r="ND54" s="221"/>
      <c r="NE54" s="221"/>
      <c r="NF54" s="221"/>
      <c r="NG54" s="221"/>
      <c r="NH54" s="221"/>
      <c r="NI54" s="221"/>
      <c r="NJ54" s="221"/>
      <c r="NK54" s="221"/>
      <c r="NM54" s="195">
        <f t="shared" si="178"/>
        <v>0</v>
      </c>
      <c r="NN54" s="195">
        <f t="shared" si="179"/>
        <v>0</v>
      </c>
      <c r="NO54" s="195">
        <f t="shared" si="180"/>
        <v>0</v>
      </c>
      <c r="NP54" s="195">
        <f t="shared" si="181"/>
        <v>0</v>
      </c>
      <c r="NQ54" s="195">
        <f t="shared" si="182"/>
        <v>0</v>
      </c>
      <c r="NR54" s="195">
        <f t="shared" si="183"/>
        <v>0</v>
      </c>
      <c r="NS54" s="195">
        <f t="shared" si="184"/>
        <v>0</v>
      </c>
      <c r="NT54" s="195">
        <f t="shared" si="185"/>
        <v>0</v>
      </c>
      <c r="NU54" s="196">
        <f t="shared" si="186"/>
        <v>0</v>
      </c>
      <c r="NY54" s="215">
        <f t="shared" si="249"/>
        <v>1</v>
      </c>
      <c r="NZ54" s="222">
        <v>16000000</v>
      </c>
      <c r="OE54" s="207">
        <f t="shared" si="243"/>
        <v>0</v>
      </c>
      <c r="OF54" s="207">
        <f t="shared" si="244"/>
        <v>0</v>
      </c>
      <c r="OG54" s="207">
        <f t="shared" si="245"/>
        <v>0</v>
      </c>
      <c r="OH54" s="207">
        <f t="shared" si="188"/>
        <v>0</v>
      </c>
      <c r="OI54" s="207">
        <f t="shared" si="246"/>
        <v>0</v>
      </c>
      <c r="OJ54" s="199">
        <f t="shared" si="189"/>
        <v>0</v>
      </c>
      <c r="OK54" s="199">
        <f t="shared" si="190"/>
        <v>0</v>
      </c>
      <c r="OL54" s="199">
        <f t="shared" si="191"/>
        <v>0</v>
      </c>
      <c r="OM54" s="199">
        <f t="shared" si="192"/>
        <v>0</v>
      </c>
      <c r="OO54" s="207">
        <f t="shared" si="247"/>
        <v>0</v>
      </c>
      <c r="OP54" s="207">
        <f t="shared" si="248"/>
        <v>0</v>
      </c>
      <c r="OQ54" s="207">
        <f t="shared" si="193"/>
        <v>0</v>
      </c>
      <c r="OR54" s="207">
        <f t="shared" si="194"/>
        <v>0</v>
      </c>
      <c r="OS54" s="207">
        <f t="shared" si="195"/>
        <v>0</v>
      </c>
      <c r="OT54" s="199">
        <f t="shared" si="196"/>
        <v>0</v>
      </c>
      <c r="OU54" s="199">
        <f t="shared" si="197"/>
        <v>0</v>
      </c>
      <c r="OV54" s="199">
        <f t="shared" si="198"/>
        <v>0</v>
      </c>
      <c r="OW54" s="199">
        <f t="shared" si="199"/>
        <v>0</v>
      </c>
      <c r="OZ54" s="208">
        <f t="shared" si="91"/>
        <v>0</v>
      </c>
      <c r="PA54" s="209"/>
      <c r="PB54" s="209"/>
      <c r="PC54" s="209"/>
      <c r="PD54" s="210">
        <f t="shared" si="200"/>
        <v>0</v>
      </c>
      <c r="PE54" s="210"/>
      <c r="PF54" s="210">
        <f t="shared" si="201"/>
        <v>0</v>
      </c>
      <c r="PG54" s="210">
        <f t="shared" si="202"/>
        <v>0</v>
      </c>
      <c r="PH54" s="210">
        <f t="shared" si="92"/>
        <v>0</v>
      </c>
      <c r="PI54" s="210">
        <f t="shared" si="93"/>
        <v>0</v>
      </c>
      <c r="PJ54" s="210">
        <f t="shared" si="94"/>
        <v>0</v>
      </c>
      <c r="PK54" s="210">
        <f t="shared" si="95"/>
        <v>0</v>
      </c>
      <c r="PL54" s="210">
        <f t="shared" si="96"/>
        <v>0</v>
      </c>
      <c r="PM54" s="211"/>
      <c r="PN54" s="211"/>
      <c r="PO54" s="212">
        <f t="shared" si="203"/>
        <v>0</v>
      </c>
      <c r="PP54" s="212">
        <f t="shared" si="204"/>
        <v>0</v>
      </c>
      <c r="PQ54" s="212">
        <f t="shared" si="205"/>
        <v>0</v>
      </c>
      <c r="PR54" s="211"/>
      <c r="PS54" s="211"/>
      <c r="PT54" s="211"/>
      <c r="PU54" s="211"/>
    </row>
    <row r="55" spans="1:437 16383:16383" s="195" customFormat="1" ht="16" x14ac:dyDescent="0.2">
      <c r="A55" s="213">
        <f t="shared" si="206"/>
        <v>45</v>
      </c>
      <c r="B55" s="186" t="s">
        <v>405</v>
      </c>
      <c r="C55" s="186">
        <v>50</v>
      </c>
      <c r="D55" s="188">
        <v>1</v>
      </c>
      <c r="E55" s="188">
        <v>154</v>
      </c>
      <c r="F55" s="188">
        <v>1</v>
      </c>
      <c r="G55" s="188">
        <f t="shared" si="308"/>
        <v>154</v>
      </c>
      <c r="H55" s="214">
        <f t="shared" si="213"/>
        <v>1</v>
      </c>
      <c r="I55" s="214">
        <f t="shared" si="214"/>
        <v>1</v>
      </c>
      <c r="J55" s="188">
        <v>1</v>
      </c>
      <c r="K55" s="188">
        <f t="shared" si="215"/>
        <v>154</v>
      </c>
      <c r="L55" s="214">
        <f t="shared" si="216"/>
        <v>1</v>
      </c>
      <c r="M55" s="214">
        <f t="shared" si="217"/>
        <v>1</v>
      </c>
      <c r="N55" s="188">
        <v>1</v>
      </c>
      <c r="O55" s="188">
        <f t="shared" si="218"/>
        <v>154</v>
      </c>
      <c r="P55" s="214">
        <f t="shared" si="219"/>
        <v>1</v>
      </c>
      <c r="Q55" s="214">
        <f t="shared" si="220"/>
        <v>1</v>
      </c>
      <c r="R55" s="188">
        <v>1</v>
      </c>
      <c r="S55" s="188">
        <f t="shared" si="221"/>
        <v>154</v>
      </c>
      <c r="T55" s="214">
        <f t="shared" si="222"/>
        <v>1</v>
      </c>
      <c r="U55" s="214">
        <f t="shared" si="223"/>
        <v>1</v>
      </c>
      <c r="V55" s="215">
        <v>1</v>
      </c>
      <c r="W55" s="188">
        <f t="shared" si="224"/>
        <v>154</v>
      </c>
      <c r="X55" s="214">
        <f t="shared" si="225"/>
        <v>1</v>
      </c>
      <c r="Y55" s="214">
        <f t="shared" si="226"/>
        <v>1</v>
      </c>
      <c r="Z55" s="216">
        <f>2244896000/1000000000</f>
        <v>2.2448959999999998</v>
      </c>
      <c r="AA55" s="188">
        <v>0</v>
      </c>
      <c r="AB55" s="188">
        <f t="shared" si="112"/>
        <v>0</v>
      </c>
      <c r="AC55" s="214">
        <f t="shared" si="113"/>
        <v>0</v>
      </c>
      <c r="AD55" s="214">
        <f t="shared" si="114"/>
        <v>0</v>
      </c>
      <c r="AE55" s="188"/>
      <c r="AF55" s="188">
        <f t="shared" si="115"/>
        <v>0</v>
      </c>
      <c r="AG55" s="188"/>
      <c r="AH55" s="188"/>
      <c r="AI55" s="188">
        <v>1</v>
      </c>
      <c r="AJ55" s="188">
        <f t="shared" si="2"/>
        <v>154</v>
      </c>
      <c r="AK55" s="188" t="s">
        <v>304</v>
      </c>
      <c r="AL55" s="188">
        <v>0</v>
      </c>
      <c r="AM55" s="188">
        <v>0</v>
      </c>
      <c r="AN55" s="217"/>
      <c r="AO55" s="188">
        <f t="shared" si="207"/>
        <v>1</v>
      </c>
      <c r="AP55" s="188">
        <f t="shared" si="208"/>
        <v>154</v>
      </c>
      <c r="AQ55" s="188">
        <f t="shared" si="227"/>
        <v>1</v>
      </c>
      <c r="AR55" s="188">
        <f t="shared" si="228"/>
        <v>154</v>
      </c>
      <c r="AS55" s="188">
        <f t="shared" si="229"/>
        <v>1</v>
      </c>
      <c r="AT55" s="188">
        <f t="shared" si="230"/>
        <v>154</v>
      </c>
      <c r="AU55" s="188">
        <f t="shared" si="209"/>
        <v>1</v>
      </c>
      <c r="AV55" s="188">
        <f t="shared" si="210"/>
        <v>154</v>
      </c>
      <c r="AW55" s="188">
        <f t="shared" si="211"/>
        <v>1</v>
      </c>
      <c r="AX55" s="188">
        <f t="shared" si="212"/>
        <v>154</v>
      </c>
      <c r="AY55" s="188">
        <f t="shared" si="116"/>
        <v>0</v>
      </c>
      <c r="AZ55" s="188">
        <f t="shared" si="117"/>
        <v>0</v>
      </c>
      <c r="BA55" s="188">
        <f t="shared" si="14"/>
        <v>2.2448959999999998</v>
      </c>
      <c r="BB55" s="188">
        <f t="shared" si="15"/>
        <v>0</v>
      </c>
      <c r="BD55" s="196">
        <f t="shared" si="118"/>
        <v>0</v>
      </c>
      <c r="BE55" s="188">
        <f t="shared" si="231"/>
        <v>0</v>
      </c>
      <c r="BF55" s="188">
        <f t="shared" si="232"/>
        <v>0</v>
      </c>
      <c r="BG55" s="188">
        <f t="shared" si="233"/>
        <v>0</v>
      </c>
      <c r="BH55" s="188">
        <f t="shared" si="234"/>
        <v>0</v>
      </c>
      <c r="BI55" s="188">
        <f t="shared" si="235"/>
        <v>0</v>
      </c>
      <c r="BJ55" s="188">
        <f t="shared" si="236"/>
        <v>0</v>
      </c>
      <c r="BK55" s="188">
        <f t="shared" si="22"/>
        <v>0</v>
      </c>
      <c r="BN55" s="143"/>
      <c r="BO55" s="277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B55" s="188"/>
      <c r="CD55" s="188">
        <f t="shared" si="23"/>
        <v>0</v>
      </c>
      <c r="CE55" s="188">
        <f t="shared" si="24"/>
        <v>0</v>
      </c>
      <c r="CF55" s="188">
        <f t="shared" si="25"/>
        <v>0</v>
      </c>
      <c r="CG55" s="188">
        <f t="shared" si="26"/>
        <v>0</v>
      </c>
      <c r="CH55" s="188">
        <f t="shared" si="27"/>
        <v>0</v>
      </c>
      <c r="CI55" s="188">
        <f t="shared" si="28"/>
        <v>0</v>
      </c>
      <c r="CJ55" s="188">
        <f t="shared" si="29"/>
        <v>0</v>
      </c>
      <c r="CK55" s="188">
        <f t="shared" si="30"/>
        <v>0</v>
      </c>
      <c r="CL55" s="188">
        <f t="shared" si="31"/>
        <v>0</v>
      </c>
      <c r="CM55" s="188">
        <f t="shared" si="32"/>
        <v>0</v>
      </c>
      <c r="CN55" s="188">
        <f t="shared" si="33"/>
        <v>0</v>
      </c>
      <c r="CO55" s="188">
        <f t="shared" si="34"/>
        <v>0</v>
      </c>
      <c r="CP55" s="188">
        <f t="shared" si="35"/>
        <v>0</v>
      </c>
      <c r="DV55" s="188">
        <f t="shared" si="237"/>
        <v>0</v>
      </c>
      <c r="DW55" s="188">
        <f t="shared" si="238"/>
        <v>0</v>
      </c>
      <c r="DX55" s="188">
        <f t="shared" si="239"/>
        <v>0</v>
      </c>
      <c r="DY55" s="188">
        <f t="shared" si="240"/>
        <v>0</v>
      </c>
      <c r="DZ55" s="188">
        <f t="shared" si="241"/>
        <v>0</v>
      </c>
      <c r="EA55" s="188">
        <f t="shared" si="242"/>
        <v>0</v>
      </c>
      <c r="EB55" s="188">
        <f t="shared" si="42"/>
        <v>0</v>
      </c>
      <c r="EG55" s="220">
        <f t="shared" si="43"/>
        <v>0</v>
      </c>
      <c r="EH55" s="220">
        <f t="shared" si="44"/>
        <v>0</v>
      </c>
      <c r="EI55" s="188"/>
      <c r="EJ55" s="188"/>
      <c r="EK55" s="188"/>
      <c r="EL55" s="188"/>
      <c r="EM55" s="188"/>
      <c r="EN55" s="188"/>
      <c r="EO55" s="188"/>
      <c r="EP55" s="188"/>
      <c r="EQ55" s="188"/>
      <c r="ER55" s="188"/>
      <c r="ES55" s="188"/>
      <c r="ET55" s="188"/>
      <c r="EU55" s="188"/>
      <c r="EV55" s="188"/>
      <c r="EW55" s="188"/>
      <c r="EX55" s="188"/>
      <c r="EY55" s="188"/>
      <c r="EZ55" s="188"/>
      <c r="FA55" s="188"/>
      <c r="FB55" s="188"/>
      <c r="FC55" s="188"/>
      <c r="FD55" s="188"/>
      <c r="FE55" s="188"/>
      <c r="FF55" s="188"/>
      <c r="FH55" s="189"/>
      <c r="FI55" s="189"/>
      <c r="FJ55" s="189"/>
      <c r="FK55" s="189"/>
      <c r="FL55" s="189"/>
      <c r="FM55" s="189"/>
      <c r="FN55" s="189"/>
      <c r="FO55" s="189"/>
      <c r="FP55" s="189"/>
      <c r="FQ55" s="189"/>
      <c r="FR55" s="189"/>
      <c r="FS55" s="189"/>
      <c r="FT55" s="189"/>
      <c r="FU55" s="189"/>
      <c r="FV55" s="189"/>
      <c r="FX55" s="217"/>
      <c r="FY55" s="188">
        <f t="shared" si="45"/>
        <v>0</v>
      </c>
      <c r="FZ55" s="188">
        <f t="shared" si="250"/>
        <v>0</v>
      </c>
      <c r="GA55" s="188">
        <f t="shared" si="251"/>
        <v>0</v>
      </c>
      <c r="GB55" s="188">
        <f t="shared" si="252"/>
        <v>0</v>
      </c>
      <c r="GC55" s="188">
        <f t="shared" si="253"/>
        <v>0</v>
      </c>
      <c r="GD55" s="188">
        <f t="shared" si="254"/>
        <v>0</v>
      </c>
      <c r="GE55" s="188">
        <f t="shared" si="255"/>
        <v>0</v>
      </c>
      <c r="GF55" s="199"/>
      <c r="GG55" s="189">
        <v>0</v>
      </c>
      <c r="GH55" s="189">
        <v>0</v>
      </c>
      <c r="GI55" s="199"/>
      <c r="GJ55" s="200">
        <f t="shared" si="52"/>
        <v>0</v>
      </c>
      <c r="GK55" s="200">
        <f t="shared" si="53"/>
        <v>0</v>
      </c>
      <c r="GO55" s="189">
        <f t="shared" si="256"/>
        <v>0</v>
      </c>
      <c r="GP55" s="189">
        <f t="shared" si="257"/>
        <v>0</v>
      </c>
      <c r="GQ55" s="189">
        <f t="shared" si="258"/>
        <v>0</v>
      </c>
      <c r="GR55" s="189">
        <f t="shared" si="259"/>
        <v>0</v>
      </c>
      <c r="GS55" s="189">
        <f t="shared" si="260"/>
        <v>0</v>
      </c>
      <c r="GT55" s="189">
        <f t="shared" si="124"/>
        <v>1</v>
      </c>
      <c r="GU55" s="201">
        <f t="shared" si="125"/>
        <v>43243</v>
      </c>
      <c r="GV55" s="189" t="str">
        <f t="shared" si="126"/>
        <v>SELESAI</v>
      </c>
      <c r="GW55" s="189">
        <f t="shared" si="127"/>
        <v>0</v>
      </c>
      <c r="GX55" s="202" t="str">
        <f t="shared" si="128"/>
        <v>SELESAI</v>
      </c>
      <c r="GY55" s="202">
        <f t="shared" si="129"/>
        <v>0</v>
      </c>
      <c r="GZ55" s="203" t="str">
        <f t="shared" si="130"/>
        <v>SELESAI</v>
      </c>
      <c r="HA55" s="204"/>
      <c r="HB55" s="204"/>
      <c r="HC55" s="189">
        <f t="shared" si="261"/>
        <v>0</v>
      </c>
      <c r="HD55" s="189">
        <f t="shared" si="262"/>
        <v>0</v>
      </c>
      <c r="HE55" s="189">
        <f t="shared" si="133"/>
        <v>0</v>
      </c>
      <c r="HF55" s="189">
        <f t="shared" si="134"/>
        <v>0</v>
      </c>
      <c r="HG55" s="189">
        <f t="shared" si="135"/>
        <v>0</v>
      </c>
      <c r="HH55" s="201" t="str">
        <f t="shared" si="136"/>
        <v>TIDAK KONSINYASI</v>
      </c>
      <c r="HI55" s="201" t="str">
        <f t="shared" si="137"/>
        <v>SELESAI</v>
      </c>
      <c r="HJ55" s="205"/>
      <c r="HK55" s="201">
        <f t="shared" si="138"/>
        <v>0</v>
      </c>
      <c r="HL55" s="204"/>
      <c r="HM55" s="204"/>
      <c r="HN55" s="204"/>
      <c r="HO55" s="204"/>
      <c r="HP55" s="203">
        <f t="shared" si="139"/>
        <v>0</v>
      </c>
      <c r="HQ55" s="202">
        <f t="shared" si="140"/>
        <v>0</v>
      </c>
      <c r="HR55" s="202">
        <f t="shared" si="263"/>
        <v>0</v>
      </c>
      <c r="HS55" s="203">
        <f t="shared" si="142"/>
        <v>0</v>
      </c>
      <c r="HT55" s="202">
        <f t="shared" si="143"/>
        <v>0</v>
      </c>
      <c r="HU55" s="202">
        <f t="shared" si="264"/>
        <v>0</v>
      </c>
      <c r="HV55" s="203">
        <f t="shared" si="145"/>
        <v>0</v>
      </c>
      <c r="HW55" s="202">
        <f t="shared" si="146"/>
        <v>0</v>
      </c>
      <c r="HX55" s="202">
        <f t="shared" si="265"/>
        <v>0</v>
      </c>
      <c r="HY55" s="203">
        <f t="shared" si="148"/>
        <v>0</v>
      </c>
      <c r="HZ55" s="202">
        <f t="shared" si="149"/>
        <v>0</v>
      </c>
      <c r="IA55" s="202">
        <f t="shared" si="266"/>
        <v>0</v>
      </c>
      <c r="IB55" s="203">
        <f t="shared" si="151"/>
        <v>0</v>
      </c>
      <c r="IC55" s="202">
        <f t="shared" si="152"/>
        <v>0</v>
      </c>
      <c r="ID55" s="202">
        <f t="shared" si="267"/>
        <v>0</v>
      </c>
      <c r="IE55" s="203">
        <f t="shared" si="154"/>
        <v>0</v>
      </c>
      <c r="IF55" s="202">
        <f t="shared" si="155"/>
        <v>0</v>
      </c>
      <c r="IG55" s="202">
        <f t="shared" si="268"/>
        <v>0</v>
      </c>
      <c r="IH55" s="203">
        <f t="shared" si="157"/>
        <v>0</v>
      </c>
      <c r="II55" s="202">
        <f t="shared" si="158"/>
        <v>0</v>
      </c>
      <c r="IJ55" s="202">
        <f t="shared" si="269"/>
        <v>0</v>
      </c>
      <c r="IK55" s="203">
        <f t="shared" si="160"/>
        <v>0</v>
      </c>
      <c r="IL55" s="202">
        <f t="shared" si="161"/>
        <v>0</v>
      </c>
      <c r="IM55" s="202">
        <f t="shared" si="270"/>
        <v>0</v>
      </c>
      <c r="IN55" s="204"/>
      <c r="IO55" s="203">
        <f t="shared" si="163"/>
        <v>0</v>
      </c>
      <c r="IP55" s="202">
        <f t="shared" si="271"/>
        <v>0</v>
      </c>
      <c r="IQ55" s="202">
        <f t="shared" si="272"/>
        <v>0</v>
      </c>
      <c r="IR55" s="204"/>
      <c r="IS55" s="203"/>
      <c r="IT55" s="202">
        <f t="shared" si="273"/>
        <v>1</v>
      </c>
      <c r="IU55" s="202">
        <f t="shared" si="274"/>
        <v>154</v>
      </c>
      <c r="IV55" s="204"/>
      <c r="IW55" s="203"/>
      <c r="IX55" s="202">
        <f t="shared" si="275"/>
        <v>0</v>
      </c>
      <c r="IY55" s="202">
        <f t="shared" si="276"/>
        <v>0</v>
      </c>
      <c r="IZ55" s="204"/>
      <c r="JA55" s="203"/>
      <c r="JB55" s="202">
        <f t="shared" si="277"/>
        <v>0</v>
      </c>
      <c r="JC55" s="202">
        <f t="shared" si="278"/>
        <v>0</v>
      </c>
      <c r="JD55" s="204"/>
      <c r="JE55" s="203"/>
      <c r="JF55" s="202">
        <f t="shared" si="172"/>
        <v>1</v>
      </c>
      <c r="JG55" s="202">
        <f t="shared" si="173"/>
        <v>154</v>
      </c>
      <c r="JH55" s="204"/>
      <c r="JI55" s="203"/>
      <c r="JJ55" s="202">
        <f t="shared" si="279"/>
        <v>0</v>
      </c>
      <c r="JK55" s="202">
        <f t="shared" si="280"/>
        <v>0</v>
      </c>
      <c r="JM55" s="203">
        <f t="shared" si="176"/>
        <v>0</v>
      </c>
      <c r="JO55" s="196">
        <f t="shared" si="54"/>
        <v>0</v>
      </c>
      <c r="JP55" s="189">
        <f t="shared" si="281"/>
        <v>0</v>
      </c>
      <c r="JQ55" s="189">
        <f t="shared" si="282"/>
        <v>0</v>
      </c>
      <c r="JR55" s="189">
        <f t="shared" si="283"/>
        <v>0</v>
      </c>
      <c r="JS55" s="189">
        <f t="shared" si="284"/>
        <v>0</v>
      </c>
      <c r="JT55" s="189">
        <f t="shared" si="285"/>
        <v>0</v>
      </c>
      <c r="JU55" s="189">
        <f t="shared" si="286"/>
        <v>0</v>
      </c>
      <c r="JV55" s="189">
        <f t="shared" si="287"/>
        <v>0</v>
      </c>
      <c r="JW55" s="189">
        <f t="shared" si="288"/>
        <v>0</v>
      </c>
      <c r="JX55" s="189">
        <f t="shared" si="289"/>
        <v>0</v>
      </c>
      <c r="JY55" s="189">
        <f t="shared" si="290"/>
        <v>0</v>
      </c>
      <c r="JZ55" s="189">
        <f t="shared" si="291"/>
        <v>0</v>
      </c>
      <c r="KA55" s="189">
        <f t="shared" si="292"/>
        <v>0</v>
      </c>
      <c r="KB55" s="189">
        <f t="shared" si="293"/>
        <v>0</v>
      </c>
      <c r="KD55" s="206">
        <f t="shared" si="177"/>
        <v>0</v>
      </c>
      <c r="KE55" s="206">
        <f t="shared" si="69"/>
        <v>0</v>
      </c>
      <c r="KF55" s="206">
        <f t="shared" si="294"/>
        <v>0</v>
      </c>
      <c r="KG55" s="206">
        <f t="shared" si="295"/>
        <v>0</v>
      </c>
      <c r="KH55" s="206">
        <f t="shared" si="296"/>
        <v>0</v>
      </c>
      <c r="KI55" s="206">
        <f t="shared" si="297"/>
        <v>0</v>
      </c>
      <c r="KJ55" s="206">
        <f t="shared" si="298"/>
        <v>0</v>
      </c>
      <c r="KK55" s="206">
        <f t="shared" si="299"/>
        <v>0</v>
      </c>
      <c r="KL55" s="206">
        <f t="shared" si="300"/>
        <v>0</v>
      </c>
      <c r="KM55" s="206">
        <f t="shared" si="301"/>
        <v>0</v>
      </c>
      <c r="KN55" s="221">
        <f t="shared" si="302"/>
        <v>0</v>
      </c>
      <c r="KO55" s="221">
        <f t="shared" si="303"/>
        <v>0</v>
      </c>
      <c r="KP55" s="221">
        <f t="shared" si="304"/>
        <v>0</v>
      </c>
      <c r="KQ55" s="221">
        <f t="shared" si="305"/>
        <v>0</v>
      </c>
      <c r="KR55" s="221">
        <f t="shared" si="306"/>
        <v>0</v>
      </c>
      <c r="KT55" s="195">
        <f t="shared" si="307"/>
        <v>0</v>
      </c>
      <c r="KU55" s="221"/>
      <c r="KV55" s="221"/>
      <c r="KW55" s="221"/>
      <c r="KX55" s="221"/>
      <c r="KY55" s="221"/>
      <c r="KZ55" s="221"/>
      <c r="LA55" s="221"/>
      <c r="LB55" s="221"/>
      <c r="LC55" s="221"/>
      <c r="LD55" s="221"/>
      <c r="LE55" s="221"/>
      <c r="LF55" s="221"/>
      <c r="LG55" s="221"/>
      <c r="LH55" s="221"/>
      <c r="LI55" s="221"/>
      <c r="LJ55" s="221"/>
      <c r="LK55" s="221"/>
      <c r="LL55" s="221"/>
      <c r="LM55" s="221"/>
      <c r="LN55" s="221"/>
      <c r="LO55" s="221"/>
      <c r="LP55" s="221"/>
      <c r="LQ55" s="221"/>
      <c r="LR55" s="221"/>
      <c r="LS55" s="221"/>
      <c r="LT55" s="221"/>
      <c r="LU55" s="221"/>
      <c r="LV55" s="221"/>
      <c r="LW55" s="221"/>
      <c r="LX55" s="221"/>
      <c r="LY55" s="221"/>
      <c r="LZ55" s="221"/>
      <c r="MA55" s="221"/>
      <c r="MB55" s="221"/>
      <c r="MC55" s="221"/>
      <c r="MD55" s="221"/>
      <c r="ME55" s="221"/>
      <c r="MF55" s="221"/>
      <c r="MG55" s="221"/>
      <c r="MH55" s="221"/>
      <c r="MI55" s="221"/>
      <c r="MJ55" s="221"/>
      <c r="MK55" s="221"/>
      <c r="ML55" s="221"/>
      <c r="MM55" s="221"/>
      <c r="MN55" s="221"/>
      <c r="MO55" s="221"/>
      <c r="MP55" s="221"/>
      <c r="MQ55" s="221"/>
      <c r="MR55" s="221"/>
      <c r="MS55" s="221"/>
      <c r="MT55" s="221"/>
      <c r="MU55" s="221"/>
      <c r="MV55" s="221"/>
      <c r="MW55" s="221"/>
      <c r="MX55" s="221"/>
      <c r="MY55" s="221"/>
      <c r="MZ55" s="221"/>
      <c r="NA55" s="221"/>
      <c r="NB55" s="221"/>
      <c r="NC55" s="221"/>
      <c r="ND55" s="221"/>
      <c r="NE55" s="221"/>
      <c r="NF55" s="221"/>
      <c r="NG55" s="221"/>
      <c r="NH55" s="221"/>
      <c r="NI55" s="221"/>
      <c r="NJ55" s="221"/>
      <c r="NK55" s="221"/>
      <c r="NM55" s="195">
        <f t="shared" si="178"/>
        <v>0</v>
      </c>
      <c r="NN55" s="195">
        <f t="shared" si="179"/>
        <v>0</v>
      </c>
      <c r="NO55" s="195">
        <f t="shared" si="180"/>
        <v>0</v>
      </c>
      <c r="NP55" s="195">
        <f t="shared" si="181"/>
        <v>0</v>
      </c>
      <c r="NQ55" s="195">
        <f t="shared" si="182"/>
        <v>0</v>
      </c>
      <c r="NR55" s="195">
        <f t="shared" si="183"/>
        <v>0</v>
      </c>
      <c r="NS55" s="195">
        <f t="shared" si="184"/>
        <v>0</v>
      </c>
      <c r="NT55" s="195">
        <f t="shared" si="185"/>
        <v>0</v>
      </c>
      <c r="NU55" s="196">
        <f t="shared" si="186"/>
        <v>0</v>
      </c>
      <c r="NY55" s="215">
        <f t="shared" si="249"/>
        <v>1</v>
      </c>
      <c r="NZ55" s="222">
        <v>11875000</v>
      </c>
      <c r="OE55" s="207">
        <f t="shared" si="243"/>
        <v>0</v>
      </c>
      <c r="OF55" s="207">
        <f t="shared" si="244"/>
        <v>0</v>
      </c>
      <c r="OG55" s="207">
        <f t="shared" si="245"/>
        <v>0</v>
      </c>
      <c r="OH55" s="207">
        <f t="shared" si="188"/>
        <v>0</v>
      </c>
      <c r="OI55" s="207">
        <f t="shared" si="246"/>
        <v>0</v>
      </c>
      <c r="OJ55" s="199">
        <f t="shared" si="189"/>
        <v>0</v>
      </c>
      <c r="OK55" s="199">
        <f t="shared" si="190"/>
        <v>0</v>
      </c>
      <c r="OL55" s="199">
        <f t="shared" si="191"/>
        <v>0</v>
      </c>
      <c r="OM55" s="199">
        <f t="shared" si="192"/>
        <v>0</v>
      </c>
      <c r="OO55" s="207">
        <f t="shared" si="247"/>
        <v>0</v>
      </c>
      <c r="OP55" s="207">
        <f t="shared" si="248"/>
        <v>0</v>
      </c>
      <c r="OQ55" s="207">
        <f t="shared" si="193"/>
        <v>0</v>
      </c>
      <c r="OR55" s="207">
        <f t="shared" si="194"/>
        <v>0</v>
      </c>
      <c r="OS55" s="207">
        <f t="shared" si="195"/>
        <v>0</v>
      </c>
      <c r="OT55" s="199">
        <f t="shared" si="196"/>
        <v>0</v>
      </c>
      <c r="OU55" s="199">
        <f t="shared" si="197"/>
        <v>0</v>
      </c>
      <c r="OV55" s="199">
        <f t="shared" si="198"/>
        <v>0</v>
      </c>
      <c r="OW55" s="199">
        <f t="shared" si="199"/>
        <v>0</v>
      </c>
      <c r="OZ55" s="208">
        <f t="shared" si="91"/>
        <v>0</v>
      </c>
      <c r="PA55" s="209"/>
      <c r="PB55" s="209"/>
      <c r="PC55" s="209"/>
      <c r="PD55" s="210">
        <f t="shared" si="200"/>
        <v>0</v>
      </c>
      <c r="PE55" s="210"/>
      <c r="PF55" s="210">
        <f t="shared" si="201"/>
        <v>0</v>
      </c>
      <c r="PG55" s="210">
        <f t="shared" si="202"/>
        <v>0</v>
      </c>
      <c r="PH55" s="210">
        <f t="shared" si="92"/>
        <v>0</v>
      </c>
      <c r="PI55" s="210">
        <f t="shared" si="93"/>
        <v>0</v>
      </c>
      <c r="PJ55" s="210">
        <f t="shared" si="94"/>
        <v>0</v>
      </c>
      <c r="PK55" s="210">
        <f t="shared" si="95"/>
        <v>0</v>
      </c>
      <c r="PL55" s="210">
        <f t="shared" si="96"/>
        <v>0</v>
      </c>
      <c r="PM55" s="211"/>
      <c r="PN55" s="211"/>
      <c r="PO55" s="212">
        <f t="shared" si="203"/>
        <v>0</v>
      </c>
      <c r="PP55" s="212">
        <f t="shared" si="204"/>
        <v>0</v>
      </c>
      <c r="PQ55" s="212">
        <f t="shared" si="205"/>
        <v>0</v>
      </c>
      <c r="PR55" s="211"/>
      <c r="PS55" s="211"/>
      <c r="PT55" s="211"/>
      <c r="PU55" s="211"/>
    </row>
    <row r="56" spans="1:437 16383:16383" s="195" customFormat="1" ht="16" x14ac:dyDescent="0.2">
      <c r="A56" s="213">
        <f t="shared" si="206"/>
        <v>46</v>
      </c>
      <c r="B56" s="186" t="s">
        <v>65</v>
      </c>
      <c r="C56" s="186">
        <v>51</v>
      </c>
      <c r="D56" s="188">
        <v>1</v>
      </c>
      <c r="E56" s="188">
        <v>262</v>
      </c>
      <c r="F56" s="188">
        <v>1</v>
      </c>
      <c r="G56" s="188">
        <f t="shared" si="308"/>
        <v>262</v>
      </c>
      <c r="H56" s="214">
        <f t="shared" si="213"/>
        <v>1</v>
      </c>
      <c r="I56" s="214">
        <f t="shared" si="214"/>
        <v>1</v>
      </c>
      <c r="J56" s="188">
        <v>1</v>
      </c>
      <c r="K56" s="188">
        <f t="shared" si="215"/>
        <v>262</v>
      </c>
      <c r="L56" s="214">
        <f t="shared" si="216"/>
        <v>1</v>
      </c>
      <c r="M56" s="214">
        <f t="shared" si="217"/>
        <v>1</v>
      </c>
      <c r="N56" s="188">
        <v>1</v>
      </c>
      <c r="O56" s="188">
        <f t="shared" si="218"/>
        <v>262</v>
      </c>
      <c r="P56" s="214">
        <f t="shared" si="219"/>
        <v>1</v>
      </c>
      <c r="Q56" s="214">
        <f t="shared" si="220"/>
        <v>1</v>
      </c>
      <c r="R56" s="188">
        <v>1</v>
      </c>
      <c r="S56" s="188">
        <f t="shared" si="221"/>
        <v>262</v>
      </c>
      <c r="T56" s="214">
        <f t="shared" si="222"/>
        <v>1</v>
      </c>
      <c r="U56" s="214">
        <f t="shared" si="223"/>
        <v>1</v>
      </c>
      <c r="V56" s="215">
        <v>1</v>
      </c>
      <c r="W56" s="188">
        <f t="shared" si="224"/>
        <v>262</v>
      </c>
      <c r="X56" s="214">
        <f t="shared" si="225"/>
        <v>1</v>
      </c>
      <c r="Y56" s="214">
        <f t="shared" si="226"/>
        <v>1</v>
      </c>
      <c r="Z56" s="216">
        <f>5054888000/1000000000</f>
        <v>5.054888</v>
      </c>
      <c r="AA56" s="188">
        <v>0</v>
      </c>
      <c r="AB56" s="188">
        <f t="shared" si="112"/>
        <v>0</v>
      </c>
      <c r="AC56" s="214">
        <f t="shared" si="113"/>
        <v>0</v>
      </c>
      <c r="AD56" s="214">
        <f t="shared" si="114"/>
        <v>0</v>
      </c>
      <c r="AE56" s="188"/>
      <c r="AF56" s="188">
        <f t="shared" si="115"/>
        <v>0</v>
      </c>
      <c r="AG56" s="188"/>
      <c r="AH56" s="188"/>
      <c r="AI56" s="188">
        <v>1</v>
      </c>
      <c r="AJ56" s="188">
        <f t="shared" si="2"/>
        <v>262</v>
      </c>
      <c r="AK56" s="188" t="s">
        <v>304</v>
      </c>
      <c r="AL56" s="188">
        <v>0</v>
      </c>
      <c r="AM56" s="188">
        <v>0</v>
      </c>
      <c r="AN56" s="217"/>
      <c r="AO56" s="188">
        <f t="shared" si="207"/>
        <v>1</v>
      </c>
      <c r="AP56" s="188">
        <f t="shared" si="208"/>
        <v>262</v>
      </c>
      <c r="AQ56" s="188">
        <f t="shared" si="227"/>
        <v>1</v>
      </c>
      <c r="AR56" s="188">
        <f t="shared" si="228"/>
        <v>262</v>
      </c>
      <c r="AS56" s="188">
        <f t="shared" si="229"/>
        <v>1</v>
      </c>
      <c r="AT56" s="188">
        <f t="shared" si="230"/>
        <v>262</v>
      </c>
      <c r="AU56" s="188">
        <f t="shared" si="209"/>
        <v>1</v>
      </c>
      <c r="AV56" s="188">
        <f t="shared" si="210"/>
        <v>262</v>
      </c>
      <c r="AW56" s="188">
        <f t="shared" si="211"/>
        <v>1</v>
      </c>
      <c r="AX56" s="188">
        <f t="shared" si="212"/>
        <v>262</v>
      </c>
      <c r="AY56" s="188">
        <f t="shared" si="116"/>
        <v>0</v>
      </c>
      <c r="AZ56" s="188">
        <f t="shared" si="117"/>
        <v>0</v>
      </c>
      <c r="BA56" s="188">
        <f t="shared" si="14"/>
        <v>5.054888</v>
      </c>
      <c r="BB56" s="188">
        <f t="shared" si="15"/>
        <v>0</v>
      </c>
      <c r="BD56" s="196">
        <f t="shared" si="118"/>
        <v>0</v>
      </c>
      <c r="BE56" s="188">
        <f t="shared" si="231"/>
        <v>0</v>
      </c>
      <c r="BF56" s="188">
        <f t="shared" si="232"/>
        <v>0</v>
      </c>
      <c r="BG56" s="188">
        <f t="shared" si="233"/>
        <v>0</v>
      </c>
      <c r="BH56" s="188">
        <f t="shared" si="234"/>
        <v>0</v>
      </c>
      <c r="BI56" s="188">
        <f t="shared" si="235"/>
        <v>0</v>
      </c>
      <c r="BJ56" s="188">
        <f t="shared" si="236"/>
        <v>0</v>
      </c>
      <c r="BK56" s="188">
        <f t="shared" si="22"/>
        <v>0</v>
      </c>
      <c r="BN56" s="277">
        <v>8</v>
      </c>
      <c r="BO56" s="139">
        <v>1</v>
      </c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B56" s="188"/>
      <c r="CD56" s="188">
        <f t="shared" si="23"/>
        <v>8</v>
      </c>
      <c r="CE56" s="188">
        <f t="shared" si="24"/>
        <v>8</v>
      </c>
      <c r="CF56" s="188">
        <f t="shared" si="25"/>
        <v>0</v>
      </c>
      <c r="CG56" s="188">
        <f t="shared" si="26"/>
        <v>0</v>
      </c>
      <c r="CH56" s="188">
        <f t="shared" si="27"/>
        <v>0</v>
      </c>
      <c r="CI56" s="188">
        <f t="shared" si="28"/>
        <v>0</v>
      </c>
      <c r="CJ56" s="188">
        <f t="shared" si="29"/>
        <v>0</v>
      </c>
      <c r="CK56" s="188">
        <f t="shared" si="30"/>
        <v>0</v>
      </c>
      <c r="CL56" s="188">
        <f t="shared" si="31"/>
        <v>0</v>
      </c>
      <c r="CM56" s="188">
        <f t="shared" si="32"/>
        <v>0</v>
      </c>
      <c r="CN56" s="188">
        <f t="shared" si="33"/>
        <v>0</v>
      </c>
      <c r="CO56" s="188">
        <f t="shared" si="34"/>
        <v>0</v>
      </c>
      <c r="CP56" s="188">
        <f t="shared" si="35"/>
        <v>0</v>
      </c>
      <c r="DV56" s="188">
        <f t="shared" si="237"/>
        <v>0</v>
      </c>
      <c r="DW56" s="188">
        <f t="shared" si="238"/>
        <v>0</v>
      </c>
      <c r="DX56" s="188">
        <f t="shared" si="239"/>
        <v>0</v>
      </c>
      <c r="DY56" s="188">
        <f t="shared" si="240"/>
        <v>0</v>
      </c>
      <c r="DZ56" s="188">
        <f t="shared" si="241"/>
        <v>0</v>
      </c>
      <c r="EA56" s="188">
        <f t="shared" si="242"/>
        <v>0</v>
      </c>
      <c r="EB56" s="188">
        <f t="shared" si="42"/>
        <v>0</v>
      </c>
      <c r="EG56" s="220">
        <f t="shared" si="43"/>
        <v>0</v>
      </c>
      <c r="EH56" s="220">
        <f t="shared" si="44"/>
        <v>0</v>
      </c>
      <c r="EI56" s="188"/>
      <c r="EJ56" s="188"/>
      <c r="EK56" s="188"/>
      <c r="EL56" s="188"/>
      <c r="EM56" s="188"/>
      <c r="EN56" s="188"/>
      <c r="EO56" s="188"/>
      <c r="EP56" s="188"/>
      <c r="EQ56" s="188"/>
      <c r="ER56" s="188"/>
      <c r="ES56" s="188"/>
      <c r="ET56" s="188"/>
      <c r="EU56" s="188"/>
      <c r="EV56" s="188"/>
      <c r="EW56" s="188"/>
      <c r="EX56" s="188"/>
      <c r="EY56" s="188"/>
      <c r="EZ56" s="188"/>
      <c r="FA56" s="188"/>
      <c r="FB56" s="188"/>
      <c r="FC56" s="188"/>
      <c r="FD56" s="188"/>
      <c r="FE56" s="188"/>
      <c r="FF56" s="188"/>
      <c r="FH56" s="189"/>
      <c r="FI56" s="189"/>
      <c r="FJ56" s="189"/>
      <c r="FK56" s="189"/>
      <c r="FL56" s="189"/>
      <c r="FM56" s="189"/>
      <c r="FN56" s="189"/>
      <c r="FO56" s="189"/>
      <c r="FP56" s="189"/>
      <c r="FQ56" s="189"/>
      <c r="FR56" s="189"/>
      <c r="FS56" s="189"/>
      <c r="FT56" s="189"/>
      <c r="FU56" s="189"/>
      <c r="FV56" s="189"/>
      <c r="FX56" s="217">
        <v>1</v>
      </c>
      <c r="FY56" s="188">
        <f t="shared" si="45"/>
        <v>8</v>
      </c>
      <c r="FZ56" s="188">
        <f t="shared" si="250"/>
        <v>8</v>
      </c>
      <c r="GA56" s="188">
        <f t="shared" si="251"/>
        <v>0</v>
      </c>
      <c r="GB56" s="188">
        <f t="shared" si="252"/>
        <v>0</v>
      </c>
      <c r="GC56" s="188">
        <f t="shared" si="253"/>
        <v>0</v>
      </c>
      <c r="GD56" s="188">
        <f t="shared" si="254"/>
        <v>0</v>
      </c>
      <c r="GE56" s="188">
        <f t="shared" si="255"/>
        <v>0</v>
      </c>
      <c r="GF56" s="199"/>
      <c r="GG56" s="189">
        <v>0</v>
      </c>
      <c r="GH56" s="189">
        <v>0</v>
      </c>
      <c r="GI56" s="199"/>
      <c r="GJ56" s="200">
        <f t="shared" si="52"/>
        <v>0</v>
      </c>
      <c r="GK56" s="200">
        <f t="shared" si="53"/>
        <v>0</v>
      </c>
      <c r="GO56" s="189">
        <f t="shared" si="256"/>
        <v>0</v>
      </c>
      <c r="GP56" s="189">
        <f t="shared" si="257"/>
        <v>0</v>
      </c>
      <c r="GQ56" s="189">
        <f t="shared" si="258"/>
        <v>0</v>
      </c>
      <c r="GR56" s="189">
        <f t="shared" si="259"/>
        <v>0</v>
      </c>
      <c r="GS56" s="189">
        <f t="shared" si="260"/>
        <v>0</v>
      </c>
      <c r="GT56" s="189">
        <f t="shared" si="124"/>
        <v>1</v>
      </c>
      <c r="GU56" s="201">
        <f t="shared" si="125"/>
        <v>43243</v>
      </c>
      <c r="GV56" s="189" t="str">
        <f t="shared" si="126"/>
        <v>SELESAI</v>
      </c>
      <c r="GW56" s="189">
        <f t="shared" si="127"/>
        <v>0</v>
      </c>
      <c r="GX56" s="202" t="str">
        <f t="shared" si="128"/>
        <v>SELESAI</v>
      </c>
      <c r="GY56" s="202">
        <f t="shared" si="129"/>
        <v>0</v>
      </c>
      <c r="GZ56" s="203" t="str">
        <f t="shared" si="130"/>
        <v>SELESAI</v>
      </c>
      <c r="HA56" s="204"/>
      <c r="HB56" s="204"/>
      <c r="HC56" s="189">
        <f t="shared" si="261"/>
        <v>0</v>
      </c>
      <c r="HD56" s="189">
        <f t="shared" si="262"/>
        <v>0</v>
      </c>
      <c r="HE56" s="189">
        <f t="shared" si="133"/>
        <v>0</v>
      </c>
      <c r="HF56" s="189">
        <f t="shared" si="134"/>
        <v>0</v>
      </c>
      <c r="HG56" s="189">
        <f t="shared" si="135"/>
        <v>0</v>
      </c>
      <c r="HH56" s="201" t="str">
        <f t="shared" si="136"/>
        <v>TIDAK KONSINYASI</v>
      </c>
      <c r="HI56" s="201" t="str">
        <f t="shared" si="137"/>
        <v>SELESAI</v>
      </c>
      <c r="HJ56" s="205"/>
      <c r="HK56" s="201">
        <f t="shared" si="138"/>
        <v>0</v>
      </c>
      <c r="HL56" s="204"/>
      <c r="HM56" s="204"/>
      <c r="HN56" s="204"/>
      <c r="HO56" s="204"/>
      <c r="HP56" s="203">
        <f t="shared" si="139"/>
        <v>0</v>
      </c>
      <c r="HQ56" s="202">
        <f t="shared" si="140"/>
        <v>0</v>
      </c>
      <c r="HR56" s="202">
        <f t="shared" si="263"/>
        <v>0</v>
      </c>
      <c r="HS56" s="203">
        <f t="shared" si="142"/>
        <v>0</v>
      </c>
      <c r="HT56" s="202">
        <f t="shared" si="143"/>
        <v>0</v>
      </c>
      <c r="HU56" s="202">
        <f t="shared" si="264"/>
        <v>0</v>
      </c>
      <c r="HV56" s="203">
        <f t="shared" si="145"/>
        <v>0</v>
      </c>
      <c r="HW56" s="202">
        <f t="shared" si="146"/>
        <v>0</v>
      </c>
      <c r="HX56" s="202">
        <f t="shared" si="265"/>
        <v>0</v>
      </c>
      <c r="HY56" s="203">
        <f t="shared" si="148"/>
        <v>0</v>
      </c>
      <c r="HZ56" s="202">
        <f t="shared" si="149"/>
        <v>0</v>
      </c>
      <c r="IA56" s="202">
        <f t="shared" si="266"/>
        <v>0</v>
      </c>
      <c r="IB56" s="203">
        <f t="shared" si="151"/>
        <v>0</v>
      </c>
      <c r="IC56" s="202">
        <f t="shared" si="152"/>
        <v>0</v>
      </c>
      <c r="ID56" s="202">
        <f t="shared" si="267"/>
        <v>0</v>
      </c>
      <c r="IE56" s="203">
        <f t="shared" si="154"/>
        <v>0</v>
      </c>
      <c r="IF56" s="202">
        <f t="shared" si="155"/>
        <v>0</v>
      </c>
      <c r="IG56" s="202">
        <f t="shared" si="268"/>
        <v>0</v>
      </c>
      <c r="IH56" s="203">
        <f t="shared" si="157"/>
        <v>0</v>
      </c>
      <c r="II56" s="202">
        <f t="shared" si="158"/>
        <v>0</v>
      </c>
      <c r="IJ56" s="202">
        <f t="shared" si="269"/>
        <v>0</v>
      </c>
      <c r="IK56" s="203">
        <f t="shared" si="160"/>
        <v>0</v>
      </c>
      <c r="IL56" s="202">
        <f t="shared" si="161"/>
        <v>0</v>
      </c>
      <c r="IM56" s="202">
        <f t="shared" si="270"/>
        <v>0</v>
      </c>
      <c r="IN56" s="204"/>
      <c r="IO56" s="203">
        <f t="shared" si="163"/>
        <v>0</v>
      </c>
      <c r="IP56" s="202">
        <f t="shared" si="271"/>
        <v>0</v>
      </c>
      <c r="IQ56" s="202">
        <f t="shared" si="272"/>
        <v>0</v>
      </c>
      <c r="IR56" s="204"/>
      <c r="IS56" s="203"/>
      <c r="IT56" s="202">
        <f t="shared" si="273"/>
        <v>1</v>
      </c>
      <c r="IU56" s="202">
        <f t="shared" si="274"/>
        <v>262</v>
      </c>
      <c r="IV56" s="204"/>
      <c r="IW56" s="203"/>
      <c r="IX56" s="202">
        <f t="shared" si="275"/>
        <v>0</v>
      </c>
      <c r="IY56" s="202">
        <f t="shared" si="276"/>
        <v>0</v>
      </c>
      <c r="IZ56" s="204"/>
      <c r="JA56" s="203"/>
      <c r="JB56" s="202">
        <f t="shared" si="277"/>
        <v>0</v>
      </c>
      <c r="JC56" s="202">
        <f t="shared" si="278"/>
        <v>0</v>
      </c>
      <c r="JD56" s="204"/>
      <c r="JE56" s="203"/>
      <c r="JF56" s="202">
        <f t="shared" si="172"/>
        <v>1</v>
      </c>
      <c r="JG56" s="202">
        <f t="shared" si="173"/>
        <v>262</v>
      </c>
      <c r="JH56" s="204"/>
      <c r="JI56" s="203"/>
      <c r="JJ56" s="202">
        <f t="shared" si="279"/>
        <v>0</v>
      </c>
      <c r="JK56" s="202">
        <f t="shared" si="280"/>
        <v>0</v>
      </c>
      <c r="JM56" s="203">
        <f t="shared" si="176"/>
        <v>0</v>
      </c>
      <c r="JO56" s="196">
        <f t="shared" si="54"/>
        <v>1</v>
      </c>
      <c r="JP56" s="189">
        <f t="shared" si="281"/>
        <v>8</v>
      </c>
      <c r="JQ56" s="189">
        <f t="shared" si="282"/>
        <v>1</v>
      </c>
      <c r="JR56" s="189">
        <f t="shared" si="283"/>
        <v>0</v>
      </c>
      <c r="JS56" s="189">
        <f t="shared" si="284"/>
        <v>0</v>
      </c>
      <c r="JT56" s="189">
        <f t="shared" si="285"/>
        <v>0</v>
      </c>
      <c r="JU56" s="189">
        <f t="shared" si="286"/>
        <v>0</v>
      </c>
      <c r="JV56" s="189">
        <f t="shared" si="287"/>
        <v>0</v>
      </c>
      <c r="JW56" s="189">
        <f t="shared" si="288"/>
        <v>0</v>
      </c>
      <c r="JX56" s="189">
        <f t="shared" si="289"/>
        <v>0</v>
      </c>
      <c r="JY56" s="189">
        <f t="shared" si="290"/>
        <v>0</v>
      </c>
      <c r="JZ56" s="189">
        <f t="shared" si="291"/>
        <v>0</v>
      </c>
      <c r="KA56" s="189">
        <f t="shared" si="292"/>
        <v>0</v>
      </c>
      <c r="KB56" s="189">
        <f t="shared" si="293"/>
        <v>0</v>
      </c>
      <c r="KD56" s="206">
        <f t="shared" si="177"/>
        <v>0</v>
      </c>
      <c r="KE56" s="206">
        <f t="shared" si="69"/>
        <v>0</v>
      </c>
      <c r="KF56" s="206">
        <f t="shared" si="294"/>
        <v>8</v>
      </c>
      <c r="KG56" s="206">
        <f t="shared" si="295"/>
        <v>8</v>
      </c>
      <c r="KH56" s="206">
        <f t="shared" si="296"/>
        <v>0</v>
      </c>
      <c r="KI56" s="206">
        <f t="shared" si="297"/>
        <v>0</v>
      </c>
      <c r="KJ56" s="206">
        <f t="shared" si="298"/>
        <v>0</v>
      </c>
      <c r="KK56" s="206">
        <f t="shared" si="299"/>
        <v>0</v>
      </c>
      <c r="KL56" s="206">
        <f t="shared" si="300"/>
        <v>0</v>
      </c>
      <c r="KM56" s="206">
        <f t="shared" si="301"/>
        <v>0</v>
      </c>
      <c r="KN56" s="221">
        <f t="shared" si="302"/>
        <v>0</v>
      </c>
      <c r="KO56" s="221">
        <f t="shared" si="303"/>
        <v>0</v>
      </c>
      <c r="KP56" s="221">
        <f t="shared" si="304"/>
        <v>0</v>
      </c>
      <c r="KQ56" s="221">
        <f t="shared" si="305"/>
        <v>0</v>
      </c>
      <c r="KR56" s="221">
        <f t="shared" si="306"/>
        <v>0</v>
      </c>
      <c r="KT56" s="195">
        <f t="shared" si="307"/>
        <v>0</v>
      </c>
      <c r="KU56" s="221"/>
      <c r="KV56" s="221"/>
      <c r="KW56" s="221"/>
      <c r="KX56" s="221"/>
      <c r="KY56" s="221"/>
      <c r="KZ56" s="221"/>
      <c r="LA56" s="221"/>
      <c r="LB56" s="221"/>
      <c r="LC56" s="221"/>
      <c r="LD56" s="221"/>
      <c r="LE56" s="221"/>
      <c r="LF56" s="221"/>
      <c r="LG56" s="221"/>
      <c r="LH56" s="221"/>
      <c r="LI56" s="221"/>
      <c r="LJ56" s="221"/>
      <c r="LK56" s="221"/>
      <c r="LL56" s="221"/>
      <c r="LM56" s="221"/>
      <c r="LN56" s="221"/>
      <c r="LO56" s="221"/>
      <c r="LP56" s="221"/>
      <c r="LQ56" s="221"/>
      <c r="LR56" s="221"/>
      <c r="LS56" s="221"/>
      <c r="LT56" s="221"/>
      <c r="LU56" s="221"/>
      <c r="LV56" s="221"/>
      <c r="LW56" s="221"/>
      <c r="LX56" s="221"/>
      <c r="LY56" s="221"/>
      <c r="LZ56" s="221"/>
      <c r="MA56" s="221"/>
      <c r="MB56" s="221"/>
      <c r="MC56" s="221"/>
      <c r="MD56" s="221"/>
      <c r="ME56" s="221"/>
      <c r="MF56" s="221"/>
      <c r="MG56" s="221"/>
      <c r="MH56" s="221"/>
      <c r="MI56" s="221"/>
      <c r="MJ56" s="221"/>
      <c r="MK56" s="221"/>
      <c r="ML56" s="221"/>
      <c r="MM56" s="221"/>
      <c r="MN56" s="221"/>
      <c r="MO56" s="221"/>
      <c r="MP56" s="221"/>
      <c r="MQ56" s="221"/>
      <c r="MR56" s="221"/>
      <c r="MS56" s="221"/>
      <c r="MT56" s="221"/>
      <c r="MU56" s="221"/>
      <c r="MV56" s="221"/>
      <c r="MW56" s="221"/>
      <c r="MX56" s="221"/>
      <c r="MY56" s="221"/>
      <c r="MZ56" s="221"/>
      <c r="NA56" s="221"/>
      <c r="NB56" s="221"/>
      <c r="NC56" s="221"/>
      <c r="ND56" s="221"/>
      <c r="NE56" s="221"/>
      <c r="NF56" s="221"/>
      <c r="NG56" s="221"/>
      <c r="NH56" s="221"/>
      <c r="NI56" s="221"/>
      <c r="NJ56" s="221"/>
      <c r="NK56" s="221"/>
      <c r="NM56" s="195">
        <f t="shared" si="178"/>
        <v>0</v>
      </c>
      <c r="NN56" s="195">
        <f t="shared" si="179"/>
        <v>0</v>
      </c>
      <c r="NO56" s="195">
        <f t="shared" si="180"/>
        <v>0</v>
      </c>
      <c r="NP56" s="195">
        <f t="shared" si="181"/>
        <v>0</v>
      </c>
      <c r="NQ56" s="195">
        <f t="shared" si="182"/>
        <v>0</v>
      </c>
      <c r="NR56" s="195">
        <f t="shared" si="183"/>
        <v>0</v>
      </c>
      <c r="NS56" s="195">
        <f t="shared" si="184"/>
        <v>0</v>
      </c>
      <c r="NT56" s="195">
        <f t="shared" si="185"/>
        <v>0</v>
      </c>
      <c r="NU56" s="196">
        <f t="shared" si="186"/>
        <v>0</v>
      </c>
      <c r="NY56" s="215">
        <f t="shared" si="249"/>
        <v>1</v>
      </c>
      <c r="NZ56" s="222">
        <v>12250000</v>
      </c>
      <c r="OE56" s="207">
        <f t="shared" si="243"/>
        <v>0</v>
      </c>
      <c r="OF56" s="207">
        <f t="shared" si="244"/>
        <v>0</v>
      </c>
      <c r="OG56" s="207">
        <f t="shared" si="245"/>
        <v>0</v>
      </c>
      <c r="OH56" s="207">
        <f t="shared" si="188"/>
        <v>0</v>
      </c>
      <c r="OI56" s="207">
        <f t="shared" si="246"/>
        <v>0</v>
      </c>
      <c r="OJ56" s="199">
        <f t="shared" si="189"/>
        <v>0</v>
      </c>
      <c r="OK56" s="199">
        <f t="shared" si="190"/>
        <v>0</v>
      </c>
      <c r="OL56" s="199">
        <f t="shared" si="191"/>
        <v>0</v>
      </c>
      <c r="OM56" s="199">
        <f t="shared" si="192"/>
        <v>0</v>
      </c>
      <c r="OO56" s="207">
        <f t="shared" si="247"/>
        <v>0</v>
      </c>
      <c r="OP56" s="207">
        <f t="shared" si="248"/>
        <v>0</v>
      </c>
      <c r="OQ56" s="207">
        <f t="shared" si="193"/>
        <v>0</v>
      </c>
      <c r="OR56" s="207">
        <f t="shared" si="194"/>
        <v>0</v>
      </c>
      <c r="OS56" s="207">
        <f t="shared" si="195"/>
        <v>0</v>
      </c>
      <c r="OT56" s="199">
        <f t="shared" si="196"/>
        <v>0</v>
      </c>
      <c r="OU56" s="199">
        <f t="shared" si="197"/>
        <v>0</v>
      </c>
      <c r="OV56" s="199">
        <f t="shared" si="198"/>
        <v>0</v>
      </c>
      <c r="OW56" s="199">
        <f t="shared" si="199"/>
        <v>0</v>
      </c>
      <c r="OZ56" s="208">
        <f t="shared" si="91"/>
        <v>0</v>
      </c>
      <c r="PA56" s="209"/>
      <c r="PB56" s="209"/>
      <c r="PC56" s="209"/>
      <c r="PD56" s="210">
        <f t="shared" si="200"/>
        <v>0</v>
      </c>
      <c r="PE56" s="210"/>
      <c r="PF56" s="210">
        <f t="shared" si="201"/>
        <v>0</v>
      </c>
      <c r="PG56" s="210">
        <f t="shared" si="202"/>
        <v>0</v>
      </c>
      <c r="PH56" s="210">
        <f t="shared" si="92"/>
        <v>0</v>
      </c>
      <c r="PI56" s="210">
        <f t="shared" si="93"/>
        <v>0</v>
      </c>
      <c r="PJ56" s="210">
        <f t="shared" si="94"/>
        <v>0</v>
      </c>
      <c r="PK56" s="210">
        <f t="shared" si="95"/>
        <v>0</v>
      </c>
      <c r="PL56" s="210">
        <f t="shared" si="96"/>
        <v>0</v>
      </c>
      <c r="PM56" s="211"/>
      <c r="PN56" s="211"/>
      <c r="PO56" s="212">
        <f t="shared" si="203"/>
        <v>0</v>
      </c>
      <c r="PP56" s="212">
        <f t="shared" si="204"/>
        <v>0</v>
      </c>
      <c r="PQ56" s="212">
        <f t="shared" si="205"/>
        <v>0</v>
      </c>
      <c r="PR56" s="211"/>
      <c r="PS56" s="211"/>
      <c r="PT56" s="211"/>
      <c r="PU56" s="211"/>
    </row>
    <row r="57" spans="1:437 16383:16383" s="195" customFormat="1" ht="16" x14ac:dyDescent="0.2">
      <c r="A57" s="213">
        <f t="shared" si="206"/>
        <v>47</v>
      </c>
      <c r="B57" s="186" t="s">
        <v>406</v>
      </c>
      <c r="C57" s="186">
        <v>52</v>
      </c>
      <c r="D57" s="188">
        <v>1</v>
      </c>
      <c r="E57" s="188">
        <v>207</v>
      </c>
      <c r="F57" s="188">
        <v>1</v>
      </c>
      <c r="G57" s="188">
        <f t="shared" si="308"/>
        <v>207</v>
      </c>
      <c r="H57" s="214">
        <f t="shared" si="213"/>
        <v>1</v>
      </c>
      <c r="I57" s="214">
        <f t="shared" si="214"/>
        <v>1</v>
      </c>
      <c r="J57" s="188">
        <v>1</v>
      </c>
      <c r="K57" s="188">
        <f t="shared" si="215"/>
        <v>207</v>
      </c>
      <c r="L57" s="214">
        <f t="shared" si="216"/>
        <v>1</v>
      </c>
      <c r="M57" s="214">
        <f t="shared" si="217"/>
        <v>1</v>
      </c>
      <c r="N57" s="188">
        <v>1</v>
      </c>
      <c r="O57" s="188">
        <f t="shared" si="218"/>
        <v>207</v>
      </c>
      <c r="P57" s="214">
        <f t="shared" si="219"/>
        <v>1</v>
      </c>
      <c r="Q57" s="214">
        <f t="shared" si="220"/>
        <v>1</v>
      </c>
      <c r="R57" s="188">
        <v>1</v>
      </c>
      <c r="S57" s="188">
        <f t="shared" si="221"/>
        <v>207</v>
      </c>
      <c r="T57" s="214">
        <f t="shared" si="222"/>
        <v>1</v>
      </c>
      <c r="U57" s="214">
        <f t="shared" si="223"/>
        <v>1</v>
      </c>
      <c r="V57" s="215">
        <v>1</v>
      </c>
      <c r="W57" s="188">
        <f t="shared" si="224"/>
        <v>207</v>
      </c>
      <c r="X57" s="214">
        <f t="shared" si="225"/>
        <v>1</v>
      </c>
      <c r="Y57" s="214">
        <f t="shared" si="226"/>
        <v>1</v>
      </c>
      <c r="Z57" s="216">
        <f>5381488000/1000000000</f>
        <v>5.381488</v>
      </c>
      <c r="AA57" s="188">
        <v>0</v>
      </c>
      <c r="AB57" s="188">
        <f t="shared" si="112"/>
        <v>0</v>
      </c>
      <c r="AC57" s="214">
        <f t="shared" si="113"/>
        <v>0</v>
      </c>
      <c r="AD57" s="214">
        <f t="shared" si="114"/>
        <v>0</v>
      </c>
      <c r="AE57" s="188"/>
      <c r="AF57" s="188">
        <f t="shared" si="115"/>
        <v>0</v>
      </c>
      <c r="AG57" s="188"/>
      <c r="AH57" s="188"/>
      <c r="AI57" s="188">
        <v>1</v>
      </c>
      <c r="AJ57" s="188">
        <f t="shared" si="2"/>
        <v>207</v>
      </c>
      <c r="AK57" s="188" t="s">
        <v>304</v>
      </c>
      <c r="AL57" s="188">
        <v>0</v>
      </c>
      <c r="AM57" s="188">
        <v>0</v>
      </c>
      <c r="AN57" s="217"/>
      <c r="AO57" s="188">
        <f t="shared" si="207"/>
        <v>1</v>
      </c>
      <c r="AP57" s="188">
        <f t="shared" si="208"/>
        <v>207</v>
      </c>
      <c r="AQ57" s="188">
        <f t="shared" si="227"/>
        <v>1</v>
      </c>
      <c r="AR57" s="188">
        <f t="shared" si="228"/>
        <v>207</v>
      </c>
      <c r="AS57" s="188">
        <f t="shared" si="229"/>
        <v>1</v>
      </c>
      <c r="AT57" s="188">
        <f t="shared" si="230"/>
        <v>207</v>
      </c>
      <c r="AU57" s="188">
        <f t="shared" si="209"/>
        <v>1</v>
      </c>
      <c r="AV57" s="188">
        <f t="shared" si="210"/>
        <v>207</v>
      </c>
      <c r="AW57" s="188">
        <f t="shared" si="211"/>
        <v>1</v>
      </c>
      <c r="AX57" s="188">
        <f t="shared" si="212"/>
        <v>207</v>
      </c>
      <c r="AY57" s="188">
        <f t="shared" si="116"/>
        <v>0</v>
      </c>
      <c r="AZ57" s="188">
        <f t="shared" si="117"/>
        <v>0</v>
      </c>
      <c r="BA57" s="188">
        <f t="shared" si="14"/>
        <v>5.381488</v>
      </c>
      <c r="BB57" s="188">
        <f t="shared" si="15"/>
        <v>0</v>
      </c>
      <c r="BD57" s="196">
        <f t="shared" si="118"/>
        <v>0</v>
      </c>
      <c r="BE57" s="188">
        <f t="shared" si="231"/>
        <v>0</v>
      </c>
      <c r="BF57" s="188">
        <f t="shared" si="232"/>
        <v>0</v>
      </c>
      <c r="BG57" s="188">
        <f t="shared" si="233"/>
        <v>0</v>
      </c>
      <c r="BH57" s="188">
        <f t="shared" si="234"/>
        <v>0</v>
      </c>
      <c r="BI57" s="188">
        <f t="shared" si="235"/>
        <v>0</v>
      </c>
      <c r="BJ57" s="188">
        <f t="shared" si="236"/>
        <v>0</v>
      </c>
      <c r="BK57" s="188">
        <f t="shared" si="22"/>
        <v>0</v>
      </c>
      <c r="BN57" s="277">
        <v>16</v>
      </c>
      <c r="BO57" s="139">
        <v>1</v>
      </c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B57" s="188"/>
      <c r="CD57" s="188">
        <f t="shared" si="23"/>
        <v>16</v>
      </c>
      <c r="CE57" s="188">
        <f t="shared" si="24"/>
        <v>16</v>
      </c>
      <c r="CF57" s="188">
        <f t="shared" si="25"/>
        <v>0</v>
      </c>
      <c r="CG57" s="188">
        <f t="shared" si="26"/>
        <v>0</v>
      </c>
      <c r="CH57" s="188">
        <f t="shared" si="27"/>
        <v>0</v>
      </c>
      <c r="CI57" s="188">
        <f t="shared" si="28"/>
        <v>0</v>
      </c>
      <c r="CJ57" s="188">
        <f t="shared" si="29"/>
        <v>0</v>
      </c>
      <c r="CK57" s="188">
        <f t="shared" si="30"/>
        <v>0</v>
      </c>
      <c r="CL57" s="188">
        <f t="shared" si="31"/>
        <v>0</v>
      </c>
      <c r="CM57" s="188">
        <f t="shared" si="32"/>
        <v>0</v>
      </c>
      <c r="CN57" s="188">
        <f t="shared" si="33"/>
        <v>0</v>
      </c>
      <c r="CO57" s="188">
        <f t="shared" si="34"/>
        <v>0</v>
      </c>
      <c r="CP57" s="188">
        <f t="shared" si="35"/>
        <v>0</v>
      </c>
      <c r="DV57" s="188">
        <f t="shared" si="237"/>
        <v>0</v>
      </c>
      <c r="DW57" s="188">
        <f t="shared" si="238"/>
        <v>0</v>
      </c>
      <c r="DX57" s="188">
        <f t="shared" si="239"/>
        <v>0</v>
      </c>
      <c r="DY57" s="188">
        <f t="shared" si="240"/>
        <v>0</v>
      </c>
      <c r="DZ57" s="188">
        <f t="shared" si="241"/>
        <v>0</v>
      </c>
      <c r="EA57" s="188">
        <f t="shared" si="242"/>
        <v>0</v>
      </c>
      <c r="EB57" s="188">
        <f t="shared" si="42"/>
        <v>0</v>
      </c>
      <c r="EG57" s="220">
        <f t="shared" si="43"/>
        <v>0</v>
      </c>
      <c r="EH57" s="220">
        <f t="shared" si="44"/>
        <v>0</v>
      </c>
      <c r="EI57" s="188"/>
      <c r="EJ57" s="188"/>
      <c r="EK57" s="188"/>
      <c r="EL57" s="188"/>
      <c r="EM57" s="188"/>
      <c r="EN57" s="188"/>
      <c r="EO57" s="188"/>
      <c r="EP57" s="188"/>
      <c r="EQ57" s="188"/>
      <c r="ER57" s="188"/>
      <c r="ES57" s="188"/>
      <c r="ET57" s="188"/>
      <c r="EU57" s="188"/>
      <c r="EV57" s="188"/>
      <c r="EW57" s="188"/>
      <c r="EX57" s="188"/>
      <c r="EY57" s="188"/>
      <c r="EZ57" s="188"/>
      <c r="FA57" s="188"/>
      <c r="FB57" s="188"/>
      <c r="FC57" s="188"/>
      <c r="FD57" s="188"/>
      <c r="FE57" s="188"/>
      <c r="FF57" s="188"/>
      <c r="FH57" s="189"/>
      <c r="FI57" s="189"/>
      <c r="FJ57" s="189"/>
      <c r="FK57" s="189"/>
      <c r="FL57" s="189"/>
      <c r="FM57" s="189"/>
      <c r="FN57" s="189"/>
      <c r="FO57" s="189"/>
      <c r="FP57" s="189"/>
      <c r="FQ57" s="189"/>
      <c r="FR57" s="189"/>
      <c r="FS57" s="189"/>
      <c r="FT57" s="189"/>
      <c r="FU57" s="189"/>
      <c r="FV57" s="189"/>
      <c r="FX57" s="217">
        <v>1</v>
      </c>
      <c r="FY57" s="188">
        <f t="shared" si="45"/>
        <v>16</v>
      </c>
      <c r="FZ57" s="188">
        <f t="shared" si="250"/>
        <v>16</v>
      </c>
      <c r="GA57" s="188">
        <f t="shared" si="251"/>
        <v>0</v>
      </c>
      <c r="GB57" s="188">
        <f t="shared" si="252"/>
        <v>0</v>
      </c>
      <c r="GC57" s="188">
        <f t="shared" si="253"/>
        <v>0</v>
      </c>
      <c r="GD57" s="188">
        <f t="shared" si="254"/>
        <v>0</v>
      </c>
      <c r="GE57" s="188">
        <f t="shared" si="255"/>
        <v>0</v>
      </c>
      <c r="GF57" s="199"/>
      <c r="GG57" s="189">
        <v>0</v>
      </c>
      <c r="GH57" s="189">
        <v>0</v>
      </c>
      <c r="GI57" s="199"/>
      <c r="GJ57" s="200">
        <f t="shared" si="52"/>
        <v>0</v>
      </c>
      <c r="GK57" s="200">
        <f t="shared" si="53"/>
        <v>0</v>
      </c>
      <c r="GO57" s="189">
        <f t="shared" si="256"/>
        <v>0</v>
      </c>
      <c r="GP57" s="189">
        <f t="shared" si="257"/>
        <v>0</v>
      </c>
      <c r="GQ57" s="189">
        <f t="shared" si="258"/>
        <v>0</v>
      </c>
      <c r="GR57" s="189">
        <f t="shared" si="259"/>
        <v>0</v>
      </c>
      <c r="GS57" s="189">
        <f t="shared" si="260"/>
        <v>0</v>
      </c>
      <c r="GT57" s="189">
        <f t="shared" si="124"/>
        <v>1</v>
      </c>
      <c r="GU57" s="201">
        <f t="shared" si="125"/>
        <v>43243</v>
      </c>
      <c r="GV57" s="189" t="str">
        <f t="shared" si="126"/>
        <v>SELESAI</v>
      </c>
      <c r="GW57" s="189">
        <f t="shared" si="127"/>
        <v>0</v>
      </c>
      <c r="GX57" s="202" t="str">
        <f t="shared" si="128"/>
        <v>SELESAI</v>
      </c>
      <c r="GY57" s="202">
        <f t="shared" si="129"/>
        <v>0</v>
      </c>
      <c r="GZ57" s="203" t="str">
        <f t="shared" si="130"/>
        <v>SELESAI</v>
      </c>
      <c r="HA57" s="204"/>
      <c r="HB57" s="204"/>
      <c r="HC57" s="189">
        <f t="shared" si="261"/>
        <v>0</v>
      </c>
      <c r="HD57" s="189">
        <f t="shared" si="262"/>
        <v>0</v>
      </c>
      <c r="HE57" s="189">
        <f t="shared" si="133"/>
        <v>0</v>
      </c>
      <c r="HF57" s="189">
        <f t="shared" si="134"/>
        <v>0</v>
      </c>
      <c r="HG57" s="189">
        <f t="shared" si="135"/>
        <v>0</v>
      </c>
      <c r="HH57" s="201" t="str">
        <f t="shared" si="136"/>
        <v>TIDAK KONSINYASI</v>
      </c>
      <c r="HI57" s="201" t="str">
        <f t="shared" si="137"/>
        <v>SELESAI</v>
      </c>
      <c r="HJ57" s="205"/>
      <c r="HK57" s="201">
        <f t="shared" si="138"/>
        <v>0</v>
      </c>
      <c r="HL57" s="204"/>
      <c r="HM57" s="204"/>
      <c r="HN57" s="204"/>
      <c r="HO57" s="204"/>
      <c r="HP57" s="203">
        <f t="shared" si="139"/>
        <v>0</v>
      </c>
      <c r="HQ57" s="202">
        <f t="shared" si="140"/>
        <v>0</v>
      </c>
      <c r="HR57" s="202">
        <f t="shared" si="263"/>
        <v>0</v>
      </c>
      <c r="HS57" s="203">
        <f t="shared" si="142"/>
        <v>0</v>
      </c>
      <c r="HT57" s="202">
        <f t="shared" si="143"/>
        <v>0</v>
      </c>
      <c r="HU57" s="202">
        <f t="shared" si="264"/>
        <v>0</v>
      </c>
      <c r="HV57" s="203">
        <f t="shared" si="145"/>
        <v>0</v>
      </c>
      <c r="HW57" s="202">
        <f t="shared" si="146"/>
        <v>0</v>
      </c>
      <c r="HX57" s="202">
        <f t="shared" si="265"/>
        <v>0</v>
      </c>
      <c r="HY57" s="203">
        <f t="shared" si="148"/>
        <v>0</v>
      </c>
      <c r="HZ57" s="202">
        <f t="shared" si="149"/>
        <v>0</v>
      </c>
      <c r="IA57" s="202">
        <f t="shared" si="266"/>
        <v>0</v>
      </c>
      <c r="IB57" s="203">
        <f t="shared" si="151"/>
        <v>0</v>
      </c>
      <c r="IC57" s="202">
        <f t="shared" si="152"/>
        <v>0</v>
      </c>
      <c r="ID57" s="202">
        <f t="shared" si="267"/>
        <v>0</v>
      </c>
      <c r="IE57" s="203">
        <f t="shared" si="154"/>
        <v>0</v>
      </c>
      <c r="IF57" s="202">
        <f t="shared" si="155"/>
        <v>0</v>
      </c>
      <c r="IG57" s="202">
        <f t="shared" si="268"/>
        <v>0</v>
      </c>
      <c r="IH57" s="203">
        <f t="shared" si="157"/>
        <v>0</v>
      </c>
      <c r="II57" s="202">
        <f t="shared" si="158"/>
        <v>0</v>
      </c>
      <c r="IJ57" s="202">
        <f t="shared" si="269"/>
        <v>0</v>
      </c>
      <c r="IK57" s="203">
        <f t="shared" si="160"/>
        <v>0</v>
      </c>
      <c r="IL57" s="202">
        <f t="shared" si="161"/>
        <v>0</v>
      </c>
      <c r="IM57" s="202">
        <f t="shared" si="270"/>
        <v>0</v>
      </c>
      <c r="IN57" s="204"/>
      <c r="IO57" s="203">
        <f t="shared" si="163"/>
        <v>0</v>
      </c>
      <c r="IP57" s="202">
        <f t="shared" si="271"/>
        <v>0</v>
      </c>
      <c r="IQ57" s="202">
        <f t="shared" si="272"/>
        <v>0</v>
      </c>
      <c r="IR57" s="204"/>
      <c r="IS57" s="203"/>
      <c r="IT57" s="202">
        <f t="shared" si="273"/>
        <v>1</v>
      </c>
      <c r="IU57" s="202">
        <f t="shared" si="274"/>
        <v>207</v>
      </c>
      <c r="IV57" s="204"/>
      <c r="IW57" s="203"/>
      <c r="IX57" s="202">
        <f t="shared" si="275"/>
        <v>0</v>
      </c>
      <c r="IY57" s="202">
        <f t="shared" si="276"/>
        <v>0</v>
      </c>
      <c r="IZ57" s="204"/>
      <c r="JA57" s="203"/>
      <c r="JB57" s="202">
        <f t="shared" si="277"/>
        <v>0</v>
      </c>
      <c r="JC57" s="202">
        <f t="shared" si="278"/>
        <v>0</v>
      </c>
      <c r="JD57" s="204"/>
      <c r="JE57" s="203"/>
      <c r="JF57" s="202">
        <f t="shared" si="172"/>
        <v>1</v>
      </c>
      <c r="JG57" s="202">
        <f t="shared" si="173"/>
        <v>207</v>
      </c>
      <c r="JH57" s="204"/>
      <c r="JI57" s="203"/>
      <c r="JJ57" s="202">
        <f t="shared" si="279"/>
        <v>0</v>
      </c>
      <c r="JK57" s="202">
        <f t="shared" si="280"/>
        <v>0</v>
      </c>
      <c r="JM57" s="203">
        <f t="shared" si="176"/>
        <v>0</v>
      </c>
      <c r="JO57" s="196">
        <f t="shared" si="54"/>
        <v>1</v>
      </c>
      <c r="JP57" s="189">
        <f t="shared" si="281"/>
        <v>16</v>
      </c>
      <c r="JQ57" s="189">
        <f t="shared" si="282"/>
        <v>1</v>
      </c>
      <c r="JR57" s="189">
        <f t="shared" si="283"/>
        <v>0</v>
      </c>
      <c r="JS57" s="189">
        <f t="shared" si="284"/>
        <v>0</v>
      </c>
      <c r="JT57" s="189">
        <f t="shared" si="285"/>
        <v>0</v>
      </c>
      <c r="JU57" s="189">
        <f t="shared" si="286"/>
        <v>0</v>
      </c>
      <c r="JV57" s="189">
        <f t="shared" si="287"/>
        <v>0</v>
      </c>
      <c r="JW57" s="189">
        <f t="shared" si="288"/>
        <v>0</v>
      </c>
      <c r="JX57" s="189">
        <f t="shared" si="289"/>
        <v>0</v>
      </c>
      <c r="JY57" s="189">
        <f t="shared" si="290"/>
        <v>0</v>
      </c>
      <c r="JZ57" s="189">
        <f t="shared" si="291"/>
        <v>0</v>
      </c>
      <c r="KA57" s="189">
        <f t="shared" si="292"/>
        <v>0</v>
      </c>
      <c r="KB57" s="189">
        <f t="shared" si="293"/>
        <v>0</v>
      </c>
      <c r="KD57" s="206">
        <f t="shared" si="177"/>
        <v>0</v>
      </c>
      <c r="KE57" s="206">
        <f t="shared" si="69"/>
        <v>0</v>
      </c>
      <c r="KF57" s="206">
        <f t="shared" si="294"/>
        <v>16</v>
      </c>
      <c r="KG57" s="206">
        <f t="shared" si="295"/>
        <v>16</v>
      </c>
      <c r="KH57" s="206">
        <f t="shared" si="296"/>
        <v>0</v>
      </c>
      <c r="KI57" s="206">
        <f t="shared" si="297"/>
        <v>0</v>
      </c>
      <c r="KJ57" s="206">
        <f t="shared" si="298"/>
        <v>0</v>
      </c>
      <c r="KK57" s="206">
        <f t="shared" si="299"/>
        <v>0</v>
      </c>
      <c r="KL57" s="206">
        <f t="shared" si="300"/>
        <v>0</v>
      </c>
      <c r="KM57" s="206">
        <f t="shared" si="301"/>
        <v>0</v>
      </c>
      <c r="KN57" s="221">
        <f t="shared" si="302"/>
        <v>0</v>
      </c>
      <c r="KO57" s="221">
        <f t="shared" si="303"/>
        <v>0</v>
      </c>
      <c r="KP57" s="221">
        <f t="shared" si="304"/>
        <v>0</v>
      </c>
      <c r="KQ57" s="221">
        <f t="shared" si="305"/>
        <v>0</v>
      </c>
      <c r="KR57" s="221">
        <f t="shared" si="306"/>
        <v>0</v>
      </c>
      <c r="KT57" s="195">
        <f t="shared" si="307"/>
        <v>0</v>
      </c>
      <c r="KU57" s="221"/>
      <c r="KV57" s="221"/>
      <c r="KW57" s="221"/>
      <c r="KX57" s="221"/>
      <c r="KY57" s="221"/>
      <c r="KZ57" s="221"/>
      <c r="LA57" s="221"/>
      <c r="LB57" s="221"/>
      <c r="LC57" s="221"/>
      <c r="LD57" s="221"/>
      <c r="LE57" s="221"/>
      <c r="LF57" s="221"/>
      <c r="LG57" s="221"/>
      <c r="LH57" s="221"/>
      <c r="LI57" s="221"/>
      <c r="LJ57" s="221"/>
      <c r="LK57" s="221"/>
      <c r="LL57" s="221"/>
      <c r="LM57" s="221"/>
      <c r="LN57" s="221"/>
      <c r="LO57" s="221"/>
      <c r="LP57" s="221"/>
      <c r="LQ57" s="221"/>
      <c r="LR57" s="221"/>
      <c r="LS57" s="221"/>
      <c r="LT57" s="221"/>
      <c r="LU57" s="221"/>
      <c r="LV57" s="221"/>
      <c r="LW57" s="221"/>
      <c r="LX57" s="221"/>
      <c r="LY57" s="221"/>
      <c r="LZ57" s="221"/>
      <c r="MA57" s="221"/>
      <c r="MB57" s="221"/>
      <c r="MC57" s="221"/>
      <c r="MD57" s="221"/>
      <c r="ME57" s="221"/>
      <c r="MF57" s="221"/>
      <c r="MG57" s="221"/>
      <c r="MH57" s="221"/>
      <c r="MI57" s="221"/>
      <c r="MJ57" s="221"/>
      <c r="MK57" s="221"/>
      <c r="ML57" s="221"/>
      <c r="MM57" s="221"/>
      <c r="MN57" s="221"/>
      <c r="MO57" s="221"/>
      <c r="MP57" s="221"/>
      <c r="MQ57" s="221"/>
      <c r="MR57" s="221"/>
      <c r="MS57" s="221"/>
      <c r="MT57" s="221"/>
      <c r="MU57" s="221"/>
      <c r="MV57" s="221"/>
      <c r="MW57" s="221"/>
      <c r="MX57" s="221"/>
      <c r="MY57" s="221"/>
      <c r="MZ57" s="221"/>
      <c r="NA57" s="221"/>
      <c r="NB57" s="221"/>
      <c r="NC57" s="221"/>
      <c r="ND57" s="221"/>
      <c r="NE57" s="221"/>
      <c r="NF57" s="221"/>
      <c r="NG57" s="221"/>
      <c r="NH57" s="221"/>
      <c r="NI57" s="221"/>
      <c r="NJ57" s="221"/>
      <c r="NK57" s="221"/>
      <c r="NM57" s="195">
        <f t="shared" si="178"/>
        <v>0</v>
      </c>
      <c r="NN57" s="195">
        <f t="shared" si="179"/>
        <v>0</v>
      </c>
      <c r="NO57" s="195">
        <f t="shared" si="180"/>
        <v>0</v>
      </c>
      <c r="NP57" s="195">
        <f t="shared" si="181"/>
        <v>0</v>
      </c>
      <c r="NQ57" s="195">
        <f t="shared" si="182"/>
        <v>0</v>
      </c>
      <c r="NR57" s="195">
        <f t="shared" si="183"/>
        <v>0</v>
      </c>
      <c r="NS57" s="195">
        <f t="shared" si="184"/>
        <v>0</v>
      </c>
      <c r="NT57" s="195">
        <f t="shared" si="185"/>
        <v>0</v>
      </c>
      <c r="NU57" s="196">
        <f t="shared" si="186"/>
        <v>0</v>
      </c>
      <c r="NY57" s="215">
        <f t="shared" si="249"/>
        <v>1</v>
      </c>
      <c r="NZ57" s="222">
        <v>12500000</v>
      </c>
      <c r="OE57" s="207">
        <f t="shared" si="243"/>
        <v>0</v>
      </c>
      <c r="OF57" s="207">
        <f t="shared" si="244"/>
        <v>0</v>
      </c>
      <c r="OG57" s="207">
        <f t="shared" si="245"/>
        <v>0</v>
      </c>
      <c r="OH57" s="207">
        <f t="shared" si="188"/>
        <v>0</v>
      </c>
      <c r="OI57" s="207">
        <f t="shared" si="246"/>
        <v>0</v>
      </c>
      <c r="OJ57" s="199">
        <f t="shared" si="189"/>
        <v>0</v>
      </c>
      <c r="OK57" s="199">
        <f t="shared" si="190"/>
        <v>0</v>
      </c>
      <c r="OL57" s="199">
        <f t="shared" si="191"/>
        <v>0</v>
      </c>
      <c r="OM57" s="199">
        <f t="shared" si="192"/>
        <v>0</v>
      </c>
      <c r="OO57" s="207">
        <f t="shared" si="247"/>
        <v>0</v>
      </c>
      <c r="OP57" s="207">
        <f t="shared" si="248"/>
        <v>0</v>
      </c>
      <c r="OQ57" s="207">
        <f t="shared" si="193"/>
        <v>0</v>
      </c>
      <c r="OR57" s="207">
        <f t="shared" si="194"/>
        <v>0</v>
      </c>
      <c r="OS57" s="207">
        <f t="shared" si="195"/>
        <v>0</v>
      </c>
      <c r="OT57" s="199">
        <f t="shared" si="196"/>
        <v>0</v>
      </c>
      <c r="OU57" s="199">
        <f t="shared" si="197"/>
        <v>0</v>
      </c>
      <c r="OV57" s="199">
        <f t="shared" si="198"/>
        <v>0</v>
      </c>
      <c r="OW57" s="199">
        <f t="shared" si="199"/>
        <v>0</v>
      </c>
      <c r="OZ57" s="208">
        <f t="shared" si="91"/>
        <v>0</v>
      </c>
      <c r="PA57" s="209"/>
      <c r="PB57" s="209"/>
      <c r="PC57" s="209"/>
      <c r="PD57" s="210">
        <f t="shared" si="200"/>
        <v>0</v>
      </c>
      <c r="PE57" s="210"/>
      <c r="PF57" s="210">
        <f t="shared" si="201"/>
        <v>0</v>
      </c>
      <c r="PG57" s="210">
        <f t="shared" si="202"/>
        <v>0</v>
      </c>
      <c r="PH57" s="210">
        <f t="shared" si="92"/>
        <v>0</v>
      </c>
      <c r="PI57" s="210">
        <f t="shared" si="93"/>
        <v>0</v>
      </c>
      <c r="PJ57" s="210">
        <f t="shared" si="94"/>
        <v>0</v>
      </c>
      <c r="PK57" s="210">
        <f t="shared" si="95"/>
        <v>0</v>
      </c>
      <c r="PL57" s="210">
        <f t="shared" si="96"/>
        <v>0</v>
      </c>
      <c r="PM57" s="211"/>
      <c r="PN57" s="211"/>
      <c r="PO57" s="212">
        <f t="shared" si="203"/>
        <v>0</v>
      </c>
      <c r="PP57" s="212">
        <f t="shared" si="204"/>
        <v>0</v>
      </c>
      <c r="PQ57" s="212">
        <f t="shared" si="205"/>
        <v>0</v>
      </c>
      <c r="PR57" s="211"/>
      <c r="PS57" s="211"/>
      <c r="PT57" s="211"/>
      <c r="PU57" s="211"/>
    </row>
    <row r="58" spans="1:437 16383:16383" s="195" customFormat="1" ht="16" x14ac:dyDescent="0.2">
      <c r="A58" s="213">
        <f t="shared" si="206"/>
        <v>48</v>
      </c>
      <c r="B58" s="186" t="s">
        <v>407</v>
      </c>
      <c r="C58" s="186">
        <v>53</v>
      </c>
      <c r="D58" s="188">
        <v>1</v>
      </c>
      <c r="E58" s="188">
        <v>225</v>
      </c>
      <c r="F58" s="188">
        <v>1</v>
      </c>
      <c r="G58" s="188">
        <f t="shared" si="308"/>
        <v>225</v>
      </c>
      <c r="H58" s="214">
        <f t="shared" si="213"/>
        <v>1</v>
      </c>
      <c r="I58" s="214">
        <f t="shared" si="214"/>
        <v>1</v>
      </c>
      <c r="J58" s="188">
        <v>1</v>
      </c>
      <c r="K58" s="188">
        <f t="shared" si="215"/>
        <v>225</v>
      </c>
      <c r="L58" s="214">
        <f t="shared" si="216"/>
        <v>1</v>
      </c>
      <c r="M58" s="214">
        <f t="shared" si="217"/>
        <v>1</v>
      </c>
      <c r="N58" s="188">
        <v>1</v>
      </c>
      <c r="O58" s="188">
        <f t="shared" si="218"/>
        <v>225</v>
      </c>
      <c r="P58" s="214">
        <f t="shared" si="219"/>
        <v>1</v>
      </c>
      <c r="Q58" s="214">
        <f t="shared" si="220"/>
        <v>1</v>
      </c>
      <c r="R58" s="188">
        <v>1</v>
      </c>
      <c r="S58" s="188">
        <f t="shared" si="221"/>
        <v>225</v>
      </c>
      <c r="T58" s="214">
        <f t="shared" si="222"/>
        <v>1</v>
      </c>
      <c r="U58" s="214">
        <f t="shared" si="223"/>
        <v>1</v>
      </c>
      <c r="V58" s="215">
        <v>1</v>
      </c>
      <c r="W58" s="188">
        <f t="shared" si="224"/>
        <v>225</v>
      </c>
      <c r="X58" s="214">
        <f t="shared" si="225"/>
        <v>1</v>
      </c>
      <c r="Y58" s="214">
        <f t="shared" si="226"/>
        <v>1</v>
      </c>
      <c r="Z58" s="216">
        <f>4152356000/1000000000</f>
        <v>4.1523560000000002</v>
      </c>
      <c r="AA58" s="188">
        <v>0</v>
      </c>
      <c r="AB58" s="188">
        <f t="shared" si="112"/>
        <v>0</v>
      </c>
      <c r="AC58" s="214">
        <f t="shared" si="113"/>
        <v>0</v>
      </c>
      <c r="AD58" s="214">
        <f t="shared" si="114"/>
        <v>0</v>
      </c>
      <c r="AE58" s="188"/>
      <c r="AF58" s="188">
        <f t="shared" si="115"/>
        <v>0</v>
      </c>
      <c r="AG58" s="188"/>
      <c r="AH58" s="188"/>
      <c r="AI58" s="188">
        <v>1</v>
      </c>
      <c r="AJ58" s="188">
        <f t="shared" si="2"/>
        <v>225</v>
      </c>
      <c r="AK58" s="188" t="s">
        <v>304</v>
      </c>
      <c r="AL58" s="188">
        <v>0</v>
      </c>
      <c r="AM58" s="188">
        <v>0</v>
      </c>
      <c r="AN58" s="217"/>
      <c r="AO58" s="188">
        <f t="shared" si="207"/>
        <v>1</v>
      </c>
      <c r="AP58" s="188">
        <f t="shared" si="208"/>
        <v>225</v>
      </c>
      <c r="AQ58" s="188">
        <f t="shared" si="227"/>
        <v>1</v>
      </c>
      <c r="AR58" s="188">
        <f t="shared" si="228"/>
        <v>225</v>
      </c>
      <c r="AS58" s="188">
        <f t="shared" si="229"/>
        <v>1</v>
      </c>
      <c r="AT58" s="188">
        <f t="shared" si="230"/>
        <v>225</v>
      </c>
      <c r="AU58" s="188">
        <f t="shared" si="209"/>
        <v>1</v>
      </c>
      <c r="AV58" s="188">
        <f t="shared" si="210"/>
        <v>225</v>
      </c>
      <c r="AW58" s="188">
        <f t="shared" si="211"/>
        <v>1</v>
      </c>
      <c r="AX58" s="188">
        <f t="shared" si="212"/>
        <v>225</v>
      </c>
      <c r="AY58" s="188">
        <f t="shared" si="116"/>
        <v>0</v>
      </c>
      <c r="AZ58" s="188">
        <f t="shared" si="117"/>
        <v>0</v>
      </c>
      <c r="BA58" s="188">
        <f t="shared" si="14"/>
        <v>4.1523560000000002</v>
      </c>
      <c r="BB58" s="188">
        <f t="shared" si="15"/>
        <v>0</v>
      </c>
      <c r="BD58" s="196">
        <f t="shared" si="118"/>
        <v>0</v>
      </c>
      <c r="BE58" s="188">
        <f t="shared" si="231"/>
        <v>0</v>
      </c>
      <c r="BF58" s="188">
        <f t="shared" si="232"/>
        <v>0</v>
      </c>
      <c r="BG58" s="188">
        <f t="shared" si="233"/>
        <v>0</v>
      </c>
      <c r="BH58" s="188">
        <f t="shared" si="234"/>
        <v>0</v>
      </c>
      <c r="BI58" s="188">
        <f t="shared" si="235"/>
        <v>0</v>
      </c>
      <c r="BJ58" s="188">
        <f t="shared" si="236"/>
        <v>0</v>
      </c>
      <c r="BK58" s="188">
        <f t="shared" si="22"/>
        <v>0</v>
      </c>
      <c r="BN58" s="277">
        <v>27</v>
      </c>
      <c r="BO58" s="139">
        <v>1</v>
      </c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B58" s="188"/>
      <c r="CD58" s="188">
        <f t="shared" si="23"/>
        <v>27</v>
      </c>
      <c r="CE58" s="188">
        <f t="shared" si="24"/>
        <v>27</v>
      </c>
      <c r="CF58" s="188">
        <f t="shared" si="25"/>
        <v>0</v>
      </c>
      <c r="CG58" s="188">
        <f t="shared" si="26"/>
        <v>0</v>
      </c>
      <c r="CH58" s="188">
        <f t="shared" si="27"/>
        <v>0</v>
      </c>
      <c r="CI58" s="188">
        <f t="shared" si="28"/>
        <v>0</v>
      </c>
      <c r="CJ58" s="188">
        <f t="shared" si="29"/>
        <v>0</v>
      </c>
      <c r="CK58" s="188">
        <f t="shared" si="30"/>
        <v>0</v>
      </c>
      <c r="CL58" s="188">
        <f t="shared" si="31"/>
        <v>0</v>
      </c>
      <c r="CM58" s="188">
        <f t="shared" si="32"/>
        <v>0</v>
      </c>
      <c r="CN58" s="188">
        <f t="shared" si="33"/>
        <v>0</v>
      </c>
      <c r="CO58" s="188">
        <f t="shared" si="34"/>
        <v>0</v>
      </c>
      <c r="CP58" s="188">
        <f t="shared" si="35"/>
        <v>0</v>
      </c>
      <c r="DV58" s="188">
        <f t="shared" si="237"/>
        <v>0</v>
      </c>
      <c r="DW58" s="188">
        <f t="shared" si="238"/>
        <v>0</v>
      </c>
      <c r="DX58" s="188">
        <f t="shared" si="239"/>
        <v>0</v>
      </c>
      <c r="DY58" s="188">
        <f t="shared" si="240"/>
        <v>0</v>
      </c>
      <c r="DZ58" s="188">
        <f t="shared" si="241"/>
        <v>0</v>
      </c>
      <c r="EA58" s="188">
        <f t="shared" si="242"/>
        <v>0</v>
      </c>
      <c r="EB58" s="188">
        <f t="shared" si="42"/>
        <v>0</v>
      </c>
      <c r="EG58" s="220">
        <f t="shared" si="43"/>
        <v>0</v>
      </c>
      <c r="EH58" s="220">
        <f t="shared" si="44"/>
        <v>0</v>
      </c>
      <c r="EI58" s="188"/>
      <c r="EJ58" s="188"/>
      <c r="EK58" s="188"/>
      <c r="EL58" s="188"/>
      <c r="EM58" s="188"/>
      <c r="EN58" s="188"/>
      <c r="EO58" s="188"/>
      <c r="EP58" s="188"/>
      <c r="EQ58" s="188"/>
      <c r="ER58" s="188"/>
      <c r="ES58" s="188"/>
      <c r="ET58" s="188"/>
      <c r="EU58" s="188"/>
      <c r="EV58" s="188"/>
      <c r="EW58" s="188"/>
      <c r="EX58" s="188"/>
      <c r="EY58" s="188"/>
      <c r="EZ58" s="188"/>
      <c r="FA58" s="188"/>
      <c r="FB58" s="188"/>
      <c r="FC58" s="188"/>
      <c r="FD58" s="188"/>
      <c r="FE58" s="188"/>
      <c r="FF58" s="188"/>
      <c r="FH58" s="189"/>
      <c r="FI58" s="189"/>
      <c r="FJ58" s="189"/>
      <c r="FK58" s="189"/>
      <c r="FL58" s="189"/>
      <c r="FM58" s="189"/>
      <c r="FN58" s="189"/>
      <c r="FO58" s="189"/>
      <c r="FP58" s="189"/>
      <c r="FQ58" s="189"/>
      <c r="FR58" s="189"/>
      <c r="FS58" s="189"/>
      <c r="FT58" s="189"/>
      <c r="FU58" s="189"/>
      <c r="FV58" s="189"/>
      <c r="FX58" s="217">
        <v>1</v>
      </c>
      <c r="FY58" s="188">
        <f t="shared" si="45"/>
        <v>27</v>
      </c>
      <c r="FZ58" s="188">
        <f t="shared" si="250"/>
        <v>27</v>
      </c>
      <c r="GA58" s="188">
        <f t="shared" si="251"/>
        <v>0</v>
      </c>
      <c r="GB58" s="188">
        <f t="shared" si="252"/>
        <v>0</v>
      </c>
      <c r="GC58" s="188">
        <f t="shared" si="253"/>
        <v>0</v>
      </c>
      <c r="GD58" s="188">
        <f t="shared" si="254"/>
        <v>0</v>
      </c>
      <c r="GE58" s="188">
        <f t="shared" si="255"/>
        <v>0</v>
      </c>
      <c r="GF58" s="199"/>
      <c r="GG58" s="189">
        <v>0</v>
      </c>
      <c r="GH58" s="189">
        <v>0</v>
      </c>
      <c r="GI58" s="199"/>
      <c r="GJ58" s="200">
        <f t="shared" si="52"/>
        <v>0</v>
      </c>
      <c r="GK58" s="200">
        <f t="shared" si="53"/>
        <v>0</v>
      </c>
      <c r="GO58" s="189">
        <f t="shared" si="256"/>
        <v>0</v>
      </c>
      <c r="GP58" s="189">
        <f t="shared" si="257"/>
        <v>0</v>
      </c>
      <c r="GQ58" s="189">
        <f t="shared" si="258"/>
        <v>0</v>
      </c>
      <c r="GR58" s="189">
        <f t="shared" si="259"/>
        <v>0</v>
      </c>
      <c r="GS58" s="189">
        <f t="shared" si="260"/>
        <v>0</v>
      </c>
      <c r="GT58" s="189">
        <f t="shared" si="124"/>
        <v>1</v>
      </c>
      <c r="GU58" s="201">
        <f t="shared" si="125"/>
        <v>43243</v>
      </c>
      <c r="GV58" s="189" t="str">
        <f t="shared" si="126"/>
        <v>SELESAI</v>
      </c>
      <c r="GW58" s="189">
        <f t="shared" si="127"/>
        <v>0</v>
      </c>
      <c r="GX58" s="202" t="str">
        <f t="shared" si="128"/>
        <v>SELESAI</v>
      </c>
      <c r="GY58" s="202">
        <f t="shared" si="129"/>
        <v>0</v>
      </c>
      <c r="GZ58" s="203" t="str">
        <f t="shared" si="130"/>
        <v>SELESAI</v>
      </c>
      <c r="HA58" s="204"/>
      <c r="HB58" s="204"/>
      <c r="HC58" s="189">
        <f t="shared" si="261"/>
        <v>0</v>
      </c>
      <c r="HD58" s="189">
        <f t="shared" si="262"/>
        <v>0</v>
      </c>
      <c r="HE58" s="189">
        <f t="shared" si="133"/>
        <v>0</v>
      </c>
      <c r="HF58" s="189">
        <f t="shared" si="134"/>
        <v>0</v>
      </c>
      <c r="HG58" s="189">
        <f t="shared" si="135"/>
        <v>0</v>
      </c>
      <c r="HH58" s="201" t="str">
        <f t="shared" si="136"/>
        <v>TIDAK KONSINYASI</v>
      </c>
      <c r="HI58" s="201" t="str">
        <f t="shared" si="137"/>
        <v>SELESAI</v>
      </c>
      <c r="HJ58" s="205"/>
      <c r="HK58" s="201">
        <f t="shared" si="138"/>
        <v>0</v>
      </c>
      <c r="HL58" s="204"/>
      <c r="HM58" s="204"/>
      <c r="HN58" s="204"/>
      <c r="HO58" s="204"/>
      <c r="HP58" s="203">
        <f t="shared" si="139"/>
        <v>0</v>
      </c>
      <c r="HQ58" s="202">
        <f t="shared" si="140"/>
        <v>0</v>
      </c>
      <c r="HR58" s="202">
        <f t="shared" si="263"/>
        <v>0</v>
      </c>
      <c r="HS58" s="203">
        <f t="shared" si="142"/>
        <v>0</v>
      </c>
      <c r="HT58" s="202">
        <f t="shared" si="143"/>
        <v>0</v>
      </c>
      <c r="HU58" s="202">
        <f t="shared" si="264"/>
        <v>0</v>
      </c>
      <c r="HV58" s="203">
        <f t="shared" si="145"/>
        <v>0</v>
      </c>
      <c r="HW58" s="202">
        <f t="shared" si="146"/>
        <v>0</v>
      </c>
      <c r="HX58" s="202">
        <f t="shared" si="265"/>
        <v>0</v>
      </c>
      <c r="HY58" s="203">
        <f t="shared" si="148"/>
        <v>0</v>
      </c>
      <c r="HZ58" s="202">
        <f t="shared" si="149"/>
        <v>0</v>
      </c>
      <c r="IA58" s="202">
        <f t="shared" si="266"/>
        <v>0</v>
      </c>
      <c r="IB58" s="203">
        <f t="shared" si="151"/>
        <v>0</v>
      </c>
      <c r="IC58" s="202">
        <f t="shared" si="152"/>
        <v>0</v>
      </c>
      <c r="ID58" s="202">
        <f t="shared" si="267"/>
        <v>0</v>
      </c>
      <c r="IE58" s="203">
        <f t="shared" si="154"/>
        <v>0</v>
      </c>
      <c r="IF58" s="202">
        <f t="shared" si="155"/>
        <v>0</v>
      </c>
      <c r="IG58" s="202">
        <f t="shared" si="268"/>
        <v>0</v>
      </c>
      <c r="IH58" s="203">
        <f t="shared" si="157"/>
        <v>0</v>
      </c>
      <c r="II58" s="202">
        <f t="shared" si="158"/>
        <v>0</v>
      </c>
      <c r="IJ58" s="202">
        <f t="shared" si="269"/>
        <v>0</v>
      </c>
      <c r="IK58" s="203">
        <f t="shared" si="160"/>
        <v>0</v>
      </c>
      <c r="IL58" s="202">
        <f t="shared" si="161"/>
        <v>0</v>
      </c>
      <c r="IM58" s="202">
        <f t="shared" si="270"/>
        <v>0</v>
      </c>
      <c r="IN58" s="204"/>
      <c r="IO58" s="203">
        <f t="shared" si="163"/>
        <v>0</v>
      </c>
      <c r="IP58" s="202">
        <f t="shared" si="271"/>
        <v>0</v>
      </c>
      <c r="IQ58" s="202">
        <f t="shared" si="272"/>
        <v>0</v>
      </c>
      <c r="IR58" s="204"/>
      <c r="IS58" s="203"/>
      <c r="IT58" s="202">
        <f t="shared" si="273"/>
        <v>1</v>
      </c>
      <c r="IU58" s="202">
        <f t="shared" si="274"/>
        <v>225</v>
      </c>
      <c r="IV58" s="204"/>
      <c r="IW58" s="203"/>
      <c r="IX58" s="202">
        <f t="shared" si="275"/>
        <v>0</v>
      </c>
      <c r="IY58" s="202">
        <f t="shared" si="276"/>
        <v>0</v>
      </c>
      <c r="IZ58" s="204"/>
      <c r="JA58" s="203"/>
      <c r="JB58" s="202">
        <f t="shared" si="277"/>
        <v>0</v>
      </c>
      <c r="JC58" s="202">
        <f t="shared" si="278"/>
        <v>0</v>
      </c>
      <c r="JD58" s="204"/>
      <c r="JE58" s="203"/>
      <c r="JF58" s="202">
        <f t="shared" si="172"/>
        <v>1</v>
      </c>
      <c r="JG58" s="202">
        <f t="shared" si="173"/>
        <v>225</v>
      </c>
      <c r="JH58" s="204"/>
      <c r="JI58" s="203"/>
      <c r="JJ58" s="202">
        <f t="shared" si="279"/>
        <v>0</v>
      </c>
      <c r="JK58" s="202">
        <f t="shared" si="280"/>
        <v>0</v>
      </c>
      <c r="JM58" s="203">
        <f t="shared" si="176"/>
        <v>0</v>
      </c>
      <c r="JO58" s="196">
        <f t="shared" si="54"/>
        <v>1</v>
      </c>
      <c r="JP58" s="189">
        <f t="shared" si="281"/>
        <v>27</v>
      </c>
      <c r="JQ58" s="189">
        <f t="shared" si="282"/>
        <v>1</v>
      </c>
      <c r="JR58" s="189">
        <f t="shared" si="283"/>
        <v>0</v>
      </c>
      <c r="JS58" s="189">
        <f t="shared" si="284"/>
        <v>0</v>
      </c>
      <c r="JT58" s="189">
        <f t="shared" si="285"/>
        <v>0</v>
      </c>
      <c r="JU58" s="189">
        <f t="shared" si="286"/>
        <v>0</v>
      </c>
      <c r="JV58" s="189">
        <f t="shared" si="287"/>
        <v>0</v>
      </c>
      <c r="JW58" s="189">
        <f t="shared" si="288"/>
        <v>0</v>
      </c>
      <c r="JX58" s="189">
        <f t="shared" si="289"/>
        <v>0</v>
      </c>
      <c r="JY58" s="189">
        <f t="shared" si="290"/>
        <v>0</v>
      </c>
      <c r="JZ58" s="189">
        <f t="shared" si="291"/>
        <v>0</v>
      </c>
      <c r="KA58" s="189">
        <f t="shared" si="292"/>
        <v>0</v>
      </c>
      <c r="KB58" s="189">
        <f t="shared" si="293"/>
        <v>0</v>
      </c>
      <c r="KD58" s="206">
        <f t="shared" si="177"/>
        <v>0</v>
      </c>
      <c r="KE58" s="206">
        <f t="shared" si="69"/>
        <v>0</v>
      </c>
      <c r="KF58" s="206">
        <f t="shared" si="294"/>
        <v>27</v>
      </c>
      <c r="KG58" s="206">
        <f t="shared" si="295"/>
        <v>27</v>
      </c>
      <c r="KH58" s="206">
        <f t="shared" si="296"/>
        <v>0</v>
      </c>
      <c r="KI58" s="206">
        <f t="shared" si="297"/>
        <v>0</v>
      </c>
      <c r="KJ58" s="206">
        <f t="shared" si="298"/>
        <v>0</v>
      </c>
      <c r="KK58" s="206">
        <f t="shared" si="299"/>
        <v>0</v>
      </c>
      <c r="KL58" s="206">
        <f t="shared" si="300"/>
        <v>0</v>
      </c>
      <c r="KM58" s="206">
        <f t="shared" si="301"/>
        <v>0</v>
      </c>
      <c r="KN58" s="221">
        <f t="shared" si="302"/>
        <v>0</v>
      </c>
      <c r="KO58" s="221">
        <f t="shared" si="303"/>
        <v>0</v>
      </c>
      <c r="KP58" s="221">
        <f t="shared" si="304"/>
        <v>0</v>
      </c>
      <c r="KQ58" s="221">
        <f t="shared" si="305"/>
        <v>0</v>
      </c>
      <c r="KR58" s="221">
        <f t="shared" si="306"/>
        <v>0</v>
      </c>
      <c r="KT58" s="195">
        <f t="shared" si="307"/>
        <v>0</v>
      </c>
      <c r="KU58" s="221"/>
      <c r="KV58" s="221"/>
      <c r="KW58" s="221"/>
      <c r="KX58" s="221"/>
      <c r="KY58" s="221"/>
      <c r="KZ58" s="221"/>
      <c r="LA58" s="221"/>
      <c r="LB58" s="221"/>
      <c r="LC58" s="221"/>
      <c r="LD58" s="221"/>
      <c r="LE58" s="221"/>
      <c r="LF58" s="221"/>
      <c r="LG58" s="221"/>
      <c r="LH58" s="221"/>
      <c r="LI58" s="221"/>
      <c r="LJ58" s="221"/>
      <c r="LK58" s="221"/>
      <c r="LL58" s="221"/>
      <c r="LM58" s="221"/>
      <c r="LN58" s="221"/>
      <c r="LO58" s="221"/>
      <c r="LP58" s="221"/>
      <c r="LQ58" s="221"/>
      <c r="LR58" s="221"/>
      <c r="LS58" s="221"/>
      <c r="LT58" s="221"/>
      <c r="LU58" s="221"/>
      <c r="LV58" s="221"/>
      <c r="LW58" s="221"/>
      <c r="LX58" s="221"/>
      <c r="LY58" s="221"/>
      <c r="LZ58" s="221"/>
      <c r="MA58" s="221"/>
      <c r="MB58" s="221"/>
      <c r="MC58" s="221"/>
      <c r="MD58" s="221"/>
      <c r="ME58" s="221"/>
      <c r="MF58" s="221"/>
      <c r="MG58" s="221"/>
      <c r="MH58" s="221"/>
      <c r="MI58" s="221"/>
      <c r="MJ58" s="221"/>
      <c r="MK58" s="221"/>
      <c r="ML58" s="221"/>
      <c r="MM58" s="221"/>
      <c r="MN58" s="221"/>
      <c r="MO58" s="221"/>
      <c r="MP58" s="221"/>
      <c r="MQ58" s="221"/>
      <c r="MR58" s="221"/>
      <c r="MS58" s="221"/>
      <c r="MT58" s="221"/>
      <c r="MU58" s="221"/>
      <c r="MV58" s="221"/>
      <c r="MW58" s="221"/>
      <c r="MX58" s="221"/>
      <c r="MY58" s="221"/>
      <c r="MZ58" s="221"/>
      <c r="NA58" s="221"/>
      <c r="NB58" s="221"/>
      <c r="NC58" s="221"/>
      <c r="ND58" s="221"/>
      <c r="NE58" s="221"/>
      <c r="NF58" s="221"/>
      <c r="NG58" s="221"/>
      <c r="NH58" s="221"/>
      <c r="NI58" s="221"/>
      <c r="NJ58" s="221"/>
      <c r="NK58" s="221"/>
      <c r="NM58" s="195">
        <f t="shared" si="178"/>
        <v>0</v>
      </c>
      <c r="NN58" s="195">
        <f t="shared" si="179"/>
        <v>0</v>
      </c>
      <c r="NO58" s="195">
        <f t="shared" si="180"/>
        <v>0</v>
      </c>
      <c r="NP58" s="195">
        <f t="shared" si="181"/>
        <v>0</v>
      </c>
      <c r="NQ58" s="195">
        <f t="shared" si="182"/>
        <v>0</v>
      </c>
      <c r="NR58" s="195">
        <f t="shared" si="183"/>
        <v>0</v>
      </c>
      <c r="NS58" s="195">
        <f t="shared" si="184"/>
        <v>0</v>
      </c>
      <c r="NT58" s="195">
        <f t="shared" si="185"/>
        <v>0</v>
      </c>
      <c r="NU58" s="196">
        <f t="shared" si="186"/>
        <v>0</v>
      </c>
      <c r="NY58" s="215">
        <f t="shared" si="249"/>
        <v>1</v>
      </c>
      <c r="NZ58" s="222">
        <v>12500000</v>
      </c>
      <c r="OE58" s="207">
        <f t="shared" si="243"/>
        <v>0</v>
      </c>
      <c r="OF58" s="207">
        <f t="shared" si="244"/>
        <v>0</v>
      </c>
      <c r="OG58" s="207">
        <f t="shared" si="245"/>
        <v>0</v>
      </c>
      <c r="OH58" s="207">
        <f t="shared" si="188"/>
        <v>0</v>
      </c>
      <c r="OI58" s="207">
        <f t="shared" si="246"/>
        <v>0</v>
      </c>
      <c r="OJ58" s="199">
        <f t="shared" si="189"/>
        <v>0</v>
      </c>
      <c r="OK58" s="199">
        <f t="shared" si="190"/>
        <v>0</v>
      </c>
      <c r="OL58" s="199">
        <f t="shared" si="191"/>
        <v>0</v>
      </c>
      <c r="OM58" s="199">
        <f t="shared" si="192"/>
        <v>0</v>
      </c>
      <c r="OO58" s="207">
        <f t="shared" si="247"/>
        <v>0</v>
      </c>
      <c r="OP58" s="207">
        <f t="shared" si="248"/>
        <v>0</v>
      </c>
      <c r="OQ58" s="207">
        <f t="shared" si="193"/>
        <v>0</v>
      </c>
      <c r="OR58" s="207">
        <f t="shared" si="194"/>
        <v>0</v>
      </c>
      <c r="OS58" s="207">
        <f t="shared" si="195"/>
        <v>0</v>
      </c>
      <c r="OT58" s="199">
        <f t="shared" si="196"/>
        <v>0</v>
      </c>
      <c r="OU58" s="199">
        <f t="shared" si="197"/>
        <v>0</v>
      </c>
      <c r="OV58" s="199">
        <f t="shared" si="198"/>
        <v>0</v>
      </c>
      <c r="OW58" s="199">
        <f t="shared" si="199"/>
        <v>0</v>
      </c>
      <c r="OZ58" s="208">
        <f t="shared" si="91"/>
        <v>0</v>
      </c>
      <c r="PA58" s="209"/>
      <c r="PB58" s="209"/>
      <c r="PC58" s="209"/>
      <c r="PD58" s="210">
        <f t="shared" si="200"/>
        <v>0</v>
      </c>
      <c r="PE58" s="210"/>
      <c r="PF58" s="210">
        <f t="shared" si="201"/>
        <v>0</v>
      </c>
      <c r="PG58" s="210">
        <f t="shared" si="202"/>
        <v>0</v>
      </c>
      <c r="PH58" s="210">
        <f t="shared" si="92"/>
        <v>0</v>
      </c>
      <c r="PI58" s="210">
        <f t="shared" si="93"/>
        <v>0</v>
      </c>
      <c r="PJ58" s="210">
        <f t="shared" si="94"/>
        <v>0</v>
      </c>
      <c r="PK58" s="210">
        <f t="shared" si="95"/>
        <v>0</v>
      </c>
      <c r="PL58" s="210">
        <f t="shared" si="96"/>
        <v>0</v>
      </c>
      <c r="PM58" s="211"/>
      <c r="PN58" s="211"/>
      <c r="PO58" s="212">
        <f t="shared" si="203"/>
        <v>0</v>
      </c>
      <c r="PP58" s="212">
        <f t="shared" si="204"/>
        <v>0</v>
      </c>
      <c r="PQ58" s="212">
        <f t="shared" si="205"/>
        <v>0</v>
      </c>
      <c r="PR58" s="211"/>
      <c r="PS58" s="211"/>
      <c r="PT58" s="211"/>
      <c r="PU58" s="211"/>
    </row>
    <row r="59" spans="1:437 16383:16383" s="195" customFormat="1" ht="16" x14ac:dyDescent="0.2">
      <c r="A59" s="213">
        <f t="shared" si="206"/>
        <v>49</v>
      </c>
      <c r="B59" s="186" t="s">
        <v>66</v>
      </c>
      <c r="C59" s="186">
        <v>54</v>
      </c>
      <c r="D59" s="188">
        <v>1</v>
      </c>
      <c r="E59" s="188">
        <v>296</v>
      </c>
      <c r="F59" s="188">
        <v>1</v>
      </c>
      <c r="G59" s="188">
        <f t="shared" si="308"/>
        <v>296</v>
      </c>
      <c r="H59" s="214">
        <f t="shared" si="213"/>
        <v>1</v>
      </c>
      <c r="I59" s="214">
        <f t="shared" si="214"/>
        <v>1</v>
      </c>
      <c r="J59" s="188">
        <v>1</v>
      </c>
      <c r="K59" s="188">
        <f t="shared" si="215"/>
        <v>296</v>
      </c>
      <c r="L59" s="214">
        <f t="shared" si="216"/>
        <v>1</v>
      </c>
      <c r="M59" s="214">
        <f t="shared" si="217"/>
        <v>1</v>
      </c>
      <c r="N59" s="188">
        <v>1</v>
      </c>
      <c r="O59" s="188">
        <f t="shared" si="218"/>
        <v>296</v>
      </c>
      <c r="P59" s="214">
        <f t="shared" si="219"/>
        <v>1</v>
      </c>
      <c r="Q59" s="214">
        <f t="shared" si="220"/>
        <v>1</v>
      </c>
      <c r="R59" s="188">
        <v>1</v>
      </c>
      <c r="S59" s="188">
        <f t="shared" si="221"/>
        <v>296</v>
      </c>
      <c r="T59" s="214">
        <f t="shared" si="222"/>
        <v>1</v>
      </c>
      <c r="U59" s="214">
        <f t="shared" si="223"/>
        <v>1</v>
      </c>
      <c r="V59" s="215">
        <v>1</v>
      </c>
      <c r="W59" s="188">
        <f t="shared" si="224"/>
        <v>296</v>
      </c>
      <c r="X59" s="214">
        <f t="shared" si="225"/>
        <v>1</v>
      </c>
      <c r="Y59" s="214">
        <f t="shared" si="226"/>
        <v>1</v>
      </c>
      <c r="Z59" s="216">
        <f>5683887000/1000000000</f>
        <v>5.6838870000000004</v>
      </c>
      <c r="AA59" s="188">
        <v>0</v>
      </c>
      <c r="AB59" s="188">
        <f t="shared" si="112"/>
        <v>0</v>
      </c>
      <c r="AC59" s="214">
        <f t="shared" si="113"/>
        <v>0</v>
      </c>
      <c r="AD59" s="214">
        <f t="shared" si="114"/>
        <v>0</v>
      </c>
      <c r="AE59" s="188"/>
      <c r="AF59" s="188">
        <f t="shared" si="115"/>
        <v>0</v>
      </c>
      <c r="AG59" s="188"/>
      <c r="AH59" s="188"/>
      <c r="AI59" s="188">
        <v>1</v>
      </c>
      <c r="AJ59" s="188">
        <f t="shared" si="2"/>
        <v>296</v>
      </c>
      <c r="AK59" s="188" t="s">
        <v>304</v>
      </c>
      <c r="AL59" s="188">
        <v>0</v>
      </c>
      <c r="AM59" s="188">
        <v>0</v>
      </c>
      <c r="AN59" s="217"/>
      <c r="AO59" s="188">
        <f t="shared" si="207"/>
        <v>1</v>
      </c>
      <c r="AP59" s="188">
        <f t="shared" si="208"/>
        <v>296</v>
      </c>
      <c r="AQ59" s="188">
        <f t="shared" si="227"/>
        <v>1</v>
      </c>
      <c r="AR59" s="188">
        <f t="shared" si="228"/>
        <v>296</v>
      </c>
      <c r="AS59" s="188">
        <f t="shared" si="229"/>
        <v>1</v>
      </c>
      <c r="AT59" s="188">
        <f t="shared" si="230"/>
        <v>296</v>
      </c>
      <c r="AU59" s="188">
        <f t="shared" si="209"/>
        <v>1</v>
      </c>
      <c r="AV59" s="188">
        <f t="shared" si="210"/>
        <v>296</v>
      </c>
      <c r="AW59" s="188">
        <f t="shared" si="211"/>
        <v>1</v>
      </c>
      <c r="AX59" s="188">
        <f t="shared" si="212"/>
        <v>296</v>
      </c>
      <c r="AY59" s="188">
        <f t="shared" si="116"/>
        <v>0</v>
      </c>
      <c r="AZ59" s="188">
        <f t="shared" si="117"/>
        <v>0</v>
      </c>
      <c r="BA59" s="188">
        <f t="shared" si="14"/>
        <v>5.6838870000000004</v>
      </c>
      <c r="BB59" s="188">
        <f t="shared" si="15"/>
        <v>0</v>
      </c>
      <c r="BD59" s="196">
        <f t="shared" si="118"/>
        <v>0</v>
      </c>
      <c r="BE59" s="188">
        <f t="shared" si="231"/>
        <v>0</v>
      </c>
      <c r="BF59" s="188">
        <f t="shared" si="232"/>
        <v>0</v>
      </c>
      <c r="BG59" s="188">
        <f t="shared" si="233"/>
        <v>0</v>
      </c>
      <c r="BH59" s="188">
        <f t="shared" si="234"/>
        <v>0</v>
      </c>
      <c r="BI59" s="188">
        <f t="shared" si="235"/>
        <v>0</v>
      </c>
      <c r="BJ59" s="188">
        <f t="shared" si="236"/>
        <v>0</v>
      </c>
      <c r="BK59" s="188">
        <f t="shared" si="22"/>
        <v>0</v>
      </c>
      <c r="BN59" s="277"/>
      <c r="BO59" s="139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B59" s="188"/>
      <c r="CD59" s="188">
        <f t="shared" si="23"/>
        <v>0</v>
      </c>
      <c r="CE59" s="188">
        <f t="shared" si="24"/>
        <v>0</v>
      </c>
      <c r="CF59" s="188">
        <f t="shared" si="25"/>
        <v>0</v>
      </c>
      <c r="CG59" s="188">
        <f t="shared" si="26"/>
        <v>0</v>
      </c>
      <c r="CH59" s="188">
        <f t="shared" si="27"/>
        <v>0</v>
      </c>
      <c r="CI59" s="188">
        <f t="shared" si="28"/>
        <v>0</v>
      </c>
      <c r="CJ59" s="188">
        <f t="shared" si="29"/>
        <v>0</v>
      </c>
      <c r="CK59" s="188">
        <f t="shared" si="30"/>
        <v>0</v>
      </c>
      <c r="CL59" s="188">
        <f t="shared" si="31"/>
        <v>0</v>
      </c>
      <c r="CM59" s="188">
        <f t="shared" si="32"/>
        <v>0</v>
      </c>
      <c r="CN59" s="188">
        <f t="shared" si="33"/>
        <v>0</v>
      </c>
      <c r="CO59" s="188">
        <f t="shared" si="34"/>
        <v>0</v>
      </c>
      <c r="CP59" s="188">
        <f t="shared" si="35"/>
        <v>0</v>
      </c>
      <c r="DV59" s="188">
        <f t="shared" si="237"/>
        <v>0</v>
      </c>
      <c r="DW59" s="188">
        <f t="shared" si="238"/>
        <v>0</v>
      </c>
      <c r="DX59" s="188">
        <f t="shared" si="239"/>
        <v>0</v>
      </c>
      <c r="DY59" s="188">
        <f t="shared" si="240"/>
        <v>0</v>
      </c>
      <c r="DZ59" s="188">
        <f t="shared" si="241"/>
        <v>0</v>
      </c>
      <c r="EA59" s="188">
        <f t="shared" si="242"/>
        <v>0</v>
      </c>
      <c r="EB59" s="188">
        <f t="shared" si="42"/>
        <v>0</v>
      </c>
      <c r="EG59" s="220">
        <f t="shared" si="43"/>
        <v>0</v>
      </c>
      <c r="EH59" s="220">
        <f t="shared" si="44"/>
        <v>0</v>
      </c>
      <c r="EI59" s="188">
        <v>1</v>
      </c>
      <c r="EJ59" s="188">
        <v>1</v>
      </c>
      <c r="EK59" s="188"/>
      <c r="EL59" s="188"/>
      <c r="EM59" s="188"/>
      <c r="EN59" s="188"/>
      <c r="EO59" s="188"/>
      <c r="EP59" s="188"/>
      <c r="EQ59" s="188"/>
      <c r="ER59" s="188"/>
      <c r="ES59" s="188"/>
      <c r="ET59" s="188"/>
      <c r="EU59" s="188"/>
      <c r="EV59" s="188"/>
      <c r="EW59" s="188"/>
      <c r="EX59" s="188"/>
      <c r="EY59" s="188"/>
      <c r="EZ59" s="188"/>
      <c r="FA59" s="188"/>
      <c r="FB59" s="188"/>
      <c r="FC59" s="188"/>
      <c r="FD59" s="188"/>
      <c r="FE59" s="188"/>
      <c r="FF59" s="188"/>
      <c r="FH59" s="189"/>
      <c r="FI59" s="189"/>
      <c r="FJ59" s="189"/>
      <c r="FK59" s="189"/>
      <c r="FL59" s="189"/>
      <c r="FM59" s="189"/>
      <c r="FN59" s="189"/>
      <c r="FO59" s="189"/>
      <c r="FP59" s="189"/>
      <c r="FQ59" s="189"/>
      <c r="FR59" s="189"/>
      <c r="FS59" s="189"/>
      <c r="FT59" s="189"/>
      <c r="FU59" s="189"/>
      <c r="FV59" s="189"/>
      <c r="FX59" s="217"/>
      <c r="FY59" s="188">
        <f t="shared" si="45"/>
        <v>0</v>
      </c>
      <c r="FZ59" s="188">
        <f t="shared" si="250"/>
        <v>0</v>
      </c>
      <c r="GA59" s="188">
        <f t="shared" si="251"/>
        <v>0</v>
      </c>
      <c r="GB59" s="188">
        <f t="shared" si="252"/>
        <v>0</v>
      </c>
      <c r="GC59" s="188">
        <f t="shared" si="253"/>
        <v>0</v>
      </c>
      <c r="GD59" s="188">
        <f t="shared" si="254"/>
        <v>0</v>
      </c>
      <c r="GE59" s="188">
        <f t="shared" si="255"/>
        <v>0</v>
      </c>
      <c r="GF59" s="199"/>
      <c r="GG59" s="189">
        <v>0</v>
      </c>
      <c r="GH59" s="189">
        <v>0</v>
      </c>
      <c r="GI59" s="199"/>
      <c r="GJ59" s="200">
        <f t="shared" si="52"/>
        <v>0</v>
      </c>
      <c r="GK59" s="200">
        <f t="shared" si="53"/>
        <v>0</v>
      </c>
      <c r="GO59" s="189">
        <f t="shared" si="256"/>
        <v>0</v>
      </c>
      <c r="GP59" s="189">
        <f t="shared" si="257"/>
        <v>0</v>
      </c>
      <c r="GQ59" s="189">
        <f t="shared" si="258"/>
        <v>0</v>
      </c>
      <c r="GR59" s="189">
        <f t="shared" si="259"/>
        <v>0</v>
      </c>
      <c r="GS59" s="189">
        <f t="shared" si="260"/>
        <v>0</v>
      </c>
      <c r="GT59" s="189">
        <f t="shared" si="124"/>
        <v>1</v>
      </c>
      <c r="GU59" s="201">
        <f t="shared" si="125"/>
        <v>43243</v>
      </c>
      <c r="GV59" s="189" t="str">
        <f t="shared" si="126"/>
        <v>SELESAI</v>
      </c>
      <c r="GW59" s="189">
        <f t="shared" si="127"/>
        <v>0</v>
      </c>
      <c r="GX59" s="202" t="str">
        <f t="shared" si="128"/>
        <v>SELESAI</v>
      </c>
      <c r="GY59" s="202">
        <f t="shared" si="129"/>
        <v>0</v>
      </c>
      <c r="GZ59" s="203" t="str">
        <f t="shared" si="130"/>
        <v>SELESAI</v>
      </c>
      <c r="HA59" s="204"/>
      <c r="HB59" s="204"/>
      <c r="HC59" s="189">
        <f t="shared" si="261"/>
        <v>0</v>
      </c>
      <c r="HD59" s="189">
        <f t="shared" si="262"/>
        <v>0</v>
      </c>
      <c r="HE59" s="189">
        <f t="shared" si="133"/>
        <v>0</v>
      </c>
      <c r="HF59" s="189">
        <f t="shared" si="134"/>
        <v>0</v>
      </c>
      <c r="HG59" s="189">
        <f t="shared" si="135"/>
        <v>0</v>
      </c>
      <c r="HH59" s="201" t="str">
        <f t="shared" si="136"/>
        <v>TIDAK KONSINYASI</v>
      </c>
      <c r="HI59" s="201" t="str">
        <f t="shared" si="137"/>
        <v>SELESAI</v>
      </c>
      <c r="HJ59" s="205"/>
      <c r="HK59" s="201">
        <f t="shared" si="138"/>
        <v>0</v>
      </c>
      <c r="HL59" s="204"/>
      <c r="HM59" s="204"/>
      <c r="HN59" s="204"/>
      <c r="HO59" s="204"/>
      <c r="HP59" s="203">
        <f t="shared" si="139"/>
        <v>0</v>
      </c>
      <c r="HQ59" s="202">
        <f t="shared" si="140"/>
        <v>0</v>
      </c>
      <c r="HR59" s="202">
        <f t="shared" si="263"/>
        <v>0</v>
      </c>
      <c r="HS59" s="203">
        <f t="shared" si="142"/>
        <v>0</v>
      </c>
      <c r="HT59" s="202">
        <f t="shared" si="143"/>
        <v>0</v>
      </c>
      <c r="HU59" s="202">
        <f t="shared" si="264"/>
        <v>0</v>
      </c>
      <c r="HV59" s="203">
        <f t="shared" si="145"/>
        <v>0</v>
      </c>
      <c r="HW59" s="202">
        <f t="shared" si="146"/>
        <v>0</v>
      </c>
      <c r="HX59" s="202">
        <f t="shared" si="265"/>
        <v>0</v>
      </c>
      <c r="HY59" s="203">
        <f t="shared" si="148"/>
        <v>0</v>
      </c>
      <c r="HZ59" s="202">
        <f t="shared" si="149"/>
        <v>0</v>
      </c>
      <c r="IA59" s="202">
        <f t="shared" si="266"/>
        <v>0</v>
      </c>
      <c r="IB59" s="203">
        <f t="shared" si="151"/>
        <v>0</v>
      </c>
      <c r="IC59" s="202">
        <f t="shared" si="152"/>
        <v>0</v>
      </c>
      <c r="ID59" s="202">
        <f t="shared" si="267"/>
        <v>0</v>
      </c>
      <c r="IE59" s="203">
        <f t="shared" si="154"/>
        <v>0</v>
      </c>
      <c r="IF59" s="202">
        <f t="shared" si="155"/>
        <v>0</v>
      </c>
      <c r="IG59" s="202">
        <f t="shared" si="268"/>
        <v>0</v>
      </c>
      <c r="IH59" s="203">
        <f t="shared" si="157"/>
        <v>0</v>
      </c>
      <c r="II59" s="202">
        <f t="shared" si="158"/>
        <v>0</v>
      </c>
      <c r="IJ59" s="202">
        <f t="shared" si="269"/>
        <v>0</v>
      </c>
      <c r="IK59" s="203">
        <f t="shared" si="160"/>
        <v>0</v>
      </c>
      <c r="IL59" s="202">
        <f t="shared" si="161"/>
        <v>0</v>
      </c>
      <c r="IM59" s="202">
        <f t="shared" si="270"/>
        <v>0</v>
      </c>
      <c r="IN59" s="204"/>
      <c r="IO59" s="203">
        <f t="shared" si="163"/>
        <v>0</v>
      </c>
      <c r="IP59" s="202">
        <f t="shared" si="271"/>
        <v>0</v>
      </c>
      <c r="IQ59" s="202">
        <f t="shared" si="272"/>
        <v>0</v>
      </c>
      <c r="IR59" s="204"/>
      <c r="IS59" s="203"/>
      <c r="IT59" s="202">
        <f t="shared" si="273"/>
        <v>1</v>
      </c>
      <c r="IU59" s="202">
        <f t="shared" si="274"/>
        <v>296</v>
      </c>
      <c r="IV59" s="204"/>
      <c r="IW59" s="203"/>
      <c r="IX59" s="202">
        <f t="shared" si="275"/>
        <v>0</v>
      </c>
      <c r="IY59" s="202">
        <f t="shared" si="276"/>
        <v>0</v>
      </c>
      <c r="IZ59" s="204"/>
      <c r="JA59" s="203"/>
      <c r="JB59" s="202">
        <f t="shared" si="277"/>
        <v>0</v>
      </c>
      <c r="JC59" s="202">
        <f t="shared" si="278"/>
        <v>0</v>
      </c>
      <c r="JD59" s="204"/>
      <c r="JE59" s="203"/>
      <c r="JF59" s="202">
        <f t="shared" si="172"/>
        <v>1</v>
      </c>
      <c r="JG59" s="202">
        <f t="shared" si="173"/>
        <v>296</v>
      </c>
      <c r="JH59" s="204"/>
      <c r="JI59" s="203"/>
      <c r="JJ59" s="202">
        <f t="shared" si="279"/>
        <v>0</v>
      </c>
      <c r="JK59" s="202">
        <f t="shared" si="280"/>
        <v>0</v>
      </c>
      <c r="JM59" s="203">
        <f t="shared" si="176"/>
        <v>0</v>
      </c>
      <c r="JO59" s="196">
        <f t="shared" si="54"/>
        <v>0</v>
      </c>
      <c r="JP59" s="189">
        <f t="shared" si="281"/>
        <v>0</v>
      </c>
      <c r="JQ59" s="189">
        <f t="shared" si="282"/>
        <v>0</v>
      </c>
      <c r="JR59" s="189">
        <f t="shared" si="283"/>
        <v>0</v>
      </c>
      <c r="JS59" s="189">
        <f t="shared" si="284"/>
        <v>0</v>
      </c>
      <c r="JT59" s="189">
        <f t="shared" si="285"/>
        <v>0</v>
      </c>
      <c r="JU59" s="189">
        <f t="shared" si="286"/>
        <v>0</v>
      </c>
      <c r="JV59" s="189">
        <f t="shared" si="287"/>
        <v>0</v>
      </c>
      <c r="JW59" s="189">
        <f t="shared" si="288"/>
        <v>0</v>
      </c>
      <c r="JX59" s="189">
        <f t="shared" si="289"/>
        <v>0</v>
      </c>
      <c r="JY59" s="189">
        <f t="shared" si="290"/>
        <v>0</v>
      </c>
      <c r="JZ59" s="189">
        <f t="shared" si="291"/>
        <v>0</v>
      </c>
      <c r="KA59" s="189">
        <f t="shared" si="292"/>
        <v>0</v>
      </c>
      <c r="KB59" s="189">
        <f t="shared" si="293"/>
        <v>0</v>
      </c>
      <c r="KD59" s="206">
        <f t="shared" si="177"/>
        <v>0</v>
      </c>
      <c r="KE59" s="206">
        <f t="shared" si="69"/>
        <v>0</v>
      </c>
      <c r="KF59" s="206">
        <f t="shared" si="294"/>
        <v>0</v>
      </c>
      <c r="KG59" s="206">
        <f t="shared" si="295"/>
        <v>0</v>
      </c>
      <c r="KH59" s="206">
        <f t="shared" si="296"/>
        <v>0</v>
      </c>
      <c r="KI59" s="206">
        <f t="shared" si="297"/>
        <v>0</v>
      </c>
      <c r="KJ59" s="206">
        <f t="shared" si="298"/>
        <v>0</v>
      </c>
      <c r="KK59" s="206">
        <f t="shared" si="299"/>
        <v>0</v>
      </c>
      <c r="KL59" s="206">
        <f t="shared" si="300"/>
        <v>0</v>
      </c>
      <c r="KM59" s="206">
        <f t="shared" si="301"/>
        <v>0</v>
      </c>
      <c r="KN59" s="221">
        <f t="shared" si="302"/>
        <v>0</v>
      </c>
      <c r="KO59" s="221">
        <f t="shared" si="303"/>
        <v>0</v>
      </c>
      <c r="KP59" s="221">
        <f t="shared" si="304"/>
        <v>0</v>
      </c>
      <c r="KQ59" s="221">
        <f t="shared" si="305"/>
        <v>0</v>
      </c>
      <c r="KR59" s="221">
        <f t="shared" si="306"/>
        <v>0</v>
      </c>
      <c r="KT59" s="195">
        <f t="shared" si="307"/>
        <v>0</v>
      </c>
      <c r="KU59" s="221"/>
      <c r="KV59" s="221"/>
      <c r="KW59" s="221"/>
      <c r="KX59" s="221"/>
      <c r="KY59" s="221"/>
      <c r="KZ59" s="221"/>
      <c r="LA59" s="221"/>
      <c r="LB59" s="221"/>
      <c r="LC59" s="221"/>
      <c r="LD59" s="221"/>
      <c r="LE59" s="221"/>
      <c r="LF59" s="221"/>
      <c r="LG59" s="221"/>
      <c r="LH59" s="221"/>
      <c r="LI59" s="221"/>
      <c r="LJ59" s="221"/>
      <c r="LK59" s="221"/>
      <c r="LL59" s="221"/>
      <c r="LM59" s="221"/>
      <c r="LN59" s="221"/>
      <c r="LO59" s="221"/>
      <c r="LP59" s="221"/>
      <c r="LQ59" s="221"/>
      <c r="LR59" s="221"/>
      <c r="LS59" s="221"/>
      <c r="LT59" s="221"/>
      <c r="LU59" s="221"/>
      <c r="LV59" s="221"/>
      <c r="LW59" s="221"/>
      <c r="LX59" s="221"/>
      <c r="LY59" s="221"/>
      <c r="LZ59" s="221"/>
      <c r="MA59" s="221"/>
      <c r="MB59" s="221"/>
      <c r="MC59" s="221"/>
      <c r="MD59" s="221"/>
      <c r="ME59" s="221"/>
      <c r="MF59" s="221"/>
      <c r="MG59" s="221"/>
      <c r="MH59" s="221"/>
      <c r="MI59" s="221"/>
      <c r="MJ59" s="221"/>
      <c r="MK59" s="221"/>
      <c r="ML59" s="221"/>
      <c r="MM59" s="221"/>
      <c r="MN59" s="221"/>
      <c r="MO59" s="221"/>
      <c r="MP59" s="221"/>
      <c r="MQ59" s="221"/>
      <c r="MR59" s="221"/>
      <c r="MS59" s="221"/>
      <c r="MT59" s="221"/>
      <c r="MU59" s="221"/>
      <c r="MV59" s="221"/>
      <c r="MW59" s="221"/>
      <c r="MX59" s="221"/>
      <c r="MY59" s="221"/>
      <c r="MZ59" s="221"/>
      <c r="NA59" s="221"/>
      <c r="NB59" s="221"/>
      <c r="NC59" s="221"/>
      <c r="ND59" s="221"/>
      <c r="NE59" s="221"/>
      <c r="NF59" s="221"/>
      <c r="NG59" s="221"/>
      <c r="NH59" s="221"/>
      <c r="NI59" s="221"/>
      <c r="NJ59" s="221"/>
      <c r="NK59" s="221"/>
      <c r="NM59" s="195">
        <f t="shared" si="178"/>
        <v>0</v>
      </c>
      <c r="NN59" s="195">
        <f t="shared" si="179"/>
        <v>0</v>
      </c>
      <c r="NO59" s="195">
        <f t="shared" si="180"/>
        <v>0</v>
      </c>
      <c r="NP59" s="195">
        <f t="shared" si="181"/>
        <v>0</v>
      </c>
      <c r="NQ59" s="195">
        <f t="shared" si="182"/>
        <v>0</v>
      </c>
      <c r="NR59" s="195">
        <f t="shared" si="183"/>
        <v>0</v>
      </c>
      <c r="NS59" s="195">
        <f t="shared" si="184"/>
        <v>0</v>
      </c>
      <c r="NT59" s="195">
        <f t="shared" si="185"/>
        <v>0</v>
      </c>
      <c r="NU59" s="196">
        <f t="shared" si="186"/>
        <v>0</v>
      </c>
      <c r="NY59" s="215">
        <f t="shared" si="249"/>
        <v>1</v>
      </c>
      <c r="NZ59" s="222">
        <v>11875000</v>
      </c>
      <c r="OE59" s="207">
        <f t="shared" si="243"/>
        <v>0</v>
      </c>
      <c r="OF59" s="207">
        <f t="shared" si="244"/>
        <v>0</v>
      </c>
      <c r="OG59" s="207">
        <f t="shared" si="245"/>
        <v>0</v>
      </c>
      <c r="OH59" s="207">
        <f t="shared" si="188"/>
        <v>0</v>
      </c>
      <c r="OI59" s="207">
        <f t="shared" si="246"/>
        <v>0</v>
      </c>
      <c r="OJ59" s="199">
        <f t="shared" si="189"/>
        <v>0</v>
      </c>
      <c r="OK59" s="199">
        <f t="shared" si="190"/>
        <v>0</v>
      </c>
      <c r="OL59" s="199">
        <f t="shared" si="191"/>
        <v>0</v>
      </c>
      <c r="OM59" s="199">
        <f t="shared" si="192"/>
        <v>0</v>
      </c>
      <c r="OO59" s="207">
        <f t="shared" si="247"/>
        <v>0</v>
      </c>
      <c r="OP59" s="207">
        <f t="shared" si="248"/>
        <v>0</v>
      </c>
      <c r="OQ59" s="207">
        <f t="shared" si="193"/>
        <v>0</v>
      </c>
      <c r="OR59" s="207">
        <f t="shared" si="194"/>
        <v>0</v>
      </c>
      <c r="OS59" s="207">
        <f t="shared" si="195"/>
        <v>0</v>
      </c>
      <c r="OT59" s="199">
        <f t="shared" si="196"/>
        <v>0</v>
      </c>
      <c r="OU59" s="199">
        <f t="shared" si="197"/>
        <v>0</v>
      </c>
      <c r="OV59" s="199">
        <f t="shared" si="198"/>
        <v>0</v>
      </c>
      <c r="OW59" s="199">
        <f t="shared" si="199"/>
        <v>0</v>
      </c>
      <c r="OZ59" s="208">
        <f t="shared" si="91"/>
        <v>0</v>
      </c>
      <c r="PA59" s="209"/>
      <c r="PB59" s="209"/>
      <c r="PC59" s="209"/>
      <c r="PD59" s="210">
        <f t="shared" si="200"/>
        <v>0</v>
      </c>
      <c r="PE59" s="210"/>
      <c r="PF59" s="210">
        <f t="shared" si="201"/>
        <v>0</v>
      </c>
      <c r="PG59" s="210">
        <f t="shared" si="202"/>
        <v>0</v>
      </c>
      <c r="PH59" s="210">
        <f t="shared" si="92"/>
        <v>0</v>
      </c>
      <c r="PI59" s="210">
        <f t="shared" si="93"/>
        <v>0</v>
      </c>
      <c r="PJ59" s="210">
        <f t="shared" si="94"/>
        <v>0</v>
      </c>
      <c r="PK59" s="210">
        <f t="shared" si="95"/>
        <v>0</v>
      </c>
      <c r="PL59" s="210">
        <f t="shared" si="96"/>
        <v>0</v>
      </c>
      <c r="PM59" s="211"/>
      <c r="PN59" s="211"/>
      <c r="PO59" s="212">
        <f t="shared" si="203"/>
        <v>0</v>
      </c>
      <c r="PP59" s="212">
        <f t="shared" si="204"/>
        <v>0</v>
      </c>
      <c r="PQ59" s="212">
        <f t="shared" si="205"/>
        <v>0</v>
      </c>
      <c r="PR59" s="211"/>
      <c r="PS59" s="211"/>
      <c r="PT59" s="211"/>
      <c r="PU59" s="211"/>
      <c r="XFC59" s="195">
        <v>2754860000</v>
      </c>
    </row>
    <row r="60" spans="1:437 16383:16383" s="195" customFormat="1" ht="16" x14ac:dyDescent="0.2">
      <c r="A60" s="213">
        <f t="shared" si="206"/>
        <v>50</v>
      </c>
      <c r="B60" s="186" t="s">
        <v>408</v>
      </c>
      <c r="C60" s="186">
        <v>55</v>
      </c>
      <c r="D60" s="188">
        <v>1</v>
      </c>
      <c r="E60" s="188">
        <v>132</v>
      </c>
      <c r="F60" s="188">
        <v>1</v>
      </c>
      <c r="G60" s="188">
        <f t="shared" si="308"/>
        <v>132</v>
      </c>
      <c r="H60" s="214">
        <f t="shared" si="213"/>
        <v>1</v>
      </c>
      <c r="I60" s="214">
        <f t="shared" si="214"/>
        <v>1</v>
      </c>
      <c r="J60" s="188">
        <v>1</v>
      </c>
      <c r="K60" s="188">
        <f t="shared" si="215"/>
        <v>132</v>
      </c>
      <c r="L60" s="214">
        <f t="shared" si="216"/>
        <v>1</v>
      </c>
      <c r="M60" s="214">
        <f t="shared" si="217"/>
        <v>1</v>
      </c>
      <c r="N60" s="188">
        <v>1</v>
      </c>
      <c r="O60" s="188">
        <f t="shared" si="218"/>
        <v>132</v>
      </c>
      <c r="P60" s="214">
        <f t="shared" si="219"/>
        <v>1</v>
      </c>
      <c r="Q60" s="214">
        <f t="shared" si="220"/>
        <v>1</v>
      </c>
      <c r="R60" s="188">
        <v>1</v>
      </c>
      <c r="S60" s="188">
        <f t="shared" si="221"/>
        <v>132</v>
      </c>
      <c r="T60" s="214">
        <f t="shared" si="222"/>
        <v>1</v>
      </c>
      <c r="U60" s="214">
        <f t="shared" si="223"/>
        <v>1</v>
      </c>
      <c r="V60" s="215">
        <v>1</v>
      </c>
      <c r="W60" s="188">
        <f t="shared" si="224"/>
        <v>132</v>
      </c>
      <c r="X60" s="214">
        <f t="shared" si="225"/>
        <v>1</v>
      </c>
      <c r="Y60" s="214">
        <f t="shared" si="226"/>
        <v>1</v>
      </c>
      <c r="Z60" s="216">
        <f>2591434000/1000000000</f>
        <v>2.591434</v>
      </c>
      <c r="AA60" s="188">
        <v>0</v>
      </c>
      <c r="AB60" s="188">
        <f t="shared" si="112"/>
        <v>0</v>
      </c>
      <c r="AC60" s="214">
        <f t="shared" si="113"/>
        <v>0</v>
      </c>
      <c r="AD60" s="214">
        <f t="shared" si="114"/>
        <v>0</v>
      </c>
      <c r="AE60" s="188"/>
      <c r="AF60" s="188">
        <f t="shared" si="115"/>
        <v>0</v>
      </c>
      <c r="AG60" s="188"/>
      <c r="AH60" s="188"/>
      <c r="AI60" s="188">
        <v>1</v>
      </c>
      <c r="AJ60" s="188">
        <f t="shared" si="2"/>
        <v>132</v>
      </c>
      <c r="AK60" s="188" t="s">
        <v>304</v>
      </c>
      <c r="AL60" s="188">
        <v>0</v>
      </c>
      <c r="AM60" s="188">
        <v>0</v>
      </c>
      <c r="AN60" s="217"/>
      <c r="AO60" s="188">
        <f t="shared" si="207"/>
        <v>1</v>
      </c>
      <c r="AP60" s="188">
        <f t="shared" si="208"/>
        <v>132</v>
      </c>
      <c r="AQ60" s="188">
        <f t="shared" si="227"/>
        <v>1</v>
      </c>
      <c r="AR60" s="188">
        <f t="shared" si="228"/>
        <v>132</v>
      </c>
      <c r="AS60" s="188">
        <f t="shared" si="229"/>
        <v>1</v>
      </c>
      <c r="AT60" s="188">
        <f t="shared" si="230"/>
        <v>132</v>
      </c>
      <c r="AU60" s="188">
        <f t="shared" si="209"/>
        <v>1</v>
      </c>
      <c r="AV60" s="188">
        <f t="shared" si="210"/>
        <v>132</v>
      </c>
      <c r="AW60" s="188">
        <f t="shared" si="211"/>
        <v>1</v>
      </c>
      <c r="AX60" s="188">
        <f t="shared" si="212"/>
        <v>132</v>
      </c>
      <c r="AY60" s="188">
        <f t="shared" si="116"/>
        <v>0</v>
      </c>
      <c r="AZ60" s="188">
        <f t="shared" si="117"/>
        <v>0</v>
      </c>
      <c r="BA60" s="188">
        <f t="shared" si="14"/>
        <v>2.591434</v>
      </c>
      <c r="BB60" s="188">
        <f t="shared" si="15"/>
        <v>0</v>
      </c>
      <c r="BD60" s="196">
        <f t="shared" si="118"/>
        <v>0</v>
      </c>
      <c r="BE60" s="188">
        <f t="shared" si="231"/>
        <v>0</v>
      </c>
      <c r="BF60" s="188">
        <f t="shared" si="232"/>
        <v>0</v>
      </c>
      <c r="BG60" s="188">
        <f t="shared" si="233"/>
        <v>0</v>
      </c>
      <c r="BH60" s="188">
        <f t="shared" si="234"/>
        <v>0</v>
      </c>
      <c r="BI60" s="188">
        <f t="shared" si="235"/>
        <v>0</v>
      </c>
      <c r="BJ60" s="188">
        <f t="shared" si="236"/>
        <v>0</v>
      </c>
      <c r="BK60" s="188">
        <f t="shared" si="22"/>
        <v>0</v>
      </c>
      <c r="BN60" s="143"/>
      <c r="BO60" s="277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B60" s="188"/>
      <c r="CD60" s="188">
        <f t="shared" si="23"/>
        <v>0</v>
      </c>
      <c r="CE60" s="188">
        <f t="shared" si="24"/>
        <v>0</v>
      </c>
      <c r="CF60" s="188">
        <f t="shared" si="25"/>
        <v>0</v>
      </c>
      <c r="CG60" s="188">
        <f t="shared" si="26"/>
        <v>0</v>
      </c>
      <c r="CH60" s="188">
        <f t="shared" si="27"/>
        <v>0</v>
      </c>
      <c r="CI60" s="188">
        <f t="shared" si="28"/>
        <v>0</v>
      </c>
      <c r="CJ60" s="188">
        <f t="shared" si="29"/>
        <v>0</v>
      </c>
      <c r="CK60" s="188">
        <f t="shared" si="30"/>
        <v>0</v>
      </c>
      <c r="CL60" s="188">
        <f t="shared" si="31"/>
        <v>0</v>
      </c>
      <c r="CM60" s="188">
        <f t="shared" si="32"/>
        <v>0</v>
      </c>
      <c r="CN60" s="188">
        <f t="shared" si="33"/>
        <v>0</v>
      </c>
      <c r="CO60" s="188">
        <f t="shared" si="34"/>
        <v>0</v>
      </c>
      <c r="CP60" s="188">
        <f t="shared" si="35"/>
        <v>0</v>
      </c>
      <c r="DV60" s="188">
        <f t="shared" si="237"/>
        <v>0</v>
      </c>
      <c r="DW60" s="188">
        <f t="shared" si="238"/>
        <v>0</v>
      </c>
      <c r="DX60" s="188">
        <f t="shared" si="239"/>
        <v>0</v>
      </c>
      <c r="DY60" s="188">
        <f t="shared" si="240"/>
        <v>0</v>
      </c>
      <c r="DZ60" s="188">
        <f t="shared" si="241"/>
        <v>0</v>
      </c>
      <c r="EA60" s="188">
        <f t="shared" si="242"/>
        <v>0</v>
      </c>
      <c r="EB60" s="188">
        <f t="shared" si="42"/>
        <v>0</v>
      </c>
      <c r="EG60" s="220">
        <f t="shared" si="43"/>
        <v>0</v>
      </c>
      <c r="EH60" s="220">
        <f t="shared" si="44"/>
        <v>0</v>
      </c>
      <c r="EI60" s="188">
        <v>1</v>
      </c>
      <c r="EJ60" s="188">
        <v>1</v>
      </c>
      <c r="EK60" s="188"/>
      <c r="EL60" s="188"/>
      <c r="EM60" s="188"/>
      <c r="EN60" s="188"/>
      <c r="EO60" s="188"/>
      <c r="EP60" s="188"/>
      <c r="EQ60" s="188"/>
      <c r="ER60" s="188"/>
      <c r="ES60" s="188"/>
      <c r="ET60" s="188"/>
      <c r="EU60" s="188"/>
      <c r="EV60" s="188"/>
      <c r="EW60" s="188"/>
      <c r="EX60" s="188"/>
      <c r="EY60" s="188"/>
      <c r="EZ60" s="188"/>
      <c r="FA60" s="188"/>
      <c r="FB60" s="188"/>
      <c r="FC60" s="188"/>
      <c r="FD60" s="188"/>
      <c r="FE60" s="188"/>
      <c r="FF60" s="188"/>
      <c r="FH60" s="189"/>
      <c r="FI60" s="189"/>
      <c r="FJ60" s="189"/>
      <c r="FK60" s="189"/>
      <c r="FL60" s="189"/>
      <c r="FM60" s="189"/>
      <c r="FN60" s="189"/>
      <c r="FO60" s="189"/>
      <c r="FP60" s="189"/>
      <c r="FQ60" s="189"/>
      <c r="FR60" s="189"/>
      <c r="FS60" s="189"/>
      <c r="FT60" s="189"/>
      <c r="FU60" s="189"/>
      <c r="FV60" s="189"/>
      <c r="FX60" s="217"/>
      <c r="FY60" s="188">
        <f t="shared" si="45"/>
        <v>0</v>
      </c>
      <c r="FZ60" s="188">
        <f t="shared" si="250"/>
        <v>0</v>
      </c>
      <c r="GA60" s="188">
        <f t="shared" si="251"/>
        <v>0</v>
      </c>
      <c r="GB60" s="188">
        <f t="shared" si="252"/>
        <v>0</v>
      </c>
      <c r="GC60" s="188">
        <f t="shared" si="253"/>
        <v>0</v>
      </c>
      <c r="GD60" s="188">
        <f t="shared" si="254"/>
        <v>0</v>
      </c>
      <c r="GE60" s="188">
        <f t="shared" si="255"/>
        <v>0</v>
      </c>
      <c r="GF60" s="199"/>
      <c r="GG60" s="189">
        <v>0</v>
      </c>
      <c r="GH60" s="189">
        <v>0</v>
      </c>
      <c r="GI60" s="199"/>
      <c r="GJ60" s="200">
        <f t="shared" si="52"/>
        <v>0</v>
      </c>
      <c r="GK60" s="200">
        <f t="shared" si="53"/>
        <v>0</v>
      </c>
      <c r="GO60" s="189">
        <f t="shared" si="256"/>
        <v>0</v>
      </c>
      <c r="GP60" s="189">
        <f t="shared" si="257"/>
        <v>0</v>
      </c>
      <c r="GQ60" s="189">
        <f t="shared" si="258"/>
        <v>0</v>
      </c>
      <c r="GR60" s="189">
        <f t="shared" si="259"/>
        <v>0</v>
      </c>
      <c r="GS60" s="189">
        <f t="shared" si="260"/>
        <v>0</v>
      </c>
      <c r="GT60" s="189">
        <f t="shared" si="124"/>
        <v>1</v>
      </c>
      <c r="GU60" s="201">
        <f t="shared" si="125"/>
        <v>43243</v>
      </c>
      <c r="GV60" s="189" t="str">
        <f t="shared" si="126"/>
        <v>SELESAI</v>
      </c>
      <c r="GW60" s="189">
        <f t="shared" si="127"/>
        <v>0</v>
      </c>
      <c r="GX60" s="202" t="str">
        <f t="shared" si="128"/>
        <v>SELESAI</v>
      </c>
      <c r="GY60" s="202">
        <f t="shared" si="129"/>
        <v>0</v>
      </c>
      <c r="GZ60" s="203" t="str">
        <f t="shared" si="130"/>
        <v>SELESAI</v>
      </c>
      <c r="HA60" s="204"/>
      <c r="HB60" s="204"/>
      <c r="HC60" s="189">
        <f t="shared" si="261"/>
        <v>0</v>
      </c>
      <c r="HD60" s="189">
        <f t="shared" si="262"/>
        <v>0</v>
      </c>
      <c r="HE60" s="189">
        <f t="shared" si="133"/>
        <v>0</v>
      </c>
      <c r="HF60" s="189">
        <f t="shared" si="134"/>
        <v>0</v>
      </c>
      <c r="HG60" s="189">
        <f t="shared" si="135"/>
        <v>0</v>
      </c>
      <c r="HH60" s="201" t="str">
        <f t="shared" si="136"/>
        <v>TIDAK KONSINYASI</v>
      </c>
      <c r="HI60" s="201" t="str">
        <f t="shared" si="137"/>
        <v>SELESAI</v>
      </c>
      <c r="HJ60" s="205"/>
      <c r="HK60" s="201">
        <f t="shared" si="138"/>
        <v>0</v>
      </c>
      <c r="HL60" s="204"/>
      <c r="HM60" s="204"/>
      <c r="HN60" s="204"/>
      <c r="HO60" s="204"/>
      <c r="HP60" s="203">
        <f t="shared" si="139"/>
        <v>0</v>
      </c>
      <c r="HQ60" s="202">
        <f t="shared" si="140"/>
        <v>0</v>
      </c>
      <c r="HR60" s="202">
        <f t="shared" si="263"/>
        <v>0</v>
      </c>
      <c r="HS60" s="203">
        <f t="shared" si="142"/>
        <v>0</v>
      </c>
      <c r="HT60" s="202">
        <f t="shared" si="143"/>
        <v>0</v>
      </c>
      <c r="HU60" s="202">
        <f t="shared" si="264"/>
        <v>0</v>
      </c>
      <c r="HV60" s="203">
        <f t="shared" si="145"/>
        <v>0</v>
      </c>
      <c r="HW60" s="202">
        <f t="shared" si="146"/>
        <v>0</v>
      </c>
      <c r="HX60" s="202">
        <f t="shared" si="265"/>
        <v>0</v>
      </c>
      <c r="HY60" s="203">
        <f t="shared" si="148"/>
        <v>0</v>
      </c>
      <c r="HZ60" s="202">
        <f t="shared" si="149"/>
        <v>0</v>
      </c>
      <c r="IA60" s="202">
        <f t="shared" si="266"/>
        <v>0</v>
      </c>
      <c r="IB60" s="203">
        <f t="shared" si="151"/>
        <v>0</v>
      </c>
      <c r="IC60" s="202">
        <f t="shared" si="152"/>
        <v>0</v>
      </c>
      <c r="ID60" s="202">
        <f t="shared" si="267"/>
        <v>0</v>
      </c>
      <c r="IE60" s="203">
        <f t="shared" si="154"/>
        <v>0</v>
      </c>
      <c r="IF60" s="202">
        <f t="shared" si="155"/>
        <v>0</v>
      </c>
      <c r="IG60" s="202">
        <f t="shared" si="268"/>
        <v>0</v>
      </c>
      <c r="IH60" s="203">
        <f t="shared" si="157"/>
        <v>0</v>
      </c>
      <c r="II60" s="202">
        <f t="shared" si="158"/>
        <v>0</v>
      </c>
      <c r="IJ60" s="202">
        <f t="shared" si="269"/>
        <v>0</v>
      </c>
      <c r="IK60" s="203">
        <f t="shared" si="160"/>
        <v>0</v>
      </c>
      <c r="IL60" s="202">
        <f t="shared" si="161"/>
        <v>0</v>
      </c>
      <c r="IM60" s="202">
        <f t="shared" si="270"/>
        <v>0</v>
      </c>
      <c r="IN60" s="204"/>
      <c r="IO60" s="203">
        <f t="shared" si="163"/>
        <v>0</v>
      </c>
      <c r="IP60" s="202">
        <f t="shared" si="271"/>
        <v>0</v>
      </c>
      <c r="IQ60" s="202">
        <f t="shared" si="272"/>
        <v>0</v>
      </c>
      <c r="IR60" s="204"/>
      <c r="IS60" s="203"/>
      <c r="IT60" s="202">
        <f t="shared" si="273"/>
        <v>1</v>
      </c>
      <c r="IU60" s="202">
        <f t="shared" si="274"/>
        <v>132</v>
      </c>
      <c r="IV60" s="204"/>
      <c r="IW60" s="203"/>
      <c r="IX60" s="202">
        <f t="shared" si="275"/>
        <v>0</v>
      </c>
      <c r="IY60" s="202">
        <f t="shared" si="276"/>
        <v>0</v>
      </c>
      <c r="IZ60" s="204"/>
      <c r="JA60" s="203"/>
      <c r="JB60" s="202">
        <f t="shared" si="277"/>
        <v>0</v>
      </c>
      <c r="JC60" s="202">
        <f t="shared" si="278"/>
        <v>0</v>
      </c>
      <c r="JD60" s="204"/>
      <c r="JE60" s="203"/>
      <c r="JF60" s="202">
        <f t="shared" si="172"/>
        <v>1</v>
      </c>
      <c r="JG60" s="202">
        <f t="shared" si="173"/>
        <v>132</v>
      </c>
      <c r="JH60" s="204"/>
      <c r="JI60" s="203"/>
      <c r="JJ60" s="202">
        <f t="shared" si="279"/>
        <v>0</v>
      </c>
      <c r="JK60" s="202">
        <f t="shared" si="280"/>
        <v>0</v>
      </c>
      <c r="JM60" s="203">
        <f t="shared" si="176"/>
        <v>0</v>
      </c>
      <c r="JO60" s="196">
        <f t="shared" si="54"/>
        <v>0</v>
      </c>
      <c r="JP60" s="189">
        <f t="shared" si="281"/>
        <v>0</v>
      </c>
      <c r="JQ60" s="189">
        <f t="shared" si="282"/>
        <v>0</v>
      </c>
      <c r="JR60" s="189">
        <f t="shared" si="283"/>
        <v>0</v>
      </c>
      <c r="JS60" s="189">
        <f t="shared" si="284"/>
        <v>0</v>
      </c>
      <c r="JT60" s="189">
        <f t="shared" si="285"/>
        <v>0</v>
      </c>
      <c r="JU60" s="189">
        <f t="shared" si="286"/>
        <v>0</v>
      </c>
      <c r="JV60" s="189">
        <f t="shared" si="287"/>
        <v>0</v>
      </c>
      <c r="JW60" s="189">
        <f t="shared" si="288"/>
        <v>0</v>
      </c>
      <c r="JX60" s="189">
        <f t="shared" si="289"/>
        <v>0</v>
      </c>
      <c r="JY60" s="189">
        <f t="shared" si="290"/>
        <v>0</v>
      </c>
      <c r="JZ60" s="189">
        <f t="shared" si="291"/>
        <v>0</v>
      </c>
      <c r="KA60" s="189">
        <f t="shared" si="292"/>
        <v>0</v>
      </c>
      <c r="KB60" s="189">
        <f t="shared" si="293"/>
        <v>0</v>
      </c>
      <c r="KD60" s="206">
        <f t="shared" si="177"/>
        <v>0</v>
      </c>
      <c r="KE60" s="206">
        <f t="shared" si="69"/>
        <v>0</v>
      </c>
      <c r="KF60" s="206">
        <f t="shared" si="294"/>
        <v>0</v>
      </c>
      <c r="KG60" s="206">
        <f t="shared" si="295"/>
        <v>0</v>
      </c>
      <c r="KH60" s="206">
        <f t="shared" si="296"/>
        <v>0</v>
      </c>
      <c r="KI60" s="206">
        <f t="shared" si="297"/>
        <v>0</v>
      </c>
      <c r="KJ60" s="206">
        <f t="shared" si="298"/>
        <v>0</v>
      </c>
      <c r="KK60" s="206">
        <f t="shared" si="299"/>
        <v>0</v>
      </c>
      <c r="KL60" s="206">
        <f t="shared" si="300"/>
        <v>0</v>
      </c>
      <c r="KM60" s="206">
        <f t="shared" si="301"/>
        <v>0</v>
      </c>
      <c r="KN60" s="221">
        <f t="shared" si="302"/>
        <v>0</v>
      </c>
      <c r="KO60" s="221">
        <f t="shared" si="303"/>
        <v>0</v>
      </c>
      <c r="KP60" s="221">
        <f t="shared" si="304"/>
        <v>0</v>
      </c>
      <c r="KQ60" s="221">
        <f t="shared" si="305"/>
        <v>0</v>
      </c>
      <c r="KR60" s="221">
        <f t="shared" si="306"/>
        <v>0</v>
      </c>
      <c r="KT60" s="195">
        <f t="shared" si="307"/>
        <v>0</v>
      </c>
      <c r="KU60" s="221"/>
      <c r="KV60" s="221"/>
      <c r="KW60" s="221"/>
      <c r="KX60" s="221"/>
      <c r="KY60" s="221"/>
      <c r="KZ60" s="221"/>
      <c r="LA60" s="221"/>
      <c r="LB60" s="221"/>
      <c r="LC60" s="221"/>
      <c r="LD60" s="221"/>
      <c r="LE60" s="221"/>
      <c r="LF60" s="221"/>
      <c r="LG60" s="221"/>
      <c r="LH60" s="221"/>
      <c r="LI60" s="221"/>
      <c r="LJ60" s="221"/>
      <c r="LK60" s="221"/>
      <c r="LL60" s="221"/>
      <c r="LM60" s="221"/>
      <c r="LN60" s="221"/>
      <c r="LO60" s="221"/>
      <c r="LP60" s="221"/>
      <c r="LQ60" s="221"/>
      <c r="LR60" s="221"/>
      <c r="LS60" s="221"/>
      <c r="LT60" s="221"/>
      <c r="LU60" s="221"/>
      <c r="LV60" s="221"/>
      <c r="LW60" s="221"/>
      <c r="LX60" s="221"/>
      <c r="LY60" s="221"/>
      <c r="LZ60" s="221"/>
      <c r="MA60" s="221"/>
      <c r="MB60" s="221"/>
      <c r="MC60" s="221"/>
      <c r="MD60" s="221"/>
      <c r="ME60" s="221"/>
      <c r="MF60" s="221"/>
      <c r="MG60" s="221"/>
      <c r="MH60" s="221"/>
      <c r="MI60" s="221"/>
      <c r="MJ60" s="221"/>
      <c r="MK60" s="221"/>
      <c r="ML60" s="221"/>
      <c r="MM60" s="221"/>
      <c r="MN60" s="221"/>
      <c r="MO60" s="221"/>
      <c r="MP60" s="221"/>
      <c r="MQ60" s="221"/>
      <c r="MR60" s="221"/>
      <c r="MS60" s="221"/>
      <c r="MT60" s="221"/>
      <c r="MU60" s="221"/>
      <c r="MV60" s="221"/>
      <c r="MW60" s="221"/>
      <c r="MX60" s="221"/>
      <c r="MY60" s="221"/>
      <c r="MZ60" s="221"/>
      <c r="NA60" s="221"/>
      <c r="NB60" s="221"/>
      <c r="NC60" s="221"/>
      <c r="ND60" s="221"/>
      <c r="NE60" s="221"/>
      <c r="NF60" s="221"/>
      <c r="NG60" s="221"/>
      <c r="NH60" s="221"/>
      <c r="NI60" s="221"/>
      <c r="NJ60" s="221"/>
      <c r="NK60" s="221"/>
      <c r="NM60" s="195">
        <f t="shared" si="178"/>
        <v>0</v>
      </c>
      <c r="NN60" s="195">
        <f t="shared" si="179"/>
        <v>0</v>
      </c>
      <c r="NO60" s="195">
        <f t="shared" si="180"/>
        <v>0</v>
      </c>
      <c r="NP60" s="195">
        <f t="shared" si="181"/>
        <v>0</v>
      </c>
      <c r="NQ60" s="195">
        <f t="shared" si="182"/>
        <v>0</v>
      </c>
      <c r="NR60" s="195">
        <f t="shared" si="183"/>
        <v>0</v>
      </c>
      <c r="NS60" s="195">
        <f t="shared" si="184"/>
        <v>0</v>
      </c>
      <c r="NT60" s="195">
        <f t="shared" si="185"/>
        <v>0</v>
      </c>
      <c r="NU60" s="196">
        <f t="shared" si="186"/>
        <v>0</v>
      </c>
      <c r="NY60" s="215">
        <f t="shared" si="249"/>
        <v>1</v>
      </c>
      <c r="NZ60" s="222">
        <v>11270000</v>
      </c>
      <c r="OE60" s="207">
        <f t="shared" si="243"/>
        <v>0</v>
      </c>
      <c r="OF60" s="207">
        <f t="shared" si="244"/>
        <v>0</v>
      </c>
      <c r="OG60" s="207">
        <f t="shared" si="245"/>
        <v>0</v>
      </c>
      <c r="OH60" s="207">
        <f t="shared" si="188"/>
        <v>0</v>
      </c>
      <c r="OI60" s="207">
        <f t="shared" si="246"/>
        <v>0</v>
      </c>
      <c r="OJ60" s="199">
        <f t="shared" si="189"/>
        <v>0</v>
      </c>
      <c r="OK60" s="199">
        <f t="shared" si="190"/>
        <v>0</v>
      </c>
      <c r="OL60" s="199">
        <f t="shared" si="191"/>
        <v>0</v>
      </c>
      <c r="OM60" s="199">
        <f t="shared" si="192"/>
        <v>0</v>
      </c>
      <c r="OO60" s="207">
        <f t="shared" si="247"/>
        <v>0</v>
      </c>
      <c r="OP60" s="207">
        <f t="shared" si="248"/>
        <v>0</v>
      </c>
      <c r="OQ60" s="207">
        <f t="shared" si="193"/>
        <v>0</v>
      </c>
      <c r="OR60" s="207">
        <f t="shared" si="194"/>
        <v>0</v>
      </c>
      <c r="OS60" s="207">
        <f t="shared" si="195"/>
        <v>0</v>
      </c>
      <c r="OT60" s="199">
        <f t="shared" si="196"/>
        <v>0</v>
      </c>
      <c r="OU60" s="199">
        <f t="shared" si="197"/>
        <v>0</v>
      </c>
      <c r="OV60" s="199">
        <f t="shared" si="198"/>
        <v>0</v>
      </c>
      <c r="OW60" s="199">
        <f t="shared" si="199"/>
        <v>0</v>
      </c>
      <c r="OZ60" s="208">
        <f t="shared" si="91"/>
        <v>0</v>
      </c>
      <c r="PA60" s="209"/>
      <c r="PB60" s="209"/>
      <c r="PC60" s="209"/>
      <c r="PD60" s="210">
        <f t="shared" si="200"/>
        <v>0</v>
      </c>
      <c r="PE60" s="210"/>
      <c r="PF60" s="210">
        <f t="shared" si="201"/>
        <v>0</v>
      </c>
      <c r="PG60" s="210">
        <f t="shared" si="202"/>
        <v>0</v>
      </c>
      <c r="PH60" s="210">
        <f t="shared" si="92"/>
        <v>0</v>
      </c>
      <c r="PI60" s="210">
        <f t="shared" si="93"/>
        <v>0</v>
      </c>
      <c r="PJ60" s="210">
        <f t="shared" si="94"/>
        <v>0</v>
      </c>
      <c r="PK60" s="210">
        <f t="shared" si="95"/>
        <v>0</v>
      </c>
      <c r="PL60" s="210">
        <f t="shared" si="96"/>
        <v>0</v>
      </c>
      <c r="PM60" s="211"/>
      <c r="PN60" s="211"/>
      <c r="PO60" s="212">
        <f t="shared" si="203"/>
        <v>0</v>
      </c>
      <c r="PP60" s="212">
        <f t="shared" si="204"/>
        <v>0</v>
      </c>
      <c r="PQ60" s="212">
        <f t="shared" si="205"/>
        <v>0</v>
      </c>
      <c r="PR60" s="211"/>
      <c r="PS60" s="211"/>
      <c r="PT60" s="211"/>
      <c r="PU60" s="211"/>
      <c r="XFC60" s="195">
        <v>1951670000</v>
      </c>
    </row>
    <row r="61" spans="1:437 16383:16383" s="195" customFormat="1" ht="16" x14ac:dyDescent="0.2">
      <c r="A61" s="213">
        <f t="shared" si="206"/>
        <v>51</v>
      </c>
      <c r="B61" s="186" t="s">
        <v>67</v>
      </c>
      <c r="C61" s="186">
        <v>56</v>
      </c>
      <c r="D61" s="188">
        <v>1</v>
      </c>
      <c r="E61" s="188">
        <v>270</v>
      </c>
      <c r="F61" s="188">
        <v>1</v>
      </c>
      <c r="G61" s="188">
        <f t="shared" si="308"/>
        <v>270</v>
      </c>
      <c r="H61" s="214">
        <f t="shared" si="213"/>
        <v>1</v>
      </c>
      <c r="I61" s="214">
        <f t="shared" si="214"/>
        <v>1</v>
      </c>
      <c r="J61" s="188">
        <v>1</v>
      </c>
      <c r="K61" s="188">
        <f t="shared" si="215"/>
        <v>270</v>
      </c>
      <c r="L61" s="214">
        <f t="shared" si="216"/>
        <v>1</v>
      </c>
      <c r="M61" s="214">
        <f t="shared" si="217"/>
        <v>1</v>
      </c>
      <c r="N61" s="188">
        <v>1</v>
      </c>
      <c r="O61" s="188">
        <f t="shared" si="218"/>
        <v>270</v>
      </c>
      <c r="P61" s="214">
        <f t="shared" si="219"/>
        <v>1</v>
      </c>
      <c r="Q61" s="214">
        <f t="shared" si="220"/>
        <v>1</v>
      </c>
      <c r="R61" s="188">
        <v>1</v>
      </c>
      <c r="S61" s="188">
        <f t="shared" si="221"/>
        <v>270</v>
      </c>
      <c r="T61" s="214">
        <f t="shared" si="222"/>
        <v>1</v>
      </c>
      <c r="U61" s="214">
        <f t="shared" si="223"/>
        <v>1</v>
      </c>
      <c r="V61" s="215">
        <v>0</v>
      </c>
      <c r="W61" s="188">
        <f t="shared" si="224"/>
        <v>0</v>
      </c>
      <c r="X61" s="214">
        <f t="shared" si="225"/>
        <v>0</v>
      </c>
      <c r="Y61" s="214">
        <f t="shared" si="226"/>
        <v>0</v>
      </c>
      <c r="Z61" s="215">
        <v>0</v>
      </c>
      <c r="AA61" s="188">
        <v>1</v>
      </c>
      <c r="AB61" s="188">
        <f t="shared" si="112"/>
        <v>270</v>
      </c>
      <c r="AC61" s="214">
        <f t="shared" si="113"/>
        <v>1</v>
      </c>
      <c r="AD61" s="214">
        <f t="shared" si="114"/>
        <v>1</v>
      </c>
      <c r="AE61" s="224">
        <f>2571740000/1000000000</f>
        <v>2.5717400000000001</v>
      </c>
      <c r="AF61" s="188">
        <f t="shared" si="115"/>
        <v>1</v>
      </c>
      <c r="AG61" s="188" t="s">
        <v>302</v>
      </c>
      <c r="AH61" s="188"/>
      <c r="AI61" s="188">
        <v>1</v>
      </c>
      <c r="AJ61" s="188">
        <f t="shared" si="2"/>
        <v>270</v>
      </c>
      <c r="AK61" s="188" t="s">
        <v>304</v>
      </c>
      <c r="AL61" s="188">
        <v>0</v>
      </c>
      <c r="AM61" s="188">
        <v>0</v>
      </c>
      <c r="AN61" s="217"/>
      <c r="AO61" s="188">
        <f t="shared" si="207"/>
        <v>1</v>
      </c>
      <c r="AP61" s="188">
        <f t="shared" si="208"/>
        <v>270</v>
      </c>
      <c r="AQ61" s="188">
        <f t="shared" si="227"/>
        <v>1</v>
      </c>
      <c r="AR61" s="188">
        <f t="shared" si="228"/>
        <v>270</v>
      </c>
      <c r="AS61" s="188">
        <f t="shared" si="229"/>
        <v>1</v>
      </c>
      <c r="AT61" s="188">
        <f t="shared" si="230"/>
        <v>270</v>
      </c>
      <c r="AU61" s="188">
        <f t="shared" si="209"/>
        <v>1</v>
      </c>
      <c r="AV61" s="188">
        <f t="shared" si="210"/>
        <v>270</v>
      </c>
      <c r="AW61" s="188">
        <f t="shared" si="211"/>
        <v>0</v>
      </c>
      <c r="AX61" s="188">
        <f t="shared" si="212"/>
        <v>0</v>
      </c>
      <c r="AY61" s="188">
        <f t="shared" si="116"/>
        <v>1</v>
      </c>
      <c r="AZ61" s="188">
        <f t="shared" si="117"/>
        <v>270</v>
      </c>
      <c r="BA61" s="188">
        <f t="shared" si="14"/>
        <v>0</v>
      </c>
      <c r="BB61" s="188">
        <f t="shared" si="15"/>
        <v>0</v>
      </c>
      <c r="BD61" s="196">
        <f t="shared" si="118"/>
        <v>0</v>
      </c>
      <c r="BE61" s="188">
        <f t="shared" si="231"/>
        <v>270</v>
      </c>
      <c r="BF61" s="188">
        <f t="shared" si="232"/>
        <v>0</v>
      </c>
      <c r="BG61" s="188">
        <f t="shared" si="233"/>
        <v>0</v>
      </c>
      <c r="BH61" s="188">
        <f t="shared" si="234"/>
        <v>0</v>
      </c>
      <c r="BI61" s="188">
        <f t="shared" si="235"/>
        <v>270</v>
      </c>
      <c r="BJ61" s="188">
        <f t="shared" si="236"/>
        <v>0</v>
      </c>
      <c r="BK61" s="188">
        <f t="shared" si="22"/>
        <v>270</v>
      </c>
      <c r="BN61" s="143"/>
      <c r="BO61" s="277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B61" s="188"/>
      <c r="CD61" s="188">
        <f t="shared" si="23"/>
        <v>0</v>
      </c>
      <c r="CE61" s="188">
        <f t="shared" si="24"/>
        <v>0</v>
      </c>
      <c r="CF61" s="188">
        <f t="shared" si="25"/>
        <v>0</v>
      </c>
      <c r="CG61" s="188">
        <f t="shared" si="26"/>
        <v>0</v>
      </c>
      <c r="CH61" s="188">
        <f t="shared" si="27"/>
        <v>0</v>
      </c>
      <c r="CI61" s="188">
        <f t="shared" si="28"/>
        <v>0</v>
      </c>
      <c r="CJ61" s="188">
        <f t="shared" si="29"/>
        <v>0</v>
      </c>
      <c r="CK61" s="188">
        <f t="shared" si="30"/>
        <v>0</v>
      </c>
      <c r="CL61" s="188">
        <f t="shared" si="31"/>
        <v>0</v>
      </c>
      <c r="CM61" s="188">
        <f t="shared" si="32"/>
        <v>0</v>
      </c>
      <c r="CN61" s="188">
        <f t="shared" si="33"/>
        <v>0</v>
      </c>
      <c r="CO61" s="188">
        <f t="shared" si="34"/>
        <v>0</v>
      </c>
      <c r="CP61" s="188">
        <f t="shared" si="35"/>
        <v>0</v>
      </c>
      <c r="DV61" s="188">
        <f t="shared" si="237"/>
        <v>0</v>
      </c>
      <c r="DW61" s="188">
        <f t="shared" si="238"/>
        <v>0</v>
      </c>
      <c r="DX61" s="188">
        <f t="shared" si="239"/>
        <v>0</v>
      </c>
      <c r="DY61" s="188">
        <f t="shared" si="240"/>
        <v>0</v>
      </c>
      <c r="DZ61" s="188">
        <f t="shared" si="241"/>
        <v>0</v>
      </c>
      <c r="EA61" s="188">
        <f t="shared" si="242"/>
        <v>0</v>
      </c>
      <c r="EB61" s="188">
        <f t="shared" si="42"/>
        <v>0</v>
      </c>
      <c r="EG61" s="220" t="str">
        <f t="shared" ref="EG61" si="309">IF(AG61="C","C",IF(AG61="D","D",0))</f>
        <v>D</v>
      </c>
      <c r="EH61" s="220">
        <f t="shared" ref="EH61" si="310">CC61</f>
        <v>0</v>
      </c>
      <c r="EI61" s="188">
        <v>1</v>
      </c>
      <c r="EJ61" s="188">
        <v>1</v>
      </c>
      <c r="EK61" s="188"/>
      <c r="EL61" s="188">
        <v>1</v>
      </c>
      <c r="EM61" s="188"/>
      <c r="EN61" s="188"/>
      <c r="EO61" s="188"/>
      <c r="EP61" s="188"/>
      <c r="EQ61" s="188">
        <v>1</v>
      </c>
      <c r="ER61" s="188">
        <v>1</v>
      </c>
      <c r="ES61" s="188">
        <v>1</v>
      </c>
      <c r="ET61" s="188"/>
      <c r="EU61" s="188"/>
      <c r="EV61" s="188">
        <v>1</v>
      </c>
      <c r="EW61" s="188"/>
      <c r="EX61" s="188"/>
      <c r="EY61" s="188"/>
      <c r="EZ61" s="188">
        <v>1</v>
      </c>
      <c r="FA61" s="188">
        <v>1</v>
      </c>
      <c r="FB61" s="188">
        <v>1</v>
      </c>
      <c r="FC61" s="188">
        <v>1</v>
      </c>
      <c r="FD61" s="188"/>
      <c r="FE61" s="188"/>
      <c r="FF61" s="188"/>
      <c r="FH61" s="189"/>
      <c r="FI61" s="189"/>
      <c r="FJ61" s="189"/>
      <c r="FK61" s="189"/>
      <c r="FL61" s="189"/>
      <c r="FM61" s="189"/>
      <c r="FN61" s="189"/>
      <c r="FO61" s="189"/>
      <c r="FP61" s="189"/>
      <c r="FQ61" s="189"/>
      <c r="FR61" s="189"/>
      <c r="FS61" s="189"/>
      <c r="FT61" s="189"/>
      <c r="FU61" s="189"/>
      <c r="FV61" s="189"/>
      <c r="FX61" s="217"/>
      <c r="FY61" s="188">
        <f t="shared" si="45"/>
        <v>0</v>
      </c>
      <c r="FZ61" s="188">
        <f t="shared" si="250"/>
        <v>0</v>
      </c>
      <c r="GA61" s="188">
        <f t="shared" si="251"/>
        <v>0</v>
      </c>
      <c r="GB61" s="188">
        <f t="shared" si="252"/>
        <v>0</v>
      </c>
      <c r="GC61" s="188">
        <f t="shared" si="253"/>
        <v>0</v>
      </c>
      <c r="GD61" s="188">
        <f t="shared" si="254"/>
        <v>0</v>
      </c>
      <c r="GE61" s="188">
        <f t="shared" si="255"/>
        <v>0</v>
      </c>
      <c r="GF61" s="199"/>
      <c r="GG61" s="189">
        <v>0</v>
      </c>
      <c r="GH61" s="189">
        <v>0</v>
      </c>
      <c r="GI61" s="199"/>
      <c r="GJ61" s="200">
        <f t="shared" si="52"/>
        <v>0</v>
      </c>
      <c r="GK61" s="200">
        <f t="shared" si="53"/>
        <v>0</v>
      </c>
      <c r="GO61" s="189">
        <f t="shared" si="256"/>
        <v>0</v>
      </c>
      <c r="GP61" s="189">
        <f t="shared" si="257"/>
        <v>0</v>
      </c>
      <c r="GQ61" s="189">
        <f t="shared" si="258"/>
        <v>0</v>
      </c>
      <c r="GR61" s="189">
        <f t="shared" si="259"/>
        <v>0</v>
      </c>
      <c r="GS61" s="189">
        <f t="shared" si="260"/>
        <v>1</v>
      </c>
      <c r="GT61" s="189">
        <f t="shared" si="124"/>
        <v>0</v>
      </c>
      <c r="GU61" s="201">
        <f t="shared" si="125"/>
        <v>43243</v>
      </c>
      <c r="GV61" s="189" t="str">
        <f t="shared" si="126"/>
        <v>UGR</v>
      </c>
      <c r="GW61" s="189">
        <f t="shared" si="127"/>
        <v>1</v>
      </c>
      <c r="GX61" s="202" t="str">
        <f t="shared" si="128"/>
        <v>UGR</v>
      </c>
      <c r="GY61" s="202">
        <f t="shared" si="129"/>
        <v>14</v>
      </c>
      <c r="GZ61" s="203">
        <f t="shared" si="130"/>
        <v>43257</v>
      </c>
      <c r="HA61" s="204"/>
      <c r="HB61" s="204"/>
      <c r="HC61" s="189">
        <f t="shared" si="261"/>
        <v>1</v>
      </c>
      <c r="HD61" s="189">
        <f t="shared" si="262"/>
        <v>0</v>
      </c>
      <c r="HE61" s="189">
        <f t="shared" si="133"/>
        <v>1</v>
      </c>
      <c r="HF61" s="189">
        <f t="shared" si="134"/>
        <v>0</v>
      </c>
      <c r="HG61" s="189">
        <f t="shared" si="135"/>
        <v>1</v>
      </c>
      <c r="HH61" s="201">
        <f t="shared" si="136"/>
        <v>43288</v>
      </c>
      <c r="HI61" s="201">
        <f t="shared" si="137"/>
        <v>43302</v>
      </c>
      <c r="HJ61" s="205"/>
      <c r="HK61" s="201">
        <f t="shared" si="138"/>
        <v>43302</v>
      </c>
      <c r="HL61" s="204"/>
      <c r="HM61" s="204"/>
      <c r="HN61" s="204"/>
      <c r="HO61" s="204"/>
      <c r="HP61" s="203">
        <f t="shared" si="139"/>
        <v>0</v>
      </c>
      <c r="HQ61" s="202">
        <f t="shared" si="140"/>
        <v>0</v>
      </c>
      <c r="HR61" s="202">
        <f t="shared" si="263"/>
        <v>0</v>
      </c>
      <c r="HS61" s="203">
        <f t="shared" si="142"/>
        <v>43288</v>
      </c>
      <c r="HT61" s="202">
        <f t="shared" si="143"/>
        <v>1</v>
      </c>
      <c r="HU61" s="202">
        <f t="shared" si="264"/>
        <v>270</v>
      </c>
      <c r="HV61" s="203">
        <f t="shared" si="145"/>
        <v>0</v>
      </c>
      <c r="HW61" s="202">
        <f t="shared" si="146"/>
        <v>0</v>
      </c>
      <c r="HX61" s="202">
        <f t="shared" si="265"/>
        <v>0</v>
      </c>
      <c r="HY61" s="203">
        <f t="shared" si="148"/>
        <v>0</v>
      </c>
      <c r="HZ61" s="202">
        <f t="shared" si="149"/>
        <v>0</v>
      </c>
      <c r="IA61" s="202">
        <f t="shared" si="266"/>
        <v>0</v>
      </c>
      <c r="IB61" s="203">
        <f t="shared" si="151"/>
        <v>0</v>
      </c>
      <c r="IC61" s="202">
        <f t="shared" si="152"/>
        <v>0</v>
      </c>
      <c r="ID61" s="202">
        <f t="shared" si="267"/>
        <v>0</v>
      </c>
      <c r="IE61" s="203">
        <f t="shared" si="154"/>
        <v>0</v>
      </c>
      <c r="IF61" s="202">
        <f t="shared" si="155"/>
        <v>0</v>
      </c>
      <c r="IG61" s="202">
        <f t="shared" si="268"/>
        <v>0</v>
      </c>
      <c r="IH61" s="203">
        <f t="shared" si="157"/>
        <v>0</v>
      </c>
      <c r="II61" s="202">
        <f t="shared" si="158"/>
        <v>0</v>
      </c>
      <c r="IJ61" s="202">
        <f t="shared" si="269"/>
        <v>0</v>
      </c>
      <c r="IK61" s="203">
        <f t="shared" si="160"/>
        <v>0</v>
      </c>
      <c r="IL61" s="202">
        <f t="shared" si="161"/>
        <v>0</v>
      </c>
      <c r="IM61" s="202">
        <f t="shared" si="270"/>
        <v>0</v>
      </c>
      <c r="IN61" s="204"/>
      <c r="IO61" s="203">
        <f t="shared" si="163"/>
        <v>0</v>
      </c>
      <c r="IP61" s="202">
        <f t="shared" si="271"/>
        <v>0</v>
      </c>
      <c r="IQ61" s="202">
        <f t="shared" si="272"/>
        <v>0</v>
      </c>
      <c r="IR61" s="204"/>
      <c r="IS61" s="203"/>
      <c r="IT61" s="202">
        <f t="shared" si="273"/>
        <v>0</v>
      </c>
      <c r="IU61" s="202">
        <f t="shared" si="274"/>
        <v>0</v>
      </c>
      <c r="IV61" s="204"/>
      <c r="IW61" s="203"/>
      <c r="IX61" s="202">
        <f t="shared" si="275"/>
        <v>1</v>
      </c>
      <c r="IY61" s="202">
        <f t="shared" si="276"/>
        <v>270</v>
      </c>
      <c r="IZ61" s="204"/>
      <c r="JA61" s="203"/>
      <c r="JB61" s="202">
        <f t="shared" si="277"/>
        <v>0</v>
      </c>
      <c r="JC61" s="202">
        <f t="shared" si="278"/>
        <v>0</v>
      </c>
      <c r="JD61" s="204"/>
      <c r="JE61" s="203"/>
      <c r="JF61" s="202">
        <f t="shared" si="172"/>
        <v>2</v>
      </c>
      <c r="JG61" s="202">
        <f t="shared" si="173"/>
        <v>540</v>
      </c>
      <c r="JH61" s="204"/>
      <c r="JI61" s="203"/>
      <c r="JJ61" s="202">
        <f t="shared" si="279"/>
        <v>1</v>
      </c>
      <c r="JK61" s="202">
        <f t="shared" si="280"/>
        <v>270</v>
      </c>
      <c r="JM61" s="203">
        <f t="shared" si="176"/>
        <v>43288</v>
      </c>
      <c r="JO61" s="196">
        <f t="shared" si="54"/>
        <v>0</v>
      </c>
      <c r="JP61" s="189">
        <f t="shared" si="281"/>
        <v>0</v>
      </c>
      <c r="JQ61" s="189">
        <f t="shared" si="282"/>
        <v>0</v>
      </c>
      <c r="JR61" s="189">
        <f t="shared" si="283"/>
        <v>0</v>
      </c>
      <c r="JS61" s="189">
        <f t="shared" si="284"/>
        <v>0</v>
      </c>
      <c r="JT61" s="189">
        <f t="shared" si="285"/>
        <v>0</v>
      </c>
      <c r="JU61" s="189">
        <f t="shared" si="286"/>
        <v>0</v>
      </c>
      <c r="JV61" s="189">
        <f t="shared" si="287"/>
        <v>0</v>
      </c>
      <c r="JW61" s="189">
        <f t="shared" si="288"/>
        <v>0</v>
      </c>
      <c r="JX61" s="189">
        <f t="shared" si="289"/>
        <v>0</v>
      </c>
      <c r="JY61" s="189">
        <f t="shared" si="290"/>
        <v>0</v>
      </c>
      <c r="JZ61" s="189">
        <f t="shared" si="291"/>
        <v>0</v>
      </c>
      <c r="KA61" s="189">
        <f t="shared" si="292"/>
        <v>0</v>
      </c>
      <c r="KB61" s="189">
        <f t="shared" si="293"/>
        <v>0</v>
      </c>
      <c r="KD61" s="206">
        <f t="shared" si="177"/>
        <v>0</v>
      </c>
      <c r="KE61" s="206">
        <f t="shared" si="69"/>
        <v>0</v>
      </c>
      <c r="KF61" s="206">
        <f t="shared" si="294"/>
        <v>0</v>
      </c>
      <c r="KG61" s="206">
        <f t="shared" si="295"/>
        <v>0</v>
      </c>
      <c r="KH61" s="206">
        <f t="shared" si="296"/>
        <v>0</v>
      </c>
      <c r="KI61" s="206">
        <f t="shared" si="297"/>
        <v>0</v>
      </c>
      <c r="KJ61" s="206">
        <f t="shared" si="298"/>
        <v>0</v>
      </c>
      <c r="KK61" s="206">
        <f t="shared" si="299"/>
        <v>0</v>
      </c>
      <c r="KL61" s="206">
        <f t="shared" si="300"/>
        <v>0</v>
      </c>
      <c r="KM61" s="206">
        <f t="shared" si="301"/>
        <v>0</v>
      </c>
      <c r="KN61" s="221">
        <f t="shared" si="302"/>
        <v>0</v>
      </c>
      <c r="KO61" s="221">
        <f t="shared" si="303"/>
        <v>0</v>
      </c>
      <c r="KP61" s="221">
        <f t="shared" si="304"/>
        <v>0</v>
      </c>
      <c r="KQ61" s="221">
        <f t="shared" si="305"/>
        <v>0</v>
      </c>
      <c r="KR61" s="221">
        <f t="shared" si="306"/>
        <v>0</v>
      </c>
      <c r="KT61" s="195">
        <f t="shared" si="307"/>
        <v>0</v>
      </c>
      <c r="KU61" s="221"/>
      <c r="KV61" s="221"/>
      <c r="KW61" s="221"/>
      <c r="KX61" s="221"/>
      <c r="KY61" s="221"/>
      <c r="KZ61" s="221"/>
      <c r="LA61" s="221"/>
      <c r="LB61" s="221"/>
      <c r="LC61" s="221"/>
      <c r="LD61" s="221"/>
      <c r="LE61" s="221"/>
      <c r="LF61" s="221"/>
      <c r="LG61" s="221"/>
      <c r="LH61" s="221"/>
      <c r="LI61" s="221"/>
      <c r="LJ61" s="221"/>
      <c r="LK61" s="221"/>
      <c r="LL61" s="221"/>
      <c r="LM61" s="221"/>
      <c r="LN61" s="221"/>
      <c r="LO61" s="221"/>
      <c r="LP61" s="221"/>
      <c r="LQ61" s="221"/>
      <c r="LR61" s="221"/>
      <c r="LS61" s="221"/>
      <c r="LT61" s="221"/>
      <c r="LU61" s="221"/>
      <c r="LV61" s="221"/>
      <c r="LW61" s="221"/>
      <c r="LX61" s="221"/>
      <c r="LY61" s="221"/>
      <c r="LZ61" s="221"/>
      <c r="MA61" s="221"/>
      <c r="MB61" s="221"/>
      <c r="MC61" s="221"/>
      <c r="MD61" s="221"/>
      <c r="ME61" s="221"/>
      <c r="MF61" s="221"/>
      <c r="MG61" s="221"/>
      <c r="MH61" s="221"/>
      <c r="MI61" s="221"/>
      <c r="MJ61" s="221"/>
      <c r="MK61" s="221"/>
      <c r="ML61" s="221"/>
      <c r="MM61" s="221"/>
      <c r="MN61" s="221"/>
      <c r="MO61" s="221"/>
      <c r="MP61" s="221"/>
      <c r="MQ61" s="221"/>
      <c r="MR61" s="221"/>
      <c r="MS61" s="221"/>
      <c r="MT61" s="221"/>
      <c r="MU61" s="221"/>
      <c r="MV61" s="221"/>
      <c r="MW61" s="221"/>
      <c r="MX61" s="221"/>
      <c r="MY61" s="221"/>
      <c r="MZ61" s="221"/>
      <c r="NA61" s="221"/>
      <c r="NB61" s="221"/>
      <c r="NC61" s="221"/>
      <c r="ND61" s="221"/>
      <c r="NE61" s="221"/>
      <c r="NF61" s="221"/>
      <c r="NG61" s="221"/>
      <c r="NH61" s="221"/>
      <c r="NI61" s="221"/>
      <c r="NJ61" s="221"/>
      <c r="NK61" s="221"/>
      <c r="NM61" s="195">
        <f t="shared" si="178"/>
        <v>0</v>
      </c>
      <c r="NN61" s="195">
        <f t="shared" si="179"/>
        <v>0</v>
      </c>
      <c r="NO61" s="195">
        <f t="shared" si="180"/>
        <v>0</v>
      </c>
      <c r="NP61" s="195">
        <f t="shared" si="181"/>
        <v>0</v>
      </c>
      <c r="NQ61" s="195">
        <f t="shared" si="182"/>
        <v>0</v>
      </c>
      <c r="NR61" s="195">
        <f t="shared" si="183"/>
        <v>0</v>
      </c>
      <c r="NS61" s="195">
        <f t="shared" si="184"/>
        <v>0</v>
      </c>
      <c r="NT61" s="195">
        <f t="shared" si="185"/>
        <v>0</v>
      </c>
      <c r="NU61" s="196">
        <f t="shared" si="186"/>
        <v>0</v>
      </c>
      <c r="NY61" s="215">
        <f t="shared" si="249"/>
        <v>0</v>
      </c>
      <c r="NZ61" s="222">
        <v>6800000</v>
      </c>
      <c r="OE61" s="207">
        <f t="shared" si="243"/>
        <v>0</v>
      </c>
      <c r="OF61" s="207">
        <f t="shared" si="244"/>
        <v>0</v>
      </c>
      <c r="OG61" s="207">
        <f t="shared" si="245"/>
        <v>0</v>
      </c>
      <c r="OH61" s="207">
        <f t="shared" si="188"/>
        <v>1</v>
      </c>
      <c r="OI61" s="207">
        <f t="shared" si="246"/>
        <v>0</v>
      </c>
      <c r="OJ61" s="199">
        <f t="shared" si="189"/>
        <v>0</v>
      </c>
      <c r="OK61" s="199">
        <f t="shared" si="190"/>
        <v>0</v>
      </c>
      <c r="OL61" s="199">
        <f t="shared" si="191"/>
        <v>0</v>
      </c>
      <c r="OM61" s="199">
        <f t="shared" si="192"/>
        <v>0</v>
      </c>
      <c r="OO61" s="207">
        <f t="shared" si="247"/>
        <v>0</v>
      </c>
      <c r="OP61" s="207">
        <f t="shared" si="248"/>
        <v>0</v>
      </c>
      <c r="OQ61" s="207">
        <f t="shared" si="193"/>
        <v>0</v>
      </c>
      <c r="OR61" s="207">
        <f t="shared" si="194"/>
        <v>1</v>
      </c>
      <c r="OS61" s="207">
        <f t="shared" si="195"/>
        <v>0</v>
      </c>
      <c r="OT61" s="199">
        <f t="shared" si="196"/>
        <v>0</v>
      </c>
      <c r="OU61" s="199">
        <f t="shared" si="197"/>
        <v>0</v>
      </c>
      <c r="OV61" s="199">
        <f t="shared" si="198"/>
        <v>0</v>
      </c>
      <c r="OW61" s="199">
        <f t="shared" si="199"/>
        <v>0</v>
      </c>
      <c r="OZ61" s="208">
        <f t="shared" si="91"/>
        <v>0</v>
      </c>
      <c r="PA61" s="209"/>
      <c r="PB61" s="209"/>
      <c r="PC61" s="209"/>
      <c r="PD61" s="210">
        <f t="shared" si="200"/>
        <v>0</v>
      </c>
      <c r="PE61" s="210"/>
      <c r="PF61" s="210">
        <f t="shared" si="201"/>
        <v>0</v>
      </c>
      <c r="PG61" s="210">
        <f t="shared" si="202"/>
        <v>0</v>
      </c>
      <c r="PH61" s="210">
        <f t="shared" si="92"/>
        <v>0</v>
      </c>
      <c r="PI61" s="210">
        <f t="shared" si="93"/>
        <v>0</v>
      </c>
      <c r="PJ61" s="210">
        <f t="shared" si="94"/>
        <v>0</v>
      </c>
      <c r="PK61" s="210">
        <f t="shared" si="95"/>
        <v>0</v>
      </c>
      <c r="PL61" s="210">
        <f t="shared" si="96"/>
        <v>0</v>
      </c>
      <c r="PM61" s="211"/>
      <c r="PN61" s="211"/>
      <c r="PO61" s="212">
        <f t="shared" si="203"/>
        <v>270</v>
      </c>
      <c r="PP61" s="212">
        <f t="shared" si="204"/>
        <v>0</v>
      </c>
      <c r="PQ61" s="212">
        <f t="shared" si="205"/>
        <v>0</v>
      </c>
      <c r="PR61" s="211"/>
      <c r="PS61" s="211"/>
      <c r="PT61" s="211"/>
      <c r="PU61" s="211"/>
      <c r="XFC61" s="195">
        <v>2571740000</v>
      </c>
    </row>
    <row r="62" spans="1:437 16383:16383" s="195" customFormat="1" ht="16" x14ac:dyDescent="0.2">
      <c r="A62" s="213">
        <f t="shared" si="206"/>
        <v>52</v>
      </c>
      <c r="B62" s="186" t="s">
        <v>68</v>
      </c>
      <c r="C62" s="186">
        <v>57</v>
      </c>
      <c r="D62" s="188">
        <v>1</v>
      </c>
      <c r="E62" s="188">
        <v>248</v>
      </c>
      <c r="F62" s="188">
        <v>1</v>
      </c>
      <c r="G62" s="188">
        <f t="shared" si="308"/>
        <v>248</v>
      </c>
      <c r="H62" s="214">
        <f t="shared" si="213"/>
        <v>1</v>
      </c>
      <c r="I62" s="214">
        <f t="shared" si="214"/>
        <v>1</v>
      </c>
      <c r="J62" s="188">
        <v>1</v>
      </c>
      <c r="K62" s="188">
        <f t="shared" si="215"/>
        <v>248</v>
      </c>
      <c r="L62" s="214">
        <f t="shared" si="216"/>
        <v>1</v>
      </c>
      <c r="M62" s="214">
        <f t="shared" si="217"/>
        <v>1</v>
      </c>
      <c r="N62" s="188">
        <v>1</v>
      </c>
      <c r="O62" s="188">
        <f t="shared" si="218"/>
        <v>248</v>
      </c>
      <c r="P62" s="214">
        <f t="shared" si="219"/>
        <v>1</v>
      </c>
      <c r="Q62" s="214">
        <f t="shared" si="220"/>
        <v>1</v>
      </c>
      <c r="R62" s="188">
        <v>1</v>
      </c>
      <c r="S62" s="188">
        <f t="shared" si="221"/>
        <v>248</v>
      </c>
      <c r="T62" s="214">
        <f t="shared" si="222"/>
        <v>1</v>
      </c>
      <c r="U62" s="214">
        <f t="shared" si="223"/>
        <v>1</v>
      </c>
      <c r="V62" s="215">
        <v>1</v>
      </c>
      <c r="W62" s="188">
        <f t="shared" si="224"/>
        <v>248</v>
      </c>
      <c r="X62" s="214">
        <f t="shared" si="225"/>
        <v>1</v>
      </c>
      <c r="Y62" s="214">
        <f t="shared" si="226"/>
        <v>1</v>
      </c>
      <c r="Z62" s="216">
        <f>3850689000/1000000000</f>
        <v>3.850689</v>
      </c>
      <c r="AA62" s="188">
        <v>0</v>
      </c>
      <c r="AB62" s="188">
        <f t="shared" si="112"/>
        <v>0</v>
      </c>
      <c r="AC62" s="214">
        <f t="shared" si="113"/>
        <v>0</v>
      </c>
      <c r="AD62" s="214">
        <f t="shared" si="114"/>
        <v>0</v>
      </c>
      <c r="AE62" s="188"/>
      <c r="AF62" s="188">
        <f t="shared" si="115"/>
        <v>0</v>
      </c>
      <c r="AG62" s="188"/>
      <c r="AH62" s="188"/>
      <c r="AI62" s="188">
        <v>1</v>
      </c>
      <c r="AJ62" s="188">
        <f t="shared" si="2"/>
        <v>248</v>
      </c>
      <c r="AK62" s="188" t="s">
        <v>304</v>
      </c>
      <c r="AL62" s="188">
        <v>0</v>
      </c>
      <c r="AM62" s="188">
        <v>0</v>
      </c>
      <c r="AN62" s="217"/>
      <c r="AO62" s="188">
        <f t="shared" si="207"/>
        <v>1</v>
      </c>
      <c r="AP62" s="188">
        <f t="shared" si="208"/>
        <v>248</v>
      </c>
      <c r="AQ62" s="188">
        <f t="shared" si="227"/>
        <v>1</v>
      </c>
      <c r="AR62" s="188">
        <f t="shared" si="228"/>
        <v>248</v>
      </c>
      <c r="AS62" s="188">
        <f t="shared" si="229"/>
        <v>1</v>
      </c>
      <c r="AT62" s="188">
        <f t="shared" si="230"/>
        <v>248</v>
      </c>
      <c r="AU62" s="188">
        <f t="shared" si="209"/>
        <v>1</v>
      </c>
      <c r="AV62" s="188">
        <f t="shared" si="210"/>
        <v>248</v>
      </c>
      <c r="AW62" s="188">
        <f t="shared" si="211"/>
        <v>1</v>
      </c>
      <c r="AX62" s="188">
        <f t="shared" si="212"/>
        <v>248</v>
      </c>
      <c r="AY62" s="188">
        <f t="shared" si="116"/>
        <v>0</v>
      </c>
      <c r="AZ62" s="188">
        <f t="shared" si="117"/>
        <v>0</v>
      </c>
      <c r="BA62" s="188">
        <f t="shared" si="14"/>
        <v>3.850689</v>
      </c>
      <c r="BB62" s="188">
        <f t="shared" si="15"/>
        <v>0</v>
      </c>
      <c r="BD62" s="196">
        <f t="shared" si="118"/>
        <v>0</v>
      </c>
      <c r="BE62" s="188">
        <f t="shared" si="231"/>
        <v>0</v>
      </c>
      <c r="BF62" s="188">
        <f t="shared" si="232"/>
        <v>0</v>
      </c>
      <c r="BG62" s="188">
        <f t="shared" si="233"/>
        <v>0</v>
      </c>
      <c r="BH62" s="188">
        <f t="shared" si="234"/>
        <v>0</v>
      </c>
      <c r="BI62" s="188">
        <f t="shared" si="235"/>
        <v>0</v>
      </c>
      <c r="BJ62" s="188">
        <f t="shared" si="236"/>
        <v>0</v>
      </c>
      <c r="BK62" s="188">
        <f t="shared" si="22"/>
        <v>0</v>
      </c>
      <c r="BN62" s="277">
        <v>92</v>
      </c>
      <c r="BO62" s="139">
        <v>1</v>
      </c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B62" s="188"/>
      <c r="CD62" s="188">
        <f t="shared" si="23"/>
        <v>92</v>
      </c>
      <c r="CE62" s="188">
        <f t="shared" si="24"/>
        <v>92</v>
      </c>
      <c r="CF62" s="188">
        <f t="shared" si="25"/>
        <v>0</v>
      </c>
      <c r="CG62" s="188">
        <f t="shared" si="26"/>
        <v>0</v>
      </c>
      <c r="CH62" s="188">
        <f t="shared" si="27"/>
        <v>0</v>
      </c>
      <c r="CI62" s="188">
        <f t="shared" si="28"/>
        <v>0</v>
      </c>
      <c r="CJ62" s="188">
        <f t="shared" si="29"/>
        <v>0</v>
      </c>
      <c r="CK62" s="188">
        <f t="shared" si="30"/>
        <v>0</v>
      </c>
      <c r="CL62" s="188">
        <f t="shared" si="31"/>
        <v>0</v>
      </c>
      <c r="CM62" s="188">
        <f t="shared" si="32"/>
        <v>0</v>
      </c>
      <c r="CN62" s="188">
        <f t="shared" si="33"/>
        <v>0</v>
      </c>
      <c r="CO62" s="188">
        <f t="shared" si="34"/>
        <v>0</v>
      </c>
      <c r="CP62" s="188">
        <f t="shared" si="35"/>
        <v>0</v>
      </c>
      <c r="DV62" s="188">
        <f t="shared" si="237"/>
        <v>0</v>
      </c>
      <c r="DW62" s="188">
        <f t="shared" si="238"/>
        <v>0</v>
      </c>
      <c r="DX62" s="188">
        <f t="shared" si="239"/>
        <v>0</v>
      </c>
      <c r="DY62" s="188">
        <f t="shared" si="240"/>
        <v>0</v>
      </c>
      <c r="DZ62" s="188">
        <f t="shared" si="241"/>
        <v>0</v>
      </c>
      <c r="EA62" s="188">
        <f t="shared" si="242"/>
        <v>0</v>
      </c>
      <c r="EB62" s="188">
        <f t="shared" si="42"/>
        <v>0</v>
      </c>
      <c r="EG62" s="220">
        <f t="shared" si="43"/>
        <v>0</v>
      </c>
      <c r="EH62" s="220">
        <f t="shared" si="44"/>
        <v>0</v>
      </c>
      <c r="EI62" s="188"/>
      <c r="EJ62" s="188"/>
      <c r="EK62" s="188"/>
      <c r="EL62" s="188"/>
      <c r="EM62" s="188"/>
      <c r="EN62" s="188"/>
      <c r="EO62" s="188"/>
      <c r="EP62" s="188"/>
      <c r="EQ62" s="188"/>
      <c r="ER62" s="188"/>
      <c r="ES62" s="188"/>
      <c r="ET62" s="188"/>
      <c r="EU62" s="188"/>
      <c r="EV62" s="188"/>
      <c r="EW62" s="188"/>
      <c r="EX62" s="188"/>
      <c r="EY62" s="188"/>
      <c r="EZ62" s="188"/>
      <c r="FA62" s="188"/>
      <c r="FB62" s="188"/>
      <c r="FC62" s="188"/>
      <c r="FD62" s="188"/>
      <c r="FE62" s="188"/>
      <c r="FF62" s="188"/>
      <c r="FH62" s="189"/>
      <c r="FI62" s="189"/>
      <c r="FJ62" s="189"/>
      <c r="FK62" s="189"/>
      <c r="FL62" s="189"/>
      <c r="FM62" s="189"/>
      <c r="FN62" s="189"/>
      <c r="FO62" s="189"/>
      <c r="FP62" s="189"/>
      <c r="FQ62" s="189"/>
      <c r="FR62" s="189"/>
      <c r="FS62" s="189"/>
      <c r="FT62" s="189"/>
      <c r="FU62" s="189"/>
      <c r="FV62" s="189"/>
      <c r="FX62" s="217">
        <v>1</v>
      </c>
      <c r="FY62" s="188">
        <f t="shared" si="45"/>
        <v>92</v>
      </c>
      <c r="FZ62" s="188">
        <f t="shared" si="250"/>
        <v>92</v>
      </c>
      <c r="GA62" s="188">
        <f t="shared" si="251"/>
        <v>0</v>
      </c>
      <c r="GB62" s="188">
        <f t="shared" si="252"/>
        <v>0</v>
      </c>
      <c r="GC62" s="188">
        <f t="shared" si="253"/>
        <v>0</v>
      </c>
      <c r="GD62" s="188">
        <f t="shared" si="254"/>
        <v>0</v>
      </c>
      <c r="GE62" s="188">
        <f t="shared" si="255"/>
        <v>0</v>
      </c>
      <c r="GF62" s="199"/>
      <c r="GG62" s="189">
        <v>0</v>
      </c>
      <c r="GH62" s="189">
        <v>0</v>
      </c>
      <c r="GI62" s="199"/>
      <c r="GJ62" s="200">
        <f t="shared" si="52"/>
        <v>0</v>
      </c>
      <c r="GK62" s="200">
        <f t="shared" si="53"/>
        <v>0</v>
      </c>
      <c r="GO62" s="189">
        <f t="shared" si="256"/>
        <v>0</v>
      </c>
      <c r="GP62" s="189">
        <f t="shared" si="257"/>
        <v>0</v>
      </c>
      <c r="GQ62" s="189">
        <f t="shared" si="258"/>
        <v>0</v>
      </c>
      <c r="GR62" s="189">
        <f t="shared" si="259"/>
        <v>0</v>
      </c>
      <c r="GS62" s="189">
        <f t="shared" si="260"/>
        <v>0</v>
      </c>
      <c r="GT62" s="189">
        <f t="shared" si="124"/>
        <v>1</v>
      </c>
      <c r="GU62" s="201">
        <f t="shared" si="125"/>
        <v>43243</v>
      </c>
      <c r="GV62" s="189" t="str">
        <f t="shared" si="126"/>
        <v>SELESAI</v>
      </c>
      <c r="GW62" s="189">
        <f t="shared" si="127"/>
        <v>0</v>
      </c>
      <c r="GX62" s="202" t="str">
        <f t="shared" si="128"/>
        <v>SELESAI</v>
      </c>
      <c r="GY62" s="202">
        <f t="shared" si="129"/>
        <v>0</v>
      </c>
      <c r="GZ62" s="203" t="str">
        <f t="shared" si="130"/>
        <v>SELESAI</v>
      </c>
      <c r="HA62" s="204"/>
      <c r="HB62" s="204"/>
      <c r="HC62" s="189">
        <f t="shared" si="261"/>
        <v>0</v>
      </c>
      <c r="HD62" s="189">
        <f t="shared" si="262"/>
        <v>0</v>
      </c>
      <c r="HE62" s="189">
        <f t="shared" si="133"/>
        <v>0</v>
      </c>
      <c r="HF62" s="189">
        <f t="shared" si="134"/>
        <v>0</v>
      </c>
      <c r="HG62" s="189">
        <f t="shared" si="135"/>
        <v>0</v>
      </c>
      <c r="HH62" s="201" t="str">
        <f t="shared" si="136"/>
        <v>TIDAK KONSINYASI</v>
      </c>
      <c r="HI62" s="201" t="str">
        <f t="shared" si="137"/>
        <v>SELESAI</v>
      </c>
      <c r="HJ62" s="205"/>
      <c r="HK62" s="201">
        <f t="shared" si="138"/>
        <v>0</v>
      </c>
      <c r="HL62" s="204"/>
      <c r="HM62" s="204"/>
      <c r="HN62" s="204"/>
      <c r="HO62" s="204"/>
      <c r="HP62" s="203">
        <f t="shared" si="139"/>
        <v>0</v>
      </c>
      <c r="HQ62" s="202">
        <f t="shared" si="140"/>
        <v>0</v>
      </c>
      <c r="HR62" s="202">
        <f t="shared" si="263"/>
        <v>0</v>
      </c>
      <c r="HS62" s="203">
        <f t="shared" si="142"/>
        <v>0</v>
      </c>
      <c r="HT62" s="202">
        <f t="shared" si="143"/>
        <v>0</v>
      </c>
      <c r="HU62" s="202">
        <f t="shared" si="264"/>
        <v>0</v>
      </c>
      <c r="HV62" s="203">
        <f t="shared" si="145"/>
        <v>0</v>
      </c>
      <c r="HW62" s="202">
        <f t="shared" si="146"/>
        <v>0</v>
      </c>
      <c r="HX62" s="202">
        <f t="shared" si="265"/>
        <v>0</v>
      </c>
      <c r="HY62" s="203">
        <f t="shared" si="148"/>
        <v>0</v>
      </c>
      <c r="HZ62" s="202">
        <f t="shared" si="149"/>
        <v>0</v>
      </c>
      <c r="IA62" s="202">
        <f t="shared" si="266"/>
        <v>0</v>
      </c>
      <c r="IB62" s="203">
        <f t="shared" si="151"/>
        <v>0</v>
      </c>
      <c r="IC62" s="202">
        <f t="shared" si="152"/>
        <v>0</v>
      </c>
      <c r="ID62" s="202">
        <f t="shared" si="267"/>
        <v>0</v>
      </c>
      <c r="IE62" s="203">
        <f t="shared" si="154"/>
        <v>0</v>
      </c>
      <c r="IF62" s="202">
        <f t="shared" si="155"/>
        <v>0</v>
      </c>
      <c r="IG62" s="202">
        <f t="shared" si="268"/>
        <v>0</v>
      </c>
      <c r="IH62" s="203">
        <f t="shared" si="157"/>
        <v>0</v>
      </c>
      <c r="II62" s="202">
        <f t="shared" si="158"/>
        <v>0</v>
      </c>
      <c r="IJ62" s="202">
        <f t="shared" si="269"/>
        <v>0</v>
      </c>
      <c r="IK62" s="203">
        <f t="shared" si="160"/>
        <v>0</v>
      </c>
      <c r="IL62" s="202">
        <f t="shared" si="161"/>
        <v>0</v>
      </c>
      <c r="IM62" s="202">
        <f t="shared" si="270"/>
        <v>0</v>
      </c>
      <c r="IN62" s="204"/>
      <c r="IO62" s="203">
        <f t="shared" si="163"/>
        <v>0</v>
      </c>
      <c r="IP62" s="202">
        <f t="shared" si="271"/>
        <v>0</v>
      </c>
      <c r="IQ62" s="202">
        <f t="shared" si="272"/>
        <v>0</v>
      </c>
      <c r="IR62" s="204"/>
      <c r="IS62" s="203"/>
      <c r="IT62" s="202">
        <f t="shared" si="273"/>
        <v>1</v>
      </c>
      <c r="IU62" s="202">
        <f t="shared" si="274"/>
        <v>248</v>
      </c>
      <c r="IV62" s="204"/>
      <c r="IW62" s="203"/>
      <c r="IX62" s="202">
        <f t="shared" si="275"/>
        <v>0</v>
      </c>
      <c r="IY62" s="202">
        <f t="shared" si="276"/>
        <v>0</v>
      </c>
      <c r="IZ62" s="204"/>
      <c r="JA62" s="203"/>
      <c r="JB62" s="202">
        <f t="shared" si="277"/>
        <v>0</v>
      </c>
      <c r="JC62" s="202">
        <f t="shared" si="278"/>
        <v>0</v>
      </c>
      <c r="JD62" s="204"/>
      <c r="JE62" s="203"/>
      <c r="JF62" s="202">
        <f t="shared" si="172"/>
        <v>1</v>
      </c>
      <c r="JG62" s="202">
        <f t="shared" si="173"/>
        <v>248</v>
      </c>
      <c r="JH62" s="204"/>
      <c r="JI62" s="203"/>
      <c r="JJ62" s="202">
        <f t="shared" si="279"/>
        <v>0</v>
      </c>
      <c r="JK62" s="202">
        <f t="shared" si="280"/>
        <v>0</v>
      </c>
      <c r="JM62" s="203">
        <f t="shared" si="176"/>
        <v>0</v>
      </c>
      <c r="JO62" s="196">
        <f t="shared" si="54"/>
        <v>1</v>
      </c>
      <c r="JP62" s="189">
        <f t="shared" si="281"/>
        <v>92</v>
      </c>
      <c r="JQ62" s="189">
        <f t="shared" si="282"/>
        <v>1</v>
      </c>
      <c r="JR62" s="189">
        <f t="shared" si="283"/>
        <v>0</v>
      </c>
      <c r="JS62" s="189">
        <f t="shared" si="284"/>
        <v>0</v>
      </c>
      <c r="JT62" s="189">
        <f t="shared" si="285"/>
        <v>0</v>
      </c>
      <c r="JU62" s="189">
        <f t="shared" si="286"/>
        <v>0</v>
      </c>
      <c r="JV62" s="189">
        <f t="shared" si="287"/>
        <v>0</v>
      </c>
      <c r="JW62" s="189">
        <f t="shared" si="288"/>
        <v>0</v>
      </c>
      <c r="JX62" s="189">
        <f t="shared" si="289"/>
        <v>0</v>
      </c>
      <c r="JY62" s="189">
        <f t="shared" si="290"/>
        <v>0</v>
      </c>
      <c r="JZ62" s="189">
        <f t="shared" si="291"/>
        <v>0</v>
      </c>
      <c r="KA62" s="189">
        <f t="shared" si="292"/>
        <v>0</v>
      </c>
      <c r="KB62" s="189">
        <f t="shared" si="293"/>
        <v>0</v>
      </c>
      <c r="KD62" s="206">
        <f t="shared" si="177"/>
        <v>0</v>
      </c>
      <c r="KE62" s="206">
        <f t="shared" si="69"/>
        <v>0</v>
      </c>
      <c r="KF62" s="206">
        <f t="shared" si="294"/>
        <v>92</v>
      </c>
      <c r="KG62" s="206">
        <f t="shared" si="295"/>
        <v>92</v>
      </c>
      <c r="KH62" s="206">
        <f t="shared" si="296"/>
        <v>0</v>
      </c>
      <c r="KI62" s="206">
        <f t="shared" si="297"/>
        <v>0</v>
      </c>
      <c r="KJ62" s="206">
        <f t="shared" si="298"/>
        <v>0</v>
      </c>
      <c r="KK62" s="206">
        <f t="shared" si="299"/>
        <v>0</v>
      </c>
      <c r="KL62" s="206">
        <f t="shared" si="300"/>
        <v>0</v>
      </c>
      <c r="KM62" s="206">
        <f t="shared" si="301"/>
        <v>0</v>
      </c>
      <c r="KN62" s="221">
        <f t="shared" si="302"/>
        <v>0</v>
      </c>
      <c r="KO62" s="221">
        <f t="shared" si="303"/>
        <v>0</v>
      </c>
      <c r="KP62" s="221">
        <f t="shared" si="304"/>
        <v>0</v>
      </c>
      <c r="KQ62" s="221">
        <f t="shared" si="305"/>
        <v>0</v>
      </c>
      <c r="KR62" s="221">
        <f t="shared" si="306"/>
        <v>0</v>
      </c>
      <c r="KT62" s="195">
        <f t="shared" si="307"/>
        <v>0</v>
      </c>
      <c r="KU62" s="221"/>
      <c r="KV62" s="221"/>
      <c r="KW62" s="221"/>
      <c r="KX62" s="221"/>
      <c r="KY62" s="221"/>
      <c r="KZ62" s="221"/>
      <c r="LA62" s="221"/>
      <c r="LB62" s="221"/>
      <c r="LC62" s="221"/>
      <c r="LD62" s="221"/>
      <c r="LE62" s="221"/>
      <c r="LF62" s="221"/>
      <c r="LG62" s="221"/>
      <c r="LH62" s="221"/>
      <c r="LI62" s="221"/>
      <c r="LJ62" s="221"/>
      <c r="LK62" s="221"/>
      <c r="LL62" s="221"/>
      <c r="LM62" s="221"/>
      <c r="LN62" s="221"/>
      <c r="LO62" s="221"/>
      <c r="LP62" s="221"/>
      <c r="LQ62" s="221"/>
      <c r="LR62" s="221"/>
      <c r="LS62" s="221"/>
      <c r="LT62" s="221"/>
      <c r="LU62" s="221"/>
      <c r="LV62" s="221"/>
      <c r="LW62" s="221"/>
      <c r="LX62" s="221"/>
      <c r="LY62" s="221"/>
      <c r="LZ62" s="221"/>
      <c r="MA62" s="221"/>
      <c r="MB62" s="221"/>
      <c r="MC62" s="221"/>
      <c r="MD62" s="221"/>
      <c r="ME62" s="221"/>
      <c r="MF62" s="221"/>
      <c r="MG62" s="221"/>
      <c r="MH62" s="221"/>
      <c r="MI62" s="221"/>
      <c r="MJ62" s="221"/>
      <c r="MK62" s="221"/>
      <c r="ML62" s="221"/>
      <c r="MM62" s="221"/>
      <c r="MN62" s="221"/>
      <c r="MO62" s="221"/>
      <c r="MP62" s="221"/>
      <c r="MQ62" s="221"/>
      <c r="MR62" s="221"/>
      <c r="MS62" s="221"/>
      <c r="MT62" s="221"/>
      <c r="MU62" s="221"/>
      <c r="MV62" s="221"/>
      <c r="MW62" s="221"/>
      <c r="MX62" s="221"/>
      <c r="MY62" s="221"/>
      <c r="MZ62" s="221"/>
      <c r="NA62" s="221"/>
      <c r="NB62" s="221"/>
      <c r="NC62" s="221"/>
      <c r="ND62" s="221"/>
      <c r="NE62" s="221"/>
      <c r="NF62" s="221"/>
      <c r="NG62" s="221"/>
      <c r="NH62" s="221"/>
      <c r="NI62" s="221"/>
      <c r="NJ62" s="221"/>
      <c r="NK62" s="221"/>
      <c r="NM62" s="195">
        <f t="shared" si="178"/>
        <v>0</v>
      </c>
      <c r="NN62" s="195">
        <f t="shared" si="179"/>
        <v>0</v>
      </c>
      <c r="NO62" s="195">
        <f t="shared" si="180"/>
        <v>0</v>
      </c>
      <c r="NP62" s="195">
        <f t="shared" si="181"/>
        <v>0</v>
      </c>
      <c r="NQ62" s="195">
        <f t="shared" si="182"/>
        <v>0</v>
      </c>
      <c r="NR62" s="195">
        <f t="shared" si="183"/>
        <v>0</v>
      </c>
      <c r="NS62" s="195">
        <f t="shared" si="184"/>
        <v>0</v>
      </c>
      <c r="NT62" s="195">
        <f t="shared" si="185"/>
        <v>0</v>
      </c>
      <c r="NU62" s="196">
        <f t="shared" si="186"/>
        <v>0</v>
      </c>
      <c r="NY62" s="215">
        <f t="shared" si="249"/>
        <v>1</v>
      </c>
      <c r="NZ62" s="222">
        <v>11956000</v>
      </c>
      <c r="OE62" s="207">
        <f t="shared" si="243"/>
        <v>0</v>
      </c>
      <c r="OF62" s="207">
        <f t="shared" si="244"/>
        <v>0</v>
      </c>
      <c r="OG62" s="207">
        <f t="shared" si="245"/>
        <v>0</v>
      </c>
      <c r="OH62" s="207">
        <f t="shared" si="188"/>
        <v>0</v>
      </c>
      <c r="OI62" s="207">
        <f t="shared" si="246"/>
        <v>0</v>
      </c>
      <c r="OJ62" s="199">
        <f t="shared" si="189"/>
        <v>0</v>
      </c>
      <c r="OK62" s="199">
        <f t="shared" si="190"/>
        <v>0</v>
      </c>
      <c r="OL62" s="199">
        <f t="shared" si="191"/>
        <v>0</v>
      </c>
      <c r="OM62" s="199">
        <f t="shared" si="192"/>
        <v>0</v>
      </c>
      <c r="OO62" s="207">
        <f t="shared" si="247"/>
        <v>0</v>
      </c>
      <c r="OP62" s="207">
        <f t="shared" si="248"/>
        <v>0</v>
      </c>
      <c r="OQ62" s="207">
        <f t="shared" si="193"/>
        <v>0</v>
      </c>
      <c r="OR62" s="207">
        <f t="shared" si="194"/>
        <v>0</v>
      </c>
      <c r="OS62" s="207">
        <f t="shared" si="195"/>
        <v>0</v>
      </c>
      <c r="OT62" s="199">
        <f t="shared" si="196"/>
        <v>0</v>
      </c>
      <c r="OU62" s="199">
        <f t="shared" si="197"/>
        <v>0</v>
      </c>
      <c r="OV62" s="199">
        <f t="shared" si="198"/>
        <v>0</v>
      </c>
      <c r="OW62" s="199">
        <f t="shared" si="199"/>
        <v>0</v>
      </c>
      <c r="OZ62" s="208">
        <f t="shared" si="91"/>
        <v>0</v>
      </c>
      <c r="PA62" s="209"/>
      <c r="PB62" s="209"/>
      <c r="PC62" s="209"/>
      <c r="PD62" s="210">
        <f t="shared" si="200"/>
        <v>0</v>
      </c>
      <c r="PE62" s="210"/>
      <c r="PF62" s="210">
        <f t="shared" si="201"/>
        <v>0</v>
      </c>
      <c r="PG62" s="210">
        <f t="shared" si="202"/>
        <v>0</v>
      </c>
      <c r="PH62" s="210">
        <f t="shared" si="92"/>
        <v>0</v>
      </c>
      <c r="PI62" s="210">
        <f t="shared" si="93"/>
        <v>0</v>
      </c>
      <c r="PJ62" s="210">
        <f t="shared" si="94"/>
        <v>0</v>
      </c>
      <c r="PK62" s="210">
        <f t="shared" si="95"/>
        <v>0</v>
      </c>
      <c r="PL62" s="210">
        <f t="shared" si="96"/>
        <v>0</v>
      </c>
      <c r="PM62" s="211"/>
      <c r="PN62" s="211"/>
      <c r="PO62" s="212">
        <f t="shared" si="203"/>
        <v>0</v>
      </c>
      <c r="PP62" s="212">
        <f t="shared" si="204"/>
        <v>0</v>
      </c>
      <c r="PQ62" s="212">
        <f t="shared" si="205"/>
        <v>0</v>
      </c>
      <c r="PR62" s="211"/>
      <c r="PS62" s="211"/>
      <c r="PT62" s="211"/>
      <c r="PU62" s="211"/>
    </row>
    <row r="63" spans="1:437 16383:16383" s="195" customFormat="1" ht="16" x14ac:dyDescent="0.2">
      <c r="A63" s="213">
        <f t="shared" si="206"/>
        <v>53</v>
      </c>
      <c r="B63" s="186" t="s">
        <v>69</v>
      </c>
      <c r="C63" s="186">
        <v>58</v>
      </c>
      <c r="D63" s="188">
        <v>1</v>
      </c>
      <c r="E63" s="188">
        <v>36</v>
      </c>
      <c r="F63" s="188">
        <v>1</v>
      </c>
      <c r="G63" s="188">
        <f t="shared" si="308"/>
        <v>36</v>
      </c>
      <c r="H63" s="214">
        <f t="shared" si="213"/>
        <v>1</v>
      </c>
      <c r="I63" s="214">
        <f t="shared" si="214"/>
        <v>1</v>
      </c>
      <c r="J63" s="188">
        <v>1</v>
      </c>
      <c r="K63" s="188">
        <f t="shared" si="215"/>
        <v>36</v>
      </c>
      <c r="L63" s="214">
        <f t="shared" si="216"/>
        <v>1</v>
      </c>
      <c r="M63" s="214">
        <f t="shared" si="217"/>
        <v>1</v>
      </c>
      <c r="N63" s="188">
        <v>1</v>
      </c>
      <c r="O63" s="188">
        <f t="shared" si="218"/>
        <v>36</v>
      </c>
      <c r="P63" s="214">
        <f t="shared" si="219"/>
        <v>1</v>
      </c>
      <c r="Q63" s="214">
        <f t="shared" si="220"/>
        <v>1</v>
      </c>
      <c r="R63" s="188">
        <v>1</v>
      </c>
      <c r="S63" s="188">
        <f t="shared" si="221"/>
        <v>36</v>
      </c>
      <c r="T63" s="214">
        <f t="shared" si="222"/>
        <v>1</v>
      </c>
      <c r="U63" s="214">
        <f t="shared" si="223"/>
        <v>1</v>
      </c>
      <c r="V63" s="215">
        <v>1</v>
      </c>
      <c r="W63" s="188">
        <f t="shared" si="224"/>
        <v>36</v>
      </c>
      <c r="X63" s="214">
        <f t="shared" si="225"/>
        <v>1</v>
      </c>
      <c r="Y63" s="214">
        <f t="shared" si="226"/>
        <v>1</v>
      </c>
      <c r="Z63" s="216">
        <f>442294000/1000000000</f>
        <v>0.44229400000000002</v>
      </c>
      <c r="AA63" s="188">
        <v>0</v>
      </c>
      <c r="AB63" s="188">
        <f t="shared" si="112"/>
        <v>0</v>
      </c>
      <c r="AC63" s="214">
        <f t="shared" si="113"/>
        <v>0</v>
      </c>
      <c r="AD63" s="214">
        <f t="shared" si="114"/>
        <v>0</v>
      </c>
      <c r="AE63" s="188"/>
      <c r="AF63" s="188">
        <f t="shared" si="115"/>
        <v>0</v>
      </c>
      <c r="AG63" s="188"/>
      <c r="AH63" s="188"/>
      <c r="AI63" s="188">
        <v>1</v>
      </c>
      <c r="AJ63" s="188">
        <f t="shared" si="2"/>
        <v>36</v>
      </c>
      <c r="AK63" s="188" t="s">
        <v>304</v>
      </c>
      <c r="AL63" s="188">
        <v>0</v>
      </c>
      <c r="AM63" s="188">
        <v>0</v>
      </c>
      <c r="AN63" s="217"/>
      <c r="AO63" s="188">
        <f t="shared" si="207"/>
        <v>1</v>
      </c>
      <c r="AP63" s="188">
        <f t="shared" si="208"/>
        <v>36</v>
      </c>
      <c r="AQ63" s="188">
        <f t="shared" si="227"/>
        <v>1</v>
      </c>
      <c r="AR63" s="188">
        <f t="shared" si="228"/>
        <v>36</v>
      </c>
      <c r="AS63" s="188">
        <f t="shared" si="229"/>
        <v>1</v>
      </c>
      <c r="AT63" s="188">
        <f t="shared" si="230"/>
        <v>36</v>
      </c>
      <c r="AU63" s="188">
        <f t="shared" si="209"/>
        <v>1</v>
      </c>
      <c r="AV63" s="188">
        <f t="shared" si="210"/>
        <v>36</v>
      </c>
      <c r="AW63" s="188">
        <f t="shared" si="211"/>
        <v>1</v>
      </c>
      <c r="AX63" s="188">
        <f t="shared" si="212"/>
        <v>36</v>
      </c>
      <c r="AY63" s="188">
        <f t="shared" si="116"/>
        <v>0</v>
      </c>
      <c r="AZ63" s="188">
        <f t="shared" si="117"/>
        <v>0</v>
      </c>
      <c r="BA63" s="188">
        <f t="shared" si="14"/>
        <v>0.44229400000000002</v>
      </c>
      <c r="BB63" s="188">
        <f t="shared" si="15"/>
        <v>0</v>
      </c>
      <c r="BD63" s="196">
        <f t="shared" si="118"/>
        <v>0</v>
      </c>
      <c r="BE63" s="188">
        <f t="shared" si="231"/>
        <v>0</v>
      </c>
      <c r="BF63" s="188">
        <f t="shared" si="232"/>
        <v>0</v>
      </c>
      <c r="BG63" s="188">
        <f t="shared" si="233"/>
        <v>0</v>
      </c>
      <c r="BH63" s="188">
        <f t="shared" si="234"/>
        <v>0</v>
      </c>
      <c r="BI63" s="188">
        <f t="shared" si="235"/>
        <v>0</v>
      </c>
      <c r="BJ63" s="188">
        <f t="shared" si="236"/>
        <v>0</v>
      </c>
      <c r="BK63" s="188">
        <f t="shared" si="22"/>
        <v>0</v>
      </c>
      <c r="BN63" s="143"/>
      <c r="BO63" s="277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B63" s="188"/>
      <c r="CD63" s="188">
        <f t="shared" si="23"/>
        <v>0</v>
      </c>
      <c r="CE63" s="188">
        <f t="shared" si="24"/>
        <v>0</v>
      </c>
      <c r="CF63" s="188">
        <f t="shared" si="25"/>
        <v>0</v>
      </c>
      <c r="CG63" s="188">
        <f t="shared" si="26"/>
        <v>0</v>
      </c>
      <c r="CH63" s="188">
        <f t="shared" si="27"/>
        <v>0</v>
      </c>
      <c r="CI63" s="188">
        <f t="shared" si="28"/>
        <v>0</v>
      </c>
      <c r="CJ63" s="188">
        <f t="shared" si="29"/>
        <v>0</v>
      </c>
      <c r="CK63" s="188">
        <f t="shared" si="30"/>
        <v>0</v>
      </c>
      <c r="CL63" s="188">
        <f t="shared" si="31"/>
        <v>0</v>
      </c>
      <c r="CM63" s="188">
        <f t="shared" si="32"/>
        <v>0</v>
      </c>
      <c r="CN63" s="188">
        <f t="shared" si="33"/>
        <v>0</v>
      </c>
      <c r="CO63" s="188">
        <f t="shared" si="34"/>
        <v>0</v>
      </c>
      <c r="CP63" s="188">
        <f t="shared" si="35"/>
        <v>0</v>
      </c>
      <c r="DV63" s="188">
        <f t="shared" si="237"/>
        <v>0</v>
      </c>
      <c r="DW63" s="188">
        <f t="shared" si="238"/>
        <v>0</v>
      </c>
      <c r="DX63" s="188">
        <f t="shared" si="239"/>
        <v>0</v>
      </c>
      <c r="DY63" s="188">
        <f t="shared" si="240"/>
        <v>0</v>
      </c>
      <c r="DZ63" s="188">
        <f t="shared" si="241"/>
        <v>0</v>
      </c>
      <c r="EA63" s="188">
        <f t="shared" si="242"/>
        <v>0</v>
      </c>
      <c r="EB63" s="188">
        <f t="shared" si="42"/>
        <v>0</v>
      </c>
      <c r="EG63" s="220">
        <f t="shared" si="43"/>
        <v>0</v>
      </c>
      <c r="EH63" s="220">
        <f t="shared" si="44"/>
        <v>0</v>
      </c>
      <c r="EI63" s="188">
        <v>1</v>
      </c>
      <c r="EJ63" s="188"/>
      <c r="EK63" s="188"/>
      <c r="EL63" s="188"/>
      <c r="EM63" s="188"/>
      <c r="EN63" s="188"/>
      <c r="EO63" s="188"/>
      <c r="EP63" s="188"/>
      <c r="EQ63" s="188"/>
      <c r="ER63" s="188"/>
      <c r="ES63" s="188"/>
      <c r="ET63" s="188"/>
      <c r="EU63" s="188"/>
      <c r="EV63" s="188"/>
      <c r="EW63" s="188"/>
      <c r="EX63" s="188"/>
      <c r="EY63" s="188"/>
      <c r="EZ63" s="188"/>
      <c r="FA63" s="188"/>
      <c r="FB63" s="188"/>
      <c r="FC63" s="188"/>
      <c r="FD63" s="188"/>
      <c r="FE63" s="188"/>
      <c r="FF63" s="188"/>
      <c r="FH63" s="189"/>
      <c r="FI63" s="189"/>
      <c r="FJ63" s="189"/>
      <c r="FK63" s="189"/>
      <c r="FL63" s="189"/>
      <c r="FM63" s="189"/>
      <c r="FN63" s="189"/>
      <c r="FO63" s="189"/>
      <c r="FP63" s="189"/>
      <c r="FQ63" s="189"/>
      <c r="FR63" s="189"/>
      <c r="FS63" s="189"/>
      <c r="FT63" s="189"/>
      <c r="FU63" s="189"/>
      <c r="FV63" s="189"/>
      <c r="FX63" s="217"/>
      <c r="FY63" s="188">
        <f t="shared" si="45"/>
        <v>0</v>
      </c>
      <c r="FZ63" s="188">
        <f t="shared" si="250"/>
        <v>0</v>
      </c>
      <c r="GA63" s="188">
        <f t="shared" si="251"/>
        <v>0</v>
      </c>
      <c r="GB63" s="188">
        <f t="shared" si="252"/>
        <v>0</v>
      </c>
      <c r="GC63" s="188">
        <f t="shared" si="253"/>
        <v>0</v>
      </c>
      <c r="GD63" s="188">
        <f t="shared" si="254"/>
        <v>0</v>
      </c>
      <c r="GE63" s="188">
        <f t="shared" si="255"/>
        <v>0</v>
      </c>
      <c r="GF63" s="199"/>
      <c r="GG63" s="189">
        <v>0</v>
      </c>
      <c r="GH63" s="189">
        <v>0</v>
      </c>
      <c r="GI63" s="199"/>
      <c r="GJ63" s="200">
        <f t="shared" si="52"/>
        <v>0</v>
      </c>
      <c r="GK63" s="200">
        <f t="shared" si="53"/>
        <v>0</v>
      </c>
      <c r="GO63" s="189">
        <f t="shared" si="256"/>
        <v>0</v>
      </c>
      <c r="GP63" s="189">
        <f t="shared" si="257"/>
        <v>0</v>
      </c>
      <c r="GQ63" s="189">
        <f t="shared" si="258"/>
        <v>0</v>
      </c>
      <c r="GR63" s="189">
        <f t="shared" si="259"/>
        <v>0</v>
      </c>
      <c r="GS63" s="189">
        <f t="shared" si="260"/>
        <v>0</v>
      </c>
      <c r="GT63" s="189">
        <f t="shared" si="124"/>
        <v>1</v>
      </c>
      <c r="GU63" s="201">
        <f t="shared" si="125"/>
        <v>43243</v>
      </c>
      <c r="GV63" s="189" t="str">
        <f t="shared" si="126"/>
        <v>SELESAI</v>
      </c>
      <c r="GW63" s="189">
        <f t="shared" si="127"/>
        <v>0</v>
      </c>
      <c r="GX63" s="202" t="str">
        <f t="shared" si="128"/>
        <v>SELESAI</v>
      </c>
      <c r="GY63" s="202">
        <f t="shared" si="129"/>
        <v>0</v>
      </c>
      <c r="GZ63" s="203" t="str">
        <f t="shared" si="130"/>
        <v>SELESAI</v>
      </c>
      <c r="HA63" s="204"/>
      <c r="HB63" s="204"/>
      <c r="HC63" s="189">
        <f t="shared" si="261"/>
        <v>0</v>
      </c>
      <c r="HD63" s="189">
        <f t="shared" si="262"/>
        <v>0</v>
      </c>
      <c r="HE63" s="189">
        <f t="shared" si="133"/>
        <v>0</v>
      </c>
      <c r="HF63" s="189">
        <f t="shared" si="134"/>
        <v>0</v>
      </c>
      <c r="HG63" s="189">
        <f t="shared" si="135"/>
        <v>0</v>
      </c>
      <c r="HH63" s="201" t="str">
        <f t="shared" si="136"/>
        <v>TIDAK KONSINYASI</v>
      </c>
      <c r="HI63" s="201" t="str">
        <f t="shared" si="137"/>
        <v>SELESAI</v>
      </c>
      <c r="HJ63" s="205"/>
      <c r="HK63" s="201">
        <f t="shared" si="138"/>
        <v>0</v>
      </c>
      <c r="HL63" s="204"/>
      <c r="HM63" s="204"/>
      <c r="HN63" s="204"/>
      <c r="HO63" s="204"/>
      <c r="HP63" s="203">
        <f t="shared" si="139"/>
        <v>0</v>
      </c>
      <c r="HQ63" s="202">
        <f t="shared" si="140"/>
        <v>0</v>
      </c>
      <c r="HR63" s="202">
        <f t="shared" si="263"/>
        <v>0</v>
      </c>
      <c r="HS63" s="203">
        <f t="shared" si="142"/>
        <v>0</v>
      </c>
      <c r="HT63" s="202">
        <f t="shared" si="143"/>
        <v>0</v>
      </c>
      <c r="HU63" s="202">
        <f t="shared" si="264"/>
        <v>0</v>
      </c>
      <c r="HV63" s="203">
        <f t="shared" si="145"/>
        <v>0</v>
      </c>
      <c r="HW63" s="202">
        <f t="shared" si="146"/>
        <v>0</v>
      </c>
      <c r="HX63" s="202">
        <f t="shared" si="265"/>
        <v>0</v>
      </c>
      <c r="HY63" s="203">
        <f t="shared" si="148"/>
        <v>0</v>
      </c>
      <c r="HZ63" s="202">
        <f t="shared" si="149"/>
        <v>0</v>
      </c>
      <c r="IA63" s="202">
        <f t="shared" si="266"/>
        <v>0</v>
      </c>
      <c r="IB63" s="203">
        <f t="shared" si="151"/>
        <v>0</v>
      </c>
      <c r="IC63" s="202">
        <f t="shared" si="152"/>
        <v>0</v>
      </c>
      <c r="ID63" s="202">
        <f t="shared" si="267"/>
        <v>0</v>
      </c>
      <c r="IE63" s="203">
        <f t="shared" si="154"/>
        <v>0</v>
      </c>
      <c r="IF63" s="202">
        <f t="shared" si="155"/>
        <v>0</v>
      </c>
      <c r="IG63" s="202">
        <f t="shared" si="268"/>
        <v>0</v>
      </c>
      <c r="IH63" s="203">
        <f t="shared" si="157"/>
        <v>0</v>
      </c>
      <c r="II63" s="202">
        <f t="shared" si="158"/>
        <v>0</v>
      </c>
      <c r="IJ63" s="202">
        <f t="shared" si="269"/>
        <v>0</v>
      </c>
      <c r="IK63" s="203">
        <f t="shared" si="160"/>
        <v>0</v>
      </c>
      <c r="IL63" s="202">
        <f t="shared" si="161"/>
        <v>0</v>
      </c>
      <c r="IM63" s="202">
        <f t="shared" si="270"/>
        <v>0</v>
      </c>
      <c r="IN63" s="204"/>
      <c r="IO63" s="203">
        <f t="shared" si="163"/>
        <v>0</v>
      </c>
      <c r="IP63" s="202">
        <f t="shared" si="271"/>
        <v>0</v>
      </c>
      <c r="IQ63" s="202">
        <f t="shared" si="272"/>
        <v>0</v>
      </c>
      <c r="IR63" s="204"/>
      <c r="IS63" s="203"/>
      <c r="IT63" s="202">
        <f t="shared" si="273"/>
        <v>1</v>
      </c>
      <c r="IU63" s="202">
        <f t="shared" si="274"/>
        <v>36</v>
      </c>
      <c r="IV63" s="204"/>
      <c r="IW63" s="203"/>
      <c r="IX63" s="202">
        <f t="shared" si="275"/>
        <v>0</v>
      </c>
      <c r="IY63" s="202">
        <f t="shared" si="276"/>
        <v>0</v>
      </c>
      <c r="IZ63" s="204"/>
      <c r="JA63" s="203"/>
      <c r="JB63" s="202">
        <f t="shared" si="277"/>
        <v>0</v>
      </c>
      <c r="JC63" s="202">
        <f t="shared" si="278"/>
        <v>0</v>
      </c>
      <c r="JD63" s="204"/>
      <c r="JE63" s="203"/>
      <c r="JF63" s="202">
        <f t="shared" si="172"/>
        <v>1</v>
      </c>
      <c r="JG63" s="202">
        <f t="shared" si="173"/>
        <v>36</v>
      </c>
      <c r="JH63" s="204"/>
      <c r="JI63" s="203"/>
      <c r="JJ63" s="202">
        <f t="shared" si="279"/>
        <v>0</v>
      </c>
      <c r="JK63" s="202">
        <f t="shared" si="280"/>
        <v>0</v>
      </c>
      <c r="JM63" s="203">
        <f t="shared" si="176"/>
        <v>0</v>
      </c>
      <c r="JO63" s="196">
        <f t="shared" si="54"/>
        <v>0</v>
      </c>
      <c r="JP63" s="189">
        <f t="shared" si="281"/>
        <v>0</v>
      </c>
      <c r="JQ63" s="189">
        <f t="shared" si="282"/>
        <v>0</v>
      </c>
      <c r="JR63" s="189">
        <f t="shared" si="283"/>
        <v>0</v>
      </c>
      <c r="JS63" s="189">
        <f t="shared" si="284"/>
        <v>0</v>
      </c>
      <c r="JT63" s="189">
        <f t="shared" si="285"/>
        <v>0</v>
      </c>
      <c r="JU63" s="189">
        <f t="shared" si="286"/>
        <v>0</v>
      </c>
      <c r="JV63" s="189">
        <f t="shared" si="287"/>
        <v>0</v>
      </c>
      <c r="JW63" s="189">
        <f t="shared" si="288"/>
        <v>0</v>
      </c>
      <c r="JX63" s="189">
        <f t="shared" si="289"/>
        <v>0</v>
      </c>
      <c r="JY63" s="189">
        <f t="shared" si="290"/>
        <v>0</v>
      </c>
      <c r="JZ63" s="189">
        <f t="shared" si="291"/>
        <v>0</v>
      </c>
      <c r="KA63" s="189">
        <f t="shared" si="292"/>
        <v>0</v>
      </c>
      <c r="KB63" s="189">
        <f t="shared" si="293"/>
        <v>0</v>
      </c>
      <c r="KD63" s="206">
        <f t="shared" si="177"/>
        <v>0</v>
      </c>
      <c r="KE63" s="206">
        <f t="shared" si="69"/>
        <v>0</v>
      </c>
      <c r="KF63" s="206">
        <f t="shared" si="294"/>
        <v>0</v>
      </c>
      <c r="KG63" s="206">
        <f t="shared" si="295"/>
        <v>0</v>
      </c>
      <c r="KH63" s="206">
        <f t="shared" si="296"/>
        <v>0</v>
      </c>
      <c r="KI63" s="206">
        <f t="shared" si="297"/>
        <v>0</v>
      </c>
      <c r="KJ63" s="206">
        <f t="shared" si="298"/>
        <v>0</v>
      </c>
      <c r="KK63" s="206">
        <f t="shared" si="299"/>
        <v>0</v>
      </c>
      <c r="KL63" s="206">
        <f t="shared" si="300"/>
        <v>0</v>
      </c>
      <c r="KM63" s="206">
        <f t="shared" si="301"/>
        <v>0</v>
      </c>
      <c r="KN63" s="221">
        <f t="shared" si="302"/>
        <v>0</v>
      </c>
      <c r="KO63" s="221">
        <f t="shared" si="303"/>
        <v>0</v>
      </c>
      <c r="KP63" s="221">
        <f t="shared" si="304"/>
        <v>0</v>
      </c>
      <c r="KQ63" s="221">
        <f t="shared" si="305"/>
        <v>0</v>
      </c>
      <c r="KR63" s="221">
        <f t="shared" si="306"/>
        <v>0</v>
      </c>
      <c r="KT63" s="195">
        <f t="shared" si="307"/>
        <v>0</v>
      </c>
      <c r="KU63" s="221"/>
      <c r="KV63" s="221"/>
      <c r="KW63" s="221"/>
      <c r="KX63" s="221"/>
      <c r="KY63" s="221"/>
      <c r="KZ63" s="221"/>
      <c r="LA63" s="221"/>
      <c r="LB63" s="221"/>
      <c r="LC63" s="221"/>
      <c r="LD63" s="221"/>
      <c r="LE63" s="221"/>
      <c r="LF63" s="221"/>
      <c r="LG63" s="221"/>
      <c r="LH63" s="221"/>
      <c r="LI63" s="221"/>
      <c r="LJ63" s="221"/>
      <c r="LK63" s="221"/>
      <c r="LL63" s="221"/>
      <c r="LM63" s="221"/>
      <c r="LN63" s="221"/>
      <c r="LO63" s="221"/>
      <c r="LP63" s="221"/>
      <c r="LQ63" s="221"/>
      <c r="LR63" s="221"/>
      <c r="LS63" s="221"/>
      <c r="LT63" s="221"/>
      <c r="LU63" s="221"/>
      <c r="LV63" s="221"/>
      <c r="LW63" s="221"/>
      <c r="LX63" s="221"/>
      <c r="LY63" s="221"/>
      <c r="LZ63" s="221"/>
      <c r="MA63" s="221"/>
      <c r="MB63" s="221"/>
      <c r="MC63" s="221"/>
      <c r="MD63" s="221"/>
      <c r="ME63" s="221"/>
      <c r="MF63" s="221"/>
      <c r="MG63" s="221"/>
      <c r="MH63" s="221"/>
      <c r="MI63" s="221"/>
      <c r="MJ63" s="221"/>
      <c r="MK63" s="221"/>
      <c r="ML63" s="221"/>
      <c r="MM63" s="221"/>
      <c r="MN63" s="221"/>
      <c r="MO63" s="221"/>
      <c r="MP63" s="221"/>
      <c r="MQ63" s="221"/>
      <c r="MR63" s="221"/>
      <c r="MS63" s="221"/>
      <c r="MT63" s="221"/>
      <c r="MU63" s="221"/>
      <c r="MV63" s="221"/>
      <c r="MW63" s="221"/>
      <c r="MX63" s="221"/>
      <c r="MY63" s="221"/>
      <c r="MZ63" s="221"/>
      <c r="NA63" s="221"/>
      <c r="NB63" s="221"/>
      <c r="NC63" s="221"/>
      <c r="ND63" s="221"/>
      <c r="NE63" s="221"/>
      <c r="NF63" s="221"/>
      <c r="NG63" s="221"/>
      <c r="NH63" s="221"/>
      <c r="NI63" s="221"/>
      <c r="NJ63" s="221"/>
      <c r="NK63" s="221"/>
      <c r="NM63" s="195">
        <f t="shared" si="178"/>
        <v>0</v>
      </c>
      <c r="NN63" s="195">
        <f t="shared" si="179"/>
        <v>0</v>
      </c>
      <c r="NO63" s="195">
        <f t="shared" si="180"/>
        <v>0</v>
      </c>
      <c r="NP63" s="195">
        <f t="shared" si="181"/>
        <v>0</v>
      </c>
      <c r="NQ63" s="195">
        <f t="shared" si="182"/>
        <v>0</v>
      </c>
      <c r="NR63" s="195">
        <f t="shared" si="183"/>
        <v>0</v>
      </c>
      <c r="NS63" s="195">
        <f t="shared" si="184"/>
        <v>0</v>
      </c>
      <c r="NT63" s="195">
        <f t="shared" si="185"/>
        <v>0</v>
      </c>
      <c r="NU63" s="196">
        <f t="shared" si="186"/>
        <v>0</v>
      </c>
      <c r="NY63" s="215">
        <f t="shared" si="249"/>
        <v>1</v>
      </c>
      <c r="NZ63" s="222">
        <v>9800000</v>
      </c>
      <c r="OE63" s="207">
        <f t="shared" si="243"/>
        <v>0</v>
      </c>
      <c r="OF63" s="207">
        <f t="shared" si="244"/>
        <v>0</v>
      </c>
      <c r="OG63" s="207">
        <f t="shared" si="245"/>
        <v>0</v>
      </c>
      <c r="OH63" s="207">
        <f t="shared" si="188"/>
        <v>0</v>
      </c>
      <c r="OI63" s="207">
        <f t="shared" si="246"/>
        <v>0</v>
      </c>
      <c r="OJ63" s="199">
        <f t="shared" si="189"/>
        <v>0</v>
      </c>
      <c r="OK63" s="199">
        <f t="shared" si="190"/>
        <v>0</v>
      </c>
      <c r="OL63" s="199">
        <f t="shared" si="191"/>
        <v>0</v>
      </c>
      <c r="OM63" s="199">
        <f t="shared" si="192"/>
        <v>0</v>
      </c>
      <c r="OO63" s="207">
        <f t="shared" si="247"/>
        <v>0</v>
      </c>
      <c r="OP63" s="207">
        <f t="shared" si="248"/>
        <v>0</v>
      </c>
      <c r="OQ63" s="207">
        <f t="shared" si="193"/>
        <v>0</v>
      </c>
      <c r="OR63" s="207">
        <f t="shared" si="194"/>
        <v>0</v>
      </c>
      <c r="OS63" s="207">
        <f t="shared" si="195"/>
        <v>0</v>
      </c>
      <c r="OT63" s="199">
        <f t="shared" si="196"/>
        <v>0</v>
      </c>
      <c r="OU63" s="199">
        <f t="shared" si="197"/>
        <v>0</v>
      </c>
      <c r="OV63" s="199">
        <f t="shared" si="198"/>
        <v>0</v>
      </c>
      <c r="OW63" s="199">
        <f t="shared" si="199"/>
        <v>0</v>
      </c>
      <c r="OZ63" s="208">
        <f t="shared" si="91"/>
        <v>0</v>
      </c>
      <c r="PA63" s="209"/>
      <c r="PB63" s="209"/>
      <c r="PC63" s="209"/>
      <c r="PD63" s="210">
        <f t="shared" si="200"/>
        <v>0</v>
      </c>
      <c r="PE63" s="210"/>
      <c r="PF63" s="210">
        <f t="shared" si="201"/>
        <v>0</v>
      </c>
      <c r="PG63" s="210">
        <f t="shared" si="202"/>
        <v>0</v>
      </c>
      <c r="PH63" s="210">
        <f t="shared" si="92"/>
        <v>0</v>
      </c>
      <c r="PI63" s="210">
        <f t="shared" si="93"/>
        <v>0</v>
      </c>
      <c r="PJ63" s="210">
        <f t="shared" si="94"/>
        <v>0</v>
      </c>
      <c r="PK63" s="210">
        <f t="shared" si="95"/>
        <v>0</v>
      </c>
      <c r="PL63" s="210">
        <f t="shared" si="96"/>
        <v>0</v>
      </c>
      <c r="PM63" s="211"/>
      <c r="PN63" s="211"/>
      <c r="PO63" s="212">
        <f t="shared" si="203"/>
        <v>0</v>
      </c>
      <c r="PP63" s="212">
        <f t="shared" si="204"/>
        <v>0</v>
      </c>
      <c r="PQ63" s="212">
        <f t="shared" si="205"/>
        <v>0</v>
      </c>
      <c r="PR63" s="211"/>
      <c r="PS63" s="211"/>
      <c r="PT63" s="211"/>
      <c r="PU63" s="211"/>
      <c r="XFC63" s="195">
        <v>164430000</v>
      </c>
    </row>
    <row r="64" spans="1:437 16383:16383" s="195" customFormat="1" ht="16" x14ac:dyDescent="0.2">
      <c r="A64" s="213">
        <f t="shared" si="206"/>
        <v>54</v>
      </c>
      <c r="B64" s="186" t="s">
        <v>70</v>
      </c>
      <c r="C64" s="186">
        <v>59</v>
      </c>
      <c r="D64" s="188">
        <v>1</v>
      </c>
      <c r="E64" s="188">
        <v>35</v>
      </c>
      <c r="F64" s="188">
        <v>1</v>
      </c>
      <c r="G64" s="188">
        <f t="shared" si="308"/>
        <v>35</v>
      </c>
      <c r="H64" s="214">
        <f t="shared" si="213"/>
        <v>1</v>
      </c>
      <c r="I64" s="214">
        <f t="shared" si="214"/>
        <v>1</v>
      </c>
      <c r="J64" s="188">
        <v>1</v>
      </c>
      <c r="K64" s="188">
        <f t="shared" si="215"/>
        <v>35</v>
      </c>
      <c r="L64" s="214">
        <f t="shared" si="216"/>
        <v>1</v>
      </c>
      <c r="M64" s="214">
        <f t="shared" si="217"/>
        <v>1</v>
      </c>
      <c r="N64" s="188">
        <v>1</v>
      </c>
      <c r="O64" s="188">
        <f t="shared" si="218"/>
        <v>35</v>
      </c>
      <c r="P64" s="214">
        <f t="shared" si="219"/>
        <v>1</v>
      </c>
      <c r="Q64" s="214">
        <f t="shared" si="220"/>
        <v>1</v>
      </c>
      <c r="R64" s="188">
        <v>1</v>
      </c>
      <c r="S64" s="188">
        <f t="shared" si="221"/>
        <v>35</v>
      </c>
      <c r="T64" s="214">
        <f t="shared" si="222"/>
        <v>1</v>
      </c>
      <c r="U64" s="214">
        <f t="shared" si="223"/>
        <v>1</v>
      </c>
      <c r="V64" s="215">
        <v>1</v>
      </c>
      <c r="W64" s="188">
        <f t="shared" si="224"/>
        <v>35</v>
      </c>
      <c r="X64" s="214">
        <f t="shared" si="225"/>
        <v>1</v>
      </c>
      <c r="Y64" s="214">
        <f t="shared" si="226"/>
        <v>1</v>
      </c>
      <c r="Z64" s="216">
        <f>434835000/1000000000</f>
        <v>0.43483500000000003</v>
      </c>
      <c r="AA64" s="188">
        <v>0</v>
      </c>
      <c r="AB64" s="188">
        <f t="shared" si="112"/>
        <v>0</v>
      </c>
      <c r="AC64" s="214">
        <f t="shared" si="113"/>
        <v>0</v>
      </c>
      <c r="AD64" s="214">
        <f t="shared" si="114"/>
        <v>0</v>
      </c>
      <c r="AE64" s="188"/>
      <c r="AF64" s="188">
        <f t="shared" si="115"/>
        <v>0</v>
      </c>
      <c r="AG64" s="188"/>
      <c r="AH64" s="188"/>
      <c r="AI64" s="188">
        <v>1</v>
      </c>
      <c r="AJ64" s="188">
        <f t="shared" si="2"/>
        <v>35</v>
      </c>
      <c r="AK64" s="188" t="s">
        <v>304</v>
      </c>
      <c r="AL64" s="188">
        <v>0</v>
      </c>
      <c r="AM64" s="188">
        <v>0</v>
      </c>
      <c r="AN64" s="217"/>
      <c r="AO64" s="188">
        <f t="shared" si="207"/>
        <v>1</v>
      </c>
      <c r="AP64" s="188">
        <f t="shared" si="208"/>
        <v>35</v>
      </c>
      <c r="AQ64" s="188">
        <f t="shared" si="227"/>
        <v>1</v>
      </c>
      <c r="AR64" s="188">
        <f t="shared" si="228"/>
        <v>35</v>
      </c>
      <c r="AS64" s="188">
        <f t="shared" si="229"/>
        <v>1</v>
      </c>
      <c r="AT64" s="188">
        <f t="shared" si="230"/>
        <v>35</v>
      </c>
      <c r="AU64" s="188">
        <f t="shared" si="209"/>
        <v>1</v>
      </c>
      <c r="AV64" s="188">
        <f t="shared" si="210"/>
        <v>35</v>
      </c>
      <c r="AW64" s="188">
        <f t="shared" si="211"/>
        <v>1</v>
      </c>
      <c r="AX64" s="188">
        <f t="shared" si="212"/>
        <v>35</v>
      </c>
      <c r="AY64" s="188">
        <f t="shared" si="116"/>
        <v>0</v>
      </c>
      <c r="AZ64" s="188">
        <f t="shared" si="117"/>
        <v>0</v>
      </c>
      <c r="BA64" s="188">
        <f t="shared" si="14"/>
        <v>0.43483500000000003</v>
      </c>
      <c r="BB64" s="188">
        <f t="shared" si="15"/>
        <v>0</v>
      </c>
      <c r="BD64" s="196">
        <f t="shared" si="118"/>
        <v>0</v>
      </c>
      <c r="BE64" s="188">
        <f t="shared" si="231"/>
        <v>0</v>
      </c>
      <c r="BF64" s="188">
        <f t="shared" si="232"/>
        <v>0</v>
      </c>
      <c r="BG64" s="188">
        <f t="shared" si="233"/>
        <v>0</v>
      </c>
      <c r="BH64" s="188">
        <f t="shared" si="234"/>
        <v>0</v>
      </c>
      <c r="BI64" s="188">
        <f t="shared" si="235"/>
        <v>0</v>
      </c>
      <c r="BJ64" s="188">
        <f t="shared" si="236"/>
        <v>0</v>
      </c>
      <c r="BK64" s="188">
        <f t="shared" si="22"/>
        <v>0</v>
      </c>
      <c r="BN64" s="143"/>
      <c r="BO64" s="277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B64" s="188"/>
      <c r="CD64" s="188">
        <f t="shared" si="23"/>
        <v>0</v>
      </c>
      <c r="CE64" s="188">
        <f t="shared" si="24"/>
        <v>0</v>
      </c>
      <c r="CF64" s="188">
        <f t="shared" si="25"/>
        <v>0</v>
      </c>
      <c r="CG64" s="188">
        <f t="shared" si="26"/>
        <v>0</v>
      </c>
      <c r="CH64" s="188">
        <f t="shared" si="27"/>
        <v>0</v>
      </c>
      <c r="CI64" s="188">
        <f t="shared" si="28"/>
        <v>0</v>
      </c>
      <c r="CJ64" s="188">
        <f t="shared" si="29"/>
        <v>0</v>
      </c>
      <c r="CK64" s="188">
        <f t="shared" si="30"/>
        <v>0</v>
      </c>
      <c r="CL64" s="188">
        <f t="shared" si="31"/>
        <v>0</v>
      </c>
      <c r="CM64" s="188">
        <f t="shared" si="32"/>
        <v>0</v>
      </c>
      <c r="CN64" s="188">
        <f t="shared" si="33"/>
        <v>0</v>
      </c>
      <c r="CO64" s="188">
        <f t="shared" si="34"/>
        <v>0</v>
      </c>
      <c r="CP64" s="188">
        <f t="shared" si="35"/>
        <v>0</v>
      </c>
      <c r="DV64" s="188">
        <f t="shared" si="237"/>
        <v>0</v>
      </c>
      <c r="DW64" s="188">
        <f t="shared" si="238"/>
        <v>0</v>
      </c>
      <c r="DX64" s="188">
        <f t="shared" si="239"/>
        <v>0</v>
      </c>
      <c r="DY64" s="188">
        <f t="shared" si="240"/>
        <v>0</v>
      </c>
      <c r="DZ64" s="188">
        <f t="shared" si="241"/>
        <v>0</v>
      </c>
      <c r="EA64" s="188">
        <f t="shared" si="242"/>
        <v>0</v>
      </c>
      <c r="EB64" s="188">
        <f t="shared" si="42"/>
        <v>0</v>
      </c>
      <c r="EG64" s="220">
        <f t="shared" si="43"/>
        <v>0</v>
      </c>
      <c r="EH64" s="220">
        <f t="shared" si="44"/>
        <v>0</v>
      </c>
      <c r="EI64" s="188">
        <v>1</v>
      </c>
      <c r="EJ64" s="188"/>
      <c r="EK64" s="188"/>
      <c r="EL64" s="188"/>
      <c r="EM64" s="188"/>
      <c r="EN64" s="188"/>
      <c r="EO64" s="188"/>
      <c r="EP64" s="188"/>
      <c r="EQ64" s="188"/>
      <c r="ER64" s="188"/>
      <c r="ES64" s="188"/>
      <c r="ET64" s="188"/>
      <c r="EU64" s="188"/>
      <c r="EV64" s="188"/>
      <c r="EW64" s="188"/>
      <c r="EX64" s="188"/>
      <c r="EY64" s="188"/>
      <c r="EZ64" s="188"/>
      <c r="FA64" s="188"/>
      <c r="FB64" s="188"/>
      <c r="FC64" s="188"/>
      <c r="FD64" s="188"/>
      <c r="FE64" s="188"/>
      <c r="FF64" s="188"/>
      <c r="FH64" s="189"/>
      <c r="FI64" s="189"/>
      <c r="FJ64" s="189"/>
      <c r="FK64" s="189"/>
      <c r="FL64" s="189"/>
      <c r="FM64" s="189"/>
      <c r="FN64" s="189"/>
      <c r="FO64" s="189"/>
      <c r="FP64" s="189"/>
      <c r="FQ64" s="189"/>
      <c r="FR64" s="189"/>
      <c r="FS64" s="189"/>
      <c r="FT64" s="189"/>
      <c r="FU64" s="189"/>
      <c r="FV64" s="189"/>
      <c r="FX64" s="217"/>
      <c r="FY64" s="188">
        <f t="shared" si="45"/>
        <v>0</v>
      </c>
      <c r="FZ64" s="188">
        <f t="shared" si="250"/>
        <v>0</v>
      </c>
      <c r="GA64" s="188">
        <f t="shared" si="251"/>
        <v>0</v>
      </c>
      <c r="GB64" s="188">
        <f t="shared" si="252"/>
        <v>0</v>
      </c>
      <c r="GC64" s="188">
        <f t="shared" si="253"/>
        <v>0</v>
      </c>
      <c r="GD64" s="188">
        <f t="shared" si="254"/>
        <v>0</v>
      </c>
      <c r="GE64" s="188">
        <f t="shared" si="255"/>
        <v>0</v>
      </c>
      <c r="GF64" s="199"/>
      <c r="GG64" s="189">
        <v>0</v>
      </c>
      <c r="GH64" s="189">
        <v>0</v>
      </c>
      <c r="GI64" s="199"/>
      <c r="GJ64" s="200">
        <f t="shared" si="52"/>
        <v>0</v>
      </c>
      <c r="GK64" s="200">
        <f t="shared" si="53"/>
        <v>0</v>
      </c>
      <c r="GO64" s="189">
        <f t="shared" si="256"/>
        <v>0</v>
      </c>
      <c r="GP64" s="189">
        <f t="shared" si="257"/>
        <v>0</v>
      </c>
      <c r="GQ64" s="189">
        <f t="shared" si="258"/>
        <v>0</v>
      </c>
      <c r="GR64" s="189">
        <f t="shared" si="259"/>
        <v>0</v>
      </c>
      <c r="GS64" s="189">
        <f t="shared" si="260"/>
        <v>0</v>
      </c>
      <c r="GT64" s="189">
        <f t="shared" si="124"/>
        <v>1</v>
      </c>
      <c r="GU64" s="201">
        <f t="shared" si="125"/>
        <v>43243</v>
      </c>
      <c r="GV64" s="189" t="str">
        <f t="shared" si="126"/>
        <v>SELESAI</v>
      </c>
      <c r="GW64" s="189">
        <f t="shared" si="127"/>
        <v>0</v>
      </c>
      <c r="GX64" s="202" t="str">
        <f t="shared" si="128"/>
        <v>SELESAI</v>
      </c>
      <c r="GY64" s="202">
        <f t="shared" si="129"/>
        <v>0</v>
      </c>
      <c r="GZ64" s="203" t="str">
        <f t="shared" si="130"/>
        <v>SELESAI</v>
      </c>
      <c r="HA64" s="204"/>
      <c r="HB64" s="204"/>
      <c r="HC64" s="189">
        <f t="shared" si="261"/>
        <v>0</v>
      </c>
      <c r="HD64" s="189">
        <f t="shared" si="262"/>
        <v>0</v>
      </c>
      <c r="HE64" s="189">
        <f t="shared" si="133"/>
        <v>0</v>
      </c>
      <c r="HF64" s="189">
        <f t="shared" si="134"/>
        <v>0</v>
      </c>
      <c r="HG64" s="189">
        <f t="shared" si="135"/>
        <v>0</v>
      </c>
      <c r="HH64" s="201" t="str">
        <f t="shared" si="136"/>
        <v>TIDAK KONSINYASI</v>
      </c>
      <c r="HI64" s="201" t="str">
        <f t="shared" si="137"/>
        <v>SELESAI</v>
      </c>
      <c r="HJ64" s="205"/>
      <c r="HK64" s="201">
        <f t="shared" si="138"/>
        <v>0</v>
      </c>
      <c r="HL64" s="204"/>
      <c r="HM64" s="204"/>
      <c r="HN64" s="204"/>
      <c r="HO64" s="204"/>
      <c r="HP64" s="203">
        <f t="shared" si="139"/>
        <v>0</v>
      </c>
      <c r="HQ64" s="202">
        <f t="shared" si="140"/>
        <v>0</v>
      </c>
      <c r="HR64" s="202">
        <f t="shared" si="263"/>
        <v>0</v>
      </c>
      <c r="HS64" s="203">
        <f t="shared" si="142"/>
        <v>0</v>
      </c>
      <c r="HT64" s="202">
        <f t="shared" si="143"/>
        <v>0</v>
      </c>
      <c r="HU64" s="202">
        <f t="shared" si="264"/>
        <v>0</v>
      </c>
      <c r="HV64" s="203">
        <f t="shared" si="145"/>
        <v>0</v>
      </c>
      <c r="HW64" s="202">
        <f t="shared" si="146"/>
        <v>0</v>
      </c>
      <c r="HX64" s="202">
        <f t="shared" si="265"/>
        <v>0</v>
      </c>
      <c r="HY64" s="203">
        <f t="shared" si="148"/>
        <v>0</v>
      </c>
      <c r="HZ64" s="202">
        <f t="shared" si="149"/>
        <v>0</v>
      </c>
      <c r="IA64" s="202">
        <f t="shared" si="266"/>
        <v>0</v>
      </c>
      <c r="IB64" s="203">
        <f t="shared" si="151"/>
        <v>0</v>
      </c>
      <c r="IC64" s="202">
        <f t="shared" si="152"/>
        <v>0</v>
      </c>
      <c r="ID64" s="202">
        <f t="shared" si="267"/>
        <v>0</v>
      </c>
      <c r="IE64" s="203">
        <f t="shared" si="154"/>
        <v>0</v>
      </c>
      <c r="IF64" s="202">
        <f t="shared" si="155"/>
        <v>0</v>
      </c>
      <c r="IG64" s="202">
        <f t="shared" si="268"/>
        <v>0</v>
      </c>
      <c r="IH64" s="203">
        <f t="shared" si="157"/>
        <v>0</v>
      </c>
      <c r="II64" s="202">
        <f t="shared" si="158"/>
        <v>0</v>
      </c>
      <c r="IJ64" s="202">
        <f t="shared" si="269"/>
        <v>0</v>
      </c>
      <c r="IK64" s="203">
        <f t="shared" si="160"/>
        <v>0</v>
      </c>
      <c r="IL64" s="202">
        <f t="shared" si="161"/>
        <v>0</v>
      </c>
      <c r="IM64" s="202">
        <f t="shared" si="270"/>
        <v>0</v>
      </c>
      <c r="IN64" s="204"/>
      <c r="IO64" s="203">
        <f t="shared" si="163"/>
        <v>0</v>
      </c>
      <c r="IP64" s="202">
        <f t="shared" si="271"/>
        <v>0</v>
      </c>
      <c r="IQ64" s="202">
        <f t="shared" si="272"/>
        <v>0</v>
      </c>
      <c r="IR64" s="204"/>
      <c r="IS64" s="203"/>
      <c r="IT64" s="202">
        <f t="shared" si="273"/>
        <v>1</v>
      </c>
      <c r="IU64" s="202">
        <f t="shared" si="274"/>
        <v>35</v>
      </c>
      <c r="IV64" s="204"/>
      <c r="IW64" s="203"/>
      <c r="IX64" s="202">
        <f t="shared" si="275"/>
        <v>0</v>
      </c>
      <c r="IY64" s="202">
        <f t="shared" si="276"/>
        <v>0</v>
      </c>
      <c r="IZ64" s="204"/>
      <c r="JA64" s="203"/>
      <c r="JB64" s="202">
        <f t="shared" si="277"/>
        <v>0</v>
      </c>
      <c r="JC64" s="202">
        <f t="shared" si="278"/>
        <v>0</v>
      </c>
      <c r="JD64" s="204"/>
      <c r="JE64" s="203"/>
      <c r="JF64" s="202">
        <f t="shared" si="172"/>
        <v>1</v>
      </c>
      <c r="JG64" s="202">
        <f t="shared" si="173"/>
        <v>35</v>
      </c>
      <c r="JH64" s="204"/>
      <c r="JI64" s="203"/>
      <c r="JJ64" s="202">
        <f t="shared" si="279"/>
        <v>0</v>
      </c>
      <c r="JK64" s="202">
        <f t="shared" si="280"/>
        <v>0</v>
      </c>
      <c r="JM64" s="203">
        <f t="shared" si="176"/>
        <v>0</v>
      </c>
      <c r="JO64" s="196">
        <f t="shared" si="54"/>
        <v>0</v>
      </c>
      <c r="JP64" s="189">
        <f t="shared" si="281"/>
        <v>0</v>
      </c>
      <c r="JQ64" s="189">
        <f t="shared" si="282"/>
        <v>0</v>
      </c>
      <c r="JR64" s="189">
        <f t="shared" si="283"/>
        <v>0</v>
      </c>
      <c r="JS64" s="189">
        <f t="shared" si="284"/>
        <v>0</v>
      </c>
      <c r="JT64" s="189">
        <f t="shared" si="285"/>
        <v>0</v>
      </c>
      <c r="JU64" s="189">
        <f t="shared" si="286"/>
        <v>0</v>
      </c>
      <c r="JV64" s="189">
        <f t="shared" si="287"/>
        <v>0</v>
      </c>
      <c r="JW64" s="189">
        <f t="shared" si="288"/>
        <v>0</v>
      </c>
      <c r="JX64" s="189">
        <f t="shared" si="289"/>
        <v>0</v>
      </c>
      <c r="JY64" s="189">
        <f t="shared" si="290"/>
        <v>0</v>
      </c>
      <c r="JZ64" s="189">
        <f t="shared" si="291"/>
        <v>0</v>
      </c>
      <c r="KA64" s="189">
        <f t="shared" si="292"/>
        <v>0</v>
      </c>
      <c r="KB64" s="189">
        <f t="shared" si="293"/>
        <v>0</v>
      </c>
      <c r="KD64" s="206">
        <f t="shared" si="177"/>
        <v>0</v>
      </c>
      <c r="KE64" s="206">
        <f t="shared" si="69"/>
        <v>0</v>
      </c>
      <c r="KF64" s="206">
        <f t="shared" si="294"/>
        <v>0</v>
      </c>
      <c r="KG64" s="206">
        <f t="shared" si="295"/>
        <v>0</v>
      </c>
      <c r="KH64" s="206">
        <f t="shared" si="296"/>
        <v>0</v>
      </c>
      <c r="KI64" s="206">
        <f t="shared" si="297"/>
        <v>0</v>
      </c>
      <c r="KJ64" s="206">
        <f t="shared" si="298"/>
        <v>0</v>
      </c>
      <c r="KK64" s="206">
        <f t="shared" si="299"/>
        <v>0</v>
      </c>
      <c r="KL64" s="206">
        <f t="shared" si="300"/>
        <v>0</v>
      </c>
      <c r="KM64" s="206">
        <f t="shared" si="301"/>
        <v>0</v>
      </c>
      <c r="KN64" s="221">
        <f t="shared" si="302"/>
        <v>0</v>
      </c>
      <c r="KO64" s="221">
        <f t="shared" si="303"/>
        <v>0</v>
      </c>
      <c r="KP64" s="221">
        <f t="shared" si="304"/>
        <v>0</v>
      </c>
      <c r="KQ64" s="221">
        <f t="shared" si="305"/>
        <v>0</v>
      </c>
      <c r="KR64" s="221">
        <f t="shared" si="306"/>
        <v>0</v>
      </c>
      <c r="KT64" s="195">
        <f t="shared" si="307"/>
        <v>0</v>
      </c>
      <c r="KU64" s="221"/>
      <c r="KV64" s="221"/>
      <c r="KW64" s="221"/>
      <c r="KX64" s="221"/>
      <c r="KY64" s="221"/>
      <c r="KZ64" s="221"/>
      <c r="LA64" s="221"/>
      <c r="LB64" s="221"/>
      <c r="LC64" s="221"/>
      <c r="LD64" s="221"/>
      <c r="LE64" s="221"/>
      <c r="LF64" s="221"/>
      <c r="LG64" s="221"/>
      <c r="LH64" s="221"/>
      <c r="LI64" s="221"/>
      <c r="LJ64" s="221"/>
      <c r="LK64" s="221"/>
      <c r="LL64" s="221"/>
      <c r="LM64" s="221"/>
      <c r="LN64" s="221"/>
      <c r="LO64" s="221"/>
      <c r="LP64" s="221"/>
      <c r="LQ64" s="221"/>
      <c r="LR64" s="221"/>
      <c r="LS64" s="221"/>
      <c r="LT64" s="221"/>
      <c r="LU64" s="221"/>
      <c r="LV64" s="221"/>
      <c r="LW64" s="221"/>
      <c r="LX64" s="221"/>
      <c r="LY64" s="221"/>
      <c r="LZ64" s="221"/>
      <c r="MA64" s="221"/>
      <c r="MB64" s="221"/>
      <c r="MC64" s="221"/>
      <c r="MD64" s="221"/>
      <c r="ME64" s="221"/>
      <c r="MF64" s="221"/>
      <c r="MG64" s="221"/>
      <c r="MH64" s="221"/>
      <c r="MI64" s="221"/>
      <c r="MJ64" s="221"/>
      <c r="MK64" s="221"/>
      <c r="ML64" s="221"/>
      <c r="MM64" s="221"/>
      <c r="MN64" s="221"/>
      <c r="MO64" s="221"/>
      <c r="MP64" s="221"/>
      <c r="MQ64" s="221"/>
      <c r="MR64" s="221"/>
      <c r="MS64" s="221"/>
      <c r="MT64" s="221"/>
      <c r="MU64" s="221"/>
      <c r="MV64" s="221"/>
      <c r="MW64" s="221"/>
      <c r="MX64" s="221"/>
      <c r="MY64" s="221"/>
      <c r="MZ64" s="221"/>
      <c r="NA64" s="221"/>
      <c r="NB64" s="221"/>
      <c r="NC64" s="221"/>
      <c r="ND64" s="221"/>
      <c r="NE64" s="221"/>
      <c r="NF64" s="221"/>
      <c r="NG64" s="221"/>
      <c r="NH64" s="221"/>
      <c r="NI64" s="221"/>
      <c r="NJ64" s="221"/>
      <c r="NK64" s="221"/>
      <c r="NM64" s="195">
        <f t="shared" si="178"/>
        <v>0</v>
      </c>
      <c r="NN64" s="195">
        <f t="shared" si="179"/>
        <v>0</v>
      </c>
      <c r="NO64" s="195">
        <f t="shared" si="180"/>
        <v>0</v>
      </c>
      <c r="NP64" s="195">
        <f t="shared" si="181"/>
        <v>0</v>
      </c>
      <c r="NQ64" s="195">
        <f t="shared" si="182"/>
        <v>0</v>
      </c>
      <c r="NR64" s="195">
        <f t="shared" si="183"/>
        <v>0</v>
      </c>
      <c r="NS64" s="195">
        <f t="shared" si="184"/>
        <v>0</v>
      </c>
      <c r="NT64" s="195">
        <f t="shared" si="185"/>
        <v>0</v>
      </c>
      <c r="NU64" s="196">
        <f t="shared" si="186"/>
        <v>0</v>
      </c>
      <c r="NY64" s="215">
        <f t="shared" si="249"/>
        <v>1</v>
      </c>
      <c r="NZ64" s="222">
        <v>9800000</v>
      </c>
      <c r="OE64" s="207">
        <f t="shared" si="243"/>
        <v>0</v>
      </c>
      <c r="OF64" s="207">
        <f t="shared" si="244"/>
        <v>0</v>
      </c>
      <c r="OG64" s="207">
        <f t="shared" si="245"/>
        <v>0</v>
      </c>
      <c r="OH64" s="207">
        <f t="shared" si="188"/>
        <v>0</v>
      </c>
      <c r="OI64" s="207">
        <f t="shared" si="246"/>
        <v>0</v>
      </c>
      <c r="OJ64" s="199">
        <f t="shared" si="189"/>
        <v>0</v>
      </c>
      <c r="OK64" s="199">
        <f t="shared" si="190"/>
        <v>0</v>
      </c>
      <c r="OL64" s="199">
        <f t="shared" si="191"/>
        <v>0</v>
      </c>
      <c r="OM64" s="199">
        <f t="shared" si="192"/>
        <v>0</v>
      </c>
      <c r="OO64" s="207">
        <f t="shared" si="247"/>
        <v>0</v>
      </c>
      <c r="OP64" s="207">
        <f t="shared" si="248"/>
        <v>0</v>
      </c>
      <c r="OQ64" s="207">
        <f t="shared" si="193"/>
        <v>0</v>
      </c>
      <c r="OR64" s="207">
        <f t="shared" si="194"/>
        <v>0</v>
      </c>
      <c r="OS64" s="207">
        <f t="shared" si="195"/>
        <v>0</v>
      </c>
      <c r="OT64" s="199">
        <f t="shared" si="196"/>
        <v>0</v>
      </c>
      <c r="OU64" s="199">
        <f t="shared" si="197"/>
        <v>0</v>
      </c>
      <c r="OV64" s="199">
        <f t="shared" si="198"/>
        <v>0</v>
      </c>
      <c r="OW64" s="199">
        <f t="shared" si="199"/>
        <v>0</v>
      </c>
      <c r="OZ64" s="208">
        <f t="shared" si="91"/>
        <v>0</v>
      </c>
      <c r="PA64" s="209"/>
      <c r="PB64" s="209"/>
      <c r="PC64" s="209"/>
      <c r="PD64" s="210">
        <f t="shared" si="200"/>
        <v>0</v>
      </c>
      <c r="PE64" s="210"/>
      <c r="PF64" s="210">
        <f t="shared" si="201"/>
        <v>0</v>
      </c>
      <c r="PG64" s="210">
        <f t="shared" si="202"/>
        <v>0</v>
      </c>
      <c r="PH64" s="210">
        <f t="shared" si="92"/>
        <v>0</v>
      </c>
      <c r="PI64" s="210">
        <f t="shared" si="93"/>
        <v>0</v>
      </c>
      <c r="PJ64" s="210">
        <f t="shared" si="94"/>
        <v>0</v>
      </c>
      <c r="PK64" s="210">
        <f t="shared" si="95"/>
        <v>0</v>
      </c>
      <c r="PL64" s="210">
        <f t="shared" si="96"/>
        <v>0</v>
      </c>
      <c r="PM64" s="211"/>
      <c r="PN64" s="211"/>
      <c r="PO64" s="212">
        <f t="shared" si="203"/>
        <v>0</v>
      </c>
      <c r="PP64" s="212">
        <f t="shared" si="204"/>
        <v>0</v>
      </c>
      <c r="PQ64" s="212">
        <f t="shared" si="205"/>
        <v>0</v>
      </c>
      <c r="PR64" s="211"/>
      <c r="PS64" s="211"/>
      <c r="PT64" s="211"/>
      <c r="PU64" s="211"/>
      <c r="XFC64" s="195">
        <v>108360000</v>
      </c>
    </row>
    <row r="65" spans="1:437 16383:16383" s="195" customFormat="1" ht="16" x14ac:dyDescent="0.2">
      <c r="A65" s="213">
        <f t="shared" si="206"/>
        <v>55</v>
      </c>
      <c r="B65" s="186" t="s">
        <v>19</v>
      </c>
      <c r="C65" s="186">
        <v>60</v>
      </c>
      <c r="D65" s="188">
        <v>1</v>
      </c>
      <c r="E65" s="188">
        <v>70</v>
      </c>
      <c r="F65" s="188">
        <v>1</v>
      </c>
      <c r="G65" s="188">
        <f t="shared" si="308"/>
        <v>70</v>
      </c>
      <c r="H65" s="214">
        <f t="shared" si="213"/>
        <v>1</v>
      </c>
      <c r="I65" s="214">
        <f t="shared" si="214"/>
        <v>1</v>
      </c>
      <c r="J65" s="188">
        <v>1</v>
      </c>
      <c r="K65" s="188">
        <f t="shared" si="215"/>
        <v>70</v>
      </c>
      <c r="L65" s="214">
        <f t="shared" si="216"/>
        <v>1</v>
      </c>
      <c r="M65" s="214">
        <f t="shared" si="217"/>
        <v>1</v>
      </c>
      <c r="N65" s="188">
        <v>1</v>
      </c>
      <c r="O65" s="188">
        <f t="shared" si="218"/>
        <v>70</v>
      </c>
      <c r="P65" s="214">
        <f t="shared" si="219"/>
        <v>1</v>
      </c>
      <c r="Q65" s="214">
        <f t="shared" si="220"/>
        <v>1</v>
      </c>
      <c r="R65" s="188">
        <v>1</v>
      </c>
      <c r="S65" s="188">
        <f t="shared" si="221"/>
        <v>70</v>
      </c>
      <c r="T65" s="214">
        <f t="shared" si="222"/>
        <v>1</v>
      </c>
      <c r="U65" s="214">
        <f t="shared" si="223"/>
        <v>1</v>
      </c>
      <c r="V65" s="215">
        <v>1</v>
      </c>
      <c r="W65" s="188">
        <f t="shared" si="224"/>
        <v>70</v>
      </c>
      <c r="X65" s="214">
        <f t="shared" si="225"/>
        <v>1</v>
      </c>
      <c r="Y65" s="214">
        <f t="shared" si="226"/>
        <v>1</v>
      </c>
      <c r="Z65" s="216">
        <f>1105698000/1000000000</f>
        <v>1.1056980000000001</v>
      </c>
      <c r="AA65" s="188">
        <v>0</v>
      </c>
      <c r="AB65" s="188">
        <f t="shared" si="112"/>
        <v>0</v>
      </c>
      <c r="AC65" s="214">
        <f t="shared" si="113"/>
        <v>0</v>
      </c>
      <c r="AD65" s="214">
        <f t="shared" si="114"/>
        <v>0</v>
      </c>
      <c r="AE65" s="188"/>
      <c r="AF65" s="188">
        <f t="shared" si="115"/>
        <v>0</v>
      </c>
      <c r="AG65" s="188"/>
      <c r="AH65" s="188"/>
      <c r="AI65" s="188">
        <v>1</v>
      </c>
      <c r="AJ65" s="188">
        <f t="shared" si="2"/>
        <v>70</v>
      </c>
      <c r="AK65" s="188" t="s">
        <v>304</v>
      </c>
      <c r="AL65" s="188">
        <v>0</v>
      </c>
      <c r="AM65" s="188">
        <v>0</v>
      </c>
      <c r="AN65" s="217"/>
      <c r="AO65" s="188">
        <f t="shared" si="207"/>
        <v>1</v>
      </c>
      <c r="AP65" s="188">
        <f t="shared" si="208"/>
        <v>70</v>
      </c>
      <c r="AQ65" s="188">
        <f t="shared" si="227"/>
        <v>1</v>
      </c>
      <c r="AR65" s="188">
        <f t="shared" si="228"/>
        <v>70</v>
      </c>
      <c r="AS65" s="188">
        <f t="shared" si="229"/>
        <v>1</v>
      </c>
      <c r="AT65" s="188">
        <f t="shared" si="230"/>
        <v>70</v>
      </c>
      <c r="AU65" s="188">
        <f t="shared" si="209"/>
        <v>1</v>
      </c>
      <c r="AV65" s="188">
        <f t="shared" si="210"/>
        <v>70</v>
      </c>
      <c r="AW65" s="188">
        <f t="shared" si="211"/>
        <v>1</v>
      </c>
      <c r="AX65" s="188">
        <f t="shared" si="212"/>
        <v>70</v>
      </c>
      <c r="AY65" s="188">
        <f t="shared" si="116"/>
        <v>0</v>
      </c>
      <c r="AZ65" s="188">
        <f t="shared" si="117"/>
        <v>0</v>
      </c>
      <c r="BA65" s="188">
        <f t="shared" si="14"/>
        <v>1.1056980000000001</v>
      </c>
      <c r="BB65" s="188">
        <f t="shared" si="15"/>
        <v>0</v>
      </c>
      <c r="BD65" s="196">
        <f t="shared" si="118"/>
        <v>0</v>
      </c>
      <c r="BE65" s="188">
        <f t="shared" si="231"/>
        <v>0</v>
      </c>
      <c r="BF65" s="188">
        <f t="shared" si="232"/>
        <v>0</v>
      </c>
      <c r="BG65" s="188">
        <f t="shared" si="233"/>
        <v>0</v>
      </c>
      <c r="BH65" s="188">
        <f t="shared" si="234"/>
        <v>0</v>
      </c>
      <c r="BI65" s="188">
        <f t="shared" si="235"/>
        <v>0</v>
      </c>
      <c r="BJ65" s="188">
        <f t="shared" si="236"/>
        <v>0</v>
      </c>
      <c r="BK65" s="188">
        <f t="shared" si="22"/>
        <v>0</v>
      </c>
      <c r="BN65" s="267">
        <v>30</v>
      </c>
      <c r="BO65" s="277">
        <v>1</v>
      </c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B65" s="188"/>
      <c r="CD65" s="188">
        <f t="shared" si="23"/>
        <v>30</v>
      </c>
      <c r="CE65" s="188">
        <f t="shared" si="24"/>
        <v>30</v>
      </c>
      <c r="CF65" s="188">
        <f t="shared" si="25"/>
        <v>0</v>
      </c>
      <c r="CG65" s="188">
        <f t="shared" si="26"/>
        <v>0</v>
      </c>
      <c r="CH65" s="188">
        <f t="shared" si="27"/>
        <v>0</v>
      </c>
      <c r="CI65" s="188">
        <f t="shared" si="28"/>
        <v>0</v>
      </c>
      <c r="CJ65" s="188">
        <f t="shared" si="29"/>
        <v>0</v>
      </c>
      <c r="CK65" s="188">
        <f t="shared" si="30"/>
        <v>0</v>
      </c>
      <c r="CL65" s="188">
        <f t="shared" si="31"/>
        <v>0</v>
      </c>
      <c r="CM65" s="188">
        <f t="shared" si="32"/>
        <v>0</v>
      </c>
      <c r="CN65" s="188">
        <f t="shared" si="33"/>
        <v>0</v>
      </c>
      <c r="CO65" s="188">
        <f t="shared" si="34"/>
        <v>0</v>
      </c>
      <c r="CP65" s="188">
        <f t="shared" si="35"/>
        <v>0</v>
      </c>
      <c r="DV65" s="188">
        <f t="shared" si="237"/>
        <v>0</v>
      </c>
      <c r="DW65" s="188">
        <f t="shared" si="238"/>
        <v>0</v>
      </c>
      <c r="DX65" s="188">
        <f t="shared" si="239"/>
        <v>0</v>
      </c>
      <c r="DY65" s="188">
        <f t="shared" si="240"/>
        <v>0</v>
      </c>
      <c r="DZ65" s="188">
        <f t="shared" si="241"/>
        <v>0</v>
      </c>
      <c r="EA65" s="188">
        <f t="shared" si="242"/>
        <v>0</v>
      </c>
      <c r="EB65" s="188">
        <f t="shared" si="42"/>
        <v>0</v>
      </c>
      <c r="EG65" s="220">
        <f t="shared" si="43"/>
        <v>0</v>
      </c>
      <c r="EH65" s="220">
        <f t="shared" si="44"/>
        <v>0</v>
      </c>
      <c r="EI65" s="188">
        <v>1</v>
      </c>
      <c r="EJ65" s="188"/>
      <c r="EK65" s="188"/>
      <c r="EL65" s="188"/>
      <c r="EM65" s="188"/>
      <c r="EN65" s="188"/>
      <c r="EO65" s="188"/>
      <c r="EP65" s="188"/>
      <c r="EQ65" s="188"/>
      <c r="ER65" s="188"/>
      <c r="ES65" s="188"/>
      <c r="ET65" s="188"/>
      <c r="EU65" s="188"/>
      <c r="EV65" s="188"/>
      <c r="EW65" s="188"/>
      <c r="EX65" s="188"/>
      <c r="EY65" s="188"/>
      <c r="EZ65" s="188"/>
      <c r="FA65" s="188"/>
      <c r="FB65" s="188"/>
      <c r="FC65" s="188"/>
      <c r="FD65" s="188"/>
      <c r="FE65" s="188"/>
      <c r="FF65" s="188"/>
      <c r="FH65" s="189"/>
      <c r="FI65" s="189"/>
      <c r="FJ65" s="189"/>
      <c r="FK65" s="189"/>
      <c r="FL65" s="189"/>
      <c r="FM65" s="189"/>
      <c r="FN65" s="189"/>
      <c r="FO65" s="189"/>
      <c r="FP65" s="189"/>
      <c r="FQ65" s="189"/>
      <c r="FR65" s="189"/>
      <c r="FS65" s="189"/>
      <c r="FT65" s="189"/>
      <c r="FU65" s="189"/>
      <c r="FV65" s="189"/>
      <c r="FX65" s="217">
        <v>1</v>
      </c>
      <c r="FY65" s="188">
        <f t="shared" si="45"/>
        <v>30</v>
      </c>
      <c r="FZ65" s="188">
        <f t="shared" si="250"/>
        <v>30</v>
      </c>
      <c r="GA65" s="188">
        <f t="shared" si="251"/>
        <v>0</v>
      </c>
      <c r="GB65" s="188">
        <f t="shared" si="252"/>
        <v>0</v>
      </c>
      <c r="GC65" s="188">
        <f t="shared" si="253"/>
        <v>0</v>
      </c>
      <c r="GD65" s="188">
        <f t="shared" si="254"/>
        <v>0</v>
      </c>
      <c r="GE65" s="188">
        <f t="shared" si="255"/>
        <v>0</v>
      </c>
      <c r="GF65" s="199"/>
      <c r="GG65" s="189">
        <v>0</v>
      </c>
      <c r="GH65" s="189">
        <v>0</v>
      </c>
      <c r="GI65" s="199"/>
      <c r="GJ65" s="200">
        <f t="shared" si="52"/>
        <v>0</v>
      </c>
      <c r="GK65" s="200">
        <f t="shared" si="53"/>
        <v>0</v>
      </c>
      <c r="GO65" s="189">
        <f t="shared" si="256"/>
        <v>0</v>
      </c>
      <c r="GP65" s="189">
        <f t="shared" si="257"/>
        <v>0</v>
      </c>
      <c r="GQ65" s="189">
        <f t="shared" si="258"/>
        <v>0</v>
      </c>
      <c r="GR65" s="189">
        <f t="shared" si="259"/>
        <v>0</v>
      </c>
      <c r="GS65" s="189">
        <f t="shared" si="260"/>
        <v>0</v>
      </c>
      <c r="GT65" s="189">
        <f t="shared" si="124"/>
        <v>1</v>
      </c>
      <c r="GU65" s="201">
        <f t="shared" si="125"/>
        <v>43243</v>
      </c>
      <c r="GV65" s="189" t="str">
        <f t="shared" si="126"/>
        <v>SELESAI</v>
      </c>
      <c r="GW65" s="189">
        <f t="shared" si="127"/>
        <v>0</v>
      </c>
      <c r="GX65" s="202" t="str">
        <f t="shared" si="128"/>
        <v>SELESAI</v>
      </c>
      <c r="GY65" s="202">
        <f t="shared" si="129"/>
        <v>0</v>
      </c>
      <c r="GZ65" s="203" t="str">
        <f t="shared" si="130"/>
        <v>SELESAI</v>
      </c>
      <c r="HA65" s="204"/>
      <c r="HB65" s="204"/>
      <c r="HC65" s="189">
        <f t="shared" si="261"/>
        <v>0</v>
      </c>
      <c r="HD65" s="189">
        <f t="shared" si="262"/>
        <v>0</v>
      </c>
      <c r="HE65" s="189">
        <f t="shared" si="133"/>
        <v>0</v>
      </c>
      <c r="HF65" s="189">
        <f t="shared" si="134"/>
        <v>0</v>
      </c>
      <c r="HG65" s="189">
        <f t="shared" si="135"/>
        <v>0</v>
      </c>
      <c r="HH65" s="201" t="str">
        <f t="shared" si="136"/>
        <v>TIDAK KONSINYASI</v>
      </c>
      <c r="HI65" s="201" t="str">
        <f t="shared" si="137"/>
        <v>SELESAI</v>
      </c>
      <c r="HJ65" s="205"/>
      <c r="HK65" s="201">
        <f t="shared" si="138"/>
        <v>0</v>
      </c>
      <c r="HL65" s="204"/>
      <c r="HM65" s="204"/>
      <c r="HN65" s="204"/>
      <c r="HO65" s="204"/>
      <c r="HP65" s="203">
        <f t="shared" si="139"/>
        <v>0</v>
      </c>
      <c r="HQ65" s="202">
        <f t="shared" si="140"/>
        <v>0</v>
      </c>
      <c r="HR65" s="202">
        <f t="shared" si="263"/>
        <v>0</v>
      </c>
      <c r="HS65" s="203">
        <f t="shared" si="142"/>
        <v>0</v>
      </c>
      <c r="HT65" s="202">
        <f t="shared" si="143"/>
        <v>0</v>
      </c>
      <c r="HU65" s="202">
        <f t="shared" si="264"/>
        <v>0</v>
      </c>
      <c r="HV65" s="203">
        <f t="shared" si="145"/>
        <v>0</v>
      </c>
      <c r="HW65" s="202">
        <f t="shared" si="146"/>
        <v>0</v>
      </c>
      <c r="HX65" s="202">
        <f t="shared" si="265"/>
        <v>0</v>
      </c>
      <c r="HY65" s="203">
        <f t="shared" si="148"/>
        <v>0</v>
      </c>
      <c r="HZ65" s="202">
        <f t="shared" si="149"/>
        <v>0</v>
      </c>
      <c r="IA65" s="202">
        <f t="shared" si="266"/>
        <v>0</v>
      </c>
      <c r="IB65" s="203">
        <f t="shared" si="151"/>
        <v>0</v>
      </c>
      <c r="IC65" s="202">
        <f t="shared" si="152"/>
        <v>0</v>
      </c>
      <c r="ID65" s="202">
        <f t="shared" si="267"/>
        <v>0</v>
      </c>
      <c r="IE65" s="203">
        <f t="shared" si="154"/>
        <v>0</v>
      </c>
      <c r="IF65" s="202">
        <f t="shared" si="155"/>
        <v>0</v>
      </c>
      <c r="IG65" s="202">
        <f t="shared" si="268"/>
        <v>0</v>
      </c>
      <c r="IH65" s="203">
        <f t="shared" si="157"/>
        <v>0</v>
      </c>
      <c r="II65" s="202">
        <f t="shared" si="158"/>
        <v>0</v>
      </c>
      <c r="IJ65" s="202">
        <f t="shared" si="269"/>
        <v>0</v>
      </c>
      <c r="IK65" s="203">
        <f t="shared" si="160"/>
        <v>0</v>
      </c>
      <c r="IL65" s="202">
        <f t="shared" si="161"/>
        <v>0</v>
      </c>
      <c r="IM65" s="202">
        <f t="shared" si="270"/>
        <v>0</v>
      </c>
      <c r="IN65" s="204"/>
      <c r="IO65" s="203">
        <f t="shared" si="163"/>
        <v>0</v>
      </c>
      <c r="IP65" s="202">
        <f t="shared" si="271"/>
        <v>0</v>
      </c>
      <c r="IQ65" s="202">
        <f t="shared" si="272"/>
        <v>0</v>
      </c>
      <c r="IR65" s="204"/>
      <c r="IS65" s="203"/>
      <c r="IT65" s="202">
        <f t="shared" si="273"/>
        <v>1</v>
      </c>
      <c r="IU65" s="202">
        <f t="shared" si="274"/>
        <v>70</v>
      </c>
      <c r="IV65" s="204"/>
      <c r="IW65" s="203"/>
      <c r="IX65" s="202">
        <f t="shared" si="275"/>
        <v>0</v>
      </c>
      <c r="IY65" s="202">
        <f t="shared" si="276"/>
        <v>0</v>
      </c>
      <c r="IZ65" s="204"/>
      <c r="JA65" s="203"/>
      <c r="JB65" s="202">
        <f t="shared" si="277"/>
        <v>0</v>
      </c>
      <c r="JC65" s="202">
        <f t="shared" si="278"/>
        <v>0</v>
      </c>
      <c r="JD65" s="204"/>
      <c r="JE65" s="203"/>
      <c r="JF65" s="202">
        <f t="shared" si="172"/>
        <v>1</v>
      </c>
      <c r="JG65" s="202">
        <f t="shared" si="173"/>
        <v>70</v>
      </c>
      <c r="JH65" s="204"/>
      <c r="JI65" s="203"/>
      <c r="JJ65" s="202">
        <f t="shared" si="279"/>
        <v>0</v>
      </c>
      <c r="JK65" s="202">
        <f t="shared" si="280"/>
        <v>0</v>
      </c>
      <c r="JM65" s="203">
        <f t="shared" si="176"/>
        <v>0</v>
      </c>
      <c r="JO65" s="196">
        <f t="shared" si="54"/>
        <v>1</v>
      </c>
      <c r="JP65" s="189">
        <f t="shared" si="281"/>
        <v>30</v>
      </c>
      <c r="JQ65" s="189">
        <f t="shared" si="282"/>
        <v>1</v>
      </c>
      <c r="JR65" s="189">
        <f t="shared" si="283"/>
        <v>0</v>
      </c>
      <c r="JS65" s="189">
        <f t="shared" si="284"/>
        <v>0</v>
      </c>
      <c r="JT65" s="189">
        <f t="shared" si="285"/>
        <v>0</v>
      </c>
      <c r="JU65" s="189">
        <f t="shared" si="286"/>
        <v>0</v>
      </c>
      <c r="JV65" s="189">
        <f t="shared" si="287"/>
        <v>0</v>
      </c>
      <c r="JW65" s="189">
        <f t="shared" si="288"/>
        <v>0</v>
      </c>
      <c r="JX65" s="189">
        <f t="shared" si="289"/>
        <v>0</v>
      </c>
      <c r="JY65" s="189">
        <f t="shared" si="290"/>
        <v>0</v>
      </c>
      <c r="JZ65" s="189">
        <f t="shared" si="291"/>
        <v>0</v>
      </c>
      <c r="KA65" s="189">
        <f t="shared" si="292"/>
        <v>0</v>
      </c>
      <c r="KB65" s="189">
        <f t="shared" si="293"/>
        <v>0</v>
      </c>
      <c r="KD65" s="206">
        <f t="shared" si="177"/>
        <v>0</v>
      </c>
      <c r="KE65" s="206">
        <f t="shared" si="69"/>
        <v>0</v>
      </c>
      <c r="KF65" s="206">
        <f t="shared" si="294"/>
        <v>30</v>
      </c>
      <c r="KG65" s="206">
        <f t="shared" si="295"/>
        <v>30</v>
      </c>
      <c r="KH65" s="206">
        <f t="shared" si="296"/>
        <v>0</v>
      </c>
      <c r="KI65" s="206">
        <f t="shared" si="297"/>
        <v>0</v>
      </c>
      <c r="KJ65" s="206">
        <f t="shared" si="298"/>
        <v>0</v>
      </c>
      <c r="KK65" s="206">
        <f t="shared" si="299"/>
        <v>0</v>
      </c>
      <c r="KL65" s="206">
        <f t="shared" si="300"/>
        <v>0</v>
      </c>
      <c r="KM65" s="206">
        <f t="shared" si="301"/>
        <v>0</v>
      </c>
      <c r="KN65" s="221">
        <f t="shared" si="302"/>
        <v>0</v>
      </c>
      <c r="KO65" s="221">
        <f t="shared" si="303"/>
        <v>0</v>
      </c>
      <c r="KP65" s="221">
        <f t="shared" si="304"/>
        <v>0</v>
      </c>
      <c r="KQ65" s="221">
        <f t="shared" si="305"/>
        <v>0</v>
      </c>
      <c r="KR65" s="221">
        <f t="shared" si="306"/>
        <v>0</v>
      </c>
      <c r="KT65" s="195">
        <f t="shared" si="307"/>
        <v>0</v>
      </c>
      <c r="KU65" s="221"/>
      <c r="KV65" s="221"/>
      <c r="KW65" s="221"/>
      <c r="KX65" s="221"/>
      <c r="KY65" s="221"/>
      <c r="KZ65" s="221"/>
      <c r="LA65" s="221"/>
      <c r="LB65" s="221"/>
      <c r="LC65" s="221"/>
      <c r="LD65" s="221"/>
      <c r="LE65" s="221"/>
      <c r="LF65" s="221"/>
      <c r="LG65" s="221"/>
      <c r="LH65" s="221"/>
      <c r="LI65" s="221"/>
      <c r="LJ65" s="221"/>
      <c r="LK65" s="221"/>
      <c r="LL65" s="221"/>
      <c r="LM65" s="221"/>
      <c r="LN65" s="221"/>
      <c r="LO65" s="221"/>
      <c r="LP65" s="221"/>
      <c r="LQ65" s="221"/>
      <c r="LR65" s="221"/>
      <c r="LS65" s="221"/>
      <c r="LT65" s="221"/>
      <c r="LU65" s="221"/>
      <c r="LV65" s="221"/>
      <c r="LW65" s="221"/>
      <c r="LX65" s="221"/>
      <c r="LY65" s="221"/>
      <c r="LZ65" s="221"/>
      <c r="MA65" s="221"/>
      <c r="MB65" s="221"/>
      <c r="MC65" s="221"/>
      <c r="MD65" s="221"/>
      <c r="ME65" s="221"/>
      <c r="MF65" s="221"/>
      <c r="MG65" s="221"/>
      <c r="MH65" s="221"/>
      <c r="MI65" s="221"/>
      <c r="MJ65" s="221"/>
      <c r="MK65" s="221"/>
      <c r="ML65" s="221"/>
      <c r="MM65" s="221"/>
      <c r="MN65" s="221"/>
      <c r="MO65" s="221"/>
      <c r="MP65" s="221"/>
      <c r="MQ65" s="221"/>
      <c r="MR65" s="221"/>
      <c r="MS65" s="221"/>
      <c r="MT65" s="221"/>
      <c r="MU65" s="221"/>
      <c r="MV65" s="221"/>
      <c r="MW65" s="221"/>
      <c r="MX65" s="221"/>
      <c r="MY65" s="221"/>
      <c r="MZ65" s="221"/>
      <c r="NA65" s="221"/>
      <c r="NB65" s="221"/>
      <c r="NC65" s="221"/>
      <c r="ND65" s="221"/>
      <c r="NE65" s="221"/>
      <c r="NF65" s="221"/>
      <c r="NG65" s="221"/>
      <c r="NH65" s="221"/>
      <c r="NI65" s="221"/>
      <c r="NJ65" s="221"/>
      <c r="NK65" s="221"/>
      <c r="NM65" s="195">
        <f t="shared" si="178"/>
        <v>0</v>
      </c>
      <c r="NN65" s="195">
        <f t="shared" si="179"/>
        <v>0</v>
      </c>
      <c r="NO65" s="195">
        <f t="shared" si="180"/>
        <v>0</v>
      </c>
      <c r="NP65" s="195">
        <f t="shared" si="181"/>
        <v>0</v>
      </c>
      <c r="NQ65" s="195">
        <f t="shared" si="182"/>
        <v>0</v>
      </c>
      <c r="NR65" s="195">
        <f t="shared" si="183"/>
        <v>0</v>
      </c>
      <c r="NS65" s="195">
        <f t="shared" si="184"/>
        <v>0</v>
      </c>
      <c r="NT65" s="195">
        <f t="shared" si="185"/>
        <v>0</v>
      </c>
      <c r="NU65" s="196">
        <f t="shared" si="186"/>
        <v>0</v>
      </c>
      <c r="NY65" s="215">
        <f t="shared" si="249"/>
        <v>1</v>
      </c>
      <c r="NZ65" s="222">
        <v>9800000</v>
      </c>
      <c r="OE65" s="207">
        <f t="shared" si="243"/>
        <v>0</v>
      </c>
      <c r="OF65" s="207">
        <f t="shared" si="244"/>
        <v>0</v>
      </c>
      <c r="OG65" s="207">
        <f t="shared" si="245"/>
        <v>0</v>
      </c>
      <c r="OH65" s="207">
        <f t="shared" si="188"/>
        <v>0</v>
      </c>
      <c r="OI65" s="207">
        <f t="shared" si="246"/>
        <v>0</v>
      </c>
      <c r="OJ65" s="199">
        <f t="shared" si="189"/>
        <v>0</v>
      </c>
      <c r="OK65" s="199">
        <f t="shared" si="190"/>
        <v>0</v>
      </c>
      <c r="OL65" s="199">
        <f t="shared" si="191"/>
        <v>0</v>
      </c>
      <c r="OM65" s="199">
        <f t="shared" si="192"/>
        <v>0</v>
      </c>
      <c r="OO65" s="207">
        <f t="shared" si="247"/>
        <v>0</v>
      </c>
      <c r="OP65" s="207">
        <f t="shared" si="248"/>
        <v>0</v>
      </c>
      <c r="OQ65" s="207">
        <f t="shared" si="193"/>
        <v>0</v>
      </c>
      <c r="OR65" s="207">
        <f t="shared" si="194"/>
        <v>0</v>
      </c>
      <c r="OS65" s="207">
        <f t="shared" si="195"/>
        <v>0</v>
      </c>
      <c r="OT65" s="199">
        <f t="shared" si="196"/>
        <v>0</v>
      </c>
      <c r="OU65" s="199">
        <f t="shared" si="197"/>
        <v>0</v>
      </c>
      <c r="OV65" s="199">
        <f t="shared" si="198"/>
        <v>0</v>
      </c>
      <c r="OW65" s="199">
        <f t="shared" si="199"/>
        <v>0</v>
      </c>
      <c r="OZ65" s="208">
        <f t="shared" si="91"/>
        <v>0</v>
      </c>
      <c r="PA65" s="209"/>
      <c r="PB65" s="209"/>
      <c r="PC65" s="209"/>
      <c r="PD65" s="210">
        <f t="shared" si="200"/>
        <v>0</v>
      </c>
      <c r="PE65" s="210"/>
      <c r="PF65" s="210">
        <f t="shared" si="201"/>
        <v>0</v>
      </c>
      <c r="PG65" s="210">
        <f t="shared" si="202"/>
        <v>0</v>
      </c>
      <c r="PH65" s="210">
        <f t="shared" si="92"/>
        <v>0</v>
      </c>
      <c r="PI65" s="210">
        <f t="shared" si="93"/>
        <v>0</v>
      </c>
      <c r="PJ65" s="210">
        <f t="shared" si="94"/>
        <v>0</v>
      </c>
      <c r="PK65" s="210">
        <f t="shared" si="95"/>
        <v>0</v>
      </c>
      <c r="PL65" s="210">
        <f t="shared" si="96"/>
        <v>0</v>
      </c>
      <c r="PM65" s="211"/>
      <c r="PN65" s="211"/>
      <c r="PO65" s="212">
        <f t="shared" si="203"/>
        <v>0</v>
      </c>
      <c r="PP65" s="212">
        <f t="shared" si="204"/>
        <v>0</v>
      </c>
      <c r="PQ65" s="212">
        <f t="shared" si="205"/>
        <v>0</v>
      </c>
      <c r="PR65" s="211"/>
      <c r="PS65" s="211"/>
      <c r="PT65" s="211"/>
      <c r="PU65" s="211"/>
      <c r="XFC65" s="195">
        <v>278160000</v>
      </c>
    </row>
    <row r="66" spans="1:437 16383:16383" s="195" customFormat="1" ht="16" x14ac:dyDescent="0.2">
      <c r="A66" s="213">
        <f t="shared" si="206"/>
        <v>56</v>
      </c>
      <c r="B66" s="186" t="s">
        <v>71</v>
      </c>
      <c r="C66" s="186">
        <v>61</v>
      </c>
      <c r="D66" s="188">
        <v>1</v>
      </c>
      <c r="E66" s="188">
        <v>60</v>
      </c>
      <c r="F66" s="188">
        <v>1</v>
      </c>
      <c r="G66" s="188">
        <f t="shared" si="308"/>
        <v>60</v>
      </c>
      <c r="H66" s="214">
        <f t="shared" si="213"/>
        <v>1</v>
      </c>
      <c r="I66" s="214">
        <f t="shared" si="214"/>
        <v>1</v>
      </c>
      <c r="J66" s="188">
        <v>1</v>
      </c>
      <c r="K66" s="188">
        <f t="shared" si="215"/>
        <v>60</v>
      </c>
      <c r="L66" s="214">
        <f t="shared" si="216"/>
        <v>1</v>
      </c>
      <c r="M66" s="214">
        <f t="shared" si="217"/>
        <v>1</v>
      </c>
      <c r="N66" s="188">
        <v>1</v>
      </c>
      <c r="O66" s="188">
        <f t="shared" si="218"/>
        <v>60</v>
      </c>
      <c r="P66" s="214">
        <f t="shared" si="219"/>
        <v>1</v>
      </c>
      <c r="Q66" s="214">
        <f t="shared" si="220"/>
        <v>1</v>
      </c>
      <c r="R66" s="188">
        <v>1</v>
      </c>
      <c r="S66" s="188">
        <f t="shared" si="221"/>
        <v>60</v>
      </c>
      <c r="T66" s="214">
        <f t="shared" si="222"/>
        <v>1</v>
      </c>
      <c r="U66" s="214">
        <f t="shared" si="223"/>
        <v>1</v>
      </c>
      <c r="V66" s="215">
        <v>1</v>
      </c>
      <c r="W66" s="188">
        <f t="shared" si="224"/>
        <v>60</v>
      </c>
      <c r="X66" s="214">
        <f t="shared" si="225"/>
        <v>1</v>
      </c>
      <c r="Y66" s="214">
        <f t="shared" si="226"/>
        <v>1</v>
      </c>
      <c r="Z66" s="216">
        <f>844281000/1000000000</f>
        <v>0.84428099999999995</v>
      </c>
      <c r="AA66" s="188">
        <v>0</v>
      </c>
      <c r="AB66" s="188">
        <f t="shared" si="112"/>
        <v>0</v>
      </c>
      <c r="AC66" s="214">
        <f t="shared" si="113"/>
        <v>0</v>
      </c>
      <c r="AD66" s="214">
        <f t="shared" si="114"/>
        <v>0</v>
      </c>
      <c r="AE66" s="188"/>
      <c r="AF66" s="188">
        <f t="shared" si="115"/>
        <v>0</v>
      </c>
      <c r="AG66" s="188"/>
      <c r="AH66" s="188"/>
      <c r="AI66" s="188">
        <v>1</v>
      </c>
      <c r="AJ66" s="188">
        <f t="shared" si="2"/>
        <v>60</v>
      </c>
      <c r="AK66" s="188" t="s">
        <v>304</v>
      </c>
      <c r="AL66" s="188">
        <v>0</v>
      </c>
      <c r="AM66" s="188">
        <v>0</v>
      </c>
      <c r="AN66" s="217"/>
      <c r="AO66" s="188">
        <f t="shared" si="207"/>
        <v>1</v>
      </c>
      <c r="AP66" s="188">
        <f t="shared" si="208"/>
        <v>60</v>
      </c>
      <c r="AQ66" s="188">
        <f t="shared" si="227"/>
        <v>1</v>
      </c>
      <c r="AR66" s="188">
        <f t="shared" si="228"/>
        <v>60</v>
      </c>
      <c r="AS66" s="188">
        <f t="shared" si="229"/>
        <v>1</v>
      </c>
      <c r="AT66" s="188">
        <f t="shared" si="230"/>
        <v>60</v>
      </c>
      <c r="AU66" s="188">
        <f t="shared" si="209"/>
        <v>1</v>
      </c>
      <c r="AV66" s="188">
        <f t="shared" si="210"/>
        <v>60</v>
      </c>
      <c r="AW66" s="188">
        <f t="shared" si="211"/>
        <v>1</v>
      </c>
      <c r="AX66" s="188">
        <f t="shared" si="212"/>
        <v>60</v>
      </c>
      <c r="AY66" s="188">
        <f t="shared" si="116"/>
        <v>0</v>
      </c>
      <c r="AZ66" s="188">
        <f t="shared" si="117"/>
        <v>0</v>
      </c>
      <c r="BA66" s="188">
        <f t="shared" si="14"/>
        <v>0.84428099999999995</v>
      </c>
      <c r="BB66" s="188">
        <f t="shared" si="15"/>
        <v>0</v>
      </c>
      <c r="BD66" s="196">
        <f t="shared" si="118"/>
        <v>0</v>
      </c>
      <c r="BE66" s="188">
        <f t="shared" si="231"/>
        <v>0</v>
      </c>
      <c r="BF66" s="188">
        <f t="shared" si="232"/>
        <v>0</v>
      </c>
      <c r="BG66" s="188">
        <f t="shared" si="233"/>
        <v>0</v>
      </c>
      <c r="BH66" s="188">
        <f t="shared" si="234"/>
        <v>0</v>
      </c>
      <c r="BI66" s="188">
        <f t="shared" si="235"/>
        <v>0</v>
      </c>
      <c r="BJ66" s="188">
        <f t="shared" si="236"/>
        <v>0</v>
      </c>
      <c r="BK66" s="188">
        <f t="shared" si="22"/>
        <v>0</v>
      </c>
      <c r="BN66" s="267">
        <v>22</v>
      </c>
      <c r="BO66" s="277">
        <v>1</v>
      </c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B66" s="188"/>
      <c r="CD66" s="188">
        <f t="shared" si="23"/>
        <v>22</v>
      </c>
      <c r="CE66" s="188">
        <f t="shared" si="24"/>
        <v>22</v>
      </c>
      <c r="CF66" s="188">
        <f t="shared" si="25"/>
        <v>0</v>
      </c>
      <c r="CG66" s="188">
        <f t="shared" si="26"/>
        <v>0</v>
      </c>
      <c r="CH66" s="188">
        <f t="shared" si="27"/>
        <v>0</v>
      </c>
      <c r="CI66" s="188">
        <f t="shared" si="28"/>
        <v>0</v>
      </c>
      <c r="CJ66" s="188">
        <f t="shared" si="29"/>
        <v>0</v>
      </c>
      <c r="CK66" s="188">
        <f t="shared" si="30"/>
        <v>0</v>
      </c>
      <c r="CL66" s="188">
        <f t="shared" si="31"/>
        <v>0</v>
      </c>
      <c r="CM66" s="188">
        <f t="shared" si="32"/>
        <v>0</v>
      </c>
      <c r="CN66" s="188">
        <f t="shared" si="33"/>
        <v>0</v>
      </c>
      <c r="CO66" s="188">
        <f t="shared" si="34"/>
        <v>0</v>
      </c>
      <c r="CP66" s="188">
        <f t="shared" si="35"/>
        <v>0</v>
      </c>
      <c r="DV66" s="188">
        <f t="shared" si="237"/>
        <v>0</v>
      </c>
      <c r="DW66" s="188">
        <f t="shared" si="238"/>
        <v>0</v>
      </c>
      <c r="DX66" s="188">
        <f t="shared" si="239"/>
        <v>0</v>
      </c>
      <c r="DY66" s="188">
        <f t="shared" si="240"/>
        <v>0</v>
      </c>
      <c r="DZ66" s="188">
        <f t="shared" si="241"/>
        <v>0</v>
      </c>
      <c r="EA66" s="188">
        <f t="shared" si="242"/>
        <v>0</v>
      </c>
      <c r="EB66" s="188">
        <f t="shared" si="42"/>
        <v>0</v>
      </c>
      <c r="EG66" s="220">
        <f t="shared" si="43"/>
        <v>0</v>
      </c>
      <c r="EH66" s="220">
        <f t="shared" si="44"/>
        <v>0</v>
      </c>
      <c r="EI66" s="188">
        <v>1</v>
      </c>
      <c r="EJ66" s="188"/>
      <c r="EK66" s="188"/>
      <c r="EL66" s="188"/>
      <c r="EM66" s="188"/>
      <c r="EN66" s="188"/>
      <c r="EO66" s="188"/>
      <c r="EP66" s="188"/>
      <c r="EQ66" s="188"/>
      <c r="ER66" s="188"/>
      <c r="ES66" s="188"/>
      <c r="ET66" s="188"/>
      <c r="EU66" s="188"/>
      <c r="EV66" s="188"/>
      <c r="EW66" s="188"/>
      <c r="EX66" s="188"/>
      <c r="EY66" s="188"/>
      <c r="EZ66" s="188"/>
      <c r="FA66" s="188"/>
      <c r="FB66" s="188"/>
      <c r="FC66" s="188"/>
      <c r="FD66" s="188"/>
      <c r="FE66" s="188"/>
      <c r="FF66" s="188"/>
      <c r="FH66" s="189"/>
      <c r="FI66" s="189"/>
      <c r="FJ66" s="189"/>
      <c r="FK66" s="189"/>
      <c r="FL66" s="189"/>
      <c r="FM66" s="189"/>
      <c r="FN66" s="189"/>
      <c r="FO66" s="189"/>
      <c r="FP66" s="189"/>
      <c r="FQ66" s="189"/>
      <c r="FR66" s="189"/>
      <c r="FS66" s="189"/>
      <c r="FT66" s="189"/>
      <c r="FU66" s="189"/>
      <c r="FV66" s="189"/>
      <c r="FX66" s="217">
        <v>1</v>
      </c>
      <c r="FY66" s="188">
        <f t="shared" si="45"/>
        <v>22</v>
      </c>
      <c r="FZ66" s="188">
        <f t="shared" si="250"/>
        <v>22</v>
      </c>
      <c r="GA66" s="188">
        <f t="shared" si="251"/>
        <v>0</v>
      </c>
      <c r="GB66" s="188">
        <f t="shared" si="252"/>
        <v>0</v>
      </c>
      <c r="GC66" s="188">
        <f t="shared" si="253"/>
        <v>0</v>
      </c>
      <c r="GD66" s="188">
        <f t="shared" si="254"/>
        <v>0</v>
      </c>
      <c r="GE66" s="188">
        <f t="shared" si="255"/>
        <v>0</v>
      </c>
      <c r="GF66" s="199"/>
      <c r="GG66" s="189">
        <v>0</v>
      </c>
      <c r="GH66" s="189">
        <v>0</v>
      </c>
      <c r="GI66" s="199"/>
      <c r="GJ66" s="200">
        <f t="shared" si="52"/>
        <v>0</v>
      </c>
      <c r="GK66" s="200">
        <f t="shared" si="53"/>
        <v>0</v>
      </c>
      <c r="GO66" s="189">
        <f t="shared" si="256"/>
        <v>0</v>
      </c>
      <c r="GP66" s="189">
        <f t="shared" si="257"/>
        <v>0</v>
      </c>
      <c r="GQ66" s="189">
        <f t="shared" si="258"/>
        <v>0</v>
      </c>
      <c r="GR66" s="189">
        <f t="shared" si="259"/>
        <v>0</v>
      </c>
      <c r="GS66" s="189">
        <f t="shared" si="260"/>
        <v>0</v>
      </c>
      <c r="GT66" s="189">
        <f t="shared" si="124"/>
        <v>1</v>
      </c>
      <c r="GU66" s="201">
        <f t="shared" si="125"/>
        <v>43243</v>
      </c>
      <c r="GV66" s="189" t="str">
        <f t="shared" si="126"/>
        <v>SELESAI</v>
      </c>
      <c r="GW66" s="189">
        <f t="shared" si="127"/>
        <v>0</v>
      </c>
      <c r="GX66" s="202" t="str">
        <f t="shared" si="128"/>
        <v>SELESAI</v>
      </c>
      <c r="GY66" s="202">
        <f t="shared" si="129"/>
        <v>0</v>
      </c>
      <c r="GZ66" s="203" t="str">
        <f t="shared" si="130"/>
        <v>SELESAI</v>
      </c>
      <c r="HA66" s="204"/>
      <c r="HB66" s="204"/>
      <c r="HC66" s="189">
        <f t="shared" si="261"/>
        <v>0</v>
      </c>
      <c r="HD66" s="189">
        <f t="shared" si="262"/>
        <v>0</v>
      </c>
      <c r="HE66" s="189">
        <f t="shared" si="133"/>
        <v>0</v>
      </c>
      <c r="HF66" s="189">
        <f t="shared" si="134"/>
        <v>0</v>
      </c>
      <c r="HG66" s="189">
        <f t="shared" si="135"/>
        <v>0</v>
      </c>
      <c r="HH66" s="201" t="str">
        <f t="shared" si="136"/>
        <v>TIDAK KONSINYASI</v>
      </c>
      <c r="HI66" s="201" t="str">
        <f t="shared" si="137"/>
        <v>SELESAI</v>
      </c>
      <c r="HJ66" s="205"/>
      <c r="HK66" s="201">
        <f t="shared" si="138"/>
        <v>0</v>
      </c>
      <c r="HL66" s="204"/>
      <c r="HM66" s="204"/>
      <c r="HN66" s="204"/>
      <c r="HO66" s="204"/>
      <c r="HP66" s="203">
        <f t="shared" si="139"/>
        <v>0</v>
      </c>
      <c r="HQ66" s="202">
        <f t="shared" si="140"/>
        <v>0</v>
      </c>
      <c r="HR66" s="202">
        <f t="shared" si="263"/>
        <v>0</v>
      </c>
      <c r="HS66" s="203">
        <f t="shared" si="142"/>
        <v>0</v>
      </c>
      <c r="HT66" s="202">
        <f t="shared" si="143"/>
        <v>0</v>
      </c>
      <c r="HU66" s="202">
        <f t="shared" si="264"/>
        <v>0</v>
      </c>
      <c r="HV66" s="203">
        <f t="shared" si="145"/>
        <v>0</v>
      </c>
      <c r="HW66" s="202">
        <f t="shared" si="146"/>
        <v>0</v>
      </c>
      <c r="HX66" s="202">
        <f t="shared" si="265"/>
        <v>0</v>
      </c>
      <c r="HY66" s="203">
        <f t="shared" si="148"/>
        <v>0</v>
      </c>
      <c r="HZ66" s="202">
        <f t="shared" si="149"/>
        <v>0</v>
      </c>
      <c r="IA66" s="202">
        <f t="shared" si="266"/>
        <v>0</v>
      </c>
      <c r="IB66" s="203">
        <f t="shared" si="151"/>
        <v>0</v>
      </c>
      <c r="IC66" s="202">
        <f t="shared" si="152"/>
        <v>0</v>
      </c>
      <c r="ID66" s="202">
        <f t="shared" si="267"/>
        <v>0</v>
      </c>
      <c r="IE66" s="203">
        <f t="shared" si="154"/>
        <v>0</v>
      </c>
      <c r="IF66" s="202">
        <f t="shared" si="155"/>
        <v>0</v>
      </c>
      <c r="IG66" s="202">
        <f t="shared" si="268"/>
        <v>0</v>
      </c>
      <c r="IH66" s="203">
        <f t="shared" si="157"/>
        <v>0</v>
      </c>
      <c r="II66" s="202">
        <f t="shared" si="158"/>
        <v>0</v>
      </c>
      <c r="IJ66" s="202">
        <f t="shared" si="269"/>
        <v>0</v>
      </c>
      <c r="IK66" s="203">
        <f t="shared" si="160"/>
        <v>0</v>
      </c>
      <c r="IL66" s="202">
        <f t="shared" si="161"/>
        <v>0</v>
      </c>
      <c r="IM66" s="202">
        <f t="shared" si="270"/>
        <v>0</v>
      </c>
      <c r="IN66" s="204"/>
      <c r="IO66" s="203">
        <f t="shared" si="163"/>
        <v>0</v>
      </c>
      <c r="IP66" s="202">
        <f t="shared" si="271"/>
        <v>0</v>
      </c>
      <c r="IQ66" s="202">
        <f t="shared" si="272"/>
        <v>0</v>
      </c>
      <c r="IR66" s="204"/>
      <c r="IS66" s="203"/>
      <c r="IT66" s="202">
        <f t="shared" si="273"/>
        <v>1</v>
      </c>
      <c r="IU66" s="202">
        <f t="shared" si="274"/>
        <v>60</v>
      </c>
      <c r="IV66" s="204"/>
      <c r="IW66" s="203"/>
      <c r="IX66" s="202">
        <f t="shared" si="275"/>
        <v>0</v>
      </c>
      <c r="IY66" s="202">
        <f t="shared" si="276"/>
        <v>0</v>
      </c>
      <c r="IZ66" s="204"/>
      <c r="JA66" s="203"/>
      <c r="JB66" s="202">
        <f t="shared" si="277"/>
        <v>0</v>
      </c>
      <c r="JC66" s="202">
        <f t="shared" si="278"/>
        <v>0</v>
      </c>
      <c r="JD66" s="204"/>
      <c r="JE66" s="203"/>
      <c r="JF66" s="202">
        <f t="shared" si="172"/>
        <v>1</v>
      </c>
      <c r="JG66" s="202">
        <f t="shared" si="173"/>
        <v>60</v>
      </c>
      <c r="JH66" s="204"/>
      <c r="JI66" s="203"/>
      <c r="JJ66" s="202">
        <f t="shared" si="279"/>
        <v>0</v>
      </c>
      <c r="JK66" s="202">
        <f t="shared" si="280"/>
        <v>0</v>
      </c>
      <c r="JM66" s="203">
        <f t="shared" si="176"/>
        <v>0</v>
      </c>
      <c r="JO66" s="196">
        <f t="shared" si="54"/>
        <v>1</v>
      </c>
      <c r="JP66" s="189">
        <f t="shared" si="281"/>
        <v>22</v>
      </c>
      <c r="JQ66" s="189">
        <f t="shared" si="282"/>
        <v>1</v>
      </c>
      <c r="JR66" s="189">
        <f t="shared" si="283"/>
        <v>0</v>
      </c>
      <c r="JS66" s="189">
        <f t="shared" si="284"/>
        <v>0</v>
      </c>
      <c r="JT66" s="189">
        <f t="shared" si="285"/>
        <v>0</v>
      </c>
      <c r="JU66" s="189">
        <f t="shared" si="286"/>
        <v>0</v>
      </c>
      <c r="JV66" s="189">
        <f t="shared" si="287"/>
        <v>0</v>
      </c>
      <c r="JW66" s="189">
        <f t="shared" si="288"/>
        <v>0</v>
      </c>
      <c r="JX66" s="189">
        <f t="shared" si="289"/>
        <v>0</v>
      </c>
      <c r="JY66" s="189">
        <f t="shared" si="290"/>
        <v>0</v>
      </c>
      <c r="JZ66" s="189">
        <f t="shared" si="291"/>
        <v>0</v>
      </c>
      <c r="KA66" s="189">
        <f t="shared" si="292"/>
        <v>0</v>
      </c>
      <c r="KB66" s="189">
        <f t="shared" si="293"/>
        <v>0</v>
      </c>
      <c r="KD66" s="206">
        <f t="shared" si="177"/>
        <v>0</v>
      </c>
      <c r="KE66" s="206">
        <f t="shared" si="69"/>
        <v>0</v>
      </c>
      <c r="KF66" s="206">
        <f t="shared" si="294"/>
        <v>22</v>
      </c>
      <c r="KG66" s="206">
        <f t="shared" si="295"/>
        <v>22</v>
      </c>
      <c r="KH66" s="206">
        <f t="shared" si="296"/>
        <v>0</v>
      </c>
      <c r="KI66" s="206">
        <f t="shared" si="297"/>
        <v>0</v>
      </c>
      <c r="KJ66" s="206">
        <f t="shared" si="298"/>
        <v>0</v>
      </c>
      <c r="KK66" s="206">
        <f t="shared" si="299"/>
        <v>0</v>
      </c>
      <c r="KL66" s="206">
        <f t="shared" si="300"/>
        <v>0</v>
      </c>
      <c r="KM66" s="206">
        <f t="shared" si="301"/>
        <v>0</v>
      </c>
      <c r="KN66" s="221">
        <f t="shared" si="302"/>
        <v>0</v>
      </c>
      <c r="KO66" s="221">
        <f t="shared" si="303"/>
        <v>0</v>
      </c>
      <c r="KP66" s="221">
        <f t="shared" si="304"/>
        <v>0</v>
      </c>
      <c r="KQ66" s="221">
        <f t="shared" si="305"/>
        <v>0</v>
      </c>
      <c r="KR66" s="221">
        <f t="shared" si="306"/>
        <v>0</v>
      </c>
      <c r="KT66" s="195">
        <f t="shared" si="307"/>
        <v>0</v>
      </c>
      <c r="KU66" s="221"/>
      <c r="KV66" s="221"/>
      <c r="KW66" s="221"/>
      <c r="KX66" s="221"/>
      <c r="KY66" s="221"/>
      <c r="KZ66" s="221"/>
      <c r="LA66" s="221"/>
      <c r="LB66" s="221"/>
      <c r="LC66" s="221"/>
      <c r="LD66" s="221"/>
      <c r="LE66" s="221"/>
      <c r="LF66" s="221"/>
      <c r="LG66" s="221"/>
      <c r="LH66" s="221"/>
      <c r="LI66" s="221"/>
      <c r="LJ66" s="221"/>
      <c r="LK66" s="221"/>
      <c r="LL66" s="221"/>
      <c r="LM66" s="221"/>
      <c r="LN66" s="221"/>
      <c r="LO66" s="221"/>
      <c r="LP66" s="221"/>
      <c r="LQ66" s="221"/>
      <c r="LR66" s="221"/>
      <c r="LS66" s="221"/>
      <c r="LT66" s="221"/>
      <c r="LU66" s="221"/>
      <c r="LV66" s="221"/>
      <c r="LW66" s="221"/>
      <c r="LX66" s="221"/>
      <c r="LY66" s="221"/>
      <c r="LZ66" s="221"/>
      <c r="MA66" s="221"/>
      <c r="MB66" s="221"/>
      <c r="MC66" s="221"/>
      <c r="MD66" s="221"/>
      <c r="ME66" s="221"/>
      <c r="MF66" s="221"/>
      <c r="MG66" s="221"/>
      <c r="MH66" s="221"/>
      <c r="MI66" s="221"/>
      <c r="MJ66" s="221"/>
      <c r="MK66" s="221"/>
      <c r="ML66" s="221"/>
      <c r="MM66" s="221"/>
      <c r="MN66" s="221"/>
      <c r="MO66" s="221"/>
      <c r="MP66" s="221"/>
      <c r="MQ66" s="221"/>
      <c r="MR66" s="221"/>
      <c r="MS66" s="221"/>
      <c r="MT66" s="221"/>
      <c r="MU66" s="221"/>
      <c r="MV66" s="221"/>
      <c r="MW66" s="221"/>
      <c r="MX66" s="221"/>
      <c r="MY66" s="221"/>
      <c r="MZ66" s="221"/>
      <c r="NA66" s="221"/>
      <c r="NB66" s="221"/>
      <c r="NC66" s="221"/>
      <c r="ND66" s="221"/>
      <c r="NE66" s="221"/>
      <c r="NF66" s="221"/>
      <c r="NG66" s="221"/>
      <c r="NH66" s="221"/>
      <c r="NI66" s="221"/>
      <c r="NJ66" s="221"/>
      <c r="NK66" s="221"/>
      <c r="NM66" s="195">
        <f t="shared" si="178"/>
        <v>0</v>
      </c>
      <c r="NN66" s="195">
        <f t="shared" si="179"/>
        <v>0</v>
      </c>
      <c r="NO66" s="195">
        <f t="shared" si="180"/>
        <v>0</v>
      </c>
      <c r="NP66" s="195">
        <f t="shared" si="181"/>
        <v>0</v>
      </c>
      <c r="NQ66" s="195">
        <f t="shared" si="182"/>
        <v>0</v>
      </c>
      <c r="NR66" s="195">
        <f t="shared" si="183"/>
        <v>0</v>
      </c>
      <c r="NS66" s="195">
        <f t="shared" si="184"/>
        <v>0</v>
      </c>
      <c r="NT66" s="195">
        <f t="shared" si="185"/>
        <v>0</v>
      </c>
      <c r="NU66" s="196">
        <f t="shared" si="186"/>
        <v>0</v>
      </c>
      <c r="NY66" s="215">
        <f t="shared" si="249"/>
        <v>1</v>
      </c>
      <c r="NZ66" s="222">
        <v>9800000</v>
      </c>
      <c r="OE66" s="207">
        <f t="shared" si="243"/>
        <v>0</v>
      </c>
      <c r="OF66" s="207">
        <f t="shared" si="244"/>
        <v>0</v>
      </c>
      <c r="OG66" s="207">
        <f t="shared" si="245"/>
        <v>0</v>
      </c>
      <c r="OH66" s="207">
        <f t="shared" si="188"/>
        <v>0</v>
      </c>
      <c r="OI66" s="207">
        <f t="shared" si="246"/>
        <v>0</v>
      </c>
      <c r="OJ66" s="199">
        <f t="shared" si="189"/>
        <v>0</v>
      </c>
      <c r="OK66" s="199">
        <f t="shared" si="190"/>
        <v>0</v>
      </c>
      <c r="OL66" s="199">
        <f t="shared" si="191"/>
        <v>0</v>
      </c>
      <c r="OM66" s="199">
        <f t="shared" si="192"/>
        <v>0</v>
      </c>
      <c r="OO66" s="207">
        <f t="shared" si="247"/>
        <v>0</v>
      </c>
      <c r="OP66" s="207">
        <f t="shared" si="248"/>
        <v>0</v>
      </c>
      <c r="OQ66" s="207">
        <f t="shared" si="193"/>
        <v>0</v>
      </c>
      <c r="OR66" s="207">
        <f t="shared" si="194"/>
        <v>0</v>
      </c>
      <c r="OS66" s="207">
        <f t="shared" si="195"/>
        <v>0</v>
      </c>
      <c r="OT66" s="199">
        <f t="shared" si="196"/>
        <v>0</v>
      </c>
      <c r="OU66" s="199">
        <f t="shared" si="197"/>
        <v>0</v>
      </c>
      <c r="OV66" s="199">
        <f t="shared" si="198"/>
        <v>0</v>
      </c>
      <c r="OW66" s="199">
        <f t="shared" si="199"/>
        <v>0</v>
      </c>
      <c r="OZ66" s="208">
        <f t="shared" si="91"/>
        <v>0</v>
      </c>
      <c r="PA66" s="209"/>
      <c r="PB66" s="209"/>
      <c r="PC66" s="209"/>
      <c r="PD66" s="210">
        <f t="shared" si="200"/>
        <v>0</v>
      </c>
      <c r="PE66" s="210"/>
      <c r="PF66" s="210">
        <f t="shared" si="201"/>
        <v>0</v>
      </c>
      <c r="PG66" s="210">
        <f t="shared" si="202"/>
        <v>0</v>
      </c>
      <c r="PH66" s="210">
        <f t="shared" si="92"/>
        <v>0</v>
      </c>
      <c r="PI66" s="210">
        <f t="shared" si="93"/>
        <v>0</v>
      </c>
      <c r="PJ66" s="210">
        <f t="shared" si="94"/>
        <v>0</v>
      </c>
      <c r="PK66" s="210">
        <f t="shared" si="95"/>
        <v>0</v>
      </c>
      <c r="PL66" s="210">
        <f t="shared" si="96"/>
        <v>0</v>
      </c>
      <c r="PM66" s="211"/>
      <c r="PN66" s="211"/>
      <c r="PO66" s="212">
        <f t="shared" si="203"/>
        <v>0</v>
      </c>
      <c r="PP66" s="212">
        <f t="shared" si="204"/>
        <v>0</v>
      </c>
      <c r="PQ66" s="212">
        <f t="shared" si="205"/>
        <v>0</v>
      </c>
      <c r="PR66" s="211"/>
      <c r="PS66" s="211"/>
      <c r="PT66" s="211"/>
      <c r="PU66" s="211"/>
      <c r="XFC66" s="195">
        <v>216170000</v>
      </c>
    </row>
    <row r="67" spans="1:437 16383:16383" s="195" customFormat="1" ht="16" x14ac:dyDescent="0.2">
      <c r="A67" s="213">
        <f t="shared" si="206"/>
        <v>57</v>
      </c>
      <c r="B67" s="186" t="s">
        <v>72</v>
      </c>
      <c r="C67" s="186">
        <v>62</v>
      </c>
      <c r="D67" s="188">
        <v>1</v>
      </c>
      <c r="E67" s="188">
        <v>53</v>
      </c>
      <c r="F67" s="188">
        <v>1</v>
      </c>
      <c r="G67" s="188">
        <f t="shared" si="308"/>
        <v>53</v>
      </c>
      <c r="H67" s="214">
        <f t="shared" si="213"/>
        <v>1</v>
      </c>
      <c r="I67" s="214">
        <f t="shared" si="214"/>
        <v>1</v>
      </c>
      <c r="J67" s="188">
        <v>1</v>
      </c>
      <c r="K67" s="188">
        <f t="shared" si="215"/>
        <v>53</v>
      </c>
      <c r="L67" s="214">
        <f t="shared" si="216"/>
        <v>1</v>
      </c>
      <c r="M67" s="214">
        <f t="shared" si="217"/>
        <v>1</v>
      </c>
      <c r="N67" s="188">
        <v>1</v>
      </c>
      <c r="O67" s="188">
        <f t="shared" si="218"/>
        <v>53</v>
      </c>
      <c r="P67" s="214">
        <f t="shared" si="219"/>
        <v>1</v>
      </c>
      <c r="Q67" s="214">
        <f t="shared" si="220"/>
        <v>1</v>
      </c>
      <c r="R67" s="188">
        <v>1</v>
      </c>
      <c r="S67" s="188">
        <f t="shared" si="221"/>
        <v>53</v>
      </c>
      <c r="T67" s="214">
        <f t="shared" si="222"/>
        <v>1</v>
      </c>
      <c r="U67" s="214">
        <f t="shared" si="223"/>
        <v>1</v>
      </c>
      <c r="V67" s="215">
        <v>1</v>
      </c>
      <c r="W67" s="188">
        <f t="shared" si="224"/>
        <v>53</v>
      </c>
      <c r="X67" s="214">
        <f t="shared" si="225"/>
        <v>1</v>
      </c>
      <c r="Y67" s="214">
        <f t="shared" si="226"/>
        <v>1</v>
      </c>
      <c r="Z67" s="216">
        <f>730772000/1000000000</f>
        <v>0.73077199999999998</v>
      </c>
      <c r="AA67" s="188">
        <v>0</v>
      </c>
      <c r="AB67" s="188">
        <f t="shared" si="112"/>
        <v>0</v>
      </c>
      <c r="AC67" s="214">
        <f t="shared" si="113"/>
        <v>0</v>
      </c>
      <c r="AD67" s="214">
        <f t="shared" si="114"/>
        <v>0</v>
      </c>
      <c r="AE67" s="188"/>
      <c r="AF67" s="188">
        <f t="shared" si="115"/>
        <v>0</v>
      </c>
      <c r="AG67" s="188"/>
      <c r="AH67" s="188"/>
      <c r="AI67" s="188">
        <v>0</v>
      </c>
      <c r="AJ67" s="188">
        <f t="shared" si="2"/>
        <v>0</v>
      </c>
      <c r="AK67" s="188"/>
      <c r="AL67" s="188">
        <v>0</v>
      </c>
      <c r="AM67" s="188">
        <v>0</v>
      </c>
      <c r="AN67" s="217"/>
      <c r="AO67" s="188"/>
      <c r="AP67" s="188"/>
      <c r="AQ67" s="188"/>
      <c r="AR67" s="188"/>
      <c r="AS67" s="188"/>
      <c r="AT67" s="188"/>
      <c r="AU67" s="188"/>
      <c r="AV67" s="188"/>
      <c r="AW67" s="188"/>
      <c r="AX67" s="188"/>
      <c r="AY67" s="188"/>
      <c r="AZ67" s="188"/>
      <c r="BA67" s="188"/>
      <c r="BB67" s="188">
        <f t="shared" si="15"/>
        <v>0</v>
      </c>
      <c r="BD67" s="196">
        <f t="shared" si="118"/>
        <v>0</v>
      </c>
      <c r="BE67" s="188">
        <f t="shared" si="231"/>
        <v>0</v>
      </c>
      <c r="BF67" s="188">
        <f t="shared" si="232"/>
        <v>0</v>
      </c>
      <c r="BG67" s="188">
        <f t="shared" si="233"/>
        <v>0</v>
      </c>
      <c r="BH67" s="188">
        <f t="shared" si="234"/>
        <v>0</v>
      </c>
      <c r="BI67" s="188">
        <f t="shared" si="235"/>
        <v>0</v>
      </c>
      <c r="BJ67" s="188">
        <f t="shared" si="236"/>
        <v>0</v>
      </c>
      <c r="BK67" s="188">
        <f t="shared" si="22"/>
        <v>0</v>
      </c>
      <c r="BN67" s="267">
        <v>37</v>
      </c>
      <c r="BO67" s="277">
        <v>1</v>
      </c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B67" s="188"/>
      <c r="CD67" s="188">
        <f t="shared" si="23"/>
        <v>37</v>
      </c>
      <c r="CE67" s="188">
        <f t="shared" si="24"/>
        <v>37</v>
      </c>
      <c r="CF67" s="188">
        <f t="shared" si="25"/>
        <v>0</v>
      </c>
      <c r="CG67" s="188">
        <f t="shared" si="26"/>
        <v>0</v>
      </c>
      <c r="CH67" s="188">
        <f t="shared" si="27"/>
        <v>0</v>
      </c>
      <c r="CI67" s="188">
        <f t="shared" si="28"/>
        <v>0</v>
      </c>
      <c r="CJ67" s="188">
        <f t="shared" si="29"/>
        <v>0</v>
      </c>
      <c r="CK67" s="188">
        <f t="shared" si="30"/>
        <v>0</v>
      </c>
      <c r="CL67" s="188">
        <f t="shared" si="31"/>
        <v>0</v>
      </c>
      <c r="CM67" s="188">
        <f t="shared" si="32"/>
        <v>0</v>
      </c>
      <c r="CN67" s="188">
        <f t="shared" si="33"/>
        <v>0</v>
      </c>
      <c r="CO67" s="188">
        <f t="shared" si="34"/>
        <v>0</v>
      </c>
      <c r="CP67" s="188">
        <f t="shared" si="35"/>
        <v>0</v>
      </c>
      <c r="DV67" s="188">
        <f t="shared" si="237"/>
        <v>0</v>
      </c>
      <c r="DW67" s="188">
        <f t="shared" si="238"/>
        <v>0</v>
      </c>
      <c r="DX67" s="188">
        <f t="shared" si="239"/>
        <v>0</v>
      </c>
      <c r="DY67" s="188">
        <f t="shared" si="240"/>
        <v>0</v>
      </c>
      <c r="DZ67" s="188">
        <f t="shared" si="241"/>
        <v>0</v>
      </c>
      <c r="EA67" s="188">
        <f t="shared" si="242"/>
        <v>0</v>
      </c>
      <c r="EB67" s="188">
        <f t="shared" si="42"/>
        <v>0</v>
      </c>
      <c r="EG67" s="220">
        <f t="shared" si="43"/>
        <v>0</v>
      </c>
      <c r="EH67" s="220">
        <f t="shared" si="44"/>
        <v>0</v>
      </c>
      <c r="EI67" s="188">
        <v>1</v>
      </c>
      <c r="EJ67" s="188"/>
      <c r="EK67" s="188"/>
      <c r="EL67" s="188"/>
      <c r="EM67" s="188"/>
      <c r="EN67" s="188"/>
      <c r="EO67" s="188"/>
      <c r="EP67" s="188"/>
      <c r="EQ67" s="188"/>
      <c r="ER67" s="188"/>
      <c r="ES67" s="188"/>
      <c r="ET67" s="188"/>
      <c r="EU67" s="188"/>
      <c r="EV67" s="188"/>
      <c r="EW67" s="188"/>
      <c r="EX67" s="188"/>
      <c r="EY67" s="188"/>
      <c r="EZ67" s="188"/>
      <c r="FA67" s="188"/>
      <c r="FB67" s="188"/>
      <c r="FC67" s="188"/>
      <c r="FD67" s="188"/>
      <c r="FE67" s="188"/>
      <c r="FF67" s="188"/>
      <c r="FH67" s="189"/>
      <c r="FI67" s="189"/>
      <c r="FJ67" s="189"/>
      <c r="FK67" s="189"/>
      <c r="FL67" s="189"/>
      <c r="FM67" s="189"/>
      <c r="FN67" s="189"/>
      <c r="FO67" s="189"/>
      <c r="FP67" s="189"/>
      <c r="FQ67" s="189"/>
      <c r="FR67" s="189"/>
      <c r="FS67" s="189"/>
      <c r="FT67" s="189"/>
      <c r="FU67" s="189"/>
      <c r="FV67" s="189"/>
      <c r="FX67" s="217">
        <v>1</v>
      </c>
      <c r="FY67" s="188">
        <f t="shared" si="45"/>
        <v>37</v>
      </c>
      <c r="FZ67" s="188">
        <f t="shared" si="250"/>
        <v>37</v>
      </c>
      <c r="GA67" s="188">
        <f t="shared" si="251"/>
        <v>0</v>
      </c>
      <c r="GB67" s="188">
        <f t="shared" si="252"/>
        <v>0</v>
      </c>
      <c r="GC67" s="188">
        <f t="shared" si="253"/>
        <v>0</v>
      </c>
      <c r="GD67" s="188">
        <f t="shared" si="254"/>
        <v>0</v>
      </c>
      <c r="GE67" s="188">
        <f t="shared" si="255"/>
        <v>0</v>
      </c>
      <c r="GF67" s="199"/>
      <c r="GG67" s="189">
        <v>0</v>
      </c>
      <c r="GH67" s="189">
        <v>0</v>
      </c>
      <c r="GI67" s="199"/>
      <c r="GJ67" s="200">
        <f t="shared" si="52"/>
        <v>0</v>
      </c>
      <c r="GK67" s="200">
        <f t="shared" si="53"/>
        <v>0</v>
      </c>
      <c r="GO67" s="189">
        <f t="shared" si="256"/>
        <v>0</v>
      </c>
      <c r="GP67" s="189">
        <f t="shared" si="257"/>
        <v>0</v>
      </c>
      <c r="GQ67" s="189">
        <f t="shared" si="258"/>
        <v>0</v>
      </c>
      <c r="GR67" s="189">
        <f t="shared" si="259"/>
        <v>0</v>
      </c>
      <c r="GS67" s="189">
        <f t="shared" si="260"/>
        <v>0</v>
      </c>
      <c r="GT67" s="189">
        <f t="shared" si="124"/>
        <v>1</v>
      </c>
      <c r="GU67" s="201">
        <f t="shared" si="125"/>
        <v>43243</v>
      </c>
      <c r="GV67" s="189" t="str">
        <f t="shared" si="126"/>
        <v>SELESAI</v>
      </c>
      <c r="GW67" s="189">
        <f t="shared" si="127"/>
        <v>0</v>
      </c>
      <c r="GX67" s="202" t="str">
        <f t="shared" si="128"/>
        <v>SELESAI</v>
      </c>
      <c r="GY67" s="202">
        <f t="shared" si="129"/>
        <v>0</v>
      </c>
      <c r="GZ67" s="203" t="str">
        <f t="shared" si="130"/>
        <v>SELESAI</v>
      </c>
      <c r="HA67" s="204"/>
      <c r="HB67" s="204"/>
      <c r="HC67" s="189">
        <f t="shared" si="261"/>
        <v>0</v>
      </c>
      <c r="HD67" s="189">
        <f t="shared" si="262"/>
        <v>0</v>
      </c>
      <c r="HE67" s="189">
        <f t="shared" si="133"/>
        <v>0</v>
      </c>
      <c r="HF67" s="189">
        <f t="shared" si="134"/>
        <v>0</v>
      </c>
      <c r="HG67" s="189">
        <f t="shared" si="135"/>
        <v>0</v>
      </c>
      <c r="HH67" s="201" t="str">
        <f t="shared" si="136"/>
        <v>TIDAK KONSINYASI</v>
      </c>
      <c r="HI67" s="201" t="str">
        <f t="shared" si="137"/>
        <v>SELESAI</v>
      </c>
      <c r="HJ67" s="205"/>
      <c r="HK67" s="201">
        <f t="shared" si="138"/>
        <v>0</v>
      </c>
      <c r="HL67" s="204"/>
      <c r="HM67" s="204"/>
      <c r="HN67" s="204"/>
      <c r="HO67" s="204"/>
      <c r="HP67" s="203">
        <f t="shared" si="139"/>
        <v>0</v>
      </c>
      <c r="HQ67" s="202">
        <f t="shared" si="140"/>
        <v>0</v>
      </c>
      <c r="HR67" s="202">
        <f t="shared" si="263"/>
        <v>0</v>
      </c>
      <c r="HS67" s="203">
        <f t="shared" si="142"/>
        <v>0</v>
      </c>
      <c r="HT67" s="202">
        <f t="shared" si="143"/>
        <v>0</v>
      </c>
      <c r="HU67" s="202">
        <f t="shared" si="264"/>
        <v>0</v>
      </c>
      <c r="HV67" s="203">
        <f t="shared" si="145"/>
        <v>0</v>
      </c>
      <c r="HW67" s="202">
        <f t="shared" si="146"/>
        <v>0</v>
      </c>
      <c r="HX67" s="202">
        <f t="shared" si="265"/>
        <v>0</v>
      </c>
      <c r="HY67" s="203">
        <f t="shared" si="148"/>
        <v>0</v>
      </c>
      <c r="HZ67" s="202">
        <f t="shared" si="149"/>
        <v>0</v>
      </c>
      <c r="IA67" s="202">
        <f t="shared" si="266"/>
        <v>0</v>
      </c>
      <c r="IB67" s="203">
        <f t="shared" si="151"/>
        <v>0</v>
      </c>
      <c r="IC67" s="202">
        <f t="shared" si="152"/>
        <v>0</v>
      </c>
      <c r="ID67" s="202">
        <f t="shared" si="267"/>
        <v>0</v>
      </c>
      <c r="IE67" s="203">
        <f t="shared" si="154"/>
        <v>0</v>
      </c>
      <c r="IF67" s="202">
        <f t="shared" si="155"/>
        <v>0</v>
      </c>
      <c r="IG67" s="202">
        <f t="shared" si="268"/>
        <v>0</v>
      </c>
      <c r="IH67" s="203">
        <f t="shared" si="157"/>
        <v>0</v>
      </c>
      <c r="II67" s="202">
        <f t="shared" si="158"/>
        <v>0</v>
      </c>
      <c r="IJ67" s="202">
        <f t="shared" si="269"/>
        <v>0</v>
      </c>
      <c r="IK67" s="203">
        <f t="shared" si="160"/>
        <v>0</v>
      </c>
      <c r="IL67" s="202">
        <f t="shared" si="161"/>
        <v>0</v>
      </c>
      <c r="IM67" s="202">
        <f t="shared" si="270"/>
        <v>0</v>
      </c>
      <c r="IN67" s="204"/>
      <c r="IO67" s="203">
        <f t="shared" si="163"/>
        <v>0</v>
      </c>
      <c r="IP67" s="202">
        <f t="shared" si="271"/>
        <v>0</v>
      </c>
      <c r="IQ67" s="202">
        <f t="shared" si="272"/>
        <v>0</v>
      </c>
      <c r="IR67" s="204"/>
      <c r="IS67" s="203"/>
      <c r="IT67" s="202">
        <f t="shared" si="273"/>
        <v>1</v>
      </c>
      <c r="IU67" s="202">
        <f t="shared" si="274"/>
        <v>53</v>
      </c>
      <c r="IV67" s="204"/>
      <c r="IW67" s="203"/>
      <c r="IX67" s="202">
        <f t="shared" si="275"/>
        <v>0</v>
      </c>
      <c r="IY67" s="202">
        <f t="shared" si="276"/>
        <v>0</v>
      </c>
      <c r="IZ67" s="204"/>
      <c r="JA67" s="203"/>
      <c r="JB67" s="202">
        <f t="shared" si="277"/>
        <v>0</v>
      </c>
      <c r="JC67" s="202">
        <f t="shared" si="278"/>
        <v>0</v>
      </c>
      <c r="JD67" s="204"/>
      <c r="JE67" s="203"/>
      <c r="JF67" s="202">
        <f t="shared" si="172"/>
        <v>1</v>
      </c>
      <c r="JG67" s="202">
        <f t="shared" si="173"/>
        <v>53</v>
      </c>
      <c r="JH67" s="204"/>
      <c r="JI67" s="203"/>
      <c r="JJ67" s="202">
        <f t="shared" si="279"/>
        <v>0</v>
      </c>
      <c r="JK67" s="202">
        <f t="shared" si="280"/>
        <v>0</v>
      </c>
      <c r="JM67" s="203">
        <f t="shared" si="176"/>
        <v>0</v>
      </c>
      <c r="JO67" s="196">
        <f t="shared" si="54"/>
        <v>1</v>
      </c>
      <c r="JP67" s="189">
        <f t="shared" si="281"/>
        <v>37</v>
      </c>
      <c r="JQ67" s="189">
        <f t="shared" si="282"/>
        <v>1</v>
      </c>
      <c r="JR67" s="189">
        <f t="shared" si="283"/>
        <v>0</v>
      </c>
      <c r="JS67" s="189">
        <f t="shared" si="284"/>
        <v>0</v>
      </c>
      <c r="JT67" s="189">
        <f t="shared" si="285"/>
        <v>0</v>
      </c>
      <c r="JU67" s="189">
        <f t="shared" si="286"/>
        <v>0</v>
      </c>
      <c r="JV67" s="189">
        <f t="shared" si="287"/>
        <v>0</v>
      </c>
      <c r="JW67" s="189">
        <f t="shared" si="288"/>
        <v>0</v>
      </c>
      <c r="JX67" s="189">
        <f t="shared" si="289"/>
        <v>0</v>
      </c>
      <c r="JY67" s="189">
        <f t="shared" si="290"/>
        <v>0</v>
      </c>
      <c r="JZ67" s="189">
        <f t="shared" si="291"/>
        <v>0</v>
      </c>
      <c r="KA67" s="189">
        <f t="shared" si="292"/>
        <v>0</v>
      </c>
      <c r="KB67" s="189">
        <f t="shared" si="293"/>
        <v>0</v>
      </c>
      <c r="KD67" s="206">
        <f t="shared" si="177"/>
        <v>0</v>
      </c>
      <c r="KE67" s="206">
        <f t="shared" si="69"/>
        <v>0</v>
      </c>
      <c r="KF67" s="206">
        <f t="shared" si="294"/>
        <v>37</v>
      </c>
      <c r="KG67" s="206">
        <f t="shared" si="295"/>
        <v>37</v>
      </c>
      <c r="KH67" s="206">
        <f t="shared" si="296"/>
        <v>0</v>
      </c>
      <c r="KI67" s="206">
        <f t="shared" si="297"/>
        <v>0</v>
      </c>
      <c r="KJ67" s="206">
        <f t="shared" si="298"/>
        <v>0</v>
      </c>
      <c r="KK67" s="206">
        <f t="shared" si="299"/>
        <v>0</v>
      </c>
      <c r="KL67" s="206">
        <f t="shared" si="300"/>
        <v>0</v>
      </c>
      <c r="KM67" s="206">
        <f t="shared" si="301"/>
        <v>0</v>
      </c>
      <c r="KN67" s="221">
        <f t="shared" si="302"/>
        <v>0</v>
      </c>
      <c r="KO67" s="221">
        <f t="shared" si="303"/>
        <v>0</v>
      </c>
      <c r="KP67" s="221">
        <f t="shared" si="304"/>
        <v>0</v>
      </c>
      <c r="KQ67" s="221">
        <f t="shared" si="305"/>
        <v>0</v>
      </c>
      <c r="KR67" s="221">
        <f t="shared" si="306"/>
        <v>0</v>
      </c>
      <c r="KT67" s="195">
        <f t="shared" si="307"/>
        <v>0</v>
      </c>
      <c r="KU67" s="221"/>
      <c r="KV67" s="221"/>
      <c r="KW67" s="221"/>
      <c r="KX67" s="221"/>
      <c r="KY67" s="221"/>
      <c r="KZ67" s="221"/>
      <c r="LA67" s="221"/>
      <c r="LB67" s="221"/>
      <c r="LC67" s="221"/>
      <c r="LD67" s="221"/>
      <c r="LE67" s="221"/>
      <c r="LF67" s="221"/>
      <c r="LG67" s="221"/>
      <c r="LH67" s="221"/>
      <c r="LI67" s="221"/>
      <c r="LJ67" s="221"/>
      <c r="LK67" s="221"/>
      <c r="LL67" s="221"/>
      <c r="LM67" s="221"/>
      <c r="LN67" s="221"/>
      <c r="LO67" s="221"/>
      <c r="LP67" s="221"/>
      <c r="LQ67" s="221"/>
      <c r="LR67" s="221"/>
      <c r="LS67" s="221"/>
      <c r="LT67" s="221"/>
      <c r="LU67" s="221"/>
      <c r="LV67" s="221"/>
      <c r="LW67" s="221"/>
      <c r="LX67" s="221"/>
      <c r="LY67" s="221"/>
      <c r="LZ67" s="221"/>
      <c r="MA67" s="221"/>
      <c r="MB67" s="221"/>
      <c r="MC67" s="221"/>
      <c r="MD67" s="221"/>
      <c r="ME67" s="221"/>
      <c r="MF67" s="221"/>
      <c r="MG67" s="221"/>
      <c r="MH67" s="221"/>
      <c r="MI67" s="221"/>
      <c r="MJ67" s="221"/>
      <c r="MK67" s="221"/>
      <c r="ML67" s="221"/>
      <c r="MM67" s="221"/>
      <c r="MN67" s="221"/>
      <c r="MO67" s="221"/>
      <c r="MP67" s="221"/>
      <c r="MQ67" s="221"/>
      <c r="MR67" s="221"/>
      <c r="MS67" s="221"/>
      <c r="MT67" s="221"/>
      <c r="MU67" s="221"/>
      <c r="MV67" s="221"/>
      <c r="MW67" s="221"/>
      <c r="MX67" s="221"/>
      <c r="MY67" s="221"/>
      <c r="MZ67" s="221"/>
      <c r="NA67" s="221"/>
      <c r="NB67" s="221"/>
      <c r="NC67" s="221"/>
      <c r="ND67" s="221"/>
      <c r="NE67" s="221"/>
      <c r="NF67" s="221"/>
      <c r="NG67" s="221"/>
      <c r="NH67" s="221"/>
      <c r="NI67" s="221"/>
      <c r="NJ67" s="221"/>
      <c r="NK67" s="221"/>
      <c r="NM67" s="195">
        <f t="shared" si="178"/>
        <v>0</v>
      </c>
      <c r="NN67" s="195">
        <f t="shared" si="179"/>
        <v>0</v>
      </c>
      <c r="NO67" s="195">
        <f t="shared" si="180"/>
        <v>0</v>
      </c>
      <c r="NP67" s="195">
        <f t="shared" si="181"/>
        <v>0</v>
      </c>
      <c r="NQ67" s="195">
        <f t="shared" si="182"/>
        <v>0</v>
      </c>
      <c r="NR67" s="195">
        <f t="shared" si="183"/>
        <v>0</v>
      </c>
      <c r="NS67" s="195">
        <f t="shared" si="184"/>
        <v>0</v>
      </c>
      <c r="NT67" s="195">
        <f t="shared" si="185"/>
        <v>0</v>
      </c>
      <c r="NU67" s="196">
        <f t="shared" si="186"/>
        <v>0</v>
      </c>
      <c r="NY67" s="215">
        <f t="shared" si="249"/>
        <v>1</v>
      </c>
      <c r="NZ67" s="222">
        <v>9800000</v>
      </c>
      <c r="OE67" s="207">
        <f t="shared" si="243"/>
        <v>0</v>
      </c>
      <c r="OF67" s="207">
        <f t="shared" si="244"/>
        <v>0</v>
      </c>
      <c r="OG67" s="207">
        <f t="shared" si="245"/>
        <v>0</v>
      </c>
      <c r="OH67" s="207">
        <f t="shared" si="188"/>
        <v>0</v>
      </c>
      <c r="OI67" s="207">
        <f t="shared" si="246"/>
        <v>0</v>
      </c>
      <c r="OJ67" s="199">
        <f t="shared" si="189"/>
        <v>0</v>
      </c>
      <c r="OK67" s="199">
        <f t="shared" si="190"/>
        <v>0</v>
      </c>
      <c r="OL67" s="199">
        <f t="shared" si="191"/>
        <v>0</v>
      </c>
      <c r="OM67" s="199">
        <f t="shared" si="192"/>
        <v>0</v>
      </c>
      <c r="OO67" s="207">
        <f t="shared" si="247"/>
        <v>0</v>
      </c>
      <c r="OP67" s="207">
        <f t="shared" si="248"/>
        <v>0</v>
      </c>
      <c r="OQ67" s="207">
        <f t="shared" si="193"/>
        <v>0</v>
      </c>
      <c r="OR67" s="207">
        <f t="shared" si="194"/>
        <v>0</v>
      </c>
      <c r="OS67" s="207">
        <f t="shared" si="195"/>
        <v>0</v>
      </c>
      <c r="OT67" s="199">
        <f t="shared" si="196"/>
        <v>0</v>
      </c>
      <c r="OU67" s="199">
        <f t="shared" si="197"/>
        <v>0</v>
      </c>
      <c r="OV67" s="199">
        <f t="shared" si="198"/>
        <v>0</v>
      </c>
      <c r="OW67" s="199">
        <f t="shared" si="199"/>
        <v>0</v>
      </c>
      <c r="OZ67" s="208">
        <f t="shared" si="91"/>
        <v>0</v>
      </c>
      <c r="PA67" s="209"/>
      <c r="PB67" s="209"/>
      <c r="PC67" s="209"/>
      <c r="PD67" s="210">
        <f t="shared" si="200"/>
        <v>0</v>
      </c>
      <c r="PE67" s="210"/>
      <c r="PF67" s="210">
        <f t="shared" si="201"/>
        <v>0</v>
      </c>
      <c r="PG67" s="210">
        <f t="shared" si="202"/>
        <v>0</v>
      </c>
      <c r="PH67" s="210">
        <f t="shared" si="92"/>
        <v>0</v>
      </c>
      <c r="PI67" s="210">
        <f t="shared" si="93"/>
        <v>0</v>
      </c>
      <c r="PJ67" s="210">
        <f t="shared" si="94"/>
        <v>0</v>
      </c>
      <c r="PK67" s="210">
        <f t="shared" si="95"/>
        <v>0</v>
      </c>
      <c r="PL67" s="210">
        <f t="shared" si="96"/>
        <v>0</v>
      </c>
      <c r="PM67" s="211"/>
      <c r="PN67" s="211"/>
      <c r="PO67" s="212">
        <f t="shared" si="203"/>
        <v>0</v>
      </c>
      <c r="PP67" s="212">
        <f t="shared" si="204"/>
        <v>0</v>
      </c>
      <c r="PQ67" s="212">
        <f t="shared" si="205"/>
        <v>0</v>
      </c>
      <c r="PR67" s="211"/>
      <c r="PS67" s="211"/>
      <c r="PT67" s="211"/>
      <c r="PU67" s="211"/>
      <c r="XFC67" s="195">
        <v>149010000</v>
      </c>
    </row>
    <row r="68" spans="1:437 16383:16383" s="195" customFormat="1" ht="16" x14ac:dyDescent="0.2">
      <c r="A68" s="213">
        <f t="shared" si="206"/>
        <v>58</v>
      </c>
      <c r="B68" s="186" t="s">
        <v>73</v>
      </c>
      <c r="C68" s="186">
        <v>63</v>
      </c>
      <c r="D68" s="188">
        <v>1</v>
      </c>
      <c r="E68" s="188">
        <v>104</v>
      </c>
      <c r="F68" s="188">
        <v>1</v>
      </c>
      <c r="G68" s="188">
        <f t="shared" si="308"/>
        <v>104</v>
      </c>
      <c r="H68" s="214">
        <f t="shared" si="213"/>
        <v>1</v>
      </c>
      <c r="I68" s="214">
        <f t="shared" si="214"/>
        <v>1</v>
      </c>
      <c r="J68" s="188">
        <v>1</v>
      </c>
      <c r="K68" s="188">
        <f t="shared" si="215"/>
        <v>104</v>
      </c>
      <c r="L68" s="214">
        <f t="shared" si="216"/>
        <v>1</v>
      </c>
      <c r="M68" s="214">
        <f t="shared" si="217"/>
        <v>1</v>
      </c>
      <c r="N68" s="188">
        <v>1</v>
      </c>
      <c r="O68" s="188">
        <f t="shared" si="218"/>
        <v>104</v>
      </c>
      <c r="P68" s="214">
        <f t="shared" si="219"/>
        <v>1</v>
      </c>
      <c r="Q68" s="214">
        <f t="shared" si="220"/>
        <v>1</v>
      </c>
      <c r="R68" s="188">
        <v>1</v>
      </c>
      <c r="S68" s="188">
        <f t="shared" si="221"/>
        <v>104</v>
      </c>
      <c r="T68" s="214">
        <f t="shared" si="222"/>
        <v>1</v>
      </c>
      <c r="U68" s="214">
        <f t="shared" si="223"/>
        <v>1</v>
      </c>
      <c r="V68" s="215">
        <v>1</v>
      </c>
      <c r="W68" s="188">
        <f t="shared" si="224"/>
        <v>104</v>
      </c>
      <c r="X68" s="214">
        <f t="shared" si="225"/>
        <v>1</v>
      </c>
      <c r="Y68" s="214">
        <f t="shared" si="226"/>
        <v>1</v>
      </c>
      <c r="Z68" s="216">
        <f>(1650400000+86879000)/1000000000</f>
        <v>1.737279</v>
      </c>
      <c r="AA68" s="188">
        <v>0</v>
      </c>
      <c r="AB68" s="188">
        <f t="shared" si="112"/>
        <v>0</v>
      </c>
      <c r="AC68" s="214">
        <f t="shared" si="113"/>
        <v>0</v>
      </c>
      <c r="AD68" s="214">
        <f t="shared" si="114"/>
        <v>0</v>
      </c>
      <c r="AE68" s="188"/>
      <c r="AF68" s="188">
        <f t="shared" si="115"/>
        <v>0</v>
      </c>
      <c r="AG68" s="188"/>
      <c r="AH68" s="188"/>
      <c r="AI68" s="188">
        <v>0</v>
      </c>
      <c r="AJ68" s="188">
        <f t="shared" si="2"/>
        <v>0</v>
      </c>
      <c r="AK68" s="188"/>
      <c r="AL68" s="188">
        <v>0</v>
      </c>
      <c r="AM68" s="188">
        <v>0</v>
      </c>
      <c r="AN68" s="217"/>
      <c r="AO68" s="188"/>
      <c r="AP68" s="188"/>
      <c r="AQ68" s="188"/>
      <c r="AR68" s="188"/>
      <c r="AS68" s="188"/>
      <c r="AT68" s="188"/>
      <c r="AU68" s="188"/>
      <c r="AV68" s="188"/>
      <c r="AW68" s="188"/>
      <c r="AX68" s="188"/>
      <c r="AY68" s="188"/>
      <c r="AZ68" s="188"/>
      <c r="BA68" s="188"/>
      <c r="BB68" s="188">
        <f t="shared" si="15"/>
        <v>0</v>
      </c>
      <c r="BD68" s="196">
        <f t="shared" si="118"/>
        <v>0</v>
      </c>
      <c r="BE68" s="188">
        <f t="shared" si="231"/>
        <v>0</v>
      </c>
      <c r="BF68" s="188">
        <f t="shared" si="232"/>
        <v>0</v>
      </c>
      <c r="BG68" s="188">
        <f t="shared" si="233"/>
        <v>0</v>
      </c>
      <c r="BH68" s="188">
        <f t="shared" si="234"/>
        <v>0</v>
      </c>
      <c r="BI68" s="188">
        <f t="shared" si="235"/>
        <v>0</v>
      </c>
      <c r="BJ68" s="188">
        <f t="shared" si="236"/>
        <v>0</v>
      </c>
      <c r="BK68" s="188">
        <f t="shared" si="22"/>
        <v>0</v>
      </c>
      <c r="BN68" s="143"/>
      <c r="BO68" s="277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B68" s="188"/>
      <c r="CD68" s="188">
        <f t="shared" si="23"/>
        <v>0</v>
      </c>
      <c r="CE68" s="188">
        <f t="shared" si="24"/>
        <v>0</v>
      </c>
      <c r="CF68" s="188">
        <f t="shared" si="25"/>
        <v>0</v>
      </c>
      <c r="CG68" s="188">
        <f t="shared" si="26"/>
        <v>0</v>
      </c>
      <c r="CH68" s="188">
        <f t="shared" si="27"/>
        <v>0</v>
      </c>
      <c r="CI68" s="188">
        <f t="shared" si="28"/>
        <v>0</v>
      </c>
      <c r="CJ68" s="188">
        <f t="shared" si="29"/>
        <v>0</v>
      </c>
      <c r="CK68" s="188">
        <f t="shared" si="30"/>
        <v>0</v>
      </c>
      <c r="CL68" s="188">
        <f t="shared" si="31"/>
        <v>0</v>
      </c>
      <c r="CM68" s="188">
        <f t="shared" si="32"/>
        <v>0</v>
      </c>
      <c r="CN68" s="188">
        <f t="shared" si="33"/>
        <v>0</v>
      </c>
      <c r="CO68" s="188">
        <f t="shared" si="34"/>
        <v>0</v>
      </c>
      <c r="CP68" s="188">
        <f t="shared" si="35"/>
        <v>0</v>
      </c>
      <c r="DV68" s="188">
        <f t="shared" si="237"/>
        <v>0</v>
      </c>
      <c r="DW68" s="188">
        <f t="shared" si="238"/>
        <v>0</v>
      </c>
      <c r="DX68" s="188">
        <f t="shared" si="239"/>
        <v>0</v>
      </c>
      <c r="DY68" s="188">
        <f t="shared" si="240"/>
        <v>0</v>
      </c>
      <c r="DZ68" s="188">
        <f t="shared" si="241"/>
        <v>0</v>
      </c>
      <c r="EA68" s="188">
        <f t="shared" si="242"/>
        <v>0</v>
      </c>
      <c r="EB68" s="188">
        <f t="shared" si="42"/>
        <v>0</v>
      </c>
      <c r="EG68" s="220">
        <f t="shared" si="43"/>
        <v>0</v>
      </c>
      <c r="EH68" s="220">
        <f t="shared" si="44"/>
        <v>0</v>
      </c>
      <c r="EI68" s="188"/>
      <c r="EJ68" s="188"/>
      <c r="EK68" s="188"/>
      <c r="EL68" s="188"/>
      <c r="EM68" s="188"/>
      <c r="EN68" s="188"/>
      <c r="EO68" s="188"/>
      <c r="EP68" s="188"/>
      <c r="EQ68" s="188"/>
      <c r="ER68" s="188"/>
      <c r="ES68" s="188"/>
      <c r="ET68" s="188"/>
      <c r="EU68" s="188"/>
      <c r="EV68" s="188"/>
      <c r="EW68" s="188"/>
      <c r="EX68" s="188"/>
      <c r="EY68" s="188"/>
      <c r="EZ68" s="188"/>
      <c r="FA68" s="188"/>
      <c r="FB68" s="188"/>
      <c r="FC68" s="188"/>
      <c r="FD68" s="188"/>
      <c r="FE68" s="188"/>
      <c r="FF68" s="188"/>
      <c r="FH68" s="189"/>
      <c r="FI68" s="189"/>
      <c r="FJ68" s="189"/>
      <c r="FK68" s="189"/>
      <c r="FL68" s="189"/>
      <c r="FM68" s="189"/>
      <c r="FN68" s="189"/>
      <c r="FO68" s="189"/>
      <c r="FP68" s="189"/>
      <c r="FQ68" s="189"/>
      <c r="FR68" s="189"/>
      <c r="FS68" s="189"/>
      <c r="FT68" s="189"/>
      <c r="FU68" s="189"/>
      <c r="FV68" s="189"/>
      <c r="FX68" s="217"/>
      <c r="FY68" s="188">
        <f t="shared" si="45"/>
        <v>0</v>
      </c>
      <c r="FZ68" s="188">
        <f t="shared" si="250"/>
        <v>0</v>
      </c>
      <c r="GA68" s="188">
        <f t="shared" si="251"/>
        <v>0</v>
      </c>
      <c r="GB68" s="188">
        <f t="shared" si="252"/>
        <v>0</v>
      </c>
      <c r="GC68" s="188">
        <f t="shared" si="253"/>
        <v>0</v>
      </c>
      <c r="GD68" s="188">
        <f t="shared" si="254"/>
        <v>0</v>
      </c>
      <c r="GE68" s="188">
        <f t="shared" si="255"/>
        <v>0</v>
      </c>
      <c r="GF68" s="199"/>
      <c r="GG68" s="189">
        <v>0</v>
      </c>
      <c r="GH68" s="189">
        <v>0</v>
      </c>
      <c r="GI68" s="199"/>
      <c r="GJ68" s="200">
        <f t="shared" si="52"/>
        <v>0</v>
      </c>
      <c r="GK68" s="200">
        <f t="shared" si="53"/>
        <v>0</v>
      </c>
      <c r="GO68" s="189">
        <f t="shared" si="256"/>
        <v>0</v>
      </c>
      <c r="GP68" s="189">
        <f t="shared" si="257"/>
        <v>0</v>
      </c>
      <c r="GQ68" s="189">
        <f t="shared" si="258"/>
        <v>0</v>
      </c>
      <c r="GR68" s="189">
        <f t="shared" si="259"/>
        <v>0</v>
      </c>
      <c r="GS68" s="189">
        <f t="shared" si="260"/>
        <v>0</v>
      </c>
      <c r="GT68" s="189">
        <f t="shared" si="124"/>
        <v>1</v>
      </c>
      <c r="GU68" s="201">
        <f t="shared" si="125"/>
        <v>43243</v>
      </c>
      <c r="GV68" s="189" t="str">
        <f t="shared" si="126"/>
        <v>SELESAI</v>
      </c>
      <c r="GW68" s="189">
        <f t="shared" si="127"/>
        <v>0</v>
      </c>
      <c r="GX68" s="202" t="str">
        <f t="shared" si="128"/>
        <v>SELESAI</v>
      </c>
      <c r="GY68" s="202">
        <f t="shared" si="129"/>
        <v>0</v>
      </c>
      <c r="GZ68" s="203" t="str">
        <f t="shared" si="130"/>
        <v>SELESAI</v>
      </c>
      <c r="HA68" s="204"/>
      <c r="HB68" s="204"/>
      <c r="HC68" s="189">
        <f t="shared" si="261"/>
        <v>0</v>
      </c>
      <c r="HD68" s="189">
        <f t="shared" si="262"/>
        <v>0</v>
      </c>
      <c r="HE68" s="189">
        <f t="shared" si="133"/>
        <v>0</v>
      </c>
      <c r="HF68" s="189">
        <f t="shared" si="134"/>
        <v>0</v>
      </c>
      <c r="HG68" s="189">
        <f t="shared" si="135"/>
        <v>0</v>
      </c>
      <c r="HH68" s="201" t="str">
        <f t="shared" si="136"/>
        <v>TIDAK KONSINYASI</v>
      </c>
      <c r="HI68" s="201" t="str">
        <f t="shared" si="137"/>
        <v>SELESAI</v>
      </c>
      <c r="HJ68" s="205"/>
      <c r="HK68" s="201">
        <f t="shared" si="138"/>
        <v>0</v>
      </c>
      <c r="HL68" s="204"/>
      <c r="HM68" s="204"/>
      <c r="HN68" s="204"/>
      <c r="HO68" s="204"/>
      <c r="HP68" s="203">
        <f t="shared" si="139"/>
        <v>0</v>
      </c>
      <c r="HQ68" s="202">
        <f t="shared" si="140"/>
        <v>0</v>
      </c>
      <c r="HR68" s="202">
        <f t="shared" si="263"/>
        <v>0</v>
      </c>
      <c r="HS68" s="203">
        <f t="shared" si="142"/>
        <v>0</v>
      </c>
      <c r="HT68" s="202">
        <f t="shared" si="143"/>
        <v>0</v>
      </c>
      <c r="HU68" s="202">
        <f t="shared" si="264"/>
        <v>0</v>
      </c>
      <c r="HV68" s="203">
        <f t="shared" si="145"/>
        <v>0</v>
      </c>
      <c r="HW68" s="202">
        <f t="shared" si="146"/>
        <v>0</v>
      </c>
      <c r="HX68" s="202">
        <f t="shared" si="265"/>
        <v>0</v>
      </c>
      <c r="HY68" s="203">
        <f t="shared" si="148"/>
        <v>0</v>
      </c>
      <c r="HZ68" s="202">
        <f t="shared" si="149"/>
        <v>0</v>
      </c>
      <c r="IA68" s="202">
        <f t="shared" si="266"/>
        <v>0</v>
      </c>
      <c r="IB68" s="203">
        <f t="shared" si="151"/>
        <v>0</v>
      </c>
      <c r="IC68" s="202">
        <f t="shared" si="152"/>
        <v>0</v>
      </c>
      <c r="ID68" s="202">
        <f t="shared" si="267"/>
        <v>0</v>
      </c>
      <c r="IE68" s="203">
        <f t="shared" si="154"/>
        <v>0</v>
      </c>
      <c r="IF68" s="202">
        <f t="shared" si="155"/>
        <v>0</v>
      </c>
      <c r="IG68" s="202">
        <f t="shared" si="268"/>
        <v>0</v>
      </c>
      <c r="IH68" s="203">
        <f t="shared" si="157"/>
        <v>0</v>
      </c>
      <c r="II68" s="202">
        <f t="shared" si="158"/>
        <v>0</v>
      </c>
      <c r="IJ68" s="202">
        <f t="shared" si="269"/>
        <v>0</v>
      </c>
      <c r="IK68" s="203">
        <f t="shared" si="160"/>
        <v>0</v>
      </c>
      <c r="IL68" s="202">
        <f t="shared" si="161"/>
        <v>0</v>
      </c>
      <c r="IM68" s="202">
        <f t="shared" si="270"/>
        <v>0</v>
      </c>
      <c r="IN68" s="204"/>
      <c r="IO68" s="203">
        <f t="shared" si="163"/>
        <v>0</v>
      </c>
      <c r="IP68" s="202">
        <f t="shared" si="271"/>
        <v>0</v>
      </c>
      <c r="IQ68" s="202">
        <f t="shared" si="272"/>
        <v>0</v>
      </c>
      <c r="IR68" s="204"/>
      <c r="IS68" s="203"/>
      <c r="IT68" s="202">
        <f t="shared" si="273"/>
        <v>1</v>
      </c>
      <c r="IU68" s="202">
        <f t="shared" si="274"/>
        <v>104</v>
      </c>
      <c r="IV68" s="204"/>
      <c r="IW68" s="203"/>
      <c r="IX68" s="202">
        <f t="shared" si="275"/>
        <v>0</v>
      </c>
      <c r="IY68" s="202">
        <f t="shared" si="276"/>
        <v>0</v>
      </c>
      <c r="IZ68" s="204"/>
      <c r="JA68" s="203"/>
      <c r="JB68" s="202">
        <f t="shared" si="277"/>
        <v>0</v>
      </c>
      <c r="JC68" s="202">
        <f t="shared" si="278"/>
        <v>0</v>
      </c>
      <c r="JD68" s="204"/>
      <c r="JE68" s="203"/>
      <c r="JF68" s="202">
        <f t="shared" si="172"/>
        <v>1</v>
      </c>
      <c r="JG68" s="202">
        <f t="shared" si="173"/>
        <v>104</v>
      </c>
      <c r="JH68" s="204"/>
      <c r="JI68" s="203"/>
      <c r="JJ68" s="202">
        <f t="shared" si="279"/>
        <v>0</v>
      </c>
      <c r="JK68" s="202">
        <f t="shared" si="280"/>
        <v>0</v>
      </c>
      <c r="JM68" s="203">
        <f t="shared" si="176"/>
        <v>0</v>
      </c>
      <c r="JO68" s="196">
        <f t="shared" si="54"/>
        <v>0</v>
      </c>
      <c r="JP68" s="189">
        <f t="shared" si="281"/>
        <v>0</v>
      </c>
      <c r="JQ68" s="189">
        <f t="shared" si="282"/>
        <v>0</v>
      </c>
      <c r="JR68" s="189">
        <f t="shared" si="283"/>
        <v>0</v>
      </c>
      <c r="JS68" s="189">
        <f t="shared" si="284"/>
        <v>0</v>
      </c>
      <c r="JT68" s="189">
        <f t="shared" si="285"/>
        <v>0</v>
      </c>
      <c r="JU68" s="189">
        <f t="shared" si="286"/>
        <v>0</v>
      </c>
      <c r="JV68" s="189">
        <f t="shared" si="287"/>
        <v>0</v>
      </c>
      <c r="JW68" s="189">
        <f t="shared" si="288"/>
        <v>0</v>
      </c>
      <c r="JX68" s="189">
        <f t="shared" si="289"/>
        <v>0</v>
      </c>
      <c r="JY68" s="189">
        <f t="shared" si="290"/>
        <v>0</v>
      </c>
      <c r="JZ68" s="189">
        <f t="shared" si="291"/>
        <v>0</v>
      </c>
      <c r="KA68" s="189">
        <f t="shared" si="292"/>
        <v>0</v>
      </c>
      <c r="KB68" s="189">
        <f t="shared" si="293"/>
        <v>0</v>
      </c>
      <c r="KD68" s="206">
        <f t="shared" si="177"/>
        <v>0</v>
      </c>
      <c r="KE68" s="206">
        <f t="shared" si="69"/>
        <v>0</v>
      </c>
      <c r="KF68" s="206">
        <f t="shared" si="294"/>
        <v>0</v>
      </c>
      <c r="KG68" s="206">
        <f t="shared" si="295"/>
        <v>0</v>
      </c>
      <c r="KH68" s="206">
        <f t="shared" si="296"/>
        <v>0</v>
      </c>
      <c r="KI68" s="206">
        <f t="shared" si="297"/>
        <v>0</v>
      </c>
      <c r="KJ68" s="206">
        <f t="shared" si="298"/>
        <v>0</v>
      </c>
      <c r="KK68" s="206">
        <f t="shared" si="299"/>
        <v>0</v>
      </c>
      <c r="KL68" s="206">
        <f t="shared" si="300"/>
        <v>0</v>
      </c>
      <c r="KM68" s="206">
        <f t="shared" si="301"/>
        <v>0</v>
      </c>
      <c r="KN68" s="221">
        <f t="shared" si="302"/>
        <v>0</v>
      </c>
      <c r="KO68" s="221">
        <f t="shared" si="303"/>
        <v>0</v>
      </c>
      <c r="KP68" s="221">
        <f t="shared" si="304"/>
        <v>0</v>
      </c>
      <c r="KQ68" s="221">
        <f t="shared" si="305"/>
        <v>0</v>
      </c>
      <c r="KR68" s="221">
        <f t="shared" si="306"/>
        <v>0</v>
      </c>
      <c r="KT68" s="195">
        <f t="shared" si="307"/>
        <v>0</v>
      </c>
      <c r="KU68" s="221"/>
      <c r="KV68" s="221"/>
      <c r="KW68" s="221"/>
      <c r="KX68" s="221"/>
      <c r="KY68" s="221"/>
      <c r="KZ68" s="221"/>
      <c r="LA68" s="221"/>
      <c r="LB68" s="221"/>
      <c r="LC68" s="221"/>
      <c r="LD68" s="221"/>
      <c r="LE68" s="221"/>
      <c r="LF68" s="221"/>
      <c r="LG68" s="221"/>
      <c r="LH68" s="221"/>
      <c r="LI68" s="221"/>
      <c r="LJ68" s="221"/>
      <c r="LK68" s="221"/>
      <c r="LL68" s="221"/>
      <c r="LM68" s="221"/>
      <c r="LN68" s="221"/>
      <c r="LO68" s="221"/>
      <c r="LP68" s="221"/>
      <c r="LQ68" s="221"/>
      <c r="LR68" s="221"/>
      <c r="LS68" s="221"/>
      <c r="LT68" s="221"/>
      <c r="LU68" s="221"/>
      <c r="LV68" s="221"/>
      <c r="LW68" s="221"/>
      <c r="LX68" s="221"/>
      <c r="LY68" s="221"/>
      <c r="LZ68" s="221"/>
      <c r="MA68" s="221"/>
      <c r="MB68" s="221"/>
      <c r="MC68" s="221"/>
      <c r="MD68" s="221"/>
      <c r="ME68" s="221"/>
      <c r="MF68" s="221"/>
      <c r="MG68" s="221"/>
      <c r="MH68" s="221"/>
      <c r="MI68" s="221"/>
      <c r="MJ68" s="221"/>
      <c r="MK68" s="221"/>
      <c r="ML68" s="221"/>
      <c r="MM68" s="221"/>
      <c r="MN68" s="221"/>
      <c r="MO68" s="221"/>
      <c r="MP68" s="221"/>
      <c r="MQ68" s="221"/>
      <c r="MR68" s="221"/>
      <c r="MS68" s="221"/>
      <c r="MT68" s="221"/>
      <c r="MU68" s="221"/>
      <c r="MV68" s="221"/>
      <c r="MW68" s="221"/>
      <c r="MX68" s="221"/>
      <c r="MY68" s="221"/>
      <c r="MZ68" s="221"/>
      <c r="NA68" s="221"/>
      <c r="NB68" s="221"/>
      <c r="NC68" s="221"/>
      <c r="ND68" s="221"/>
      <c r="NE68" s="221"/>
      <c r="NF68" s="221"/>
      <c r="NG68" s="221"/>
      <c r="NH68" s="221"/>
      <c r="NI68" s="221"/>
      <c r="NJ68" s="221"/>
      <c r="NK68" s="221"/>
      <c r="NM68" s="195">
        <f t="shared" si="178"/>
        <v>0</v>
      </c>
      <c r="NN68" s="195">
        <f t="shared" si="179"/>
        <v>0</v>
      </c>
      <c r="NO68" s="195">
        <f t="shared" si="180"/>
        <v>0</v>
      </c>
      <c r="NP68" s="195">
        <f t="shared" si="181"/>
        <v>0</v>
      </c>
      <c r="NQ68" s="195">
        <f t="shared" si="182"/>
        <v>0</v>
      </c>
      <c r="NR68" s="195">
        <f t="shared" si="183"/>
        <v>0</v>
      </c>
      <c r="NS68" s="195">
        <f t="shared" si="184"/>
        <v>0</v>
      </c>
      <c r="NT68" s="195">
        <f t="shared" si="185"/>
        <v>0</v>
      </c>
      <c r="NU68" s="196">
        <f t="shared" si="186"/>
        <v>0</v>
      </c>
      <c r="NY68" s="215">
        <f t="shared" si="249"/>
        <v>1</v>
      </c>
      <c r="NZ68" s="222">
        <v>11025000</v>
      </c>
      <c r="OE68" s="207">
        <f t="shared" si="243"/>
        <v>0</v>
      </c>
      <c r="OF68" s="207">
        <f t="shared" si="244"/>
        <v>0</v>
      </c>
      <c r="OG68" s="207">
        <f t="shared" si="245"/>
        <v>0</v>
      </c>
      <c r="OH68" s="207">
        <f t="shared" si="188"/>
        <v>0</v>
      </c>
      <c r="OI68" s="207">
        <f t="shared" si="246"/>
        <v>0</v>
      </c>
      <c r="OJ68" s="199">
        <f t="shared" si="189"/>
        <v>0</v>
      </c>
      <c r="OK68" s="199">
        <f t="shared" si="190"/>
        <v>0</v>
      </c>
      <c r="OL68" s="199">
        <f t="shared" si="191"/>
        <v>0</v>
      </c>
      <c r="OM68" s="199">
        <f t="shared" si="192"/>
        <v>0</v>
      </c>
      <c r="OO68" s="207">
        <f t="shared" si="247"/>
        <v>0</v>
      </c>
      <c r="OP68" s="207">
        <f t="shared" si="248"/>
        <v>0</v>
      </c>
      <c r="OQ68" s="207">
        <f t="shared" si="193"/>
        <v>0</v>
      </c>
      <c r="OR68" s="207">
        <f t="shared" si="194"/>
        <v>0</v>
      </c>
      <c r="OS68" s="207">
        <f t="shared" si="195"/>
        <v>0</v>
      </c>
      <c r="OT68" s="199">
        <f t="shared" si="196"/>
        <v>0</v>
      </c>
      <c r="OU68" s="199">
        <f t="shared" si="197"/>
        <v>0</v>
      </c>
      <c r="OV68" s="199">
        <f t="shared" si="198"/>
        <v>0</v>
      </c>
      <c r="OW68" s="199">
        <f t="shared" si="199"/>
        <v>0</v>
      </c>
      <c r="OZ68" s="208">
        <f t="shared" si="91"/>
        <v>0</v>
      </c>
      <c r="PA68" s="209"/>
      <c r="PB68" s="209"/>
      <c r="PC68" s="209"/>
      <c r="PD68" s="210">
        <f t="shared" si="200"/>
        <v>0</v>
      </c>
      <c r="PE68" s="210"/>
      <c r="PF68" s="210">
        <f t="shared" si="201"/>
        <v>0</v>
      </c>
      <c r="PG68" s="210">
        <f t="shared" si="202"/>
        <v>0</v>
      </c>
      <c r="PH68" s="210">
        <f t="shared" si="92"/>
        <v>0</v>
      </c>
      <c r="PI68" s="210">
        <f t="shared" si="93"/>
        <v>0</v>
      </c>
      <c r="PJ68" s="210">
        <f t="shared" si="94"/>
        <v>0</v>
      </c>
      <c r="PK68" s="210">
        <f t="shared" si="95"/>
        <v>0</v>
      </c>
      <c r="PL68" s="210">
        <f t="shared" si="96"/>
        <v>0</v>
      </c>
      <c r="PM68" s="211"/>
      <c r="PN68" s="211"/>
      <c r="PO68" s="212">
        <f t="shared" si="203"/>
        <v>0</v>
      </c>
      <c r="PP68" s="212">
        <f t="shared" si="204"/>
        <v>0</v>
      </c>
      <c r="PQ68" s="212">
        <f t="shared" si="205"/>
        <v>0</v>
      </c>
      <c r="PR68" s="211"/>
      <c r="PS68" s="211"/>
      <c r="PT68" s="211"/>
      <c r="PU68" s="211"/>
    </row>
    <row r="69" spans="1:437 16383:16383" s="195" customFormat="1" ht="16" x14ac:dyDescent="0.2">
      <c r="A69" s="213">
        <f t="shared" si="206"/>
        <v>59</v>
      </c>
      <c r="B69" s="186" t="s">
        <v>74</v>
      </c>
      <c r="C69" s="186">
        <v>64</v>
      </c>
      <c r="D69" s="188">
        <v>1</v>
      </c>
      <c r="E69" s="188">
        <v>118</v>
      </c>
      <c r="F69" s="188">
        <v>1</v>
      </c>
      <c r="G69" s="188">
        <f t="shared" si="308"/>
        <v>118</v>
      </c>
      <c r="H69" s="214">
        <f t="shared" si="213"/>
        <v>1</v>
      </c>
      <c r="I69" s="214">
        <f t="shared" si="214"/>
        <v>1</v>
      </c>
      <c r="J69" s="188">
        <v>1</v>
      </c>
      <c r="K69" s="188">
        <f t="shared" si="215"/>
        <v>118</v>
      </c>
      <c r="L69" s="214">
        <f t="shared" si="216"/>
        <v>1</v>
      </c>
      <c r="M69" s="214">
        <f t="shared" si="217"/>
        <v>1</v>
      </c>
      <c r="N69" s="188">
        <v>1</v>
      </c>
      <c r="O69" s="188">
        <f t="shared" si="218"/>
        <v>118</v>
      </c>
      <c r="P69" s="214">
        <f t="shared" si="219"/>
        <v>1</v>
      </c>
      <c r="Q69" s="214">
        <f t="shared" si="220"/>
        <v>1</v>
      </c>
      <c r="R69" s="188">
        <v>1</v>
      </c>
      <c r="S69" s="188">
        <f t="shared" si="221"/>
        <v>118</v>
      </c>
      <c r="T69" s="214">
        <f t="shared" si="222"/>
        <v>1</v>
      </c>
      <c r="U69" s="214">
        <f t="shared" si="223"/>
        <v>1</v>
      </c>
      <c r="V69" s="215">
        <v>1</v>
      </c>
      <c r="W69" s="188">
        <f t="shared" si="224"/>
        <v>118</v>
      </c>
      <c r="X69" s="214">
        <f t="shared" si="225"/>
        <v>1</v>
      </c>
      <c r="Y69" s="214">
        <f t="shared" si="226"/>
        <v>1</v>
      </c>
      <c r="Z69" s="216">
        <f>1667431000/1000000000</f>
        <v>1.6674310000000001</v>
      </c>
      <c r="AA69" s="188">
        <v>0</v>
      </c>
      <c r="AB69" s="188">
        <f t="shared" si="112"/>
        <v>0</v>
      </c>
      <c r="AC69" s="214">
        <f t="shared" si="113"/>
        <v>0</v>
      </c>
      <c r="AD69" s="214">
        <f t="shared" si="114"/>
        <v>0</v>
      </c>
      <c r="AE69" s="188"/>
      <c r="AF69" s="188">
        <f t="shared" si="115"/>
        <v>0</v>
      </c>
      <c r="AG69" s="188"/>
      <c r="AH69" s="188"/>
      <c r="AI69" s="188">
        <v>0</v>
      </c>
      <c r="AJ69" s="188">
        <f t="shared" si="2"/>
        <v>0</v>
      </c>
      <c r="AK69" s="188"/>
      <c r="AL69" s="188">
        <v>0</v>
      </c>
      <c r="AM69" s="188">
        <v>0</v>
      </c>
      <c r="AN69" s="217"/>
      <c r="AO69" s="188"/>
      <c r="AP69" s="188"/>
      <c r="AQ69" s="188"/>
      <c r="AR69" s="188"/>
      <c r="AS69" s="188"/>
      <c r="AT69" s="188"/>
      <c r="AU69" s="188"/>
      <c r="AV69" s="188"/>
      <c r="AW69" s="188"/>
      <c r="AX69" s="188"/>
      <c r="AY69" s="188"/>
      <c r="AZ69" s="188"/>
      <c r="BA69" s="188"/>
      <c r="BB69" s="188">
        <f t="shared" si="15"/>
        <v>0</v>
      </c>
      <c r="BD69" s="196">
        <f t="shared" si="118"/>
        <v>0</v>
      </c>
      <c r="BE69" s="188">
        <f t="shared" si="231"/>
        <v>0</v>
      </c>
      <c r="BF69" s="188">
        <f t="shared" si="232"/>
        <v>0</v>
      </c>
      <c r="BG69" s="188">
        <f t="shared" si="233"/>
        <v>0</v>
      </c>
      <c r="BH69" s="188">
        <f t="shared" si="234"/>
        <v>0</v>
      </c>
      <c r="BI69" s="188">
        <f t="shared" si="235"/>
        <v>0</v>
      </c>
      <c r="BJ69" s="188">
        <f t="shared" si="236"/>
        <v>0</v>
      </c>
      <c r="BK69" s="188">
        <f t="shared" si="22"/>
        <v>0</v>
      </c>
      <c r="BN69" s="277">
        <v>51</v>
      </c>
      <c r="BO69" s="139">
        <v>1</v>
      </c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B69" s="188"/>
      <c r="CD69" s="188">
        <f t="shared" si="23"/>
        <v>51</v>
      </c>
      <c r="CE69" s="188">
        <f t="shared" si="24"/>
        <v>51</v>
      </c>
      <c r="CF69" s="188">
        <f t="shared" si="25"/>
        <v>0</v>
      </c>
      <c r="CG69" s="188">
        <f t="shared" si="26"/>
        <v>0</v>
      </c>
      <c r="CH69" s="188">
        <f t="shared" si="27"/>
        <v>0</v>
      </c>
      <c r="CI69" s="188">
        <f t="shared" si="28"/>
        <v>0</v>
      </c>
      <c r="CJ69" s="188">
        <f t="shared" si="29"/>
        <v>0</v>
      </c>
      <c r="CK69" s="188">
        <f t="shared" si="30"/>
        <v>0</v>
      </c>
      <c r="CL69" s="188">
        <f t="shared" si="31"/>
        <v>0</v>
      </c>
      <c r="CM69" s="188">
        <f t="shared" si="32"/>
        <v>0</v>
      </c>
      <c r="CN69" s="188">
        <f t="shared" si="33"/>
        <v>0</v>
      </c>
      <c r="CO69" s="188">
        <f t="shared" si="34"/>
        <v>0</v>
      </c>
      <c r="CP69" s="188">
        <f t="shared" si="35"/>
        <v>0</v>
      </c>
      <c r="DV69" s="188">
        <f t="shared" si="237"/>
        <v>0</v>
      </c>
      <c r="DW69" s="188">
        <f t="shared" si="238"/>
        <v>0</v>
      </c>
      <c r="DX69" s="188">
        <f t="shared" si="239"/>
        <v>0</v>
      </c>
      <c r="DY69" s="188">
        <f t="shared" si="240"/>
        <v>0</v>
      </c>
      <c r="DZ69" s="188">
        <f t="shared" si="241"/>
        <v>0</v>
      </c>
      <c r="EA69" s="188">
        <f t="shared" si="242"/>
        <v>0</v>
      </c>
      <c r="EB69" s="188">
        <f t="shared" si="42"/>
        <v>0</v>
      </c>
      <c r="EG69" s="220">
        <f t="shared" si="43"/>
        <v>0</v>
      </c>
      <c r="EH69" s="220">
        <f t="shared" si="44"/>
        <v>0</v>
      </c>
      <c r="EI69" s="188"/>
      <c r="EJ69" s="188"/>
      <c r="EK69" s="188"/>
      <c r="EL69" s="188"/>
      <c r="EM69" s="188"/>
      <c r="EN69" s="188"/>
      <c r="EO69" s="188"/>
      <c r="EP69" s="188"/>
      <c r="EQ69" s="188"/>
      <c r="ER69" s="188"/>
      <c r="ES69" s="188"/>
      <c r="ET69" s="188"/>
      <c r="EU69" s="188"/>
      <c r="EV69" s="188"/>
      <c r="EW69" s="188"/>
      <c r="EX69" s="188"/>
      <c r="EY69" s="188"/>
      <c r="EZ69" s="188"/>
      <c r="FA69" s="188"/>
      <c r="FB69" s="188"/>
      <c r="FC69" s="188"/>
      <c r="FD69" s="188"/>
      <c r="FE69" s="188"/>
      <c r="FF69" s="188"/>
      <c r="FH69" s="189"/>
      <c r="FI69" s="189"/>
      <c r="FJ69" s="189"/>
      <c r="FK69" s="189"/>
      <c r="FL69" s="189"/>
      <c r="FM69" s="189"/>
      <c r="FN69" s="189"/>
      <c r="FO69" s="189"/>
      <c r="FP69" s="189"/>
      <c r="FQ69" s="189"/>
      <c r="FR69" s="189"/>
      <c r="FS69" s="189"/>
      <c r="FT69" s="189"/>
      <c r="FU69" s="189"/>
      <c r="FV69" s="189"/>
      <c r="FX69" s="217">
        <v>1</v>
      </c>
      <c r="FY69" s="188">
        <f t="shared" si="45"/>
        <v>51</v>
      </c>
      <c r="FZ69" s="188">
        <f t="shared" si="250"/>
        <v>51</v>
      </c>
      <c r="GA69" s="188">
        <f t="shared" si="251"/>
        <v>0</v>
      </c>
      <c r="GB69" s="188">
        <f t="shared" si="252"/>
        <v>0</v>
      </c>
      <c r="GC69" s="188">
        <f t="shared" si="253"/>
        <v>0</v>
      </c>
      <c r="GD69" s="188">
        <f t="shared" si="254"/>
        <v>0</v>
      </c>
      <c r="GE69" s="188">
        <f t="shared" si="255"/>
        <v>0</v>
      </c>
      <c r="GF69" s="199"/>
      <c r="GG69" s="189">
        <v>0</v>
      </c>
      <c r="GH69" s="189">
        <v>0</v>
      </c>
      <c r="GI69" s="199"/>
      <c r="GJ69" s="200">
        <f t="shared" si="52"/>
        <v>0</v>
      </c>
      <c r="GK69" s="200">
        <f t="shared" si="53"/>
        <v>0</v>
      </c>
      <c r="GO69" s="189">
        <f t="shared" si="256"/>
        <v>0</v>
      </c>
      <c r="GP69" s="189">
        <f t="shared" si="257"/>
        <v>0</v>
      </c>
      <c r="GQ69" s="189">
        <f t="shared" si="258"/>
        <v>0</v>
      </c>
      <c r="GR69" s="189">
        <f t="shared" si="259"/>
        <v>0</v>
      </c>
      <c r="GS69" s="189">
        <f t="shared" si="260"/>
        <v>0</v>
      </c>
      <c r="GT69" s="189">
        <f t="shared" si="124"/>
        <v>1</v>
      </c>
      <c r="GU69" s="201">
        <f t="shared" si="125"/>
        <v>43243</v>
      </c>
      <c r="GV69" s="189" t="str">
        <f t="shared" si="126"/>
        <v>SELESAI</v>
      </c>
      <c r="GW69" s="189">
        <f t="shared" si="127"/>
        <v>0</v>
      </c>
      <c r="GX69" s="202" t="str">
        <f t="shared" si="128"/>
        <v>SELESAI</v>
      </c>
      <c r="GY69" s="202">
        <f t="shared" si="129"/>
        <v>0</v>
      </c>
      <c r="GZ69" s="203" t="str">
        <f t="shared" si="130"/>
        <v>SELESAI</v>
      </c>
      <c r="HA69" s="204"/>
      <c r="HB69" s="204"/>
      <c r="HC69" s="189">
        <f t="shared" si="261"/>
        <v>0</v>
      </c>
      <c r="HD69" s="189">
        <f t="shared" si="262"/>
        <v>0</v>
      </c>
      <c r="HE69" s="189">
        <f t="shared" si="133"/>
        <v>0</v>
      </c>
      <c r="HF69" s="189">
        <f t="shared" si="134"/>
        <v>0</v>
      </c>
      <c r="HG69" s="189">
        <f t="shared" si="135"/>
        <v>0</v>
      </c>
      <c r="HH69" s="201" t="str">
        <f t="shared" si="136"/>
        <v>TIDAK KONSINYASI</v>
      </c>
      <c r="HI69" s="201" t="str">
        <f t="shared" si="137"/>
        <v>SELESAI</v>
      </c>
      <c r="HJ69" s="205"/>
      <c r="HK69" s="201">
        <f t="shared" si="138"/>
        <v>0</v>
      </c>
      <c r="HL69" s="204"/>
      <c r="HM69" s="204"/>
      <c r="HN69" s="204"/>
      <c r="HO69" s="204"/>
      <c r="HP69" s="203">
        <f t="shared" si="139"/>
        <v>0</v>
      </c>
      <c r="HQ69" s="202">
        <f t="shared" si="140"/>
        <v>0</v>
      </c>
      <c r="HR69" s="202">
        <f t="shared" si="263"/>
        <v>0</v>
      </c>
      <c r="HS69" s="203">
        <f t="shared" si="142"/>
        <v>0</v>
      </c>
      <c r="HT69" s="202">
        <f t="shared" si="143"/>
        <v>0</v>
      </c>
      <c r="HU69" s="202">
        <f t="shared" si="264"/>
        <v>0</v>
      </c>
      <c r="HV69" s="203">
        <f t="shared" si="145"/>
        <v>0</v>
      </c>
      <c r="HW69" s="202">
        <f t="shared" si="146"/>
        <v>0</v>
      </c>
      <c r="HX69" s="202">
        <f t="shared" si="265"/>
        <v>0</v>
      </c>
      <c r="HY69" s="203">
        <f t="shared" si="148"/>
        <v>0</v>
      </c>
      <c r="HZ69" s="202">
        <f t="shared" si="149"/>
        <v>0</v>
      </c>
      <c r="IA69" s="202">
        <f t="shared" si="266"/>
        <v>0</v>
      </c>
      <c r="IB69" s="203">
        <f t="shared" si="151"/>
        <v>0</v>
      </c>
      <c r="IC69" s="202">
        <f t="shared" si="152"/>
        <v>0</v>
      </c>
      <c r="ID69" s="202">
        <f t="shared" si="267"/>
        <v>0</v>
      </c>
      <c r="IE69" s="203">
        <f t="shared" si="154"/>
        <v>0</v>
      </c>
      <c r="IF69" s="202">
        <f t="shared" si="155"/>
        <v>0</v>
      </c>
      <c r="IG69" s="202">
        <f t="shared" si="268"/>
        <v>0</v>
      </c>
      <c r="IH69" s="203">
        <f t="shared" si="157"/>
        <v>0</v>
      </c>
      <c r="II69" s="202">
        <f t="shared" si="158"/>
        <v>0</v>
      </c>
      <c r="IJ69" s="202">
        <f t="shared" si="269"/>
        <v>0</v>
      </c>
      <c r="IK69" s="203">
        <f t="shared" si="160"/>
        <v>0</v>
      </c>
      <c r="IL69" s="202">
        <f t="shared" si="161"/>
        <v>0</v>
      </c>
      <c r="IM69" s="202">
        <f t="shared" si="270"/>
        <v>0</v>
      </c>
      <c r="IN69" s="204"/>
      <c r="IO69" s="203">
        <f t="shared" si="163"/>
        <v>0</v>
      </c>
      <c r="IP69" s="202">
        <f t="shared" si="271"/>
        <v>0</v>
      </c>
      <c r="IQ69" s="202">
        <f t="shared" si="272"/>
        <v>0</v>
      </c>
      <c r="IR69" s="204"/>
      <c r="IS69" s="203"/>
      <c r="IT69" s="202">
        <f t="shared" si="273"/>
        <v>1</v>
      </c>
      <c r="IU69" s="202">
        <f t="shared" si="274"/>
        <v>118</v>
      </c>
      <c r="IV69" s="204"/>
      <c r="IW69" s="203"/>
      <c r="IX69" s="202">
        <f t="shared" si="275"/>
        <v>0</v>
      </c>
      <c r="IY69" s="202">
        <f t="shared" si="276"/>
        <v>0</v>
      </c>
      <c r="IZ69" s="204"/>
      <c r="JA69" s="203"/>
      <c r="JB69" s="202">
        <f t="shared" si="277"/>
        <v>0</v>
      </c>
      <c r="JC69" s="202">
        <f t="shared" si="278"/>
        <v>0</v>
      </c>
      <c r="JD69" s="204"/>
      <c r="JE69" s="203"/>
      <c r="JF69" s="202">
        <f t="shared" si="172"/>
        <v>1</v>
      </c>
      <c r="JG69" s="202">
        <f t="shared" si="173"/>
        <v>118</v>
      </c>
      <c r="JH69" s="204"/>
      <c r="JI69" s="203"/>
      <c r="JJ69" s="202">
        <f t="shared" si="279"/>
        <v>0</v>
      </c>
      <c r="JK69" s="202">
        <f t="shared" si="280"/>
        <v>0</v>
      </c>
      <c r="JM69" s="203">
        <f t="shared" si="176"/>
        <v>0</v>
      </c>
      <c r="JO69" s="196">
        <f t="shared" si="54"/>
        <v>1</v>
      </c>
      <c r="JP69" s="189">
        <f t="shared" si="281"/>
        <v>51</v>
      </c>
      <c r="JQ69" s="189">
        <f t="shared" si="282"/>
        <v>1</v>
      </c>
      <c r="JR69" s="189">
        <f t="shared" si="283"/>
        <v>0</v>
      </c>
      <c r="JS69" s="189">
        <f t="shared" si="284"/>
        <v>0</v>
      </c>
      <c r="JT69" s="189">
        <f t="shared" si="285"/>
        <v>0</v>
      </c>
      <c r="JU69" s="189">
        <f t="shared" si="286"/>
        <v>0</v>
      </c>
      <c r="JV69" s="189">
        <f t="shared" si="287"/>
        <v>0</v>
      </c>
      <c r="JW69" s="189">
        <f t="shared" si="288"/>
        <v>0</v>
      </c>
      <c r="JX69" s="189">
        <f t="shared" si="289"/>
        <v>0</v>
      </c>
      <c r="JY69" s="189">
        <f t="shared" si="290"/>
        <v>0</v>
      </c>
      <c r="JZ69" s="189">
        <f t="shared" si="291"/>
        <v>0</v>
      </c>
      <c r="KA69" s="189">
        <f t="shared" si="292"/>
        <v>0</v>
      </c>
      <c r="KB69" s="189">
        <f t="shared" si="293"/>
        <v>0</v>
      </c>
      <c r="KD69" s="206">
        <f t="shared" si="177"/>
        <v>0</v>
      </c>
      <c r="KE69" s="206">
        <f t="shared" si="69"/>
        <v>0</v>
      </c>
      <c r="KF69" s="206">
        <f t="shared" si="294"/>
        <v>51</v>
      </c>
      <c r="KG69" s="206">
        <f t="shared" si="295"/>
        <v>51</v>
      </c>
      <c r="KH69" s="206">
        <f t="shared" si="296"/>
        <v>0</v>
      </c>
      <c r="KI69" s="206">
        <f t="shared" si="297"/>
        <v>0</v>
      </c>
      <c r="KJ69" s="206">
        <f t="shared" si="298"/>
        <v>0</v>
      </c>
      <c r="KK69" s="206">
        <f t="shared" si="299"/>
        <v>0</v>
      </c>
      <c r="KL69" s="206">
        <f t="shared" si="300"/>
        <v>0</v>
      </c>
      <c r="KM69" s="206">
        <f t="shared" si="301"/>
        <v>0</v>
      </c>
      <c r="KN69" s="221">
        <f t="shared" si="302"/>
        <v>0</v>
      </c>
      <c r="KO69" s="221">
        <f t="shared" si="303"/>
        <v>0</v>
      </c>
      <c r="KP69" s="221">
        <f t="shared" si="304"/>
        <v>0</v>
      </c>
      <c r="KQ69" s="221">
        <f t="shared" si="305"/>
        <v>0</v>
      </c>
      <c r="KR69" s="221">
        <f t="shared" si="306"/>
        <v>0</v>
      </c>
      <c r="KT69" s="195">
        <f t="shared" si="307"/>
        <v>0</v>
      </c>
      <c r="KU69" s="221"/>
      <c r="KV69" s="221"/>
      <c r="KW69" s="221"/>
      <c r="KX69" s="221"/>
      <c r="KY69" s="221"/>
      <c r="KZ69" s="221"/>
      <c r="LA69" s="221"/>
      <c r="LB69" s="221"/>
      <c r="LC69" s="221"/>
      <c r="LD69" s="221"/>
      <c r="LE69" s="221"/>
      <c r="LF69" s="221"/>
      <c r="LG69" s="221"/>
      <c r="LH69" s="221"/>
      <c r="LI69" s="221"/>
      <c r="LJ69" s="221"/>
      <c r="LK69" s="221"/>
      <c r="LL69" s="221"/>
      <c r="LM69" s="221"/>
      <c r="LN69" s="221"/>
      <c r="LO69" s="221"/>
      <c r="LP69" s="221"/>
      <c r="LQ69" s="221"/>
      <c r="LR69" s="221"/>
      <c r="LS69" s="221"/>
      <c r="LT69" s="221"/>
      <c r="LU69" s="221"/>
      <c r="LV69" s="221"/>
      <c r="LW69" s="221"/>
      <c r="LX69" s="221"/>
      <c r="LY69" s="221"/>
      <c r="LZ69" s="221"/>
      <c r="MA69" s="221"/>
      <c r="MB69" s="221"/>
      <c r="MC69" s="221"/>
      <c r="MD69" s="221"/>
      <c r="ME69" s="221"/>
      <c r="MF69" s="221"/>
      <c r="MG69" s="221"/>
      <c r="MH69" s="221"/>
      <c r="MI69" s="221"/>
      <c r="MJ69" s="221"/>
      <c r="MK69" s="221"/>
      <c r="ML69" s="221"/>
      <c r="MM69" s="221"/>
      <c r="MN69" s="221"/>
      <c r="MO69" s="221"/>
      <c r="MP69" s="221"/>
      <c r="MQ69" s="221"/>
      <c r="MR69" s="221"/>
      <c r="MS69" s="221"/>
      <c r="MT69" s="221"/>
      <c r="MU69" s="221"/>
      <c r="MV69" s="221"/>
      <c r="MW69" s="221"/>
      <c r="MX69" s="221"/>
      <c r="MY69" s="221"/>
      <c r="MZ69" s="221"/>
      <c r="NA69" s="221"/>
      <c r="NB69" s="221"/>
      <c r="NC69" s="221"/>
      <c r="ND69" s="221"/>
      <c r="NE69" s="221"/>
      <c r="NF69" s="221"/>
      <c r="NG69" s="221"/>
      <c r="NH69" s="221"/>
      <c r="NI69" s="221"/>
      <c r="NJ69" s="221"/>
      <c r="NK69" s="221"/>
      <c r="NM69" s="195">
        <f t="shared" si="178"/>
        <v>0</v>
      </c>
      <c r="NN69" s="195">
        <f t="shared" si="179"/>
        <v>0</v>
      </c>
      <c r="NO69" s="195">
        <f t="shared" si="180"/>
        <v>0</v>
      </c>
      <c r="NP69" s="195">
        <f t="shared" si="181"/>
        <v>0</v>
      </c>
      <c r="NQ69" s="195">
        <f t="shared" si="182"/>
        <v>0</v>
      </c>
      <c r="NR69" s="195">
        <f t="shared" si="183"/>
        <v>0</v>
      </c>
      <c r="NS69" s="195">
        <f t="shared" si="184"/>
        <v>0</v>
      </c>
      <c r="NT69" s="195">
        <f t="shared" si="185"/>
        <v>0</v>
      </c>
      <c r="NU69" s="196">
        <f t="shared" si="186"/>
        <v>0</v>
      </c>
      <c r="NY69" s="215">
        <f t="shared" si="249"/>
        <v>1</v>
      </c>
      <c r="NZ69" s="222">
        <v>11025000</v>
      </c>
      <c r="OE69" s="207">
        <f t="shared" si="243"/>
        <v>0</v>
      </c>
      <c r="OF69" s="207">
        <f t="shared" si="244"/>
        <v>0</v>
      </c>
      <c r="OG69" s="207">
        <f t="shared" si="245"/>
        <v>0</v>
      </c>
      <c r="OH69" s="207">
        <f t="shared" si="188"/>
        <v>0</v>
      </c>
      <c r="OI69" s="207">
        <f t="shared" si="246"/>
        <v>0</v>
      </c>
      <c r="OJ69" s="199">
        <f t="shared" si="189"/>
        <v>0</v>
      </c>
      <c r="OK69" s="199">
        <f t="shared" si="190"/>
        <v>0</v>
      </c>
      <c r="OL69" s="199">
        <f t="shared" si="191"/>
        <v>0</v>
      </c>
      <c r="OM69" s="199">
        <f t="shared" si="192"/>
        <v>0</v>
      </c>
      <c r="OO69" s="207">
        <f t="shared" si="247"/>
        <v>0</v>
      </c>
      <c r="OP69" s="207">
        <f t="shared" si="248"/>
        <v>0</v>
      </c>
      <c r="OQ69" s="207">
        <f t="shared" si="193"/>
        <v>0</v>
      </c>
      <c r="OR69" s="207">
        <f t="shared" si="194"/>
        <v>0</v>
      </c>
      <c r="OS69" s="207">
        <f t="shared" si="195"/>
        <v>0</v>
      </c>
      <c r="OT69" s="199">
        <f t="shared" si="196"/>
        <v>0</v>
      </c>
      <c r="OU69" s="199">
        <f t="shared" si="197"/>
        <v>0</v>
      </c>
      <c r="OV69" s="199">
        <f t="shared" si="198"/>
        <v>0</v>
      </c>
      <c r="OW69" s="199">
        <f t="shared" si="199"/>
        <v>0</v>
      </c>
      <c r="OZ69" s="208">
        <f t="shared" si="91"/>
        <v>0</v>
      </c>
      <c r="PA69" s="209"/>
      <c r="PB69" s="209"/>
      <c r="PC69" s="209"/>
      <c r="PD69" s="210">
        <f t="shared" si="200"/>
        <v>0</v>
      </c>
      <c r="PE69" s="210"/>
      <c r="PF69" s="210">
        <f t="shared" si="201"/>
        <v>0</v>
      </c>
      <c r="PG69" s="210">
        <f t="shared" si="202"/>
        <v>0</v>
      </c>
      <c r="PH69" s="210">
        <f t="shared" si="92"/>
        <v>0</v>
      </c>
      <c r="PI69" s="210">
        <f t="shared" si="93"/>
        <v>0</v>
      </c>
      <c r="PJ69" s="210">
        <f t="shared" si="94"/>
        <v>0</v>
      </c>
      <c r="PK69" s="210">
        <f t="shared" si="95"/>
        <v>0</v>
      </c>
      <c r="PL69" s="210">
        <f t="shared" si="96"/>
        <v>0</v>
      </c>
      <c r="PM69" s="211"/>
      <c r="PN69" s="211"/>
      <c r="PO69" s="212">
        <f t="shared" si="203"/>
        <v>0</v>
      </c>
      <c r="PP69" s="212">
        <f t="shared" si="204"/>
        <v>0</v>
      </c>
      <c r="PQ69" s="212">
        <f t="shared" si="205"/>
        <v>0</v>
      </c>
      <c r="PR69" s="211"/>
      <c r="PS69" s="211"/>
      <c r="PT69" s="211"/>
      <c r="PU69" s="211"/>
    </row>
    <row r="70" spans="1:437 16383:16383" s="195" customFormat="1" ht="16" x14ac:dyDescent="0.2">
      <c r="A70" s="213">
        <f t="shared" si="206"/>
        <v>60</v>
      </c>
      <c r="B70" s="186" t="s">
        <v>75</v>
      </c>
      <c r="C70" s="186">
        <v>65</v>
      </c>
      <c r="D70" s="188">
        <v>1</v>
      </c>
      <c r="E70" s="188">
        <v>85</v>
      </c>
      <c r="F70" s="188">
        <v>1</v>
      </c>
      <c r="G70" s="188">
        <f t="shared" si="308"/>
        <v>85</v>
      </c>
      <c r="H70" s="214">
        <f t="shared" si="213"/>
        <v>1</v>
      </c>
      <c r="I70" s="214">
        <f t="shared" si="214"/>
        <v>1</v>
      </c>
      <c r="J70" s="188">
        <v>1</v>
      </c>
      <c r="K70" s="188">
        <f t="shared" si="215"/>
        <v>85</v>
      </c>
      <c r="L70" s="214">
        <f t="shared" si="216"/>
        <v>1</v>
      </c>
      <c r="M70" s="214">
        <f t="shared" si="217"/>
        <v>1</v>
      </c>
      <c r="N70" s="188">
        <v>1</v>
      </c>
      <c r="O70" s="188">
        <f t="shared" si="218"/>
        <v>85</v>
      </c>
      <c r="P70" s="214">
        <f t="shared" si="219"/>
        <v>1</v>
      </c>
      <c r="Q70" s="214">
        <f t="shared" si="220"/>
        <v>1</v>
      </c>
      <c r="R70" s="188">
        <v>1</v>
      </c>
      <c r="S70" s="188">
        <f t="shared" si="221"/>
        <v>85</v>
      </c>
      <c r="T70" s="214">
        <f t="shared" si="222"/>
        <v>1</v>
      </c>
      <c r="U70" s="214">
        <f t="shared" si="223"/>
        <v>1</v>
      </c>
      <c r="V70" s="215">
        <v>1</v>
      </c>
      <c r="W70" s="188">
        <f t="shared" si="224"/>
        <v>85</v>
      </c>
      <c r="X70" s="214">
        <f t="shared" si="225"/>
        <v>1</v>
      </c>
      <c r="Y70" s="214">
        <f t="shared" si="226"/>
        <v>1</v>
      </c>
      <c r="Z70" s="216">
        <f>1000651000/1000000000</f>
        <v>1.000651</v>
      </c>
      <c r="AA70" s="188">
        <v>0</v>
      </c>
      <c r="AB70" s="188">
        <f t="shared" si="112"/>
        <v>0</v>
      </c>
      <c r="AC70" s="214">
        <f t="shared" si="113"/>
        <v>0</v>
      </c>
      <c r="AD70" s="214">
        <f t="shared" si="114"/>
        <v>0</v>
      </c>
      <c r="AE70" s="188"/>
      <c r="AF70" s="188">
        <f t="shared" si="115"/>
        <v>0</v>
      </c>
      <c r="AG70" s="188"/>
      <c r="AH70" s="188"/>
      <c r="AI70" s="188">
        <v>0</v>
      </c>
      <c r="AJ70" s="188">
        <f t="shared" si="2"/>
        <v>0</v>
      </c>
      <c r="AK70" s="188"/>
      <c r="AL70" s="188">
        <v>0</v>
      </c>
      <c r="AM70" s="188">
        <v>0</v>
      </c>
      <c r="AN70" s="217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>
        <f t="shared" si="15"/>
        <v>0</v>
      </c>
      <c r="BD70" s="196">
        <f t="shared" si="118"/>
        <v>0</v>
      </c>
      <c r="BE70" s="188">
        <f t="shared" si="231"/>
        <v>0</v>
      </c>
      <c r="BF70" s="188">
        <f t="shared" si="232"/>
        <v>0</v>
      </c>
      <c r="BG70" s="188">
        <f t="shared" si="233"/>
        <v>0</v>
      </c>
      <c r="BH70" s="188">
        <f t="shared" si="234"/>
        <v>0</v>
      </c>
      <c r="BI70" s="188">
        <f t="shared" si="235"/>
        <v>0</v>
      </c>
      <c r="BJ70" s="188">
        <f t="shared" si="236"/>
        <v>0</v>
      </c>
      <c r="BK70" s="188">
        <f t="shared" si="22"/>
        <v>0</v>
      </c>
      <c r="BN70" s="143"/>
      <c r="BO70" s="277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B70" s="188"/>
      <c r="CD70" s="188">
        <f t="shared" si="23"/>
        <v>0</v>
      </c>
      <c r="CE70" s="188">
        <f t="shared" si="24"/>
        <v>0</v>
      </c>
      <c r="CF70" s="188">
        <f t="shared" si="25"/>
        <v>0</v>
      </c>
      <c r="CG70" s="188">
        <f t="shared" si="26"/>
        <v>0</v>
      </c>
      <c r="CH70" s="188">
        <f t="shared" si="27"/>
        <v>0</v>
      </c>
      <c r="CI70" s="188">
        <f t="shared" si="28"/>
        <v>0</v>
      </c>
      <c r="CJ70" s="188">
        <f t="shared" si="29"/>
        <v>0</v>
      </c>
      <c r="CK70" s="188">
        <f t="shared" si="30"/>
        <v>0</v>
      </c>
      <c r="CL70" s="188">
        <f t="shared" si="31"/>
        <v>0</v>
      </c>
      <c r="CM70" s="188">
        <f t="shared" si="32"/>
        <v>0</v>
      </c>
      <c r="CN70" s="188">
        <f t="shared" si="33"/>
        <v>0</v>
      </c>
      <c r="CO70" s="188">
        <f t="shared" si="34"/>
        <v>0</v>
      </c>
      <c r="CP70" s="188">
        <f t="shared" si="35"/>
        <v>0</v>
      </c>
      <c r="DV70" s="188">
        <f t="shared" si="237"/>
        <v>0</v>
      </c>
      <c r="DW70" s="188">
        <f t="shared" si="238"/>
        <v>0</v>
      </c>
      <c r="DX70" s="188">
        <f t="shared" si="239"/>
        <v>0</v>
      </c>
      <c r="DY70" s="188">
        <f t="shared" si="240"/>
        <v>0</v>
      </c>
      <c r="DZ70" s="188">
        <f t="shared" si="241"/>
        <v>0</v>
      </c>
      <c r="EA70" s="188">
        <f t="shared" si="242"/>
        <v>0</v>
      </c>
      <c r="EB70" s="188">
        <f t="shared" si="42"/>
        <v>0</v>
      </c>
      <c r="EG70" s="220">
        <f t="shared" si="43"/>
        <v>0</v>
      </c>
      <c r="EH70" s="220">
        <f t="shared" si="44"/>
        <v>0</v>
      </c>
      <c r="EI70" s="188"/>
      <c r="EJ70" s="188"/>
      <c r="EK70" s="188"/>
      <c r="EL70" s="188"/>
      <c r="EM70" s="188"/>
      <c r="EN70" s="188"/>
      <c r="EO70" s="188"/>
      <c r="EP70" s="188"/>
      <c r="EQ70" s="188"/>
      <c r="ER70" s="188"/>
      <c r="ES70" s="188"/>
      <c r="ET70" s="188"/>
      <c r="EU70" s="188"/>
      <c r="EV70" s="188"/>
      <c r="EW70" s="188"/>
      <c r="EX70" s="188"/>
      <c r="EY70" s="188"/>
      <c r="EZ70" s="188"/>
      <c r="FA70" s="188"/>
      <c r="FB70" s="188"/>
      <c r="FC70" s="188"/>
      <c r="FD70" s="188"/>
      <c r="FE70" s="188"/>
      <c r="FF70" s="188"/>
      <c r="FH70" s="189"/>
      <c r="FI70" s="189"/>
      <c r="FJ70" s="189"/>
      <c r="FK70" s="189"/>
      <c r="FL70" s="189"/>
      <c r="FM70" s="189"/>
      <c r="FN70" s="189"/>
      <c r="FO70" s="189"/>
      <c r="FP70" s="189"/>
      <c r="FQ70" s="189"/>
      <c r="FR70" s="189"/>
      <c r="FS70" s="189"/>
      <c r="FT70" s="189"/>
      <c r="FU70" s="189"/>
      <c r="FV70" s="189"/>
      <c r="FX70" s="217"/>
      <c r="FY70" s="188">
        <f t="shared" si="45"/>
        <v>0</v>
      </c>
      <c r="FZ70" s="188">
        <f t="shared" si="250"/>
        <v>0</v>
      </c>
      <c r="GA70" s="188">
        <f t="shared" si="251"/>
        <v>0</v>
      </c>
      <c r="GB70" s="188">
        <f t="shared" si="252"/>
        <v>0</v>
      </c>
      <c r="GC70" s="188">
        <f t="shared" si="253"/>
        <v>0</v>
      </c>
      <c r="GD70" s="188">
        <f t="shared" si="254"/>
        <v>0</v>
      </c>
      <c r="GE70" s="188">
        <f t="shared" si="255"/>
        <v>0</v>
      </c>
      <c r="GF70" s="199"/>
      <c r="GG70" s="189">
        <v>0</v>
      </c>
      <c r="GH70" s="189">
        <v>0</v>
      </c>
      <c r="GI70" s="199"/>
      <c r="GJ70" s="200">
        <f t="shared" si="52"/>
        <v>0</v>
      </c>
      <c r="GK70" s="200">
        <f t="shared" si="53"/>
        <v>0</v>
      </c>
      <c r="GO70" s="189">
        <f t="shared" si="256"/>
        <v>0</v>
      </c>
      <c r="GP70" s="189">
        <f t="shared" si="257"/>
        <v>0</v>
      </c>
      <c r="GQ70" s="189">
        <f t="shared" si="258"/>
        <v>0</v>
      </c>
      <c r="GR70" s="189">
        <f t="shared" si="259"/>
        <v>0</v>
      </c>
      <c r="GS70" s="189">
        <f t="shared" si="260"/>
        <v>0</v>
      </c>
      <c r="GT70" s="189">
        <f t="shared" si="124"/>
        <v>1</v>
      </c>
      <c r="GU70" s="201">
        <f t="shared" si="125"/>
        <v>43243</v>
      </c>
      <c r="GV70" s="189" t="str">
        <f t="shared" si="126"/>
        <v>SELESAI</v>
      </c>
      <c r="GW70" s="189">
        <f t="shared" si="127"/>
        <v>0</v>
      </c>
      <c r="GX70" s="202" t="str">
        <f t="shared" si="128"/>
        <v>SELESAI</v>
      </c>
      <c r="GY70" s="202">
        <f t="shared" si="129"/>
        <v>0</v>
      </c>
      <c r="GZ70" s="203" t="str">
        <f t="shared" si="130"/>
        <v>SELESAI</v>
      </c>
      <c r="HA70" s="204"/>
      <c r="HB70" s="204"/>
      <c r="HC70" s="189">
        <f t="shared" si="261"/>
        <v>0</v>
      </c>
      <c r="HD70" s="189">
        <f t="shared" si="262"/>
        <v>0</v>
      </c>
      <c r="HE70" s="189">
        <f t="shared" si="133"/>
        <v>0</v>
      </c>
      <c r="HF70" s="189">
        <f t="shared" si="134"/>
        <v>0</v>
      </c>
      <c r="HG70" s="189">
        <f t="shared" si="135"/>
        <v>0</v>
      </c>
      <c r="HH70" s="201" t="str">
        <f t="shared" si="136"/>
        <v>TIDAK KONSINYASI</v>
      </c>
      <c r="HI70" s="201" t="str">
        <f t="shared" si="137"/>
        <v>SELESAI</v>
      </c>
      <c r="HJ70" s="205"/>
      <c r="HK70" s="201">
        <f t="shared" si="138"/>
        <v>0</v>
      </c>
      <c r="HL70" s="204"/>
      <c r="HM70" s="204"/>
      <c r="HN70" s="204"/>
      <c r="HO70" s="204"/>
      <c r="HP70" s="203">
        <f t="shared" si="139"/>
        <v>0</v>
      </c>
      <c r="HQ70" s="202">
        <f t="shared" si="140"/>
        <v>0</v>
      </c>
      <c r="HR70" s="202">
        <f t="shared" si="263"/>
        <v>0</v>
      </c>
      <c r="HS70" s="203">
        <f t="shared" si="142"/>
        <v>0</v>
      </c>
      <c r="HT70" s="202">
        <f t="shared" si="143"/>
        <v>0</v>
      </c>
      <c r="HU70" s="202">
        <f t="shared" si="264"/>
        <v>0</v>
      </c>
      <c r="HV70" s="203">
        <f t="shared" si="145"/>
        <v>0</v>
      </c>
      <c r="HW70" s="202">
        <f t="shared" si="146"/>
        <v>0</v>
      </c>
      <c r="HX70" s="202">
        <f t="shared" si="265"/>
        <v>0</v>
      </c>
      <c r="HY70" s="203">
        <f t="shared" si="148"/>
        <v>0</v>
      </c>
      <c r="HZ70" s="202">
        <f t="shared" si="149"/>
        <v>0</v>
      </c>
      <c r="IA70" s="202">
        <f t="shared" si="266"/>
        <v>0</v>
      </c>
      <c r="IB70" s="203">
        <f t="shared" si="151"/>
        <v>0</v>
      </c>
      <c r="IC70" s="202">
        <f t="shared" si="152"/>
        <v>0</v>
      </c>
      <c r="ID70" s="202">
        <f t="shared" si="267"/>
        <v>0</v>
      </c>
      <c r="IE70" s="203">
        <f t="shared" si="154"/>
        <v>0</v>
      </c>
      <c r="IF70" s="202">
        <f t="shared" si="155"/>
        <v>0</v>
      </c>
      <c r="IG70" s="202">
        <f t="shared" si="268"/>
        <v>0</v>
      </c>
      <c r="IH70" s="203">
        <f t="shared" si="157"/>
        <v>0</v>
      </c>
      <c r="II70" s="202">
        <f t="shared" si="158"/>
        <v>0</v>
      </c>
      <c r="IJ70" s="202">
        <f t="shared" si="269"/>
        <v>0</v>
      </c>
      <c r="IK70" s="203">
        <f t="shared" si="160"/>
        <v>0</v>
      </c>
      <c r="IL70" s="202">
        <f t="shared" si="161"/>
        <v>0</v>
      </c>
      <c r="IM70" s="202">
        <f t="shared" si="270"/>
        <v>0</v>
      </c>
      <c r="IN70" s="204"/>
      <c r="IO70" s="203">
        <f t="shared" si="163"/>
        <v>0</v>
      </c>
      <c r="IP70" s="202">
        <f t="shared" si="271"/>
        <v>0</v>
      </c>
      <c r="IQ70" s="202">
        <f t="shared" si="272"/>
        <v>0</v>
      </c>
      <c r="IR70" s="204"/>
      <c r="IS70" s="203"/>
      <c r="IT70" s="202">
        <f t="shared" si="273"/>
        <v>1</v>
      </c>
      <c r="IU70" s="202">
        <f t="shared" si="274"/>
        <v>85</v>
      </c>
      <c r="IV70" s="204"/>
      <c r="IW70" s="203"/>
      <c r="IX70" s="202">
        <f t="shared" si="275"/>
        <v>0</v>
      </c>
      <c r="IY70" s="202">
        <f t="shared" si="276"/>
        <v>0</v>
      </c>
      <c r="IZ70" s="204"/>
      <c r="JA70" s="203"/>
      <c r="JB70" s="202">
        <f t="shared" si="277"/>
        <v>0</v>
      </c>
      <c r="JC70" s="202">
        <f t="shared" si="278"/>
        <v>0</v>
      </c>
      <c r="JD70" s="204"/>
      <c r="JE70" s="203"/>
      <c r="JF70" s="202">
        <f t="shared" si="172"/>
        <v>1</v>
      </c>
      <c r="JG70" s="202">
        <f t="shared" si="173"/>
        <v>85</v>
      </c>
      <c r="JH70" s="204"/>
      <c r="JI70" s="203"/>
      <c r="JJ70" s="202">
        <f t="shared" si="279"/>
        <v>0</v>
      </c>
      <c r="JK70" s="202">
        <f t="shared" si="280"/>
        <v>0</v>
      </c>
      <c r="JM70" s="203">
        <f t="shared" si="176"/>
        <v>0</v>
      </c>
      <c r="JO70" s="196">
        <f t="shared" si="54"/>
        <v>0</v>
      </c>
      <c r="JP70" s="189">
        <f t="shared" si="281"/>
        <v>0</v>
      </c>
      <c r="JQ70" s="189">
        <f t="shared" si="282"/>
        <v>0</v>
      </c>
      <c r="JR70" s="189">
        <f t="shared" si="283"/>
        <v>0</v>
      </c>
      <c r="JS70" s="189">
        <f t="shared" si="284"/>
        <v>0</v>
      </c>
      <c r="JT70" s="189">
        <f t="shared" si="285"/>
        <v>0</v>
      </c>
      <c r="JU70" s="189">
        <f t="shared" si="286"/>
        <v>0</v>
      </c>
      <c r="JV70" s="189">
        <f t="shared" si="287"/>
        <v>0</v>
      </c>
      <c r="JW70" s="189">
        <f t="shared" si="288"/>
        <v>0</v>
      </c>
      <c r="JX70" s="189">
        <f t="shared" si="289"/>
        <v>0</v>
      </c>
      <c r="JY70" s="189">
        <f t="shared" si="290"/>
        <v>0</v>
      </c>
      <c r="JZ70" s="189">
        <f t="shared" si="291"/>
        <v>0</v>
      </c>
      <c r="KA70" s="189">
        <f t="shared" si="292"/>
        <v>0</v>
      </c>
      <c r="KB70" s="189">
        <f t="shared" si="293"/>
        <v>0</v>
      </c>
      <c r="KD70" s="206">
        <f t="shared" si="177"/>
        <v>0</v>
      </c>
      <c r="KE70" s="206">
        <f t="shared" si="69"/>
        <v>0</v>
      </c>
      <c r="KF70" s="206">
        <f t="shared" si="294"/>
        <v>0</v>
      </c>
      <c r="KG70" s="206">
        <f t="shared" si="295"/>
        <v>0</v>
      </c>
      <c r="KH70" s="206">
        <f t="shared" si="296"/>
        <v>0</v>
      </c>
      <c r="KI70" s="206">
        <f t="shared" si="297"/>
        <v>0</v>
      </c>
      <c r="KJ70" s="206">
        <f t="shared" si="298"/>
        <v>0</v>
      </c>
      <c r="KK70" s="206">
        <f t="shared" si="299"/>
        <v>0</v>
      </c>
      <c r="KL70" s="206">
        <f t="shared" si="300"/>
        <v>0</v>
      </c>
      <c r="KM70" s="206">
        <f t="shared" si="301"/>
        <v>0</v>
      </c>
      <c r="KN70" s="221">
        <f t="shared" si="302"/>
        <v>0</v>
      </c>
      <c r="KO70" s="221">
        <f t="shared" si="303"/>
        <v>0</v>
      </c>
      <c r="KP70" s="221">
        <f t="shared" si="304"/>
        <v>0</v>
      </c>
      <c r="KQ70" s="221">
        <f t="shared" si="305"/>
        <v>0</v>
      </c>
      <c r="KR70" s="221">
        <f t="shared" si="306"/>
        <v>0</v>
      </c>
      <c r="KT70" s="195">
        <f t="shared" si="307"/>
        <v>0</v>
      </c>
      <c r="KU70" s="221"/>
      <c r="KV70" s="221"/>
      <c r="KW70" s="221"/>
      <c r="KX70" s="221"/>
      <c r="KY70" s="221"/>
      <c r="KZ70" s="221"/>
      <c r="LA70" s="221"/>
      <c r="LB70" s="221"/>
      <c r="LC70" s="221"/>
      <c r="LD70" s="221"/>
      <c r="LE70" s="221"/>
      <c r="LF70" s="221"/>
      <c r="LG70" s="221"/>
      <c r="LH70" s="221"/>
      <c r="LI70" s="221"/>
      <c r="LJ70" s="221"/>
      <c r="LK70" s="221"/>
      <c r="LL70" s="221"/>
      <c r="LM70" s="221"/>
      <c r="LN70" s="221"/>
      <c r="LO70" s="221"/>
      <c r="LP70" s="221"/>
      <c r="LQ70" s="221"/>
      <c r="LR70" s="221"/>
      <c r="LS70" s="221"/>
      <c r="LT70" s="221"/>
      <c r="LU70" s="221"/>
      <c r="LV70" s="221"/>
      <c r="LW70" s="221"/>
      <c r="LX70" s="221"/>
      <c r="LY70" s="221"/>
      <c r="LZ70" s="221"/>
      <c r="MA70" s="221"/>
      <c r="MB70" s="221"/>
      <c r="MC70" s="221"/>
      <c r="MD70" s="221"/>
      <c r="ME70" s="221"/>
      <c r="MF70" s="221"/>
      <c r="MG70" s="221"/>
      <c r="MH70" s="221"/>
      <c r="MI70" s="221"/>
      <c r="MJ70" s="221"/>
      <c r="MK70" s="221"/>
      <c r="ML70" s="221"/>
      <c r="MM70" s="221"/>
      <c r="MN70" s="221"/>
      <c r="MO70" s="221"/>
      <c r="MP70" s="221"/>
      <c r="MQ70" s="221"/>
      <c r="MR70" s="221"/>
      <c r="MS70" s="221"/>
      <c r="MT70" s="221"/>
      <c r="MU70" s="221"/>
      <c r="MV70" s="221"/>
      <c r="MW70" s="221"/>
      <c r="MX70" s="221"/>
      <c r="MY70" s="221"/>
      <c r="MZ70" s="221"/>
      <c r="NA70" s="221"/>
      <c r="NB70" s="221"/>
      <c r="NC70" s="221"/>
      <c r="ND70" s="221"/>
      <c r="NE70" s="221"/>
      <c r="NF70" s="221"/>
      <c r="NG70" s="221"/>
      <c r="NH70" s="221"/>
      <c r="NI70" s="221"/>
      <c r="NJ70" s="221"/>
      <c r="NK70" s="221"/>
      <c r="NM70" s="195">
        <f t="shared" si="178"/>
        <v>0</v>
      </c>
      <c r="NN70" s="195">
        <f t="shared" si="179"/>
        <v>0</v>
      </c>
      <c r="NO70" s="195">
        <f t="shared" si="180"/>
        <v>0</v>
      </c>
      <c r="NP70" s="195">
        <f t="shared" si="181"/>
        <v>0</v>
      </c>
      <c r="NQ70" s="195">
        <f t="shared" si="182"/>
        <v>0</v>
      </c>
      <c r="NR70" s="195">
        <f t="shared" si="183"/>
        <v>0</v>
      </c>
      <c r="NS70" s="195">
        <f t="shared" si="184"/>
        <v>0</v>
      </c>
      <c r="NT70" s="195">
        <f t="shared" si="185"/>
        <v>0</v>
      </c>
      <c r="NU70" s="196">
        <f t="shared" si="186"/>
        <v>0</v>
      </c>
      <c r="NY70" s="215">
        <f t="shared" si="249"/>
        <v>1</v>
      </c>
      <c r="NZ70" s="222">
        <v>11025000</v>
      </c>
      <c r="OE70" s="207">
        <f t="shared" si="243"/>
        <v>0</v>
      </c>
      <c r="OF70" s="207">
        <f t="shared" si="244"/>
        <v>0</v>
      </c>
      <c r="OG70" s="207">
        <f t="shared" si="245"/>
        <v>0</v>
      </c>
      <c r="OH70" s="207">
        <f t="shared" si="188"/>
        <v>0</v>
      </c>
      <c r="OI70" s="207">
        <f t="shared" si="246"/>
        <v>0</v>
      </c>
      <c r="OJ70" s="199">
        <f t="shared" si="189"/>
        <v>0</v>
      </c>
      <c r="OK70" s="199">
        <f t="shared" si="190"/>
        <v>0</v>
      </c>
      <c r="OL70" s="199">
        <f t="shared" si="191"/>
        <v>0</v>
      </c>
      <c r="OM70" s="199">
        <f t="shared" si="192"/>
        <v>0</v>
      </c>
      <c r="OO70" s="207">
        <f t="shared" si="247"/>
        <v>0</v>
      </c>
      <c r="OP70" s="207">
        <f t="shared" si="248"/>
        <v>0</v>
      </c>
      <c r="OQ70" s="207">
        <f t="shared" si="193"/>
        <v>0</v>
      </c>
      <c r="OR70" s="207">
        <f t="shared" si="194"/>
        <v>0</v>
      </c>
      <c r="OS70" s="207">
        <f t="shared" si="195"/>
        <v>0</v>
      </c>
      <c r="OT70" s="199">
        <f t="shared" si="196"/>
        <v>0</v>
      </c>
      <c r="OU70" s="199">
        <f t="shared" si="197"/>
        <v>0</v>
      </c>
      <c r="OV70" s="199">
        <f t="shared" si="198"/>
        <v>0</v>
      </c>
      <c r="OW70" s="199">
        <f t="shared" si="199"/>
        <v>0</v>
      </c>
      <c r="OZ70" s="208">
        <f t="shared" si="91"/>
        <v>0</v>
      </c>
      <c r="PA70" s="209"/>
      <c r="PB70" s="209"/>
      <c r="PC70" s="209"/>
      <c r="PD70" s="210">
        <f t="shared" si="200"/>
        <v>0</v>
      </c>
      <c r="PE70" s="210"/>
      <c r="PF70" s="210">
        <f t="shared" si="201"/>
        <v>0</v>
      </c>
      <c r="PG70" s="210">
        <f t="shared" si="202"/>
        <v>0</v>
      </c>
      <c r="PH70" s="210">
        <f t="shared" si="92"/>
        <v>0</v>
      </c>
      <c r="PI70" s="210">
        <f t="shared" si="93"/>
        <v>0</v>
      </c>
      <c r="PJ70" s="210">
        <f t="shared" si="94"/>
        <v>0</v>
      </c>
      <c r="PK70" s="210">
        <f t="shared" si="95"/>
        <v>0</v>
      </c>
      <c r="PL70" s="210">
        <f t="shared" si="96"/>
        <v>0</v>
      </c>
      <c r="PM70" s="211"/>
      <c r="PN70" s="211"/>
      <c r="PO70" s="212">
        <f t="shared" si="203"/>
        <v>0</v>
      </c>
      <c r="PP70" s="212">
        <f t="shared" si="204"/>
        <v>0</v>
      </c>
      <c r="PQ70" s="212">
        <f t="shared" si="205"/>
        <v>0</v>
      </c>
      <c r="PR70" s="211"/>
      <c r="PS70" s="211"/>
      <c r="PT70" s="211"/>
      <c r="PU70" s="211"/>
    </row>
    <row r="71" spans="1:437 16383:16383" s="195" customFormat="1" ht="16" x14ac:dyDescent="0.2">
      <c r="A71" s="213">
        <f t="shared" si="206"/>
        <v>61</v>
      </c>
      <c r="B71" s="186" t="s">
        <v>76</v>
      </c>
      <c r="C71" s="186">
        <v>66</v>
      </c>
      <c r="D71" s="188">
        <v>1</v>
      </c>
      <c r="E71" s="188">
        <v>64</v>
      </c>
      <c r="F71" s="188">
        <v>1</v>
      </c>
      <c r="G71" s="188">
        <f t="shared" si="308"/>
        <v>64</v>
      </c>
      <c r="H71" s="214">
        <f t="shared" ref="H71:H95" si="311">F71/$D71</f>
        <v>1</v>
      </c>
      <c r="I71" s="214">
        <f t="shared" ref="I71:I95" si="312">G71/$E71</f>
        <v>1</v>
      </c>
      <c r="J71" s="188">
        <v>1</v>
      </c>
      <c r="K71" s="188">
        <f t="shared" ref="K71:K95" si="313">IF(J71=D71,E71,0)</f>
        <v>64</v>
      </c>
      <c r="L71" s="214">
        <f t="shared" ref="L71:L95" si="314">J71/$D71</f>
        <v>1</v>
      </c>
      <c r="M71" s="214">
        <f t="shared" ref="M71:M95" si="315">K71/$E71</f>
        <v>1</v>
      </c>
      <c r="N71" s="188">
        <v>1</v>
      </c>
      <c r="O71" s="188">
        <f t="shared" ref="O71:O95" si="316">IF(N71=D71,E71,0)</f>
        <v>64</v>
      </c>
      <c r="P71" s="214">
        <f t="shared" ref="P71:P95" si="317">N71/$D71</f>
        <v>1</v>
      </c>
      <c r="Q71" s="214">
        <f t="shared" ref="Q71:Q95" si="318">O71/$E71</f>
        <v>1</v>
      </c>
      <c r="R71" s="188">
        <v>1</v>
      </c>
      <c r="S71" s="188">
        <f t="shared" ref="S71:S95" si="319">IF(R71=D71,E71,0)</f>
        <v>64</v>
      </c>
      <c r="T71" s="214">
        <f t="shared" ref="T71:T95" si="320">R71/$D71</f>
        <v>1</v>
      </c>
      <c r="U71" s="214">
        <f t="shared" ref="U71:U95" si="321">S71/$E71</f>
        <v>1</v>
      </c>
      <c r="V71" s="215">
        <v>1</v>
      </c>
      <c r="W71" s="188">
        <f t="shared" ref="W71:W95" si="322">IF(V71=D71,E71,0)</f>
        <v>64</v>
      </c>
      <c r="X71" s="214">
        <f t="shared" ref="X71:X95" si="323">V71/$D71</f>
        <v>1</v>
      </c>
      <c r="Y71" s="214">
        <f t="shared" ref="Y71:Y95" si="324">W71/$E71</f>
        <v>1</v>
      </c>
      <c r="Z71" s="216">
        <f>926566000/1000000000</f>
        <v>0.926566</v>
      </c>
      <c r="AA71" s="188">
        <v>0</v>
      </c>
      <c r="AB71" s="188">
        <f t="shared" si="112"/>
        <v>0</v>
      </c>
      <c r="AC71" s="214">
        <f t="shared" si="113"/>
        <v>0</v>
      </c>
      <c r="AD71" s="214">
        <f t="shared" si="114"/>
        <v>0</v>
      </c>
      <c r="AE71" s="188"/>
      <c r="AF71" s="188">
        <f t="shared" si="115"/>
        <v>0</v>
      </c>
      <c r="AG71" s="188"/>
      <c r="AH71" s="188"/>
      <c r="AI71" s="188">
        <v>0</v>
      </c>
      <c r="AJ71" s="188">
        <f t="shared" si="2"/>
        <v>0</v>
      </c>
      <c r="AK71" s="188"/>
      <c r="AL71" s="188">
        <v>0</v>
      </c>
      <c r="AM71" s="188">
        <v>0</v>
      </c>
      <c r="AN71" s="217"/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8"/>
      <c r="BA71" s="188"/>
      <c r="BB71" s="188">
        <f t="shared" si="15"/>
        <v>0</v>
      </c>
      <c r="BD71" s="196">
        <f t="shared" si="118"/>
        <v>0</v>
      </c>
      <c r="BE71" s="188">
        <f t="shared" si="231"/>
        <v>0</v>
      </c>
      <c r="BF71" s="188">
        <f t="shared" si="232"/>
        <v>0</v>
      </c>
      <c r="BG71" s="188">
        <f t="shared" si="233"/>
        <v>0</v>
      </c>
      <c r="BH71" s="188">
        <f t="shared" si="234"/>
        <v>0</v>
      </c>
      <c r="BI71" s="188">
        <f t="shared" si="235"/>
        <v>0</v>
      </c>
      <c r="BJ71" s="188">
        <f t="shared" si="236"/>
        <v>0</v>
      </c>
      <c r="BK71" s="188">
        <f t="shared" si="22"/>
        <v>0</v>
      </c>
      <c r="BN71" s="143"/>
      <c r="BO71" s="277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B71" s="188"/>
      <c r="CD71" s="188">
        <f t="shared" si="23"/>
        <v>0</v>
      </c>
      <c r="CE71" s="188">
        <f t="shared" si="24"/>
        <v>0</v>
      </c>
      <c r="CF71" s="188">
        <f t="shared" si="25"/>
        <v>0</v>
      </c>
      <c r="CG71" s="188">
        <f t="shared" si="26"/>
        <v>0</v>
      </c>
      <c r="CH71" s="188">
        <f t="shared" si="27"/>
        <v>0</v>
      </c>
      <c r="CI71" s="188">
        <f t="shared" si="28"/>
        <v>0</v>
      </c>
      <c r="CJ71" s="188">
        <f t="shared" si="29"/>
        <v>0</v>
      </c>
      <c r="CK71" s="188">
        <f t="shared" si="30"/>
        <v>0</v>
      </c>
      <c r="CL71" s="188">
        <f t="shared" si="31"/>
        <v>0</v>
      </c>
      <c r="CM71" s="188">
        <f t="shared" si="32"/>
        <v>0</v>
      </c>
      <c r="CN71" s="188">
        <f t="shared" si="33"/>
        <v>0</v>
      </c>
      <c r="CO71" s="188">
        <f t="shared" si="34"/>
        <v>0</v>
      </c>
      <c r="CP71" s="188">
        <f t="shared" si="35"/>
        <v>0</v>
      </c>
      <c r="DV71" s="188">
        <f t="shared" si="237"/>
        <v>0</v>
      </c>
      <c r="DW71" s="188">
        <f t="shared" si="238"/>
        <v>0</v>
      </c>
      <c r="DX71" s="188">
        <f t="shared" si="239"/>
        <v>0</v>
      </c>
      <c r="DY71" s="188">
        <f t="shared" si="240"/>
        <v>0</v>
      </c>
      <c r="DZ71" s="188">
        <f t="shared" si="241"/>
        <v>0</v>
      </c>
      <c r="EA71" s="188">
        <f t="shared" si="242"/>
        <v>0</v>
      </c>
      <c r="EB71" s="188">
        <f t="shared" si="42"/>
        <v>0</v>
      </c>
      <c r="EG71" s="220">
        <f t="shared" si="43"/>
        <v>0</v>
      </c>
      <c r="EH71" s="220">
        <f t="shared" si="44"/>
        <v>0</v>
      </c>
      <c r="EI71" s="188"/>
      <c r="EJ71" s="188"/>
      <c r="EK71" s="188"/>
      <c r="EL71" s="188"/>
      <c r="EM71" s="188"/>
      <c r="EN71" s="188"/>
      <c r="EO71" s="188"/>
      <c r="EP71" s="188"/>
      <c r="EQ71" s="188"/>
      <c r="ER71" s="188"/>
      <c r="ES71" s="188"/>
      <c r="ET71" s="188"/>
      <c r="EU71" s="188"/>
      <c r="EV71" s="188"/>
      <c r="EW71" s="188"/>
      <c r="EX71" s="188"/>
      <c r="EY71" s="188"/>
      <c r="EZ71" s="188"/>
      <c r="FA71" s="188"/>
      <c r="FB71" s="188"/>
      <c r="FC71" s="188"/>
      <c r="FD71" s="188"/>
      <c r="FE71" s="188"/>
      <c r="FF71" s="188"/>
      <c r="FH71" s="189"/>
      <c r="FI71" s="189"/>
      <c r="FJ71" s="189"/>
      <c r="FK71" s="189"/>
      <c r="FL71" s="189"/>
      <c r="FM71" s="189"/>
      <c r="FN71" s="189"/>
      <c r="FO71" s="189"/>
      <c r="FP71" s="189"/>
      <c r="FQ71" s="189"/>
      <c r="FR71" s="189"/>
      <c r="FS71" s="189"/>
      <c r="FT71" s="189"/>
      <c r="FU71" s="189"/>
      <c r="FV71" s="189"/>
      <c r="FX71" s="217"/>
      <c r="FY71" s="188">
        <f t="shared" si="45"/>
        <v>0</v>
      </c>
      <c r="FZ71" s="188">
        <f t="shared" si="250"/>
        <v>0</v>
      </c>
      <c r="GA71" s="188">
        <f t="shared" si="251"/>
        <v>0</v>
      </c>
      <c r="GB71" s="188">
        <f t="shared" si="252"/>
        <v>0</v>
      </c>
      <c r="GC71" s="188">
        <f t="shared" si="253"/>
        <v>0</v>
      </c>
      <c r="GD71" s="188">
        <f t="shared" si="254"/>
        <v>0</v>
      </c>
      <c r="GE71" s="188">
        <f t="shared" si="255"/>
        <v>0</v>
      </c>
      <c r="GF71" s="199"/>
      <c r="GG71" s="189">
        <v>0</v>
      </c>
      <c r="GH71" s="189">
        <v>0</v>
      </c>
      <c r="GI71" s="199"/>
      <c r="GJ71" s="200">
        <f t="shared" si="52"/>
        <v>0</v>
      </c>
      <c r="GK71" s="200">
        <f t="shared" si="53"/>
        <v>0</v>
      </c>
      <c r="GO71" s="189">
        <f t="shared" si="256"/>
        <v>0</v>
      </c>
      <c r="GP71" s="189">
        <f t="shared" si="257"/>
        <v>0</v>
      </c>
      <c r="GQ71" s="189">
        <f t="shared" si="258"/>
        <v>0</v>
      </c>
      <c r="GR71" s="189">
        <f t="shared" si="259"/>
        <v>0</v>
      </c>
      <c r="GS71" s="189">
        <f t="shared" si="260"/>
        <v>0</v>
      </c>
      <c r="GT71" s="189">
        <f t="shared" si="124"/>
        <v>1</v>
      </c>
      <c r="GU71" s="201">
        <f t="shared" si="125"/>
        <v>43243</v>
      </c>
      <c r="GV71" s="189" t="str">
        <f t="shared" si="126"/>
        <v>SELESAI</v>
      </c>
      <c r="GW71" s="189">
        <f t="shared" si="127"/>
        <v>0</v>
      </c>
      <c r="GX71" s="202" t="str">
        <f t="shared" si="128"/>
        <v>SELESAI</v>
      </c>
      <c r="GY71" s="202">
        <f t="shared" si="129"/>
        <v>0</v>
      </c>
      <c r="GZ71" s="203" t="str">
        <f t="shared" si="130"/>
        <v>SELESAI</v>
      </c>
      <c r="HA71" s="204"/>
      <c r="HB71" s="204"/>
      <c r="HC71" s="189">
        <f t="shared" si="261"/>
        <v>0</v>
      </c>
      <c r="HD71" s="189">
        <f t="shared" si="262"/>
        <v>0</v>
      </c>
      <c r="HE71" s="189">
        <f t="shared" si="133"/>
        <v>0</v>
      </c>
      <c r="HF71" s="189">
        <f t="shared" si="134"/>
        <v>0</v>
      </c>
      <c r="HG71" s="189">
        <f t="shared" si="135"/>
        <v>0</v>
      </c>
      <c r="HH71" s="201" t="str">
        <f t="shared" si="136"/>
        <v>TIDAK KONSINYASI</v>
      </c>
      <c r="HI71" s="201" t="str">
        <f t="shared" si="137"/>
        <v>SELESAI</v>
      </c>
      <c r="HJ71" s="205"/>
      <c r="HK71" s="201">
        <f t="shared" si="138"/>
        <v>0</v>
      </c>
      <c r="HL71" s="204"/>
      <c r="HM71" s="204"/>
      <c r="HN71" s="204"/>
      <c r="HO71" s="204"/>
      <c r="HP71" s="203">
        <f t="shared" si="139"/>
        <v>0</v>
      </c>
      <c r="HQ71" s="202">
        <f t="shared" si="140"/>
        <v>0</v>
      </c>
      <c r="HR71" s="202">
        <f t="shared" si="263"/>
        <v>0</v>
      </c>
      <c r="HS71" s="203">
        <f t="shared" si="142"/>
        <v>0</v>
      </c>
      <c r="HT71" s="202">
        <f t="shared" si="143"/>
        <v>0</v>
      </c>
      <c r="HU71" s="202">
        <f t="shared" si="264"/>
        <v>0</v>
      </c>
      <c r="HV71" s="203">
        <f t="shared" si="145"/>
        <v>0</v>
      </c>
      <c r="HW71" s="202">
        <f t="shared" si="146"/>
        <v>0</v>
      </c>
      <c r="HX71" s="202">
        <f t="shared" si="265"/>
        <v>0</v>
      </c>
      <c r="HY71" s="203">
        <f t="shared" si="148"/>
        <v>0</v>
      </c>
      <c r="HZ71" s="202">
        <f t="shared" si="149"/>
        <v>0</v>
      </c>
      <c r="IA71" s="202">
        <f t="shared" si="266"/>
        <v>0</v>
      </c>
      <c r="IB71" s="203">
        <f t="shared" si="151"/>
        <v>0</v>
      </c>
      <c r="IC71" s="202">
        <f t="shared" si="152"/>
        <v>0</v>
      </c>
      <c r="ID71" s="202">
        <f t="shared" si="267"/>
        <v>0</v>
      </c>
      <c r="IE71" s="203">
        <f t="shared" si="154"/>
        <v>0</v>
      </c>
      <c r="IF71" s="202">
        <f t="shared" si="155"/>
        <v>0</v>
      </c>
      <c r="IG71" s="202">
        <f t="shared" si="268"/>
        <v>0</v>
      </c>
      <c r="IH71" s="203">
        <f t="shared" si="157"/>
        <v>0</v>
      </c>
      <c r="II71" s="202">
        <f t="shared" si="158"/>
        <v>0</v>
      </c>
      <c r="IJ71" s="202">
        <f t="shared" si="269"/>
        <v>0</v>
      </c>
      <c r="IK71" s="203">
        <f t="shared" si="160"/>
        <v>0</v>
      </c>
      <c r="IL71" s="202">
        <f t="shared" si="161"/>
        <v>0</v>
      </c>
      <c r="IM71" s="202">
        <f t="shared" si="270"/>
        <v>0</v>
      </c>
      <c r="IN71" s="204"/>
      <c r="IO71" s="203">
        <f t="shared" si="163"/>
        <v>0</v>
      </c>
      <c r="IP71" s="202">
        <f t="shared" si="271"/>
        <v>0</v>
      </c>
      <c r="IQ71" s="202">
        <f t="shared" si="272"/>
        <v>0</v>
      </c>
      <c r="IR71" s="204"/>
      <c r="IS71" s="203"/>
      <c r="IT71" s="202">
        <f t="shared" si="273"/>
        <v>1</v>
      </c>
      <c r="IU71" s="202">
        <f t="shared" si="274"/>
        <v>64</v>
      </c>
      <c r="IV71" s="204"/>
      <c r="IW71" s="203"/>
      <c r="IX71" s="202">
        <f t="shared" si="275"/>
        <v>0</v>
      </c>
      <c r="IY71" s="202">
        <f t="shared" si="276"/>
        <v>0</v>
      </c>
      <c r="IZ71" s="204"/>
      <c r="JA71" s="203"/>
      <c r="JB71" s="202">
        <f t="shared" si="277"/>
        <v>0</v>
      </c>
      <c r="JC71" s="202">
        <f t="shared" si="278"/>
        <v>0</v>
      </c>
      <c r="JD71" s="204"/>
      <c r="JE71" s="203"/>
      <c r="JF71" s="202">
        <f t="shared" si="172"/>
        <v>1</v>
      </c>
      <c r="JG71" s="202">
        <f t="shared" si="173"/>
        <v>64</v>
      </c>
      <c r="JH71" s="204"/>
      <c r="JI71" s="203"/>
      <c r="JJ71" s="202">
        <f t="shared" si="279"/>
        <v>0</v>
      </c>
      <c r="JK71" s="202">
        <f t="shared" si="280"/>
        <v>0</v>
      </c>
      <c r="JM71" s="203">
        <f t="shared" si="176"/>
        <v>0</v>
      </c>
      <c r="JO71" s="196">
        <f t="shared" si="54"/>
        <v>0</v>
      </c>
      <c r="JP71" s="189">
        <f t="shared" si="281"/>
        <v>0</v>
      </c>
      <c r="JQ71" s="189">
        <f t="shared" si="282"/>
        <v>0</v>
      </c>
      <c r="JR71" s="189">
        <f t="shared" si="283"/>
        <v>0</v>
      </c>
      <c r="JS71" s="189">
        <f t="shared" si="284"/>
        <v>0</v>
      </c>
      <c r="JT71" s="189">
        <f t="shared" si="285"/>
        <v>0</v>
      </c>
      <c r="JU71" s="189">
        <f t="shared" si="286"/>
        <v>0</v>
      </c>
      <c r="JV71" s="189">
        <f t="shared" si="287"/>
        <v>0</v>
      </c>
      <c r="JW71" s="189">
        <f t="shared" si="288"/>
        <v>0</v>
      </c>
      <c r="JX71" s="189">
        <f t="shared" si="289"/>
        <v>0</v>
      </c>
      <c r="JY71" s="189">
        <f t="shared" si="290"/>
        <v>0</v>
      </c>
      <c r="JZ71" s="189">
        <f t="shared" si="291"/>
        <v>0</v>
      </c>
      <c r="KA71" s="189">
        <f t="shared" si="292"/>
        <v>0</v>
      </c>
      <c r="KB71" s="189">
        <f t="shared" si="293"/>
        <v>0</v>
      </c>
      <c r="KD71" s="206">
        <f t="shared" si="177"/>
        <v>0</v>
      </c>
      <c r="KE71" s="206">
        <f t="shared" si="69"/>
        <v>0</v>
      </c>
      <c r="KF71" s="206">
        <f t="shared" si="294"/>
        <v>0</v>
      </c>
      <c r="KG71" s="206">
        <f t="shared" si="295"/>
        <v>0</v>
      </c>
      <c r="KH71" s="206">
        <f t="shared" si="296"/>
        <v>0</v>
      </c>
      <c r="KI71" s="206">
        <f t="shared" si="297"/>
        <v>0</v>
      </c>
      <c r="KJ71" s="206">
        <f t="shared" si="298"/>
        <v>0</v>
      </c>
      <c r="KK71" s="206">
        <f t="shared" si="299"/>
        <v>0</v>
      </c>
      <c r="KL71" s="206">
        <f t="shared" si="300"/>
        <v>0</v>
      </c>
      <c r="KM71" s="206">
        <f t="shared" si="301"/>
        <v>0</v>
      </c>
      <c r="KN71" s="221">
        <f t="shared" si="302"/>
        <v>0</v>
      </c>
      <c r="KO71" s="221">
        <f t="shared" si="303"/>
        <v>0</v>
      </c>
      <c r="KP71" s="221">
        <f t="shared" si="304"/>
        <v>0</v>
      </c>
      <c r="KQ71" s="221">
        <f t="shared" si="305"/>
        <v>0</v>
      </c>
      <c r="KR71" s="221">
        <f t="shared" si="306"/>
        <v>0</v>
      </c>
      <c r="KT71" s="195">
        <f t="shared" si="307"/>
        <v>0</v>
      </c>
      <c r="KU71" s="221"/>
      <c r="KV71" s="221"/>
      <c r="KW71" s="221"/>
      <c r="KX71" s="221"/>
      <c r="KY71" s="221"/>
      <c r="KZ71" s="221"/>
      <c r="LA71" s="221"/>
      <c r="LB71" s="221"/>
      <c r="LC71" s="221"/>
      <c r="LD71" s="221"/>
      <c r="LE71" s="221"/>
      <c r="LF71" s="221"/>
      <c r="LG71" s="221"/>
      <c r="LH71" s="221"/>
      <c r="LI71" s="221"/>
      <c r="LJ71" s="221"/>
      <c r="LK71" s="221"/>
      <c r="LL71" s="221"/>
      <c r="LM71" s="221"/>
      <c r="LN71" s="221"/>
      <c r="LO71" s="221"/>
      <c r="LP71" s="221"/>
      <c r="LQ71" s="221"/>
      <c r="LR71" s="221"/>
      <c r="LS71" s="221"/>
      <c r="LT71" s="221"/>
      <c r="LU71" s="221"/>
      <c r="LV71" s="221"/>
      <c r="LW71" s="221"/>
      <c r="LX71" s="221"/>
      <c r="LY71" s="221"/>
      <c r="LZ71" s="221"/>
      <c r="MA71" s="221"/>
      <c r="MB71" s="221"/>
      <c r="MC71" s="221"/>
      <c r="MD71" s="221"/>
      <c r="ME71" s="221"/>
      <c r="MF71" s="221"/>
      <c r="MG71" s="221"/>
      <c r="MH71" s="221"/>
      <c r="MI71" s="221"/>
      <c r="MJ71" s="221"/>
      <c r="MK71" s="221"/>
      <c r="ML71" s="221"/>
      <c r="MM71" s="221"/>
      <c r="MN71" s="221"/>
      <c r="MO71" s="221"/>
      <c r="MP71" s="221"/>
      <c r="MQ71" s="221"/>
      <c r="MR71" s="221"/>
      <c r="MS71" s="221"/>
      <c r="MT71" s="221"/>
      <c r="MU71" s="221"/>
      <c r="MV71" s="221"/>
      <c r="MW71" s="221"/>
      <c r="MX71" s="221"/>
      <c r="MY71" s="221"/>
      <c r="MZ71" s="221"/>
      <c r="NA71" s="221"/>
      <c r="NB71" s="221"/>
      <c r="NC71" s="221"/>
      <c r="ND71" s="221"/>
      <c r="NE71" s="221"/>
      <c r="NF71" s="221"/>
      <c r="NG71" s="221"/>
      <c r="NH71" s="221"/>
      <c r="NI71" s="221"/>
      <c r="NJ71" s="221"/>
      <c r="NK71" s="221"/>
      <c r="NM71" s="195">
        <f t="shared" si="178"/>
        <v>0</v>
      </c>
      <c r="NN71" s="195">
        <f t="shared" si="179"/>
        <v>0</v>
      </c>
      <c r="NO71" s="195">
        <f t="shared" si="180"/>
        <v>0</v>
      </c>
      <c r="NP71" s="195">
        <f t="shared" si="181"/>
        <v>0</v>
      </c>
      <c r="NQ71" s="195">
        <f t="shared" si="182"/>
        <v>0</v>
      </c>
      <c r="NR71" s="195">
        <f t="shared" si="183"/>
        <v>0</v>
      </c>
      <c r="NS71" s="195">
        <f t="shared" si="184"/>
        <v>0</v>
      </c>
      <c r="NT71" s="195">
        <f t="shared" si="185"/>
        <v>0</v>
      </c>
      <c r="NU71" s="196">
        <f t="shared" si="186"/>
        <v>0</v>
      </c>
      <c r="NY71" s="215">
        <f t="shared" si="249"/>
        <v>1</v>
      </c>
      <c r="NZ71" s="222">
        <v>11025000</v>
      </c>
      <c r="OE71" s="207">
        <f t="shared" si="243"/>
        <v>0</v>
      </c>
      <c r="OF71" s="207">
        <f t="shared" si="244"/>
        <v>0</v>
      </c>
      <c r="OG71" s="207">
        <f t="shared" si="245"/>
        <v>0</v>
      </c>
      <c r="OH71" s="207">
        <f t="shared" si="188"/>
        <v>0</v>
      </c>
      <c r="OI71" s="207">
        <f t="shared" si="246"/>
        <v>0</v>
      </c>
      <c r="OJ71" s="199">
        <f t="shared" si="189"/>
        <v>0</v>
      </c>
      <c r="OK71" s="199">
        <f t="shared" si="190"/>
        <v>0</v>
      </c>
      <c r="OL71" s="199">
        <f t="shared" si="191"/>
        <v>0</v>
      </c>
      <c r="OM71" s="199">
        <f t="shared" si="192"/>
        <v>0</v>
      </c>
      <c r="OO71" s="207">
        <f t="shared" si="247"/>
        <v>0</v>
      </c>
      <c r="OP71" s="207">
        <f t="shared" si="248"/>
        <v>0</v>
      </c>
      <c r="OQ71" s="207">
        <f t="shared" si="193"/>
        <v>0</v>
      </c>
      <c r="OR71" s="207">
        <f t="shared" si="194"/>
        <v>0</v>
      </c>
      <c r="OS71" s="207">
        <f t="shared" si="195"/>
        <v>0</v>
      </c>
      <c r="OT71" s="199">
        <f t="shared" si="196"/>
        <v>0</v>
      </c>
      <c r="OU71" s="199">
        <f t="shared" si="197"/>
        <v>0</v>
      </c>
      <c r="OV71" s="199">
        <f t="shared" si="198"/>
        <v>0</v>
      </c>
      <c r="OW71" s="199">
        <f t="shared" si="199"/>
        <v>0</v>
      </c>
      <c r="OZ71" s="208">
        <f t="shared" si="91"/>
        <v>0</v>
      </c>
      <c r="PA71" s="209"/>
      <c r="PB71" s="209"/>
      <c r="PC71" s="209"/>
      <c r="PD71" s="210">
        <f t="shared" si="200"/>
        <v>0</v>
      </c>
      <c r="PE71" s="210"/>
      <c r="PF71" s="210">
        <f t="shared" si="201"/>
        <v>0</v>
      </c>
      <c r="PG71" s="210">
        <f t="shared" si="202"/>
        <v>0</v>
      </c>
      <c r="PH71" s="210">
        <f t="shared" si="92"/>
        <v>0</v>
      </c>
      <c r="PI71" s="210">
        <f t="shared" si="93"/>
        <v>0</v>
      </c>
      <c r="PJ71" s="210">
        <f t="shared" si="94"/>
        <v>0</v>
      </c>
      <c r="PK71" s="210">
        <f t="shared" si="95"/>
        <v>0</v>
      </c>
      <c r="PL71" s="210">
        <f t="shared" si="96"/>
        <v>0</v>
      </c>
      <c r="PM71" s="211"/>
      <c r="PN71" s="211"/>
      <c r="PO71" s="212">
        <f t="shared" si="203"/>
        <v>0</v>
      </c>
      <c r="PP71" s="212">
        <f t="shared" si="204"/>
        <v>0</v>
      </c>
      <c r="PQ71" s="212">
        <f t="shared" si="205"/>
        <v>0</v>
      </c>
      <c r="PR71" s="211"/>
      <c r="PS71" s="211"/>
      <c r="PT71" s="211"/>
      <c r="PU71" s="211"/>
    </row>
    <row r="72" spans="1:437 16383:16383" s="195" customFormat="1" ht="16" x14ac:dyDescent="0.2">
      <c r="A72" s="213">
        <f t="shared" si="206"/>
        <v>62</v>
      </c>
      <c r="B72" s="186" t="s">
        <v>77</v>
      </c>
      <c r="C72" s="186">
        <v>67</v>
      </c>
      <c r="D72" s="188">
        <v>1</v>
      </c>
      <c r="E72" s="188">
        <v>80</v>
      </c>
      <c r="F72" s="188">
        <v>1</v>
      </c>
      <c r="G72" s="188">
        <f t="shared" si="308"/>
        <v>80</v>
      </c>
      <c r="H72" s="214">
        <f t="shared" si="311"/>
        <v>1</v>
      </c>
      <c r="I72" s="214">
        <f t="shared" si="312"/>
        <v>1</v>
      </c>
      <c r="J72" s="188">
        <v>1</v>
      </c>
      <c r="K72" s="188">
        <f t="shared" si="313"/>
        <v>80</v>
      </c>
      <c r="L72" s="214">
        <f t="shared" si="314"/>
        <v>1</v>
      </c>
      <c r="M72" s="214">
        <f t="shared" si="315"/>
        <v>1</v>
      </c>
      <c r="N72" s="188">
        <v>1</v>
      </c>
      <c r="O72" s="188">
        <f t="shared" si="316"/>
        <v>80</v>
      </c>
      <c r="P72" s="214">
        <f t="shared" si="317"/>
        <v>1</v>
      </c>
      <c r="Q72" s="214">
        <f t="shared" si="318"/>
        <v>1</v>
      </c>
      <c r="R72" s="188">
        <v>1</v>
      </c>
      <c r="S72" s="188">
        <f t="shared" si="319"/>
        <v>80</v>
      </c>
      <c r="T72" s="214">
        <f t="shared" si="320"/>
        <v>1</v>
      </c>
      <c r="U72" s="214">
        <f t="shared" si="321"/>
        <v>1</v>
      </c>
      <c r="V72" s="215">
        <v>1</v>
      </c>
      <c r="W72" s="188">
        <f t="shared" si="322"/>
        <v>80</v>
      </c>
      <c r="X72" s="214">
        <f t="shared" si="323"/>
        <v>1</v>
      </c>
      <c r="Y72" s="214">
        <f t="shared" si="324"/>
        <v>1</v>
      </c>
      <c r="Z72" s="216">
        <f>1265365000/1000000000</f>
        <v>1.2653650000000001</v>
      </c>
      <c r="AA72" s="188">
        <v>0</v>
      </c>
      <c r="AB72" s="188">
        <f t="shared" si="112"/>
        <v>0</v>
      </c>
      <c r="AC72" s="214">
        <f t="shared" si="113"/>
        <v>0</v>
      </c>
      <c r="AD72" s="214">
        <f t="shared" si="114"/>
        <v>0</v>
      </c>
      <c r="AE72" s="188"/>
      <c r="AF72" s="188">
        <f t="shared" si="115"/>
        <v>0</v>
      </c>
      <c r="AG72" s="188"/>
      <c r="AH72" s="188"/>
      <c r="AI72" s="188">
        <v>0</v>
      </c>
      <c r="AJ72" s="188">
        <f t="shared" ref="AJ72:AJ95" si="325">IF(AI72=D72,E72,0)</f>
        <v>0</v>
      </c>
      <c r="AK72" s="188"/>
      <c r="AL72" s="188">
        <v>0</v>
      </c>
      <c r="AM72" s="188">
        <v>0</v>
      </c>
      <c r="AN72" s="217"/>
      <c r="AO72" s="188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>
        <f t="shared" si="15"/>
        <v>0</v>
      </c>
      <c r="BD72" s="196">
        <f t="shared" si="118"/>
        <v>0</v>
      </c>
      <c r="BE72" s="188">
        <f t="shared" ref="BE72:BE98" si="326">IF(AF72=1,S72,0)</f>
        <v>0</v>
      </c>
      <c r="BF72" s="188">
        <f t="shared" ref="BF72:BF98" si="327">IF(AG72="A",S72,0)</f>
        <v>0</v>
      </c>
      <c r="BG72" s="188">
        <f t="shared" ref="BG72:BG98" si="328">IF(AG72="B",S72,0)</f>
        <v>0</v>
      </c>
      <c r="BH72" s="188">
        <f t="shared" ref="BH72:BH98" si="329">IF(AG72="C",S72,0)</f>
        <v>0</v>
      </c>
      <c r="BI72" s="188">
        <f t="shared" ref="BI72:BI98" si="330">IF(AG72="D",S72,0)</f>
        <v>0</v>
      </c>
      <c r="BJ72" s="188">
        <f t="shared" ref="BJ72:BJ98" si="331">IF(AG72="E",S72,0)</f>
        <v>0</v>
      </c>
      <c r="BK72" s="188">
        <f t="shared" ref="BK72:BK98" si="332">SUM(BF72:BJ72)</f>
        <v>0</v>
      </c>
      <c r="BN72" s="143"/>
      <c r="BO72" s="277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B72" s="188"/>
      <c r="CD72" s="188">
        <f t="shared" si="23"/>
        <v>0</v>
      </c>
      <c r="CE72" s="188">
        <f t="shared" si="24"/>
        <v>0</v>
      </c>
      <c r="CF72" s="188">
        <f t="shared" si="25"/>
        <v>0</v>
      </c>
      <c r="CG72" s="188">
        <f t="shared" si="26"/>
        <v>0</v>
      </c>
      <c r="CH72" s="188">
        <f t="shared" si="27"/>
        <v>0</v>
      </c>
      <c r="CI72" s="188">
        <f t="shared" si="28"/>
        <v>0</v>
      </c>
      <c r="CJ72" s="188">
        <f t="shared" si="29"/>
        <v>0</v>
      </c>
      <c r="CK72" s="188">
        <f t="shared" si="30"/>
        <v>0</v>
      </c>
      <c r="CL72" s="188">
        <f t="shared" si="31"/>
        <v>0</v>
      </c>
      <c r="CM72" s="188">
        <f t="shared" si="32"/>
        <v>0</v>
      </c>
      <c r="CN72" s="188">
        <f t="shared" si="33"/>
        <v>0</v>
      </c>
      <c r="CO72" s="188">
        <f t="shared" si="34"/>
        <v>0</v>
      </c>
      <c r="CP72" s="188">
        <f t="shared" si="35"/>
        <v>0</v>
      </c>
      <c r="DV72" s="188">
        <f t="shared" ref="DV72:DV98" si="333">IF(CB72=1,G72,0)</f>
        <v>0</v>
      </c>
      <c r="DW72" s="188">
        <f t="shared" ref="DW72:DW98" si="334">IF(CC72="A",G72,0)</f>
        <v>0</v>
      </c>
      <c r="DX72" s="188">
        <f t="shared" ref="DX72:DX98" si="335">IF(CC72="B",G72,0)</f>
        <v>0</v>
      </c>
      <c r="DY72" s="188">
        <f t="shared" ref="DY72:DY98" si="336">IF(CC72="C",G72,0)</f>
        <v>0</v>
      </c>
      <c r="DZ72" s="188">
        <f t="shared" ref="DZ72:DZ98" si="337">IF(CC72="D",G72,0)</f>
        <v>0</v>
      </c>
      <c r="EA72" s="188">
        <f t="shared" ref="EA72:EA98" si="338">IF(CC72="E",G72,0)</f>
        <v>0</v>
      </c>
      <c r="EB72" s="188">
        <f t="shared" si="42"/>
        <v>0</v>
      </c>
      <c r="EG72" s="220">
        <f t="shared" si="43"/>
        <v>0</v>
      </c>
      <c r="EH72" s="220">
        <f t="shared" si="44"/>
        <v>0</v>
      </c>
      <c r="EI72" s="188"/>
      <c r="EJ72" s="188"/>
      <c r="EK72" s="188"/>
      <c r="EL72" s="188"/>
      <c r="EM72" s="188"/>
      <c r="EN72" s="188"/>
      <c r="EO72" s="188"/>
      <c r="EP72" s="188"/>
      <c r="EQ72" s="188"/>
      <c r="ER72" s="188"/>
      <c r="ES72" s="188"/>
      <c r="ET72" s="188"/>
      <c r="EU72" s="188"/>
      <c r="EV72" s="188"/>
      <c r="EW72" s="188"/>
      <c r="EX72" s="188"/>
      <c r="EY72" s="188"/>
      <c r="EZ72" s="188"/>
      <c r="FA72" s="188"/>
      <c r="FB72" s="188"/>
      <c r="FC72" s="188"/>
      <c r="FD72" s="188"/>
      <c r="FE72" s="188"/>
      <c r="FF72" s="188"/>
      <c r="FH72" s="189"/>
      <c r="FI72" s="189"/>
      <c r="FJ72" s="189"/>
      <c r="FK72" s="189"/>
      <c r="FL72" s="189"/>
      <c r="FM72" s="189"/>
      <c r="FN72" s="189"/>
      <c r="FO72" s="189"/>
      <c r="FP72" s="189"/>
      <c r="FQ72" s="189"/>
      <c r="FR72" s="189"/>
      <c r="FS72" s="189"/>
      <c r="FT72" s="189"/>
      <c r="FU72" s="189"/>
      <c r="FV72" s="189"/>
      <c r="FX72" s="217"/>
      <c r="FY72" s="188">
        <f t="shared" si="45"/>
        <v>0</v>
      </c>
      <c r="FZ72" s="188">
        <f t="shared" si="250"/>
        <v>0</v>
      </c>
      <c r="GA72" s="188">
        <f t="shared" si="251"/>
        <v>0</v>
      </c>
      <c r="GB72" s="188">
        <f t="shared" si="252"/>
        <v>0</v>
      </c>
      <c r="GC72" s="188">
        <f t="shared" si="253"/>
        <v>0</v>
      </c>
      <c r="GD72" s="188">
        <f t="shared" si="254"/>
        <v>0</v>
      </c>
      <c r="GE72" s="188">
        <f t="shared" si="255"/>
        <v>0</v>
      </c>
      <c r="GF72" s="199"/>
      <c r="GG72" s="189">
        <v>0</v>
      </c>
      <c r="GH72" s="189">
        <v>0</v>
      </c>
      <c r="GI72" s="199"/>
      <c r="GJ72" s="200">
        <f t="shared" si="52"/>
        <v>0</v>
      </c>
      <c r="GK72" s="200">
        <f t="shared" si="53"/>
        <v>0</v>
      </c>
      <c r="GO72" s="189">
        <f t="shared" si="256"/>
        <v>0</v>
      </c>
      <c r="GP72" s="189">
        <f t="shared" si="257"/>
        <v>0</v>
      </c>
      <c r="GQ72" s="189">
        <f t="shared" si="258"/>
        <v>0</v>
      </c>
      <c r="GR72" s="189">
        <f t="shared" si="259"/>
        <v>0</v>
      </c>
      <c r="GS72" s="189">
        <f t="shared" si="260"/>
        <v>0</v>
      </c>
      <c r="GT72" s="189">
        <f t="shared" si="124"/>
        <v>1</v>
      </c>
      <c r="GU72" s="201">
        <f t="shared" si="125"/>
        <v>43243</v>
      </c>
      <c r="GV72" s="189" t="str">
        <f t="shared" si="126"/>
        <v>SELESAI</v>
      </c>
      <c r="GW72" s="189">
        <f t="shared" si="127"/>
        <v>0</v>
      </c>
      <c r="GX72" s="202" t="str">
        <f t="shared" si="128"/>
        <v>SELESAI</v>
      </c>
      <c r="GY72" s="202">
        <f t="shared" si="129"/>
        <v>0</v>
      </c>
      <c r="GZ72" s="203" t="str">
        <f t="shared" si="130"/>
        <v>SELESAI</v>
      </c>
      <c r="HA72" s="204"/>
      <c r="HB72" s="204"/>
      <c r="HC72" s="189">
        <f t="shared" si="261"/>
        <v>0</v>
      </c>
      <c r="HD72" s="189">
        <f t="shared" si="262"/>
        <v>0</v>
      </c>
      <c r="HE72" s="189">
        <f t="shared" si="133"/>
        <v>0</v>
      </c>
      <c r="HF72" s="189">
        <f t="shared" si="134"/>
        <v>0</v>
      </c>
      <c r="HG72" s="189">
        <f t="shared" si="135"/>
        <v>0</v>
      </c>
      <c r="HH72" s="201" t="str">
        <f t="shared" si="136"/>
        <v>TIDAK KONSINYASI</v>
      </c>
      <c r="HI72" s="201" t="str">
        <f t="shared" si="137"/>
        <v>SELESAI</v>
      </c>
      <c r="HJ72" s="205"/>
      <c r="HK72" s="201">
        <f t="shared" si="138"/>
        <v>0</v>
      </c>
      <c r="HL72" s="204"/>
      <c r="HM72" s="204"/>
      <c r="HN72" s="204"/>
      <c r="HO72" s="204"/>
      <c r="HP72" s="203">
        <f t="shared" si="139"/>
        <v>0</v>
      </c>
      <c r="HQ72" s="202">
        <f t="shared" si="140"/>
        <v>0</v>
      </c>
      <c r="HR72" s="202">
        <f t="shared" si="263"/>
        <v>0</v>
      </c>
      <c r="HS72" s="203">
        <f t="shared" si="142"/>
        <v>0</v>
      </c>
      <c r="HT72" s="202">
        <f t="shared" si="143"/>
        <v>0</v>
      </c>
      <c r="HU72" s="202">
        <f t="shared" si="264"/>
        <v>0</v>
      </c>
      <c r="HV72" s="203">
        <f t="shared" si="145"/>
        <v>0</v>
      </c>
      <c r="HW72" s="202">
        <f t="shared" si="146"/>
        <v>0</v>
      </c>
      <c r="HX72" s="202">
        <f t="shared" si="265"/>
        <v>0</v>
      </c>
      <c r="HY72" s="203">
        <f t="shared" si="148"/>
        <v>0</v>
      </c>
      <c r="HZ72" s="202">
        <f t="shared" si="149"/>
        <v>0</v>
      </c>
      <c r="IA72" s="202">
        <f t="shared" si="266"/>
        <v>0</v>
      </c>
      <c r="IB72" s="203">
        <f t="shared" si="151"/>
        <v>0</v>
      </c>
      <c r="IC72" s="202">
        <f t="shared" si="152"/>
        <v>0</v>
      </c>
      <c r="ID72" s="202">
        <f t="shared" si="267"/>
        <v>0</v>
      </c>
      <c r="IE72" s="203">
        <f t="shared" si="154"/>
        <v>0</v>
      </c>
      <c r="IF72" s="202">
        <f t="shared" si="155"/>
        <v>0</v>
      </c>
      <c r="IG72" s="202">
        <f t="shared" si="268"/>
        <v>0</v>
      </c>
      <c r="IH72" s="203">
        <f t="shared" si="157"/>
        <v>0</v>
      </c>
      <c r="II72" s="202">
        <f t="shared" si="158"/>
        <v>0</v>
      </c>
      <c r="IJ72" s="202">
        <f t="shared" si="269"/>
        <v>0</v>
      </c>
      <c r="IK72" s="203">
        <f t="shared" si="160"/>
        <v>0</v>
      </c>
      <c r="IL72" s="202">
        <f t="shared" si="161"/>
        <v>0</v>
      </c>
      <c r="IM72" s="202">
        <f t="shared" si="270"/>
        <v>0</v>
      </c>
      <c r="IN72" s="204"/>
      <c r="IO72" s="203">
        <f t="shared" si="163"/>
        <v>0</v>
      </c>
      <c r="IP72" s="202">
        <f t="shared" si="271"/>
        <v>0</v>
      </c>
      <c r="IQ72" s="202">
        <f t="shared" si="272"/>
        <v>0</v>
      </c>
      <c r="IR72" s="204"/>
      <c r="IS72" s="203"/>
      <c r="IT72" s="202">
        <f t="shared" si="273"/>
        <v>1</v>
      </c>
      <c r="IU72" s="202">
        <f t="shared" si="274"/>
        <v>80</v>
      </c>
      <c r="IV72" s="204"/>
      <c r="IW72" s="203"/>
      <c r="IX72" s="202">
        <f t="shared" si="275"/>
        <v>0</v>
      </c>
      <c r="IY72" s="202">
        <f t="shared" si="276"/>
        <v>0</v>
      </c>
      <c r="IZ72" s="204"/>
      <c r="JA72" s="203"/>
      <c r="JB72" s="202">
        <f t="shared" si="277"/>
        <v>0</v>
      </c>
      <c r="JC72" s="202">
        <f t="shared" si="278"/>
        <v>0</v>
      </c>
      <c r="JD72" s="204"/>
      <c r="JE72" s="203"/>
      <c r="JF72" s="202">
        <f t="shared" si="172"/>
        <v>1</v>
      </c>
      <c r="JG72" s="202">
        <f t="shared" si="173"/>
        <v>80</v>
      </c>
      <c r="JH72" s="204"/>
      <c r="JI72" s="203"/>
      <c r="JJ72" s="202">
        <f t="shared" si="279"/>
        <v>0</v>
      </c>
      <c r="JK72" s="202">
        <f t="shared" si="280"/>
        <v>0</v>
      </c>
      <c r="JM72" s="203">
        <f t="shared" si="176"/>
        <v>0</v>
      </c>
      <c r="JO72" s="196">
        <f t="shared" si="54"/>
        <v>0</v>
      </c>
      <c r="JP72" s="189">
        <f t="shared" si="281"/>
        <v>0</v>
      </c>
      <c r="JQ72" s="189">
        <f t="shared" si="282"/>
        <v>0</v>
      </c>
      <c r="JR72" s="189">
        <f t="shared" si="283"/>
        <v>0</v>
      </c>
      <c r="JS72" s="189">
        <f t="shared" si="284"/>
        <v>0</v>
      </c>
      <c r="JT72" s="189">
        <f t="shared" si="285"/>
        <v>0</v>
      </c>
      <c r="JU72" s="189">
        <f t="shared" si="286"/>
        <v>0</v>
      </c>
      <c r="JV72" s="189">
        <f t="shared" si="287"/>
        <v>0</v>
      </c>
      <c r="JW72" s="189">
        <f t="shared" si="288"/>
        <v>0</v>
      </c>
      <c r="JX72" s="189">
        <f t="shared" si="289"/>
        <v>0</v>
      </c>
      <c r="JY72" s="189">
        <f t="shared" si="290"/>
        <v>0</v>
      </c>
      <c r="JZ72" s="189">
        <f t="shared" si="291"/>
        <v>0</v>
      </c>
      <c r="KA72" s="189">
        <f t="shared" si="292"/>
        <v>0</v>
      </c>
      <c r="KB72" s="189">
        <f t="shared" si="293"/>
        <v>0</v>
      </c>
      <c r="KD72" s="206">
        <f t="shared" si="177"/>
        <v>0</v>
      </c>
      <c r="KE72" s="206">
        <f t="shared" si="69"/>
        <v>0</v>
      </c>
      <c r="KF72" s="206">
        <f t="shared" si="294"/>
        <v>0</v>
      </c>
      <c r="KG72" s="206">
        <f t="shared" si="295"/>
        <v>0</v>
      </c>
      <c r="KH72" s="206">
        <f t="shared" si="296"/>
        <v>0</v>
      </c>
      <c r="KI72" s="206">
        <f t="shared" si="297"/>
        <v>0</v>
      </c>
      <c r="KJ72" s="206">
        <f t="shared" si="298"/>
        <v>0</v>
      </c>
      <c r="KK72" s="206">
        <f t="shared" si="299"/>
        <v>0</v>
      </c>
      <c r="KL72" s="206">
        <f t="shared" si="300"/>
        <v>0</v>
      </c>
      <c r="KM72" s="206">
        <f t="shared" si="301"/>
        <v>0</v>
      </c>
      <c r="KN72" s="221">
        <f t="shared" si="302"/>
        <v>0</v>
      </c>
      <c r="KO72" s="221">
        <f t="shared" si="303"/>
        <v>0</v>
      </c>
      <c r="KP72" s="221">
        <f t="shared" si="304"/>
        <v>0</v>
      </c>
      <c r="KQ72" s="221">
        <f t="shared" si="305"/>
        <v>0</v>
      </c>
      <c r="KR72" s="221">
        <f t="shared" si="306"/>
        <v>0</v>
      </c>
      <c r="KT72" s="195">
        <f t="shared" si="307"/>
        <v>0</v>
      </c>
      <c r="KU72" s="221"/>
      <c r="KV72" s="221"/>
      <c r="KW72" s="221"/>
      <c r="KX72" s="221"/>
      <c r="KY72" s="221"/>
      <c r="KZ72" s="221"/>
      <c r="LA72" s="221"/>
      <c r="LB72" s="221"/>
      <c r="LC72" s="221"/>
      <c r="LD72" s="221"/>
      <c r="LE72" s="221"/>
      <c r="LF72" s="221"/>
      <c r="LG72" s="221"/>
      <c r="LH72" s="221"/>
      <c r="LI72" s="221"/>
      <c r="LJ72" s="221"/>
      <c r="LK72" s="221"/>
      <c r="LL72" s="221"/>
      <c r="LM72" s="221"/>
      <c r="LN72" s="221"/>
      <c r="LO72" s="221"/>
      <c r="LP72" s="221"/>
      <c r="LQ72" s="221"/>
      <c r="LR72" s="221"/>
      <c r="LS72" s="221"/>
      <c r="LT72" s="221"/>
      <c r="LU72" s="221"/>
      <c r="LV72" s="221"/>
      <c r="LW72" s="221"/>
      <c r="LX72" s="221"/>
      <c r="LY72" s="221"/>
      <c r="LZ72" s="221"/>
      <c r="MA72" s="221"/>
      <c r="MB72" s="221"/>
      <c r="MC72" s="221"/>
      <c r="MD72" s="221"/>
      <c r="ME72" s="221"/>
      <c r="MF72" s="221"/>
      <c r="MG72" s="221"/>
      <c r="MH72" s="221"/>
      <c r="MI72" s="221"/>
      <c r="MJ72" s="221"/>
      <c r="MK72" s="221"/>
      <c r="ML72" s="221"/>
      <c r="MM72" s="221"/>
      <c r="MN72" s="221"/>
      <c r="MO72" s="221"/>
      <c r="MP72" s="221"/>
      <c r="MQ72" s="221"/>
      <c r="MR72" s="221"/>
      <c r="MS72" s="221"/>
      <c r="MT72" s="221"/>
      <c r="MU72" s="221"/>
      <c r="MV72" s="221"/>
      <c r="MW72" s="221"/>
      <c r="MX72" s="221"/>
      <c r="MY72" s="221"/>
      <c r="MZ72" s="221"/>
      <c r="NA72" s="221"/>
      <c r="NB72" s="221"/>
      <c r="NC72" s="221"/>
      <c r="ND72" s="221"/>
      <c r="NE72" s="221"/>
      <c r="NF72" s="221"/>
      <c r="NG72" s="221"/>
      <c r="NH72" s="221"/>
      <c r="NI72" s="221"/>
      <c r="NJ72" s="221"/>
      <c r="NK72" s="221"/>
      <c r="NM72" s="195">
        <f t="shared" si="178"/>
        <v>0</v>
      </c>
      <c r="NN72" s="195">
        <f t="shared" si="179"/>
        <v>0</v>
      </c>
      <c r="NO72" s="195">
        <f t="shared" si="180"/>
        <v>0</v>
      </c>
      <c r="NP72" s="195">
        <f t="shared" si="181"/>
        <v>0</v>
      </c>
      <c r="NQ72" s="195">
        <f t="shared" si="182"/>
        <v>0</v>
      </c>
      <c r="NR72" s="195">
        <f t="shared" si="183"/>
        <v>0</v>
      </c>
      <c r="NS72" s="195">
        <f t="shared" si="184"/>
        <v>0</v>
      </c>
      <c r="NT72" s="195">
        <f t="shared" si="185"/>
        <v>0</v>
      </c>
      <c r="NU72" s="196">
        <f t="shared" si="186"/>
        <v>0</v>
      </c>
      <c r="NY72" s="215">
        <f t="shared" si="249"/>
        <v>1</v>
      </c>
      <c r="NZ72" s="222">
        <v>11250000</v>
      </c>
      <c r="OE72" s="207">
        <f t="shared" si="243"/>
        <v>0</v>
      </c>
      <c r="OF72" s="207">
        <f t="shared" si="244"/>
        <v>0</v>
      </c>
      <c r="OG72" s="207">
        <f t="shared" si="245"/>
        <v>0</v>
      </c>
      <c r="OH72" s="207">
        <f t="shared" si="188"/>
        <v>0</v>
      </c>
      <c r="OI72" s="207">
        <f t="shared" si="246"/>
        <v>0</v>
      </c>
      <c r="OJ72" s="199">
        <f t="shared" si="189"/>
        <v>0</v>
      </c>
      <c r="OK72" s="199">
        <f t="shared" si="190"/>
        <v>0</v>
      </c>
      <c r="OL72" s="199">
        <f t="shared" si="191"/>
        <v>0</v>
      </c>
      <c r="OM72" s="199">
        <f t="shared" si="192"/>
        <v>0</v>
      </c>
      <c r="OO72" s="207">
        <f t="shared" si="247"/>
        <v>0</v>
      </c>
      <c r="OP72" s="207">
        <f t="shared" si="248"/>
        <v>0</v>
      </c>
      <c r="OQ72" s="207">
        <f t="shared" si="193"/>
        <v>0</v>
      </c>
      <c r="OR72" s="207">
        <f t="shared" si="194"/>
        <v>0</v>
      </c>
      <c r="OS72" s="207">
        <f t="shared" si="195"/>
        <v>0</v>
      </c>
      <c r="OT72" s="199">
        <f t="shared" si="196"/>
        <v>0</v>
      </c>
      <c r="OU72" s="199">
        <f t="shared" si="197"/>
        <v>0</v>
      </c>
      <c r="OV72" s="199">
        <f t="shared" si="198"/>
        <v>0</v>
      </c>
      <c r="OW72" s="199">
        <f t="shared" si="199"/>
        <v>0</v>
      </c>
      <c r="OZ72" s="208">
        <f t="shared" si="91"/>
        <v>0</v>
      </c>
      <c r="PA72" s="209"/>
      <c r="PB72" s="209"/>
      <c r="PC72" s="209"/>
      <c r="PD72" s="210">
        <f t="shared" si="200"/>
        <v>0</v>
      </c>
      <c r="PE72" s="210"/>
      <c r="PF72" s="210">
        <f t="shared" si="201"/>
        <v>0</v>
      </c>
      <c r="PG72" s="210">
        <f t="shared" si="202"/>
        <v>0</v>
      </c>
      <c r="PH72" s="210">
        <f t="shared" si="92"/>
        <v>0</v>
      </c>
      <c r="PI72" s="210">
        <f t="shared" si="93"/>
        <v>0</v>
      </c>
      <c r="PJ72" s="210">
        <f t="shared" si="94"/>
        <v>0</v>
      </c>
      <c r="PK72" s="210">
        <f t="shared" si="95"/>
        <v>0</v>
      </c>
      <c r="PL72" s="210">
        <f t="shared" si="96"/>
        <v>0</v>
      </c>
      <c r="PM72" s="211"/>
      <c r="PN72" s="211"/>
      <c r="PO72" s="212">
        <f t="shared" si="203"/>
        <v>0</v>
      </c>
      <c r="PP72" s="212">
        <f t="shared" si="204"/>
        <v>0</v>
      </c>
      <c r="PQ72" s="212">
        <f t="shared" si="205"/>
        <v>0</v>
      </c>
      <c r="PR72" s="211"/>
      <c r="PS72" s="211"/>
      <c r="PT72" s="211"/>
      <c r="PU72" s="211"/>
    </row>
    <row r="73" spans="1:437 16383:16383" s="195" customFormat="1" ht="16" x14ac:dyDescent="0.2">
      <c r="A73" s="213">
        <f t="shared" si="206"/>
        <v>63</v>
      </c>
      <c r="B73" s="186" t="s">
        <v>402</v>
      </c>
      <c r="C73" s="186">
        <v>68</v>
      </c>
      <c r="D73" s="188">
        <v>1</v>
      </c>
      <c r="E73" s="188">
        <v>139</v>
      </c>
      <c r="F73" s="188">
        <v>1</v>
      </c>
      <c r="G73" s="188">
        <f t="shared" si="308"/>
        <v>139</v>
      </c>
      <c r="H73" s="214">
        <f t="shared" si="311"/>
        <v>1</v>
      </c>
      <c r="I73" s="214">
        <f t="shared" si="312"/>
        <v>1</v>
      </c>
      <c r="J73" s="188">
        <v>1</v>
      </c>
      <c r="K73" s="188">
        <f t="shared" si="313"/>
        <v>139</v>
      </c>
      <c r="L73" s="214">
        <f t="shared" si="314"/>
        <v>1</v>
      </c>
      <c r="M73" s="214">
        <f t="shared" si="315"/>
        <v>1</v>
      </c>
      <c r="N73" s="188">
        <v>1</v>
      </c>
      <c r="O73" s="188">
        <f t="shared" si="316"/>
        <v>139</v>
      </c>
      <c r="P73" s="214">
        <f t="shared" si="317"/>
        <v>1</v>
      </c>
      <c r="Q73" s="214">
        <f t="shared" si="318"/>
        <v>1</v>
      </c>
      <c r="R73" s="188">
        <v>1</v>
      </c>
      <c r="S73" s="188">
        <f t="shared" si="319"/>
        <v>139</v>
      </c>
      <c r="T73" s="214">
        <f t="shared" si="320"/>
        <v>1</v>
      </c>
      <c r="U73" s="214">
        <f t="shared" si="321"/>
        <v>1</v>
      </c>
      <c r="V73" s="215">
        <v>1</v>
      </c>
      <c r="W73" s="188">
        <f t="shared" si="322"/>
        <v>139</v>
      </c>
      <c r="X73" s="214">
        <f t="shared" si="323"/>
        <v>1</v>
      </c>
      <c r="Y73" s="214">
        <f t="shared" si="324"/>
        <v>1</v>
      </c>
      <c r="Z73" s="216">
        <f>1653430000/1000000000</f>
        <v>1.65343</v>
      </c>
      <c r="AA73" s="188">
        <v>0</v>
      </c>
      <c r="AB73" s="188">
        <f t="shared" ref="AB73:AB101" si="339">IF(AA73=D73,E73,0)</f>
        <v>0</v>
      </c>
      <c r="AC73" s="214">
        <f t="shared" ref="AC73:AC106" si="340">AA73/$D73</f>
        <v>0</v>
      </c>
      <c r="AD73" s="214">
        <f t="shared" ref="AD73:AD106" si="341">AB73/$E73</f>
        <v>0</v>
      </c>
      <c r="AE73" s="188"/>
      <c r="AF73" s="188">
        <f t="shared" ref="AF73:AF106" si="342">R73-V73</f>
        <v>0</v>
      </c>
      <c r="AG73" s="188"/>
      <c r="AH73" s="188"/>
      <c r="AI73" s="188">
        <v>0</v>
      </c>
      <c r="AJ73" s="188">
        <f t="shared" si="325"/>
        <v>0</v>
      </c>
      <c r="AK73" s="188"/>
      <c r="AL73" s="188">
        <v>0</v>
      </c>
      <c r="AM73" s="188">
        <v>0</v>
      </c>
      <c r="AN73" s="217"/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  <c r="AY73" s="188"/>
      <c r="AZ73" s="188"/>
      <c r="BA73" s="188"/>
      <c r="BB73" s="188">
        <f t="shared" ref="BB73:BB98" si="343">IF(AN73=1,G73,0)</f>
        <v>0</v>
      </c>
      <c r="BD73" s="196">
        <f t="shared" si="118"/>
        <v>0</v>
      </c>
      <c r="BE73" s="188">
        <f t="shared" si="326"/>
        <v>0</v>
      </c>
      <c r="BF73" s="188">
        <f t="shared" si="327"/>
        <v>0</v>
      </c>
      <c r="BG73" s="188">
        <f t="shared" si="328"/>
        <v>0</v>
      </c>
      <c r="BH73" s="188">
        <f t="shared" si="329"/>
        <v>0</v>
      </c>
      <c r="BI73" s="188">
        <f t="shared" si="330"/>
        <v>0</v>
      </c>
      <c r="BJ73" s="188">
        <f t="shared" si="331"/>
        <v>0</v>
      </c>
      <c r="BK73" s="188">
        <f t="shared" si="332"/>
        <v>0</v>
      </c>
      <c r="BN73" s="143"/>
      <c r="BO73" s="277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B73" s="188"/>
      <c r="CD73" s="188">
        <f t="shared" ref="CD73:CD106" si="344">BN73</f>
        <v>0</v>
      </c>
      <c r="CE73" s="188">
        <f t="shared" ref="CE73:CE106" si="345">IF(BO73=1,$CD73,0)</f>
        <v>0</v>
      </c>
      <c r="CF73" s="188">
        <f t="shared" ref="CF73:CF98" si="346">IF(BP73=1,$CD73,0)</f>
        <v>0</v>
      </c>
      <c r="CG73" s="188">
        <f t="shared" ref="CG73:CG98" si="347">IF(BQ73=1,$CD73,0)</f>
        <v>0</v>
      </c>
      <c r="CH73" s="188">
        <f t="shared" ref="CH73:CH98" si="348">IF(BR73=1,$CD73,0)</f>
        <v>0</v>
      </c>
      <c r="CI73" s="188">
        <f t="shared" ref="CI73:CI98" si="349">IF(BS73=1,$CD73,0)</f>
        <v>0</v>
      </c>
      <c r="CJ73" s="188">
        <f t="shared" ref="CJ73:CJ98" si="350">IF(BT73=1,$CD73,0)</f>
        <v>0</v>
      </c>
      <c r="CK73" s="188">
        <f t="shared" ref="CK73:CK98" si="351">IF(BU73=1,$CD73,0)</f>
        <v>0</v>
      </c>
      <c r="CL73" s="188">
        <f t="shared" ref="CL73:CL98" si="352">IF(BV73=1,$CD73,0)</f>
        <v>0</v>
      </c>
      <c r="CM73" s="188">
        <f t="shared" ref="CM73:CM98" si="353">IF(BW73=1,$CD73,0)</f>
        <v>0</v>
      </c>
      <c r="CN73" s="188">
        <f t="shared" ref="CN73:CN98" si="354">IF(BX73=1,$CD73,0)</f>
        <v>0</v>
      </c>
      <c r="CO73" s="188">
        <f t="shared" ref="CO73:CO98" si="355">IF(BY73=1,$CD73,0)</f>
        <v>0</v>
      </c>
      <c r="CP73" s="188">
        <f t="shared" ref="CP73:CP98" si="356">IF(BZ73=1,$CD73,0)</f>
        <v>0</v>
      </c>
      <c r="DV73" s="188">
        <f t="shared" si="333"/>
        <v>0</v>
      </c>
      <c r="DW73" s="188">
        <f t="shared" si="334"/>
        <v>0</v>
      </c>
      <c r="DX73" s="188">
        <f t="shared" si="335"/>
        <v>0</v>
      </c>
      <c r="DY73" s="188">
        <f t="shared" si="336"/>
        <v>0</v>
      </c>
      <c r="DZ73" s="188">
        <f t="shared" si="337"/>
        <v>0</v>
      </c>
      <c r="EA73" s="188">
        <f t="shared" si="338"/>
        <v>0</v>
      </c>
      <c r="EB73" s="188">
        <f t="shared" ref="EB73:EB98" si="357">SUM(DW73:EA73)</f>
        <v>0</v>
      </c>
      <c r="EG73" s="220">
        <f t="shared" ref="EG73:EG98" si="358">IF(AG73="C","C",IF(AG73="D","D",0))</f>
        <v>0</v>
      </c>
      <c r="EH73" s="220">
        <f t="shared" ref="EH73:EH98" si="359">CC73</f>
        <v>0</v>
      </c>
      <c r="EI73" s="188"/>
      <c r="EJ73" s="188"/>
      <c r="EK73" s="188"/>
      <c r="EL73" s="188"/>
      <c r="EM73" s="188"/>
      <c r="EN73" s="188"/>
      <c r="EO73" s="188"/>
      <c r="EP73" s="188"/>
      <c r="EQ73" s="188"/>
      <c r="ER73" s="188"/>
      <c r="ES73" s="188"/>
      <c r="ET73" s="188"/>
      <c r="EU73" s="188"/>
      <c r="EV73" s="188"/>
      <c r="EW73" s="188"/>
      <c r="EX73" s="188"/>
      <c r="EY73" s="188"/>
      <c r="EZ73" s="188"/>
      <c r="FA73" s="188"/>
      <c r="FB73" s="188"/>
      <c r="FC73" s="188"/>
      <c r="FD73" s="188"/>
      <c r="FE73" s="188"/>
      <c r="FF73" s="188"/>
      <c r="FH73" s="189"/>
      <c r="FI73" s="189"/>
      <c r="FJ73" s="189"/>
      <c r="FK73" s="189"/>
      <c r="FL73" s="189"/>
      <c r="FM73" s="189"/>
      <c r="FN73" s="189"/>
      <c r="FO73" s="189"/>
      <c r="FP73" s="189"/>
      <c r="FQ73" s="189"/>
      <c r="FR73" s="189"/>
      <c r="FS73" s="189"/>
      <c r="FT73" s="189"/>
      <c r="FU73" s="189"/>
      <c r="FV73" s="189"/>
      <c r="FX73" s="217"/>
      <c r="FY73" s="188">
        <f t="shared" ref="FY73:FY98" si="360">SUM(FZ73:GE73)</f>
        <v>0</v>
      </c>
      <c r="FZ73" s="188">
        <f t="shared" si="250"/>
        <v>0</v>
      </c>
      <c r="GA73" s="188">
        <f t="shared" si="251"/>
        <v>0</v>
      </c>
      <c r="GB73" s="188">
        <f t="shared" si="252"/>
        <v>0</v>
      </c>
      <c r="GC73" s="188">
        <f t="shared" si="253"/>
        <v>0</v>
      </c>
      <c r="GD73" s="188">
        <f t="shared" si="254"/>
        <v>0</v>
      </c>
      <c r="GE73" s="188">
        <f t="shared" si="255"/>
        <v>0</v>
      </c>
      <c r="GF73" s="199"/>
      <c r="GG73" s="189">
        <v>0</v>
      </c>
      <c r="GH73" s="189">
        <v>0</v>
      </c>
      <c r="GI73" s="199"/>
      <c r="GJ73" s="200">
        <f t="shared" ref="GJ73:GJ98" si="361">FY73*GG73/1000000000</f>
        <v>0</v>
      </c>
      <c r="GK73" s="200">
        <f t="shared" ref="GK73:GK98" si="362">FY73*GH73/1000000000</f>
        <v>0</v>
      </c>
      <c r="GO73" s="189">
        <f t="shared" si="256"/>
        <v>0</v>
      </c>
      <c r="GP73" s="189">
        <f t="shared" si="257"/>
        <v>0</v>
      </c>
      <c r="GQ73" s="189">
        <f t="shared" si="258"/>
        <v>0</v>
      </c>
      <c r="GR73" s="189">
        <f t="shared" si="259"/>
        <v>0</v>
      </c>
      <c r="GS73" s="189">
        <f t="shared" si="260"/>
        <v>0</v>
      </c>
      <c r="GT73" s="189">
        <f t="shared" si="124"/>
        <v>1</v>
      </c>
      <c r="GU73" s="201">
        <f t="shared" si="125"/>
        <v>43243</v>
      </c>
      <c r="GV73" s="189" t="str">
        <f t="shared" si="126"/>
        <v>SELESAI</v>
      </c>
      <c r="GW73" s="189">
        <f t="shared" si="127"/>
        <v>0</v>
      </c>
      <c r="GX73" s="202" t="str">
        <f t="shared" si="128"/>
        <v>SELESAI</v>
      </c>
      <c r="GY73" s="202">
        <f t="shared" si="129"/>
        <v>0</v>
      </c>
      <c r="GZ73" s="203" t="str">
        <f t="shared" si="130"/>
        <v>SELESAI</v>
      </c>
      <c r="HA73" s="204"/>
      <c r="HB73" s="204"/>
      <c r="HC73" s="189">
        <f t="shared" si="261"/>
        <v>0</v>
      </c>
      <c r="HD73" s="189">
        <f t="shared" si="262"/>
        <v>0</v>
      </c>
      <c r="HE73" s="189">
        <f t="shared" si="133"/>
        <v>0</v>
      </c>
      <c r="HF73" s="189">
        <f t="shared" si="134"/>
        <v>0</v>
      </c>
      <c r="HG73" s="189">
        <f t="shared" si="135"/>
        <v>0</v>
      </c>
      <c r="HH73" s="201" t="str">
        <f t="shared" ref="HH73:HH92" si="363">IF(HG73=1,GU73+$HH$8,"TIDAK KONSINYASI")</f>
        <v>TIDAK KONSINYASI</v>
      </c>
      <c r="HI73" s="201" t="str">
        <f t="shared" si="137"/>
        <v>SELESAI</v>
      </c>
      <c r="HJ73" s="205"/>
      <c r="HK73" s="201">
        <f t="shared" ref="HK73:HK93" si="364">MAX(GZ73,HH73,HI73)</f>
        <v>0</v>
      </c>
      <c r="HL73" s="204"/>
      <c r="HM73" s="204"/>
      <c r="HN73" s="204"/>
      <c r="HO73" s="204"/>
      <c r="HP73" s="203">
        <f t="shared" si="139"/>
        <v>0</v>
      </c>
      <c r="HQ73" s="202">
        <f t="shared" si="140"/>
        <v>0</v>
      </c>
      <c r="HR73" s="202">
        <f t="shared" si="263"/>
        <v>0</v>
      </c>
      <c r="HS73" s="203">
        <f t="shared" si="142"/>
        <v>0</v>
      </c>
      <c r="HT73" s="202">
        <f t="shared" si="143"/>
        <v>0</v>
      </c>
      <c r="HU73" s="202">
        <f t="shared" si="264"/>
        <v>0</v>
      </c>
      <c r="HV73" s="203">
        <f t="shared" si="145"/>
        <v>0</v>
      </c>
      <c r="HW73" s="202">
        <f t="shared" si="146"/>
        <v>0</v>
      </c>
      <c r="HX73" s="202">
        <f t="shared" si="265"/>
        <v>0</v>
      </c>
      <c r="HY73" s="203">
        <f t="shared" ref="HY73:HY93" si="365">IF(HZ73=1,HV73+$HI$8,0)</f>
        <v>0</v>
      </c>
      <c r="HZ73" s="202">
        <f t="shared" si="149"/>
        <v>0</v>
      </c>
      <c r="IA73" s="202">
        <f t="shared" si="266"/>
        <v>0</v>
      </c>
      <c r="IB73" s="203">
        <f t="shared" si="151"/>
        <v>0</v>
      </c>
      <c r="IC73" s="202">
        <f t="shared" ref="IC73:IC90" si="366">IF(GV73="Hasil Valuasi",GQ73,0)</f>
        <v>0</v>
      </c>
      <c r="ID73" s="202">
        <f t="shared" si="267"/>
        <v>0</v>
      </c>
      <c r="IE73" s="203">
        <f t="shared" ref="IE73:IE92" si="367">IF(IF73=1,IB73+$HI$8,0)</f>
        <v>0</v>
      </c>
      <c r="IF73" s="202">
        <f t="shared" ref="IF73:IF93" si="368">IC73</f>
        <v>0</v>
      </c>
      <c r="IG73" s="202">
        <f t="shared" si="268"/>
        <v>0</v>
      </c>
      <c r="IH73" s="203">
        <f t="shared" si="157"/>
        <v>0</v>
      </c>
      <c r="II73" s="202">
        <f t="shared" si="158"/>
        <v>0</v>
      </c>
      <c r="IJ73" s="202">
        <f t="shared" si="269"/>
        <v>0</v>
      </c>
      <c r="IK73" s="203">
        <f t="shared" ref="IK73:IK93" si="369">IF(IL73=1,IH73+$HI$8,0)</f>
        <v>0</v>
      </c>
      <c r="IL73" s="202">
        <f t="shared" ref="IL73:IL93" si="370">II73</f>
        <v>0</v>
      </c>
      <c r="IM73" s="202">
        <f t="shared" si="270"/>
        <v>0</v>
      </c>
      <c r="IN73" s="204"/>
      <c r="IO73" s="203">
        <f t="shared" ref="IO73:IO92" si="371">IF(IP73=1,+$GU$3+$HH$8,0)</f>
        <v>0</v>
      </c>
      <c r="IP73" s="202">
        <f t="shared" si="271"/>
        <v>0</v>
      </c>
      <c r="IQ73" s="202">
        <f t="shared" si="272"/>
        <v>0</v>
      </c>
      <c r="IR73" s="204"/>
      <c r="IS73" s="203"/>
      <c r="IT73" s="202">
        <f t="shared" si="273"/>
        <v>1</v>
      </c>
      <c r="IU73" s="202">
        <f t="shared" si="274"/>
        <v>139</v>
      </c>
      <c r="IV73" s="204"/>
      <c r="IW73" s="203"/>
      <c r="IX73" s="202">
        <f t="shared" si="275"/>
        <v>0</v>
      </c>
      <c r="IY73" s="202">
        <f t="shared" si="276"/>
        <v>0</v>
      </c>
      <c r="IZ73" s="204"/>
      <c r="JA73" s="203"/>
      <c r="JB73" s="202">
        <f t="shared" si="277"/>
        <v>0</v>
      </c>
      <c r="JC73" s="202">
        <f t="shared" si="278"/>
        <v>0</v>
      </c>
      <c r="JD73" s="204"/>
      <c r="JE73" s="203"/>
      <c r="JF73" s="202">
        <f t="shared" si="172"/>
        <v>1</v>
      </c>
      <c r="JG73" s="202">
        <f t="shared" si="172"/>
        <v>139</v>
      </c>
      <c r="JH73" s="204"/>
      <c r="JI73" s="203"/>
      <c r="JJ73" s="202">
        <f t="shared" si="279"/>
        <v>0</v>
      </c>
      <c r="JK73" s="202">
        <f t="shared" si="280"/>
        <v>0</v>
      </c>
      <c r="JM73" s="203">
        <f t="shared" si="176"/>
        <v>0</v>
      </c>
      <c r="JO73" s="196">
        <f t="shared" ref="JO73:JO106" si="372">SUM(JQ73:KB73)</f>
        <v>0</v>
      </c>
      <c r="JP73" s="189">
        <f t="shared" si="281"/>
        <v>0</v>
      </c>
      <c r="JQ73" s="189">
        <f t="shared" si="282"/>
        <v>0</v>
      </c>
      <c r="JR73" s="189">
        <f t="shared" si="283"/>
        <v>0</v>
      </c>
      <c r="JS73" s="189">
        <f t="shared" si="284"/>
        <v>0</v>
      </c>
      <c r="JT73" s="189">
        <f t="shared" si="285"/>
        <v>0</v>
      </c>
      <c r="JU73" s="189">
        <f t="shared" si="286"/>
        <v>0</v>
      </c>
      <c r="JV73" s="189">
        <f t="shared" si="287"/>
        <v>0</v>
      </c>
      <c r="JW73" s="189">
        <f t="shared" si="288"/>
        <v>0</v>
      </c>
      <c r="JX73" s="189">
        <f t="shared" si="289"/>
        <v>0</v>
      </c>
      <c r="JY73" s="189">
        <f t="shared" si="290"/>
        <v>0</v>
      </c>
      <c r="JZ73" s="189">
        <f t="shared" si="291"/>
        <v>0</v>
      </c>
      <c r="KA73" s="189">
        <f t="shared" si="292"/>
        <v>0</v>
      </c>
      <c r="KB73" s="189">
        <f t="shared" si="293"/>
        <v>0</v>
      </c>
      <c r="KD73" s="206">
        <f t="shared" si="177"/>
        <v>0</v>
      </c>
      <c r="KE73" s="206">
        <f t="shared" ref="KE73:KE125" si="373">IF(KD73=1,KF73,0)</f>
        <v>0</v>
      </c>
      <c r="KF73" s="206">
        <f t="shared" si="294"/>
        <v>0</v>
      </c>
      <c r="KG73" s="206">
        <f t="shared" si="295"/>
        <v>0</v>
      </c>
      <c r="KH73" s="206">
        <f t="shared" si="296"/>
        <v>0</v>
      </c>
      <c r="KI73" s="206">
        <f t="shared" si="297"/>
        <v>0</v>
      </c>
      <c r="KJ73" s="206">
        <f t="shared" si="298"/>
        <v>0</v>
      </c>
      <c r="KK73" s="206">
        <f t="shared" si="299"/>
        <v>0</v>
      </c>
      <c r="KL73" s="206">
        <f t="shared" si="300"/>
        <v>0</v>
      </c>
      <c r="KM73" s="206">
        <f t="shared" si="301"/>
        <v>0</v>
      </c>
      <c r="KN73" s="221">
        <f t="shared" si="302"/>
        <v>0</v>
      </c>
      <c r="KO73" s="221">
        <f t="shared" si="303"/>
        <v>0</v>
      </c>
      <c r="KP73" s="221">
        <f t="shared" si="304"/>
        <v>0</v>
      </c>
      <c r="KQ73" s="221">
        <f t="shared" si="305"/>
        <v>0</v>
      </c>
      <c r="KR73" s="221">
        <f t="shared" si="306"/>
        <v>0</v>
      </c>
      <c r="KT73" s="195">
        <f t="shared" si="307"/>
        <v>0</v>
      </c>
      <c r="KU73" s="221"/>
      <c r="KV73" s="221"/>
      <c r="KW73" s="221"/>
      <c r="KX73" s="221"/>
      <c r="KY73" s="221"/>
      <c r="KZ73" s="221"/>
      <c r="LA73" s="221"/>
      <c r="LB73" s="221"/>
      <c r="LC73" s="221"/>
      <c r="LD73" s="221"/>
      <c r="LE73" s="221"/>
      <c r="LF73" s="221"/>
      <c r="LG73" s="221"/>
      <c r="LH73" s="221"/>
      <c r="LI73" s="221"/>
      <c r="LJ73" s="221"/>
      <c r="LK73" s="221"/>
      <c r="LL73" s="221"/>
      <c r="LM73" s="221"/>
      <c r="LN73" s="221"/>
      <c r="LO73" s="221"/>
      <c r="LP73" s="221"/>
      <c r="LQ73" s="221"/>
      <c r="LR73" s="221"/>
      <c r="LS73" s="221"/>
      <c r="LT73" s="221"/>
      <c r="LU73" s="221"/>
      <c r="LV73" s="221"/>
      <c r="LW73" s="221"/>
      <c r="LX73" s="221"/>
      <c r="LY73" s="221"/>
      <c r="LZ73" s="221"/>
      <c r="MA73" s="221"/>
      <c r="MB73" s="221"/>
      <c r="MC73" s="221"/>
      <c r="MD73" s="221"/>
      <c r="ME73" s="221"/>
      <c r="MF73" s="221"/>
      <c r="MG73" s="221"/>
      <c r="MH73" s="221"/>
      <c r="MI73" s="221"/>
      <c r="MJ73" s="221"/>
      <c r="MK73" s="221"/>
      <c r="ML73" s="221"/>
      <c r="MM73" s="221"/>
      <c r="MN73" s="221"/>
      <c r="MO73" s="221"/>
      <c r="MP73" s="221"/>
      <c r="MQ73" s="221"/>
      <c r="MR73" s="221"/>
      <c r="MS73" s="221"/>
      <c r="MT73" s="221"/>
      <c r="MU73" s="221"/>
      <c r="MV73" s="221"/>
      <c r="MW73" s="221"/>
      <c r="MX73" s="221"/>
      <c r="MY73" s="221"/>
      <c r="MZ73" s="221"/>
      <c r="NA73" s="221"/>
      <c r="NB73" s="221"/>
      <c r="NC73" s="221"/>
      <c r="ND73" s="221"/>
      <c r="NE73" s="221"/>
      <c r="NF73" s="221"/>
      <c r="NG73" s="221"/>
      <c r="NH73" s="221"/>
      <c r="NI73" s="221"/>
      <c r="NJ73" s="221"/>
      <c r="NK73" s="221"/>
      <c r="NM73" s="195">
        <f t="shared" si="178"/>
        <v>0</v>
      </c>
      <c r="NN73" s="195">
        <f t="shared" si="179"/>
        <v>0</v>
      </c>
      <c r="NO73" s="195">
        <f t="shared" si="180"/>
        <v>0</v>
      </c>
      <c r="NP73" s="195">
        <f t="shared" si="181"/>
        <v>0</v>
      </c>
      <c r="NQ73" s="195">
        <f t="shared" si="182"/>
        <v>0</v>
      </c>
      <c r="NR73" s="195">
        <f t="shared" si="183"/>
        <v>0</v>
      </c>
      <c r="NS73" s="195">
        <f t="shared" si="184"/>
        <v>0</v>
      </c>
      <c r="NT73" s="195">
        <f t="shared" si="185"/>
        <v>0</v>
      </c>
      <c r="NU73" s="196">
        <f t="shared" si="186"/>
        <v>0</v>
      </c>
      <c r="NY73" s="215">
        <f t="shared" si="249"/>
        <v>1</v>
      </c>
      <c r="NZ73" s="222">
        <v>11025000</v>
      </c>
      <c r="OE73" s="207">
        <f t="shared" ref="OE73:OE107" si="374">D73-J73</f>
        <v>0</v>
      </c>
      <c r="OF73" s="207">
        <f t="shared" ref="OF73:OF107" si="375">D73-N73</f>
        <v>0</v>
      </c>
      <c r="OG73" s="207">
        <f t="shared" ref="OG73:OG107" si="376">AN73</f>
        <v>0</v>
      </c>
      <c r="OH73" s="207">
        <f t="shared" si="188"/>
        <v>0</v>
      </c>
      <c r="OI73" s="207">
        <f t="shared" ref="OI73:OI107" si="377">D73-R73</f>
        <v>0</v>
      </c>
      <c r="OJ73" s="199">
        <f t="shared" si="189"/>
        <v>0</v>
      </c>
      <c r="OK73" s="199">
        <f t="shared" si="190"/>
        <v>0</v>
      </c>
      <c r="OL73" s="199">
        <f t="shared" si="191"/>
        <v>0</v>
      </c>
      <c r="OM73" s="199">
        <f t="shared" si="192"/>
        <v>0</v>
      </c>
      <c r="OO73" s="207">
        <f t="shared" ref="OO73:OO107" si="378">E73-K73</f>
        <v>0</v>
      </c>
      <c r="OP73" s="207">
        <f t="shared" ref="OP73:OP107" si="379">E73-O73</f>
        <v>0</v>
      </c>
      <c r="OQ73" s="207">
        <f t="shared" si="193"/>
        <v>0</v>
      </c>
      <c r="OR73" s="207">
        <f t="shared" si="194"/>
        <v>0</v>
      </c>
      <c r="OS73" s="207">
        <f t="shared" si="195"/>
        <v>0</v>
      </c>
      <c r="OT73" s="199">
        <f t="shared" si="196"/>
        <v>0</v>
      </c>
      <c r="OU73" s="199">
        <f t="shared" si="197"/>
        <v>0</v>
      </c>
      <c r="OV73" s="199">
        <f t="shared" si="198"/>
        <v>0</v>
      </c>
      <c r="OW73" s="199">
        <f t="shared" si="199"/>
        <v>0</v>
      </c>
      <c r="OZ73" s="208">
        <f t="shared" ref="OZ73:OZ123" si="380">AN73</f>
        <v>0</v>
      </c>
      <c r="PA73" s="209"/>
      <c r="PB73" s="209"/>
      <c r="PC73" s="209"/>
      <c r="PD73" s="210">
        <f t="shared" si="200"/>
        <v>0</v>
      </c>
      <c r="PE73" s="210"/>
      <c r="PF73" s="210">
        <f t="shared" si="201"/>
        <v>0</v>
      </c>
      <c r="PG73" s="210">
        <f t="shared" si="202"/>
        <v>0</v>
      </c>
      <c r="PH73" s="210">
        <f t="shared" ref="PH73:PH123" si="381">IF(PB73=1,$BB73,0)</f>
        <v>0</v>
      </c>
      <c r="PI73" s="210">
        <f t="shared" ref="PI73:PI123" si="382">IF(PC73=1,$BB73,0)</f>
        <v>0</v>
      </c>
      <c r="PJ73" s="210">
        <f t="shared" ref="PJ73:PJ123" si="383">IF(PD73=1,$BB73,0)</f>
        <v>0</v>
      </c>
      <c r="PK73" s="210">
        <f t="shared" ref="PK73:PK123" si="384">IF(PE73=1,$BB73,0)</f>
        <v>0</v>
      </c>
      <c r="PL73" s="210">
        <f t="shared" ref="PL73:PL123" si="385">IF(PF73=1,$BB73,0)</f>
        <v>0</v>
      </c>
      <c r="PM73" s="211"/>
      <c r="PN73" s="211"/>
      <c r="PO73" s="212">
        <f t="shared" si="203"/>
        <v>0</v>
      </c>
      <c r="PP73" s="212">
        <f t="shared" si="204"/>
        <v>0</v>
      </c>
      <c r="PQ73" s="212">
        <f t="shared" si="205"/>
        <v>0</v>
      </c>
      <c r="PR73" s="211"/>
      <c r="PS73" s="211"/>
      <c r="PT73" s="211"/>
      <c r="PU73" s="211"/>
    </row>
    <row r="74" spans="1:437 16383:16383" s="195" customFormat="1" ht="16" x14ac:dyDescent="0.2">
      <c r="A74" s="213">
        <f t="shared" si="206"/>
        <v>64</v>
      </c>
      <c r="B74" s="186" t="s">
        <v>78</v>
      </c>
      <c r="C74" s="186">
        <v>70</v>
      </c>
      <c r="D74" s="188">
        <v>1</v>
      </c>
      <c r="E74" s="188">
        <v>159</v>
      </c>
      <c r="F74" s="188">
        <v>1</v>
      </c>
      <c r="G74" s="188">
        <f t="shared" si="308"/>
        <v>159</v>
      </c>
      <c r="H74" s="214">
        <f t="shared" si="311"/>
        <v>1</v>
      </c>
      <c r="I74" s="214">
        <f t="shared" si="312"/>
        <v>1</v>
      </c>
      <c r="J74" s="188">
        <v>1</v>
      </c>
      <c r="K74" s="188">
        <f t="shared" si="313"/>
        <v>159</v>
      </c>
      <c r="L74" s="214">
        <f t="shared" si="314"/>
        <v>1</v>
      </c>
      <c r="M74" s="214">
        <f t="shared" si="315"/>
        <v>1</v>
      </c>
      <c r="N74" s="188">
        <v>1</v>
      </c>
      <c r="O74" s="188">
        <f t="shared" si="316"/>
        <v>159</v>
      </c>
      <c r="P74" s="214">
        <f t="shared" si="317"/>
        <v>1</v>
      </c>
      <c r="Q74" s="214">
        <f t="shared" si="318"/>
        <v>1</v>
      </c>
      <c r="R74" s="188">
        <v>1</v>
      </c>
      <c r="S74" s="188">
        <f t="shared" si="319"/>
        <v>159</v>
      </c>
      <c r="T74" s="214">
        <f t="shared" si="320"/>
        <v>1</v>
      </c>
      <c r="U74" s="214">
        <f t="shared" si="321"/>
        <v>1</v>
      </c>
      <c r="V74" s="215">
        <v>1</v>
      </c>
      <c r="W74" s="188">
        <f t="shared" si="322"/>
        <v>159</v>
      </c>
      <c r="X74" s="214">
        <f t="shared" si="323"/>
        <v>1</v>
      </c>
      <c r="Y74" s="214">
        <f t="shared" si="324"/>
        <v>1</v>
      </c>
      <c r="Z74" s="216">
        <f>2214651000/1000000000</f>
        <v>2.2146509999999999</v>
      </c>
      <c r="AA74" s="188">
        <v>0</v>
      </c>
      <c r="AB74" s="188">
        <f t="shared" si="339"/>
        <v>0</v>
      </c>
      <c r="AC74" s="214">
        <f t="shared" si="340"/>
        <v>0</v>
      </c>
      <c r="AD74" s="214">
        <f t="shared" si="341"/>
        <v>0</v>
      </c>
      <c r="AE74" s="188"/>
      <c r="AF74" s="188">
        <f t="shared" si="342"/>
        <v>0</v>
      </c>
      <c r="AG74" s="188"/>
      <c r="AH74" s="188"/>
      <c r="AI74" s="188">
        <v>0</v>
      </c>
      <c r="AJ74" s="188">
        <f t="shared" si="325"/>
        <v>0</v>
      </c>
      <c r="AK74" s="188"/>
      <c r="AL74" s="188">
        <v>0</v>
      </c>
      <c r="AM74" s="188">
        <v>0</v>
      </c>
      <c r="AN74" s="217"/>
      <c r="AO74" s="188"/>
      <c r="AP74" s="188"/>
      <c r="AQ74" s="188"/>
      <c r="AR74" s="188"/>
      <c r="AS74" s="188"/>
      <c r="AT74" s="188"/>
      <c r="AU74" s="188"/>
      <c r="AV74" s="188"/>
      <c r="AW74" s="188"/>
      <c r="AX74" s="188"/>
      <c r="AY74" s="188"/>
      <c r="AZ74" s="188"/>
      <c r="BA74" s="188"/>
      <c r="BB74" s="188">
        <f t="shared" si="343"/>
        <v>0</v>
      </c>
      <c r="BD74" s="196">
        <f t="shared" ref="BD74:BD126" si="386">S74-W74-BE74</f>
        <v>0</v>
      </c>
      <c r="BE74" s="188">
        <f t="shared" si="326"/>
        <v>0</v>
      </c>
      <c r="BF74" s="188">
        <f t="shared" si="327"/>
        <v>0</v>
      </c>
      <c r="BG74" s="188">
        <f t="shared" si="328"/>
        <v>0</v>
      </c>
      <c r="BH74" s="188">
        <f t="shared" si="329"/>
        <v>0</v>
      </c>
      <c r="BI74" s="188">
        <f t="shared" si="330"/>
        <v>0</v>
      </c>
      <c r="BJ74" s="188">
        <f t="shared" si="331"/>
        <v>0</v>
      </c>
      <c r="BK74" s="188">
        <f t="shared" si="332"/>
        <v>0</v>
      </c>
      <c r="BN74" s="143"/>
      <c r="BO74" s="277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B74" s="188"/>
      <c r="CD74" s="188">
        <f t="shared" si="344"/>
        <v>0</v>
      </c>
      <c r="CE74" s="188">
        <f t="shared" si="345"/>
        <v>0</v>
      </c>
      <c r="CF74" s="188">
        <f t="shared" si="346"/>
        <v>0</v>
      </c>
      <c r="CG74" s="188">
        <f t="shared" si="347"/>
        <v>0</v>
      </c>
      <c r="CH74" s="188">
        <f t="shared" si="348"/>
        <v>0</v>
      </c>
      <c r="CI74" s="188">
        <f t="shared" si="349"/>
        <v>0</v>
      </c>
      <c r="CJ74" s="188">
        <f t="shared" si="350"/>
        <v>0</v>
      </c>
      <c r="CK74" s="188">
        <f t="shared" si="351"/>
        <v>0</v>
      </c>
      <c r="CL74" s="188">
        <f t="shared" si="352"/>
        <v>0</v>
      </c>
      <c r="CM74" s="188">
        <f t="shared" si="353"/>
        <v>0</v>
      </c>
      <c r="CN74" s="188">
        <f t="shared" si="354"/>
        <v>0</v>
      </c>
      <c r="CO74" s="188">
        <f t="shared" si="355"/>
        <v>0</v>
      </c>
      <c r="CP74" s="188">
        <f t="shared" si="356"/>
        <v>0</v>
      </c>
      <c r="DV74" s="188">
        <f t="shared" si="333"/>
        <v>0</v>
      </c>
      <c r="DW74" s="188">
        <f t="shared" si="334"/>
        <v>0</v>
      </c>
      <c r="DX74" s="188">
        <f t="shared" si="335"/>
        <v>0</v>
      </c>
      <c r="DY74" s="188">
        <f t="shared" si="336"/>
        <v>0</v>
      </c>
      <c r="DZ74" s="188">
        <f t="shared" si="337"/>
        <v>0</v>
      </c>
      <c r="EA74" s="188">
        <f t="shared" si="338"/>
        <v>0</v>
      </c>
      <c r="EB74" s="188">
        <f t="shared" si="357"/>
        <v>0</v>
      </c>
      <c r="EG74" s="220">
        <f t="shared" si="358"/>
        <v>0</v>
      </c>
      <c r="EH74" s="220">
        <f t="shared" si="359"/>
        <v>0</v>
      </c>
      <c r="EI74" s="188"/>
      <c r="EJ74" s="188"/>
      <c r="EK74" s="188"/>
      <c r="EL74" s="188"/>
      <c r="EM74" s="188"/>
      <c r="EN74" s="188"/>
      <c r="EO74" s="188"/>
      <c r="EP74" s="188"/>
      <c r="EQ74" s="188"/>
      <c r="ER74" s="188"/>
      <c r="ES74" s="188"/>
      <c r="ET74" s="188"/>
      <c r="EU74" s="188"/>
      <c r="EV74" s="188"/>
      <c r="EW74" s="188"/>
      <c r="EX74" s="188"/>
      <c r="EY74" s="188"/>
      <c r="EZ74" s="188"/>
      <c r="FA74" s="188"/>
      <c r="FB74" s="188"/>
      <c r="FC74" s="188"/>
      <c r="FD74" s="188"/>
      <c r="FE74" s="188"/>
      <c r="FF74" s="188"/>
      <c r="FH74" s="189"/>
      <c r="FI74" s="189"/>
      <c r="FJ74" s="189"/>
      <c r="FK74" s="189"/>
      <c r="FL74" s="189"/>
      <c r="FM74" s="189"/>
      <c r="FN74" s="189"/>
      <c r="FO74" s="189"/>
      <c r="FP74" s="189"/>
      <c r="FQ74" s="189"/>
      <c r="FR74" s="189"/>
      <c r="FS74" s="189"/>
      <c r="FT74" s="189"/>
      <c r="FU74" s="189"/>
      <c r="FV74" s="189"/>
      <c r="FX74" s="217"/>
      <c r="FY74" s="188">
        <f t="shared" si="360"/>
        <v>0</v>
      </c>
      <c r="FZ74" s="188">
        <f t="shared" si="250"/>
        <v>0</v>
      </c>
      <c r="GA74" s="188">
        <f t="shared" si="251"/>
        <v>0</v>
      </c>
      <c r="GB74" s="188">
        <f t="shared" si="252"/>
        <v>0</v>
      </c>
      <c r="GC74" s="188">
        <f t="shared" si="253"/>
        <v>0</v>
      </c>
      <c r="GD74" s="188">
        <f t="shared" si="254"/>
        <v>0</v>
      </c>
      <c r="GE74" s="188">
        <f t="shared" si="255"/>
        <v>0</v>
      </c>
      <c r="GF74" s="199"/>
      <c r="GG74" s="189">
        <v>0</v>
      </c>
      <c r="GH74" s="189">
        <v>0</v>
      </c>
      <c r="GI74" s="199"/>
      <c r="GJ74" s="200">
        <f t="shared" si="361"/>
        <v>0</v>
      </c>
      <c r="GK74" s="200">
        <f t="shared" si="362"/>
        <v>0</v>
      </c>
      <c r="GO74" s="189">
        <f t="shared" si="256"/>
        <v>0</v>
      </c>
      <c r="GP74" s="189">
        <f t="shared" si="257"/>
        <v>0</v>
      </c>
      <c r="GQ74" s="189">
        <f t="shared" si="258"/>
        <v>0</v>
      </c>
      <c r="GR74" s="189">
        <f t="shared" si="259"/>
        <v>0</v>
      </c>
      <c r="GS74" s="189">
        <f t="shared" si="260"/>
        <v>0</v>
      </c>
      <c r="GT74" s="189">
        <f t="shared" ref="GT74:GT93" si="387">IF(SUM(GO74:GS74)=0,1,0)</f>
        <v>1</v>
      </c>
      <c r="GU74" s="201">
        <f t="shared" ref="GU74:GU125" si="388">$GU$3</f>
        <v>43243</v>
      </c>
      <c r="GV74" s="189" t="str">
        <f t="shared" ref="GV74:GV93" si="389">IF(GO74&gt;0,$GO$6,IF(GP74&gt;0,$GP$6,IF(GQ74&gt;0,$GQ$6,IF(GR74&gt;0,$GR$6,IF(GS74&gt;0,$GS$6,IF(GT74&gt;0,$GT$6,0))))))</f>
        <v>SELESAI</v>
      </c>
      <c r="GW74" s="189">
        <f t="shared" ref="GW74:GW93" si="390">IF(GV74=$GO$6,GO74,IF(GV74=$GP$6,GP74,IF(GV74=$GQ$6,GQ74,IF(GV74=$GR$6,GR74,IF(GV74=$GS$6,GS74,0)))))</f>
        <v>0</v>
      </c>
      <c r="GX74" s="202" t="str">
        <f t="shared" ref="GX74:GX93" si="391">GV74</f>
        <v>SELESAI</v>
      </c>
      <c r="GY74" s="202">
        <f t="shared" ref="GY74:GY93" si="392">IF(GX74="DNP",SUM($GY$4:$GY$8),IF(GX74="Survey KJPP",SUM($GY$5:$GY$8),IF(GX74="Hasil Valuasi",SUM($GY$6:$GY$8),IF(GX74="Musyawarah",SUM($GY$7:$GY$8),IF(GX74="UGR",$GY$8,0)))))</f>
        <v>0</v>
      </c>
      <c r="GZ74" s="203" t="str">
        <f t="shared" ref="GZ74:GZ93" si="393">IF(GW74=0,"SELESAI",GU74+GY74)</f>
        <v>SELESAI</v>
      </c>
      <c r="HA74" s="204"/>
      <c r="HB74" s="204"/>
      <c r="HC74" s="189">
        <f t="shared" si="261"/>
        <v>0</v>
      </c>
      <c r="HD74" s="189">
        <f t="shared" si="262"/>
        <v>0</v>
      </c>
      <c r="HE74" s="189">
        <f t="shared" ref="HE74:HE93" si="394">HC74+HD74</f>
        <v>0</v>
      </c>
      <c r="HF74" s="189">
        <f t="shared" ref="HF74:HF93" si="395">FQ74</f>
        <v>0</v>
      </c>
      <c r="HG74" s="189">
        <f t="shared" ref="HG74:HG93" si="396">HE74-HF74</f>
        <v>0</v>
      </c>
      <c r="HH74" s="201" t="str">
        <f t="shared" si="363"/>
        <v>TIDAK KONSINYASI</v>
      </c>
      <c r="HI74" s="201" t="str">
        <f t="shared" ref="HI74:HI93" si="397">IF(GW74=0,"SELESAI",GZ74+$HI$8)</f>
        <v>SELESAI</v>
      </c>
      <c r="HJ74" s="205"/>
      <c r="HK74" s="201">
        <f t="shared" si="364"/>
        <v>0</v>
      </c>
      <c r="HL74" s="204"/>
      <c r="HM74" s="204"/>
      <c r="HN74" s="204"/>
      <c r="HO74" s="204"/>
      <c r="HP74" s="203">
        <f t="shared" ref="HP74:HP93" si="398">IF(HQ74=1,GZ74,0)</f>
        <v>0</v>
      </c>
      <c r="HQ74" s="202">
        <f t="shared" ref="HQ74:HQ93" si="399">IF(IX74=0,IF(HT74=0,IF(IP74=0,IF(GV74="UGR",GS74,0),0),0),0)</f>
        <v>0</v>
      </c>
      <c r="HR74" s="202">
        <f t="shared" si="263"/>
        <v>0</v>
      </c>
      <c r="HS74" s="203">
        <f t="shared" ref="HS74:HS93" si="400">IF(HT74=1,HH74,0)</f>
        <v>0</v>
      </c>
      <c r="HT74" s="202">
        <f t="shared" ref="HT74:HT93" si="401">HG74</f>
        <v>0</v>
      </c>
      <c r="HU74" s="202">
        <f t="shared" si="264"/>
        <v>0</v>
      </c>
      <c r="HV74" s="203">
        <f t="shared" ref="HV74:HV93" si="402">IF(HW74=1,GZ74,0)</f>
        <v>0</v>
      </c>
      <c r="HW74" s="202">
        <f t="shared" ref="HW74:HW100" si="403">IF(JB74=0,IF(IX74=0,IF(HT74=0,IF(GV74="MUSYAWARAH",GR74,0),0),0),0)</f>
        <v>0</v>
      </c>
      <c r="HX74" s="202">
        <f t="shared" si="265"/>
        <v>0</v>
      </c>
      <c r="HY74" s="203">
        <f t="shared" si="365"/>
        <v>0</v>
      </c>
      <c r="HZ74" s="202">
        <f t="shared" ref="HZ74:HZ93" si="404">HW74</f>
        <v>0</v>
      </c>
      <c r="IA74" s="202">
        <f t="shared" si="266"/>
        <v>0</v>
      </c>
      <c r="IB74" s="203">
        <f t="shared" ref="IB74:IB93" si="405">IF(IC74=1,$GU$3+SUM($GY$6:$GY$8),0)</f>
        <v>0</v>
      </c>
      <c r="IC74" s="202">
        <f t="shared" si="366"/>
        <v>0</v>
      </c>
      <c r="ID74" s="202">
        <f t="shared" si="267"/>
        <v>0</v>
      </c>
      <c r="IE74" s="203">
        <f t="shared" si="367"/>
        <v>0</v>
      </c>
      <c r="IF74" s="202">
        <f t="shared" si="368"/>
        <v>0</v>
      </c>
      <c r="IG74" s="202">
        <f t="shared" si="268"/>
        <v>0</v>
      </c>
      <c r="IH74" s="203">
        <f t="shared" ref="IH74:IH93" si="406">IF(II74=1,$GU$3+SUM($GY$5:$GY$8),0)</f>
        <v>0</v>
      </c>
      <c r="II74" s="202">
        <f t="shared" ref="II74:II93" si="407">IF(GV74="Survey KJPP",GP74,0)</f>
        <v>0</v>
      </c>
      <c r="IJ74" s="202">
        <f t="shared" si="269"/>
        <v>0</v>
      </c>
      <c r="IK74" s="203">
        <f t="shared" si="369"/>
        <v>0</v>
      </c>
      <c r="IL74" s="202">
        <f t="shared" si="370"/>
        <v>0</v>
      </c>
      <c r="IM74" s="202">
        <f t="shared" si="270"/>
        <v>0</v>
      </c>
      <c r="IN74" s="204"/>
      <c r="IO74" s="203">
        <f t="shared" si="371"/>
        <v>0</v>
      </c>
      <c r="IP74" s="202">
        <f t="shared" si="271"/>
        <v>0</v>
      </c>
      <c r="IQ74" s="202">
        <f t="shared" si="272"/>
        <v>0</v>
      </c>
      <c r="IR74" s="204"/>
      <c r="IS74" s="203"/>
      <c r="IT74" s="202">
        <f t="shared" si="273"/>
        <v>1</v>
      </c>
      <c r="IU74" s="202">
        <f t="shared" si="274"/>
        <v>159</v>
      </c>
      <c r="IV74" s="204"/>
      <c r="IW74" s="203"/>
      <c r="IX74" s="202">
        <f t="shared" si="275"/>
        <v>0</v>
      </c>
      <c r="IY74" s="202">
        <f t="shared" si="276"/>
        <v>0</v>
      </c>
      <c r="IZ74" s="204"/>
      <c r="JA74" s="203"/>
      <c r="JB74" s="202">
        <f t="shared" si="277"/>
        <v>0</v>
      </c>
      <c r="JC74" s="202">
        <f t="shared" si="278"/>
        <v>0</v>
      </c>
      <c r="JD74" s="204"/>
      <c r="JE74" s="203"/>
      <c r="JF74" s="202">
        <f t="shared" ref="JF74:JG93" si="408">IT74+HQ74+HT74+HZ74+IF74+IL74+IP74+IX74+JB74</f>
        <v>1</v>
      </c>
      <c r="JG74" s="202">
        <f t="shared" si="408"/>
        <v>159</v>
      </c>
      <c r="JH74" s="204"/>
      <c r="JI74" s="203"/>
      <c r="JJ74" s="202">
        <f t="shared" si="279"/>
        <v>0</v>
      </c>
      <c r="JK74" s="202">
        <f t="shared" si="280"/>
        <v>0</v>
      </c>
      <c r="JM74" s="203">
        <f t="shared" ref="JM74:JM106" si="409">MAX(IW74,IS74,IO74,IK74,IE74,HY74,HS74,HP74)</f>
        <v>0</v>
      </c>
      <c r="JO74" s="196">
        <f t="shared" si="372"/>
        <v>0</v>
      </c>
      <c r="JP74" s="189">
        <f t="shared" si="281"/>
        <v>0</v>
      </c>
      <c r="JQ74" s="189">
        <f t="shared" si="282"/>
        <v>0</v>
      </c>
      <c r="JR74" s="189">
        <f t="shared" si="283"/>
        <v>0</v>
      </c>
      <c r="JS74" s="189">
        <f t="shared" si="284"/>
        <v>0</v>
      </c>
      <c r="JT74" s="189">
        <f t="shared" si="285"/>
        <v>0</v>
      </c>
      <c r="JU74" s="189">
        <f t="shared" si="286"/>
        <v>0</v>
      </c>
      <c r="JV74" s="189">
        <f t="shared" si="287"/>
        <v>0</v>
      </c>
      <c r="JW74" s="189">
        <f t="shared" si="288"/>
        <v>0</v>
      </c>
      <c r="JX74" s="189">
        <f t="shared" si="289"/>
        <v>0</v>
      </c>
      <c r="JY74" s="189">
        <f t="shared" si="290"/>
        <v>0</v>
      </c>
      <c r="JZ74" s="189">
        <f t="shared" si="291"/>
        <v>0</v>
      </c>
      <c r="KA74" s="189">
        <f t="shared" si="292"/>
        <v>0</v>
      </c>
      <c r="KB74" s="189">
        <f t="shared" si="293"/>
        <v>0</v>
      </c>
      <c r="KD74" s="206">
        <f t="shared" ref="KD74:KD125" si="410">IF(IF(SUM(GA74:GE74)&gt;100,1,0)+IF(FX74=1,1,0)=2,1,0)</f>
        <v>0</v>
      </c>
      <c r="KE74" s="206">
        <f t="shared" si="373"/>
        <v>0</v>
      </c>
      <c r="KF74" s="206">
        <f t="shared" si="294"/>
        <v>0</v>
      </c>
      <c r="KG74" s="206">
        <f t="shared" si="295"/>
        <v>0</v>
      </c>
      <c r="KH74" s="206">
        <f t="shared" si="296"/>
        <v>0</v>
      </c>
      <c r="KI74" s="206">
        <f t="shared" si="297"/>
        <v>0</v>
      </c>
      <c r="KJ74" s="206">
        <f t="shared" si="298"/>
        <v>0</v>
      </c>
      <c r="KK74" s="206">
        <f t="shared" si="299"/>
        <v>0</v>
      </c>
      <c r="KL74" s="206">
        <f t="shared" si="300"/>
        <v>0</v>
      </c>
      <c r="KM74" s="206">
        <f t="shared" si="301"/>
        <v>0</v>
      </c>
      <c r="KN74" s="221">
        <f t="shared" si="302"/>
        <v>0</v>
      </c>
      <c r="KO74" s="221">
        <f t="shared" si="303"/>
        <v>0</v>
      </c>
      <c r="KP74" s="221">
        <f t="shared" si="304"/>
        <v>0</v>
      </c>
      <c r="KQ74" s="221">
        <f t="shared" si="305"/>
        <v>0</v>
      </c>
      <c r="KR74" s="221">
        <f t="shared" si="306"/>
        <v>0</v>
      </c>
      <c r="KT74" s="195">
        <f t="shared" si="307"/>
        <v>0</v>
      </c>
      <c r="KU74" s="221"/>
      <c r="KV74" s="221"/>
      <c r="KW74" s="221"/>
      <c r="KX74" s="221"/>
      <c r="KY74" s="221"/>
      <c r="KZ74" s="221"/>
      <c r="LA74" s="221"/>
      <c r="LB74" s="221"/>
      <c r="LC74" s="221"/>
      <c r="LD74" s="221"/>
      <c r="LE74" s="221"/>
      <c r="LF74" s="221"/>
      <c r="LG74" s="221"/>
      <c r="LH74" s="221"/>
      <c r="LI74" s="221"/>
      <c r="LJ74" s="221"/>
      <c r="LK74" s="221"/>
      <c r="LL74" s="221"/>
      <c r="LM74" s="221"/>
      <c r="LN74" s="221"/>
      <c r="LO74" s="221"/>
      <c r="LP74" s="221"/>
      <c r="LQ74" s="221"/>
      <c r="LR74" s="221"/>
      <c r="LS74" s="221"/>
      <c r="LT74" s="221"/>
      <c r="LU74" s="221"/>
      <c r="LV74" s="221"/>
      <c r="LW74" s="221"/>
      <c r="LX74" s="221"/>
      <c r="LY74" s="221"/>
      <c r="LZ74" s="221"/>
      <c r="MA74" s="221"/>
      <c r="MB74" s="221"/>
      <c r="MC74" s="221"/>
      <c r="MD74" s="221"/>
      <c r="ME74" s="221"/>
      <c r="MF74" s="221"/>
      <c r="MG74" s="221"/>
      <c r="MH74" s="221"/>
      <c r="MI74" s="221"/>
      <c r="MJ74" s="221"/>
      <c r="MK74" s="221"/>
      <c r="ML74" s="221"/>
      <c r="MM74" s="221"/>
      <c r="MN74" s="221"/>
      <c r="MO74" s="221"/>
      <c r="MP74" s="221"/>
      <c r="MQ74" s="221"/>
      <c r="MR74" s="221"/>
      <c r="MS74" s="221"/>
      <c r="MT74" s="221"/>
      <c r="MU74" s="221"/>
      <c r="MV74" s="221"/>
      <c r="MW74" s="221"/>
      <c r="MX74" s="221"/>
      <c r="MY74" s="221"/>
      <c r="MZ74" s="221"/>
      <c r="NA74" s="221"/>
      <c r="NB74" s="221"/>
      <c r="NC74" s="221"/>
      <c r="ND74" s="221"/>
      <c r="NE74" s="221"/>
      <c r="NF74" s="221"/>
      <c r="NG74" s="221"/>
      <c r="NH74" s="221"/>
      <c r="NI74" s="221"/>
      <c r="NJ74" s="221"/>
      <c r="NK74" s="221"/>
      <c r="NM74" s="195">
        <f t="shared" ref="NM74:NM106" si="411">IF(KS74=1,1,0)</f>
        <v>0</v>
      </c>
      <c r="NN74" s="195">
        <f t="shared" ref="NN74:NN106" si="412">IF(KS74=2,1,0)</f>
        <v>0</v>
      </c>
      <c r="NO74" s="195">
        <f t="shared" ref="NO74:NO106" si="413">IF(KS74=3,1,0)</f>
        <v>0</v>
      </c>
      <c r="NP74" s="195">
        <f t="shared" ref="NP74:NP106" si="414">IF(KS74=4,1,0)</f>
        <v>0</v>
      </c>
      <c r="NQ74" s="195">
        <f t="shared" ref="NQ74:NQ106" si="415">IF(KS74=5,1,0)</f>
        <v>0</v>
      </c>
      <c r="NR74" s="195">
        <f t="shared" ref="NR74:NR106" si="416">IF(KS74=6,1,0)</f>
        <v>0</v>
      </c>
      <c r="NS74" s="195">
        <f t="shared" ref="NS74:NS106" si="417">IF(KS74=7,1,0)</f>
        <v>0</v>
      </c>
      <c r="NT74" s="195">
        <f t="shared" ref="NT74:NT106" si="418">SUM(NM74:NS74)</f>
        <v>0</v>
      </c>
      <c r="NU74" s="196">
        <f t="shared" ref="NU74:NU106" si="419">NT74-KT74</f>
        <v>0</v>
      </c>
      <c r="NY74" s="215">
        <f t="shared" ref="NY74:NY110" si="420">V74</f>
        <v>1</v>
      </c>
      <c r="NZ74" s="222">
        <v>11025000</v>
      </c>
      <c r="OE74" s="207">
        <f t="shared" si="374"/>
        <v>0</v>
      </c>
      <c r="OF74" s="207">
        <f t="shared" si="375"/>
        <v>0</v>
      </c>
      <c r="OG74" s="207">
        <f t="shared" si="376"/>
        <v>0</v>
      </c>
      <c r="OH74" s="207">
        <f t="shared" ref="OH74:OH107" si="421">HE74</f>
        <v>0</v>
      </c>
      <c r="OI74" s="207">
        <f t="shared" si="377"/>
        <v>0</v>
      </c>
      <c r="OJ74" s="199">
        <f t="shared" ref="OJ74:OJ107" si="422">IF(OG74=1,OF74,0)</f>
        <v>0</v>
      </c>
      <c r="OK74" s="199">
        <f t="shared" ref="OK74:OK107" si="423">IF(OH74=1,OF74,0)</f>
        <v>0</v>
      </c>
      <c r="OL74" s="199">
        <f t="shared" ref="OL74:OL107" si="424">IF((OG74+OH74)=0,OF74,0)</f>
        <v>0</v>
      </c>
      <c r="OM74" s="199">
        <f t="shared" ref="OM74:OM107" si="425">SUM(OJ74:OL74)</f>
        <v>0</v>
      </c>
      <c r="OO74" s="207">
        <f t="shared" si="378"/>
        <v>0</v>
      </c>
      <c r="OP74" s="207">
        <f t="shared" si="379"/>
        <v>0</v>
      </c>
      <c r="OQ74" s="207">
        <f t="shared" ref="OQ74:OQ107" si="426">OG74</f>
        <v>0</v>
      </c>
      <c r="OR74" s="207">
        <f t="shared" ref="OR74:OR107" si="427">OH74</f>
        <v>0</v>
      </c>
      <c r="OS74" s="207">
        <f t="shared" ref="OS74:OS107" si="428">OI74</f>
        <v>0</v>
      </c>
      <c r="OT74" s="199">
        <f t="shared" ref="OT74:OT107" si="429">IF(OQ74=1,OP74,0)</f>
        <v>0</v>
      </c>
      <c r="OU74" s="199">
        <f t="shared" ref="OU74:OU107" si="430">IF(OR74=1,OP74,0)</f>
        <v>0</v>
      </c>
      <c r="OV74" s="199">
        <f t="shared" ref="OV74:OV107" si="431">IF((OQ74+OR74)=0,OP74,0)</f>
        <v>0</v>
      </c>
      <c r="OW74" s="199">
        <f t="shared" ref="OW74:OW107" si="432">SUM(OT74:OV74)</f>
        <v>0</v>
      </c>
      <c r="OZ74" s="208">
        <f t="shared" si="380"/>
        <v>0</v>
      </c>
      <c r="PA74" s="209"/>
      <c r="PB74" s="209"/>
      <c r="PC74" s="209"/>
      <c r="PD74" s="210">
        <f t="shared" ref="PD74:PD123" si="433">PB74-PC74</f>
        <v>0</v>
      </c>
      <c r="PE74" s="210"/>
      <c r="PF74" s="210">
        <f t="shared" ref="PF74:PF123" si="434">PD74-PE74</f>
        <v>0</v>
      </c>
      <c r="PG74" s="210">
        <f t="shared" ref="PG74:PG123" si="435">IF(PA74=1,$BB74,0)</f>
        <v>0</v>
      </c>
      <c r="PH74" s="210">
        <f t="shared" si="381"/>
        <v>0</v>
      </c>
      <c r="PI74" s="210">
        <f t="shared" si="382"/>
        <v>0</v>
      </c>
      <c r="PJ74" s="210">
        <f t="shared" si="383"/>
        <v>0</v>
      </c>
      <c r="PK74" s="210">
        <f t="shared" si="384"/>
        <v>0</v>
      </c>
      <c r="PL74" s="210">
        <f t="shared" si="385"/>
        <v>0</v>
      </c>
      <c r="PM74" s="211"/>
      <c r="PN74" s="211"/>
      <c r="PO74" s="212">
        <f t="shared" ref="PO74:PO125" si="436">IF(FC74=1,AB74,0)</f>
        <v>0</v>
      </c>
      <c r="PP74" s="212">
        <f t="shared" ref="PP74:PP125" si="437">IF(FF74=1,AB74,0)</f>
        <v>0</v>
      </c>
      <c r="PQ74" s="212">
        <f t="shared" ref="PQ74:PQ125" si="438">AB74-(PO74+PP74)</f>
        <v>0</v>
      </c>
      <c r="PR74" s="211"/>
      <c r="PS74" s="211"/>
      <c r="PT74" s="211"/>
      <c r="PU74" s="211"/>
    </row>
    <row r="75" spans="1:437 16383:16383" s="195" customFormat="1" ht="16" x14ac:dyDescent="0.2">
      <c r="A75" s="213">
        <f t="shared" si="206"/>
        <v>65</v>
      </c>
      <c r="B75" s="186" t="s">
        <v>79</v>
      </c>
      <c r="C75" s="186">
        <v>71</v>
      </c>
      <c r="D75" s="188">
        <v>1</v>
      </c>
      <c r="E75" s="188">
        <v>109</v>
      </c>
      <c r="F75" s="188">
        <v>1</v>
      </c>
      <c r="G75" s="188">
        <f t="shared" si="308"/>
        <v>109</v>
      </c>
      <c r="H75" s="214">
        <f t="shared" si="311"/>
        <v>1</v>
      </c>
      <c r="I75" s="214">
        <f t="shared" si="312"/>
        <v>1</v>
      </c>
      <c r="J75" s="188">
        <v>1</v>
      </c>
      <c r="K75" s="188">
        <f t="shared" si="313"/>
        <v>109</v>
      </c>
      <c r="L75" s="214">
        <f t="shared" si="314"/>
        <v>1</v>
      </c>
      <c r="M75" s="214">
        <f t="shared" si="315"/>
        <v>1</v>
      </c>
      <c r="N75" s="188">
        <v>1</v>
      </c>
      <c r="O75" s="188">
        <f t="shared" si="316"/>
        <v>109</v>
      </c>
      <c r="P75" s="214">
        <f t="shared" si="317"/>
        <v>1</v>
      </c>
      <c r="Q75" s="214">
        <f t="shared" si="318"/>
        <v>1</v>
      </c>
      <c r="R75" s="188">
        <v>1</v>
      </c>
      <c r="S75" s="188">
        <f t="shared" si="319"/>
        <v>109</v>
      </c>
      <c r="T75" s="214">
        <f t="shared" si="320"/>
        <v>1</v>
      </c>
      <c r="U75" s="214">
        <f t="shared" si="321"/>
        <v>1</v>
      </c>
      <c r="V75" s="215">
        <v>1</v>
      </c>
      <c r="W75" s="188">
        <f t="shared" si="322"/>
        <v>109</v>
      </c>
      <c r="X75" s="214">
        <f t="shared" si="323"/>
        <v>1</v>
      </c>
      <c r="Y75" s="214">
        <f t="shared" si="324"/>
        <v>1</v>
      </c>
      <c r="Z75" s="216">
        <f>1695331000/1000000000</f>
        <v>1.6953309999999999</v>
      </c>
      <c r="AA75" s="188">
        <v>0</v>
      </c>
      <c r="AB75" s="188">
        <f t="shared" si="339"/>
        <v>0</v>
      </c>
      <c r="AC75" s="214">
        <f t="shared" si="340"/>
        <v>0</v>
      </c>
      <c r="AD75" s="214">
        <f t="shared" si="341"/>
        <v>0</v>
      </c>
      <c r="AE75" s="188"/>
      <c r="AF75" s="188">
        <f t="shared" si="342"/>
        <v>0</v>
      </c>
      <c r="AG75" s="188"/>
      <c r="AH75" s="188"/>
      <c r="AI75" s="188">
        <v>0</v>
      </c>
      <c r="AJ75" s="188">
        <f t="shared" si="325"/>
        <v>0</v>
      </c>
      <c r="AK75" s="188"/>
      <c r="AL75" s="188">
        <v>0</v>
      </c>
      <c r="AM75" s="188">
        <v>0</v>
      </c>
      <c r="AN75" s="217"/>
      <c r="AO75" s="188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>
        <f t="shared" si="343"/>
        <v>0</v>
      </c>
      <c r="BD75" s="196">
        <f t="shared" si="386"/>
        <v>0</v>
      </c>
      <c r="BE75" s="188">
        <f t="shared" si="326"/>
        <v>0</v>
      </c>
      <c r="BF75" s="188">
        <f t="shared" si="327"/>
        <v>0</v>
      </c>
      <c r="BG75" s="188">
        <f t="shared" si="328"/>
        <v>0</v>
      </c>
      <c r="BH75" s="188">
        <f t="shared" si="329"/>
        <v>0</v>
      </c>
      <c r="BI75" s="188">
        <f t="shared" si="330"/>
        <v>0</v>
      </c>
      <c r="BJ75" s="188">
        <f t="shared" si="331"/>
        <v>0</v>
      </c>
      <c r="BK75" s="188">
        <f t="shared" si="332"/>
        <v>0</v>
      </c>
      <c r="BN75" s="143"/>
      <c r="BO75" s="277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B75" s="188"/>
      <c r="CD75" s="188">
        <f t="shared" si="344"/>
        <v>0</v>
      </c>
      <c r="CE75" s="188">
        <f t="shared" si="345"/>
        <v>0</v>
      </c>
      <c r="CF75" s="188">
        <f t="shared" si="346"/>
        <v>0</v>
      </c>
      <c r="CG75" s="188">
        <f t="shared" si="347"/>
        <v>0</v>
      </c>
      <c r="CH75" s="188">
        <f t="shared" si="348"/>
        <v>0</v>
      </c>
      <c r="CI75" s="188">
        <f t="shared" si="349"/>
        <v>0</v>
      </c>
      <c r="CJ75" s="188">
        <f t="shared" si="350"/>
        <v>0</v>
      </c>
      <c r="CK75" s="188">
        <f t="shared" si="351"/>
        <v>0</v>
      </c>
      <c r="CL75" s="188">
        <f t="shared" si="352"/>
        <v>0</v>
      </c>
      <c r="CM75" s="188">
        <f t="shared" si="353"/>
        <v>0</v>
      </c>
      <c r="CN75" s="188">
        <f t="shared" si="354"/>
        <v>0</v>
      </c>
      <c r="CO75" s="188">
        <f t="shared" si="355"/>
        <v>0</v>
      </c>
      <c r="CP75" s="188">
        <f t="shared" si="356"/>
        <v>0</v>
      </c>
      <c r="DV75" s="188">
        <f t="shared" si="333"/>
        <v>0</v>
      </c>
      <c r="DW75" s="188">
        <f t="shared" si="334"/>
        <v>0</v>
      </c>
      <c r="DX75" s="188">
        <f t="shared" si="335"/>
        <v>0</v>
      </c>
      <c r="DY75" s="188">
        <f t="shared" si="336"/>
        <v>0</v>
      </c>
      <c r="DZ75" s="188">
        <f t="shared" si="337"/>
        <v>0</v>
      </c>
      <c r="EA75" s="188">
        <f t="shared" si="338"/>
        <v>0</v>
      </c>
      <c r="EB75" s="188">
        <f t="shared" si="357"/>
        <v>0</v>
      </c>
      <c r="EG75" s="220">
        <f t="shared" si="358"/>
        <v>0</v>
      </c>
      <c r="EH75" s="220">
        <f t="shared" si="359"/>
        <v>0</v>
      </c>
      <c r="EI75" s="188"/>
      <c r="EJ75" s="188"/>
      <c r="EK75" s="188"/>
      <c r="EL75" s="188"/>
      <c r="EM75" s="188"/>
      <c r="EN75" s="188"/>
      <c r="EO75" s="188"/>
      <c r="EP75" s="188"/>
      <c r="EQ75" s="188"/>
      <c r="ER75" s="188"/>
      <c r="ES75" s="188"/>
      <c r="ET75" s="188"/>
      <c r="EU75" s="188"/>
      <c r="EV75" s="188"/>
      <c r="EW75" s="188"/>
      <c r="EX75" s="188"/>
      <c r="EY75" s="188"/>
      <c r="EZ75" s="188"/>
      <c r="FA75" s="188"/>
      <c r="FB75" s="188"/>
      <c r="FC75" s="188"/>
      <c r="FD75" s="188"/>
      <c r="FE75" s="188"/>
      <c r="FF75" s="188"/>
      <c r="FH75" s="189"/>
      <c r="FI75" s="189"/>
      <c r="FJ75" s="189"/>
      <c r="FK75" s="189"/>
      <c r="FL75" s="189"/>
      <c r="FM75" s="189"/>
      <c r="FN75" s="189"/>
      <c r="FO75" s="189"/>
      <c r="FP75" s="189"/>
      <c r="FQ75" s="189"/>
      <c r="FR75" s="189"/>
      <c r="FS75" s="189"/>
      <c r="FT75" s="189"/>
      <c r="FU75" s="189"/>
      <c r="FV75" s="189"/>
      <c r="FX75" s="217"/>
      <c r="FY75" s="188">
        <f t="shared" si="360"/>
        <v>0</v>
      </c>
      <c r="FZ75" s="188">
        <f t="shared" ref="FZ75:FZ125" si="439">DI75+CE75</f>
        <v>0</v>
      </c>
      <c r="GA75" s="188">
        <f t="shared" ref="GA75:GA125" si="440">DJ75+CF75</f>
        <v>0</v>
      </c>
      <c r="GB75" s="188">
        <f t="shared" ref="GB75:GB125" si="441">DK75+CG75</f>
        <v>0</v>
      </c>
      <c r="GC75" s="188">
        <f t="shared" ref="GC75:GC125" si="442">DM75+CI75</f>
        <v>0</v>
      </c>
      <c r="GD75" s="188">
        <f t="shared" ref="GD75:GD125" si="443">DO75+CK75</f>
        <v>0</v>
      </c>
      <c r="GE75" s="188">
        <f t="shared" ref="GE75:GE125" si="444">DT75+CP75</f>
        <v>0</v>
      </c>
      <c r="GF75" s="199"/>
      <c r="GG75" s="189">
        <v>0</v>
      </c>
      <c r="GH75" s="189">
        <v>0</v>
      </c>
      <c r="GI75" s="199"/>
      <c r="GJ75" s="200">
        <f t="shared" si="361"/>
        <v>0</v>
      </c>
      <c r="GK75" s="200">
        <f t="shared" si="362"/>
        <v>0</v>
      </c>
      <c r="GO75" s="189">
        <f t="shared" ref="GO75:GO101" si="445">D75-F75</f>
        <v>0</v>
      </c>
      <c r="GP75" s="189">
        <f t="shared" ref="GP75:GP125" si="446">D75-J75</f>
        <v>0</v>
      </c>
      <c r="GQ75" s="189">
        <f t="shared" ref="GQ75:GQ125" si="447">D75-N75</f>
        <v>0</v>
      </c>
      <c r="GR75" s="189">
        <f t="shared" ref="GR75:GR125" si="448">D75-R75</f>
        <v>0</v>
      </c>
      <c r="GS75" s="189">
        <f t="shared" ref="GS75:GS125" si="449">D75-V75</f>
        <v>0</v>
      </c>
      <c r="GT75" s="189">
        <f t="shared" si="387"/>
        <v>1</v>
      </c>
      <c r="GU75" s="201">
        <f t="shared" si="388"/>
        <v>43243</v>
      </c>
      <c r="GV75" s="189" t="str">
        <f t="shared" si="389"/>
        <v>SELESAI</v>
      </c>
      <c r="GW75" s="189">
        <f t="shared" si="390"/>
        <v>0</v>
      </c>
      <c r="GX75" s="202" t="str">
        <f t="shared" si="391"/>
        <v>SELESAI</v>
      </c>
      <c r="GY75" s="202">
        <f t="shared" si="392"/>
        <v>0</v>
      </c>
      <c r="GZ75" s="203" t="str">
        <f t="shared" si="393"/>
        <v>SELESAI</v>
      </c>
      <c r="HA75" s="204"/>
      <c r="HB75" s="204"/>
      <c r="HC75" s="189">
        <f t="shared" ref="HC75:HC125" si="450">IF(BH75&gt;0,1,IF(BI75&gt;0,1,0))</f>
        <v>0</v>
      </c>
      <c r="HD75" s="189">
        <f t="shared" ref="HD75:HD125" si="451">IF(CB75&gt;0,1,0)</f>
        <v>0</v>
      </c>
      <c r="HE75" s="189">
        <f t="shared" si="394"/>
        <v>0</v>
      </c>
      <c r="HF75" s="189">
        <f t="shared" si="395"/>
        <v>0</v>
      </c>
      <c r="HG75" s="189">
        <f t="shared" si="396"/>
        <v>0</v>
      </c>
      <c r="HH75" s="201" t="str">
        <f t="shared" si="363"/>
        <v>TIDAK KONSINYASI</v>
      </c>
      <c r="HI75" s="201" t="str">
        <f t="shared" si="397"/>
        <v>SELESAI</v>
      </c>
      <c r="HJ75" s="205"/>
      <c r="HK75" s="201">
        <f t="shared" si="364"/>
        <v>0</v>
      </c>
      <c r="HL75" s="204"/>
      <c r="HM75" s="204"/>
      <c r="HN75" s="204"/>
      <c r="HO75" s="204"/>
      <c r="HP75" s="203">
        <f t="shared" si="398"/>
        <v>0</v>
      </c>
      <c r="HQ75" s="202">
        <f t="shared" si="399"/>
        <v>0</v>
      </c>
      <c r="HR75" s="202">
        <f t="shared" ref="HR75:HR106" si="452">IF(HQ75=1,E75,0)</f>
        <v>0</v>
      </c>
      <c r="HS75" s="203">
        <f t="shared" si="400"/>
        <v>0</v>
      </c>
      <c r="HT75" s="202">
        <f t="shared" si="401"/>
        <v>0</v>
      </c>
      <c r="HU75" s="202">
        <f t="shared" ref="HU75:HU106" si="453">IF(HT75=1,E75,0)</f>
        <v>0</v>
      </c>
      <c r="HV75" s="203">
        <f t="shared" si="402"/>
        <v>0</v>
      </c>
      <c r="HW75" s="202">
        <f t="shared" si="403"/>
        <v>0</v>
      </c>
      <c r="HX75" s="202">
        <f t="shared" ref="HX75:HX106" si="454">IF(HW75=1,E75,0)</f>
        <v>0</v>
      </c>
      <c r="HY75" s="203">
        <f t="shared" si="365"/>
        <v>0</v>
      </c>
      <c r="HZ75" s="202">
        <f t="shared" si="404"/>
        <v>0</v>
      </c>
      <c r="IA75" s="202">
        <f t="shared" ref="IA75:IA106" si="455">IF(HZ75=1,E75,0)</f>
        <v>0</v>
      </c>
      <c r="IB75" s="203">
        <f t="shared" si="405"/>
        <v>0</v>
      </c>
      <c r="IC75" s="202">
        <f t="shared" si="366"/>
        <v>0</v>
      </c>
      <c r="ID75" s="202">
        <f t="shared" ref="ID75:ID106" si="456">IF(IC75=1,E75,0)</f>
        <v>0</v>
      </c>
      <c r="IE75" s="203">
        <f t="shared" si="367"/>
        <v>0</v>
      </c>
      <c r="IF75" s="202">
        <f t="shared" si="368"/>
        <v>0</v>
      </c>
      <c r="IG75" s="202">
        <f t="shared" ref="IG75:IG106" si="457">IF(IF75=1,E75,0)</f>
        <v>0</v>
      </c>
      <c r="IH75" s="203">
        <f t="shared" si="406"/>
        <v>0</v>
      </c>
      <c r="II75" s="202">
        <f t="shared" si="407"/>
        <v>0</v>
      </c>
      <c r="IJ75" s="202">
        <f t="shared" ref="IJ75:IJ106" si="458">IF(II75=1,E75,0)</f>
        <v>0</v>
      </c>
      <c r="IK75" s="203">
        <f t="shared" si="369"/>
        <v>0</v>
      </c>
      <c r="IL75" s="202">
        <f t="shared" si="370"/>
        <v>0</v>
      </c>
      <c r="IM75" s="202">
        <f t="shared" ref="IM75:IM106" si="459">IF(IL75=1,E75,0)</f>
        <v>0</v>
      </c>
      <c r="IN75" s="204"/>
      <c r="IO75" s="203">
        <f t="shared" si="371"/>
        <v>0</v>
      </c>
      <c r="IP75" s="202">
        <f t="shared" ref="IP75:IP125" si="460">IF(BG75&gt;0,1,0)</f>
        <v>0</v>
      </c>
      <c r="IQ75" s="202">
        <f t="shared" ref="IQ75:IQ106" si="461">IF(IP75=1,E75,0)</f>
        <v>0</v>
      </c>
      <c r="IR75" s="204"/>
      <c r="IS75" s="203"/>
      <c r="IT75" s="202">
        <f t="shared" ref="IT75:IT125" si="462">V75</f>
        <v>1</v>
      </c>
      <c r="IU75" s="202">
        <f t="shared" ref="IU75:IU125" si="463">W75</f>
        <v>109</v>
      </c>
      <c r="IV75" s="204"/>
      <c r="IW75" s="203"/>
      <c r="IX75" s="202">
        <f t="shared" ref="IX75:IX125" si="464">AA75</f>
        <v>0</v>
      </c>
      <c r="IY75" s="202">
        <f t="shared" ref="IY75:IY125" si="465">AB75</f>
        <v>0</v>
      </c>
      <c r="IZ75" s="204"/>
      <c r="JA75" s="203"/>
      <c r="JB75" s="202">
        <f t="shared" ref="JB75:JB125" si="466">AN75</f>
        <v>0</v>
      </c>
      <c r="JC75" s="202">
        <f t="shared" ref="JC75:JC125" si="467">BB75</f>
        <v>0</v>
      </c>
      <c r="JD75" s="204"/>
      <c r="JE75" s="203"/>
      <c r="JF75" s="202">
        <f t="shared" si="408"/>
        <v>1</v>
      </c>
      <c r="JG75" s="202">
        <f t="shared" si="408"/>
        <v>109</v>
      </c>
      <c r="JH75" s="204"/>
      <c r="JI75" s="203"/>
      <c r="JJ75" s="202">
        <f t="shared" ref="JJ75:JJ125" si="468">JF75-D75</f>
        <v>0</v>
      </c>
      <c r="JK75" s="202">
        <f t="shared" ref="JK75:JK125" si="469">JG75-E75</f>
        <v>0</v>
      </c>
      <c r="JM75" s="203">
        <f t="shared" si="409"/>
        <v>0</v>
      </c>
      <c r="JO75" s="196">
        <f t="shared" si="372"/>
        <v>0</v>
      </c>
      <c r="JP75" s="189">
        <f t="shared" ref="JP75:JP125" si="470">BN75+CR75</f>
        <v>0</v>
      </c>
      <c r="JQ75" s="189">
        <f t="shared" ref="JQ75:JQ125" si="471">IF(BO75+CS75=2,1,IF(BO75+CS75=1,1,0))</f>
        <v>0</v>
      </c>
      <c r="JR75" s="189">
        <f t="shared" ref="JR75:JR125" si="472">IF(BP75+CT75=2,1,IF(BP75+CT75=1,1,0))</f>
        <v>0</v>
      </c>
      <c r="JS75" s="189">
        <f t="shared" ref="JS75:JS125" si="473">IF(BQ75+CU75=2,1,IF(BQ75+CU75=1,1,0))</f>
        <v>0</v>
      </c>
      <c r="JT75" s="189">
        <f t="shared" ref="JT75:JT125" si="474">IF(BR75+CV75=2,1,IF(BR75+CV75=1,1,0))</f>
        <v>0</v>
      </c>
      <c r="JU75" s="189">
        <f t="shared" ref="JU75:JU125" si="475">IF(BS75+CW75=2,1,IF(BS75+CW75=1,1,0))</f>
        <v>0</v>
      </c>
      <c r="JV75" s="189">
        <f t="shared" ref="JV75:JV125" si="476">IF(BT75+CX75=2,1,IF(BT75+CX75=1,1,0))</f>
        <v>0</v>
      </c>
      <c r="JW75" s="189">
        <f t="shared" ref="JW75:JW125" si="477">IF(BU75+CY75=2,1,IF(BU75+CY75=1,1,0))</f>
        <v>0</v>
      </c>
      <c r="JX75" s="189">
        <f t="shared" ref="JX75:JX125" si="478">IF(BV75+CZ75=2,1,IF(BV75+CZ75=1,1,0))</f>
        <v>0</v>
      </c>
      <c r="JY75" s="189">
        <f t="shared" ref="JY75:JY125" si="479">IF(BW75+DA75=2,1,IF(BW75+DA75=1,1,0))</f>
        <v>0</v>
      </c>
      <c r="JZ75" s="189">
        <f t="shared" ref="JZ75:JZ125" si="480">IF(BX75+DB75=2,1,IF(BX75+DB75=1,1,0))</f>
        <v>0</v>
      </c>
      <c r="KA75" s="189">
        <f t="shared" ref="KA75:KA125" si="481">IF(BY75+DC75=2,1,IF(BY75+DC75=1,1,0))</f>
        <v>0</v>
      </c>
      <c r="KB75" s="189">
        <f t="shared" ref="KB75:KB125" si="482">IF(BZ75+DD75=2,1,IF(BZ75+DD75=1,1,0))</f>
        <v>0</v>
      </c>
      <c r="KD75" s="206">
        <f t="shared" si="410"/>
        <v>0</v>
      </c>
      <c r="KE75" s="206">
        <f t="shared" si="373"/>
        <v>0</v>
      </c>
      <c r="KF75" s="206">
        <f t="shared" ref="KF75:KF125" si="483">CD75+DH75</f>
        <v>0</v>
      </c>
      <c r="KG75" s="206">
        <f t="shared" ref="KG75:KG125" si="484">CE75+DI75</f>
        <v>0</v>
      </c>
      <c r="KH75" s="206">
        <f t="shared" ref="KH75:KH125" si="485">CF75+DJ75</f>
        <v>0</v>
      </c>
      <c r="KI75" s="206">
        <f t="shared" ref="KI75:KI125" si="486">CG75+DK75</f>
        <v>0</v>
      </c>
      <c r="KJ75" s="206">
        <f t="shared" ref="KJ75:KJ125" si="487">CH75+DL75</f>
        <v>0</v>
      </c>
      <c r="KK75" s="206">
        <f t="shared" ref="KK75:KK125" si="488">CI75+DM75</f>
        <v>0</v>
      </c>
      <c r="KL75" s="206">
        <f t="shared" ref="KL75:KL125" si="489">CJ75+DN75</f>
        <v>0</v>
      </c>
      <c r="KM75" s="206">
        <f t="shared" ref="KM75:KM125" si="490">CK75+DO75</f>
        <v>0</v>
      </c>
      <c r="KN75" s="221">
        <f t="shared" ref="KN75:KN125" si="491">CL75+DP75</f>
        <v>0</v>
      </c>
      <c r="KO75" s="221">
        <f t="shared" ref="KO75:KO125" si="492">CM75+DQ75</f>
        <v>0</v>
      </c>
      <c r="KP75" s="221">
        <f t="shared" ref="KP75:KP125" si="493">CN75+DR75</f>
        <v>0</v>
      </c>
      <c r="KQ75" s="221">
        <f t="shared" ref="KQ75:KQ125" si="494">CO75+DS75</f>
        <v>0</v>
      </c>
      <c r="KR75" s="221">
        <f t="shared" ref="KR75:KR125" si="495">CP75+DT75</f>
        <v>0</v>
      </c>
      <c r="KT75" s="195">
        <f t="shared" ref="KT75:KT125" si="496">AN75</f>
        <v>0</v>
      </c>
      <c r="KU75" s="221"/>
      <c r="KV75" s="221"/>
      <c r="KW75" s="221"/>
      <c r="KX75" s="221"/>
      <c r="KY75" s="221"/>
      <c r="KZ75" s="221"/>
      <c r="LA75" s="221"/>
      <c r="LB75" s="221"/>
      <c r="LC75" s="221"/>
      <c r="LD75" s="221"/>
      <c r="LE75" s="221"/>
      <c r="LF75" s="221"/>
      <c r="LG75" s="221"/>
      <c r="LH75" s="221"/>
      <c r="LI75" s="221"/>
      <c r="LJ75" s="221"/>
      <c r="LK75" s="221"/>
      <c r="LL75" s="221"/>
      <c r="LM75" s="221"/>
      <c r="LN75" s="221"/>
      <c r="LO75" s="221"/>
      <c r="LP75" s="221"/>
      <c r="LQ75" s="221"/>
      <c r="LR75" s="221"/>
      <c r="LS75" s="221"/>
      <c r="LT75" s="221"/>
      <c r="LU75" s="221"/>
      <c r="LV75" s="221"/>
      <c r="LW75" s="221"/>
      <c r="LX75" s="221"/>
      <c r="LY75" s="221"/>
      <c r="LZ75" s="221"/>
      <c r="MA75" s="221"/>
      <c r="MB75" s="221"/>
      <c r="MC75" s="221"/>
      <c r="MD75" s="221"/>
      <c r="ME75" s="221"/>
      <c r="MF75" s="221"/>
      <c r="MG75" s="221"/>
      <c r="MH75" s="221"/>
      <c r="MI75" s="221"/>
      <c r="MJ75" s="221"/>
      <c r="MK75" s="221"/>
      <c r="ML75" s="221"/>
      <c r="MM75" s="221"/>
      <c r="MN75" s="221"/>
      <c r="MO75" s="221"/>
      <c r="MP75" s="221"/>
      <c r="MQ75" s="221"/>
      <c r="MR75" s="221"/>
      <c r="MS75" s="221"/>
      <c r="MT75" s="221"/>
      <c r="MU75" s="221"/>
      <c r="MV75" s="221"/>
      <c r="MW75" s="221"/>
      <c r="MX75" s="221"/>
      <c r="MY75" s="221"/>
      <c r="MZ75" s="221"/>
      <c r="NA75" s="221"/>
      <c r="NB75" s="221"/>
      <c r="NC75" s="221"/>
      <c r="ND75" s="221"/>
      <c r="NE75" s="221"/>
      <c r="NF75" s="221"/>
      <c r="NG75" s="221"/>
      <c r="NH75" s="221"/>
      <c r="NI75" s="221"/>
      <c r="NJ75" s="221"/>
      <c r="NK75" s="221"/>
      <c r="NM75" s="195">
        <f t="shared" si="411"/>
        <v>0</v>
      </c>
      <c r="NN75" s="195">
        <f t="shared" si="412"/>
        <v>0</v>
      </c>
      <c r="NO75" s="195">
        <f t="shared" si="413"/>
        <v>0</v>
      </c>
      <c r="NP75" s="195">
        <f t="shared" si="414"/>
        <v>0</v>
      </c>
      <c r="NQ75" s="195">
        <f t="shared" si="415"/>
        <v>0</v>
      </c>
      <c r="NR75" s="195">
        <f t="shared" si="416"/>
        <v>0</v>
      </c>
      <c r="NS75" s="195">
        <f t="shared" si="417"/>
        <v>0</v>
      </c>
      <c r="NT75" s="195">
        <f t="shared" si="418"/>
        <v>0</v>
      </c>
      <c r="NU75" s="196">
        <f t="shared" si="419"/>
        <v>0</v>
      </c>
      <c r="NY75" s="215">
        <f t="shared" si="420"/>
        <v>1</v>
      </c>
      <c r="NZ75" s="222">
        <v>11025000</v>
      </c>
      <c r="OE75" s="207">
        <f t="shared" si="374"/>
        <v>0</v>
      </c>
      <c r="OF75" s="207">
        <f t="shared" si="375"/>
        <v>0</v>
      </c>
      <c r="OG75" s="207">
        <f t="shared" si="376"/>
        <v>0</v>
      </c>
      <c r="OH75" s="207">
        <f t="shared" si="421"/>
        <v>0</v>
      </c>
      <c r="OI75" s="207">
        <f t="shared" si="377"/>
        <v>0</v>
      </c>
      <c r="OJ75" s="199">
        <f t="shared" si="422"/>
        <v>0</v>
      </c>
      <c r="OK75" s="199">
        <f t="shared" si="423"/>
        <v>0</v>
      </c>
      <c r="OL75" s="199">
        <f t="shared" si="424"/>
        <v>0</v>
      </c>
      <c r="OM75" s="199">
        <f t="shared" si="425"/>
        <v>0</v>
      </c>
      <c r="OO75" s="207">
        <f t="shared" si="378"/>
        <v>0</v>
      </c>
      <c r="OP75" s="207">
        <f t="shared" si="379"/>
        <v>0</v>
      </c>
      <c r="OQ75" s="207">
        <f t="shared" si="426"/>
        <v>0</v>
      </c>
      <c r="OR75" s="207">
        <f t="shared" si="427"/>
        <v>0</v>
      </c>
      <c r="OS75" s="207">
        <f t="shared" si="428"/>
        <v>0</v>
      </c>
      <c r="OT75" s="199">
        <f t="shared" si="429"/>
        <v>0</v>
      </c>
      <c r="OU75" s="199">
        <f t="shared" si="430"/>
        <v>0</v>
      </c>
      <c r="OV75" s="199">
        <f t="shared" si="431"/>
        <v>0</v>
      </c>
      <c r="OW75" s="199">
        <f t="shared" si="432"/>
        <v>0</v>
      </c>
      <c r="OZ75" s="208">
        <f t="shared" si="380"/>
        <v>0</v>
      </c>
      <c r="PA75" s="209"/>
      <c r="PB75" s="209"/>
      <c r="PC75" s="209"/>
      <c r="PD75" s="210">
        <f t="shared" si="433"/>
        <v>0</v>
      </c>
      <c r="PE75" s="210"/>
      <c r="PF75" s="210">
        <f t="shared" si="434"/>
        <v>0</v>
      </c>
      <c r="PG75" s="210">
        <f t="shared" si="435"/>
        <v>0</v>
      </c>
      <c r="PH75" s="210">
        <f t="shared" si="381"/>
        <v>0</v>
      </c>
      <c r="PI75" s="210">
        <f t="shared" si="382"/>
        <v>0</v>
      </c>
      <c r="PJ75" s="210">
        <f t="shared" si="383"/>
        <v>0</v>
      </c>
      <c r="PK75" s="210">
        <f t="shared" si="384"/>
        <v>0</v>
      </c>
      <c r="PL75" s="210">
        <f t="shared" si="385"/>
        <v>0</v>
      </c>
      <c r="PM75" s="211"/>
      <c r="PN75" s="211"/>
      <c r="PO75" s="212">
        <f t="shared" si="436"/>
        <v>0</v>
      </c>
      <c r="PP75" s="212">
        <f t="shared" si="437"/>
        <v>0</v>
      </c>
      <c r="PQ75" s="212">
        <f t="shared" si="438"/>
        <v>0</v>
      </c>
      <c r="PR75" s="211"/>
      <c r="PS75" s="211"/>
      <c r="PT75" s="211"/>
      <c r="PU75" s="211"/>
    </row>
    <row r="76" spans="1:437 16383:16383" s="195" customFormat="1" ht="16" x14ac:dyDescent="0.2">
      <c r="A76" s="213">
        <f t="shared" si="206"/>
        <v>66</v>
      </c>
      <c r="B76" s="186" t="s">
        <v>401</v>
      </c>
      <c r="C76" s="186">
        <v>72</v>
      </c>
      <c r="D76" s="188">
        <v>1</v>
      </c>
      <c r="E76" s="188">
        <v>96</v>
      </c>
      <c r="F76" s="188">
        <v>1</v>
      </c>
      <c r="G76" s="188">
        <f t="shared" si="308"/>
        <v>96</v>
      </c>
      <c r="H76" s="214">
        <f t="shared" si="311"/>
        <v>1</v>
      </c>
      <c r="I76" s="214">
        <f t="shared" si="312"/>
        <v>1</v>
      </c>
      <c r="J76" s="188">
        <v>1</v>
      </c>
      <c r="K76" s="188">
        <f t="shared" si="313"/>
        <v>96</v>
      </c>
      <c r="L76" s="214">
        <f t="shared" si="314"/>
        <v>1</v>
      </c>
      <c r="M76" s="214">
        <f t="shared" si="315"/>
        <v>1</v>
      </c>
      <c r="N76" s="188">
        <v>1</v>
      </c>
      <c r="O76" s="188">
        <f t="shared" si="316"/>
        <v>96</v>
      </c>
      <c r="P76" s="214">
        <f t="shared" si="317"/>
        <v>1</v>
      </c>
      <c r="Q76" s="214">
        <f t="shared" si="318"/>
        <v>1</v>
      </c>
      <c r="R76" s="188">
        <v>1</v>
      </c>
      <c r="S76" s="188">
        <f t="shared" si="319"/>
        <v>96</v>
      </c>
      <c r="T76" s="214">
        <f t="shared" si="320"/>
        <v>1</v>
      </c>
      <c r="U76" s="214">
        <f t="shared" si="321"/>
        <v>1</v>
      </c>
      <c r="V76" s="215">
        <v>1</v>
      </c>
      <c r="W76" s="188">
        <f t="shared" si="322"/>
        <v>96</v>
      </c>
      <c r="X76" s="214">
        <f t="shared" si="323"/>
        <v>1</v>
      </c>
      <c r="Y76" s="214">
        <f t="shared" si="324"/>
        <v>1</v>
      </c>
      <c r="Z76" s="216">
        <f>1207913000/1000000000</f>
        <v>1.207913</v>
      </c>
      <c r="AA76" s="188">
        <v>0</v>
      </c>
      <c r="AB76" s="188">
        <f t="shared" si="339"/>
        <v>0</v>
      </c>
      <c r="AC76" s="214">
        <f t="shared" si="340"/>
        <v>0</v>
      </c>
      <c r="AD76" s="214">
        <f t="shared" si="341"/>
        <v>0</v>
      </c>
      <c r="AE76" s="188"/>
      <c r="AF76" s="188">
        <f t="shared" si="342"/>
        <v>0</v>
      </c>
      <c r="AG76" s="188"/>
      <c r="AH76" s="188"/>
      <c r="AI76" s="188">
        <v>0</v>
      </c>
      <c r="AJ76" s="188">
        <f t="shared" si="325"/>
        <v>0</v>
      </c>
      <c r="AK76" s="188"/>
      <c r="AL76" s="188">
        <v>0</v>
      </c>
      <c r="AM76" s="188">
        <v>0</v>
      </c>
      <c r="AN76" s="217"/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  <c r="AY76" s="188"/>
      <c r="AZ76" s="188"/>
      <c r="BA76" s="188"/>
      <c r="BB76" s="188">
        <f t="shared" si="343"/>
        <v>0</v>
      </c>
      <c r="BD76" s="196">
        <f t="shared" si="386"/>
        <v>0</v>
      </c>
      <c r="BE76" s="188">
        <f t="shared" si="326"/>
        <v>0</v>
      </c>
      <c r="BF76" s="188">
        <f t="shared" si="327"/>
        <v>0</v>
      </c>
      <c r="BG76" s="188">
        <f t="shared" si="328"/>
        <v>0</v>
      </c>
      <c r="BH76" s="188">
        <f t="shared" si="329"/>
        <v>0</v>
      </c>
      <c r="BI76" s="188">
        <f t="shared" si="330"/>
        <v>0</v>
      </c>
      <c r="BJ76" s="188">
        <f t="shared" si="331"/>
        <v>0</v>
      </c>
      <c r="BK76" s="188">
        <f t="shared" si="332"/>
        <v>0</v>
      </c>
      <c r="BN76" s="143"/>
      <c r="BO76" s="277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B76" s="188"/>
      <c r="CD76" s="188">
        <f t="shared" si="344"/>
        <v>0</v>
      </c>
      <c r="CE76" s="188">
        <f t="shared" si="345"/>
        <v>0</v>
      </c>
      <c r="CF76" s="188">
        <f t="shared" si="346"/>
        <v>0</v>
      </c>
      <c r="CG76" s="188">
        <f t="shared" si="347"/>
        <v>0</v>
      </c>
      <c r="CH76" s="188">
        <f t="shared" si="348"/>
        <v>0</v>
      </c>
      <c r="CI76" s="188">
        <f t="shared" si="349"/>
        <v>0</v>
      </c>
      <c r="CJ76" s="188">
        <f t="shared" si="350"/>
        <v>0</v>
      </c>
      <c r="CK76" s="188">
        <f t="shared" si="351"/>
        <v>0</v>
      </c>
      <c r="CL76" s="188">
        <f t="shared" si="352"/>
        <v>0</v>
      </c>
      <c r="CM76" s="188">
        <f t="shared" si="353"/>
        <v>0</v>
      </c>
      <c r="CN76" s="188">
        <f t="shared" si="354"/>
        <v>0</v>
      </c>
      <c r="CO76" s="188">
        <f t="shared" si="355"/>
        <v>0</v>
      </c>
      <c r="CP76" s="188">
        <f t="shared" si="356"/>
        <v>0</v>
      </c>
      <c r="DV76" s="188">
        <f t="shared" si="333"/>
        <v>0</v>
      </c>
      <c r="DW76" s="188">
        <f t="shared" si="334"/>
        <v>0</v>
      </c>
      <c r="DX76" s="188">
        <f t="shared" si="335"/>
        <v>0</v>
      </c>
      <c r="DY76" s="188">
        <f t="shared" si="336"/>
        <v>0</v>
      </c>
      <c r="DZ76" s="188">
        <f t="shared" si="337"/>
        <v>0</v>
      </c>
      <c r="EA76" s="188">
        <f t="shared" si="338"/>
        <v>0</v>
      </c>
      <c r="EB76" s="188">
        <f t="shared" si="357"/>
        <v>0</v>
      </c>
      <c r="EG76" s="220">
        <f t="shared" si="358"/>
        <v>0</v>
      </c>
      <c r="EH76" s="220">
        <f t="shared" si="359"/>
        <v>0</v>
      </c>
      <c r="EI76" s="188"/>
      <c r="EJ76" s="188"/>
      <c r="EK76" s="188"/>
      <c r="EL76" s="188"/>
      <c r="EM76" s="188"/>
      <c r="EN76" s="188"/>
      <c r="EO76" s="188"/>
      <c r="EP76" s="188"/>
      <c r="EQ76" s="188"/>
      <c r="ER76" s="188"/>
      <c r="ES76" s="188"/>
      <c r="ET76" s="188"/>
      <c r="EU76" s="188"/>
      <c r="EV76" s="188"/>
      <c r="EW76" s="188"/>
      <c r="EX76" s="188"/>
      <c r="EY76" s="188"/>
      <c r="EZ76" s="188"/>
      <c r="FA76" s="188"/>
      <c r="FB76" s="188"/>
      <c r="FC76" s="188"/>
      <c r="FD76" s="188"/>
      <c r="FE76" s="188"/>
      <c r="FF76" s="188"/>
      <c r="FH76" s="189"/>
      <c r="FI76" s="189"/>
      <c r="FJ76" s="189"/>
      <c r="FK76" s="189"/>
      <c r="FL76" s="189"/>
      <c r="FM76" s="189"/>
      <c r="FN76" s="189"/>
      <c r="FO76" s="189"/>
      <c r="FP76" s="189"/>
      <c r="FQ76" s="189"/>
      <c r="FR76" s="189"/>
      <c r="FS76" s="189"/>
      <c r="FT76" s="189"/>
      <c r="FU76" s="189"/>
      <c r="FV76" s="189"/>
      <c r="FX76" s="217"/>
      <c r="FY76" s="188">
        <f t="shared" si="360"/>
        <v>0</v>
      </c>
      <c r="FZ76" s="188">
        <f t="shared" si="439"/>
        <v>0</v>
      </c>
      <c r="GA76" s="188">
        <f t="shared" si="440"/>
        <v>0</v>
      </c>
      <c r="GB76" s="188">
        <f t="shared" si="441"/>
        <v>0</v>
      </c>
      <c r="GC76" s="188">
        <f t="shared" si="442"/>
        <v>0</v>
      </c>
      <c r="GD76" s="188">
        <f t="shared" si="443"/>
        <v>0</v>
      </c>
      <c r="GE76" s="188">
        <f t="shared" si="444"/>
        <v>0</v>
      </c>
      <c r="GF76" s="199"/>
      <c r="GG76" s="189">
        <v>0</v>
      </c>
      <c r="GH76" s="189">
        <v>0</v>
      </c>
      <c r="GI76" s="199"/>
      <c r="GJ76" s="200">
        <f t="shared" si="361"/>
        <v>0</v>
      </c>
      <c r="GK76" s="200">
        <f t="shared" si="362"/>
        <v>0</v>
      </c>
      <c r="GO76" s="189">
        <f t="shared" si="445"/>
        <v>0</v>
      </c>
      <c r="GP76" s="189">
        <f t="shared" si="446"/>
        <v>0</v>
      </c>
      <c r="GQ76" s="189">
        <f t="shared" si="447"/>
        <v>0</v>
      </c>
      <c r="GR76" s="189">
        <f t="shared" si="448"/>
        <v>0</v>
      </c>
      <c r="GS76" s="189">
        <f t="shared" si="449"/>
        <v>0</v>
      </c>
      <c r="GT76" s="189">
        <f t="shared" si="387"/>
        <v>1</v>
      </c>
      <c r="GU76" s="201">
        <f t="shared" si="388"/>
        <v>43243</v>
      </c>
      <c r="GV76" s="189" t="str">
        <f t="shared" si="389"/>
        <v>SELESAI</v>
      </c>
      <c r="GW76" s="189">
        <f t="shared" si="390"/>
        <v>0</v>
      </c>
      <c r="GX76" s="202" t="str">
        <f t="shared" si="391"/>
        <v>SELESAI</v>
      </c>
      <c r="GY76" s="202">
        <f t="shared" si="392"/>
        <v>0</v>
      </c>
      <c r="GZ76" s="203" t="str">
        <f t="shared" si="393"/>
        <v>SELESAI</v>
      </c>
      <c r="HA76" s="204"/>
      <c r="HB76" s="204"/>
      <c r="HC76" s="189">
        <f t="shared" si="450"/>
        <v>0</v>
      </c>
      <c r="HD76" s="189">
        <f t="shared" si="451"/>
        <v>0</v>
      </c>
      <c r="HE76" s="189">
        <f t="shared" si="394"/>
        <v>0</v>
      </c>
      <c r="HF76" s="189">
        <f t="shared" si="395"/>
        <v>0</v>
      </c>
      <c r="HG76" s="189">
        <f t="shared" si="396"/>
        <v>0</v>
      </c>
      <c r="HH76" s="201" t="str">
        <f t="shared" si="363"/>
        <v>TIDAK KONSINYASI</v>
      </c>
      <c r="HI76" s="201" t="str">
        <f t="shared" si="397"/>
        <v>SELESAI</v>
      </c>
      <c r="HJ76" s="205"/>
      <c r="HK76" s="201">
        <f t="shared" si="364"/>
        <v>0</v>
      </c>
      <c r="HL76" s="204"/>
      <c r="HM76" s="204"/>
      <c r="HN76" s="204"/>
      <c r="HO76" s="204"/>
      <c r="HP76" s="203">
        <f t="shared" si="398"/>
        <v>0</v>
      </c>
      <c r="HQ76" s="202">
        <f t="shared" si="399"/>
        <v>0</v>
      </c>
      <c r="HR76" s="202">
        <f t="shared" si="452"/>
        <v>0</v>
      </c>
      <c r="HS76" s="203">
        <f t="shared" si="400"/>
        <v>0</v>
      </c>
      <c r="HT76" s="202">
        <f t="shared" si="401"/>
        <v>0</v>
      </c>
      <c r="HU76" s="202">
        <f t="shared" si="453"/>
        <v>0</v>
      </c>
      <c r="HV76" s="203">
        <f t="shared" si="402"/>
        <v>0</v>
      </c>
      <c r="HW76" s="202">
        <f t="shared" si="403"/>
        <v>0</v>
      </c>
      <c r="HX76" s="202">
        <f t="shared" si="454"/>
        <v>0</v>
      </c>
      <c r="HY76" s="203">
        <f t="shared" si="365"/>
        <v>0</v>
      </c>
      <c r="HZ76" s="202">
        <f t="shared" si="404"/>
        <v>0</v>
      </c>
      <c r="IA76" s="202">
        <f t="shared" si="455"/>
        <v>0</v>
      </c>
      <c r="IB76" s="203">
        <f t="shared" si="405"/>
        <v>0</v>
      </c>
      <c r="IC76" s="202">
        <f t="shared" si="366"/>
        <v>0</v>
      </c>
      <c r="ID76" s="202">
        <f t="shared" si="456"/>
        <v>0</v>
      </c>
      <c r="IE76" s="203">
        <f t="shared" si="367"/>
        <v>0</v>
      </c>
      <c r="IF76" s="202">
        <f t="shared" si="368"/>
        <v>0</v>
      </c>
      <c r="IG76" s="202">
        <f t="shared" si="457"/>
        <v>0</v>
      </c>
      <c r="IH76" s="203">
        <f t="shared" si="406"/>
        <v>0</v>
      </c>
      <c r="II76" s="202">
        <f t="shared" si="407"/>
        <v>0</v>
      </c>
      <c r="IJ76" s="202">
        <f t="shared" si="458"/>
        <v>0</v>
      </c>
      <c r="IK76" s="203">
        <f t="shared" si="369"/>
        <v>0</v>
      </c>
      <c r="IL76" s="202">
        <f t="shared" si="370"/>
        <v>0</v>
      </c>
      <c r="IM76" s="202">
        <f t="shared" si="459"/>
        <v>0</v>
      </c>
      <c r="IN76" s="204"/>
      <c r="IO76" s="203">
        <f t="shared" si="371"/>
        <v>0</v>
      </c>
      <c r="IP76" s="202">
        <f t="shared" si="460"/>
        <v>0</v>
      </c>
      <c r="IQ76" s="202">
        <f t="shared" si="461"/>
        <v>0</v>
      </c>
      <c r="IR76" s="204"/>
      <c r="IS76" s="203"/>
      <c r="IT76" s="202">
        <f t="shared" si="462"/>
        <v>1</v>
      </c>
      <c r="IU76" s="202">
        <f t="shared" si="463"/>
        <v>96</v>
      </c>
      <c r="IV76" s="204"/>
      <c r="IW76" s="203"/>
      <c r="IX76" s="202">
        <f t="shared" si="464"/>
        <v>0</v>
      </c>
      <c r="IY76" s="202">
        <f t="shared" si="465"/>
        <v>0</v>
      </c>
      <c r="IZ76" s="204"/>
      <c r="JA76" s="203"/>
      <c r="JB76" s="202">
        <f t="shared" si="466"/>
        <v>0</v>
      </c>
      <c r="JC76" s="202">
        <f t="shared" si="467"/>
        <v>0</v>
      </c>
      <c r="JD76" s="204"/>
      <c r="JE76" s="203"/>
      <c r="JF76" s="202">
        <f t="shared" si="408"/>
        <v>1</v>
      </c>
      <c r="JG76" s="202">
        <f t="shared" si="408"/>
        <v>96</v>
      </c>
      <c r="JH76" s="204"/>
      <c r="JI76" s="203"/>
      <c r="JJ76" s="202">
        <f t="shared" si="468"/>
        <v>0</v>
      </c>
      <c r="JK76" s="202">
        <f t="shared" si="469"/>
        <v>0</v>
      </c>
      <c r="JM76" s="203">
        <f t="shared" si="409"/>
        <v>0</v>
      </c>
      <c r="JO76" s="196">
        <f t="shared" si="372"/>
        <v>0</v>
      </c>
      <c r="JP76" s="189">
        <f t="shared" si="470"/>
        <v>0</v>
      </c>
      <c r="JQ76" s="189">
        <f t="shared" si="471"/>
        <v>0</v>
      </c>
      <c r="JR76" s="189">
        <f t="shared" si="472"/>
        <v>0</v>
      </c>
      <c r="JS76" s="189">
        <f t="shared" si="473"/>
        <v>0</v>
      </c>
      <c r="JT76" s="189">
        <f t="shared" si="474"/>
        <v>0</v>
      </c>
      <c r="JU76" s="189">
        <f t="shared" si="475"/>
        <v>0</v>
      </c>
      <c r="JV76" s="189">
        <f t="shared" si="476"/>
        <v>0</v>
      </c>
      <c r="JW76" s="189">
        <f t="shared" si="477"/>
        <v>0</v>
      </c>
      <c r="JX76" s="189">
        <f t="shared" si="478"/>
        <v>0</v>
      </c>
      <c r="JY76" s="189">
        <f t="shared" si="479"/>
        <v>0</v>
      </c>
      <c r="JZ76" s="189">
        <f t="shared" si="480"/>
        <v>0</v>
      </c>
      <c r="KA76" s="189">
        <f t="shared" si="481"/>
        <v>0</v>
      </c>
      <c r="KB76" s="189">
        <f t="shared" si="482"/>
        <v>0</v>
      </c>
      <c r="KD76" s="206">
        <f t="shared" si="410"/>
        <v>0</v>
      </c>
      <c r="KE76" s="206">
        <f t="shared" si="373"/>
        <v>0</v>
      </c>
      <c r="KF76" s="206">
        <f t="shared" si="483"/>
        <v>0</v>
      </c>
      <c r="KG76" s="206">
        <f t="shared" si="484"/>
        <v>0</v>
      </c>
      <c r="KH76" s="206">
        <f t="shared" si="485"/>
        <v>0</v>
      </c>
      <c r="KI76" s="206">
        <f t="shared" si="486"/>
        <v>0</v>
      </c>
      <c r="KJ76" s="206">
        <f t="shared" si="487"/>
        <v>0</v>
      </c>
      <c r="KK76" s="206">
        <f t="shared" si="488"/>
        <v>0</v>
      </c>
      <c r="KL76" s="206">
        <f t="shared" si="489"/>
        <v>0</v>
      </c>
      <c r="KM76" s="206">
        <f t="shared" si="490"/>
        <v>0</v>
      </c>
      <c r="KN76" s="221">
        <f t="shared" si="491"/>
        <v>0</v>
      </c>
      <c r="KO76" s="221">
        <f t="shared" si="492"/>
        <v>0</v>
      </c>
      <c r="KP76" s="221">
        <f t="shared" si="493"/>
        <v>0</v>
      </c>
      <c r="KQ76" s="221">
        <f t="shared" si="494"/>
        <v>0</v>
      </c>
      <c r="KR76" s="221">
        <f t="shared" si="495"/>
        <v>0</v>
      </c>
      <c r="KT76" s="195">
        <f t="shared" si="496"/>
        <v>0</v>
      </c>
      <c r="KU76" s="221"/>
      <c r="KV76" s="221"/>
      <c r="KW76" s="221"/>
      <c r="KX76" s="221"/>
      <c r="KY76" s="221"/>
      <c r="KZ76" s="221"/>
      <c r="LA76" s="221"/>
      <c r="LB76" s="221"/>
      <c r="LC76" s="221"/>
      <c r="LD76" s="221"/>
      <c r="LE76" s="221"/>
      <c r="LF76" s="221"/>
      <c r="LG76" s="221"/>
      <c r="LH76" s="221"/>
      <c r="LI76" s="221"/>
      <c r="LJ76" s="221"/>
      <c r="LK76" s="221"/>
      <c r="LL76" s="221"/>
      <c r="LM76" s="221"/>
      <c r="LN76" s="221"/>
      <c r="LO76" s="221"/>
      <c r="LP76" s="221"/>
      <c r="LQ76" s="221"/>
      <c r="LR76" s="221"/>
      <c r="LS76" s="221"/>
      <c r="LT76" s="221"/>
      <c r="LU76" s="221"/>
      <c r="LV76" s="221"/>
      <c r="LW76" s="221"/>
      <c r="LX76" s="221"/>
      <c r="LY76" s="221"/>
      <c r="LZ76" s="221"/>
      <c r="MA76" s="221"/>
      <c r="MB76" s="221"/>
      <c r="MC76" s="221"/>
      <c r="MD76" s="221"/>
      <c r="ME76" s="221"/>
      <c r="MF76" s="221"/>
      <c r="MG76" s="221"/>
      <c r="MH76" s="221"/>
      <c r="MI76" s="221"/>
      <c r="MJ76" s="221"/>
      <c r="MK76" s="221"/>
      <c r="ML76" s="221"/>
      <c r="MM76" s="221"/>
      <c r="MN76" s="221"/>
      <c r="MO76" s="221"/>
      <c r="MP76" s="221"/>
      <c r="MQ76" s="221"/>
      <c r="MR76" s="221"/>
      <c r="MS76" s="221"/>
      <c r="MT76" s="221"/>
      <c r="MU76" s="221"/>
      <c r="MV76" s="221"/>
      <c r="MW76" s="221"/>
      <c r="MX76" s="221"/>
      <c r="MY76" s="221"/>
      <c r="MZ76" s="221"/>
      <c r="NA76" s="221"/>
      <c r="NB76" s="221"/>
      <c r="NC76" s="221"/>
      <c r="ND76" s="221"/>
      <c r="NE76" s="221"/>
      <c r="NF76" s="221"/>
      <c r="NG76" s="221"/>
      <c r="NH76" s="221"/>
      <c r="NI76" s="221"/>
      <c r="NJ76" s="221"/>
      <c r="NK76" s="221"/>
      <c r="NM76" s="195">
        <f t="shared" si="411"/>
        <v>0</v>
      </c>
      <c r="NN76" s="195">
        <f t="shared" si="412"/>
        <v>0</v>
      </c>
      <c r="NO76" s="195">
        <f t="shared" si="413"/>
        <v>0</v>
      </c>
      <c r="NP76" s="195">
        <f t="shared" si="414"/>
        <v>0</v>
      </c>
      <c r="NQ76" s="195">
        <f t="shared" si="415"/>
        <v>0</v>
      </c>
      <c r="NR76" s="195">
        <f t="shared" si="416"/>
        <v>0</v>
      </c>
      <c r="NS76" s="195">
        <f t="shared" si="417"/>
        <v>0</v>
      </c>
      <c r="NT76" s="195">
        <f t="shared" si="418"/>
        <v>0</v>
      </c>
      <c r="NU76" s="196">
        <f t="shared" si="419"/>
        <v>0</v>
      </c>
      <c r="NY76" s="215">
        <f t="shared" si="420"/>
        <v>1</v>
      </c>
      <c r="NZ76" s="222">
        <v>11025000</v>
      </c>
      <c r="OE76" s="207">
        <f t="shared" si="374"/>
        <v>0</v>
      </c>
      <c r="OF76" s="207">
        <f t="shared" si="375"/>
        <v>0</v>
      </c>
      <c r="OG76" s="207">
        <f t="shared" si="376"/>
        <v>0</v>
      </c>
      <c r="OH76" s="207">
        <f t="shared" si="421"/>
        <v>0</v>
      </c>
      <c r="OI76" s="207">
        <f t="shared" si="377"/>
        <v>0</v>
      </c>
      <c r="OJ76" s="199">
        <f t="shared" si="422"/>
        <v>0</v>
      </c>
      <c r="OK76" s="199">
        <f t="shared" si="423"/>
        <v>0</v>
      </c>
      <c r="OL76" s="199">
        <f t="shared" si="424"/>
        <v>0</v>
      </c>
      <c r="OM76" s="199">
        <f t="shared" si="425"/>
        <v>0</v>
      </c>
      <c r="OO76" s="207">
        <f t="shared" si="378"/>
        <v>0</v>
      </c>
      <c r="OP76" s="207">
        <f t="shared" si="379"/>
        <v>0</v>
      </c>
      <c r="OQ76" s="207">
        <f t="shared" si="426"/>
        <v>0</v>
      </c>
      <c r="OR76" s="207">
        <f t="shared" si="427"/>
        <v>0</v>
      </c>
      <c r="OS76" s="207">
        <f t="shared" si="428"/>
        <v>0</v>
      </c>
      <c r="OT76" s="199">
        <f t="shared" si="429"/>
        <v>0</v>
      </c>
      <c r="OU76" s="199">
        <f t="shared" si="430"/>
        <v>0</v>
      </c>
      <c r="OV76" s="199">
        <f t="shared" si="431"/>
        <v>0</v>
      </c>
      <c r="OW76" s="199">
        <f t="shared" si="432"/>
        <v>0</v>
      </c>
      <c r="OZ76" s="208">
        <f t="shared" si="380"/>
        <v>0</v>
      </c>
      <c r="PA76" s="209"/>
      <c r="PB76" s="209"/>
      <c r="PC76" s="209"/>
      <c r="PD76" s="210">
        <f t="shared" si="433"/>
        <v>0</v>
      </c>
      <c r="PE76" s="210"/>
      <c r="PF76" s="210">
        <f t="shared" si="434"/>
        <v>0</v>
      </c>
      <c r="PG76" s="210">
        <f t="shared" si="435"/>
        <v>0</v>
      </c>
      <c r="PH76" s="210">
        <f t="shared" si="381"/>
        <v>0</v>
      </c>
      <c r="PI76" s="210">
        <f t="shared" si="382"/>
        <v>0</v>
      </c>
      <c r="PJ76" s="210">
        <f t="shared" si="383"/>
        <v>0</v>
      </c>
      <c r="PK76" s="210">
        <f t="shared" si="384"/>
        <v>0</v>
      </c>
      <c r="PL76" s="210">
        <f t="shared" si="385"/>
        <v>0</v>
      </c>
      <c r="PM76" s="211"/>
      <c r="PN76" s="211"/>
      <c r="PO76" s="212">
        <f t="shared" si="436"/>
        <v>0</v>
      </c>
      <c r="PP76" s="212">
        <f t="shared" si="437"/>
        <v>0</v>
      </c>
      <c r="PQ76" s="212">
        <f t="shared" si="438"/>
        <v>0</v>
      </c>
      <c r="PR76" s="211"/>
      <c r="PS76" s="211"/>
      <c r="PT76" s="211"/>
      <c r="PU76" s="211"/>
    </row>
    <row r="77" spans="1:437 16383:16383" s="195" customFormat="1" ht="16" x14ac:dyDescent="0.2">
      <c r="A77" s="213">
        <f t="shared" si="206"/>
        <v>67</v>
      </c>
      <c r="B77" s="186" t="s">
        <v>409</v>
      </c>
      <c r="C77" s="186">
        <v>73</v>
      </c>
      <c r="D77" s="188">
        <v>1</v>
      </c>
      <c r="E77" s="188">
        <v>167</v>
      </c>
      <c r="F77" s="188">
        <v>1</v>
      </c>
      <c r="G77" s="188">
        <f t="shared" si="308"/>
        <v>167</v>
      </c>
      <c r="H77" s="214">
        <f t="shared" si="311"/>
        <v>1</v>
      </c>
      <c r="I77" s="214">
        <f t="shared" si="312"/>
        <v>1</v>
      </c>
      <c r="J77" s="188">
        <v>1</v>
      </c>
      <c r="K77" s="188">
        <f t="shared" si="313"/>
        <v>167</v>
      </c>
      <c r="L77" s="214">
        <f t="shared" si="314"/>
        <v>1</v>
      </c>
      <c r="M77" s="214">
        <f t="shared" si="315"/>
        <v>1</v>
      </c>
      <c r="N77" s="188">
        <v>1</v>
      </c>
      <c r="O77" s="188">
        <f t="shared" si="316"/>
        <v>167</v>
      </c>
      <c r="P77" s="214">
        <f t="shared" si="317"/>
        <v>1</v>
      </c>
      <c r="Q77" s="214">
        <f t="shared" si="318"/>
        <v>1</v>
      </c>
      <c r="R77" s="188">
        <v>1</v>
      </c>
      <c r="S77" s="188">
        <f t="shared" si="319"/>
        <v>167</v>
      </c>
      <c r="T77" s="214">
        <f t="shared" si="320"/>
        <v>1</v>
      </c>
      <c r="U77" s="214">
        <f t="shared" si="321"/>
        <v>1</v>
      </c>
      <c r="V77" s="215">
        <v>1</v>
      </c>
      <c r="W77" s="188">
        <f t="shared" si="322"/>
        <v>167</v>
      </c>
      <c r="X77" s="214">
        <f t="shared" si="323"/>
        <v>1</v>
      </c>
      <c r="Y77" s="214">
        <f t="shared" si="324"/>
        <v>1</v>
      </c>
      <c r="Z77" s="216">
        <f>3034589000/1000000000</f>
        <v>3.034589</v>
      </c>
      <c r="AA77" s="188">
        <v>0</v>
      </c>
      <c r="AB77" s="188">
        <f t="shared" si="339"/>
        <v>0</v>
      </c>
      <c r="AC77" s="214">
        <f t="shared" si="340"/>
        <v>0</v>
      </c>
      <c r="AD77" s="214">
        <f t="shared" si="341"/>
        <v>0</v>
      </c>
      <c r="AE77" s="188"/>
      <c r="AF77" s="188">
        <f t="shared" si="342"/>
        <v>0</v>
      </c>
      <c r="AG77" s="188"/>
      <c r="AH77" s="188"/>
      <c r="AI77" s="188">
        <v>0</v>
      </c>
      <c r="AJ77" s="188">
        <f t="shared" si="325"/>
        <v>0</v>
      </c>
      <c r="AK77" s="188"/>
      <c r="AL77" s="188">
        <v>0</v>
      </c>
      <c r="AM77" s="188">
        <v>0</v>
      </c>
      <c r="AN77" s="217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8"/>
      <c r="BA77" s="188"/>
      <c r="BB77" s="188">
        <f t="shared" si="343"/>
        <v>0</v>
      </c>
      <c r="BD77" s="196">
        <f t="shared" si="386"/>
        <v>0</v>
      </c>
      <c r="BE77" s="188">
        <f t="shared" si="326"/>
        <v>0</v>
      </c>
      <c r="BF77" s="188">
        <f t="shared" si="327"/>
        <v>0</v>
      </c>
      <c r="BG77" s="188">
        <f t="shared" si="328"/>
        <v>0</v>
      </c>
      <c r="BH77" s="188">
        <f t="shared" si="329"/>
        <v>0</v>
      </c>
      <c r="BI77" s="188">
        <f t="shared" si="330"/>
        <v>0</v>
      </c>
      <c r="BJ77" s="188">
        <f t="shared" si="331"/>
        <v>0</v>
      </c>
      <c r="BK77" s="188">
        <f t="shared" si="332"/>
        <v>0</v>
      </c>
      <c r="BN77" s="143"/>
      <c r="BO77" s="277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B77" s="188"/>
      <c r="CD77" s="188">
        <f t="shared" si="344"/>
        <v>0</v>
      </c>
      <c r="CE77" s="188">
        <f t="shared" si="345"/>
        <v>0</v>
      </c>
      <c r="CF77" s="188">
        <f t="shared" si="346"/>
        <v>0</v>
      </c>
      <c r="CG77" s="188">
        <f t="shared" si="347"/>
        <v>0</v>
      </c>
      <c r="CH77" s="188">
        <f t="shared" si="348"/>
        <v>0</v>
      </c>
      <c r="CI77" s="188">
        <f t="shared" si="349"/>
        <v>0</v>
      </c>
      <c r="CJ77" s="188">
        <f t="shared" si="350"/>
        <v>0</v>
      </c>
      <c r="CK77" s="188">
        <f t="shared" si="351"/>
        <v>0</v>
      </c>
      <c r="CL77" s="188">
        <f t="shared" si="352"/>
        <v>0</v>
      </c>
      <c r="CM77" s="188">
        <f t="shared" si="353"/>
        <v>0</v>
      </c>
      <c r="CN77" s="188">
        <f t="shared" si="354"/>
        <v>0</v>
      </c>
      <c r="CO77" s="188">
        <f t="shared" si="355"/>
        <v>0</v>
      </c>
      <c r="CP77" s="188">
        <f t="shared" si="356"/>
        <v>0</v>
      </c>
      <c r="DV77" s="188">
        <f t="shared" si="333"/>
        <v>0</v>
      </c>
      <c r="DW77" s="188">
        <f t="shared" si="334"/>
        <v>0</v>
      </c>
      <c r="DX77" s="188">
        <f t="shared" si="335"/>
        <v>0</v>
      </c>
      <c r="DY77" s="188">
        <f t="shared" si="336"/>
        <v>0</v>
      </c>
      <c r="DZ77" s="188">
        <f t="shared" si="337"/>
        <v>0</v>
      </c>
      <c r="EA77" s="188">
        <f t="shared" si="338"/>
        <v>0</v>
      </c>
      <c r="EB77" s="188">
        <f t="shared" si="357"/>
        <v>0</v>
      </c>
      <c r="EG77" s="220">
        <f t="shared" si="358"/>
        <v>0</v>
      </c>
      <c r="EH77" s="220">
        <f t="shared" si="359"/>
        <v>0</v>
      </c>
      <c r="EI77" s="188"/>
      <c r="EJ77" s="188"/>
      <c r="EK77" s="188"/>
      <c r="EL77" s="188"/>
      <c r="EM77" s="188"/>
      <c r="EN77" s="188"/>
      <c r="EO77" s="188"/>
      <c r="EP77" s="188"/>
      <c r="EQ77" s="188"/>
      <c r="ER77" s="188"/>
      <c r="ES77" s="188"/>
      <c r="ET77" s="188"/>
      <c r="EU77" s="188"/>
      <c r="EV77" s="188"/>
      <c r="EW77" s="188"/>
      <c r="EX77" s="188"/>
      <c r="EY77" s="188"/>
      <c r="EZ77" s="188"/>
      <c r="FA77" s="188"/>
      <c r="FB77" s="188"/>
      <c r="FC77" s="188"/>
      <c r="FD77" s="188"/>
      <c r="FE77" s="188"/>
      <c r="FF77" s="188"/>
      <c r="FH77" s="189"/>
      <c r="FI77" s="189"/>
      <c r="FJ77" s="189"/>
      <c r="FK77" s="189"/>
      <c r="FL77" s="189"/>
      <c r="FM77" s="189"/>
      <c r="FN77" s="189"/>
      <c r="FO77" s="189"/>
      <c r="FP77" s="189"/>
      <c r="FQ77" s="189"/>
      <c r="FR77" s="189"/>
      <c r="FS77" s="189"/>
      <c r="FT77" s="189"/>
      <c r="FU77" s="189"/>
      <c r="FV77" s="189"/>
      <c r="FX77" s="217"/>
      <c r="FY77" s="188">
        <f t="shared" si="360"/>
        <v>0</v>
      </c>
      <c r="FZ77" s="188">
        <f t="shared" si="439"/>
        <v>0</v>
      </c>
      <c r="GA77" s="188">
        <f t="shared" si="440"/>
        <v>0</v>
      </c>
      <c r="GB77" s="188">
        <f t="shared" si="441"/>
        <v>0</v>
      </c>
      <c r="GC77" s="188">
        <f t="shared" si="442"/>
        <v>0</v>
      </c>
      <c r="GD77" s="188">
        <f t="shared" si="443"/>
        <v>0</v>
      </c>
      <c r="GE77" s="188">
        <f t="shared" si="444"/>
        <v>0</v>
      </c>
      <c r="GF77" s="199"/>
      <c r="GG77" s="189">
        <v>0</v>
      </c>
      <c r="GH77" s="189">
        <v>0</v>
      </c>
      <c r="GI77" s="199"/>
      <c r="GJ77" s="200">
        <f t="shared" si="361"/>
        <v>0</v>
      </c>
      <c r="GK77" s="200">
        <f t="shared" si="362"/>
        <v>0</v>
      </c>
      <c r="GO77" s="189">
        <f t="shared" si="445"/>
        <v>0</v>
      </c>
      <c r="GP77" s="189">
        <f t="shared" si="446"/>
        <v>0</v>
      </c>
      <c r="GQ77" s="189">
        <f t="shared" si="447"/>
        <v>0</v>
      </c>
      <c r="GR77" s="189">
        <f t="shared" si="448"/>
        <v>0</v>
      </c>
      <c r="GS77" s="189">
        <f t="shared" si="449"/>
        <v>0</v>
      </c>
      <c r="GT77" s="189">
        <f t="shared" si="387"/>
        <v>1</v>
      </c>
      <c r="GU77" s="201">
        <f t="shared" si="388"/>
        <v>43243</v>
      </c>
      <c r="GV77" s="189" t="str">
        <f t="shared" si="389"/>
        <v>SELESAI</v>
      </c>
      <c r="GW77" s="189">
        <f t="shared" si="390"/>
        <v>0</v>
      </c>
      <c r="GX77" s="202" t="str">
        <f t="shared" si="391"/>
        <v>SELESAI</v>
      </c>
      <c r="GY77" s="202">
        <f t="shared" si="392"/>
        <v>0</v>
      </c>
      <c r="GZ77" s="203" t="str">
        <f t="shared" si="393"/>
        <v>SELESAI</v>
      </c>
      <c r="HA77" s="204"/>
      <c r="HB77" s="204"/>
      <c r="HC77" s="189">
        <f t="shared" si="450"/>
        <v>0</v>
      </c>
      <c r="HD77" s="189">
        <f t="shared" si="451"/>
        <v>0</v>
      </c>
      <c r="HE77" s="189">
        <f t="shared" si="394"/>
        <v>0</v>
      </c>
      <c r="HF77" s="189">
        <f t="shared" si="395"/>
        <v>0</v>
      </c>
      <c r="HG77" s="189">
        <f t="shared" si="396"/>
        <v>0</v>
      </c>
      <c r="HH77" s="201" t="str">
        <f t="shared" si="363"/>
        <v>TIDAK KONSINYASI</v>
      </c>
      <c r="HI77" s="201" t="str">
        <f t="shared" si="397"/>
        <v>SELESAI</v>
      </c>
      <c r="HJ77" s="205"/>
      <c r="HK77" s="201">
        <f t="shared" si="364"/>
        <v>0</v>
      </c>
      <c r="HL77" s="204"/>
      <c r="HM77" s="204"/>
      <c r="HN77" s="204"/>
      <c r="HO77" s="204"/>
      <c r="HP77" s="203">
        <f t="shared" si="398"/>
        <v>0</v>
      </c>
      <c r="HQ77" s="202">
        <f t="shared" si="399"/>
        <v>0</v>
      </c>
      <c r="HR77" s="202">
        <f t="shared" si="452"/>
        <v>0</v>
      </c>
      <c r="HS77" s="203">
        <f t="shared" si="400"/>
        <v>0</v>
      </c>
      <c r="HT77" s="202">
        <f t="shared" si="401"/>
        <v>0</v>
      </c>
      <c r="HU77" s="202">
        <f t="shared" si="453"/>
        <v>0</v>
      </c>
      <c r="HV77" s="203">
        <f t="shared" si="402"/>
        <v>0</v>
      </c>
      <c r="HW77" s="202">
        <f t="shared" si="403"/>
        <v>0</v>
      </c>
      <c r="HX77" s="202">
        <f t="shared" si="454"/>
        <v>0</v>
      </c>
      <c r="HY77" s="203">
        <f t="shared" si="365"/>
        <v>0</v>
      </c>
      <c r="HZ77" s="202">
        <f t="shared" si="404"/>
        <v>0</v>
      </c>
      <c r="IA77" s="202">
        <f t="shared" si="455"/>
        <v>0</v>
      </c>
      <c r="IB77" s="203">
        <f t="shared" si="405"/>
        <v>0</v>
      </c>
      <c r="IC77" s="202">
        <f t="shared" si="366"/>
        <v>0</v>
      </c>
      <c r="ID77" s="202">
        <f t="shared" si="456"/>
        <v>0</v>
      </c>
      <c r="IE77" s="203">
        <f t="shared" si="367"/>
        <v>0</v>
      </c>
      <c r="IF77" s="202">
        <f t="shared" si="368"/>
        <v>0</v>
      </c>
      <c r="IG77" s="202">
        <f t="shared" si="457"/>
        <v>0</v>
      </c>
      <c r="IH77" s="203">
        <f t="shared" si="406"/>
        <v>0</v>
      </c>
      <c r="II77" s="202">
        <f t="shared" si="407"/>
        <v>0</v>
      </c>
      <c r="IJ77" s="202">
        <f t="shared" si="458"/>
        <v>0</v>
      </c>
      <c r="IK77" s="203">
        <f t="shared" si="369"/>
        <v>0</v>
      </c>
      <c r="IL77" s="202">
        <f t="shared" si="370"/>
        <v>0</v>
      </c>
      <c r="IM77" s="202">
        <f t="shared" si="459"/>
        <v>0</v>
      </c>
      <c r="IN77" s="204"/>
      <c r="IO77" s="203">
        <f t="shared" si="371"/>
        <v>0</v>
      </c>
      <c r="IP77" s="202">
        <f t="shared" si="460"/>
        <v>0</v>
      </c>
      <c r="IQ77" s="202">
        <f t="shared" si="461"/>
        <v>0</v>
      </c>
      <c r="IR77" s="204"/>
      <c r="IS77" s="203"/>
      <c r="IT77" s="202">
        <f t="shared" si="462"/>
        <v>1</v>
      </c>
      <c r="IU77" s="202">
        <f t="shared" si="463"/>
        <v>167</v>
      </c>
      <c r="IV77" s="204"/>
      <c r="IW77" s="203"/>
      <c r="IX77" s="202">
        <f t="shared" si="464"/>
        <v>0</v>
      </c>
      <c r="IY77" s="202">
        <f t="shared" si="465"/>
        <v>0</v>
      </c>
      <c r="IZ77" s="204"/>
      <c r="JA77" s="203"/>
      <c r="JB77" s="202">
        <f t="shared" si="466"/>
        <v>0</v>
      </c>
      <c r="JC77" s="202">
        <f t="shared" si="467"/>
        <v>0</v>
      </c>
      <c r="JD77" s="204"/>
      <c r="JE77" s="203"/>
      <c r="JF77" s="202">
        <f t="shared" si="408"/>
        <v>1</v>
      </c>
      <c r="JG77" s="202">
        <f t="shared" si="408"/>
        <v>167</v>
      </c>
      <c r="JH77" s="204"/>
      <c r="JI77" s="203"/>
      <c r="JJ77" s="202">
        <f t="shared" si="468"/>
        <v>0</v>
      </c>
      <c r="JK77" s="202">
        <f t="shared" si="469"/>
        <v>0</v>
      </c>
      <c r="JM77" s="203">
        <f t="shared" si="409"/>
        <v>0</v>
      </c>
      <c r="JO77" s="196">
        <f t="shared" si="372"/>
        <v>0</v>
      </c>
      <c r="JP77" s="189">
        <f t="shared" si="470"/>
        <v>0</v>
      </c>
      <c r="JQ77" s="189">
        <f t="shared" si="471"/>
        <v>0</v>
      </c>
      <c r="JR77" s="189">
        <f t="shared" si="472"/>
        <v>0</v>
      </c>
      <c r="JS77" s="189">
        <f t="shared" si="473"/>
        <v>0</v>
      </c>
      <c r="JT77" s="189">
        <f t="shared" si="474"/>
        <v>0</v>
      </c>
      <c r="JU77" s="189">
        <f t="shared" si="475"/>
        <v>0</v>
      </c>
      <c r="JV77" s="189">
        <f t="shared" si="476"/>
        <v>0</v>
      </c>
      <c r="JW77" s="189">
        <f t="shared" si="477"/>
        <v>0</v>
      </c>
      <c r="JX77" s="189">
        <f t="shared" si="478"/>
        <v>0</v>
      </c>
      <c r="JY77" s="189">
        <f t="shared" si="479"/>
        <v>0</v>
      </c>
      <c r="JZ77" s="189">
        <f t="shared" si="480"/>
        <v>0</v>
      </c>
      <c r="KA77" s="189">
        <f t="shared" si="481"/>
        <v>0</v>
      </c>
      <c r="KB77" s="189">
        <f t="shared" si="482"/>
        <v>0</v>
      </c>
      <c r="KD77" s="206">
        <f t="shared" si="410"/>
        <v>0</v>
      </c>
      <c r="KE77" s="206">
        <f t="shared" si="373"/>
        <v>0</v>
      </c>
      <c r="KF77" s="206">
        <f t="shared" si="483"/>
        <v>0</v>
      </c>
      <c r="KG77" s="206">
        <f t="shared" si="484"/>
        <v>0</v>
      </c>
      <c r="KH77" s="206">
        <f t="shared" si="485"/>
        <v>0</v>
      </c>
      <c r="KI77" s="206">
        <f t="shared" si="486"/>
        <v>0</v>
      </c>
      <c r="KJ77" s="206">
        <f t="shared" si="487"/>
        <v>0</v>
      </c>
      <c r="KK77" s="206">
        <f t="shared" si="488"/>
        <v>0</v>
      </c>
      <c r="KL77" s="206">
        <f t="shared" si="489"/>
        <v>0</v>
      </c>
      <c r="KM77" s="206">
        <f t="shared" si="490"/>
        <v>0</v>
      </c>
      <c r="KN77" s="221">
        <f t="shared" si="491"/>
        <v>0</v>
      </c>
      <c r="KO77" s="221">
        <f t="shared" si="492"/>
        <v>0</v>
      </c>
      <c r="KP77" s="221">
        <f t="shared" si="493"/>
        <v>0</v>
      </c>
      <c r="KQ77" s="221">
        <f t="shared" si="494"/>
        <v>0</v>
      </c>
      <c r="KR77" s="221">
        <f t="shared" si="495"/>
        <v>0</v>
      </c>
      <c r="KT77" s="195">
        <f t="shared" si="496"/>
        <v>0</v>
      </c>
      <c r="KU77" s="221"/>
      <c r="KV77" s="221"/>
      <c r="KW77" s="221"/>
      <c r="KX77" s="221"/>
      <c r="KY77" s="221"/>
      <c r="KZ77" s="221"/>
      <c r="LA77" s="221"/>
      <c r="LB77" s="221"/>
      <c r="LC77" s="221"/>
      <c r="LD77" s="221"/>
      <c r="LE77" s="221"/>
      <c r="LF77" s="221"/>
      <c r="LG77" s="221"/>
      <c r="LH77" s="221"/>
      <c r="LI77" s="221"/>
      <c r="LJ77" s="221"/>
      <c r="LK77" s="221"/>
      <c r="LL77" s="221"/>
      <c r="LM77" s="221"/>
      <c r="LN77" s="221"/>
      <c r="LO77" s="221"/>
      <c r="LP77" s="221"/>
      <c r="LQ77" s="221"/>
      <c r="LR77" s="221"/>
      <c r="LS77" s="221"/>
      <c r="LT77" s="221"/>
      <c r="LU77" s="221"/>
      <c r="LV77" s="221"/>
      <c r="LW77" s="221"/>
      <c r="LX77" s="221"/>
      <c r="LY77" s="221"/>
      <c r="LZ77" s="221"/>
      <c r="MA77" s="221"/>
      <c r="MB77" s="221"/>
      <c r="MC77" s="221"/>
      <c r="MD77" s="221"/>
      <c r="ME77" s="221"/>
      <c r="MF77" s="221"/>
      <c r="MG77" s="221"/>
      <c r="MH77" s="221"/>
      <c r="MI77" s="221"/>
      <c r="MJ77" s="221"/>
      <c r="MK77" s="221"/>
      <c r="ML77" s="221"/>
      <c r="MM77" s="221"/>
      <c r="MN77" s="221"/>
      <c r="MO77" s="221"/>
      <c r="MP77" s="221"/>
      <c r="MQ77" s="221"/>
      <c r="MR77" s="221"/>
      <c r="MS77" s="221"/>
      <c r="MT77" s="221"/>
      <c r="MU77" s="221"/>
      <c r="MV77" s="221"/>
      <c r="MW77" s="221"/>
      <c r="MX77" s="221"/>
      <c r="MY77" s="221"/>
      <c r="MZ77" s="221"/>
      <c r="NA77" s="221"/>
      <c r="NB77" s="221"/>
      <c r="NC77" s="221"/>
      <c r="ND77" s="221"/>
      <c r="NE77" s="221"/>
      <c r="NF77" s="221"/>
      <c r="NG77" s="221"/>
      <c r="NH77" s="221"/>
      <c r="NI77" s="221"/>
      <c r="NJ77" s="221"/>
      <c r="NK77" s="221"/>
      <c r="NM77" s="195">
        <f t="shared" si="411"/>
        <v>0</v>
      </c>
      <c r="NN77" s="195">
        <f t="shared" si="412"/>
        <v>0</v>
      </c>
      <c r="NO77" s="195">
        <f t="shared" si="413"/>
        <v>0</v>
      </c>
      <c r="NP77" s="195">
        <f t="shared" si="414"/>
        <v>0</v>
      </c>
      <c r="NQ77" s="195">
        <f t="shared" si="415"/>
        <v>0</v>
      </c>
      <c r="NR77" s="195">
        <f t="shared" si="416"/>
        <v>0</v>
      </c>
      <c r="NS77" s="195">
        <f t="shared" si="417"/>
        <v>0</v>
      </c>
      <c r="NT77" s="195">
        <f t="shared" si="418"/>
        <v>0</v>
      </c>
      <c r="NU77" s="196">
        <f t="shared" si="419"/>
        <v>0</v>
      </c>
      <c r="NY77" s="215">
        <f t="shared" si="420"/>
        <v>1</v>
      </c>
      <c r="NZ77" s="222">
        <v>11025000</v>
      </c>
      <c r="OE77" s="207">
        <f t="shared" si="374"/>
        <v>0</v>
      </c>
      <c r="OF77" s="207">
        <f t="shared" si="375"/>
        <v>0</v>
      </c>
      <c r="OG77" s="207">
        <f t="shared" si="376"/>
        <v>0</v>
      </c>
      <c r="OH77" s="207">
        <f t="shared" si="421"/>
        <v>0</v>
      </c>
      <c r="OI77" s="207">
        <f t="shared" si="377"/>
        <v>0</v>
      </c>
      <c r="OJ77" s="199">
        <f t="shared" si="422"/>
        <v>0</v>
      </c>
      <c r="OK77" s="199">
        <f t="shared" si="423"/>
        <v>0</v>
      </c>
      <c r="OL77" s="199">
        <f t="shared" si="424"/>
        <v>0</v>
      </c>
      <c r="OM77" s="199">
        <f t="shared" si="425"/>
        <v>0</v>
      </c>
      <c r="OO77" s="207">
        <f t="shared" si="378"/>
        <v>0</v>
      </c>
      <c r="OP77" s="207">
        <f t="shared" si="379"/>
        <v>0</v>
      </c>
      <c r="OQ77" s="207">
        <f t="shared" si="426"/>
        <v>0</v>
      </c>
      <c r="OR77" s="207">
        <f t="shared" si="427"/>
        <v>0</v>
      </c>
      <c r="OS77" s="207">
        <f t="shared" si="428"/>
        <v>0</v>
      </c>
      <c r="OT77" s="199">
        <f t="shared" si="429"/>
        <v>0</v>
      </c>
      <c r="OU77" s="199">
        <f t="shared" si="430"/>
        <v>0</v>
      </c>
      <c r="OV77" s="199">
        <f t="shared" si="431"/>
        <v>0</v>
      </c>
      <c r="OW77" s="199">
        <f t="shared" si="432"/>
        <v>0</v>
      </c>
      <c r="OZ77" s="208">
        <f t="shared" si="380"/>
        <v>0</v>
      </c>
      <c r="PA77" s="209"/>
      <c r="PB77" s="209"/>
      <c r="PC77" s="209"/>
      <c r="PD77" s="210">
        <f t="shared" si="433"/>
        <v>0</v>
      </c>
      <c r="PE77" s="210"/>
      <c r="PF77" s="210">
        <f t="shared" si="434"/>
        <v>0</v>
      </c>
      <c r="PG77" s="210">
        <f t="shared" si="435"/>
        <v>0</v>
      </c>
      <c r="PH77" s="210">
        <f t="shared" si="381"/>
        <v>0</v>
      </c>
      <c r="PI77" s="210">
        <f t="shared" si="382"/>
        <v>0</v>
      </c>
      <c r="PJ77" s="210">
        <f t="shared" si="383"/>
        <v>0</v>
      </c>
      <c r="PK77" s="210">
        <f t="shared" si="384"/>
        <v>0</v>
      </c>
      <c r="PL77" s="210">
        <f t="shared" si="385"/>
        <v>0</v>
      </c>
      <c r="PM77" s="211"/>
      <c r="PN77" s="211"/>
      <c r="PO77" s="212">
        <f t="shared" si="436"/>
        <v>0</v>
      </c>
      <c r="PP77" s="212">
        <f t="shared" si="437"/>
        <v>0</v>
      </c>
      <c r="PQ77" s="212">
        <f t="shared" si="438"/>
        <v>0</v>
      </c>
      <c r="PR77" s="211"/>
      <c r="PS77" s="211"/>
      <c r="PT77" s="211"/>
      <c r="PU77" s="211"/>
    </row>
    <row r="78" spans="1:437 16383:16383" s="195" customFormat="1" ht="16" x14ac:dyDescent="0.2">
      <c r="A78" s="213">
        <f t="shared" si="206"/>
        <v>68</v>
      </c>
      <c r="B78" s="186" t="s">
        <v>80</v>
      </c>
      <c r="C78" s="186">
        <v>74</v>
      </c>
      <c r="D78" s="188">
        <v>1</v>
      </c>
      <c r="E78" s="188">
        <v>207</v>
      </c>
      <c r="F78" s="188">
        <v>1</v>
      </c>
      <c r="G78" s="188">
        <f t="shared" si="308"/>
        <v>207</v>
      </c>
      <c r="H78" s="214">
        <f t="shared" si="311"/>
        <v>1</v>
      </c>
      <c r="I78" s="214">
        <f t="shared" si="312"/>
        <v>1</v>
      </c>
      <c r="J78" s="188">
        <v>1</v>
      </c>
      <c r="K78" s="188">
        <f t="shared" si="313"/>
        <v>207</v>
      </c>
      <c r="L78" s="214">
        <f t="shared" si="314"/>
        <v>1</v>
      </c>
      <c r="M78" s="214">
        <f t="shared" si="315"/>
        <v>1</v>
      </c>
      <c r="N78" s="188">
        <v>1</v>
      </c>
      <c r="O78" s="188">
        <f t="shared" si="316"/>
        <v>207</v>
      </c>
      <c r="P78" s="214">
        <f t="shared" si="317"/>
        <v>1</v>
      </c>
      <c r="Q78" s="214">
        <f t="shared" si="318"/>
        <v>1</v>
      </c>
      <c r="R78" s="188">
        <v>1</v>
      </c>
      <c r="S78" s="188">
        <f t="shared" si="319"/>
        <v>207</v>
      </c>
      <c r="T78" s="214">
        <f t="shared" si="320"/>
        <v>1</v>
      </c>
      <c r="U78" s="214">
        <f t="shared" si="321"/>
        <v>1</v>
      </c>
      <c r="V78" s="215">
        <v>1</v>
      </c>
      <c r="W78" s="188">
        <f t="shared" si="322"/>
        <v>207</v>
      </c>
      <c r="X78" s="214">
        <f t="shared" si="323"/>
        <v>1</v>
      </c>
      <c r="Y78" s="214">
        <f t="shared" si="324"/>
        <v>1</v>
      </c>
      <c r="Z78" s="216">
        <f>2757541000/1000000000</f>
        <v>2.7575409999999998</v>
      </c>
      <c r="AA78" s="188">
        <v>0</v>
      </c>
      <c r="AB78" s="188">
        <f t="shared" si="339"/>
        <v>0</v>
      </c>
      <c r="AC78" s="214">
        <f t="shared" si="340"/>
        <v>0</v>
      </c>
      <c r="AD78" s="214">
        <f t="shared" si="341"/>
        <v>0</v>
      </c>
      <c r="AE78" s="188"/>
      <c r="AF78" s="188">
        <f t="shared" si="342"/>
        <v>0</v>
      </c>
      <c r="AG78" s="188"/>
      <c r="AH78" s="188"/>
      <c r="AI78" s="188">
        <v>0</v>
      </c>
      <c r="AJ78" s="188">
        <f t="shared" si="325"/>
        <v>0</v>
      </c>
      <c r="AK78" s="188"/>
      <c r="AL78" s="188">
        <v>0</v>
      </c>
      <c r="AM78" s="188">
        <v>0</v>
      </c>
      <c r="AN78" s="217"/>
      <c r="AO78" s="188"/>
      <c r="AP78" s="188"/>
      <c r="AQ78" s="188"/>
      <c r="AR78" s="188"/>
      <c r="AS78" s="188"/>
      <c r="AT78" s="188"/>
      <c r="AU78" s="188"/>
      <c r="AV78" s="188"/>
      <c r="AW78" s="188"/>
      <c r="AX78" s="188"/>
      <c r="AY78" s="188"/>
      <c r="AZ78" s="188"/>
      <c r="BA78" s="188"/>
      <c r="BB78" s="188">
        <f t="shared" si="343"/>
        <v>0</v>
      </c>
      <c r="BD78" s="196">
        <f t="shared" si="386"/>
        <v>0</v>
      </c>
      <c r="BE78" s="188">
        <f t="shared" si="326"/>
        <v>0</v>
      </c>
      <c r="BF78" s="188">
        <f t="shared" si="327"/>
        <v>0</v>
      </c>
      <c r="BG78" s="188">
        <f t="shared" si="328"/>
        <v>0</v>
      </c>
      <c r="BH78" s="188">
        <f t="shared" si="329"/>
        <v>0</v>
      </c>
      <c r="BI78" s="188">
        <f t="shared" si="330"/>
        <v>0</v>
      </c>
      <c r="BJ78" s="188">
        <f t="shared" si="331"/>
        <v>0</v>
      </c>
      <c r="BK78" s="188">
        <f t="shared" si="332"/>
        <v>0</v>
      </c>
      <c r="BN78" s="143"/>
      <c r="BO78" s="277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B78" s="188"/>
      <c r="CD78" s="188">
        <f t="shared" si="344"/>
        <v>0</v>
      </c>
      <c r="CE78" s="188">
        <f t="shared" si="345"/>
        <v>0</v>
      </c>
      <c r="CF78" s="188">
        <f t="shared" si="346"/>
        <v>0</v>
      </c>
      <c r="CG78" s="188">
        <f t="shared" si="347"/>
        <v>0</v>
      </c>
      <c r="CH78" s="188">
        <f t="shared" si="348"/>
        <v>0</v>
      </c>
      <c r="CI78" s="188">
        <f t="shared" si="349"/>
        <v>0</v>
      </c>
      <c r="CJ78" s="188">
        <f t="shared" si="350"/>
        <v>0</v>
      </c>
      <c r="CK78" s="188">
        <f t="shared" si="351"/>
        <v>0</v>
      </c>
      <c r="CL78" s="188">
        <f t="shared" si="352"/>
        <v>0</v>
      </c>
      <c r="CM78" s="188">
        <f t="shared" si="353"/>
        <v>0</v>
      </c>
      <c r="CN78" s="188">
        <f t="shared" si="354"/>
        <v>0</v>
      </c>
      <c r="CO78" s="188">
        <f t="shared" si="355"/>
        <v>0</v>
      </c>
      <c r="CP78" s="188">
        <f t="shared" si="356"/>
        <v>0</v>
      </c>
      <c r="DV78" s="188">
        <f t="shared" si="333"/>
        <v>0</v>
      </c>
      <c r="DW78" s="188">
        <f t="shared" si="334"/>
        <v>0</v>
      </c>
      <c r="DX78" s="188">
        <f t="shared" si="335"/>
        <v>0</v>
      </c>
      <c r="DY78" s="188">
        <f t="shared" si="336"/>
        <v>0</v>
      </c>
      <c r="DZ78" s="188">
        <f t="shared" si="337"/>
        <v>0</v>
      </c>
      <c r="EA78" s="188">
        <f t="shared" si="338"/>
        <v>0</v>
      </c>
      <c r="EB78" s="188">
        <f t="shared" si="357"/>
        <v>0</v>
      </c>
      <c r="EG78" s="220">
        <f t="shared" si="358"/>
        <v>0</v>
      </c>
      <c r="EH78" s="220">
        <f t="shared" si="359"/>
        <v>0</v>
      </c>
      <c r="EI78" s="188"/>
      <c r="EJ78" s="188"/>
      <c r="EK78" s="188"/>
      <c r="EL78" s="188"/>
      <c r="EM78" s="188"/>
      <c r="EN78" s="188"/>
      <c r="EO78" s="188"/>
      <c r="EP78" s="188"/>
      <c r="EQ78" s="188"/>
      <c r="ER78" s="188"/>
      <c r="ES78" s="188"/>
      <c r="ET78" s="188"/>
      <c r="EU78" s="188"/>
      <c r="EV78" s="188"/>
      <c r="EW78" s="188"/>
      <c r="EX78" s="188"/>
      <c r="EY78" s="188"/>
      <c r="EZ78" s="188"/>
      <c r="FA78" s="188"/>
      <c r="FB78" s="188"/>
      <c r="FC78" s="188"/>
      <c r="FD78" s="188"/>
      <c r="FE78" s="188"/>
      <c r="FF78" s="188"/>
      <c r="FH78" s="189"/>
      <c r="FI78" s="189"/>
      <c r="FJ78" s="189"/>
      <c r="FK78" s="189"/>
      <c r="FL78" s="189"/>
      <c r="FM78" s="189"/>
      <c r="FN78" s="189"/>
      <c r="FO78" s="189"/>
      <c r="FP78" s="189"/>
      <c r="FQ78" s="189"/>
      <c r="FR78" s="189"/>
      <c r="FS78" s="189"/>
      <c r="FT78" s="189"/>
      <c r="FU78" s="189"/>
      <c r="FV78" s="189"/>
      <c r="FX78" s="217"/>
      <c r="FY78" s="188">
        <f t="shared" si="360"/>
        <v>0</v>
      </c>
      <c r="FZ78" s="188">
        <f t="shared" si="439"/>
        <v>0</v>
      </c>
      <c r="GA78" s="188">
        <f t="shared" si="440"/>
        <v>0</v>
      </c>
      <c r="GB78" s="188">
        <f t="shared" si="441"/>
        <v>0</v>
      </c>
      <c r="GC78" s="188">
        <f t="shared" si="442"/>
        <v>0</v>
      </c>
      <c r="GD78" s="188">
        <f t="shared" si="443"/>
        <v>0</v>
      </c>
      <c r="GE78" s="188">
        <f t="shared" si="444"/>
        <v>0</v>
      </c>
      <c r="GF78" s="199"/>
      <c r="GG78" s="189">
        <v>0</v>
      </c>
      <c r="GH78" s="189">
        <v>0</v>
      </c>
      <c r="GI78" s="199"/>
      <c r="GJ78" s="200">
        <f t="shared" si="361"/>
        <v>0</v>
      </c>
      <c r="GK78" s="200">
        <f t="shared" si="362"/>
        <v>0</v>
      </c>
      <c r="GO78" s="189">
        <f t="shared" si="445"/>
        <v>0</v>
      </c>
      <c r="GP78" s="189">
        <f t="shared" si="446"/>
        <v>0</v>
      </c>
      <c r="GQ78" s="189">
        <f t="shared" si="447"/>
        <v>0</v>
      </c>
      <c r="GR78" s="189">
        <f t="shared" si="448"/>
        <v>0</v>
      </c>
      <c r="GS78" s="189">
        <f t="shared" si="449"/>
        <v>0</v>
      </c>
      <c r="GT78" s="189">
        <f t="shared" si="387"/>
        <v>1</v>
      </c>
      <c r="GU78" s="201">
        <f t="shared" si="388"/>
        <v>43243</v>
      </c>
      <c r="GV78" s="189" t="str">
        <f t="shared" si="389"/>
        <v>SELESAI</v>
      </c>
      <c r="GW78" s="189">
        <f t="shared" si="390"/>
        <v>0</v>
      </c>
      <c r="GX78" s="202" t="str">
        <f t="shared" si="391"/>
        <v>SELESAI</v>
      </c>
      <c r="GY78" s="202">
        <f t="shared" si="392"/>
        <v>0</v>
      </c>
      <c r="GZ78" s="203" t="str">
        <f t="shared" si="393"/>
        <v>SELESAI</v>
      </c>
      <c r="HA78" s="204"/>
      <c r="HB78" s="204"/>
      <c r="HC78" s="189">
        <f t="shared" si="450"/>
        <v>0</v>
      </c>
      <c r="HD78" s="189">
        <f t="shared" si="451"/>
        <v>0</v>
      </c>
      <c r="HE78" s="189">
        <f t="shared" si="394"/>
        <v>0</v>
      </c>
      <c r="HF78" s="189">
        <f t="shared" si="395"/>
        <v>0</v>
      </c>
      <c r="HG78" s="189">
        <f t="shared" si="396"/>
        <v>0</v>
      </c>
      <c r="HH78" s="201" t="str">
        <f t="shared" si="363"/>
        <v>TIDAK KONSINYASI</v>
      </c>
      <c r="HI78" s="201" t="str">
        <f t="shared" si="397"/>
        <v>SELESAI</v>
      </c>
      <c r="HJ78" s="205"/>
      <c r="HK78" s="201">
        <f t="shared" si="364"/>
        <v>0</v>
      </c>
      <c r="HL78" s="204"/>
      <c r="HM78" s="204"/>
      <c r="HN78" s="204"/>
      <c r="HO78" s="204"/>
      <c r="HP78" s="203">
        <f t="shared" si="398"/>
        <v>0</v>
      </c>
      <c r="HQ78" s="202">
        <f t="shared" si="399"/>
        <v>0</v>
      </c>
      <c r="HR78" s="202">
        <f t="shared" si="452"/>
        <v>0</v>
      </c>
      <c r="HS78" s="203">
        <f t="shared" si="400"/>
        <v>0</v>
      </c>
      <c r="HT78" s="202">
        <f t="shared" si="401"/>
        <v>0</v>
      </c>
      <c r="HU78" s="202">
        <f t="shared" si="453"/>
        <v>0</v>
      </c>
      <c r="HV78" s="203">
        <f t="shared" si="402"/>
        <v>0</v>
      </c>
      <c r="HW78" s="202">
        <f t="shared" si="403"/>
        <v>0</v>
      </c>
      <c r="HX78" s="202">
        <f t="shared" si="454"/>
        <v>0</v>
      </c>
      <c r="HY78" s="203">
        <f t="shared" si="365"/>
        <v>0</v>
      </c>
      <c r="HZ78" s="202">
        <f t="shared" si="404"/>
        <v>0</v>
      </c>
      <c r="IA78" s="202">
        <f t="shared" si="455"/>
        <v>0</v>
      </c>
      <c r="IB78" s="203">
        <f t="shared" si="405"/>
        <v>0</v>
      </c>
      <c r="IC78" s="202">
        <f t="shared" si="366"/>
        <v>0</v>
      </c>
      <c r="ID78" s="202">
        <f t="shared" si="456"/>
        <v>0</v>
      </c>
      <c r="IE78" s="203">
        <f t="shared" si="367"/>
        <v>0</v>
      </c>
      <c r="IF78" s="202">
        <f t="shared" si="368"/>
        <v>0</v>
      </c>
      <c r="IG78" s="202">
        <f t="shared" si="457"/>
        <v>0</v>
      </c>
      <c r="IH78" s="203">
        <f t="shared" si="406"/>
        <v>0</v>
      </c>
      <c r="II78" s="202">
        <f t="shared" si="407"/>
        <v>0</v>
      </c>
      <c r="IJ78" s="202">
        <f t="shared" si="458"/>
        <v>0</v>
      </c>
      <c r="IK78" s="203">
        <f t="shared" si="369"/>
        <v>0</v>
      </c>
      <c r="IL78" s="202">
        <f t="shared" si="370"/>
        <v>0</v>
      </c>
      <c r="IM78" s="202">
        <f t="shared" si="459"/>
        <v>0</v>
      </c>
      <c r="IN78" s="204"/>
      <c r="IO78" s="203">
        <f t="shared" si="371"/>
        <v>0</v>
      </c>
      <c r="IP78" s="202">
        <f t="shared" si="460"/>
        <v>0</v>
      </c>
      <c r="IQ78" s="202">
        <f t="shared" si="461"/>
        <v>0</v>
      </c>
      <c r="IR78" s="204"/>
      <c r="IS78" s="203"/>
      <c r="IT78" s="202">
        <f t="shared" si="462"/>
        <v>1</v>
      </c>
      <c r="IU78" s="202">
        <f t="shared" si="463"/>
        <v>207</v>
      </c>
      <c r="IV78" s="204"/>
      <c r="IW78" s="203"/>
      <c r="IX78" s="202">
        <f t="shared" si="464"/>
        <v>0</v>
      </c>
      <c r="IY78" s="202">
        <f t="shared" si="465"/>
        <v>0</v>
      </c>
      <c r="IZ78" s="204"/>
      <c r="JA78" s="203"/>
      <c r="JB78" s="202">
        <f t="shared" si="466"/>
        <v>0</v>
      </c>
      <c r="JC78" s="202">
        <f t="shared" si="467"/>
        <v>0</v>
      </c>
      <c r="JD78" s="204"/>
      <c r="JE78" s="203"/>
      <c r="JF78" s="202">
        <f t="shared" si="408"/>
        <v>1</v>
      </c>
      <c r="JG78" s="202">
        <f t="shared" si="408"/>
        <v>207</v>
      </c>
      <c r="JH78" s="204"/>
      <c r="JI78" s="203"/>
      <c r="JJ78" s="202">
        <f t="shared" si="468"/>
        <v>0</v>
      </c>
      <c r="JK78" s="202">
        <f t="shared" si="469"/>
        <v>0</v>
      </c>
      <c r="JM78" s="203">
        <f t="shared" si="409"/>
        <v>0</v>
      </c>
      <c r="JO78" s="196">
        <f t="shared" si="372"/>
        <v>0</v>
      </c>
      <c r="JP78" s="189">
        <f t="shared" si="470"/>
        <v>0</v>
      </c>
      <c r="JQ78" s="189">
        <f t="shared" si="471"/>
        <v>0</v>
      </c>
      <c r="JR78" s="189">
        <f t="shared" si="472"/>
        <v>0</v>
      </c>
      <c r="JS78" s="189">
        <f t="shared" si="473"/>
        <v>0</v>
      </c>
      <c r="JT78" s="189">
        <f t="shared" si="474"/>
        <v>0</v>
      </c>
      <c r="JU78" s="189">
        <f t="shared" si="475"/>
        <v>0</v>
      </c>
      <c r="JV78" s="189">
        <f t="shared" si="476"/>
        <v>0</v>
      </c>
      <c r="JW78" s="189">
        <f t="shared" si="477"/>
        <v>0</v>
      </c>
      <c r="JX78" s="189">
        <f t="shared" si="478"/>
        <v>0</v>
      </c>
      <c r="JY78" s="189">
        <f t="shared" si="479"/>
        <v>0</v>
      </c>
      <c r="JZ78" s="189">
        <f t="shared" si="480"/>
        <v>0</v>
      </c>
      <c r="KA78" s="189">
        <f t="shared" si="481"/>
        <v>0</v>
      </c>
      <c r="KB78" s="189">
        <f t="shared" si="482"/>
        <v>0</v>
      </c>
      <c r="KD78" s="206">
        <f t="shared" si="410"/>
        <v>0</v>
      </c>
      <c r="KE78" s="206">
        <f t="shared" si="373"/>
        <v>0</v>
      </c>
      <c r="KF78" s="206">
        <f t="shared" si="483"/>
        <v>0</v>
      </c>
      <c r="KG78" s="206">
        <f t="shared" si="484"/>
        <v>0</v>
      </c>
      <c r="KH78" s="206">
        <f t="shared" si="485"/>
        <v>0</v>
      </c>
      <c r="KI78" s="206">
        <f t="shared" si="486"/>
        <v>0</v>
      </c>
      <c r="KJ78" s="206">
        <f t="shared" si="487"/>
        <v>0</v>
      </c>
      <c r="KK78" s="206">
        <f t="shared" si="488"/>
        <v>0</v>
      </c>
      <c r="KL78" s="206">
        <f t="shared" si="489"/>
        <v>0</v>
      </c>
      <c r="KM78" s="206">
        <f t="shared" si="490"/>
        <v>0</v>
      </c>
      <c r="KN78" s="221">
        <f t="shared" si="491"/>
        <v>0</v>
      </c>
      <c r="KO78" s="221">
        <f t="shared" si="492"/>
        <v>0</v>
      </c>
      <c r="KP78" s="221">
        <f t="shared" si="493"/>
        <v>0</v>
      </c>
      <c r="KQ78" s="221">
        <f t="shared" si="494"/>
        <v>0</v>
      </c>
      <c r="KR78" s="221">
        <f t="shared" si="495"/>
        <v>0</v>
      </c>
      <c r="KT78" s="195">
        <f t="shared" si="496"/>
        <v>0</v>
      </c>
      <c r="KU78" s="221"/>
      <c r="KV78" s="221"/>
      <c r="KW78" s="221"/>
      <c r="KX78" s="221"/>
      <c r="KY78" s="221"/>
      <c r="KZ78" s="221"/>
      <c r="LA78" s="221"/>
      <c r="LB78" s="221"/>
      <c r="LC78" s="221"/>
      <c r="LD78" s="221"/>
      <c r="LE78" s="221"/>
      <c r="LF78" s="221"/>
      <c r="LG78" s="221"/>
      <c r="LH78" s="221"/>
      <c r="LI78" s="221"/>
      <c r="LJ78" s="221"/>
      <c r="LK78" s="221"/>
      <c r="LL78" s="221"/>
      <c r="LM78" s="221"/>
      <c r="LN78" s="221"/>
      <c r="LO78" s="221"/>
      <c r="LP78" s="221"/>
      <c r="LQ78" s="221"/>
      <c r="LR78" s="221"/>
      <c r="LS78" s="221"/>
      <c r="LT78" s="221"/>
      <c r="LU78" s="221"/>
      <c r="LV78" s="221"/>
      <c r="LW78" s="221"/>
      <c r="LX78" s="221"/>
      <c r="LY78" s="221"/>
      <c r="LZ78" s="221"/>
      <c r="MA78" s="221"/>
      <c r="MB78" s="221"/>
      <c r="MC78" s="221"/>
      <c r="MD78" s="221"/>
      <c r="ME78" s="221"/>
      <c r="MF78" s="221"/>
      <c r="MG78" s="221"/>
      <c r="MH78" s="221"/>
      <c r="MI78" s="221"/>
      <c r="MJ78" s="221"/>
      <c r="MK78" s="221"/>
      <c r="ML78" s="221"/>
      <c r="MM78" s="221"/>
      <c r="MN78" s="221"/>
      <c r="MO78" s="221"/>
      <c r="MP78" s="221"/>
      <c r="MQ78" s="221"/>
      <c r="MR78" s="221"/>
      <c r="MS78" s="221"/>
      <c r="MT78" s="221"/>
      <c r="MU78" s="221"/>
      <c r="MV78" s="221"/>
      <c r="MW78" s="221"/>
      <c r="MX78" s="221"/>
      <c r="MY78" s="221"/>
      <c r="MZ78" s="221"/>
      <c r="NA78" s="221"/>
      <c r="NB78" s="221"/>
      <c r="NC78" s="221"/>
      <c r="ND78" s="221"/>
      <c r="NE78" s="221"/>
      <c r="NF78" s="221"/>
      <c r="NG78" s="221"/>
      <c r="NH78" s="221"/>
      <c r="NI78" s="221"/>
      <c r="NJ78" s="221"/>
      <c r="NK78" s="221"/>
      <c r="NM78" s="195">
        <f t="shared" si="411"/>
        <v>0</v>
      </c>
      <c r="NN78" s="195">
        <f t="shared" si="412"/>
        <v>0</v>
      </c>
      <c r="NO78" s="195">
        <f t="shared" si="413"/>
        <v>0</v>
      </c>
      <c r="NP78" s="195">
        <f t="shared" si="414"/>
        <v>0</v>
      </c>
      <c r="NQ78" s="195">
        <f t="shared" si="415"/>
        <v>0</v>
      </c>
      <c r="NR78" s="195">
        <f t="shared" si="416"/>
        <v>0</v>
      </c>
      <c r="NS78" s="195">
        <f t="shared" si="417"/>
        <v>0</v>
      </c>
      <c r="NT78" s="195">
        <f t="shared" si="418"/>
        <v>0</v>
      </c>
      <c r="NU78" s="196">
        <f t="shared" si="419"/>
        <v>0</v>
      </c>
      <c r="NY78" s="215">
        <f t="shared" si="420"/>
        <v>1</v>
      </c>
      <c r="NZ78" s="222">
        <v>11025000</v>
      </c>
      <c r="OE78" s="207">
        <f t="shared" si="374"/>
        <v>0</v>
      </c>
      <c r="OF78" s="207">
        <f t="shared" si="375"/>
        <v>0</v>
      </c>
      <c r="OG78" s="207">
        <f t="shared" si="376"/>
        <v>0</v>
      </c>
      <c r="OH78" s="207">
        <f t="shared" si="421"/>
        <v>0</v>
      </c>
      <c r="OI78" s="207">
        <f t="shared" si="377"/>
        <v>0</v>
      </c>
      <c r="OJ78" s="199">
        <f t="shared" si="422"/>
        <v>0</v>
      </c>
      <c r="OK78" s="199">
        <f t="shared" si="423"/>
        <v>0</v>
      </c>
      <c r="OL78" s="199">
        <f t="shared" si="424"/>
        <v>0</v>
      </c>
      <c r="OM78" s="199">
        <f t="shared" si="425"/>
        <v>0</v>
      </c>
      <c r="OO78" s="207">
        <f t="shared" si="378"/>
        <v>0</v>
      </c>
      <c r="OP78" s="207">
        <f t="shared" si="379"/>
        <v>0</v>
      </c>
      <c r="OQ78" s="207">
        <f t="shared" si="426"/>
        <v>0</v>
      </c>
      <c r="OR78" s="207">
        <f t="shared" si="427"/>
        <v>0</v>
      </c>
      <c r="OS78" s="207">
        <f t="shared" si="428"/>
        <v>0</v>
      </c>
      <c r="OT78" s="199">
        <f t="shared" si="429"/>
        <v>0</v>
      </c>
      <c r="OU78" s="199">
        <f t="shared" si="430"/>
        <v>0</v>
      </c>
      <c r="OV78" s="199">
        <f t="shared" si="431"/>
        <v>0</v>
      </c>
      <c r="OW78" s="199">
        <f t="shared" si="432"/>
        <v>0</v>
      </c>
      <c r="OZ78" s="208">
        <f t="shared" si="380"/>
        <v>0</v>
      </c>
      <c r="PA78" s="209"/>
      <c r="PB78" s="209"/>
      <c r="PC78" s="209"/>
      <c r="PD78" s="210">
        <f t="shared" si="433"/>
        <v>0</v>
      </c>
      <c r="PE78" s="210"/>
      <c r="PF78" s="210">
        <f t="shared" si="434"/>
        <v>0</v>
      </c>
      <c r="PG78" s="210">
        <f t="shared" si="435"/>
        <v>0</v>
      </c>
      <c r="PH78" s="210">
        <f t="shared" si="381"/>
        <v>0</v>
      </c>
      <c r="PI78" s="210">
        <f t="shared" si="382"/>
        <v>0</v>
      </c>
      <c r="PJ78" s="210">
        <f t="shared" si="383"/>
        <v>0</v>
      </c>
      <c r="PK78" s="210">
        <f t="shared" si="384"/>
        <v>0</v>
      </c>
      <c r="PL78" s="210">
        <f t="shared" si="385"/>
        <v>0</v>
      </c>
      <c r="PM78" s="211"/>
      <c r="PN78" s="211"/>
      <c r="PO78" s="212">
        <f t="shared" si="436"/>
        <v>0</v>
      </c>
      <c r="PP78" s="212">
        <f t="shared" si="437"/>
        <v>0</v>
      </c>
      <c r="PQ78" s="212">
        <f t="shared" si="438"/>
        <v>0</v>
      </c>
      <c r="PR78" s="211"/>
      <c r="PS78" s="211"/>
      <c r="PT78" s="211"/>
      <c r="PU78" s="211"/>
    </row>
    <row r="79" spans="1:437 16383:16383" s="195" customFormat="1" ht="16" x14ac:dyDescent="0.2">
      <c r="A79" s="213">
        <f t="shared" si="206"/>
        <v>69</v>
      </c>
      <c r="B79" s="186" t="s">
        <v>81</v>
      </c>
      <c r="C79" s="186">
        <v>75</v>
      </c>
      <c r="D79" s="188">
        <v>1</v>
      </c>
      <c r="E79" s="188">
        <v>91</v>
      </c>
      <c r="F79" s="188">
        <v>1</v>
      </c>
      <c r="G79" s="188">
        <f t="shared" si="308"/>
        <v>91</v>
      </c>
      <c r="H79" s="214">
        <f t="shared" si="311"/>
        <v>1</v>
      </c>
      <c r="I79" s="214">
        <f t="shared" si="312"/>
        <v>1</v>
      </c>
      <c r="J79" s="188">
        <v>1</v>
      </c>
      <c r="K79" s="188">
        <f t="shared" si="313"/>
        <v>91</v>
      </c>
      <c r="L79" s="214">
        <f t="shared" si="314"/>
        <v>1</v>
      </c>
      <c r="M79" s="214">
        <f t="shared" si="315"/>
        <v>1</v>
      </c>
      <c r="N79" s="188">
        <v>1</v>
      </c>
      <c r="O79" s="188">
        <f t="shared" si="316"/>
        <v>91</v>
      </c>
      <c r="P79" s="214">
        <f t="shared" si="317"/>
        <v>1</v>
      </c>
      <c r="Q79" s="214">
        <f t="shared" si="318"/>
        <v>1</v>
      </c>
      <c r="R79" s="188">
        <v>1</v>
      </c>
      <c r="S79" s="188">
        <f t="shared" si="319"/>
        <v>91</v>
      </c>
      <c r="T79" s="214">
        <f t="shared" si="320"/>
        <v>1</v>
      </c>
      <c r="U79" s="214">
        <f t="shared" si="321"/>
        <v>1</v>
      </c>
      <c r="V79" s="215">
        <v>1</v>
      </c>
      <c r="W79" s="188">
        <f t="shared" si="322"/>
        <v>91</v>
      </c>
      <c r="X79" s="214">
        <f t="shared" si="323"/>
        <v>1</v>
      </c>
      <c r="Y79" s="214">
        <f t="shared" si="324"/>
        <v>1</v>
      </c>
      <c r="Z79" s="224">
        <f>1471971000/1000000000</f>
        <v>1.4719709999999999</v>
      </c>
      <c r="AA79" s="188">
        <v>0</v>
      </c>
      <c r="AB79" s="188">
        <f t="shared" si="339"/>
        <v>0</v>
      </c>
      <c r="AC79" s="214">
        <f t="shared" si="340"/>
        <v>0</v>
      </c>
      <c r="AD79" s="214">
        <f t="shared" si="341"/>
        <v>0</v>
      </c>
      <c r="AE79" s="188"/>
      <c r="AF79" s="188">
        <f t="shared" si="342"/>
        <v>0</v>
      </c>
      <c r="AG79" s="188"/>
      <c r="AH79" s="188"/>
      <c r="AI79" s="188">
        <v>0</v>
      </c>
      <c r="AJ79" s="188">
        <f t="shared" si="325"/>
        <v>0</v>
      </c>
      <c r="AK79" s="188"/>
      <c r="AL79" s="188">
        <v>0</v>
      </c>
      <c r="AM79" s="188">
        <v>0</v>
      </c>
      <c r="AN79" s="217"/>
      <c r="AO79" s="188"/>
      <c r="AP79" s="188"/>
      <c r="AQ79" s="188"/>
      <c r="AR79" s="188"/>
      <c r="AS79" s="188"/>
      <c r="AT79" s="188"/>
      <c r="AU79" s="188"/>
      <c r="AV79" s="188"/>
      <c r="AW79" s="188"/>
      <c r="AX79" s="188"/>
      <c r="AY79" s="188"/>
      <c r="AZ79" s="188"/>
      <c r="BA79" s="188"/>
      <c r="BB79" s="188">
        <f t="shared" si="343"/>
        <v>0</v>
      </c>
      <c r="BD79" s="196">
        <f t="shared" si="386"/>
        <v>0</v>
      </c>
      <c r="BE79" s="188">
        <f t="shared" si="326"/>
        <v>0</v>
      </c>
      <c r="BF79" s="188">
        <f t="shared" si="327"/>
        <v>0</v>
      </c>
      <c r="BG79" s="188">
        <f t="shared" si="328"/>
        <v>0</v>
      </c>
      <c r="BH79" s="188">
        <f t="shared" si="329"/>
        <v>0</v>
      </c>
      <c r="BI79" s="188">
        <f t="shared" si="330"/>
        <v>0</v>
      </c>
      <c r="BJ79" s="188">
        <f t="shared" si="331"/>
        <v>0</v>
      </c>
      <c r="BK79" s="188">
        <f t="shared" si="332"/>
        <v>0</v>
      </c>
      <c r="BN79" s="143"/>
      <c r="BO79" s="277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B79" s="188"/>
      <c r="CD79" s="188">
        <f t="shared" si="344"/>
        <v>0</v>
      </c>
      <c r="CE79" s="188">
        <f t="shared" si="345"/>
        <v>0</v>
      </c>
      <c r="CF79" s="188">
        <f t="shared" si="346"/>
        <v>0</v>
      </c>
      <c r="CG79" s="188">
        <f t="shared" si="347"/>
        <v>0</v>
      </c>
      <c r="CH79" s="188">
        <f t="shared" si="348"/>
        <v>0</v>
      </c>
      <c r="CI79" s="188">
        <f t="shared" si="349"/>
        <v>0</v>
      </c>
      <c r="CJ79" s="188">
        <f t="shared" si="350"/>
        <v>0</v>
      </c>
      <c r="CK79" s="188">
        <f t="shared" si="351"/>
        <v>0</v>
      </c>
      <c r="CL79" s="188">
        <f t="shared" si="352"/>
        <v>0</v>
      </c>
      <c r="CM79" s="188">
        <f t="shared" si="353"/>
        <v>0</v>
      </c>
      <c r="CN79" s="188">
        <f t="shared" si="354"/>
        <v>0</v>
      </c>
      <c r="CO79" s="188">
        <f t="shared" si="355"/>
        <v>0</v>
      </c>
      <c r="CP79" s="188">
        <f t="shared" si="356"/>
        <v>0</v>
      </c>
      <c r="DV79" s="188">
        <f t="shared" si="333"/>
        <v>0</v>
      </c>
      <c r="DW79" s="188">
        <f t="shared" si="334"/>
        <v>0</v>
      </c>
      <c r="DX79" s="188">
        <f t="shared" si="335"/>
        <v>0</v>
      </c>
      <c r="DY79" s="188">
        <f t="shared" si="336"/>
        <v>0</v>
      </c>
      <c r="DZ79" s="188">
        <f t="shared" si="337"/>
        <v>0</v>
      </c>
      <c r="EA79" s="188">
        <f t="shared" si="338"/>
        <v>0</v>
      </c>
      <c r="EB79" s="188">
        <f t="shared" si="357"/>
        <v>0</v>
      </c>
      <c r="EG79" s="220">
        <f t="shared" si="358"/>
        <v>0</v>
      </c>
      <c r="EH79" s="220">
        <f t="shared" si="359"/>
        <v>0</v>
      </c>
      <c r="EI79" s="188"/>
      <c r="EJ79" s="188"/>
      <c r="EK79" s="188"/>
      <c r="EL79" s="188"/>
      <c r="EM79" s="188"/>
      <c r="EN79" s="188"/>
      <c r="EO79" s="188"/>
      <c r="EP79" s="188"/>
      <c r="EQ79" s="188"/>
      <c r="ER79" s="188"/>
      <c r="ES79" s="188"/>
      <c r="ET79" s="188"/>
      <c r="EU79" s="188"/>
      <c r="EV79" s="188"/>
      <c r="EW79" s="188"/>
      <c r="EX79" s="188"/>
      <c r="EY79" s="188"/>
      <c r="EZ79" s="188"/>
      <c r="FA79" s="188"/>
      <c r="FB79" s="188"/>
      <c r="FC79" s="188"/>
      <c r="FD79" s="188"/>
      <c r="FE79" s="188"/>
      <c r="FF79" s="188"/>
      <c r="FH79" s="189"/>
      <c r="FI79" s="189"/>
      <c r="FJ79" s="189"/>
      <c r="FK79" s="189"/>
      <c r="FL79" s="189"/>
      <c r="FM79" s="189"/>
      <c r="FN79" s="189"/>
      <c r="FO79" s="189"/>
      <c r="FP79" s="189"/>
      <c r="FQ79" s="189"/>
      <c r="FR79" s="189"/>
      <c r="FS79" s="189"/>
      <c r="FT79" s="189"/>
      <c r="FU79" s="189"/>
      <c r="FV79" s="189"/>
      <c r="FX79" s="217"/>
      <c r="FY79" s="188">
        <f t="shared" si="360"/>
        <v>0</v>
      </c>
      <c r="FZ79" s="188">
        <f t="shared" si="439"/>
        <v>0</v>
      </c>
      <c r="GA79" s="188">
        <f t="shared" si="440"/>
        <v>0</v>
      </c>
      <c r="GB79" s="188">
        <f t="shared" si="441"/>
        <v>0</v>
      </c>
      <c r="GC79" s="188">
        <f t="shared" si="442"/>
        <v>0</v>
      </c>
      <c r="GD79" s="188">
        <f t="shared" si="443"/>
        <v>0</v>
      </c>
      <c r="GE79" s="188">
        <f t="shared" si="444"/>
        <v>0</v>
      </c>
      <c r="GF79" s="199"/>
      <c r="GG79" s="189">
        <v>0</v>
      </c>
      <c r="GH79" s="189">
        <v>0</v>
      </c>
      <c r="GI79" s="199"/>
      <c r="GJ79" s="200">
        <f t="shared" si="361"/>
        <v>0</v>
      </c>
      <c r="GK79" s="200">
        <f t="shared" si="362"/>
        <v>0</v>
      </c>
      <c r="GO79" s="189">
        <f t="shared" si="445"/>
        <v>0</v>
      </c>
      <c r="GP79" s="189">
        <f t="shared" si="446"/>
        <v>0</v>
      </c>
      <c r="GQ79" s="189">
        <f t="shared" si="447"/>
        <v>0</v>
      </c>
      <c r="GR79" s="189">
        <f t="shared" si="448"/>
        <v>0</v>
      </c>
      <c r="GS79" s="189">
        <f t="shared" si="449"/>
        <v>0</v>
      </c>
      <c r="GT79" s="189">
        <f t="shared" si="387"/>
        <v>1</v>
      </c>
      <c r="GU79" s="201">
        <f t="shared" si="388"/>
        <v>43243</v>
      </c>
      <c r="GV79" s="189" t="str">
        <f t="shared" si="389"/>
        <v>SELESAI</v>
      </c>
      <c r="GW79" s="189">
        <f t="shared" si="390"/>
        <v>0</v>
      </c>
      <c r="GX79" s="202" t="str">
        <f t="shared" si="391"/>
        <v>SELESAI</v>
      </c>
      <c r="GY79" s="202">
        <f t="shared" si="392"/>
        <v>0</v>
      </c>
      <c r="GZ79" s="203" t="str">
        <f t="shared" si="393"/>
        <v>SELESAI</v>
      </c>
      <c r="HA79" s="204"/>
      <c r="HB79" s="204"/>
      <c r="HC79" s="189">
        <f t="shared" si="450"/>
        <v>0</v>
      </c>
      <c r="HD79" s="189">
        <f t="shared" si="451"/>
        <v>0</v>
      </c>
      <c r="HE79" s="189">
        <f t="shared" si="394"/>
        <v>0</v>
      </c>
      <c r="HF79" s="189">
        <f t="shared" si="395"/>
        <v>0</v>
      </c>
      <c r="HG79" s="189">
        <f t="shared" si="396"/>
        <v>0</v>
      </c>
      <c r="HH79" s="201" t="str">
        <f t="shared" si="363"/>
        <v>TIDAK KONSINYASI</v>
      </c>
      <c r="HI79" s="201" t="str">
        <f t="shared" si="397"/>
        <v>SELESAI</v>
      </c>
      <c r="HJ79" s="205"/>
      <c r="HK79" s="201">
        <f t="shared" si="364"/>
        <v>0</v>
      </c>
      <c r="HL79" s="204"/>
      <c r="HM79" s="204"/>
      <c r="HN79" s="204"/>
      <c r="HO79" s="204"/>
      <c r="HP79" s="203">
        <f t="shared" si="398"/>
        <v>0</v>
      </c>
      <c r="HQ79" s="202">
        <f t="shared" si="399"/>
        <v>0</v>
      </c>
      <c r="HR79" s="202">
        <f t="shared" si="452"/>
        <v>0</v>
      </c>
      <c r="HS79" s="203">
        <f t="shared" si="400"/>
        <v>0</v>
      </c>
      <c r="HT79" s="202">
        <f t="shared" si="401"/>
        <v>0</v>
      </c>
      <c r="HU79" s="202">
        <f t="shared" si="453"/>
        <v>0</v>
      </c>
      <c r="HV79" s="203">
        <f t="shared" si="402"/>
        <v>0</v>
      </c>
      <c r="HW79" s="202">
        <f t="shared" si="403"/>
        <v>0</v>
      </c>
      <c r="HX79" s="202">
        <f t="shared" si="454"/>
        <v>0</v>
      </c>
      <c r="HY79" s="203">
        <f t="shared" si="365"/>
        <v>0</v>
      </c>
      <c r="HZ79" s="202">
        <f t="shared" si="404"/>
        <v>0</v>
      </c>
      <c r="IA79" s="202">
        <f t="shared" si="455"/>
        <v>0</v>
      </c>
      <c r="IB79" s="203">
        <f t="shared" si="405"/>
        <v>0</v>
      </c>
      <c r="IC79" s="202">
        <f t="shared" si="366"/>
        <v>0</v>
      </c>
      <c r="ID79" s="202">
        <f t="shared" si="456"/>
        <v>0</v>
      </c>
      <c r="IE79" s="203">
        <f t="shared" si="367"/>
        <v>0</v>
      </c>
      <c r="IF79" s="202">
        <f t="shared" si="368"/>
        <v>0</v>
      </c>
      <c r="IG79" s="202">
        <f t="shared" si="457"/>
        <v>0</v>
      </c>
      <c r="IH79" s="203">
        <f t="shared" si="406"/>
        <v>0</v>
      </c>
      <c r="II79" s="202">
        <f t="shared" si="407"/>
        <v>0</v>
      </c>
      <c r="IJ79" s="202">
        <f t="shared" si="458"/>
        <v>0</v>
      </c>
      <c r="IK79" s="203">
        <f t="shared" si="369"/>
        <v>0</v>
      </c>
      <c r="IL79" s="202">
        <f t="shared" si="370"/>
        <v>0</v>
      </c>
      <c r="IM79" s="202">
        <f t="shared" si="459"/>
        <v>0</v>
      </c>
      <c r="IN79" s="204"/>
      <c r="IO79" s="203">
        <f t="shared" si="371"/>
        <v>0</v>
      </c>
      <c r="IP79" s="202">
        <f t="shared" si="460"/>
        <v>0</v>
      </c>
      <c r="IQ79" s="202">
        <f t="shared" si="461"/>
        <v>0</v>
      </c>
      <c r="IR79" s="204"/>
      <c r="IS79" s="203"/>
      <c r="IT79" s="202">
        <f t="shared" si="462"/>
        <v>1</v>
      </c>
      <c r="IU79" s="202">
        <f t="shared" si="463"/>
        <v>91</v>
      </c>
      <c r="IV79" s="204"/>
      <c r="IW79" s="203"/>
      <c r="IX79" s="202">
        <f t="shared" si="464"/>
        <v>0</v>
      </c>
      <c r="IY79" s="202">
        <f t="shared" si="465"/>
        <v>0</v>
      </c>
      <c r="IZ79" s="204"/>
      <c r="JA79" s="203"/>
      <c r="JB79" s="202">
        <f t="shared" si="466"/>
        <v>0</v>
      </c>
      <c r="JC79" s="202">
        <f t="shared" si="467"/>
        <v>0</v>
      </c>
      <c r="JD79" s="204"/>
      <c r="JE79" s="203"/>
      <c r="JF79" s="202">
        <f t="shared" si="408"/>
        <v>1</v>
      </c>
      <c r="JG79" s="202">
        <f t="shared" si="408"/>
        <v>91</v>
      </c>
      <c r="JH79" s="204"/>
      <c r="JI79" s="203"/>
      <c r="JJ79" s="202">
        <f t="shared" si="468"/>
        <v>0</v>
      </c>
      <c r="JK79" s="202">
        <f t="shared" si="469"/>
        <v>0</v>
      </c>
      <c r="JM79" s="203">
        <f t="shared" si="409"/>
        <v>0</v>
      </c>
      <c r="JO79" s="196">
        <f t="shared" si="372"/>
        <v>0</v>
      </c>
      <c r="JP79" s="189">
        <f t="shared" si="470"/>
        <v>0</v>
      </c>
      <c r="JQ79" s="189">
        <f t="shared" si="471"/>
        <v>0</v>
      </c>
      <c r="JR79" s="189">
        <f t="shared" si="472"/>
        <v>0</v>
      </c>
      <c r="JS79" s="189">
        <f t="shared" si="473"/>
        <v>0</v>
      </c>
      <c r="JT79" s="189">
        <f t="shared" si="474"/>
        <v>0</v>
      </c>
      <c r="JU79" s="189">
        <f t="shared" si="475"/>
        <v>0</v>
      </c>
      <c r="JV79" s="189">
        <f t="shared" si="476"/>
        <v>0</v>
      </c>
      <c r="JW79" s="189">
        <f t="shared" si="477"/>
        <v>0</v>
      </c>
      <c r="JX79" s="189">
        <f t="shared" si="478"/>
        <v>0</v>
      </c>
      <c r="JY79" s="189">
        <f t="shared" si="479"/>
        <v>0</v>
      </c>
      <c r="JZ79" s="189">
        <f t="shared" si="480"/>
        <v>0</v>
      </c>
      <c r="KA79" s="189">
        <f t="shared" si="481"/>
        <v>0</v>
      </c>
      <c r="KB79" s="189">
        <f t="shared" si="482"/>
        <v>0</v>
      </c>
      <c r="KD79" s="206">
        <f t="shared" si="410"/>
        <v>0</v>
      </c>
      <c r="KE79" s="206">
        <f t="shared" si="373"/>
        <v>0</v>
      </c>
      <c r="KF79" s="206">
        <f t="shared" si="483"/>
        <v>0</v>
      </c>
      <c r="KG79" s="206">
        <f t="shared" si="484"/>
        <v>0</v>
      </c>
      <c r="KH79" s="206">
        <f t="shared" si="485"/>
        <v>0</v>
      </c>
      <c r="KI79" s="206">
        <f t="shared" si="486"/>
        <v>0</v>
      </c>
      <c r="KJ79" s="206">
        <f t="shared" si="487"/>
        <v>0</v>
      </c>
      <c r="KK79" s="206">
        <f t="shared" si="488"/>
        <v>0</v>
      </c>
      <c r="KL79" s="206">
        <f t="shared" si="489"/>
        <v>0</v>
      </c>
      <c r="KM79" s="206">
        <f t="shared" si="490"/>
        <v>0</v>
      </c>
      <c r="KN79" s="221">
        <f t="shared" si="491"/>
        <v>0</v>
      </c>
      <c r="KO79" s="221">
        <f t="shared" si="492"/>
        <v>0</v>
      </c>
      <c r="KP79" s="221">
        <f t="shared" si="493"/>
        <v>0</v>
      </c>
      <c r="KQ79" s="221">
        <f t="shared" si="494"/>
        <v>0</v>
      </c>
      <c r="KR79" s="221">
        <f t="shared" si="495"/>
        <v>0</v>
      </c>
      <c r="KT79" s="195">
        <f t="shared" si="496"/>
        <v>0</v>
      </c>
      <c r="KU79" s="221"/>
      <c r="KV79" s="221"/>
      <c r="KW79" s="221"/>
      <c r="KX79" s="221"/>
      <c r="KY79" s="221"/>
      <c r="KZ79" s="221"/>
      <c r="LA79" s="221"/>
      <c r="LB79" s="221"/>
      <c r="LC79" s="221"/>
      <c r="LD79" s="221"/>
      <c r="LE79" s="221"/>
      <c r="LF79" s="221"/>
      <c r="LG79" s="221"/>
      <c r="LH79" s="221"/>
      <c r="LI79" s="221"/>
      <c r="LJ79" s="221"/>
      <c r="LK79" s="221"/>
      <c r="LL79" s="221"/>
      <c r="LM79" s="221"/>
      <c r="LN79" s="221"/>
      <c r="LO79" s="221"/>
      <c r="LP79" s="221"/>
      <c r="LQ79" s="221"/>
      <c r="LR79" s="221"/>
      <c r="LS79" s="221"/>
      <c r="LT79" s="221"/>
      <c r="LU79" s="221"/>
      <c r="LV79" s="221"/>
      <c r="LW79" s="221"/>
      <c r="LX79" s="221"/>
      <c r="LY79" s="221"/>
      <c r="LZ79" s="221"/>
      <c r="MA79" s="221"/>
      <c r="MB79" s="221"/>
      <c r="MC79" s="221"/>
      <c r="MD79" s="221"/>
      <c r="ME79" s="221"/>
      <c r="MF79" s="221"/>
      <c r="MG79" s="221"/>
      <c r="MH79" s="221"/>
      <c r="MI79" s="221"/>
      <c r="MJ79" s="221"/>
      <c r="MK79" s="221"/>
      <c r="ML79" s="221"/>
      <c r="MM79" s="221"/>
      <c r="MN79" s="221"/>
      <c r="MO79" s="221"/>
      <c r="MP79" s="221"/>
      <c r="MQ79" s="221"/>
      <c r="MR79" s="221"/>
      <c r="MS79" s="221"/>
      <c r="MT79" s="221"/>
      <c r="MU79" s="221"/>
      <c r="MV79" s="221"/>
      <c r="MW79" s="221"/>
      <c r="MX79" s="221"/>
      <c r="MY79" s="221"/>
      <c r="MZ79" s="221"/>
      <c r="NA79" s="221"/>
      <c r="NB79" s="221"/>
      <c r="NC79" s="221"/>
      <c r="ND79" s="221"/>
      <c r="NE79" s="221"/>
      <c r="NF79" s="221"/>
      <c r="NG79" s="221"/>
      <c r="NH79" s="221"/>
      <c r="NI79" s="221"/>
      <c r="NJ79" s="221"/>
      <c r="NK79" s="221"/>
      <c r="NM79" s="195">
        <f t="shared" si="411"/>
        <v>0</v>
      </c>
      <c r="NN79" s="195">
        <f t="shared" si="412"/>
        <v>0</v>
      </c>
      <c r="NO79" s="195">
        <f t="shared" si="413"/>
        <v>0</v>
      </c>
      <c r="NP79" s="195">
        <f t="shared" si="414"/>
        <v>0</v>
      </c>
      <c r="NQ79" s="195">
        <f t="shared" si="415"/>
        <v>0</v>
      </c>
      <c r="NR79" s="195">
        <f t="shared" si="416"/>
        <v>0</v>
      </c>
      <c r="NS79" s="195">
        <f t="shared" si="417"/>
        <v>0</v>
      </c>
      <c r="NT79" s="195">
        <f t="shared" si="418"/>
        <v>0</v>
      </c>
      <c r="NU79" s="196">
        <f t="shared" si="419"/>
        <v>0</v>
      </c>
      <c r="NY79" s="215">
        <f t="shared" si="420"/>
        <v>1</v>
      </c>
      <c r="NZ79" s="222">
        <v>11562500</v>
      </c>
      <c r="OE79" s="207">
        <f t="shared" si="374"/>
        <v>0</v>
      </c>
      <c r="OF79" s="207">
        <f t="shared" si="375"/>
        <v>0</v>
      </c>
      <c r="OG79" s="207">
        <f t="shared" si="376"/>
        <v>0</v>
      </c>
      <c r="OH79" s="207">
        <f t="shared" si="421"/>
        <v>0</v>
      </c>
      <c r="OI79" s="207">
        <f t="shared" si="377"/>
        <v>0</v>
      </c>
      <c r="OJ79" s="199">
        <f t="shared" si="422"/>
        <v>0</v>
      </c>
      <c r="OK79" s="199">
        <f t="shared" si="423"/>
        <v>0</v>
      </c>
      <c r="OL79" s="199">
        <f t="shared" si="424"/>
        <v>0</v>
      </c>
      <c r="OM79" s="199">
        <f t="shared" si="425"/>
        <v>0</v>
      </c>
      <c r="OO79" s="207">
        <f t="shared" si="378"/>
        <v>0</v>
      </c>
      <c r="OP79" s="207">
        <f t="shared" si="379"/>
        <v>0</v>
      </c>
      <c r="OQ79" s="207">
        <f t="shared" si="426"/>
        <v>0</v>
      </c>
      <c r="OR79" s="207">
        <f t="shared" si="427"/>
        <v>0</v>
      </c>
      <c r="OS79" s="207">
        <f t="shared" si="428"/>
        <v>0</v>
      </c>
      <c r="OT79" s="199">
        <f t="shared" si="429"/>
        <v>0</v>
      </c>
      <c r="OU79" s="199">
        <f t="shared" si="430"/>
        <v>0</v>
      </c>
      <c r="OV79" s="199">
        <f t="shared" si="431"/>
        <v>0</v>
      </c>
      <c r="OW79" s="199">
        <f t="shared" si="432"/>
        <v>0</v>
      </c>
      <c r="OZ79" s="208">
        <f t="shared" si="380"/>
        <v>0</v>
      </c>
      <c r="PA79" s="209"/>
      <c r="PB79" s="209"/>
      <c r="PC79" s="209"/>
      <c r="PD79" s="210">
        <f t="shared" si="433"/>
        <v>0</v>
      </c>
      <c r="PE79" s="210"/>
      <c r="PF79" s="210">
        <f t="shared" si="434"/>
        <v>0</v>
      </c>
      <c r="PG79" s="210">
        <f t="shared" si="435"/>
        <v>0</v>
      </c>
      <c r="PH79" s="210">
        <f t="shared" si="381"/>
        <v>0</v>
      </c>
      <c r="PI79" s="210">
        <f t="shared" si="382"/>
        <v>0</v>
      </c>
      <c r="PJ79" s="210">
        <f t="shared" si="383"/>
        <v>0</v>
      </c>
      <c r="PK79" s="210">
        <f t="shared" si="384"/>
        <v>0</v>
      </c>
      <c r="PL79" s="210">
        <f t="shared" si="385"/>
        <v>0</v>
      </c>
      <c r="PM79" s="211"/>
      <c r="PN79" s="211"/>
      <c r="PO79" s="212">
        <f t="shared" si="436"/>
        <v>0</v>
      </c>
      <c r="PP79" s="212">
        <f t="shared" si="437"/>
        <v>0</v>
      </c>
      <c r="PQ79" s="212">
        <f t="shared" si="438"/>
        <v>0</v>
      </c>
      <c r="PR79" s="211"/>
      <c r="PS79" s="211"/>
      <c r="PT79" s="211"/>
      <c r="PU79" s="211"/>
    </row>
    <row r="80" spans="1:437 16383:16383" s="195" customFormat="1" ht="16" x14ac:dyDescent="0.2">
      <c r="A80" s="213">
        <f t="shared" si="206"/>
        <v>70</v>
      </c>
      <c r="B80" s="186" t="s">
        <v>82</v>
      </c>
      <c r="C80" s="186">
        <v>76</v>
      </c>
      <c r="D80" s="188">
        <v>1</v>
      </c>
      <c r="E80" s="188">
        <v>109</v>
      </c>
      <c r="F80" s="188">
        <v>1</v>
      </c>
      <c r="G80" s="188">
        <f t="shared" si="308"/>
        <v>109</v>
      </c>
      <c r="H80" s="214">
        <f t="shared" si="311"/>
        <v>1</v>
      </c>
      <c r="I80" s="214">
        <f t="shared" si="312"/>
        <v>1</v>
      </c>
      <c r="J80" s="188">
        <v>1</v>
      </c>
      <c r="K80" s="188">
        <f t="shared" si="313"/>
        <v>109</v>
      </c>
      <c r="L80" s="214">
        <f t="shared" si="314"/>
        <v>1</v>
      </c>
      <c r="M80" s="214">
        <f t="shared" si="315"/>
        <v>1</v>
      </c>
      <c r="N80" s="188">
        <v>1</v>
      </c>
      <c r="O80" s="188">
        <f t="shared" si="316"/>
        <v>109</v>
      </c>
      <c r="P80" s="214">
        <f t="shared" si="317"/>
        <v>1</v>
      </c>
      <c r="Q80" s="214">
        <f t="shared" si="318"/>
        <v>1</v>
      </c>
      <c r="R80" s="188">
        <v>1</v>
      </c>
      <c r="S80" s="188">
        <f t="shared" si="319"/>
        <v>109</v>
      </c>
      <c r="T80" s="214">
        <f t="shared" si="320"/>
        <v>1</v>
      </c>
      <c r="U80" s="214">
        <f t="shared" si="321"/>
        <v>1</v>
      </c>
      <c r="V80" s="215">
        <v>1</v>
      </c>
      <c r="W80" s="188">
        <f t="shared" si="322"/>
        <v>109</v>
      </c>
      <c r="X80" s="214">
        <f t="shared" si="323"/>
        <v>1</v>
      </c>
      <c r="Y80" s="214">
        <f t="shared" si="324"/>
        <v>1</v>
      </c>
      <c r="Z80" s="216">
        <f>2031012000/1000000000</f>
        <v>2.031012</v>
      </c>
      <c r="AA80" s="188">
        <v>0</v>
      </c>
      <c r="AB80" s="188">
        <f t="shared" si="339"/>
        <v>0</v>
      </c>
      <c r="AC80" s="214">
        <f t="shared" si="340"/>
        <v>0</v>
      </c>
      <c r="AD80" s="214">
        <f t="shared" si="341"/>
        <v>0</v>
      </c>
      <c r="AE80" s="188"/>
      <c r="AF80" s="188">
        <f t="shared" si="342"/>
        <v>0</v>
      </c>
      <c r="AG80" s="188"/>
      <c r="AH80" s="188"/>
      <c r="AI80" s="188">
        <v>0</v>
      </c>
      <c r="AJ80" s="188">
        <f t="shared" si="325"/>
        <v>0</v>
      </c>
      <c r="AK80" s="188"/>
      <c r="AL80" s="188">
        <v>0</v>
      </c>
      <c r="AM80" s="188">
        <v>0</v>
      </c>
      <c r="AN80" s="217"/>
      <c r="AO80" s="188"/>
      <c r="AP80" s="188"/>
      <c r="AQ80" s="188"/>
      <c r="AR80" s="188"/>
      <c r="AS80" s="188"/>
      <c r="AT80" s="188"/>
      <c r="AU80" s="188"/>
      <c r="AV80" s="188"/>
      <c r="AW80" s="188"/>
      <c r="AX80" s="188"/>
      <c r="AY80" s="188"/>
      <c r="AZ80" s="188"/>
      <c r="BA80" s="188"/>
      <c r="BB80" s="188">
        <f t="shared" si="343"/>
        <v>0</v>
      </c>
      <c r="BD80" s="196">
        <f t="shared" si="386"/>
        <v>0</v>
      </c>
      <c r="BE80" s="188">
        <f t="shared" si="326"/>
        <v>0</v>
      </c>
      <c r="BF80" s="188">
        <f t="shared" si="327"/>
        <v>0</v>
      </c>
      <c r="BG80" s="188">
        <f t="shared" si="328"/>
        <v>0</v>
      </c>
      <c r="BH80" s="188">
        <f t="shared" si="329"/>
        <v>0</v>
      </c>
      <c r="BI80" s="188">
        <f t="shared" si="330"/>
        <v>0</v>
      </c>
      <c r="BJ80" s="188">
        <f t="shared" si="331"/>
        <v>0</v>
      </c>
      <c r="BK80" s="188">
        <f t="shared" si="332"/>
        <v>0</v>
      </c>
      <c r="BN80" s="277">
        <v>62</v>
      </c>
      <c r="BO80" s="139">
        <v>1</v>
      </c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B80" s="188"/>
      <c r="CD80" s="188">
        <f t="shared" si="344"/>
        <v>62</v>
      </c>
      <c r="CE80" s="188">
        <f t="shared" si="345"/>
        <v>62</v>
      </c>
      <c r="CF80" s="188">
        <f t="shared" si="346"/>
        <v>0</v>
      </c>
      <c r="CG80" s="188">
        <f t="shared" si="347"/>
        <v>0</v>
      </c>
      <c r="CH80" s="188">
        <f t="shared" si="348"/>
        <v>0</v>
      </c>
      <c r="CI80" s="188">
        <f t="shared" si="349"/>
        <v>0</v>
      </c>
      <c r="CJ80" s="188">
        <f t="shared" si="350"/>
        <v>0</v>
      </c>
      <c r="CK80" s="188">
        <f t="shared" si="351"/>
        <v>0</v>
      </c>
      <c r="CL80" s="188">
        <f t="shared" si="352"/>
        <v>0</v>
      </c>
      <c r="CM80" s="188">
        <f t="shared" si="353"/>
        <v>0</v>
      </c>
      <c r="CN80" s="188">
        <f t="shared" si="354"/>
        <v>0</v>
      </c>
      <c r="CO80" s="188">
        <f t="shared" si="355"/>
        <v>0</v>
      </c>
      <c r="CP80" s="188">
        <f t="shared" si="356"/>
        <v>0</v>
      </c>
      <c r="DV80" s="188">
        <f t="shared" si="333"/>
        <v>0</v>
      </c>
      <c r="DW80" s="188">
        <f t="shared" si="334"/>
        <v>0</v>
      </c>
      <c r="DX80" s="188">
        <f t="shared" si="335"/>
        <v>0</v>
      </c>
      <c r="DY80" s="188">
        <f t="shared" si="336"/>
        <v>0</v>
      </c>
      <c r="DZ80" s="188">
        <f t="shared" si="337"/>
        <v>0</v>
      </c>
      <c r="EA80" s="188">
        <f t="shared" si="338"/>
        <v>0</v>
      </c>
      <c r="EB80" s="188">
        <f t="shared" si="357"/>
        <v>0</v>
      </c>
      <c r="EG80" s="220">
        <f t="shared" si="358"/>
        <v>0</v>
      </c>
      <c r="EH80" s="220">
        <f t="shared" si="359"/>
        <v>0</v>
      </c>
      <c r="EI80" s="188"/>
      <c r="EJ80" s="188"/>
      <c r="EK80" s="188"/>
      <c r="EL80" s="188"/>
      <c r="EM80" s="188"/>
      <c r="EN80" s="188"/>
      <c r="EO80" s="188"/>
      <c r="EP80" s="188"/>
      <c r="EQ80" s="188"/>
      <c r="ER80" s="188"/>
      <c r="ES80" s="188"/>
      <c r="ET80" s="188"/>
      <c r="EU80" s="188"/>
      <c r="EV80" s="188"/>
      <c r="EW80" s="188"/>
      <c r="EX80" s="188"/>
      <c r="EY80" s="188"/>
      <c r="EZ80" s="188"/>
      <c r="FA80" s="188"/>
      <c r="FB80" s="188"/>
      <c r="FC80" s="188"/>
      <c r="FD80" s="188"/>
      <c r="FE80" s="188"/>
      <c r="FF80" s="188"/>
      <c r="FH80" s="189"/>
      <c r="FI80" s="189"/>
      <c r="FJ80" s="189"/>
      <c r="FK80" s="189"/>
      <c r="FL80" s="189"/>
      <c r="FM80" s="189"/>
      <c r="FN80" s="189"/>
      <c r="FO80" s="189"/>
      <c r="FP80" s="189"/>
      <c r="FQ80" s="189"/>
      <c r="FR80" s="189"/>
      <c r="FS80" s="189"/>
      <c r="FT80" s="189"/>
      <c r="FU80" s="189"/>
      <c r="FV80" s="189"/>
      <c r="FX80" s="217">
        <v>1</v>
      </c>
      <c r="FY80" s="188">
        <f t="shared" si="360"/>
        <v>62</v>
      </c>
      <c r="FZ80" s="188">
        <f t="shared" si="439"/>
        <v>62</v>
      </c>
      <c r="GA80" s="188">
        <f t="shared" si="440"/>
        <v>0</v>
      </c>
      <c r="GB80" s="188">
        <f t="shared" si="441"/>
        <v>0</v>
      </c>
      <c r="GC80" s="188">
        <f t="shared" si="442"/>
        <v>0</v>
      </c>
      <c r="GD80" s="188">
        <f t="shared" si="443"/>
        <v>0</v>
      </c>
      <c r="GE80" s="188">
        <f t="shared" si="444"/>
        <v>0</v>
      </c>
      <c r="GF80" s="199"/>
      <c r="GG80" s="189">
        <v>0</v>
      </c>
      <c r="GH80" s="189">
        <v>0</v>
      </c>
      <c r="GI80" s="199"/>
      <c r="GJ80" s="200">
        <f t="shared" si="361"/>
        <v>0</v>
      </c>
      <c r="GK80" s="200">
        <f t="shared" si="362"/>
        <v>0</v>
      </c>
      <c r="GO80" s="189">
        <f t="shared" si="445"/>
        <v>0</v>
      </c>
      <c r="GP80" s="189">
        <f t="shared" si="446"/>
        <v>0</v>
      </c>
      <c r="GQ80" s="189">
        <f t="shared" si="447"/>
        <v>0</v>
      </c>
      <c r="GR80" s="189">
        <f t="shared" si="448"/>
        <v>0</v>
      </c>
      <c r="GS80" s="189">
        <f t="shared" si="449"/>
        <v>0</v>
      </c>
      <c r="GT80" s="189">
        <f t="shared" si="387"/>
        <v>1</v>
      </c>
      <c r="GU80" s="201">
        <f t="shared" si="388"/>
        <v>43243</v>
      </c>
      <c r="GV80" s="189" t="str">
        <f t="shared" si="389"/>
        <v>SELESAI</v>
      </c>
      <c r="GW80" s="189">
        <f t="shared" si="390"/>
        <v>0</v>
      </c>
      <c r="GX80" s="202" t="str">
        <f t="shared" si="391"/>
        <v>SELESAI</v>
      </c>
      <c r="GY80" s="202">
        <f t="shared" si="392"/>
        <v>0</v>
      </c>
      <c r="GZ80" s="203" t="str">
        <f t="shared" si="393"/>
        <v>SELESAI</v>
      </c>
      <c r="HA80" s="204"/>
      <c r="HB80" s="204"/>
      <c r="HC80" s="189">
        <f t="shared" si="450"/>
        <v>0</v>
      </c>
      <c r="HD80" s="189">
        <f t="shared" si="451"/>
        <v>0</v>
      </c>
      <c r="HE80" s="189">
        <f t="shared" si="394"/>
        <v>0</v>
      </c>
      <c r="HF80" s="189">
        <f t="shared" si="395"/>
        <v>0</v>
      </c>
      <c r="HG80" s="189">
        <f t="shared" si="396"/>
        <v>0</v>
      </c>
      <c r="HH80" s="201" t="str">
        <f t="shared" si="363"/>
        <v>TIDAK KONSINYASI</v>
      </c>
      <c r="HI80" s="201" t="str">
        <f t="shared" si="397"/>
        <v>SELESAI</v>
      </c>
      <c r="HJ80" s="205"/>
      <c r="HK80" s="201">
        <f t="shared" si="364"/>
        <v>0</v>
      </c>
      <c r="HL80" s="204"/>
      <c r="HM80" s="204"/>
      <c r="HN80" s="204"/>
      <c r="HO80" s="204"/>
      <c r="HP80" s="203">
        <f t="shared" si="398"/>
        <v>0</v>
      </c>
      <c r="HQ80" s="202">
        <f t="shared" si="399"/>
        <v>0</v>
      </c>
      <c r="HR80" s="202">
        <f t="shared" si="452"/>
        <v>0</v>
      </c>
      <c r="HS80" s="203">
        <f t="shared" si="400"/>
        <v>0</v>
      </c>
      <c r="HT80" s="202">
        <f t="shared" si="401"/>
        <v>0</v>
      </c>
      <c r="HU80" s="202">
        <f t="shared" si="453"/>
        <v>0</v>
      </c>
      <c r="HV80" s="203">
        <f t="shared" si="402"/>
        <v>0</v>
      </c>
      <c r="HW80" s="202">
        <f t="shared" si="403"/>
        <v>0</v>
      </c>
      <c r="HX80" s="202">
        <f t="shared" si="454"/>
        <v>0</v>
      </c>
      <c r="HY80" s="203">
        <f t="shared" si="365"/>
        <v>0</v>
      </c>
      <c r="HZ80" s="202">
        <f t="shared" si="404"/>
        <v>0</v>
      </c>
      <c r="IA80" s="202">
        <f t="shared" si="455"/>
        <v>0</v>
      </c>
      <c r="IB80" s="203">
        <f t="shared" si="405"/>
        <v>0</v>
      </c>
      <c r="IC80" s="202">
        <f t="shared" si="366"/>
        <v>0</v>
      </c>
      <c r="ID80" s="202">
        <f t="shared" si="456"/>
        <v>0</v>
      </c>
      <c r="IE80" s="203">
        <f t="shared" si="367"/>
        <v>0</v>
      </c>
      <c r="IF80" s="202">
        <f t="shared" si="368"/>
        <v>0</v>
      </c>
      <c r="IG80" s="202">
        <f t="shared" si="457"/>
        <v>0</v>
      </c>
      <c r="IH80" s="203">
        <f t="shared" si="406"/>
        <v>0</v>
      </c>
      <c r="II80" s="202">
        <f t="shared" si="407"/>
        <v>0</v>
      </c>
      <c r="IJ80" s="202">
        <f t="shared" si="458"/>
        <v>0</v>
      </c>
      <c r="IK80" s="203">
        <f t="shared" si="369"/>
        <v>0</v>
      </c>
      <c r="IL80" s="202">
        <f t="shared" si="370"/>
        <v>0</v>
      </c>
      <c r="IM80" s="202">
        <f t="shared" si="459"/>
        <v>0</v>
      </c>
      <c r="IN80" s="204"/>
      <c r="IO80" s="203">
        <f t="shared" si="371"/>
        <v>0</v>
      </c>
      <c r="IP80" s="202">
        <f t="shared" si="460"/>
        <v>0</v>
      </c>
      <c r="IQ80" s="202">
        <f t="shared" si="461"/>
        <v>0</v>
      </c>
      <c r="IR80" s="204"/>
      <c r="IS80" s="203"/>
      <c r="IT80" s="202">
        <f t="shared" si="462"/>
        <v>1</v>
      </c>
      <c r="IU80" s="202">
        <f t="shared" si="463"/>
        <v>109</v>
      </c>
      <c r="IV80" s="204"/>
      <c r="IW80" s="203"/>
      <c r="IX80" s="202">
        <f t="shared" si="464"/>
        <v>0</v>
      </c>
      <c r="IY80" s="202">
        <f t="shared" si="465"/>
        <v>0</v>
      </c>
      <c r="IZ80" s="204"/>
      <c r="JA80" s="203"/>
      <c r="JB80" s="202">
        <f t="shared" si="466"/>
        <v>0</v>
      </c>
      <c r="JC80" s="202">
        <f t="shared" si="467"/>
        <v>0</v>
      </c>
      <c r="JD80" s="204"/>
      <c r="JE80" s="203"/>
      <c r="JF80" s="202">
        <f t="shared" si="408"/>
        <v>1</v>
      </c>
      <c r="JG80" s="202">
        <f t="shared" si="408"/>
        <v>109</v>
      </c>
      <c r="JH80" s="204"/>
      <c r="JI80" s="203"/>
      <c r="JJ80" s="202">
        <f t="shared" si="468"/>
        <v>0</v>
      </c>
      <c r="JK80" s="202">
        <f t="shared" si="469"/>
        <v>0</v>
      </c>
      <c r="JM80" s="203">
        <f t="shared" si="409"/>
        <v>0</v>
      </c>
      <c r="JO80" s="196">
        <f t="shared" si="372"/>
        <v>1</v>
      </c>
      <c r="JP80" s="189">
        <f t="shared" si="470"/>
        <v>62</v>
      </c>
      <c r="JQ80" s="189">
        <f t="shared" si="471"/>
        <v>1</v>
      </c>
      <c r="JR80" s="189">
        <f t="shared" si="472"/>
        <v>0</v>
      </c>
      <c r="JS80" s="189">
        <f t="shared" si="473"/>
        <v>0</v>
      </c>
      <c r="JT80" s="189">
        <f t="shared" si="474"/>
        <v>0</v>
      </c>
      <c r="JU80" s="189">
        <f t="shared" si="475"/>
        <v>0</v>
      </c>
      <c r="JV80" s="189">
        <f t="shared" si="476"/>
        <v>0</v>
      </c>
      <c r="JW80" s="189">
        <f t="shared" si="477"/>
        <v>0</v>
      </c>
      <c r="JX80" s="189">
        <f t="shared" si="478"/>
        <v>0</v>
      </c>
      <c r="JY80" s="189">
        <f t="shared" si="479"/>
        <v>0</v>
      </c>
      <c r="JZ80" s="189">
        <f t="shared" si="480"/>
        <v>0</v>
      </c>
      <c r="KA80" s="189">
        <f t="shared" si="481"/>
        <v>0</v>
      </c>
      <c r="KB80" s="189">
        <f t="shared" si="482"/>
        <v>0</v>
      </c>
      <c r="KD80" s="206">
        <f t="shared" si="410"/>
        <v>0</v>
      </c>
      <c r="KE80" s="206">
        <f t="shared" si="373"/>
        <v>0</v>
      </c>
      <c r="KF80" s="206">
        <f t="shared" si="483"/>
        <v>62</v>
      </c>
      <c r="KG80" s="206">
        <f t="shared" si="484"/>
        <v>62</v>
      </c>
      <c r="KH80" s="206">
        <f t="shared" si="485"/>
        <v>0</v>
      </c>
      <c r="KI80" s="206">
        <f t="shared" si="486"/>
        <v>0</v>
      </c>
      <c r="KJ80" s="206">
        <f t="shared" si="487"/>
        <v>0</v>
      </c>
      <c r="KK80" s="206">
        <f t="shared" si="488"/>
        <v>0</v>
      </c>
      <c r="KL80" s="206">
        <f t="shared" si="489"/>
        <v>0</v>
      </c>
      <c r="KM80" s="206">
        <f t="shared" si="490"/>
        <v>0</v>
      </c>
      <c r="KN80" s="221">
        <f t="shared" si="491"/>
        <v>0</v>
      </c>
      <c r="KO80" s="221">
        <f t="shared" si="492"/>
        <v>0</v>
      </c>
      <c r="KP80" s="221">
        <f t="shared" si="493"/>
        <v>0</v>
      </c>
      <c r="KQ80" s="221">
        <f t="shared" si="494"/>
        <v>0</v>
      </c>
      <c r="KR80" s="221">
        <f t="shared" si="495"/>
        <v>0</v>
      </c>
      <c r="KT80" s="195">
        <f t="shared" si="496"/>
        <v>0</v>
      </c>
      <c r="KU80" s="221"/>
      <c r="KV80" s="221"/>
      <c r="KW80" s="221"/>
      <c r="KX80" s="221"/>
      <c r="KY80" s="221"/>
      <c r="KZ80" s="221"/>
      <c r="LA80" s="221"/>
      <c r="LB80" s="221"/>
      <c r="LC80" s="221"/>
      <c r="LD80" s="221"/>
      <c r="LE80" s="221"/>
      <c r="LF80" s="221"/>
      <c r="LG80" s="221"/>
      <c r="LH80" s="221"/>
      <c r="LI80" s="221"/>
      <c r="LJ80" s="221"/>
      <c r="LK80" s="221"/>
      <c r="LL80" s="221"/>
      <c r="LM80" s="221"/>
      <c r="LN80" s="221"/>
      <c r="LO80" s="221"/>
      <c r="LP80" s="221"/>
      <c r="LQ80" s="221"/>
      <c r="LR80" s="221"/>
      <c r="LS80" s="221"/>
      <c r="LT80" s="221"/>
      <c r="LU80" s="221"/>
      <c r="LV80" s="221"/>
      <c r="LW80" s="221"/>
      <c r="LX80" s="221"/>
      <c r="LY80" s="221"/>
      <c r="LZ80" s="221"/>
      <c r="MA80" s="221"/>
      <c r="MB80" s="221"/>
      <c r="MC80" s="221"/>
      <c r="MD80" s="221"/>
      <c r="ME80" s="221"/>
      <c r="MF80" s="221"/>
      <c r="MG80" s="221"/>
      <c r="MH80" s="221"/>
      <c r="MI80" s="221"/>
      <c r="MJ80" s="221"/>
      <c r="MK80" s="221"/>
      <c r="ML80" s="221"/>
      <c r="MM80" s="221"/>
      <c r="MN80" s="221"/>
      <c r="MO80" s="221"/>
      <c r="MP80" s="221"/>
      <c r="MQ80" s="221"/>
      <c r="MR80" s="221"/>
      <c r="MS80" s="221"/>
      <c r="MT80" s="221"/>
      <c r="MU80" s="221"/>
      <c r="MV80" s="221"/>
      <c r="MW80" s="221"/>
      <c r="MX80" s="221"/>
      <c r="MY80" s="221"/>
      <c r="MZ80" s="221"/>
      <c r="NA80" s="221"/>
      <c r="NB80" s="221"/>
      <c r="NC80" s="221"/>
      <c r="ND80" s="221"/>
      <c r="NE80" s="221"/>
      <c r="NF80" s="221"/>
      <c r="NG80" s="221"/>
      <c r="NH80" s="221"/>
      <c r="NI80" s="221"/>
      <c r="NJ80" s="221"/>
      <c r="NK80" s="221"/>
      <c r="NM80" s="195">
        <f t="shared" si="411"/>
        <v>0</v>
      </c>
      <c r="NN80" s="195">
        <f t="shared" si="412"/>
        <v>0</v>
      </c>
      <c r="NO80" s="195">
        <f t="shared" si="413"/>
        <v>0</v>
      </c>
      <c r="NP80" s="195">
        <f t="shared" si="414"/>
        <v>0</v>
      </c>
      <c r="NQ80" s="195">
        <f t="shared" si="415"/>
        <v>0</v>
      </c>
      <c r="NR80" s="195">
        <f t="shared" si="416"/>
        <v>0</v>
      </c>
      <c r="NS80" s="195">
        <f t="shared" si="417"/>
        <v>0</v>
      </c>
      <c r="NT80" s="195">
        <f t="shared" si="418"/>
        <v>0</v>
      </c>
      <c r="NU80" s="196">
        <f t="shared" si="419"/>
        <v>0</v>
      </c>
      <c r="NY80" s="215">
        <f t="shared" si="420"/>
        <v>1</v>
      </c>
      <c r="NZ80" s="222">
        <v>11562500</v>
      </c>
      <c r="OE80" s="207">
        <f t="shared" si="374"/>
        <v>0</v>
      </c>
      <c r="OF80" s="207">
        <f t="shared" si="375"/>
        <v>0</v>
      </c>
      <c r="OG80" s="207">
        <f t="shared" si="376"/>
        <v>0</v>
      </c>
      <c r="OH80" s="207">
        <f t="shared" si="421"/>
        <v>0</v>
      </c>
      <c r="OI80" s="207">
        <f t="shared" si="377"/>
        <v>0</v>
      </c>
      <c r="OJ80" s="199">
        <f t="shared" si="422"/>
        <v>0</v>
      </c>
      <c r="OK80" s="199">
        <f t="shared" si="423"/>
        <v>0</v>
      </c>
      <c r="OL80" s="199">
        <f t="shared" si="424"/>
        <v>0</v>
      </c>
      <c r="OM80" s="199">
        <f t="shared" si="425"/>
        <v>0</v>
      </c>
      <c r="OO80" s="207">
        <f t="shared" si="378"/>
        <v>0</v>
      </c>
      <c r="OP80" s="207">
        <f t="shared" si="379"/>
        <v>0</v>
      </c>
      <c r="OQ80" s="207">
        <f t="shared" si="426"/>
        <v>0</v>
      </c>
      <c r="OR80" s="207">
        <f t="shared" si="427"/>
        <v>0</v>
      </c>
      <c r="OS80" s="207">
        <f t="shared" si="428"/>
        <v>0</v>
      </c>
      <c r="OT80" s="199">
        <f t="shared" si="429"/>
        <v>0</v>
      </c>
      <c r="OU80" s="199">
        <f t="shared" si="430"/>
        <v>0</v>
      </c>
      <c r="OV80" s="199">
        <f t="shared" si="431"/>
        <v>0</v>
      </c>
      <c r="OW80" s="199">
        <f t="shared" si="432"/>
        <v>0</v>
      </c>
      <c r="OZ80" s="208">
        <f t="shared" si="380"/>
        <v>0</v>
      </c>
      <c r="PA80" s="209"/>
      <c r="PB80" s="209"/>
      <c r="PC80" s="209"/>
      <c r="PD80" s="210">
        <f t="shared" si="433"/>
        <v>0</v>
      </c>
      <c r="PE80" s="210"/>
      <c r="PF80" s="210">
        <f t="shared" si="434"/>
        <v>0</v>
      </c>
      <c r="PG80" s="210">
        <f t="shared" si="435"/>
        <v>0</v>
      </c>
      <c r="PH80" s="210">
        <f t="shared" si="381"/>
        <v>0</v>
      </c>
      <c r="PI80" s="210">
        <f t="shared" si="382"/>
        <v>0</v>
      </c>
      <c r="PJ80" s="210">
        <f t="shared" si="383"/>
        <v>0</v>
      </c>
      <c r="PK80" s="210">
        <f t="shared" si="384"/>
        <v>0</v>
      </c>
      <c r="PL80" s="210">
        <f t="shared" si="385"/>
        <v>0</v>
      </c>
      <c r="PM80" s="211"/>
      <c r="PN80" s="211"/>
      <c r="PO80" s="212">
        <f t="shared" si="436"/>
        <v>0</v>
      </c>
      <c r="PP80" s="212">
        <f t="shared" si="437"/>
        <v>0</v>
      </c>
      <c r="PQ80" s="212">
        <f t="shared" si="438"/>
        <v>0</v>
      </c>
      <c r="PR80" s="211"/>
      <c r="PS80" s="211"/>
      <c r="PT80" s="211"/>
      <c r="PU80" s="211"/>
    </row>
    <row r="81" spans="1:437" s="195" customFormat="1" ht="16" x14ac:dyDescent="0.2">
      <c r="A81" s="213">
        <f t="shared" si="206"/>
        <v>71</v>
      </c>
      <c r="B81" s="186" t="s">
        <v>399</v>
      </c>
      <c r="C81" s="186">
        <v>77</v>
      </c>
      <c r="D81" s="188">
        <v>1</v>
      </c>
      <c r="E81" s="188">
        <v>68</v>
      </c>
      <c r="F81" s="188">
        <v>1</v>
      </c>
      <c r="G81" s="188">
        <f t="shared" si="308"/>
        <v>68</v>
      </c>
      <c r="H81" s="214">
        <f t="shared" si="311"/>
        <v>1</v>
      </c>
      <c r="I81" s="214">
        <f t="shared" si="312"/>
        <v>1</v>
      </c>
      <c r="J81" s="188">
        <v>1</v>
      </c>
      <c r="K81" s="188">
        <f t="shared" si="313"/>
        <v>68</v>
      </c>
      <c r="L81" s="214">
        <f t="shared" si="314"/>
        <v>1</v>
      </c>
      <c r="M81" s="214">
        <f t="shared" si="315"/>
        <v>1</v>
      </c>
      <c r="N81" s="188">
        <v>1</v>
      </c>
      <c r="O81" s="188">
        <f t="shared" si="316"/>
        <v>68</v>
      </c>
      <c r="P81" s="214">
        <f t="shared" si="317"/>
        <v>1</v>
      </c>
      <c r="Q81" s="214">
        <f t="shared" si="318"/>
        <v>1</v>
      </c>
      <c r="R81" s="188">
        <v>1</v>
      </c>
      <c r="S81" s="188">
        <f t="shared" si="319"/>
        <v>68</v>
      </c>
      <c r="T81" s="214">
        <f t="shared" si="320"/>
        <v>1</v>
      </c>
      <c r="U81" s="214">
        <f t="shared" si="321"/>
        <v>1</v>
      </c>
      <c r="V81" s="215">
        <v>1</v>
      </c>
      <c r="W81" s="188">
        <f t="shared" si="322"/>
        <v>68</v>
      </c>
      <c r="X81" s="214">
        <f t="shared" si="323"/>
        <v>1</v>
      </c>
      <c r="Y81" s="214">
        <f t="shared" si="324"/>
        <v>1</v>
      </c>
      <c r="Z81" s="216">
        <f>822735000/1000000000</f>
        <v>0.82273499999999999</v>
      </c>
      <c r="AA81" s="188">
        <v>0</v>
      </c>
      <c r="AB81" s="188">
        <f t="shared" si="339"/>
        <v>0</v>
      </c>
      <c r="AC81" s="214">
        <f t="shared" si="340"/>
        <v>0</v>
      </c>
      <c r="AD81" s="214">
        <f t="shared" si="341"/>
        <v>0</v>
      </c>
      <c r="AE81" s="188"/>
      <c r="AF81" s="188">
        <f t="shared" si="342"/>
        <v>0</v>
      </c>
      <c r="AG81" s="188"/>
      <c r="AH81" s="188"/>
      <c r="AI81" s="188">
        <v>0</v>
      </c>
      <c r="AJ81" s="188">
        <f t="shared" si="325"/>
        <v>0</v>
      </c>
      <c r="AK81" s="188"/>
      <c r="AL81" s="188">
        <v>0</v>
      </c>
      <c r="AM81" s="188">
        <v>0</v>
      </c>
      <c r="AN81" s="217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>
        <f t="shared" si="343"/>
        <v>0</v>
      </c>
      <c r="BD81" s="196">
        <f t="shared" si="386"/>
        <v>0</v>
      </c>
      <c r="BE81" s="188">
        <f t="shared" si="326"/>
        <v>0</v>
      </c>
      <c r="BF81" s="188">
        <f t="shared" si="327"/>
        <v>0</v>
      </c>
      <c r="BG81" s="188">
        <f t="shared" si="328"/>
        <v>0</v>
      </c>
      <c r="BH81" s="188">
        <f t="shared" si="329"/>
        <v>0</v>
      </c>
      <c r="BI81" s="188">
        <f t="shared" si="330"/>
        <v>0</v>
      </c>
      <c r="BJ81" s="188">
        <f t="shared" si="331"/>
        <v>0</v>
      </c>
      <c r="BK81" s="188">
        <f t="shared" si="332"/>
        <v>0</v>
      </c>
      <c r="BN81" s="139"/>
      <c r="BO81" s="277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B81" s="188"/>
      <c r="CD81" s="188">
        <f t="shared" si="344"/>
        <v>0</v>
      </c>
      <c r="CE81" s="188">
        <f t="shared" si="345"/>
        <v>0</v>
      </c>
      <c r="CF81" s="188">
        <f t="shared" si="346"/>
        <v>0</v>
      </c>
      <c r="CG81" s="188">
        <f t="shared" si="347"/>
        <v>0</v>
      </c>
      <c r="CH81" s="188">
        <f t="shared" si="348"/>
        <v>0</v>
      </c>
      <c r="CI81" s="188">
        <f t="shared" si="349"/>
        <v>0</v>
      </c>
      <c r="CJ81" s="188">
        <f t="shared" si="350"/>
        <v>0</v>
      </c>
      <c r="CK81" s="188">
        <f t="shared" si="351"/>
        <v>0</v>
      </c>
      <c r="CL81" s="188">
        <f t="shared" si="352"/>
        <v>0</v>
      </c>
      <c r="CM81" s="188">
        <f t="shared" si="353"/>
        <v>0</v>
      </c>
      <c r="CN81" s="188">
        <f t="shared" si="354"/>
        <v>0</v>
      </c>
      <c r="CO81" s="188">
        <f t="shared" si="355"/>
        <v>0</v>
      </c>
      <c r="CP81" s="188">
        <f t="shared" si="356"/>
        <v>0</v>
      </c>
      <c r="DV81" s="188">
        <f t="shared" si="333"/>
        <v>0</v>
      </c>
      <c r="DW81" s="188">
        <f t="shared" si="334"/>
        <v>0</v>
      </c>
      <c r="DX81" s="188">
        <f t="shared" si="335"/>
        <v>0</v>
      </c>
      <c r="DY81" s="188">
        <f t="shared" si="336"/>
        <v>0</v>
      </c>
      <c r="DZ81" s="188">
        <f t="shared" si="337"/>
        <v>0</v>
      </c>
      <c r="EA81" s="188">
        <f t="shared" si="338"/>
        <v>0</v>
      </c>
      <c r="EB81" s="188">
        <f t="shared" si="357"/>
        <v>0</v>
      </c>
      <c r="EG81" s="220">
        <f t="shared" si="358"/>
        <v>0</v>
      </c>
      <c r="EH81" s="220">
        <f t="shared" si="359"/>
        <v>0</v>
      </c>
      <c r="EI81" s="188"/>
      <c r="EJ81" s="188"/>
      <c r="EK81" s="188"/>
      <c r="EL81" s="188"/>
      <c r="EM81" s="188"/>
      <c r="EN81" s="188"/>
      <c r="EO81" s="188"/>
      <c r="EP81" s="188"/>
      <c r="EQ81" s="188"/>
      <c r="ER81" s="188"/>
      <c r="ES81" s="188"/>
      <c r="ET81" s="188"/>
      <c r="EU81" s="188"/>
      <c r="EV81" s="188"/>
      <c r="EW81" s="188"/>
      <c r="EX81" s="188"/>
      <c r="EY81" s="188"/>
      <c r="EZ81" s="188"/>
      <c r="FA81" s="188"/>
      <c r="FB81" s="188"/>
      <c r="FC81" s="188"/>
      <c r="FD81" s="188"/>
      <c r="FE81" s="188"/>
      <c r="FF81" s="188"/>
      <c r="FH81" s="189"/>
      <c r="FI81" s="189"/>
      <c r="FJ81" s="189"/>
      <c r="FK81" s="189"/>
      <c r="FL81" s="189"/>
      <c r="FM81" s="189"/>
      <c r="FN81" s="189"/>
      <c r="FO81" s="189"/>
      <c r="FP81" s="189"/>
      <c r="FQ81" s="189"/>
      <c r="FR81" s="189"/>
      <c r="FS81" s="189"/>
      <c r="FT81" s="189"/>
      <c r="FU81" s="189"/>
      <c r="FV81" s="189"/>
      <c r="FX81" s="217"/>
      <c r="FY81" s="188">
        <f t="shared" si="360"/>
        <v>0</v>
      </c>
      <c r="FZ81" s="188">
        <f t="shared" si="439"/>
        <v>0</v>
      </c>
      <c r="GA81" s="188">
        <f t="shared" si="440"/>
        <v>0</v>
      </c>
      <c r="GB81" s="188">
        <f t="shared" si="441"/>
        <v>0</v>
      </c>
      <c r="GC81" s="188">
        <f t="shared" si="442"/>
        <v>0</v>
      </c>
      <c r="GD81" s="188">
        <f t="shared" si="443"/>
        <v>0</v>
      </c>
      <c r="GE81" s="188">
        <f t="shared" si="444"/>
        <v>0</v>
      </c>
      <c r="GF81" s="199"/>
      <c r="GG81" s="189">
        <v>0</v>
      </c>
      <c r="GH81" s="189">
        <v>0</v>
      </c>
      <c r="GI81" s="199"/>
      <c r="GJ81" s="200">
        <f t="shared" si="361"/>
        <v>0</v>
      </c>
      <c r="GK81" s="200">
        <f t="shared" si="362"/>
        <v>0</v>
      </c>
      <c r="GO81" s="189">
        <f t="shared" si="445"/>
        <v>0</v>
      </c>
      <c r="GP81" s="189">
        <f t="shared" si="446"/>
        <v>0</v>
      </c>
      <c r="GQ81" s="189">
        <f t="shared" si="447"/>
        <v>0</v>
      </c>
      <c r="GR81" s="189">
        <f t="shared" si="448"/>
        <v>0</v>
      </c>
      <c r="GS81" s="189">
        <f t="shared" si="449"/>
        <v>0</v>
      </c>
      <c r="GT81" s="189">
        <f t="shared" si="387"/>
        <v>1</v>
      </c>
      <c r="GU81" s="201">
        <f t="shared" si="388"/>
        <v>43243</v>
      </c>
      <c r="GV81" s="189" t="str">
        <f t="shared" si="389"/>
        <v>SELESAI</v>
      </c>
      <c r="GW81" s="189">
        <f t="shared" si="390"/>
        <v>0</v>
      </c>
      <c r="GX81" s="202" t="str">
        <f t="shared" si="391"/>
        <v>SELESAI</v>
      </c>
      <c r="GY81" s="202">
        <f t="shared" si="392"/>
        <v>0</v>
      </c>
      <c r="GZ81" s="203" t="str">
        <f t="shared" si="393"/>
        <v>SELESAI</v>
      </c>
      <c r="HA81" s="204"/>
      <c r="HB81" s="204"/>
      <c r="HC81" s="189">
        <f t="shared" si="450"/>
        <v>0</v>
      </c>
      <c r="HD81" s="189">
        <f t="shared" si="451"/>
        <v>0</v>
      </c>
      <c r="HE81" s="189">
        <f t="shared" si="394"/>
        <v>0</v>
      </c>
      <c r="HF81" s="189">
        <f t="shared" si="395"/>
        <v>0</v>
      </c>
      <c r="HG81" s="189">
        <f t="shared" si="396"/>
        <v>0</v>
      </c>
      <c r="HH81" s="201" t="str">
        <f t="shared" si="363"/>
        <v>TIDAK KONSINYASI</v>
      </c>
      <c r="HI81" s="201" t="str">
        <f t="shared" si="397"/>
        <v>SELESAI</v>
      </c>
      <c r="HJ81" s="205"/>
      <c r="HK81" s="201">
        <f t="shared" si="364"/>
        <v>0</v>
      </c>
      <c r="HL81" s="204"/>
      <c r="HM81" s="204"/>
      <c r="HN81" s="204"/>
      <c r="HO81" s="204"/>
      <c r="HP81" s="203">
        <f t="shared" si="398"/>
        <v>0</v>
      </c>
      <c r="HQ81" s="202">
        <f t="shared" si="399"/>
        <v>0</v>
      </c>
      <c r="HR81" s="202">
        <f t="shared" si="452"/>
        <v>0</v>
      </c>
      <c r="HS81" s="203">
        <f t="shared" si="400"/>
        <v>0</v>
      </c>
      <c r="HT81" s="202">
        <f t="shared" si="401"/>
        <v>0</v>
      </c>
      <c r="HU81" s="202">
        <f t="shared" si="453"/>
        <v>0</v>
      </c>
      <c r="HV81" s="203">
        <f t="shared" si="402"/>
        <v>0</v>
      </c>
      <c r="HW81" s="202">
        <f t="shared" si="403"/>
        <v>0</v>
      </c>
      <c r="HX81" s="202">
        <f t="shared" si="454"/>
        <v>0</v>
      </c>
      <c r="HY81" s="203">
        <f t="shared" si="365"/>
        <v>0</v>
      </c>
      <c r="HZ81" s="202">
        <f t="shared" si="404"/>
        <v>0</v>
      </c>
      <c r="IA81" s="202">
        <f t="shared" si="455"/>
        <v>0</v>
      </c>
      <c r="IB81" s="203">
        <f t="shared" si="405"/>
        <v>0</v>
      </c>
      <c r="IC81" s="202">
        <f t="shared" si="366"/>
        <v>0</v>
      </c>
      <c r="ID81" s="202">
        <f t="shared" si="456"/>
        <v>0</v>
      </c>
      <c r="IE81" s="203">
        <f t="shared" si="367"/>
        <v>0</v>
      </c>
      <c r="IF81" s="202">
        <f t="shared" si="368"/>
        <v>0</v>
      </c>
      <c r="IG81" s="202">
        <f t="shared" si="457"/>
        <v>0</v>
      </c>
      <c r="IH81" s="203">
        <f t="shared" si="406"/>
        <v>0</v>
      </c>
      <c r="II81" s="202">
        <f t="shared" si="407"/>
        <v>0</v>
      </c>
      <c r="IJ81" s="202">
        <f t="shared" si="458"/>
        <v>0</v>
      </c>
      <c r="IK81" s="203">
        <f t="shared" si="369"/>
        <v>0</v>
      </c>
      <c r="IL81" s="202">
        <f t="shared" si="370"/>
        <v>0</v>
      </c>
      <c r="IM81" s="202">
        <f t="shared" si="459"/>
        <v>0</v>
      </c>
      <c r="IN81" s="204"/>
      <c r="IO81" s="203">
        <f t="shared" si="371"/>
        <v>0</v>
      </c>
      <c r="IP81" s="202">
        <f t="shared" si="460"/>
        <v>0</v>
      </c>
      <c r="IQ81" s="202">
        <f t="shared" si="461"/>
        <v>0</v>
      </c>
      <c r="IR81" s="204"/>
      <c r="IS81" s="203"/>
      <c r="IT81" s="202">
        <f t="shared" si="462"/>
        <v>1</v>
      </c>
      <c r="IU81" s="202">
        <f t="shared" si="463"/>
        <v>68</v>
      </c>
      <c r="IV81" s="204"/>
      <c r="IW81" s="203"/>
      <c r="IX81" s="202">
        <f t="shared" si="464"/>
        <v>0</v>
      </c>
      <c r="IY81" s="202">
        <f t="shared" si="465"/>
        <v>0</v>
      </c>
      <c r="IZ81" s="204"/>
      <c r="JA81" s="203"/>
      <c r="JB81" s="202">
        <f t="shared" si="466"/>
        <v>0</v>
      </c>
      <c r="JC81" s="202">
        <f t="shared" si="467"/>
        <v>0</v>
      </c>
      <c r="JD81" s="204"/>
      <c r="JE81" s="203"/>
      <c r="JF81" s="202">
        <f t="shared" si="408"/>
        <v>1</v>
      </c>
      <c r="JG81" s="202">
        <f t="shared" si="408"/>
        <v>68</v>
      </c>
      <c r="JH81" s="204"/>
      <c r="JI81" s="203"/>
      <c r="JJ81" s="202">
        <f t="shared" si="468"/>
        <v>0</v>
      </c>
      <c r="JK81" s="202">
        <f t="shared" si="469"/>
        <v>0</v>
      </c>
      <c r="JM81" s="203">
        <f t="shared" si="409"/>
        <v>0</v>
      </c>
      <c r="JO81" s="196">
        <f t="shared" si="372"/>
        <v>0</v>
      </c>
      <c r="JP81" s="189">
        <f t="shared" si="470"/>
        <v>0</v>
      </c>
      <c r="JQ81" s="189">
        <f t="shared" si="471"/>
        <v>0</v>
      </c>
      <c r="JR81" s="189">
        <f t="shared" si="472"/>
        <v>0</v>
      </c>
      <c r="JS81" s="189">
        <f t="shared" si="473"/>
        <v>0</v>
      </c>
      <c r="JT81" s="189">
        <f t="shared" si="474"/>
        <v>0</v>
      </c>
      <c r="JU81" s="189">
        <f t="shared" si="475"/>
        <v>0</v>
      </c>
      <c r="JV81" s="189">
        <f t="shared" si="476"/>
        <v>0</v>
      </c>
      <c r="JW81" s="189">
        <f t="shared" si="477"/>
        <v>0</v>
      </c>
      <c r="JX81" s="189">
        <f t="shared" si="478"/>
        <v>0</v>
      </c>
      <c r="JY81" s="189">
        <f t="shared" si="479"/>
        <v>0</v>
      </c>
      <c r="JZ81" s="189">
        <f t="shared" si="480"/>
        <v>0</v>
      </c>
      <c r="KA81" s="189">
        <f t="shared" si="481"/>
        <v>0</v>
      </c>
      <c r="KB81" s="189">
        <f t="shared" si="482"/>
        <v>0</v>
      </c>
      <c r="KD81" s="206">
        <f t="shared" si="410"/>
        <v>0</v>
      </c>
      <c r="KE81" s="206">
        <f t="shared" si="373"/>
        <v>0</v>
      </c>
      <c r="KF81" s="206">
        <f t="shared" si="483"/>
        <v>0</v>
      </c>
      <c r="KG81" s="206">
        <f t="shared" si="484"/>
        <v>0</v>
      </c>
      <c r="KH81" s="206">
        <f t="shared" si="485"/>
        <v>0</v>
      </c>
      <c r="KI81" s="206">
        <f t="shared" si="486"/>
        <v>0</v>
      </c>
      <c r="KJ81" s="206">
        <f t="shared" si="487"/>
        <v>0</v>
      </c>
      <c r="KK81" s="206">
        <f t="shared" si="488"/>
        <v>0</v>
      </c>
      <c r="KL81" s="206">
        <f t="shared" si="489"/>
        <v>0</v>
      </c>
      <c r="KM81" s="206">
        <f t="shared" si="490"/>
        <v>0</v>
      </c>
      <c r="KN81" s="221">
        <f t="shared" si="491"/>
        <v>0</v>
      </c>
      <c r="KO81" s="221">
        <f t="shared" si="492"/>
        <v>0</v>
      </c>
      <c r="KP81" s="221">
        <f t="shared" si="493"/>
        <v>0</v>
      </c>
      <c r="KQ81" s="221">
        <f t="shared" si="494"/>
        <v>0</v>
      </c>
      <c r="KR81" s="221">
        <f t="shared" si="495"/>
        <v>0</v>
      </c>
      <c r="KT81" s="195">
        <f t="shared" si="496"/>
        <v>0</v>
      </c>
      <c r="KU81" s="221"/>
      <c r="KV81" s="221"/>
      <c r="KW81" s="221"/>
      <c r="KX81" s="221"/>
      <c r="KY81" s="221"/>
      <c r="KZ81" s="221"/>
      <c r="LA81" s="221"/>
      <c r="LB81" s="221"/>
      <c r="LC81" s="221"/>
      <c r="LD81" s="221"/>
      <c r="LE81" s="221"/>
      <c r="LF81" s="221"/>
      <c r="LG81" s="221"/>
      <c r="LH81" s="221"/>
      <c r="LI81" s="221"/>
      <c r="LJ81" s="221"/>
      <c r="LK81" s="221"/>
      <c r="LL81" s="221"/>
      <c r="LM81" s="221"/>
      <c r="LN81" s="221"/>
      <c r="LO81" s="221"/>
      <c r="LP81" s="221"/>
      <c r="LQ81" s="221"/>
      <c r="LR81" s="221"/>
      <c r="LS81" s="221"/>
      <c r="LT81" s="221"/>
      <c r="LU81" s="221"/>
      <c r="LV81" s="221"/>
      <c r="LW81" s="221"/>
      <c r="LX81" s="221"/>
      <c r="LY81" s="221"/>
      <c r="LZ81" s="221"/>
      <c r="MA81" s="221"/>
      <c r="MB81" s="221"/>
      <c r="MC81" s="221"/>
      <c r="MD81" s="221"/>
      <c r="ME81" s="221"/>
      <c r="MF81" s="221"/>
      <c r="MG81" s="221"/>
      <c r="MH81" s="221"/>
      <c r="MI81" s="221"/>
      <c r="MJ81" s="221"/>
      <c r="MK81" s="221"/>
      <c r="ML81" s="221"/>
      <c r="MM81" s="221"/>
      <c r="MN81" s="221"/>
      <c r="MO81" s="221"/>
      <c r="MP81" s="221"/>
      <c r="MQ81" s="221"/>
      <c r="MR81" s="221"/>
      <c r="MS81" s="221"/>
      <c r="MT81" s="221"/>
      <c r="MU81" s="221"/>
      <c r="MV81" s="221"/>
      <c r="MW81" s="221"/>
      <c r="MX81" s="221"/>
      <c r="MY81" s="221"/>
      <c r="MZ81" s="221"/>
      <c r="NA81" s="221"/>
      <c r="NB81" s="221"/>
      <c r="NC81" s="221"/>
      <c r="ND81" s="221"/>
      <c r="NE81" s="221"/>
      <c r="NF81" s="221"/>
      <c r="NG81" s="221"/>
      <c r="NH81" s="221"/>
      <c r="NI81" s="221"/>
      <c r="NJ81" s="221"/>
      <c r="NK81" s="221"/>
      <c r="NM81" s="195">
        <f t="shared" si="411"/>
        <v>0</v>
      </c>
      <c r="NN81" s="195">
        <f t="shared" si="412"/>
        <v>0</v>
      </c>
      <c r="NO81" s="195">
        <f t="shared" si="413"/>
        <v>0</v>
      </c>
      <c r="NP81" s="195">
        <f t="shared" si="414"/>
        <v>0</v>
      </c>
      <c r="NQ81" s="195">
        <f t="shared" si="415"/>
        <v>0</v>
      </c>
      <c r="NR81" s="195">
        <f t="shared" si="416"/>
        <v>0</v>
      </c>
      <c r="NS81" s="195">
        <f t="shared" si="417"/>
        <v>0</v>
      </c>
      <c r="NT81" s="195">
        <f t="shared" si="418"/>
        <v>0</v>
      </c>
      <c r="NU81" s="196">
        <f t="shared" si="419"/>
        <v>0</v>
      </c>
      <c r="NY81" s="215">
        <f t="shared" si="420"/>
        <v>1</v>
      </c>
      <c r="NZ81" s="222">
        <v>11331250</v>
      </c>
      <c r="OE81" s="207">
        <f t="shared" si="374"/>
        <v>0</v>
      </c>
      <c r="OF81" s="207">
        <f t="shared" si="375"/>
        <v>0</v>
      </c>
      <c r="OG81" s="207">
        <f t="shared" si="376"/>
        <v>0</v>
      </c>
      <c r="OH81" s="207">
        <f t="shared" si="421"/>
        <v>0</v>
      </c>
      <c r="OI81" s="207">
        <f t="shared" si="377"/>
        <v>0</v>
      </c>
      <c r="OJ81" s="199">
        <f t="shared" si="422"/>
        <v>0</v>
      </c>
      <c r="OK81" s="199">
        <f t="shared" si="423"/>
        <v>0</v>
      </c>
      <c r="OL81" s="199">
        <f t="shared" si="424"/>
        <v>0</v>
      </c>
      <c r="OM81" s="199">
        <f t="shared" si="425"/>
        <v>0</v>
      </c>
      <c r="OO81" s="207">
        <f t="shared" si="378"/>
        <v>0</v>
      </c>
      <c r="OP81" s="207">
        <f t="shared" si="379"/>
        <v>0</v>
      </c>
      <c r="OQ81" s="207">
        <f t="shared" si="426"/>
        <v>0</v>
      </c>
      <c r="OR81" s="207">
        <f t="shared" si="427"/>
        <v>0</v>
      </c>
      <c r="OS81" s="207">
        <f t="shared" si="428"/>
        <v>0</v>
      </c>
      <c r="OT81" s="199">
        <f t="shared" si="429"/>
        <v>0</v>
      </c>
      <c r="OU81" s="199">
        <f t="shared" si="430"/>
        <v>0</v>
      </c>
      <c r="OV81" s="199">
        <f t="shared" si="431"/>
        <v>0</v>
      </c>
      <c r="OW81" s="199">
        <f t="shared" si="432"/>
        <v>0</v>
      </c>
      <c r="OZ81" s="208">
        <f t="shared" si="380"/>
        <v>0</v>
      </c>
      <c r="PA81" s="209"/>
      <c r="PB81" s="209"/>
      <c r="PC81" s="209"/>
      <c r="PD81" s="210">
        <f t="shared" si="433"/>
        <v>0</v>
      </c>
      <c r="PE81" s="210"/>
      <c r="PF81" s="210">
        <f t="shared" si="434"/>
        <v>0</v>
      </c>
      <c r="PG81" s="210">
        <f t="shared" si="435"/>
        <v>0</v>
      </c>
      <c r="PH81" s="210">
        <f t="shared" si="381"/>
        <v>0</v>
      </c>
      <c r="PI81" s="210">
        <f t="shared" si="382"/>
        <v>0</v>
      </c>
      <c r="PJ81" s="210">
        <f t="shared" si="383"/>
        <v>0</v>
      </c>
      <c r="PK81" s="210">
        <f t="shared" si="384"/>
        <v>0</v>
      </c>
      <c r="PL81" s="210">
        <f t="shared" si="385"/>
        <v>0</v>
      </c>
      <c r="PM81" s="211"/>
      <c r="PN81" s="211"/>
      <c r="PO81" s="212">
        <f t="shared" si="436"/>
        <v>0</v>
      </c>
      <c r="PP81" s="212">
        <f t="shared" si="437"/>
        <v>0</v>
      </c>
      <c r="PQ81" s="212">
        <f t="shared" si="438"/>
        <v>0</v>
      </c>
      <c r="PR81" s="211"/>
      <c r="PS81" s="211"/>
      <c r="PT81" s="211"/>
      <c r="PU81" s="211"/>
    </row>
    <row r="82" spans="1:437" s="195" customFormat="1" ht="16" x14ac:dyDescent="0.2">
      <c r="A82" s="213">
        <f t="shared" si="206"/>
        <v>72</v>
      </c>
      <c r="B82" s="186" t="s">
        <v>410</v>
      </c>
      <c r="C82" s="186">
        <v>78</v>
      </c>
      <c r="D82" s="188">
        <v>1</v>
      </c>
      <c r="E82" s="188">
        <v>137</v>
      </c>
      <c r="F82" s="188">
        <v>1</v>
      </c>
      <c r="G82" s="188">
        <f t="shared" si="308"/>
        <v>137</v>
      </c>
      <c r="H82" s="214">
        <f t="shared" si="311"/>
        <v>1</v>
      </c>
      <c r="I82" s="214">
        <f t="shared" si="312"/>
        <v>1</v>
      </c>
      <c r="J82" s="188">
        <v>1</v>
      </c>
      <c r="K82" s="188">
        <f t="shared" si="313"/>
        <v>137</v>
      </c>
      <c r="L82" s="214">
        <f t="shared" si="314"/>
        <v>1</v>
      </c>
      <c r="M82" s="214">
        <f t="shared" si="315"/>
        <v>1</v>
      </c>
      <c r="N82" s="188">
        <v>1</v>
      </c>
      <c r="O82" s="188">
        <f t="shared" si="316"/>
        <v>137</v>
      </c>
      <c r="P82" s="214">
        <f t="shared" si="317"/>
        <v>1</v>
      </c>
      <c r="Q82" s="214">
        <f t="shared" si="318"/>
        <v>1</v>
      </c>
      <c r="R82" s="188">
        <v>1</v>
      </c>
      <c r="S82" s="188">
        <f t="shared" si="319"/>
        <v>137</v>
      </c>
      <c r="T82" s="214">
        <f t="shared" si="320"/>
        <v>1</v>
      </c>
      <c r="U82" s="214">
        <f t="shared" si="321"/>
        <v>1</v>
      </c>
      <c r="V82" s="215">
        <v>1</v>
      </c>
      <c r="W82" s="188">
        <f t="shared" si="322"/>
        <v>137</v>
      </c>
      <c r="X82" s="214">
        <f t="shared" si="323"/>
        <v>1</v>
      </c>
      <c r="Y82" s="214">
        <f t="shared" si="324"/>
        <v>1</v>
      </c>
      <c r="Z82" s="216">
        <f>4484069000/1000000000</f>
        <v>4.4840689999999999</v>
      </c>
      <c r="AA82" s="188">
        <v>0</v>
      </c>
      <c r="AB82" s="188">
        <f t="shared" si="339"/>
        <v>0</v>
      </c>
      <c r="AC82" s="214">
        <f t="shared" si="340"/>
        <v>0</v>
      </c>
      <c r="AD82" s="214">
        <f t="shared" si="341"/>
        <v>0</v>
      </c>
      <c r="AE82" s="188"/>
      <c r="AF82" s="188">
        <f t="shared" si="342"/>
        <v>0</v>
      </c>
      <c r="AG82" s="188"/>
      <c r="AH82" s="188"/>
      <c r="AI82" s="188">
        <v>0</v>
      </c>
      <c r="AJ82" s="188">
        <f t="shared" si="325"/>
        <v>0</v>
      </c>
      <c r="AK82" s="188"/>
      <c r="AL82" s="188">
        <v>0</v>
      </c>
      <c r="AM82" s="188">
        <v>0</v>
      </c>
      <c r="AN82" s="217"/>
      <c r="AO82" s="188"/>
      <c r="AP82" s="188"/>
      <c r="AQ82" s="188"/>
      <c r="AR82" s="188"/>
      <c r="AS82" s="188"/>
      <c r="AT82" s="188"/>
      <c r="AU82" s="188"/>
      <c r="AV82" s="188"/>
      <c r="AW82" s="188"/>
      <c r="AX82" s="188"/>
      <c r="AY82" s="188"/>
      <c r="AZ82" s="188"/>
      <c r="BA82" s="188"/>
      <c r="BB82" s="188">
        <f t="shared" si="343"/>
        <v>0</v>
      </c>
      <c r="BD82" s="196">
        <f t="shared" si="386"/>
        <v>0</v>
      </c>
      <c r="BE82" s="188">
        <f t="shared" si="326"/>
        <v>0</v>
      </c>
      <c r="BF82" s="188">
        <f t="shared" si="327"/>
        <v>0</v>
      </c>
      <c r="BG82" s="188">
        <f t="shared" si="328"/>
        <v>0</v>
      </c>
      <c r="BH82" s="188">
        <f t="shared" si="329"/>
        <v>0</v>
      </c>
      <c r="BI82" s="188">
        <f t="shared" si="330"/>
        <v>0</v>
      </c>
      <c r="BJ82" s="188">
        <f t="shared" si="331"/>
        <v>0</v>
      </c>
      <c r="BK82" s="188">
        <f t="shared" si="332"/>
        <v>0</v>
      </c>
      <c r="BN82" s="143"/>
      <c r="BO82" s="277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B82" s="188"/>
      <c r="CD82" s="188">
        <f t="shared" si="344"/>
        <v>0</v>
      </c>
      <c r="CE82" s="188">
        <f t="shared" si="345"/>
        <v>0</v>
      </c>
      <c r="CF82" s="188">
        <f t="shared" si="346"/>
        <v>0</v>
      </c>
      <c r="CG82" s="188">
        <f t="shared" si="347"/>
        <v>0</v>
      </c>
      <c r="CH82" s="188">
        <f t="shared" si="348"/>
        <v>0</v>
      </c>
      <c r="CI82" s="188">
        <f t="shared" si="349"/>
        <v>0</v>
      </c>
      <c r="CJ82" s="188">
        <f t="shared" si="350"/>
        <v>0</v>
      </c>
      <c r="CK82" s="188">
        <f t="shared" si="351"/>
        <v>0</v>
      </c>
      <c r="CL82" s="188">
        <f t="shared" si="352"/>
        <v>0</v>
      </c>
      <c r="CM82" s="188">
        <f t="shared" si="353"/>
        <v>0</v>
      </c>
      <c r="CN82" s="188">
        <f t="shared" si="354"/>
        <v>0</v>
      </c>
      <c r="CO82" s="188">
        <f t="shared" si="355"/>
        <v>0</v>
      </c>
      <c r="CP82" s="188">
        <f t="shared" si="356"/>
        <v>0</v>
      </c>
      <c r="DV82" s="188">
        <f t="shared" si="333"/>
        <v>0</v>
      </c>
      <c r="DW82" s="188">
        <f t="shared" si="334"/>
        <v>0</v>
      </c>
      <c r="DX82" s="188">
        <f t="shared" si="335"/>
        <v>0</v>
      </c>
      <c r="DY82" s="188">
        <f t="shared" si="336"/>
        <v>0</v>
      </c>
      <c r="DZ82" s="188">
        <f t="shared" si="337"/>
        <v>0</v>
      </c>
      <c r="EA82" s="188">
        <f t="shared" si="338"/>
        <v>0</v>
      </c>
      <c r="EB82" s="188">
        <f t="shared" si="357"/>
        <v>0</v>
      </c>
      <c r="EG82" s="220">
        <f t="shared" si="358"/>
        <v>0</v>
      </c>
      <c r="EH82" s="220">
        <f t="shared" si="359"/>
        <v>0</v>
      </c>
      <c r="EI82" s="188"/>
      <c r="EJ82" s="188"/>
      <c r="EK82" s="188"/>
      <c r="EL82" s="188"/>
      <c r="EM82" s="188"/>
      <c r="EN82" s="188"/>
      <c r="EO82" s="188"/>
      <c r="EP82" s="188"/>
      <c r="EQ82" s="188"/>
      <c r="ER82" s="188"/>
      <c r="ES82" s="188"/>
      <c r="ET82" s="188"/>
      <c r="EU82" s="188"/>
      <c r="EV82" s="188"/>
      <c r="EW82" s="188"/>
      <c r="EX82" s="188"/>
      <c r="EY82" s="188"/>
      <c r="EZ82" s="188"/>
      <c r="FA82" s="188"/>
      <c r="FB82" s="188"/>
      <c r="FC82" s="188"/>
      <c r="FD82" s="188"/>
      <c r="FE82" s="188"/>
      <c r="FF82" s="188"/>
      <c r="FH82" s="189"/>
      <c r="FI82" s="189"/>
      <c r="FJ82" s="189"/>
      <c r="FK82" s="189"/>
      <c r="FL82" s="189"/>
      <c r="FM82" s="189"/>
      <c r="FN82" s="189"/>
      <c r="FO82" s="189"/>
      <c r="FP82" s="189"/>
      <c r="FQ82" s="189"/>
      <c r="FR82" s="189"/>
      <c r="FS82" s="189"/>
      <c r="FT82" s="189"/>
      <c r="FU82" s="189"/>
      <c r="FV82" s="189"/>
      <c r="FX82" s="217"/>
      <c r="FY82" s="188">
        <f t="shared" si="360"/>
        <v>0</v>
      </c>
      <c r="FZ82" s="188">
        <f t="shared" si="439"/>
        <v>0</v>
      </c>
      <c r="GA82" s="188">
        <f t="shared" si="440"/>
        <v>0</v>
      </c>
      <c r="GB82" s="188">
        <f t="shared" si="441"/>
        <v>0</v>
      </c>
      <c r="GC82" s="188">
        <f t="shared" si="442"/>
        <v>0</v>
      </c>
      <c r="GD82" s="188">
        <f t="shared" si="443"/>
        <v>0</v>
      </c>
      <c r="GE82" s="188">
        <f t="shared" si="444"/>
        <v>0</v>
      </c>
      <c r="GF82" s="199"/>
      <c r="GG82" s="189">
        <v>0</v>
      </c>
      <c r="GH82" s="189">
        <v>0</v>
      </c>
      <c r="GI82" s="199"/>
      <c r="GJ82" s="200">
        <f t="shared" si="361"/>
        <v>0</v>
      </c>
      <c r="GK82" s="200">
        <f t="shared" si="362"/>
        <v>0</v>
      </c>
      <c r="GO82" s="189">
        <f t="shared" si="445"/>
        <v>0</v>
      </c>
      <c r="GP82" s="189">
        <f t="shared" si="446"/>
        <v>0</v>
      </c>
      <c r="GQ82" s="189">
        <f t="shared" si="447"/>
        <v>0</v>
      </c>
      <c r="GR82" s="189">
        <f t="shared" si="448"/>
        <v>0</v>
      </c>
      <c r="GS82" s="189">
        <f t="shared" si="449"/>
        <v>0</v>
      </c>
      <c r="GT82" s="189">
        <f t="shared" si="387"/>
        <v>1</v>
      </c>
      <c r="GU82" s="201">
        <f t="shared" si="388"/>
        <v>43243</v>
      </c>
      <c r="GV82" s="189" t="str">
        <f t="shared" si="389"/>
        <v>SELESAI</v>
      </c>
      <c r="GW82" s="189">
        <f t="shared" si="390"/>
        <v>0</v>
      </c>
      <c r="GX82" s="202" t="str">
        <f t="shared" si="391"/>
        <v>SELESAI</v>
      </c>
      <c r="GY82" s="202">
        <f t="shared" si="392"/>
        <v>0</v>
      </c>
      <c r="GZ82" s="203" t="str">
        <f t="shared" si="393"/>
        <v>SELESAI</v>
      </c>
      <c r="HA82" s="204"/>
      <c r="HB82" s="204"/>
      <c r="HC82" s="189">
        <f t="shared" si="450"/>
        <v>0</v>
      </c>
      <c r="HD82" s="189">
        <f t="shared" si="451"/>
        <v>0</v>
      </c>
      <c r="HE82" s="189">
        <f t="shared" si="394"/>
        <v>0</v>
      </c>
      <c r="HF82" s="189">
        <f t="shared" si="395"/>
        <v>0</v>
      </c>
      <c r="HG82" s="189">
        <f t="shared" si="396"/>
        <v>0</v>
      </c>
      <c r="HH82" s="201" t="str">
        <f t="shared" si="363"/>
        <v>TIDAK KONSINYASI</v>
      </c>
      <c r="HI82" s="201" t="str">
        <f t="shared" si="397"/>
        <v>SELESAI</v>
      </c>
      <c r="HJ82" s="205"/>
      <c r="HK82" s="201">
        <f t="shared" si="364"/>
        <v>0</v>
      </c>
      <c r="HL82" s="204"/>
      <c r="HM82" s="204"/>
      <c r="HN82" s="204"/>
      <c r="HO82" s="204"/>
      <c r="HP82" s="203">
        <f t="shared" si="398"/>
        <v>0</v>
      </c>
      <c r="HQ82" s="202">
        <f t="shared" si="399"/>
        <v>0</v>
      </c>
      <c r="HR82" s="202">
        <f t="shared" si="452"/>
        <v>0</v>
      </c>
      <c r="HS82" s="203">
        <f t="shared" si="400"/>
        <v>0</v>
      </c>
      <c r="HT82" s="202">
        <f t="shared" si="401"/>
        <v>0</v>
      </c>
      <c r="HU82" s="202">
        <f t="shared" si="453"/>
        <v>0</v>
      </c>
      <c r="HV82" s="203">
        <f t="shared" si="402"/>
        <v>0</v>
      </c>
      <c r="HW82" s="202">
        <f t="shared" si="403"/>
        <v>0</v>
      </c>
      <c r="HX82" s="202">
        <f t="shared" si="454"/>
        <v>0</v>
      </c>
      <c r="HY82" s="203">
        <f t="shared" si="365"/>
        <v>0</v>
      </c>
      <c r="HZ82" s="202">
        <f t="shared" si="404"/>
        <v>0</v>
      </c>
      <c r="IA82" s="202">
        <f t="shared" si="455"/>
        <v>0</v>
      </c>
      <c r="IB82" s="203">
        <f t="shared" si="405"/>
        <v>0</v>
      </c>
      <c r="IC82" s="202">
        <f t="shared" si="366"/>
        <v>0</v>
      </c>
      <c r="ID82" s="202">
        <f t="shared" si="456"/>
        <v>0</v>
      </c>
      <c r="IE82" s="203">
        <f t="shared" si="367"/>
        <v>0</v>
      </c>
      <c r="IF82" s="202">
        <f t="shared" si="368"/>
        <v>0</v>
      </c>
      <c r="IG82" s="202">
        <f t="shared" si="457"/>
        <v>0</v>
      </c>
      <c r="IH82" s="203">
        <f t="shared" si="406"/>
        <v>0</v>
      </c>
      <c r="II82" s="202">
        <f t="shared" si="407"/>
        <v>0</v>
      </c>
      <c r="IJ82" s="202">
        <f t="shared" si="458"/>
        <v>0</v>
      </c>
      <c r="IK82" s="203">
        <f t="shared" si="369"/>
        <v>0</v>
      </c>
      <c r="IL82" s="202">
        <f t="shared" si="370"/>
        <v>0</v>
      </c>
      <c r="IM82" s="202">
        <f t="shared" si="459"/>
        <v>0</v>
      </c>
      <c r="IN82" s="204"/>
      <c r="IO82" s="203">
        <f t="shared" si="371"/>
        <v>0</v>
      </c>
      <c r="IP82" s="202">
        <f t="shared" si="460"/>
        <v>0</v>
      </c>
      <c r="IQ82" s="202">
        <f t="shared" si="461"/>
        <v>0</v>
      </c>
      <c r="IR82" s="204"/>
      <c r="IS82" s="203"/>
      <c r="IT82" s="202">
        <f t="shared" si="462"/>
        <v>1</v>
      </c>
      <c r="IU82" s="202">
        <f t="shared" si="463"/>
        <v>137</v>
      </c>
      <c r="IV82" s="204"/>
      <c r="IW82" s="203"/>
      <c r="IX82" s="202">
        <f t="shared" si="464"/>
        <v>0</v>
      </c>
      <c r="IY82" s="202">
        <f t="shared" si="465"/>
        <v>0</v>
      </c>
      <c r="IZ82" s="204"/>
      <c r="JA82" s="203"/>
      <c r="JB82" s="202">
        <f t="shared" si="466"/>
        <v>0</v>
      </c>
      <c r="JC82" s="202">
        <f t="shared" si="467"/>
        <v>0</v>
      </c>
      <c r="JD82" s="204"/>
      <c r="JE82" s="203"/>
      <c r="JF82" s="202">
        <f t="shared" si="408"/>
        <v>1</v>
      </c>
      <c r="JG82" s="202">
        <f t="shared" si="408"/>
        <v>137</v>
      </c>
      <c r="JH82" s="204"/>
      <c r="JI82" s="203"/>
      <c r="JJ82" s="202">
        <f t="shared" si="468"/>
        <v>0</v>
      </c>
      <c r="JK82" s="202">
        <f t="shared" si="469"/>
        <v>0</v>
      </c>
      <c r="JM82" s="203">
        <f t="shared" si="409"/>
        <v>0</v>
      </c>
      <c r="JO82" s="196">
        <f t="shared" si="372"/>
        <v>0</v>
      </c>
      <c r="JP82" s="189">
        <f t="shared" si="470"/>
        <v>0</v>
      </c>
      <c r="JQ82" s="189">
        <f t="shared" si="471"/>
        <v>0</v>
      </c>
      <c r="JR82" s="189">
        <f t="shared" si="472"/>
        <v>0</v>
      </c>
      <c r="JS82" s="189">
        <f t="shared" si="473"/>
        <v>0</v>
      </c>
      <c r="JT82" s="189">
        <f t="shared" si="474"/>
        <v>0</v>
      </c>
      <c r="JU82" s="189">
        <f t="shared" si="475"/>
        <v>0</v>
      </c>
      <c r="JV82" s="189">
        <f t="shared" si="476"/>
        <v>0</v>
      </c>
      <c r="JW82" s="189">
        <f t="shared" si="477"/>
        <v>0</v>
      </c>
      <c r="JX82" s="189">
        <f t="shared" si="478"/>
        <v>0</v>
      </c>
      <c r="JY82" s="189">
        <f t="shared" si="479"/>
        <v>0</v>
      </c>
      <c r="JZ82" s="189">
        <f t="shared" si="480"/>
        <v>0</v>
      </c>
      <c r="KA82" s="189">
        <f t="shared" si="481"/>
        <v>0</v>
      </c>
      <c r="KB82" s="189">
        <f t="shared" si="482"/>
        <v>0</v>
      </c>
      <c r="KD82" s="206">
        <f t="shared" si="410"/>
        <v>0</v>
      </c>
      <c r="KE82" s="206">
        <f t="shared" si="373"/>
        <v>0</v>
      </c>
      <c r="KF82" s="206">
        <f t="shared" si="483"/>
        <v>0</v>
      </c>
      <c r="KG82" s="206">
        <f t="shared" si="484"/>
        <v>0</v>
      </c>
      <c r="KH82" s="206">
        <f t="shared" si="485"/>
        <v>0</v>
      </c>
      <c r="KI82" s="206">
        <f t="shared" si="486"/>
        <v>0</v>
      </c>
      <c r="KJ82" s="206">
        <f t="shared" si="487"/>
        <v>0</v>
      </c>
      <c r="KK82" s="206">
        <f t="shared" si="488"/>
        <v>0</v>
      </c>
      <c r="KL82" s="206">
        <f t="shared" si="489"/>
        <v>0</v>
      </c>
      <c r="KM82" s="206">
        <f t="shared" si="490"/>
        <v>0</v>
      </c>
      <c r="KN82" s="221">
        <f t="shared" si="491"/>
        <v>0</v>
      </c>
      <c r="KO82" s="221">
        <f t="shared" si="492"/>
        <v>0</v>
      </c>
      <c r="KP82" s="221">
        <f t="shared" si="493"/>
        <v>0</v>
      </c>
      <c r="KQ82" s="221">
        <f t="shared" si="494"/>
        <v>0</v>
      </c>
      <c r="KR82" s="221">
        <f t="shared" si="495"/>
        <v>0</v>
      </c>
      <c r="KT82" s="195">
        <f t="shared" si="496"/>
        <v>0</v>
      </c>
      <c r="KU82" s="221"/>
      <c r="KV82" s="221"/>
      <c r="KW82" s="221"/>
      <c r="KX82" s="221"/>
      <c r="KY82" s="221"/>
      <c r="KZ82" s="221"/>
      <c r="LA82" s="221"/>
      <c r="LB82" s="221"/>
      <c r="LC82" s="221"/>
      <c r="LD82" s="221"/>
      <c r="LE82" s="221"/>
      <c r="LF82" s="221"/>
      <c r="LG82" s="221"/>
      <c r="LH82" s="221"/>
      <c r="LI82" s="221"/>
      <c r="LJ82" s="221"/>
      <c r="LK82" s="221"/>
      <c r="LL82" s="221"/>
      <c r="LM82" s="221"/>
      <c r="LN82" s="221"/>
      <c r="LO82" s="221"/>
      <c r="LP82" s="221"/>
      <c r="LQ82" s="221"/>
      <c r="LR82" s="221"/>
      <c r="LS82" s="221"/>
      <c r="LT82" s="221"/>
      <c r="LU82" s="221"/>
      <c r="LV82" s="221"/>
      <c r="LW82" s="221"/>
      <c r="LX82" s="221"/>
      <c r="LY82" s="221"/>
      <c r="LZ82" s="221"/>
      <c r="MA82" s="221"/>
      <c r="MB82" s="221"/>
      <c r="MC82" s="221"/>
      <c r="MD82" s="221"/>
      <c r="ME82" s="221"/>
      <c r="MF82" s="221"/>
      <c r="MG82" s="221"/>
      <c r="MH82" s="221"/>
      <c r="MI82" s="221"/>
      <c r="MJ82" s="221"/>
      <c r="MK82" s="221"/>
      <c r="ML82" s="221"/>
      <c r="MM82" s="221"/>
      <c r="MN82" s="221"/>
      <c r="MO82" s="221"/>
      <c r="MP82" s="221"/>
      <c r="MQ82" s="221"/>
      <c r="MR82" s="221"/>
      <c r="MS82" s="221"/>
      <c r="MT82" s="221"/>
      <c r="MU82" s="221"/>
      <c r="MV82" s="221"/>
      <c r="MW82" s="221"/>
      <c r="MX82" s="221"/>
      <c r="MY82" s="221"/>
      <c r="MZ82" s="221"/>
      <c r="NA82" s="221"/>
      <c r="NB82" s="221"/>
      <c r="NC82" s="221"/>
      <c r="ND82" s="221"/>
      <c r="NE82" s="221"/>
      <c r="NF82" s="221"/>
      <c r="NG82" s="221"/>
      <c r="NH82" s="221"/>
      <c r="NI82" s="221"/>
      <c r="NJ82" s="221"/>
      <c r="NK82" s="221"/>
      <c r="NM82" s="195">
        <f t="shared" si="411"/>
        <v>0</v>
      </c>
      <c r="NN82" s="195">
        <f t="shared" si="412"/>
        <v>0</v>
      </c>
      <c r="NO82" s="195">
        <f t="shared" si="413"/>
        <v>0</v>
      </c>
      <c r="NP82" s="195">
        <f t="shared" si="414"/>
        <v>0</v>
      </c>
      <c r="NQ82" s="195">
        <f t="shared" si="415"/>
        <v>0</v>
      </c>
      <c r="NR82" s="195">
        <f t="shared" si="416"/>
        <v>0</v>
      </c>
      <c r="NS82" s="195">
        <f t="shared" si="417"/>
        <v>0</v>
      </c>
      <c r="NT82" s="195">
        <f t="shared" si="418"/>
        <v>0</v>
      </c>
      <c r="NU82" s="196">
        <f t="shared" si="419"/>
        <v>0</v>
      </c>
      <c r="NY82" s="215">
        <f t="shared" si="420"/>
        <v>1</v>
      </c>
      <c r="NZ82" s="222">
        <v>11331250</v>
      </c>
      <c r="OE82" s="207">
        <f t="shared" si="374"/>
        <v>0</v>
      </c>
      <c r="OF82" s="207">
        <f t="shared" si="375"/>
        <v>0</v>
      </c>
      <c r="OG82" s="207">
        <f t="shared" si="376"/>
        <v>0</v>
      </c>
      <c r="OH82" s="207">
        <f t="shared" si="421"/>
        <v>0</v>
      </c>
      <c r="OI82" s="207">
        <f t="shared" si="377"/>
        <v>0</v>
      </c>
      <c r="OJ82" s="199">
        <f t="shared" si="422"/>
        <v>0</v>
      </c>
      <c r="OK82" s="199">
        <f t="shared" si="423"/>
        <v>0</v>
      </c>
      <c r="OL82" s="199">
        <f t="shared" si="424"/>
        <v>0</v>
      </c>
      <c r="OM82" s="199">
        <f t="shared" si="425"/>
        <v>0</v>
      </c>
      <c r="OO82" s="207">
        <f t="shared" si="378"/>
        <v>0</v>
      </c>
      <c r="OP82" s="207">
        <f t="shared" si="379"/>
        <v>0</v>
      </c>
      <c r="OQ82" s="207">
        <f t="shared" si="426"/>
        <v>0</v>
      </c>
      <c r="OR82" s="207">
        <f t="shared" si="427"/>
        <v>0</v>
      </c>
      <c r="OS82" s="207">
        <f t="shared" si="428"/>
        <v>0</v>
      </c>
      <c r="OT82" s="199">
        <f t="shared" si="429"/>
        <v>0</v>
      </c>
      <c r="OU82" s="199">
        <f t="shared" si="430"/>
        <v>0</v>
      </c>
      <c r="OV82" s="199">
        <f t="shared" si="431"/>
        <v>0</v>
      </c>
      <c r="OW82" s="199">
        <f t="shared" si="432"/>
        <v>0</v>
      </c>
      <c r="OZ82" s="208">
        <f t="shared" si="380"/>
        <v>0</v>
      </c>
      <c r="PA82" s="209"/>
      <c r="PB82" s="209"/>
      <c r="PC82" s="209"/>
      <c r="PD82" s="210">
        <f t="shared" si="433"/>
        <v>0</v>
      </c>
      <c r="PE82" s="210"/>
      <c r="PF82" s="210">
        <f t="shared" si="434"/>
        <v>0</v>
      </c>
      <c r="PG82" s="210">
        <f t="shared" si="435"/>
        <v>0</v>
      </c>
      <c r="PH82" s="210">
        <f t="shared" si="381"/>
        <v>0</v>
      </c>
      <c r="PI82" s="210">
        <f t="shared" si="382"/>
        <v>0</v>
      </c>
      <c r="PJ82" s="210">
        <f t="shared" si="383"/>
        <v>0</v>
      </c>
      <c r="PK82" s="210">
        <f t="shared" si="384"/>
        <v>0</v>
      </c>
      <c r="PL82" s="210">
        <f t="shared" si="385"/>
        <v>0</v>
      </c>
      <c r="PM82" s="211"/>
      <c r="PN82" s="211"/>
      <c r="PO82" s="212">
        <f t="shared" si="436"/>
        <v>0</v>
      </c>
      <c r="PP82" s="212">
        <f t="shared" si="437"/>
        <v>0</v>
      </c>
      <c r="PQ82" s="212">
        <f t="shared" si="438"/>
        <v>0</v>
      </c>
      <c r="PR82" s="211"/>
      <c r="PS82" s="211"/>
      <c r="PT82" s="211"/>
      <c r="PU82" s="211"/>
    </row>
    <row r="83" spans="1:437" s="195" customFormat="1" ht="16" x14ac:dyDescent="0.2">
      <c r="A83" s="213">
        <f t="shared" si="206"/>
        <v>73</v>
      </c>
      <c r="B83" s="186" t="s">
        <v>84</v>
      </c>
      <c r="C83" s="186">
        <v>79</v>
      </c>
      <c r="D83" s="188">
        <v>1</v>
      </c>
      <c r="E83" s="188">
        <v>97</v>
      </c>
      <c r="F83" s="188">
        <v>1</v>
      </c>
      <c r="G83" s="188">
        <f t="shared" si="308"/>
        <v>97</v>
      </c>
      <c r="H83" s="214">
        <f t="shared" si="311"/>
        <v>1</v>
      </c>
      <c r="I83" s="214">
        <f t="shared" si="312"/>
        <v>1</v>
      </c>
      <c r="J83" s="188">
        <v>1</v>
      </c>
      <c r="K83" s="188">
        <f t="shared" si="313"/>
        <v>97</v>
      </c>
      <c r="L83" s="214">
        <f t="shared" si="314"/>
        <v>1</v>
      </c>
      <c r="M83" s="214">
        <f t="shared" si="315"/>
        <v>1</v>
      </c>
      <c r="N83" s="188">
        <v>1</v>
      </c>
      <c r="O83" s="188">
        <f t="shared" si="316"/>
        <v>97</v>
      </c>
      <c r="P83" s="214">
        <f t="shared" si="317"/>
        <v>1</v>
      </c>
      <c r="Q83" s="214">
        <f t="shared" si="318"/>
        <v>1</v>
      </c>
      <c r="R83" s="188">
        <v>1</v>
      </c>
      <c r="S83" s="188">
        <f t="shared" si="319"/>
        <v>97</v>
      </c>
      <c r="T83" s="214">
        <f t="shared" si="320"/>
        <v>1</v>
      </c>
      <c r="U83" s="214">
        <f t="shared" si="321"/>
        <v>1</v>
      </c>
      <c r="V83" s="215">
        <v>1</v>
      </c>
      <c r="W83" s="188">
        <f t="shared" si="322"/>
        <v>97</v>
      </c>
      <c r="X83" s="214">
        <f t="shared" si="323"/>
        <v>1</v>
      </c>
      <c r="Y83" s="214">
        <f t="shared" si="324"/>
        <v>1</v>
      </c>
      <c r="Z83" s="216">
        <f>1984564000/1000000000</f>
        <v>1.984564</v>
      </c>
      <c r="AA83" s="188">
        <v>0</v>
      </c>
      <c r="AB83" s="188">
        <f t="shared" si="339"/>
        <v>0</v>
      </c>
      <c r="AC83" s="214">
        <f t="shared" si="340"/>
        <v>0</v>
      </c>
      <c r="AD83" s="214">
        <f t="shared" si="341"/>
        <v>0</v>
      </c>
      <c r="AE83" s="188"/>
      <c r="AF83" s="188">
        <f t="shared" si="342"/>
        <v>0</v>
      </c>
      <c r="AG83" s="188"/>
      <c r="AH83" s="188"/>
      <c r="AI83" s="188">
        <v>0</v>
      </c>
      <c r="AJ83" s="188">
        <f t="shared" si="325"/>
        <v>0</v>
      </c>
      <c r="AK83" s="188"/>
      <c r="AL83" s="188">
        <v>0</v>
      </c>
      <c r="AM83" s="188">
        <v>0</v>
      </c>
      <c r="AN83" s="217"/>
      <c r="AO83" s="188"/>
      <c r="AP83" s="188"/>
      <c r="AQ83" s="188"/>
      <c r="AR83" s="188"/>
      <c r="AS83" s="188"/>
      <c r="AT83" s="188"/>
      <c r="AU83" s="188"/>
      <c r="AV83" s="188"/>
      <c r="AW83" s="188"/>
      <c r="AX83" s="188"/>
      <c r="AY83" s="188"/>
      <c r="AZ83" s="188"/>
      <c r="BA83" s="188"/>
      <c r="BB83" s="188">
        <f t="shared" si="343"/>
        <v>0</v>
      </c>
      <c r="BD83" s="196">
        <f t="shared" si="386"/>
        <v>0</v>
      </c>
      <c r="BE83" s="188">
        <f t="shared" si="326"/>
        <v>0</v>
      </c>
      <c r="BF83" s="188">
        <f t="shared" si="327"/>
        <v>0</v>
      </c>
      <c r="BG83" s="188">
        <f t="shared" si="328"/>
        <v>0</v>
      </c>
      <c r="BH83" s="188">
        <f t="shared" si="329"/>
        <v>0</v>
      </c>
      <c r="BI83" s="188">
        <f t="shared" si="330"/>
        <v>0</v>
      </c>
      <c r="BJ83" s="188">
        <f t="shared" si="331"/>
        <v>0</v>
      </c>
      <c r="BK83" s="188">
        <f t="shared" si="332"/>
        <v>0</v>
      </c>
      <c r="BN83" s="143"/>
      <c r="BO83" s="277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B83" s="188"/>
      <c r="CD83" s="188">
        <f t="shared" si="344"/>
        <v>0</v>
      </c>
      <c r="CE83" s="188">
        <f t="shared" si="345"/>
        <v>0</v>
      </c>
      <c r="CF83" s="188">
        <f t="shared" si="346"/>
        <v>0</v>
      </c>
      <c r="CG83" s="188">
        <f t="shared" si="347"/>
        <v>0</v>
      </c>
      <c r="CH83" s="188">
        <f t="shared" si="348"/>
        <v>0</v>
      </c>
      <c r="CI83" s="188">
        <f t="shared" si="349"/>
        <v>0</v>
      </c>
      <c r="CJ83" s="188">
        <f t="shared" si="350"/>
        <v>0</v>
      </c>
      <c r="CK83" s="188">
        <f t="shared" si="351"/>
        <v>0</v>
      </c>
      <c r="CL83" s="188">
        <f t="shared" si="352"/>
        <v>0</v>
      </c>
      <c r="CM83" s="188">
        <f t="shared" si="353"/>
        <v>0</v>
      </c>
      <c r="CN83" s="188">
        <f t="shared" si="354"/>
        <v>0</v>
      </c>
      <c r="CO83" s="188">
        <f t="shared" si="355"/>
        <v>0</v>
      </c>
      <c r="CP83" s="188">
        <f t="shared" si="356"/>
        <v>0</v>
      </c>
      <c r="DV83" s="188">
        <f t="shared" si="333"/>
        <v>0</v>
      </c>
      <c r="DW83" s="188">
        <f t="shared" si="334"/>
        <v>0</v>
      </c>
      <c r="DX83" s="188">
        <f t="shared" si="335"/>
        <v>0</v>
      </c>
      <c r="DY83" s="188">
        <f t="shared" si="336"/>
        <v>0</v>
      </c>
      <c r="DZ83" s="188">
        <f t="shared" si="337"/>
        <v>0</v>
      </c>
      <c r="EA83" s="188">
        <f t="shared" si="338"/>
        <v>0</v>
      </c>
      <c r="EB83" s="188">
        <f t="shared" si="357"/>
        <v>0</v>
      </c>
      <c r="EG83" s="220">
        <f t="shared" si="358"/>
        <v>0</v>
      </c>
      <c r="EH83" s="220">
        <f t="shared" si="359"/>
        <v>0</v>
      </c>
      <c r="EI83" s="188"/>
      <c r="EJ83" s="188"/>
      <c r="EK83" s="188"/>
      <c r="EL83" s="188"/>
      <c r="EM83" s="188"/>
      <c r="EN83" s="188"/>
      <c r="EO83" s="188"/>
      <c r="EP83" s="188"/>
      <c r="EQ83" s="188"/>
      <c r="ER83" s="188"/>
      <c r="ES83" s="188"/>
      <c r="ET83" s="188"/>
      <c r="EU83" s="188"/>
      <c r="EV83" s="188"/>
      <c r="EW83" s="188"/>
      <c r="EX83" s="188"/>
      <c r="EY83" s="188"/>
      <c r="EZ83" s="188"/>
      <c r="FA83" s="188"/>
      <c r="FB83" s="188"/>
      <c r="FC83" s="188"/>
      <c r="FD83" s="188"/>
      <c r="FE83" s="188"/>
      <c r="FF83" s="188"/>
      <c r="FH83" s="189"/>
      <c r="FI83" s="189"/>
      <c r="FJ83" s="189"/>
      <c r="FK83" s="189"/>
      <c r="FL83" s="189"/>
      <c r="FM83" s="189"/>
      <c r="FN83" s="189"/>
      <c r="FO83" s="189"/>
      <c r="FP83" s="189"/>
      <c r="FQ83" s="189"/>
      <c r="FR83" s="189"/>
      <c r="FS83" s="189"/>
      <c r="FT83" s="189"/>
      <c r="FU83" s="189"/>
      <c r="FV83" s="189"/>
      <c r="FX83" s="217"/>
      <c r="FY83" s="188">
        <f t="shared" si="360"/>
        <v>0</v>
      </c>
      <c r="FZ83" s="188">
        <f t="shared" si="439"/>
        <v>0</v>
      </c>
      <c r="GA83" s="188">
        <f t="shared" si="440"/>
        <v>0</v>
      </c>
      <c r="GB83" s="188">
        <f t="shared" si="441"/>
        <v>0</v>
      </c>
      <c r="GC83" s="188">
        <f t="shared" si="442"/>
        <v>0</v>
      </c>
      <c r="GD83" s="188">
        <f t="shared" si="443"/>
        <v>0</v>
      </c>
      <c r="GE83" s="188">
        <f t="shared" si="444"/>
        <v>0</v>
      </c>
      <c r="GF83" s="199"/>
      <c r="GG83" s="189">
        <v>0</v>
      </c>
      <c r="GH83" s="189">
        <v>0</v>
      </c>
      <c r="GI83" s="199"/>
      <c r="GJ83" s="224">
        <f t="shared" si="361"/>
        <v>0</v>
      </c>
      <c r="GK83" s="224">
        <f t="shared" si="362"/>
        <v>0</v>
      </c>
      <c r="GO83" s="189">
        <f t="shared" si="445"/>
        <v>0</v>
      </c>
      <c r="GP83" s="189">
        <f t="shared" si="446"/>
        <v>0</v>
      </c>
      <c r="GQ83" s="189">
        <f t="shared" si="447"/>
        <v>0</v>
      </c>
      <c r="GR83" s="189">
        <f t="shared" si="448"/>
        <v>0</v>
      </c>
      <c r="GS83" s="189">
        <f t="shared" si="449"/>
        <v>0</v>
      </c>
      <c r="GT83" s="189">
        <f t="shared" si="387"/>
        <v>1</v>
      </c>
      <c r="GU83" s="201">
        <f t="shared" si="388"/>
        <v>43243</v>
      </c>
      <c r="GV83" s="189" t="str">
        <f t="shared" si="389"/>
        <v>SELESAI</v>
      </c>
      <c r="GW83" s="189">
        <f t="shared" si="390"/>
        <v>0</v>
      </c>
      <c r="GX83" s="202" t="str">
        <f t="shared" si="391"/>
        <v>SELESAI</v>
      </c>
      <c r="GY83" s="202">
        <f t="shared" si="392"/>
        <v>0</v>
      </c>
      <c r="GZ83" s="203" t="str">
        <f t="shared" si="393"/>
        <v>SELESAI</v>
      </c>
      <c r="HA83" s="204"/>
      <c r="HB83" s="204"/>
      <c r="HC83" s="189">
        <f t="shared" si="450"/>
        <v>0</v>
      </c>
      <c r="HD83" s="189">
        <f t="shared" si="451"/>
        <v>0</v>
      </c>
      <c r="HE83" s="189">
        <f t="shared" si="394"/>
        <v>0</v>
      </c>
      <c r="HF83" s="189">
        <f t="shared" si="395"/>
        <v>0</v>
      </c>
      <c r="HG83" s="189">
        <f t="shared" si="396"/>
        <v>0</v>
      </c>
      <c r="HH83" s="201" t="str">
        <f t="shared" si="363"/>
        <v>TIDAK KONSINYASI</v>
      </c>
      <c r="HI83" s="201" t="str">
        <f t="shared" si="397"/>
        <v>SELESAI</v>
      </c>
      <c r="HJ83" s="205"/>
      <c r="HK83" s="201">
        <f t="shared" si="364"/>
        <v>0</v>
      </c>
      <c r="HL83" s="204"/>
      <c r="HM83" s="204"/>
      <c r="HN83" s="204"/>
      <c r="HO83" s="204"/>
      <c r="HP83" s="203">
        <f t="shared" si="398"/>
        <v>0</v>
      </c>
      <c r="HQ83" s="202">
        <f t="shared" si="399"/>
        <v>0</v>
      </c>
      <c r="HR83" s="202">
        <f t="shared" si="452"/>
        <v>0</v>
      </c>
      <c r="HS83" s="203">
        <f t="shared" si="400"/>
        <v>0</v>
      </c>
      <c r="HT83" s="202">
        <f t="shared" si="401"/>
        <v>0</v>
      </c>
      <c r="HU83" s="202">
        <f t="shared" si="453"/>
        <v>0</v>
      </c>
      <c r="HV83" s="203">
        <f t="shared" si="402"/>
        <v>0</v>
      </c>
      <c r="HW83" s="202">
        <f t="shared" si="403"/>
        <v>0</v>
      </c>
      <c r="HX83" s="202">
        <f t="shared" si="454"/>
        <v>0</v>
      </c>
      <c r="HY83" s="203">
        <f t="shared" si="365"/>
        <v>0</v>
      </c>
      <c r="HZ83" s="202">
        <f t="shared" si="404"/>
        <v>0</v>
      </c>
      <c r="IA83" s="202">
        <f t="shared" si="455"/>
        <v>0</v>
      </c>
      <c r="IB83" s="203">
        <f t="shared" si="405"/>
        <v>0</v>
      </c>
      <c r="IC83" s="202">
        <f t="shared" si="366"/>
        <v>0</v>
      </c>
      <c r="ID83" s="202">
        <f t="shared" si="456"/>
        <v>0</v>
      </c>
      <c r="IE83" s="203">
        <f t="shared" si="367"/>
        <v>0</v>
      </c>
      <c r="IF83" s="202">
        <f t="shared" si="368"/>
        <v>0</v>
      </c>
      <c r="IG83" s="202">
        <f t="shared" si="457"/>
        <v>0</v>
      </c>
      <c r="IH83" s="203">
        <f t="shared" si="406"/>
        <v>0</v>
      </c>
      <c r="II83" s="202">
        <f t="shared" si="407"/>
        <v>0</v>
      </c>
      <c r="IJ83" s="202">
        <f t="shared" si="458"/>
        <v>0</v>
      </c>
      <c r="IK83" s="203">
        <f t="shared" si="369"/>
        <v>0</v>
      </c>
      <c r="IL83" s="202">
        <f t="shared" si="370"/>
        <v>0</v>
      </c>
      <c r="IM83" s="202">
        <f t="shared" si="459"/>
        <v>0</v>
      </c>
      <c r="IN83" s="204"/>
      <c r="IO83" s="203">
        <f t="shared" si="371"/>
        <v>0</v>
      </c>
      <c r="IP83" s="202">
        <f t="shared" si="460"/>
        <v>0</v>
      </c>
      <c r="IQ83" s="202">
        <f t="shared" si="461"/>
        <v>0</v>
      </c>
      <c r="IR83" s="204"/>
      <c r="IS83" s="203"/>
      <c r="IT83" s="202">
        <f t="shared" si="462"/>
        <v>1</v>
      </c>
      <c r="IU83" s="202">
        <f t="shared" si="463"/>
        <v>97</v>
      </c>
      <c r="IV83" s="204"/>
      <c r="IW83" s="203"/>
      <c r="IX83" s="202">
        <f t="shared" si="464"/>
        <v>0</v>
      </c>
      <c r="IY83" s="202">
        <f t="shared" si="465"/>
        <v>0</v>
      </c>
      <c r="IZ83" s="204"/>
      <c r="JA83" s="203"/>
      <c r="JB83" s="202">
        <f t="shared" si="466"/>
        <v>0</v>
      </c>
      <c r="JC83" s="202">
        <f t="shared" si="467"/>
        <v>0</v>
      </c>
      <c r="JD83" s="204"/>
      <c r="JE83" s="203"/>
      <c r="JF83" s="202">
        <f t="shared" si="408"/>
        <v>1</v>
      </c>
      <c r="JG83" s="202">
        <f t="shared" si="408"/>
        <v>97</v>
      </c>
      <c r="JH83" s="204"/>
      <c r="JI83" s="203"/>
      <c r="JJ83" s="202">
        <f t="shared" si="468"/>
        <v>0</v>
      </c>
      <c r="JK83" s="202">
        <f t="shared" si="469"/>
        <v>0</v>
      </c>
      <c r="JM83" s="203">
        <f t="shared" si="409"/>
        <v>0</v>
      </c>
      <c r="JO83" s="196">
        <f t="shared" si="372"/>
        <v>0</v>
      </c>
      <c r="JP83" s="189">
        <f t="shared" si="470"/>
        <v>0</v>
      </c>
      <c r="JQ83" s="189">
        <f t="shared" si="471"/>
        <v>0</v>
      </c>
      <c r="JR83" s="189">
        <f t="shared" si="472"/>
        <v>0</v>
      </c>
      <c r="JS83" s="189">
        <f t="shared" si="473"/>
        <v>0</v>
      </c>
      <c r="JT83" s="189">
        <f t="shared" si="474"/>
        <v>0</v>
      </c>
      <c r="JU83" s="189">
        <f t="shared" si="475"/>
        <v>0</v>
      </c>
      <c r="JV83" s="189">
        <f t="shared" si="476"/>
        <v>0</v>
      </c>
      <c r="JW83" s="189">
        <f t="shared" si="477"/>
        <v>0</v>
      </c>
      <c r="JX83" s="189">
        <f t="shared" si="478"/>
        <v>0</v>
      </c>
      <c r="JY83" s="189">
        <f t="shared" si="479"/>
        <v>0</v>
      </c>
      <c r="JZ83" s="189">
        <f t="shared" si="480"/>
        <v>0</v>
      </c>
      <c r="KA83" s="189">
        <f t="shared" si="481"/>
        <v>0</v>
      </c>
      <c r="KB83" s="189">
        <f t="shared" si="482"/>
        <v>0</v>
      </c>
      <c r="KD83" s="206">
        <f t="shared" si="410"/>
        <v>0</v>
      </c>
      <c r="KE83" s="206">
        <f t="shared" si="373"/>
        <v>0</v>
      </c>
      <c r="KF83" s="206">
        <f t="shared" si="483"/>
        <v>0</v>
      </c>
      <c r="KG83" s="206">
        <f t="shared" si="484"/>
        <v>0</v>
      </c>
      <c r="KH83" s="206">
        <f t="shared" si="485"/>
        <v>0</v>
      </c>
      <c r="KI83" s="206">
        <f t="shared" si="486"/>
        <v>0</v>
      </c>
      <c r="KJ83" s="206">
        <f t="shared" si="487"/>
        <v>0</v>
      </c>
      <c r="KK83" s="206">
        <f t="shared" si="488"/>
        <v>0</v>
      </c>
      <c r="KL83" s="206">
        <f t="shared" si="489"/>
        <v>0</v>
      </c>
      <c r="KM83" s="206">
        <f t="shared" si="490"/>
        <v>0</v>
      </c>
      <c r="KN83" s="221">
        <f t="shared" si="491"/>
        <v>0</v>
      </c>
      <c r="KO83" s="221">
        <f t="shared" si="492"/>
        <v>0</v>
      </c>
      <c r="KP83" s="221">
        <f t="shared" si="493"/>
        <v>0</v>
      </c>
      <c r="KQ83" s="221">
        <f t="shared" si="494"/>
        <v>0</v>
      </c>
      <c r="KR83" s="221">
        <f t="shared" si="495"/>
        <v>0</v>
      </c>
      <c r="KT83" s="195">
        <f t="shared" si="496"/>
        <v>0</v>
      </c>
      <c r="KU83" s="221"/>
      <c r="KV83" s="221"/>
      <c r="KW83" s="221"/>
      <c r="KX83" s="221"/>
      <c r="KY83" s="221"/>
      <c r="KZ83" s="221"/>
      <c r="LA83" s="221"/>
      <c r="LB83" s="221"/>
      <c r="LC83" s="221"/>
      <c r="LD83" s="221"/>
      <c r="LE83" s="221"/>
      <c r="LF83" s="221"/>
      <c r="LG83" s="221"/>
      <c r="LH83" s="221"/>
      <c r="LI83" s="221"/>
      <c r="LJ83" s="221"/>
      <c r="LK83" s="221"/>
      <c r="LL83" s="221"/>
      <c r="LM83" s="221"/>
      <c r="LN83" s="221"/>
      <c r="LO83" s="221"/>
      <c r="LP83" s="221"/>
      <c r="LQ83" s="221"/>
      <c r="LR83" s="221"/>
      <c r="LS83" s="221"/>
      <c r="LT83" s="221"/>
      <c r="LU83" s="221"/>
      <c r="LV83" s="221"/>
      <c r="LW83" s="221"/>
      <c r="LX83" s="221"/>
      <c r="LY83" s="221"/>
      <c r="LZ83" s="221"/>
      <c r="MA83" s="221"/>
      <c r="MB83" s="221"/>
      <c r="MC83" s="221"/>
      <c r="MD83" s="221"/>
      <c r="ME83" s="221"/>
      <c r="MF83" s="221"/>
      <c r="MG83" s="221"/>
      <c r="MH83" s="221"/>
      <c r="MI83" s="221"/>
      <c r="MJ83" s="221"/>
      <c r="MK83" s="221"/>
      <c r="ML83" s="221"/>
      <c r="MM83" s="221"/>
      <c r="MN83" s="221"/>
      <c r="MO83" s="221"/>
      <c r="MP83" s="221"/>
      <c r="MQ83" s="221"/>
      <c r="MR83" s="221"/>
      <c r="MS83" s="221"/>
      <c r="MT83" s="221"/>
      <c r="MU83" s="221"/>
      <c r="MV83" s="221"/>
      <c r="MW83" s="221"/>
      <c r="MX83" s="221"/>
      <c r="MY83" s="221"/>
      <c r="MZ83" s="221"/>
      <c r="NA83" s="221"/>
      <c r="NB83" s="221"/>
      <c r="NC83" s="221"/>
      <c r="ND83" s="221"/>
      <c r="NE83" s="221"/>
      <c r="NF83" s="221"/>
      <c r="NG83" s="221"/>
      <c r="NH83" s="221"/>
      <c r="NI83" s="221"/>
      <c r="NJ83" s="221"/>
      <c r="NK83" s="221"/>
      <c r="NM83" s="195">
        <f t="shared" si="411"/>
        <v>0</v>
      </c>
      <c r="NN83" s="195">
        <f t="shared" si="412"/>
        <v>0</v>
      </c>
      <c r="NO83" s="195">
        <f t="shared" si="413"/>
        <v>0</v>
      </c>
      <c r="NP83" s="195">
        <f t="shared" si="414"/>
        <v>0</v>
      </c>
      <c r="NQ83" s="195">
        <f t="shared" si="415"/>
        <v>0</v>
      </c>
      <c r="NR83" s="195">
        <f t="shared" si="416"/>
        <v>0</v>
      </c>
      <c r="NS83" s="195">
        <f t="shared" si="417"/>
        <v>0</v>
      </c>
      <c r="NT83" s="195">
        <f t="shared" si="418"/>
        <v>0</v>
      </c>
      <c r="NU83" s="196">
        <f t="shared" si="419"/>
        <v>0</v>
      </c>
      <c r="NY83" s="215">
        <f t="shared" si="420"/>
        <v>1</v>
      </c>
      <c r="NZ83" s="222">
        <v>10780000</v>
      </c>
      <c r="OE83" s="207">
        <f t="shared" si="374"/>
        <v>0</v>
      </c>
      <c r="OF83" s="207">
        <f t="shared" si="375"/>
        <v>0</v>
      </c>
      <c r="OG83" s="207">
        <f t="shared" si="376"/>
        <v>0</v>
      </c>
      <c r="OH83" s="207">
        <f t="shared" si="421"/>
        <v>0</v>
      </c>
      <c r="OI83" s="207">
        <f t="shared" si="377"/>
        <v>0</v>
      </c>
      <c r="OJ83" s="199">
        <f t="shared" si="422"/>
        <v>0</v>
      </c>
      <c r="OK83" s="199">
        <f t="shared" si="423"/>
        <v>0</v>
      </c>
      <c r="OL83" s="199">
        <f t="shared" si="424"/>
        <v>0</v>
      </c>
      <c r="OM83" s="199">
        <f t="shared" si="425"/>
        <v>0</v>
      </c>
      <c r="OO83" s="207">
        <f t="shared" si="378"/>
        <v>0</v>
      </c>
      <c r="OP83" s="207">
        <f t="shared" si="379"/>
        <v>0</v>
      </c>
      <c r="OQ83" s="207">
        <f t="shared" si="426"/>
        <v>0</v>
      </c>
      <c r="OR83" s="207">
        <f t="shared" si="427"/>
        <v>0</v>
      </c>
      <c r="OS83" s="207">
        <f t="shared" si="428"/>
        <v>0</v>
      </c>
      <c r="OT83" s="199">
        <f t="shared" si="429"/>
        <v>0</v>
      </c>
      <c r="OU83" s="199">
        <f t="shared" si="430"/>
        <v>0</v>
      </c>
      <c r="OV83" s="199">
        <f t="shared" si="431"/>
        <v>0</v>
      </c>
      <c r="OW83" s="199">
        <f t="shared" si="432"/>
        <v>0</v>
      </c>
      <c r="OZ83" s="208">
        <f t="shared" si="380"/>
        <v>0</v>
      </c>
      <c r="PA83" s="209"/>
      <c r="PB83" s="209"/>
      <c r="PC83" s="209"/>
      <c r="PD83" s="210">
        <f t="shared" si="433"/>
        <v>0</v>
      </c>
      <c r="PE83" s="210"/>
      <c r="PF83" s="210">
        <f t="shared" si="434"/>
        <v>0</v>
      </c>
      <c r="PG83" s="210">
        <f t="shared" si="435"/>
        <v>0</v>
      </c>
      <c r="PH83" s="210">
        <f t="shared" si="381"/>
        <v>0</v>
      </c>
      <c r="PI83" s="210">
        <f t="shared" si="382"/>
        <v>0</v>
      </c>
      <c r="PJ83" s="210">
        <f t="shared" si="383"/>
        <v>0</v>
      </c>
      <c r="PK83" s="210">
        <f t="shared" si="384"/>
        <v>0</v>
      </c>
      <c r="PL83" s="210">
        <f t="shared" si="385"/>
        <v>0</v>
      </c>
      <c r="PM83" s="211"/>
      <c r="PN83" s="211"/>
      <c r="PO83" s="212">
        <f t="shared" si="436"/>
        <v>0</v>
      </c>
      <c r="PP83" s="212">
        <f t="shared" si="437"/>
        <v>0</v>
      </c>
      <c r="PQ83" s="212">
        <f t="shared" si="438"/>
        <v>0</v>
      </c>
      <c r="PR83" s="211"/>
      <c r="PS83" s="211"/>
      <c r="PT83" s="211"/>
      <c r="PU83" s="211"/>
    </row>
    <row r="84" spans="1:437" s="195" customFormat="1" ht="16" x14ac:dyDescent="0.2">
      <c r="A84" s="213">
        <f t="shared" si="206"/>
        <v>74</v>
      </c>
      <c r="B84" s="186" t="s">
        <v>85</v>
      </c>
      <c r="C84" s="186">
        <v>80</v>
      </c>
      <c r="D84" s="188">
        <v>1</v>
      </c>
      <c r="E84" s="188">
        <v>70</v>
      </c>
      <c r="F84" s="188">
        <v>1</v>
      </c>
      <c r="G84" s="188">
        <f t="shared" si="308"/>
        <v>70</v>
      </c>
      <c r="H84" s="214">
        <f t="shared" si="311"/>
        <v>1</v>
      </c>
      <c r="I84" s="214">
        <f t="shared" si="312"/>
        <v>1</v>
      </c>
      <c r="J84" s="188">
        <v>1</v>
      </c>
      <c r="K84" s="188">
        <f t="shared" si="313"/>
        <v>70</v>
      </c>
      <c r="L84" s="214">
        <f t="shared" si="314"/>
        <v>1</v>
      </c>
      <c r="M84" s="214">
        <f t="shared" si="315"/>
        <v>1</v>
      </c>
      <c r="N84" s="188">
        <v>1</v>
      </c>
      <c r="O84" s="188">
        <f t="shared" si="316"/>
        <v>70</v>
      </c>
      <c r="P84" s="214">
        <f t="shared" si="317"/>
        <v>1</v>
      </c>
      <c r="Q84" s="214">
        <f t="shared" si="318"/>
        <v>1</v>
      </c>
      <c r="R84" s="188">
        <v>1</v>
      </c>
      <c r="S84" s="188">
        <f t="shared" si="319"/>
        <v>70</v>
      </c>
      <c r="T84" s="214">
        <f t="shared" si="320"/>
        <v>1</v>
      </c>
      <c r="U84" s="214">
        <f t="shared" si="321"/>
        <v>1</v>
      </c>
      <c r="V84" s="215">
        <v>1</v>
      </c>
      <c r="W84" s="188">
        <f t="shared" si="322"/>
        <v>70</v>
      </c>
      <c r="X84" s="214">
        <f t="shared" si="323"/>
        <v>1</v>
      </c>
      <c r="Y84" s="214">
        <f t="shared" si="324"/>
        <v>1</v>
      </c>
      <c r="Z84" s="216">
        <f>1115317000/1000000000</f>
        <v>1.1153169999999999</v>
      </c>
      <c r="AA84" s="188">
        <v>0</v>
      </c>
      <c r="AB84" s="188">
        <f t="shared" si="339"/>
        <v>0</v>
      </c>
      <c r="AC84" s="214">
        <f t="shared" si="340"/>
        <v>0</v>
      </c>
      <c r="AD84" s="214">
        <f t="shared" si="341"/>
        <v>0</v>
      </c>
      <c r="AE84" s="188"/>
      <c r="AF84" s="188">
        <f t="shared" si="342"/>
        <v>0</v>
      </c>
      <c r="AG84" s="188"/>
      <c r="AH84" s="188"/>
      <c r="AI84" s="188">
        <v>0</v>
      </c>
      <c r="AJ84" s="188">
        <f t="shared" si="325"/>
        <v>0</v>
      </c>
      <c r="AK84" s="188"/>
      <c r="AL84" s="188">
        <v>0</v>
      </c>
      <c r="AM84" s="188">
        <v>0</v>
      </c>
      <c r="AN84" s="217"/>
      <c r="AO84" s="188"/>
      <c r="AP84" s="188"/>
      <c r="AQ84" s="188"/>
      <c r="AR84" s="188"/>
      <c r="AS84" s="188"/>
      <c r="AT84" s="188"/>
      <c r="AU84" s="188"/>
      <c r="AV84" s="188"/>
      <c r="AW84" s="188"/>
      <c r="AX84" s="188"/>
      <c r="AY84" s="188"/>
      <c r="AZ84" s="188"/>
      <c r="BA84" s="188"/>
      <c r="BB84" s="188">
        <f t="shared" si="343"/>
        <v>0</v>
      </c>
      <c r="BD84" s="196">
        <f t="shared" si="386"/>
        <v>0</v>
      </c>
      <c r="BE84" s="188">
        <f t="shared" si="326"/>
        <v>0</v>
      </c>
      <c r="BF84" s="188">
        <f t="shared" si="327"/>
        <v>0</v>
      </c>
      <c r="BG84" s="188">
        <f t="shared" si="328"/>
        <v>0</v>
      </c>
      <c r="BH84" s="188">
        <f t="shared" si="329"/>
        <v>0</v>
      </c>
      <c r="BI84" s="188">
        <f t="shared" si="330"/>
        <v>0</v>
      </c>
      <c r="BJ84" s="188">
        <f t="shared" si="331"/>
        <v>0</v>
      </c>
      <c r="BK84" s="188">
        <f t="shared" si="332"/>
        <v>0</v>
      </c>
      <c r="BN84" s="277">
        <v>15</v>
      </c>
      <c r="BO84" s="139">
        <v>1</v>
      </c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B84" s="188"/>
      <c r="CD84" s="188">
        <f t="shared" si="344"/>
        <v>15</v>
      </c>
      <c r="CE84" s="188">
        <f t="shared" si="345"/>
        <v>15</v>
      </c>
      <c r="CF84" s="188">
        <f t="shared" si="346"/>
        <v>0</v>
      </c>
      <c r="CG84" s="188">
        <f t="shared" si="347"/>
        <v>0</v>
      </c>
      <c r="CH84" s="188">
        <f t="shared" si="348"/>
        <v>0</v>
      </c>
      <c r="CI84" s="188">
        <f t="shared" si="349"/>
        <v>0</v>
      </c>
      <c r="CJ84" s="188">
        <f t="shared" si="350"/>
        <v>0</v>
      </c>
      <c r="CK84" s="188">
        <f t="shared" si="351"/>
        <v>0</v>
      </c>
      <c r="CL84" s="188">
        <f t="shared" si="352"/>
        <v>0</v>
      </c>
      <c r="CM84" s="188">
        <f t="shared" si="353"/>
        <v>0</v>
      </c>
      <c r="CN84" s="188">
        <f t="shared" si="354"/>
        <v>0</v>
      </c>
      <c r="CO84" s="188">
        <f t="shared" si="355"/>
        <v>0</v>
      </c>
      <c r="CP84" s="188">
        <f t="shared" si="356"/>
        <v>0</v>
      </c>
      <c r="DV84" s="188">
        <f t="shared" si="333"/>
        <v>0</v>
      </c>
      <c r="DW84" s="188">
        <f t="shared" si="334"/>
        <v>0</v>
      </c>
      <c r="DX84" s="188">
        <f t="shared" si="335"/>
        <v>0</v>
      </c>
      <c r="DY84" s="188">
        <f t="shared" si="336"/>
        <v>0</v>
      </c>
      <c r="DZ84" s="188">
        <f t="shared" si="337"/>
        <v>0</v>
      </c>
      <c r="EA84" s="188">
        <f t="shared" si="338"/>
        <v>0</v>
      </c>
      <c r="EB84" s="188">
        <f t="shared" si="357"/>
        <v>0</v>
      </c>
      <c r="EG84" s="220">
        <f t="shared" si="358"/>
        <v>0</v>
      </c>
      <c r="EH84" s="220">
        <f t="shared" si="359"/>
        <v>0</v>
      </c>
      <c r="EI84" s="188"/>
      <c r="EJ84" s="188"/>
      <c r="EK84" s="188"/>
      <c r="EL84" s="188"/>
      <c r="EM84" s="188"/>
      <c r="EN84" s="188"/>
      <c r="EO84" s="188"/>
      <c r="EP84" s="188"/>
      <c r="EQ84" s="188"/>
      <c r="ER84" s="188"/>
      <c r="ES84" s="188"/>
      <c r="ET84" s="188"/>
      <c r="EU84" s="188"/>
      <c r="EV84" s="188"/>
      <c r="EW84" s="188"/>
      <c r="EX84" s="188"/>
      <c r="EY84" s="188"/>
      <c r="EZ84" s="188"/>
      <c r="FA84" s="188"/>
      <c r="FB84" s="188"/>
      <c r="FC84" s="188"/>
      <c r="FD84" s="188"/>
      <c r="FE84" s="188"/>
      <c r="FF84" s="188"/>
      <c r="FH84" s="189"/>
      <c r="FI84" s="189"/>
      <c r="FJ84" s="189"/>
      <c r="FK84" s="189"/>
      <c r="FL84" s="189"/>
      <c r="FM84" s="189"/>
      <c r="FN84" s="189"/>
      <c r="FO84" s="189"/>
      <c r="FP84" s="189"/>
      <c r="FQ84" s="189"/>
      <c r="FR84" s="189"/>
      <c r="FS84" s="189"/>
      <c r="FT84" s="189"/>
      <c r="FU84" s="189"/>
      <c r="FV84" s="189"/>
      <c r="FX84" s="217">
        <v>1</v>
      </c>
      <c r="FY84" s="188">
        <f t="shared" si="360"/>
        <v>15</v>
      </c>
      <c r="FZ84" s="188">
        <f t="shared" si="439"/>
        <v>15</v>
      </c>
      <c r="GA84" s="188">
        <f t="shared" si="440"/>
        <v>0</v>
      </c>
      <c r="GB84" s="188">
        <f t="shared" si="441"/>
        <v>0</v>
      </c>
      <c r="GC84" s="188">
        <f t="shared" si="442"/>
        <v>0</v>
      </c>
      <c r="GD84" s="188">
        <f t="shared" si="443"/>
        <v>0</v>
      </c>
      <c r="GE84" s="188">
        <f t="shared" si="444"/>
        <v>0</v>
      </c>
      <c r="GF84" s="199"/>
      <c r="GG84" s="189">
        <v>0</v>
      </c>
      <c r="GH84" s="189">
        <v>0</v>
      </c>
      <c r="GI84" s="199"/>
      <c r="GJ84" s="224">
        <f t="shared" si="361"/>
        <v>0</v>
      </c>
      <c r="GK84" s="224">
        <f t="shared" si="362"/>
        <v>0</v>
      </c>
      <c r="GO84" s="189">
        <f t="shared" si="445"/>
        <v>0</v>
      </c>
      <c r="GP84" s="189">
        <f t="shared" si="446"/>
        <v>0</v>
      </c>
      <c r="GQ84" s="189">
        <f t="shared" si="447"/>
        <v>0</v>
      </c>
      <c r="GR84" s="189">
        <f t="shared" si="448"/>
        <v>0</v>
      </c>
      <c r="GS84" s="189">
        <f t="shared" si="449"/>
        <v>0</v>
      </c>
      <c r="GT84" s="189">
        <f t="shared" si="387"/>
        <v>1</v>
      </c>
      <c r="GU84" s="201">
        <f t="shared" si="388"/>
        <v>43243</v>
      </c>
      <c r="GV84" s="189" t="str">
        <f t="shared" si="389"/>
        <v>SELESAI</v>
      </c>
      <c r="GW84" s="189">
        <f t="shared" si="390"/>
        <v>0</v>
      </c>
      <c r="GX84" s="202" t="str">
        <f t="shared" si="391"/>
        <v>SELESAI</v>
      </c>
      <c r="GY84" s="202">
        <f t="shared" si="392"/>
        <v>0</v>
      </c>
      <c r="GZ84" s="203" t="str">
        <f t="shared" si="393"/>
        <v>SELESAI</v>
      </c>
      <c r="HA84" s="204"/>
      <c r="HB84" s="204"/>
      <c r="HC84" s="189">
        <f t="shared" si="450"/>
        <v>0</v>
      </c>
      <c r="HD84" s="189">
        <f t="shared" si="451"/>
        <v>0</v>
      </c>
      <c r="HE84" s="189">
        <f t="shared" si="394"/>
        <v>0</v>
      </c>
      <c r="HF84" s="189">
        <f t="shared" si="395"/>
        <v>0</v>
      </c>
      <c r="HG84" s="189">
        <f t="shared" si="396"/>
        <v>0</v>
      </c>
      <c r="HH84" s="201" t="str">
        <f t="shared" si="363"/>
        <v>TIDAK KONSINYASI</v>
      </c>
      <c r="HI84" s="201" t="str">
        <f t="shared" si="397"/>
        <v>SELESAI</v>
      </c>
      <c r="HJ84" s="205"/>
      <c r="HK84" s="201">
        <f t="shared" si="364"/>
        <v>0</v>
      </c>
      <c r="HL84" s="204"/>
      <c r="HM84" s="204"/>
      <c r="HN84" s="204"/>
      <c r="HO84" s="204"/>
      <c r="HP84" s="203">
        <f t="shared" si="398"/>
        <v>0</v>
      </c>
      <c r="HQ84" s="202">
        <f t="shared" si="399"/>
        <v>0</v>
      </c>
      <c r="HR84" s="202">
        <f t="shared" si="452"/>
        <v>0</v>
      </c>
      <c r="HS84" s="203">
        <f t="shared" si="400"/>
        <v>0</v>
      </c>
      <c r="HT84" s="202">
        <f t="shared" si="401"/>
        <v>0</v>
      </c>
      <c r="HU84" s="202">
        <f t="shared" si="453"/>
        <v>0</v>
      </c>
      <c r="HV84" s="203">
        <f t="shared" si="402"/>
        <v>0</v>
      </c>
      <c r="HW84" s="202">
        <f t="shared" si="403"/>
        <v>0</v>
      </c>
      <c r="HX84" s="202">
        <f t="shared" si="454"/>
        <v>0</v>
      </c>
      <c r="HY84" s="203">
        <f t="shared" si="365"/>
        <v>0</v>
      </c>
      <c r="HZ84" s="202">
        <f t="shared" si="404"/>
        <v>0</v>
      </c>
      <c r="IA84" s="202">
        <f t="shared" si="455"/>
        <v>0</v>
      </c>
      <c r="IB84" s="203">
        <f t="shared" si="405"/>
        <v>0</v>
      </c>
      <c r="IC84" s="202">
        <f t="shared" si="366"/>
        <v>0</v>
      </c>
      <c r="ID84" s="202">
        <f t="shared" si="456"/>
        <v>0</v>
      </c>
      <c r="IE84" s="203">
        <f t="shared" si="367"/>
        <v>0</v>
      </c>
      <c r="IF84" s="202">
        <f t="shared" si="368"/>
        <v>0</v>
      </c>
      <c r="IG84" s="202">
        <f t="shared" si="457"/>
        <v>0</v>
      </c>
      <c r="IH84" s="203">
        <f t="shared" si="406"/>
        <v>0</v>
      </c>
      <c r="II84" s="202">
        <f t="shared" si="407"/>
        <v>0</v>
      </c>
      <c r="IJ84" s="202">
        <f t="shared" si="458"/>
        <v>0</v>
      </c>
      <c r="IK84" s="203">
        <f t="shared" si="369"/>
        <v>0</v>
      </c>
      <c r="IL84" s="202">
        <f t="shared" si="370"/>
        <v>0</v>
      </c>
      <c r="IM84" s="202">
        <f t="shared" si="459"/>
        <v>0</v>
      </c>
      <c r="IN84" s="204"/>
      <c r="IO84" s="203">
        <f t="shared" si="371"/>
        <v>0</v>
      </c>
      <c r="IP84" s="202">
        <f t="shared" si="460"/>
        <v>0</v>
      </c>
      <c r="IQ84" s="202">
        <f t="shared" si="461"/>
        <v>0</v>
      </c>
      <c r="IR84" s="204"/>
      <c r="IS84" s="203"/>
      <c r="IT84" s="202">
        <f t="shared" si="462"/>
        <v>1</v>
      </c>
      <c r="IU84" s="202">
        <f t="shared" si="463"/>
        <v>70</v>
      </c>
      <c r="IV84" s="204"/>
      <c r="IW84" s="203"/>
      <c r="IX84" s="202">
        <f t="shared" si="464"/>
        <v>0</v>
      </c>
      <c r="IY84" s="202">
        <f t="shared" si="465"/>
        <v>0</v>
      </c>
      <c r="IZ84" s="204"/>
      <c r="JA84" s="203"/>
      <c r="JB84" s="202">
        <f t="shared" si="466"/>
        <v>0</v>
      </c>
      <c r="JC84" s="202">
        <f t="shared" si="467"/>
        <v>0</v>
      </c>
      <c r="JD84" s="204"/>
      <c r="JE84" s="203"/>
      <c r="JF84" s="202">
        <f t="shared" si="408"/>
        <v>1</v>
      </c>
      <c r="JG84" s="202">
        <f t="shared" si="408"/>
        <v>70</v>
      </c>
      <c r="JH84" s="204"/>
      <c r="JI84" s="203"/>
      <c r="JJ84" s="202">
        <f t="shared" si="468"/>
        <v>0</v>
      </c>
      <c r="JK84" s="202">
        <f t="shared" si="469"/>
        <v>0</v>
      </c>
      <c r="JM84" s="203">
        <f t="shared" si="409"/>
        <v>0</v>
      </c>
      <c r="JO84" s="196">
        <f t="shared" si="372"/>
        <v>1</v>
      </c>
      <c r="JP84" s="189">
        <f t="shared" si="470"/>
        <v>15</v>
      </c>
      <c r="JQ84" s="189">
        <f t="shared" si="471"/>
        <v>1</v>
      </c>
      <c r="JR84" s="189">
        <f t="shared" si="472"/>
        <v>0</v>
      </c>
      <c r="JS84" s="189">
        <f t="shared" si="473"/>
        <v>0</v>
      </c>
      <c r="JT84" s="189">
        <f t="shared" si="474"/>
        <v>0</v>
      </c>
      <c r="JU84" s="189">
        <f t="shared" si="475"/>
        <v>0</v>
      </c>
      <c r="JV84" s="189">
        <f t="shared" si="476"/>
        <v>0</v>
      </c>
      <c r="JW84" s="189">
        <f t="shared" si="477"/>
        <v>0</v>
      </c>
      <c r="JX84" s="189">
        <f t="shared" si="478"/>
        <v>0</v>
      </c>
      <c r="JY84" s="189">
        <f t="shared" si="479"/>
        <v>0</v>
      </c>
      <c r="JZ84" s="189">
        <f t="shared" si="480"/>
        <v>0</v>
      </c>
      <c r="KA84" s="189">
        <f t="shared" si="481"/>
        <v>0</v>
      </c>
      <c r="KB84" s="189">
        <f t="shared" si="482"/>
        <v>0</v>
      </c>
      <c r="KD84" s="206">
        <f t="shared" si="410"/>
        <v>0</v>
      </c>
      <c r="KE84" s="206">
        <f t="shared" si="373"/>
        <v>0</v>
      </c>
      <c r="KF84" s="206">
        <f t="shared" si="483"/>
        <v>15</v>
      </c>
      <c r="KG84" s="206">
        <f t="shared" si="484"/>
        <v>15</v>
      </c>
      <c r="KH84" s="206">
        <f t="shared" si="485"/>
        <v>0</v>
      </c>
      <c r="KI84" s="206">
        <f t="shared" si="486"/>
        <v>0</v>
      </c>
      <c r="KJ84" s="206">
        <f t="shared" si="487"/>
        <v>0</v>
      </c>
      <c r="KK84" s="206">
        <f t="shared" si="488"/>
        <v>0</v>
      </c>
      <c r="KL84" s="206">
        <f t="shared" si="489"/>
        <v>0</v>
      </c>
      <c r="KM84" s="206">
        <f t="shared" si="490"/>
        <v>0</v>
      </c>
      <c r="KN84" s="221">
        <f t="shared" si="491"/>
        <v>0</v>
      </c>
      <c r="KO84" s="221">
        <f t="shared" si="492"/>
        <v>0</v>
      </c>
      <c r="KP84" s="221">
        <f t="shared" si="493"/>
        <v>0</v>
      </c>
      <c r="KQ84" s="221">
        <f t="shared" si="494"/>
        <v>0</v>
      </c>
      <c r="KR84" s="221">
        <f t="shared" si="495"/>
        <v>0</v>
      </c>
      <c r="KT84" s="195">
        <f t="shared" si="496"/>
        <v>0</v>
      </c>
      <c r="KU84" s="221"/>
      <c r="KV84" s="221"/>
      <c r="KW84" s="221"/>
      <c r="KX84" s="221"/>
      <c r="KY84" s="221"/>
      <c r="KZ84" s="221"/>
      <c r="LA84" s="221"/>
      <c r="LB84" s="221"/>
      <c r="LC84" s="221"/>
      <c r="LD84" s="221"/>
      <c r="LE84" s="221"/>
      <c r="LF84" s="221"/>
      <c r="LG84" s="221"/>
      <c r="LH84" s="221"/>
      <c r="LI84" s="221"/>
      <c r="LJ84" s="221"/>
      <c r="LK84" s="221"/>
      <c r="LL84" s="221"/>
      <c r="LM84" s="221"/>
      <c r="LN84" s="221"/>
      <c r="LO84" s="221"/>
      <c r="LP84" s="221"/>
      <c r="LQ84" s="221"/>
      <c r="LR84" s="221"/>
      <c r="LS84" s="221"/>
      <c r="LT84" s="221"/>
      <c r="LU84" s="221"/>
      <c r="LV84" s="221"/>
      <c r="LW84" s="221"/>
      <c r="LX84" s="221"/>
      <c r="LY84" s="221"/>
      <c r="LZ84" s="221"/>
      <c r="MA84" s="221"/>
      <c r="MB84" s="221"/>
      <c r="MC84" s="221"/>
      <c r="MD84" s="221"/>
      <c r="ME84" s="221"/>
      <c r="MF84" s="221"/>
      <c r="MG84" s="221"/>
      <c r="MH84" s="221"/>
      <c r="MI84" s="221"/>
      <c r="MJ84" s="221"/>
      <c r="MK84" s="221"/>
      <c r="ML84" s="221"/>
      <c r="MM84" s="221"/>
      <c r="MN84" s="221"/>
      <c r="MO84" s="221"/>
      <c r="MP84" s="221"/>
      <c r="MQ84" s="221"/>
      <c r="MR84" s="221"/>
      <c r="MS84" s="221"/>
      <c r="MT84" s="221"/>
      <c r="MU84" s="221"/>
      <c r="MV84" s="221"/>
      <c r="MW84" s="221"/>
      <c r="MX84" s="221"/>
      <c r="MY84" s="221"/>
      <c r="MZ84" s="221"/>
      <c r="NA84" s="221"/>
      <c r="NB84" s="221"/>
      <c r="NC84" s="221"/>
      <c r="ND84" s="221"/>
      <c r="NE84" s="221"/>
      <c r="NF84" s="221"/>
      <c r="NG84" s="221"/>
      <c r="NH84" s="221"/>
      <c r="NI84" s="221"/>
      <c r="NJ84" s="221"/>
      <c r="NK84" s="221"/>
      <c r="NM84" s="195">
        <f t="shared" si="411"/>
        <v>0</v>
      </c>
      <c r="NN84" s="195">
        <f t="shared" si="412"/>
        <v>0</v>
      </c>
      <c r="NO84" s="195">
        <f t="shared" si="413"/>
        <v>0</v>
      </c>
      <c r="NP84" s="195">
        <f t="shared" si="414"/>
        <v>0</v>
      </c>
      <c r="NQ84" s="195">
        <f t="shared" si="415"/>
        <v>0</v>
      </c>
      <c r="NR84" s="195">
        <f t="shared" si="416"/>
        <v>0</v>
      </c>
      <c r="NS84" s="195">
        <f t="shared" si="417"/>
        <v>0</v>
      </c>
      <c r="NT84" s="195">
        <f t="shared" si="418"/>
        <v>0</v>
      </c>
      <c r="NU84" s="196">
        <f t="shared" si="419"/>
        <v>0</v>
      </c>
      <c r="NY84" s="215">
        <f t="shared" si="420"/>
        <v>1</v>
      </c>
      <c r="NZ84" s="222">
        <v>10780000</v>
      </c>
      <c r="OE84" s="207">
        <f t="shared" si="374"/>
        <v>0</v>
      </c>
      <c r="OF84" s="207">
        <f t="shared" si="375"/>
        <v>0</v>
      </c>
      <c r="OG84" s="207">
        <f t="shared" si="376"/>
        <v>0</v>
      </c>
      <c r="OH84" s="207">
        <f t="shared" si="421"/>
        <v>0</v>
      </c>
      <c r="OI84" s="207">
        <f t="shared" si="377"/>
        <v>0</v>
      </c>
      <c r="OJ84" s="199">
        <f t="shared" si="422"/>
        <v>0</v>
      </c>
      <c r="OK84" s="199">
        <f t="shared" si="423"/>
        <v>0</v>
      </c>
      <c r="OL84" s="199">
        <f t="shared" si="424"/>
        <v>0</v>
      </c>
      <c r="OM84" s="199">
        <f t="shared" si="425"/>
        <v>0</v>
      </c>
      <c r="OO84" s="207">
        <f t="shared" si="378"/>
        <v>0</v>
      </c>
      <c r="OP84" s="207">
        <f t="shared" si="379"/>
        <v>0</v>
      </c>
      <c r="OQ84" s="207">
        <f t="shared" si="426"/>
        <v>0</v>
      </c>
      <c r="OR84" s="207">
        <f t="shared" si="427"/>
        <v>0</v>
      </c>
      <c r="OS84" s="207">
        <f t="shared" si="428"/>
        <v>0</v>
      </c>
      <c r="OT84" s="199">
        <f t="shared" si="429"/>
        <v>0</v>
      </c>
      <c r="OU84" s="199">
        <f t="shared" si="430"/>
        <v>0</v>
      </c>
      <c r="OV84" s="199">
        <f t="shared" si="431"/>
        <v>0</v>
      </c>
      <c r="OW84" s="199">
        <f t="shared" si="432"/>
        <v>0</v>
      </c>
      <c r="OZ84" s="208">
        <f t="shared" si="380"/>
        <v>0</v>
      </c>
      <c r="PA84" s="209"/>
      <c r="PB84" s="209"/>
      <c r="PC84" s="209"/>
      <c r="PD84" s="210">
        <f t="shared" si="433"/>
        <v>0</v>
      </c>
      <c r="PE84" s="210"/>
      <c r="PF84" s="210">
        <f t="shared" si="434"/>
        <v>0</v>
      </c>
      <c r="PG84" s="210">
        <f t="shared" si="435"/>
        <v>0</v>
      </c>
      <c r="PH84" s="210">
        <f t="shared" si="381"/>
        <v>0</v>
      </c>
      <c r="PI84" s="210">
        <f t="shared" si="382"/>
        <v>0</v>
      </c>
      <c r="PJ84" s="210">
        <f t="shared" si="383"/>
        <v>0</v>
      </c>
      <c r="PK84" s="210">
        <f t="shared" si="384"/>
        <v>0</v>
      </c>
      <c r="PL84" s="210">
        <f t="shared" si="385"/>
        <v>0</v>
      </c>
      <c r="PM84" s="211"/>
      <c r="PN84" s="211"/>
      <c r="PO84" s="212">
        <f t="shared" si="436"/>
        <v>0</v>
      </c>
      <c r="PP84" s="212">
        <f t="shared" si="437"/>
        <v>0</v>
      </c>
      <c r="PQ84" s="212">
        <f t="shared" si="438"/>
        <v>0</v>
      </c>
      <c r="PR84" s="211"/>
      <c r="PS84" s="211"/>
      <c r="PT84" s="211"/>
      <c r="PU84" s="211"/>
    </row>
    <row r="85" spans="1:437" s="195" customFormat="1" ht="16" x14ac:dyDescent="0.2">
      <c r="A85" s="213">
        <f t="shared" si="206"/>
        <v>75</v>
      </c>
      <c r="B85" s="186" t="s">
        <v>398</v>
      </c>
      <c r="C85" s="186">
        <v>81</v>
      </c>
      <c r="D85" s="188">
        <v>1</v>
      </c>
      <c r="E85" s="188">
        <v>42</v>
      </c>
      <c r="F85" s="188">
        <v>1</v>
      </c>
      <c r="G85" s="188">
        <f t="shared" si="308"/>
        <v>42</v>
      </c>
      <c r="H85" s="214">
        <f t="shared" si="311"/>
        <v>1</v>
      </c>
      <c r="I85" s="214">
        <f t="shared" si="312"/>
        <v>1</v>
      </c>
      <c r="J85" s="188">
        <v>1</v>
      </c>
      <c r="K85" s="188">
        <f t="shared" si="313"/>
        <v>42</v>
      </c>
      <c r="L85" s="214">
        <f t="shared" si="314"/>
        <v>1</v>
      </c>
      <c r="M85" s="214">
        <f t="shared" si="315"/>
        <v>1</v>
      </c>
      <c r="N85" s="188">
        <v>1</v>
      </c>
      <c r="O85" s="188">
        <f t="shared" si="316"/>
        <v>42</v>
      </c>
      <c r="P85" s="214">
        <f t="shared" si="317"/>
        <v>1</v>
      </c>
      <c r="Q85" s="214">
        <f t="shared" si="318"/>
        <v>1</v>
      </c>
      <c r="R85" s="188">
        <v>1</v>
      </c>
      <c r="S85" s="188">
        <f t="shared" si="319"/>
        <v>42</v>
      </c>
      <c r="T85" s="214">
        <f t="shared" si="320"/>
        <v>1</v>
      </c>
      <c r="U85" s="214">
        <f t="shared" si="321"/>
        <v>1</v>
      </c>
      <c r="V85" s="215">
        <v>1</v>
      </c>
      <c r="W85" s="188">
        <f t="shared" si="322"/>
        <v>42</v>
      </c>
      <c r="X85" s="214">
        <f t="shared" si="323"/>
        <v>1</v>
      </c>
      <c r="Y85" s="214">
        <f t="shared" si="324"/>
        <v>1</v>
      </c>
      <c r="Z85" s="216">
        <f>477778000/1000000000</f>
        <v>0.47777799999999998</v>
      </c>
      <c r="AA85" s="188">
        <v>0</v>
      </c>
      <c r="AB85" s="188">
        <f t="shared" si="339"/>
        <v>0</v>
      </c>
      <c r="AC85" s="214">
        <f t="shared" si="340"/>
        <v>0</v>
      </c>
      <c r="AD85" s="214">
        <f t="shared" si="341"/>
        <v>0</v>
      </c>
      <c r="AE85" s="188"/>
      <c r="AF85" s="188">
        <f t="shared" si="342"/>
        <v>0</v>
      </c>
      <c r="AG85" s="188"/>
      <c r="AH85" s="188"/>
      <c r="AI85" s="188">
        <v>0</v>
      </c>
      <c r="AJ85" s="188">
        <f t="shared" si="325"/>
        <v>0</v>
      </c>
      <c r="AK85" s="188"/>
      <c r="AL85" s="188">
        <v>0</v>
      </c>
      <c r="AM85" s="188">
        <v>0</v>
      </c>
      <c r="AN85" s="217"/>
      <c r="AO85" s="188"/>
      <c r="AP85" s="188"/>
      <c r="AQ85" s="188"/>
      <c r="AR85" s="188"/>
      <c r="AS85" s="188"/>
      <c r="AT85" s="188"/>
      <c r="AU85" s="188"/>
      <c r="AV85" s="188"/>
      <c r="AW85" s="188"/>
      <c r="AX85" s="188"/>
      <c r="AY85" s="188"/>
      <c r="AZ85" s="188"/>
      <c r="BA85" s="188"/>
      <c r="BB85" s="188">
        <f t="shared" si="343"/>
        <v>0</v>
      </c>
      <c r="BD85" s="196">
        <f t="shared" si="386"/>
        <v>0</v>
      </c>
      <c r="BE85" s="188">
        <f t="shared" si="326"/>
        <v>0</v>
      </c>
      <c r="BF85" s="188">
        <f t="shared" si="327"/>
        <v>0</v>
      </c>
      <c r="BG85" s="188">
        <f t="shared" si="328"/>
        <v>0</v>
      </c>
      <c r="BH85" s="188">
        <f t="shared" si="329"/>
        <v>0</v>
      </c>
      <c r="BI85" s="188">
        <f t="shared" si="330"/>
        <v>0</v>
      </c>
      <c r="BJ85" s="188">
        <f t="shared" si="331"/>
        <v>0</v>
      </c>
      <c r="BK85" s="188">
        <f t="shared" si="332"/>
        <v>0</v>
      </c>
      <c r="BN85" s="277">
        <v>11</v>
      </c>
      <c r="BO85" s="139">
        <v>1</v>
      </c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B85" s="188"/>
      <c r="CD85" s="188">
        <f t="shared" si="344"/>
        <v>11</v>
      </c>
      <c r="CE85" s="188">
        <f t="shared" si="345"/>
        <v>11</v>
      </c>
      <c r="CF85" s="188">
        <f t="shared" si="346"/>
        <v>0</v>
      </c>
      <c r="CG85" s="188">
        <f t="shared" si="347"/>
        <v>0</v>
      </c>
      <c r="CH85" s="188">
        <f t="shared" si="348"/>
        <v>0</v>
      </c>
      <c r="CI85" s="188">
        <f t="shared" si="349"/>
        <v>0</v>
      </c>
      <c r="CJ85" s="188">
        <f t="shared" si="350"/>
        <v>0</v>
      </c>
      <c r="CK85" s="188">
        <f t="shared" si="351"/>
        <v>0</v>
      </c>
      <c r="CL85" s="188">
        <f t="shared" si="352"/>
        <v>0</v>
      </c>
      <c r="CM85" s="188">
        <f t="shared" si="353"/>
        <v>0</v>
      </c>
      <c r="CN85" s="188">
        <f t="shared" si="354"/>
        <v>0</v>
      </c>
      <c r="CO85" s="188">
        <f t="shared" si="355"/>
        <v>0</v>
      </c>
      <c r="CP85" s="188">
        <f t="shared" si="356"/>
        <v>0</v>
      </c>
      <c r="DV85" s="188">
        <f t="shared" si="333"/>
        <v>0</v>
      </c>
      <c r="DW85" s="188">
        <f t="shared" si="334"/>
        <v>0</v>
      </c>
      <c r="DX85" s="188">
        <f t="shared" si="335"/>
        <v>0</v>
      </c>
      <c r="DY85" s="188">
        <f t="shared" si="336"/>
        <v>0</v>
      </c>
      <c r="DZ85" s="188">
        <f t="shared" si="337"/>
        <v>0</v>
      </c>
      <c r="EA85" s="188">
        <f t="shared" si="338"/>
        <v>0</v>
      </c>
      <c r="EB85" s="188">
        <f t="shared" si="357"/>
        <v>0</v>
      </c>
      <c r="EG85" s="220">
        <f t="shared" si="358"/>
        <v>0</v>
      </c>
      <c r="EH85" s="220">
        <f t="shared" si="359"/>
        <v>0</v>
      </c>
      <c r="EI85" s="188"/>
      <c r="EJ85" s="188"/>
      <c r="EK85" s="188"/>
      <c r="EL85" s="188"/>
      <c r="EM85" s="188"/>
      <c r="EN85" s="188"/>
      <c r="EO85" s="188"/>
      <c r="EP85" s="188"/>
      <c r="EQ85" s="188"/>
      <c r="ER85" s="188"/>
      <c r="ES85" s="188"/>
      <c r="ET85" s="188"/>
      <c r="EU85" s="188"/>
      <c r="EV85" s="188"/>
      <c r="EW85" s="188"/>
      <c r="EX85" s="188"/>
      <c r="EY85" s="188"/>
      <c r="EZ85" s="188"/>
      <c r="FA85" s="188"/>
      <c r="FB85" s="188"/>
      <c r="FC85" s="188"/>
      <c r="FD85" s="188"/>
      <c r="FE85" s="188"/>
      <c r="FF85" s="188"/>
      <c r="FH85" s="189"/>
      <c r="FI85" s="189"/>
      <c r="FJ85" s="189"/>
      <c r="FK85" s="189"/>
      <c r="FL85" s="189"/>
      <c r="FM85" s="189"/>
      <c r="FN85" s="189"/>
      <c r="FO85" s="189"/>
      <c r="FP85" s="189"/>
      <c r="FQ85" s="189"/>
      <c r="FR85" s="189"/>
      <c r="FS85" s="189"/>
      <c r="FT85" s="189"/>
      <c r="FU85" s="189"/>
      <c r="FV85" s="189"/>
      <c r="FX85" s="217">
        <v>1</v>
      </c>
      <c r="FY85" s="188">
        <f t="shared" si="360"/>
        <v>11</v>
      </c>
      <c r="FZ85" s="188">
        <f t="shared" si="439"/>
        <v>11</v>
      </c>
      <c r="GA85" s="188">
        <f t="shared" si="440"/>
        <v>0</v>
      </c>
      <c r="GB85" s="188">
        <f t="shared" si="441"/>
        <v>0</v>
      </c>
      <c r="GC85" s="188">
        <f t="shared" si="442"/>
        <v>0</v>
      </c>
      <c r="GD85" s="188">
        <f t="shared" si="443"/>
        <v>0</v>
      </c>
      <c r="GE85" s="188">
        <f t="shared" si="444"/>
        <v>0</v>
      </c>
      <c r="GF85" s="199"/>
      <c r="GG85" s="189">
        <v>0</v>
      </c>
      <c r="GH85" s="189">
        <v>0</v>
      </c>
      <c r="GI85" s="199"/>
      <c r="GJ85" s="224">
        <f t="shared" si="361"/>
        <v>0</v>
      </c>
      <c r="GK85" s="224">
        <f t="shared" si="362"/>
        <v>0</v>
      </c>
      <c r="GO85" s="189">
        <f t="shared" si="445"/>
        <v>0</v>
      </c>
      <c r="GP85" s="189">
        <f t="shared" si="446"/>
        <v>0</v>
      </c>
      <c r="GQ85" s="189">
        <f t="shared" si="447"/>
        <v>0</v>
      </c>
      <c r="GR85" s="189">
        <f t="shared" si="448"/>
        <v>0</v>
      </c>
      <c r="GS85" s="189">
        <f t="shared" si="449"/>
        <v>0</v>
      </c>
      <c r="GT85" s="189">
        <f t="shared" si="387"/>
        <v>1</v>
      </c>
      <c r="GU85" s="201">
        <f t="shared" si="388"/>
        <v>43243</v>
      </c>
      <c r="GV85" s="189" t="str">
        <f t="shared" si="389"/>
        <v>SELESAI</v>
      </c>
      <c r="GW85" s="189">
        <f t="shared" si="390"/>
        <v>0</v>
      </c>
      <c r="GX85" s="202" t="str">
        <f t="shared" si="391"/>
        <v>SELESAI</v>
      </c>
      <c r="GY85" s="202">
        <f t="shared" si="392"/>
        <v>0</v>
      </c>
      <c r="GZ85" s="203" t="str">
        <f t="shared" si="393"/>
        <v>SELESAI</v>
      </c>
      <c r="HA85" s="204"/>
      <c r="HB85" s="204"/>
      <c r="HC85" s="189">
        <f t="shared" si="450"/>
        <v>0</v>
      </c>
      <c r="HD85" s="189">
        <f t="shared" si="451"/>
        <v>0</v>
      </c>
      <c r="HE85" s="189">
        <f t="shared" si="394"/>
        <v>0</v>
      </c>
      <c r="HF85" s="189">
        <f t="shared" si="395"/>
        <v>0</v>
      </c>
      <c r="HG85" s="189">
        <f t="shared" si="396"/>
        <v>0</v>
      </c>
      <c r="HH85" s="201" t="str">
        <f t="shared" si="363"/>
        <v>TIDAK KONSINYASI</v>
      </c>
      <c r="HI85" s="201" t="str">
        <f t="shared" si="397"/>
        <v>SELESAI</v>
      </c>
      <c r="HJ85" s="205"/>
      <c r="HK85" s="201">
        <f t="shared" si="364"/>
        <v>0</v>
      </c>
      <c r="HL85" s="204"/>
      <c r="HM85" s="204"/>
      <c r="HN85" s="204"/>
      <c r="HO85" s="204"/>
      <c r="HP85" s="203">
        <f t="shared" si="398"/>
        <v>0</v>
      </c>
      <c r="HQ85" s="202">
        <f t="shared" si="399"/>
        <v>0</v>
      </c>
      <c r="HR85" s="202">
        <f t="shared" si="452"/>
        <v>0</v>
      </c>
      <c r="HS85" s="203">
        <f t="shared" si="400"/>
        <v>0</v>
      </c>
      <c r="HT85" s="202">
        <f t="shared" si="401"/>
        <v>0</v>
      </c>
      <c r="HU85" s="202">
        <f t="shared" si="453"/>
        <v>0</v>
      </c>
      <c r="HV85" s="203">
        <f t="shared" si="402"/>
        <v>0</v>
      </c>
      <c r="HW85" s="202">
        <f t="shared" si="403"/>
        <v>0</v>
      </c>
      <c r="HX85" s="202">
        <f t="shared" si="454"/>
        <v>0</v>
      </c>
      <c r="HY85" s="203">
        <f t="shared" si="365"/>
        <v>0</v>
      </c>
      <c r="HZ85" s="202">
        <f t="shared" si="404"/>
        <v>0</v>
      </c>
      <c r="IA85" s="202">
        <f t="shared" si="455"/>
        <v>0</v>
      </c>
      <c r="IB85" s="203">
        <f t="shared" si="405"/>
        <v>0</v>
      </c>
      <c r="IC85" s="202">
        <f t="shared" si="366"/>
        <v>0</v>
      </c>
      <c r="ID85" s="202">
        <f t="shared" si="456"/>
        <v>0</v>
      </c>
      <c r="IE85" s="203">
        <f t="shared" si="367"/>
        <v>0</v>
      </c>
      <c r="IF85" s="202">
        <f t="shared" si="368"/>
        <v>0</v>
      </c>
      <c r="IG85" s="202">
        <f t="shared" si="457"/>
        <v>0</v>
      </c>
      <c r="IH85" s="203">
        <f t="shared" si="406"/>
        <v>0</v>
      </c>
      <c r="II85" s="202">
        <f t="shared" si="407"/>
        <v>0</v>
      </c>
      <c r="IJ85" s="202">
        <f t="shared" si="458"/>
        <v>0</v>
      </c>
      <c r="IK85" s="203">
        <f t="shared" si="369"/>
        <v>0</v>
      </c>
      <c r="IL85" s="202">
        <f t="shared" si="370"/>
        <v>0</v>
      </c>
      <c r="IM85" s="202">
        <f t="shared" si="459"/>
        <v>0</v>
      </c>
      <c r="IN85" s="204"/>
      <c r="IO85" s="203">
        <f t="shared" si="371"/>
        <v>0</v>
      </c>
      <c r="IP85" s="202">
        <f t="shared" si="460"/>
        <v>0</v>
      </c>
      <c r="IQ85" s="202">
        <f t="shared" si="461"/>
        <v>0</v>
      </c>
      <c r="IR85" s="204"/>
      <c r="IS85" s="203"/>
      <c r="IT85" s="202">
        <f t="shared" si="462"/>
        <v>1</v>
      </c>
      <c r="IU85" s="202">
        <f t="shared" si="463"/>
        <v>42</v>
      </c>
      <c r="IV85" s="204"/>
      <c r="IW85" s="203"/>
      <c r="IX85" s="202">
        <f t="shared" si="464"/>
        <v>0</v>
      </c>
      <c r="IY85" s="202">
        <f t="shared" si="465"/>
        <v>0</v>
      </c>
      <c r="IZ85" s="204"/>
      <c r="JA85" s="203"/>
      <c r="JB85" s="202">
        <f t="shared" si="466"/>
        <v>0</v>
      </c>
      <c r="JC85" s="202">
        <f t="shared" si="467"/>
        <v>0</v>
      </c>
      <c r="JD85" s="204"/>
      <c r="JE85" s="203"/>
      <c r="JF85" s="202">
        <f t="shared" si="408"/>
        <v>1</v>
      </c>
      <c r="JG85" s="202">
        <f t="shared" si="408"/>
        <v>42</v>
      </c>
      <c r="JH85" s="204"/>
      <c r="JI85" s="203"/>
      <c r="JJ85" s="202">
        <f t="shared" si="468"/>
        <v>0</v>
      </c>
      <c r="JK85" s="202">
        <f t="shared" si="469"/>
        <v>0</v>
      </c>
      <c r="JM85" s="203">
        <f t="shared" si="409"/>
        <v>0</v>
      </c>
      <c r="JO85" s="196">
        <f t="shared" si="372"/>
        <v>1</v>
      </c>
      <c r="JP85" s="189">
        <f t="shared" si="470"/>
        <v>11</v>
      </c>
      <c r="JQ85" s="189">
        <f t="shared" si="471"/>
        <v>1</v>
      </c>
      <c r="JR85" s="189">
        <f t="shared" si="472"/>
        <v>0</v>
      </c>
      <c r="JS85" s="189">
        <f t="shared" si="473"/>
        <v>0</v>
      </c>
      <c r="JT85" s="189">
        <f t="shared" si="474"/>
        <v>0</v>
      </c>
      <c r="JU85" s="189">
        <f t="shared" si="475"/>
        <v>0</v>
      </c>
      <c r="JV85" s="189">
        <f t="shared" si="476"/>
        <v>0</v>
      </c>
      <c r="JW85" s="189">
        <f t="shared" si="477"/>
        <v>0</v>
      </c>
      <c r="JX85" s="189">
        <f t="shared" si="478"/>
        <v>0</v>
      </c>
      <c r="JY85" s="189">
        <f t="shared" si="479"/>
        <v>0</v>
      </c>
      <c r="JZ85" s="189">
        <f t="shared" si="480"/>
        <v>0</v>
      </c>
      <c r="KA85" s="189">
        <f t="shared" si="481"/>
        <v>0</v>
      </c>
      <c r="KB85" s="189">
        <f t="shared" si="482"/>
        <v>0</v>
      </c>
      <c r="KD85" s="206">
        <f t="shared" si="410"/>
        <v>0</v>
      </c>
      <c r="KE85" s="206">
        <f t="shared" si="373"/>
        <v>0</v>
      </c>
      <c r="KF85" s="206">
        <f t="shared" si="483"/>
        <v>11</v>
      </c>
      <c r="KG85" s="206">
        <f t="shared" si="484"/>
        <v>11</v>
      </c>
      <c r="KH85" s="206">
        <f t="shared" si="485"/>
        <v>0</v>
      </c>
      <c r="KI85" s="206">
        <f t="shared" si="486"/>
        <v>0</v>
      </c>
      <c r="KJ85" s="206">
        <f t="shared" si="487"/>
        <v>0</v>
      </c>
      <c r="KK85" s="206">
        <f t="shared" si="488"/>
        <v>0</v>
      </c>
      <c r="KL85" s="206">
        <f t="shared" si="489"/>
        <v>0</v>
      </c>
      <c r="KM85" s="206">
        <f t="shared" si="490"/>
        <v>0</v>
      </c>
      <c r="KN85" s="221">
        <f t="shared" si="491"/>
        <v>0</v>
      </c>
      <c r="KO85" s="221">
        <f t="shared" si="492"/>
        <v>0</v>
      </c>
      <c r="KP85" s="221">
        <f t="shared" si="493"/>
        <v>0</v>
      </c>
      <c r="KQ85" s="221">
        <f t="shared" si="494"/>
        <v>0</v>
      </c>
      <c r="KR85" s="221">
        <f t="shared" si="495"/>
        <v>0</v>
      </c>
      <c r="KT85" s="195">
        <f t="shared" si="496"/>
        <v>0</v>
      </c>
      <c r="KU85" s="221"/>
      <c r="KV85" s="221"/>
      <c r="KW85" s="221"/>
      <c r="KX85" s="221"/>
      <c r="KY85" s="221"/>
      <c r="KZ85" s="221"/>
      <c r="LA85" s="221"/>
      <c r="LB85" s="221"/>
      <c r="LC85" s="221"/>
      <c r="LD85" s="221"/>
      <c r="LE85" s="221"/>
      <c r="LF85" s="221"/>
      <c r="LG85" s="221"/>
      <c r="LH85" s="221"/>
      <c r="LI85" s="221"/>
      <c r="LJ85" s="221"/>
      <c r="LK85" s="221"/>
      <c r="LL85" s="221"/>
      <c r="LM85" s="221"/>
      <c r="LN85" s="221"/>
      <c r="LO85" s="221"/>
      <c r="LP85" s="221"/>
      <c r="LQ85" s="221"/>
      <c r="LR85" s="221"/>
      <c r="LS85" s="221"/>
      <c r="LT85" s="221"/>
      <c r="LU85" s="221"/>
      <c r="LV85" s="221"/>
      <c r="LW85" s="221"/>
      <c r="LX85" s="221"/>
      <c r="LY85" s="221"/>
      <c r="LZ85" s="221"/>
      <c r="MA85" s="221"/>
      <c r="MB85" s="221"/>
      <c r="MC85" s="221"/>
      <c r="MD85" s="221"/>
      <c r="ME85" s="221"/>
      <c r="MF85" s="221"/>
      <c r="MG85" s="221"/>
      <c r="MH85" s="221"/>
      <c r="MI85" s="221"/>
      <c r="MJ85" s="221"/>
      <c r="MK85" s="221"/>
      <c r="ML85" s="221"/>
      <c r="MM85" s="221"/>
      <c r="MN85" s="221"/>
      <c r="MO85" s="221"/>
      <c r="MP85" s="221"/>
      <c r="MQ85" s="221"/>
      <c r="MR85" s="221"/>
      <c r="MS85" s="221"/>
      <c r="MT85" s="221"/>
      <c r="MU85" s="221"/>
      <c r="MV85" s="221"/>
      <c r="MW85" s="221"/>
      <c r="MX85" s="221"/>
      <c r="MY85" s="221"/>
      <c r="MZ85" s="221"/>
      <c r="NA85" s="221"/>
      <c r="NB85" s="221"/>
      <c r="NC85" s="221"/>
      <c r="ND85" s="221"/>
      <c r="NE85" s="221"/>
      <c r="NF85" s="221"/>
      <c r="NG85" s="221"/>
      <c r="NH85" s="221"/>
      <c r="NI85" s="221"/>
      <c r="NJ85" s="221"/>
      <c r="NK85" s="221"/>
      <c r="NM85" s="195">
        <f t="shared" si="411"/>
        <v>0</v>
      </c>
      <c r="NN85" s="195">
        <f t="shared" si="412"/>
        <v>0</v>
      </c>
      <c r="NO85" s="195">
        <f t="shared" si="413"/>
        <v>0</v>
      </c>
      <c r="NP85" s="195">
        <f t="shared" si="414"/>
        <v>0</v>
      </c>
      <c r="NQ85" s="195">
        <f t="shared" si="415"/>
        <v>0</v>
      </c>
      <c r="NR85" s="195">
        <f t="shared" si="416"/>
        <v>0</v>
      </c>
      <c r="NS85" s="195">
        <f t="shared" si="417"/>
        <v>0</v>
      </c>
      <c r="NT85" s="195">
        <f t="shared" si="418"/>
        <v>0</v>
      </c>
      <c r="NU85" s="196">
        <f t="shared" si="419"/>
        <v>0</v>
      </c>
      <c r="NY85" s="215">
        <f t="shared" si="420"/>
        <v>1</v>
      </c>
      <c r="NZ85" s="222">
        <v>10780000</v>
      </c>
      <c r="OE85" s="207">
        <f t="shared" si="374"/>
        <v>0</v>
      </c>
      <c r="OF85" s="207">
        <f t="shared" si="375"/>
        <v>0</v>
      </c>
      <c r="OG85" s="207">
        <f t="shared" si="376"/>
        <v>0</v>
      </c>
      <c r="OH85" s="207">
        <f t="shared" si="421"/>
        <v>0</v>
      </c>
      <c r="OI85" s="207">
        <f t="shared" si="377"/>
        <v>0</v>
      </c>
      <c r="OJ85" s="199">
        <f t="shared" si="422"/>
        <v>0</v>
      </c>
      <c r="OK85" s="199">
        <f t="shared" si="423"/>
        <v>0</v>
      </c>
      <c r="OL85" s="199">
        <f t="shared" si="424"/>
        <v>0</v>
      </c>
      <c r="OM85" s="199">
        <f t="shared" si="425"/>
        <v>0</v>
      </c>
      <c r="OO85" s="207">
        <f t="shared" si="378"/>
        <v>0</v>
      </c>
      <c r="OP85" s="207">
        <f t="shared" si="379"/>
        <v>0</v>
      </c>
      <c r="OQ85" s="207">
        <f t="shared" si="426"/>
        <v>0</v>
      </c>
      <c r="OR85" s="207">
        <f t="shared" si="427"/>
        <v>0</v>
      </c>
      <c r="OS85" s="207">
        <f t="shared" si="428"/>
        <v>0</v>
      </c>
      <c r="OT85" s="199">
        <f t="shared" si="429"/>
        <v>0</v>
      </c>
      <c r="OU85" s="199">
        <f t="shared" si="430"/>
        <v>0</v>
      </c>
      <c r="OV85" s="199">
        <f t="shared" si="431"/>
        <v>0</v>
      </c>
      <c r="OW85" s="199">
        <f t="shared" si="432"/>
        <v>0</v>
      </c>
      <c r="OZ85" s="208">
        <f t="shared" si="380"/>
        <v>0</v>
      </c>
      <c r="PA85" s="209"/>
      <c r="PB85" s="209"/>
      <c r="PC85" s="209"/>
      <c r="PD85" s="210">
        <f t="shared" si="433"/>
        <v>0</v>
      </c>
      <c r="PE85" s="210"/>
      <c r="PF85" s="210">
        <f t="shared" si="434"/>
        <v>0</v>
      </c>
      <c r="PG85" s="210">
        <f t="shared" si="435"/>
        <v>0</v>
      </c>
      <c r="PH85" s="210">
        <f t="shared" si="381"/>
        <v>0</v>
      </c>
      <c r="PI85" s="210">
        <f t="shared" si="382"/>
        <v>0</v>
      </c>
      <c r="PJ85" s="210">
        <f t="shared" si="383"/>
        <v>0</v>
      </c>
      <c r="PK85" s="210">
        <f t="shared" si="384"/>
        <v>0</v>
      </c>
      <c r="PL85" s="210">
        <f t="shared" si="385"/>
        <v>0</v>
      </c>
      <c r="PM85" s="211"/>
      <c r="PN85" s="211"/>
      <c r="PO85" s="212">
        <f t="shared" si="436"/>
        <v>0</v>
      </c>
      <c r="PP85" s="212">
        <f t="shared" si="437"/>
        <v>0</v>
      </c>
      <c r="PQ85" s="212">
        <f t="shared" si="438"/>
        <v>0</v>
      </c>
      <c r="PR85" s="211"/>
      <c r="PS85" s="211"/>
      <c r="PT85" s="211"/>
      <c r="PU85" s="211"/>
    </row>
    <row r="86" spans="1:437" s="195" customFormat="1" ht="16" x14ac:dyDescent="0.2">
      <c r="A86" s="213">
        <f t="shared" si="206"/>
        <v>76</v>
      </c>
      <c r="B86" s="186" t="s">
        <v>86</v>
      </c>
      <c r="C86" s="186">
        <v>82</v>
      </c>
      <c r="D86" s="188">
        <v>1</v>
      </c>
      <c r="E86" s="188">
        <v>99</v>
      </c>
      <c r="F86" s="188">
        <v>1</v>
      </c>
      <c r="G86" s="188">
        <f t="shared" si="308"/>
        <v>99</v>
      </c>
      <c r="H86" s="214">
        <f t="shared" si="311"/>
        <v>1</v>
      </c>
      <c r="I86" s="214">
        <f t="shared" si="312"/>
        <v>1</v>
      </c>
      <c r="J86" s="188">
        <v>1</v>
      </c>
      <c r="K86" s="188">
        <f t="shared" si="313"/>
        <v>99</v>
      </c>
      <c r="L86" s="214">
        <f t="shared" si="314"/>
        <v>1</v>
      </c>
      <c r="M86" s="214">
        <f t="shared" si="315"/>
        <v>1</v>
      </c>
      <c r="N86" s="188">
        <v>1</v>
      </c>
      <c r="O86" s="188">
        <f t="shared" si="316"/>
        <v>99</v>
      </c>
      <c r="P86" s="214">
        <f t="shared" si="317"/>
        <v>1</v>
      </c>
      <c r="Q86" s="214">
        <f t="shared" si="318"/>
        <v>1</v>
      </c>
      <c r="R86" s="188">
        <v>1</v>
      </c>
      <c r="S86" s="188">
        <f t="shared" si="319"/>
        <v>99</v>
      </c>
      <c r="T86" s="214">
        <f t="shared" si="320"/>
        <v>1</v>
      </c>
      <c r="U86" s="214">
        <f t="shared" si="321"/>
        <v>1</v>
      </c>
      <c r="V86" s="215">
        <v>1</v>
      </c>
      <c r="W86" s="188">
        <f t="shared" si="322"/>
        <v>99</v>
      </c>
      <c r="X86" s="214">
        <f t="shared" si="323"/>
        <v>1</v>
      </c>
      <c r="Y86" s="214">
        <f t="shared" si="324"/>
        <v>1</v>
      </c>
      <c r="Z86" s="216">
        <f>1485761000/1000000000</f>
        <v>1.4857610000000001</v>
      </c>
      <c r="AA86" s="188">
        <v>0</v>
      </c>
      <c r="AB86" s="188">
        <f t="shared" si="339"/>
        <v>0</v>
      </c>
      <c r="AC86" s="214">
        <f t="shared" si="340"/>
        <v>0</v>
      </c>
      <c r="AD86" s="214">
        <f t="shared" si="341"/>
        <v>0</v>
      </c>
      <c r="AE86" s="188"/>
      <c r="AF86" s="188">
        <f t="shared" si="342"/>
        <v>0</v>
      </c>
      <c r="AG86" s="188"/>
      <c r="AH86" s="188"/>
      <c r="AI86" s="188">
        <v>0</v>
      </c>
      <c r="AJ86" s="188">
        <f t="shared" si="325"/>
        <v>0</v>
      </c>
      <c r="AK86" s="188"/>
      <c r="AL86" s="188">
        <v>0</v>
      </c>
      <c r="AM86" s="188">
        <v>0</v>
      </c>
      <c r="AN86" s="217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8"/>
      <c r="BA86" s="188"/>
      <c r="BB86" s="188">
        <f t="shared" si="343"/>
        <v>0</v>
      </c>
      <c r="BD86" s="196">
        <f t="shared" si="386"/>
        <v>0</v>
      </c>
      <c r="BE86" s="188">
        <f t="shared" si="326"/>
        <v>0</v>
      </c>
      <c r="BF86" s="188">
        <f t="shared" si="327"/>
        <v>0</v>
      </c>
      <c r="BG86" s="188">
        <f t="shared" si="328"/>
        <v>0</v>
      </c>
      <c r="BH86" s="188">
        <f t="shared" si="329"/>
        <v>0</v>
      </c>
      <c r="BI86" s="188">
        <f t="shared" si="330"/>
        <v>0</v>
      </c>
      <c r="BJ86" s="188">
        <f t="shared" si="331"/>
        <v>0</v>
      </c>
      <c r="BK86" s="188">
        <f t="shared" si="332"/>
        <v>0</v>
      </c>
      <c r="BN86" s="277">
        <v>53</v>
      </c>
      <c r="BO86" s="139">
        <v>1</v>
      </c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B86" s="188"/>
      <c r="CD86" s="188">
        <f t="shared" si="344"/>
        <v>53</v>
      </c>
      <c r="CE86" s="188">
        <f t="shared" si="345"/>
        <v>53</v>
      </c>
      <c r="CF86" s="188">
        <f t="shared" si="346"/>
        <v>0</v>
      </c>
      <c r="CG86" s="188">
        <f t="shared" si="347"/>
        <v>0</v>
      </c>
      <c r="CH86" s="188">
        <f t="shared" si="348"/>
        <v>0</v>
      </c>
      <c r="CI86" s="188">
        <f t="shared" si="349"/>
        <v>0</v>
      </c>
      <c r="CJ86" s="188">
        <f t="shared" si="350"/>
        <v>0</v>
      </c>
      <c r="CK86" s="188">
        <f t="shared" si="351"/>
        <v>0</v>
      </c>
      <c r="CL86" s="188">
        <f t="shared" si="352"/>
        <v>0</v>
      </c>
      <c r="CM86" s="188">
        <f t="shared" si="353"/>
        <v>0</v>
      </c>
      <c r="CN86" s="188">
        <f t="shared" si="354"/>
        <v>0</v>
      </c>
      <c r="CO86" s="188">
        <f t="shared" si="355"/>
        <v>0</v>
      </c>
      <c r="CP86" s="188">
        <f t="shared" si="356"/>
        <v>0</v>
      </c>
      <c r="DV86" s="188">
        <f t="shared" si="333"/>
        <v>0</v>
      </c>
      <c r="DW86" s="188">
        <f t="shared" si="334"/>
        <v>0</v>
      </c>
      <c r="DX86" s="188">
        <f t="shared" si="335"/>
        <v>0</v>
      </c>
      <c r="DY86" s="188">
        <f t="shared" si="336"/>
        <v>0</v>
      </c>
      <c r="DZ86" s="188">
        <f t="shared" si="337"/>
        <v>0</v>
      </c>
      <c r="EA86" s="188">
        <f t="shared" si="338"/>
        <v>0</v>
      </c>
      <c r="EB86" s="188">
        <f t="shared" si="357"/>
        <v>0</v>
      </c>
      <c r="EG86" s="220">
        <f t="shared" si="358"/>
        <v>0</v>
      </c>
      <c r="EH86" s="220">
        <f t="shared" si="359"/>
        <v>0</v>
      </c>
      <c r="EI86" s="188"/>
      <c r="EJ86" s="188"/>
      <c r="EK86" s="188"/>
      <c r="EL86" s="188"/>
      <c r="EM86" s="188"/>
      <c r="EN86" s="188"/>
      <c r="EO86" s="188"/>
      <c r="EP86" s="188"/>
      <c r="EQ86" s="188"/>
      <c r="ER86" s="188"/>
      <c r="ES86" s="188"/>
      <c r="ET86" s="188"/>
      <c r="EU86" s="188"/>
      <c r="EV86" s="188"/>
      <c r="EW86" s="188"/>
      <c r="EX86" s="188"/>
      <c r="EY86" s="188"/>
      <c r="EZ86" s="188"/>
      <c r="FA86" s="188"/>
      <c r="FB86" s="188"/>
      <c r="FC86" s="188"/>
      <c r="FD86" s="188"/>
      <c r="FE86" s="188"/>
      <c r="FF86" s="188"/>
      <c r="FH86" s="189"/>
      <c r="FI86" s="189"/>
      <c r="FJ86" s="189"/>
      <c r="FK86" s="189"/>
      <c r="FL86" s="189"/>
      <c r="FM86" s="189"/>
      <c r="FN86" s="189"/>
      <c r="FO86" s="189"/>
      <c r="FP86" s="189"/>
      <c r="FQ86" s="189"/>
      <c r="FR86" s="189"/>
      <c r="FS86" s="189"/>
      <c r="FT86" s="189"/>
      <c r="FU86" s="189"/>
      <c r="FV86" s="189"/>
      <c r="FX86" s="217">
        <v>1</v>
      </c>
      <c r="FY86" s="188">
        <f t="shared" si="360"/>
        <v>53</v>
      </c>
      <c r="FZ86" s="188">
        <f t="shared" si="439"/>
        <v>53</v>
      </c>
      <c r="GA86" s="188">
        <f t="shared" si="440"/>
        <v>0</v>
      </c>
      <c r="GB86" s="188">
        <f t="shared" si="441"/>
        <v>0</v>
      </c>
      <c r="GC86" s="188">
        <f t="shared" si="442"/>
        <v>0</v>
      </c>
      <c r="GD86" s="188">
        <f t="shared" si="443"/>
        <v>0</v>
      </c>
      <c r="GE86" s="188">
        <f t="shared" si="444"/>
        <v>0</v>
      </c>
      <c r="GF86" s="199"/>
      <c r="GG86" s="189">
        <v>0</v>
      </c>
      <c r="GH86" s="189">
        <v>0</v>
      </c>
      <c r="GI86" s="199"/>
      <c r="GJ86" s="224">
        <f t="shared" si="361"/>
        <v>0</v>
      </c>
      <c r="GK86" s="224">
        <f t="shared" si="362"/>
        <v>0</v>
      </c>
      <c r="GO86" s="189">
        <f t="shared" si="445"/>
        <v>0</v>
      </c>
      <c r="GP86" s="189">
        <f t="shared" si="446"/>
        <v>0</v>
      </c>
      <c r="GQ86" s="189">
        <f t="shared" si="447"/>
        <v>0</v>
      </c>
      <c r="GR86" s="189">
        <f t="shared" si="448"/>
        <v>0</v>
      </c>
      <c r="GS86" s="189">
        <f t="shared" si="449"/>
        <v>0</v>
      </c>
      <c r="GT86" s="189">
        <f t="shared" si="387"/>
        <v>1</v>
      </c>
      <c r="GU86" s="201">
        <f t="shared" si="388"/>
        <v>43243</v>
      </c>
      <c r="GV86" s="189" t="str">
        <f t="shared" si="389"/>
        <v>SELESAI</v>
      </c>
      <c r="GW86" s="189">
        <f t="shared" si="390"/>
        <v>0</v>
      </c>
      <c r="GX86" s="202" t="str">
        <f t="shared" si="391"/>
        <v>SELESAI</v>
      </c>
      <c r="GY86" s="202">
        <f t="shared" si="392"/>
        <v>0</v>
      </c>
      <c r="GZ86" s="203" t="str">
        <f t="shared" si="393"/>
        <v>SELESAI</v>
      </c>
      <c r="HA86" s="204"/>
      <c r="HB86" s="204"/>
      <c r="HC86" s="189">
        <f t="shared" si="450"/>
        <v>0</v>
      </c>
      <c r="HD86" s="189">
        <f t="shared" si="451"/>
        <v>0</v>
      </c>
      <c r="HE86" s="189">
        <f t="shared" si="394"/>
        <v>0</v>
      </c>
      <c r="HF86" s="189">
        <f t="shared" si="395"/>
        <v>0</v>
      </c>
      <c r="HG86" s="189">
        <f t="shared" si="396"/>
        <v>0</v>
      </c>
      <c r="HH86" s="201" t="str">
        <f t="shared" si="363"/>
        <v>TIDAK KONSINYASI</v>
      </c>
      <c r="HI86" s="201" t="str">
        <f t="shared" si="397"/>
        <v>SELESAI</v>
      </c>
      <c r="HJ86" s="205"/>
      <c r="HK86" s="201">
        <f t="shared" si="364"/>
        <v>0</v>
      </c>
      <c r="HL86" s="204"/>
      <c r="HM86" s="204"/>
      <c r="HN86" s="204"/>
      <c r="HO86" s="204"/>
      <c r="HP86" s="203">
        <f t="shared" si="398"/>
        <v>0</v>
      </c>
      <c r="HQ86" s="202">
        <f t="shared" si="399"/>
        <v>0</v>
      </c>
      <c r="HR86" s="202">
        <f t="shared" si="452"/>
        <v>0</v>
      </c>
      <c r="HS86" s="203">
        <f t="shared" si="400"/>
        <v>0</v>
      </c>
      <c r="HT86" s="202">
        <f t="shared" si="401"/>
        <v>0</v>
      </c>
      <c r="HU86" s="202">
        <f t="shared" si="453"/>
        <v>0</v>
      </c>
      <c r="HV86" s="203">
        <f t="shared" si="402"/>
        <v>0</v>
      </c>
      <c r="HW86" s="202">
        <f t="shared" si="403"/>
        <v>0</v>
      </c>
      <c r="HX86" s="202">
        <f t="shared" si="454"/>
        <v>0</v>
      </c>
      <c r="HY86" s="203">
        <f t="shared" si="365"/>
        <v>0</v>
      </c>
      <c r="HZ86" s="202">
        <f t="shared" si="404"/>
        <v>0</v>
      </c>
      <c r="IA86" s="202">
        <f t="shared" si="455"/>
        <v>0</v>
      </c>
      <c r="IB86" s="203">
        <f t="shared" si="405"/>
        <v>0</v>
      </c>
      <c r="IC86" s="202">
        <f t="shared" si="366"/>
        <v>0</v>
      </c>
      <c r="ID86" s="202">
        <f t="shared" si="456"/>
        <v>0</v>
      </c>
      <c r="IE86" s="203">
        <f t="shared" si="367"/>
        <v>0</v>
      </c>
      <c r="IF86" s="202">
        <f t="shared" si="368"/>
        <v>0</v>
      </c>
      <c r="IG86" s="202">
        <f t="shared" si="457"/>
        <v>0</v>
      </c>
      <c r="IH86" s="203">
        <f t="shared" si="406"/>
        <v>0</v>
      </c>
      <c r="II86" s="202">
        <f t="shared" si="407"/>
        <v>0</v>
      </c>
      <c r="IJ86" s="202">
        <f t="shared" si="458"/>
        <v>0</v>
      </c>
      <c r="IK86" s="203">
        <f t="shared" si="369"/>
        <v>0</v>
      </c>
      <c r="IL86" s="202">
        <f t="shared" si="370"/>
        <v>0</v>
      </c>
      <c r="IM86" s="202">
        <f t="shared" si="459"/>
        <v>0</v>
      </c>
      <c r="IN86" s="204"/>
      <c r="IO86" s="203">
        <f t="shared" si="371"/>
        <v>0</v>
      </c>
      <c r="IP86" s="202">
        <f t="shared" si="460"/>
        <v>0</v>
      </c>
      <c r="IQ86" s="202">
        <f t="shared" si="461"/>
        <v>0</v>
      </c>
      <c r="IR86" s="204"/>
      <c r="IS86" s="203"/>
      <c r="IT86" s="202">
        <f t="shared" si="462"/>
        <v>1</v>
      </c>
      <c r="IU86" s="202">
        <f t="shared" si="463"/>
        <v>99</v>
      </c>
      <c r="IV86" s="204"/>
      <c r="IW86" s="203"/>
      <c r="IX86" s="202">
        <f t="shared" si="464"/>
        <v>0</v>
      </c>
      <c r="IY86" s="202">
        <f t="shared" si="465"/>
        <v>0</v>
      </c>
      <c r="IZ86" s="204"/>
      <c r="JA86" s="203"/>
      <c r="JB86" s="202">
        <f t="shared" si="466"/>
        <v>0</v>
      </c>
      <c r="JC86" s="202">
        <f t="shared" si="467"/>
        <v>0</v>
      </c>
      <c r="JD86" s="204"/>
      <c r="JE86" s="203"/>
      <c r="JF86" s="202">
        <f t="shared" si="408"/>
        <v>1</v>
      </c>
      <c r="JG86" s="202">
        <f t="shared" si="408"/>
        <v>99</v>
      </c>
      <c r="JH86" s="204"/>
      <c r="JI86" s="203"/>
      <c r="JJ86" s="202">
        <f t="shared" si="468"/>
        <v>0</v>
      </c>
      <c r="JK86" s="202">
        <f t="shared" si="469"/>
        <v>0</v>
      </c>
      <c r="JM86" s="203">
        <f t="shared" si="409"/>
        <v>0</v>
      </c>
      <c r="JO86" s="196">
        <f t="shared" si="372"/>
        <v>1</v>
      </c>
      <c r="JP86" s="189">
        <f t="shared" si="470"/>
        <v>53</v>
      </c>
      <c r="JQ86" s="189">
        <f t="shared" si="471"/>
        <v>1</v>
      </c>
      <c r="JR86" s="189">
        <f t="shared" si="472"/>
        <v>0</v>
      </c>
      <c r="JS86" s="189">
        <f t="shared" si="473"/>
        <v>0</v>
      </c>
      <c r="JT86" s="189">
        <f t="shared" si="474"/>
        <v>0</v>
      </c>
      <c r="JU86" s="189">
        <f t="shared" si="475"/>
        <v>0</v>
      </c>
      <c r="JV86" s="189">
        <f t="shared" si="476"/>
        <v>0</v>
      </c>
      <c r="JW86" s="189">
        <f t="shared" si="477"/>
        <v>0</v>
      </c>
      <c r="JX86" s="189">
        <f t="shared" si="478"/>
        <v>0</v>
      </c>
      <c r="JY86" s="189">
        <f t="shared" si="479"/>
        <v>0</v>
      </c>
      <c r="JZ86" s="189">
        <f t="shared" si="480"/>
        <v>0</v>
      </c>
      <c r="KA86" s="189">
        <f t="shared" si="481"/>
        <v>0</v>
      </c>
      <c r="KB86" s="189">
        <f t="shared" si="482"/>
        <v>0</v>
      </c>
      <c r="KD86" s="206">
        <f t="shared" si="410"/>
        <v>0</v>
      </c>
      <c r="KE86" s="206">
        <f t="shared" si="373"/>
        <v>0</v>
      </c>
      <c r="KF86" s="206">
        <f t="shared" si="483"/>
        <v>53</v>
      </c>
      <c r="KG86" s="206">
        <f t="shared" si="484"/>
        <v>53</v>
      </c>
      <c r="KH86" s="206">
        <f t="shared" si="485"/>
        <v>0</v>
      </c>
      <c r="KI86" s="206">
        <f t="shared" si="486"/>
        <v>0</v>
      </c>
      <c r="KJ86" s="206">
        <f t="shared" si="487"/>
        <v>0</v>
      </c>
      <c r="KK86" s="206">
        <f t="shared" si="488"/>
        <v>0</v>
      </c>
      <c r="KL86" s="206">
        <f t="shared" si="489"/>
        <v>0</v>
      </c>
      <c r="KM86" s="206">
        <f t="shared" si="490"/>
        <v>0</v>
      </c>
      <c r="KN86" s="221">
        <f t="shared" si="491"/>
        <v>0</v>
      </c>
      <c r="KO86" s="221">
        <f t="shared" si="492"/>
        <v>0</v>
      </c>
      <c r="KP86" s="221">
        <f t="shared" si="493"/>
        <v>0</v>
      </c>
      <c r="KQ86" s="221">
        <f t="shared" si="494"/>
        <v>0</v>
      </c>
      <c r="KR86" s="221">
        <f t="shared" si="495"/>
        <v>0</v>
      </c>
      <c r="KT86" s="195">
        <f t="shared" si="496"/>
        <v>0</v>
      </c>
      <c r="KU86" s="221"/>
      <c r="KV86" s="221"/>
      <c r="KW86" s="221"/>
      <c r="KX86" s="221"/>
      <c r="KY86" s="221"/>
      <c r="KZ86" s="221"/>
      <c r="LA86" s="221"/>
      <c r="LB86" s="221"/>
      <c r="LC86" s="221"/>
      <c r="LD86" s="221"/>
      <c r="LE86" s="221"/>
      <c r="LF86" s="221"/>
      <c r="LG86" s="221"/>
      <c r="LH86" s="221"/>
      <c r="LI86" s="221"/>
      <c r="LJ86" s="221"/>
      <c r="LK86" s="221"/>
      <c r="LL86" s="221"/>
      <c r="LM86" s="221"/>
      <c r="LN86" s="221"/>
      <c r="LO86" s="221"/>
      <c r="LP86" s="221"/>
      <c r="LQ86" s="221"/>
      <c r="LR86" s="221"/>
      <c r="LS86" s="221"/>
      <c r="LT86" s="221"/>
      <c r="LU86" s="221"/>
      <c r="LV86" s="221"/>
      <c r="LW86" s="221"/>
      <c r="LX86" s="221"/>
      <c r="LY86" s="221"/>
      <c r="LZ86" s="221"/>
      <c r="MA86" s="221"/>
      <c r="MB86" s="221"/>
      <c r="MC86" s="221"/>
      <c r="MD86" s="221"/>
      <c r="ME86" s="221"/>
      <c r="MF86" s="221"/>
      <c r="MG86" s="221"/>
      <c r="MH86" s="221"/>
      <c r="MI86" s="221"/>
      <c r="MJ86" s="221"/>
      <c r="MK86" s="221"/>
      <c r="ML86" s="221"/>
      <c r="MM86" s="221"/>
      <c r="MN86" s="221"/>
      <c r="MO86" s="221"/>
      <c r="MP86" s="221"/>
      <c r="MQ86" s="221"/>
      <c r="MR86" s="221"/>
      <c r="MS86" s="221"/>
      <c r="MT86" s="221"/>
      <c r="MU86" s="221"/>
      <c r="MV86" s="221"/>
      <c r="MW86" s="221"/>
      <c r="MX86" s="221"/>
      <c r="MY86" s="221"/>
      <c r="MZ86" s="221"/>
      <c r="NA86" s="221"/>
      <c r="NB86" s="221"/>
      <c r="NC86" s="221"/>
      <c r="ND86" s="221"/>
      <c r="NE86" s="221"/>
      <c r="NF86" s="221"/>
      <c r="NG86" s="221"/>
      <c r="NH86" s="221"/>
      <c r="NI86" s="221"/>
      <c r="NJ86" s="221"/>
      <c r="NK86" s="221"/>
      <c r="NM86" s="195">
        <f t="shared" si="411"/>
        <v>0</v>
      </c>
      <c r="NN86" s="195">
        <f t="shared" si="412"/>
        <v>0</v>
      </c>
      <c r="NO86" s="195">
        <f t="shared" si="413"/>
        <v>0</v>
      </c>
      <c r="NP86" s="195">
        <f t="shared" si="414"/>
        <v>0</v>
      </c>
      <c r="NQ86" s="195">
        <f t="shared" si="415"/>
        <v>0</v>
      </c>
      <c r="NR86" s="195">
        <f t="shared" si="416"/>
        <v>0</v>
      </c>
      <c r="NS86" s="195">
        <f t="shared" si="417"/>
        <v>0</v>
      </c>
      <c r="NT86" s="195">
        <f t="shared" si="418"/>
        <v>0</v>
      </c>
      <c r="NU86" s="196">
        <f t="shared" si="419"/>
        <v>0</v>
      </c>
      <c r="NY86" s="215">
        <f t="shared" si="420"/>
        <v>1</v>
      </c>
      <c r="NZ86" s="222">
        <v>10780000</v>
      </c>
      <c r="OE86" s="207">
        <f t="shared" si="374"/>
        <v>0</v>
      </c>
      <c r="OF86" s="207">
        <f t="shared" si="375"/>
        <v>0</v>
      </c>
      <c r="OG86" s="207">
        <f t="shared" si="376"/>
        <v>0</v>
      </c>
      <c r="OH86" s="207">
        <f t="shared" si="421"/>
        <v>0</v>
      </c>
      <c r="OI86" s="207">
        <f t="shared" si="377"/>
        <v>0</v>
      </c>
      <c r="OJ86" s="199">
        <f t="shared" si="422"/>
        <v>0</v>
      </c>
      <c r="OK86" s="199">
        <f t="shared" si="423"/>
        <v>0</v>
      </c>
      <c r="OL86" s="199">
        <f t="shared" si="424"/>
        <v>0</v>
      </c>
      <c r="OM86" s="199">
        <f t="shared" si="425"/>
        <v>0</v>
      </c>
      <c r="OO86" s="207">
        <f t="shared" si="378"/>
        <v>0</v>
      </c>
      <c r="OP86" s="207">
        <f t="shared" si="379"/>
        <v>0</v>
      </c>
      <c r="OQ86" s="207">
        <f t="shared" si="426"/>
        <v>0</v>
      </c>
      <c r="OR86" s="207">
        <f t="shared" si="427"/>
        <v>0</v>
      </c>
      <c r="OS86" s="207">
        <f t="shared" si="428"/>
        <v>0</v>
      </c>
      <c r="OT86" s="199">
        <f t="shared" si="429"/>
        <v>0</v>
      </c>
      <c r="OU86" s="199">
        <f t="shared" si="430"/>
        <v>0</v>
      </c>
      <c r="OV86" s="199">
        <f t="shared" si="431"/>
        <v>0</v>
      </c>
      <c r="OW86" s="199">
        <f t="shared" si="432"/>
        <v>0</v>
      </c>
      <c r="OZ86" s="208">
        <f t="shared" si="380"/>
        <v>0</v>
      </c>
      <c r="PA86" s="209"/>
      <c r="PB86" s="209"/>
      <c r="PC86" s="209"/>
      <c r="PD86" s="210">
        <f t="shared" si="433"/>
        <v>0</v>
      </c>
      <c r="PE86" s="210"/>
      <c r="PF86" s="210">
        <f t="shared" si="434"/>
        <v>0</v>
      </c>
      <c r="PG86" s="210">
        <f t="shared" si="435"/>
        <v>0</v>
      </c>
      <c r="PH86" s="210">
        <f t="shared" si="381"/>
        <v>0</v>
      </c>
      <c r="PI86" s="210">
        <f t="shared" si="382"/>
        <v>0</v>
      </c>
      <c r="PJ86" s="210">
        <f t="shared" si="383"/>
        <v>0</v>
      </c>
      <c r="PK86" s="210">
        <f t="shared" si="384"/>
        <v>0</v>
      </c>
      <c r="PL86" s="210">
        <f t="shared" si="385"/>
        <v>0</v>
      </c>
      <c r="PM86" s="211"/>
      <c r="PN86" s="211"/>
      <c r="PO86" s="212">
        <f t="shared" si="436"/>
        <v>0</v>
      </c>
      <c r="PP86" s="212">
        <f t="shared" si="437"/>
        <v>0</v>
      </c>
      <c r="PQ86" s="212">
        <f t="shared" si="438"/>
        <v>0</v>
      </c>
      <c r="PR86" s="211"/>
      <c r="PS86" s="211"/>
      <c r="PT86" s="211"/>
      <c r="PU86" s="211"/>
    </row>
    <row r="87" spans="1:437" s="195" customFormat="1" ht="16" x14ac:dyDescent="0.2">
      <c r="A87" s="213">
        <f t="shared" si="206"/>
        <v>77</v>
      </c>
      <c r="B87" s="186" t="s">
        <v>87</v>
      </c>
      <c r="C87" s="186">
        <v>83</v>
      </c>
      <c r="D87" s="188">
        <v>1</v>
      </c>
      <c r="E87" s="188">
        <v>38</v>
      </c>
      <c r="F87" s="188">
        <v>1</v>
      </c>
      <c r="G87" s="188">
        <f t="shared" si="308"/>
        <v>38</v>
      </c>
      <c r="H87" s="214">
        <f t="shared" si="311"/>
        <v>1</v>
      </c>
      <c r="I87" s="214">
        <f t="shared" si="312"/>
        <v>1</v>
      </c>
      <c r="J87" s="188">
        <v>1</v>
      </c>
      <c r="K87" s="188">
        <f t="shared" si="313"/>
        <v>38</v>
      </c>
      <c r="L87" s="214">
        <f t="shared" si="314"/>
        <v>1</v>
      </c>
      <c r="M87" s="214">
        <f t="shared" si="315"/>
        <v>1</v>
      </c>
      <c r="N87" s="188">
        <v>1</v>
      </c>
      <c r="O87" s="188">
        <f t="shared" si="316"/>
        <v>38</v>
      </c>
      <c r="P87" s="214">
        <f t="shared" si="317"/>
        <v>1</v>
      </c>
      <c r="Q87" s="214">
        <f t="shared" si="318"/>
        <v>1</v>
      </c>
      <c r="R87" s="188">
        <v>1</v>
      </c>
      <c r="S87" s="188">
        <f t="shared" si="319"/>
        <v>38</v>
      </c>
      <c r="T87" s="214">
        <f t="shared" si="320"/>
        <v>1</v>
      </c>
      <c r="U87" s="214">
        <f t="shared" si="321"/>
        <v>1</v>
      </c>
      <c r="V87" s="215">
        <v>1</v>
      </c>
      <c r="W87" s="188">
        <f t="shared" si="322"/>
        <v>38</v>
      </c>
      <c r="X87" s="214">
        <f t="shared" si="323"/>
        <v>1</v>
      </c>
      <c r="Y87" s="214">
        <f t="shared" si="324"/>
        <v>1</v>
      </c>
      <c r="Z87" s="216">
        <f>745105000/1000000000</f>
        <v>0.74510500000000002</v>
      </c>
      <c r="AA87" s="188">
        <v>0</v>
      </c>
      <c r="AB87" s="188">
        <f t="shared" si="339"/>
        <v>0</v>
      </c>
      <c r="AC87" s="214">
        <f t="shared" si="340"/>
        <v>0</v>
      </c>
      <c r="AD87" s="214">
        <f t="shared" si="341"/>
        <v>0</v>
      </c>
      <c r="AE87" s="188"/>
      <c r="AF87" s="188">
        <f t="shared" si="342"/>
        <v>0</v>
      </c>
      <c r="AG87" s="188"/>
      <c r="AH87" s="188"/>
      <c r="AI87" s="188">
        <v>0</v>
      </c>
      <c r="AJ87" s="188">
        <f t="shared" si="325"/>
        <v>0</v>
      </c>
      <c r="AK87" s="188"/>
      <c r="AL87" s="188">
        <v>0</v>
      </c>
      <c r="AM87" s="188">
        <v>0</v>
      </c>
      <c r="AN87" s="217"/>
      <c r="AO87" s="188"/>
      <c r="AP87" s="188"/>
      <c r="AQ87" s="188"/>
      <c r="AR87" s="188"/>
      <c r="AS87" s="188"/>
      <c r="AT87" s="188"/>
      <c r="AU87" s="188"/>
      <c r="AV87" s="188"/>
      <c r="AW87" s="188"/>
      <c r="AX87" s="188"/>
      <c r="AY87" s="188"/>
      <c r="AZ87" s="188"/>
      <c r="BA87" s="188"/>
      <c r="BB87" s="188">
        <f t="shared" si="343"/>
        <v>0</v>
      </c>
      <c r="BD87" s="196">
        <f t="shared" si="386"/>
        <v>0</v>
      </c>
      <c r="BE87" s="188">
        <f t="shared" si="326"/>
        <v>0</v>
      </c>
      <c r="BF87" s="188">
        <f t="shared" si="327"/>
        <v>0</v>
      </c>
      <c r="BG87" s="188">
        <f t="shared" si="328"/>
        <v>0</v>
      </c>
      <c r="BH87" s="188">
        <f t="shared" si="329"/>
        <v>0</v>
      </c>
      <c r="BI87" s="188">
        <f t="shared" si="330"/>
        <v>0</v>
      </c>
      <c r="BJ87" s="188">
        <f t="shared" si="331"/>
        <v>0</v>
      </c>
      <c r="BK87" s="188">
        <f t="shared" si="332"/>
        <v>0</v>
      </c>
      <c r="BN87" s="277">
        <v>3</v>
      </c>
      <c r="BO87" s="139">
        <v>1</v>
      </c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B87" s="188"/>
      <c r="CD87" s="188">
        <f t="shared" si="344"/>
        <v>3</v>
      </c>
      <c r="CE87" s="188">
        <f t="shared" si="345"/>
        <v>3</v>
      </c>
      <c r="CF87" s="188">
        <f t="shared" si="346"/>
        <v>0</v>
      </c>
      <c r="CG87" s="188">
        <f t="shared" si="347"/>
        <v>0</v>
      </c>
      <c r="CH87" s="188">
        <f t="shared" si="348"/>
        <v>0</v>
      </c>
      <c r="CI87" s="188">
        <f t="shared" si="349"/>
        <v>0</v>
      </c>
      <c r="CJ87" s="188">
        <f t="shared" si="350"/>
        <v>0</v>
      </c>
      <c r="CK87" s="188">
        <f t="shared" si="351"/>
        <v>0</v>
      </c>
      <c r="CL87" s="188">
        <f t="shared" si="352"/>
        <v>0</v>
      </c>
      <c r="CM87" s="188">
        <f t="shared" si="353"/>
        <v>0</v>
      </c>
      <c r="CN87" s="188">
        <f t="shared" si="354"/>
        <v>0</v>
      </c>
      <c r="CO87" s="188">
        <f t="shared" si="355"/>
        <v>0</v>
      </c>
      <c r="CP87" s="188">
        <f t="shared" si="356"/>
        <v>0</v>
      </c>
      <c r="DV87" s="188">
        <f t="shared" si="333"/>
        <v>0</v>
      </c>
      <c r="DW87" s="188">
        <f t="shared" si="334"/>
        <v>0</v>
      </c>
      <c r="DX87" s="188">
        <f t="shared" si="335"/>
        <v>0</v>
      </c>
      <c r="DY87" s="188">
        <f t="shared" si="336"/>
        <v>0</v>
      </c>
      <c r="DZ87" s="188">
        <f t="shared" si="337"/>
        <v>0</v>
      </c>
      <c r="EA87" s="188">
        <f t="shared" si="338"/>
        <v>0</v>
      </c>
      <c r="EB87" s="188">
        <f t="shared" si="357"/>
        <v>0</v>
      </c>
      <c r="EG87" s="220">
        <f t="shared" si="358"/>
        <v>0</v>
      </c>
      <c r="EH87" s="220">
        <f t="shared" si="359"/>
        <v>0</v>
      </c>
      <c r="EI87" s="188"/>
      <c r="EJ87" s="188"/>
      <c r="EK87" s="188"/>
      <c r="EL87" s="188"/>
      <c r="EM87" s="188"/>
      <c r="EN87" s="188"/>
      <c r="EO87" s="188"/>
      <c r="EP87" s="188"/>
      <c r="EQ87" s="188"/>
      <c r="ER87" s="188"/>
      <c r="ES87" s="188"/>
      <c r="ET87" s="188"/>
      <c r="EU87" s="188"/>
      <c r="EV87" s="188"/>
      <c r="EW87" s="188"/>
      <c r="EX87" s="188"/>
      <c r="EY87" s="188"/>
      <c r="EZ87" s="188"/>
      <c r="FA87" s="188"/>
      <c r="FB87" s="188"/>
      <c r="FC87" s="188"/>
      <c r="FD87" s="188"/>
      <c r="FE87" s="188"/>
      <c r="FF87" s="188"/>
      <c r="FH87" s="189"/>
      <c r="FI87" s="189"/>
      <c r="FJ87" s="189"/>
      <c r="FK87" s="189"/>
      <c r="FL87" s="189"/>
      <c r="FM87" s="189"/>
      <c r="FN87" s="189"/>
      <c r="FO87" s="189"/>
      <c r="FP87" s="189"/>
      <c r="FQ87" s="189"/>
      <c r="FR87" s="189"/>
      <c r="FS87" s="189"/>
      <c r="FT87" s="189"/>
      <c r="FU87" s="189"/>
      <c r="FV87" s="189"/>
      <c r="FX87" s="217">
        <v>1</v>
      </c>
      <c r="FY87" s="188">
        <f t="shared" si="360"/>
        <v>3</v>
      </c>
      <c r="FZ87" s="188">
        <f t="shared" si="439"/>
        <v>3</v>
      </c>
      <c r="GA87" s="188">
        <f t="shared" si="440"/>
        <v>0</v>
      </c>
      <c r="GB87" s="188">
        <f t="shared" si="441"/>
        <v>0</v>
      </c>
      <c r="GC87" s="188">
        <f t="shared" si="442"/>
        <v>0</v>
      </c>
      <c r="GD87" s="188">
        <f t="shared" si="443"/>
        <v>0</v>
      </c>
      <c r="GE87" s="188">
        <f t="shared" si="444"/>
        <v>0</v>
      </c>
      <c r="GF87" s="199"/>
      <c r="GG87" s="189">
        <v>0</v>
      </c>
      <c r="GH87" s="189">
        <v>0</v>
      </c>
      <c r="GI87" s="199"/>
      <c r="GJ87" s="224">
        <f t="shared" si="361"/>
        <v>0</v>
      </c>
      <c r="GK87" s="224">
        <f t="shared" si="362"/>
        <v>0</v>
      </c>
      <c r="GO87" s="189">
        <f t="shared" si="445"/>
        <v>0</v>
      </c>
      <c r="GP87" s="189">
        <f t="shared" si="446"/>
        <v>0</v>
      </c>
      <c r="GQ87" s="189">
        <f t="shared" si="447"/>
        <v>0</v>
      </c>
      <c r="GR87" s="189">
        <f t="shared" si="448"/>
        <v>0</v>
      </c>
      <c r="GS87" s="189">
        <f t="shared" si="449"/>
        <v>0</v>
      </c>
      <c r="GT87" s="189">
        <f t="shared" si="387"/>
        <v>1</v>
      </c>
      <c r="GU87" s="201">
        <f t="shared" si="388"/>
        <v>43243</v>
      </c>
      <c r="GV87" s="189" t="str">
        <f t="shared" si="389"/>
        <v>SELESAI</v>
      </c>
      <c r="GW87" s="189">
        <f t="shared" si="390"/>
        <v>0</v>
      </c>
      <c r="GX87" s="202" t="str">
        <f t="shared" si="391"/>
        <v>SELESAI</v>
      </c>
      <c r="GY87" s="202">
        <f t="shared" si="392"/>
        <v>0</v>
      </c>
      <c r="GZ87" s="203" t="str">
        <f t="shared" si="393"/>
        <v>SELESAI</v>
      </c>
      <c r="HA87" s="204"/>
      <c r="HB87" s="204"/>
      <c r="HC87" s="189">
        <f t="shared" si="450"/>
        <v>0</v>
      </c>
      <c r="HD87" s="189">
        <f t="shared" si="451"/>
        <v>0</v>
      </c>
      <c r="HE87" s="189">
        <f t="shared" si="394"/>
        <v>0</v>
      </c>
      <c r="HF87" s="189">
        <f t="shared" si="395"/>
        <v>0</v>
      </c>
      <c r="HG87" s="189">
        <f t="shared" si="396"/>
        <v>0</v>
      </c>
      <c r="HH87" s="201" t="str">
        <f t="shared" si="363"/>
        <v>TIDAK KONSINYASI</v>
      </c>
      <c r="HI87" s="201" t="str">
        <f t="shared" si="397"/>
        <v>SELESAI</v>
      </c>
      <c r="HJ87" s="205"/>
      <c r="HK87" s="201">
        <f t="shared" si="364"/>
        <v>0</v>
      </c>
      <c r="HL87" s="204"/>
      <c r="HM87" s="204"/>
      <c r="HN87" s="204"/>
      <c r="HO87" s="204"/>
      <c r="HP87" s="203">
        <f t="shared" si="398"/>
        <v>0</v>
      </c>
      <c r="HQ87" s="202">
        <f t="shared" si="399"/>
        <v>0</v>
      </c>
      <c r="HR87" s="202">
        <f t="shared" si="452"/>
        <v>0</v>
      </c>
      <c r="HS87" s="203">
        <f t="shared" si="400"/>
        <v>0</v>
      </c>
      <c r="HT87" s="202">
        <f t="shared" si="401"/>
        <v>0</v>
      </c>
      <c r="HU87" s="202">
        <f t="shared" si="453"/>
        <v>0</v>
      </c>
      <c r="HV87" s="203">
        <f t="shared" si="402"/>
        <v>0</v>
      </c>
      <c r="HW87" s="202">
        <f t="shared" si="403"/>
        <v>0</v>
      </c>
      <c r="HX87" s="202">
        <f t="shared" si="454"/>
        <v>0</v>
      </c>
      <c r="HY87" s="203">
        <f t="shared" si="365"/>
        <v>0</v>
      </c>
      <c r="HZ87" s="202">
        <f t="shared" si="404"/>
        <v>0</v>
      </c>
      <c r="IA87" s="202">
        <f t="shared" si="455"/>
        <v>0</v>
      </c>
      <c r="IB87" s="203">
        <f t="shared" si="405"/>
        <v>0</v>
      </c>
      <c r="IC87" s="202">
        <f t="shared" si="366"/>
        <v>0</v>
      </c>
      <c r="ID87" s="202">
        <f t="shared" si="456"/>
        <v>0</v>
      </c>
      <c r="IE87" s="203">
        <f t="shared" si="367"/>
        <v>0</v>
      </c>
      <c r="IF87" s="202">
        <f t="shared" si="368"/>
        <v>0</v>
      </c>
      <c r="IG87" s="202">
        <f t="shared" si="457"/>
        <v>0</v>
      </c>
      <c r="IH87" s="203">
        <f t="shared" si="406"/>
        <v>0</v>
      </c>
      <c r="II87" s="202">
        <f t="shared" si="407"/>
        <v>0</v>
      </c>
      <c r="IJ87" s="202">
        <f t="shared" si="458"/>
        <v>0</v>
      </c>
      <c r="IK87" s="203">
        <f t="shared" si="369"/>
        <v>0</v>
      </c>
      <c r="IL87" s="202">
        <f t="shared" si="370"/>
        <v>0</v>
      </c>
      <c r="IM87" s="202">
        <f t="shared" si="459"/>
        <v>0</v>
      </c>
      <c r="IN87" s="204"/>
      <c r="IO87" s="203">
        <f t="shared" si="371"/>
        <v>0</v>
      </c>
      <c r="IP87" s="202">
        <f t="shared" si="460"/>
        <v>0</v>
      </c>
      <c r="IQ87" s="202">
        <f t="shared" si="461"/>
        <v>0</v>
      </c>
      <c r="IR87" s="204"/>
      <c r="IS87" s="203"/>
      <c r="IT87" s="202">
        <f t="shared" si="462"/>
        <v>1</v>
      </c>
      <c r="IU87" s="202">
        <f t="shared" si="463"/>
        <v>38</v>
      </c>
      <c r="IV87" s="204"/>
      <c r="IW87" s="203"/>
      <c r="IX87" s="202">
        <f t="shared" si="464"/>
        <v>0</v>
      </c>
      <c r="IY87" s="202">
        <f t="shared" si="465"/>
        <v>0</v>
      </c>
      <c r="IZ87" s="204"/>
      <c r="JA87" s="203"/>
      <c r="JB87" s="202">
        <f t="shared" si="466"/>
        <v>0</v>
      </c>
      <c r="JC87" s="202">
        <f t="shared" si="467"/>
        <v>0</v>
      </c>
      <c r="JD87" s="204"/>
      <c r="JE87" s="203"/>
      <c r="JF87" s="202">
        <f t="shared" si="408"/>
        <v>1</v>
      </c>
      <c r="JG87" s="202">
        <f t="shared" si="408"/>
        <v>38</v>
      </c>
      <c r="JH87" s="204"/>
      <c r="JI87" s="203"/>
      <c r="JJ87" s="202">
        <f t="shared" si="468"/>
        <v>0</v>
      </c>
      <c r="JK87" s="202">
        <f t="shared" si="469"/>
        <v>0</v>
      </c>
      <c r="JM87" s="203">
        <f t="shared" si="409"/>
        <v>0</v>
      </c>
      <c r="JO87" s="196">
        <f t="shared" si="372"/>
        <v>1</v>
      </c>
      <c r="JP87" s="189">
        <f t="shared" si="470"/>
        <v>3</v>
      </c>
      <c r="JQ87" s="189">
        <f t="shared" si="471"/>
        <v>1</v>
      </c>
      <c r="JR87" s="189">
        <f t="shared" si="472"/>
        <v>0</v>
      </c>
      <c r="JS87" s="189">
        <f t="shared" si="473"/>
        <v>0</v>
      </c>
      <c r="JT87" s="189">
        <f t="shared" si="474"/>
        <v>0</v>
      </c>
      <c r="JU87" s="189">
        <f t="shared" si="475"/>
        <v>0</v>
      </c>
      <c r="JV87" s="189">
        <f t="shared" si="476"/>
        <v>0</v>
      </c>
      <c r="JW87" s="189">
        <f t="shared" si="477"/>
        <v>0</v>
      </c>
      <c r="JX87" s="189">
        <f t="shared" si="478"/>
        <v>0</v>
      </c>
      <c r="JY87" s="189">
        <f t="shared" si="479"/>
        <v>0</v>
      </c>
      <c r="JZ87" s="189">
        <f t="shared" si="480"/>
        <v>0</v>
      </c>
      <c r="KA87" s="189">
        <f t="shared" si="481"/>
        <v>0</v>
      </c>
      <c r="KB87" s="189">
        <f t="shared" si="482"/>
        <v>0</v>
      </c>
      <c r="KD87" s="206">
        <f t="shared" si="410"/>
        <v>0</v>
      </c>
      <c r="KE87" s="206">
        <f t="shared" si="373"/>
        <v>0</v>
      </c>
      <c r="KF87" s="206">
        <f t="shared" si="483"/>
        <v>3</v>
      </c>
      <c r="KG87" s="206">
        <f t="shared" si="484"/>
        <v>3</v>
      </c>
      <c r="KH87" s="206">
        <f t="shared" si="485"/>
        <v>0</v>
      </c>
      <c r="KI87" s="206">
        <f t="shared" si="486"/>
        <v>0</v>
      </c>
      <c r="KJ87" s="206">
        <f t="shared" si="487"/>
        <v>0</v>
      </c>
      <c r="KK87" s="206">
        <f t="shared" si="488"/>
        <v>0</v>
      </c>
      <c r="KL87" s="206">
        <f t="shared" si="489"/>
        <v>0</v>
      </c>
      <c r="KM87" s="206">
        <f t="shared" si="490"/>
        <v>0</v>
      </c>
      <c r="KN87" s="221">
        <f t="shared" si="491"/>
        <v>0</v>
      </c>
      <c r="KO87" s="221">
        <f t="shared" si="492"/>
        <v>0</v>
      </c>
      <c r="KP87" s="221">
        <f t="shared" si="493"/>
        <v>0</v>
      </c>
      <c r="KQ87" s="221">
        <f t="shared" si="494"/>
        <v>0</v>
      </c>
      <c r="KR87" s="221">
        <f t="shared" si="495"/>
        <v>0</v>
      </c>
      <c r="KT87" s="195">
        <f t="shared" si="496"/>
        <v>0</v>
      </c>
      <c r="KU87" s="221"/>
      <c r="KV87" s="221"/>
      <c r="KW87" s="221"/>
      <c r="KX87" s="221"/>
      <c r="KY87" s="221"/>
      <c r="KZ87" s="221"/>
      <c r="LA87" s="221"/>
      <c r="LB87" s="221"/>
      <c r="LC87" s="221"/>
      <c r="LD87" s="221"/>
      <c r="LE87" s="221"/>
      <c r="LF87" s="221"/>
      <c r="LG87" s="221"/>
      <c r="LH87" s="221"/>
      <c r="LI87" s="221"/>
      <c r="LJ87" s="221"/>
      <c r="LK87" s="221"/>
      <c r="LL87" s="221"/>
      <c r="LM87" s="221"/>
      <c r="LN87" s="221"/>
      <c r="LO87" s="221"/>
      <c r="LP87" s="221"/>
      <c r="LQ87" s="221"/>
      <c r="LR87" s="221"/>
      <c r="LS87" s="221"/>
      <c r="LT87" s="221"/>
      <c r="LU87" s="221"/>
      <c r="LV87" s="221"/>
      <c r="LW87" s="221"/>
      <c r="LX87" s="221"/>
      <c r="LY87" s="221"/>
      <c r="LZ87" s="221"/>
      <c r="MA87" s="221"/>
      <c r="MB87" s="221"/>
      <c r="MC87" s="221"/>
      <c r="MD87" s="221"/>
      <c r="ME87" s="221"/>
      <c r="MF87" s="221"/>
      <c r="MG87" s="221"/>
      <c r="MH87" s="221"/>
      <c r="MI87" s="221"/>
      <c r="MJ87" s="221"/>
      <c r="MK87" s="221"/>
      <c r="ML87" s="221"/>
      <c r="MM87" s="221"/>
      <c r="MN87" s="221"/>
      <c r="MO87" s="221"/>
      <c r="MP87" s="221"/>
      <c r="MQ87" s="221"/>
      <c r="MR87" s="221"/>
      <c r="MS87" s="221"/>
      <c r="MT87" s="221"/>
      <c r="MU87" s="221"/>
      <c r="MV87" s="221"/>
      <c r="MW87" s="221"/>
      <c r="MX87" s="221"/>
      <c r="MY87" s="221"/>
      <c r="MZ87" s="221"/>
      <c r="NA87" s="221"/>
      <c r="NB87" s="221"/>
      <c r="NC87" s="221"/>
      <c r="ND87" s="221"/>
      <c r="NE87" s="221"/>
      <c r="NF87" s="221"/>
      <c r="NG87" s="221"/>
      <c r="NH87" s="221"/>
      <c r="NI87" s="221"/>
      <c r="NJ87" s="221"/>
      <c r="NK87" s="221"/>
      <c r="NM87" s="195">
        <f t="shared" si="411"/>
        <v>0</v>
      </c>
      <c r="NN87" s="195">
        <f t="shared" si="412"/>
        <v>0</v>
      </c>
      <c r="NO87" s="195">
        <f t="shared" si="413"/>
        <v>0</v>
      </c>
      <c r="NP87" s="195">
        <f t="shared" si="414"/>
        <v>0</v>
      </c>
      <c r="NQ87" s="195">
        <f t="shared" si="415"/>
        <v>0</v>
      </c>
      <c r="NR87" s="195">
        <f t="shared" si="416"/>
        <v>0</v>
      </c>
      <c r="NS87" s="195">
        <f t="shared" si="417"/>
        <v>0</v>
      </c>
      <c r="NT87" s="195">
        <f t="shared" si="418"/>
        <v>0</v>
      </c>
      <c r="NU87" s="196">
        <f t="shared" si="419"/>
        <v>0</v>
      </c>
      <c r="NY87" s="215">
        <f t="shared" si="420"/>
        <v>1</v>
      </c>
      <c r="NZ87" s="222">
        <v>10780000</v>
      </c>
      <c r="OE87" s="207">
        <f t="shared" si="374"/>
        <v>0</v>
      </c>
      <c r="OF87" s="207">
        <f t="shared" si="375"/>
        <v>0</v>
      </c>
      <c r="OG87" s="207">
        <f t="shared" si="376"/>
        <v>0</v>
      </c>
      <c r="OH87" s="207">
        <f t="shared" si="421"/>
        <v>0</v>
      </c>
      <c r="OI87" s="207">
        <f t="shared" si="377"/>
        <v>0</v>
      </c>
      <c r="OJ87" s="199">
        <f t="shared" si="422"/>
        <v>0</v>
      </c>
      <c r="OK87" s="199">
        <f t="shared" si="423"/>
        <v>0</v>
      </c>
      <c r="OL87" s="199">
        <f t="shared" si="424"/>
        <v>0</v>
      </c>
      <c r="OM87" s="199">
        <f t="shared" si="425"/>
        <v>0</v>
      </c>
      <c r="OO87" s="207">
        <f t="shared" si="378"/>
        <v>0</v>
      </c>
      <c r="OP87" s="207">
        <f t="shared" si="379"/>
        <v>0</v>
      </c>
      <c r="OQ87" s="207">
        <f t="shared" si="426"/>
        <v>0</v>
      </c>
      <c r="OR87" s="207">
        <f t="shared" si="427"/>
        <v>0</v>
      </c>
      <c r="OS87" s="207">
        <f t="shared" si="428"/>
        <v>0</v>
      </c>
      <c r="OT87" s="199">
        <f t="shared" si="429"/>
        <v>0</v>
      </c>
      <c r="OU87" s="199">
        <f t="shared" si="430"/>
        <v>0</v>
      </c>
      <c r="OV87" s="199">
        <f t="shared" si="431"/>
        <v>0</v>
      </c>
      <c r="OW87" s="199">
        <f t="shared" si="432"/>
        <v>0</v>
      </c>
      <c r="OZ87" s="208">
        <f t="shared" si="380"/>
        <v>0</v>
      </c>
      <c r="PA87" s="209"/>
      <c r="PB87" s="209"/>
      <c r="PC87" s="209"/>
      <c r="PD87" s="210">
        <f t="shared" si="433"/>
        <v>0</v>
      </c>
      <c r="PE87" s="210"/>
      <c r="PF87" s="210">
        <f t="shared" si="434"/>
        <v>0</v>
      </c>
      <c r="PG87" s="210">
        <f t="shared" si="435"/>
        <v>0</v>
      </c>
      <c r="PH87" s="210">
        <f t="shared" si="381"/>
        <v>0</v>
      </c>
      <c r="PI87" s="210">
        <f t="shared" si="382"/>
        <v>0</v>
      </c>
      <c r="PJ87" s="210">
        <f t="shared" si="383"/>
        <v>0</v>
      </c>
      <c r="PK87" s="210">
        <f t="shared" si="384"/>
        <v>0</v>
      </c>
      <c r="PL87" s="210">
        <f t="shared" si="385"/>
        <v>0</v>
      </c>
      <c r="PM87" s="211"/>
      <c r="PN87" s="211"/>
      <c r="PO87" s="212">
        <f t="shared" si="436"/>
        <v>0</v>
      </c>
      <c r="PP87" s="212">
        <f t="shared" si="437"/>
        <v>0</v>
      </c>
      <c r="PQ87" s="212">
        <f t="shared" si="438"/>
        <v>0</v>
      </c>
      <c r="PR87" s="211"/>
      <c r="PS87" s="211"/>
      <c r="PT87" s="211"/>
      <c r="PU87" s="211"/>
    </row>
    <row r="88" spans="1:437" s="195" customFormat="1" ht="16" x14ac:dyDescent="0.2">
      <c r="A88" s="213">
        <f t="shared" si="206"/>
        <v>78</v>
      </c>
      <c r="B88" s="186" t="s">
        <v>88</v>
      </c>
      <c r="C88" s="186">
        <v>84</v>
      </c>
      <c r="D88" s="188">
        <v>1</v>
      </c>
      <c r="E88" s="188">
        <v>66</v>
      </c>
      <c r="F88" s="188">
        <v>1</v>
      </c>
      <c r="G88" s="188">
        <f t="shared" si="308"/>
        <v>66</v>
      </c>
      <c r="H88" s="214">
        <f t="shared" si="311"/>
        <v>1</v>
      </c>
      <c r="I88" s="214">
        <f t="shared" si="312"/>
        <v>1</v>
      </c>
      <c r="J88" s="188">
        <v>1</v>
      </c>
      <c r="K88" s="188">
        <f t="shared" si="313"/>
        <v>66</v>
      </c>
      <c r="L88" s="214">
        <f t="shared" si="314"/>
        <v>1</v>
      </c>
      <c r="M88" s="214">
        <f t="shared" si="315"/>
        <v>1</v>
      </c>
      <c r="N88" s="188">
        <v>1</v>
      </c>
      <c r="O88" s="188">
        <f t="shared" si="316"/>
        <v>66</v>
      </c>
      <c r="P88" s="214">
        <f t="shared" si="317"/>
        <v>1</v>
      </c>
      <c r="Q88" s="214">
        <f t="shared" si="318"/>
        <v>1</v>
      </c>
      <c r="R88" s="188">
        <v>1</v>
      </c>
      <c r="S88" s="188">
        <f t="shared" si="319"/>
        <v>66</v>
      </c>
      <c r="T88" s="214">
        <f t="shared" si="320"/>
        <v>1</v>
      </c>
      <c r="U88" s="214">
        <f t="shared" si="321"/>
        <v>1</v>
      </c>
      <c r="V88" s="215">
        <v>1</v>
      </c>
      <c r="W88" s="188">
        <f t="shared" si="322"/>
        <v>66</v>
      </c>
      <c r="X88" s="214">
        <f t="shared" si="323"/>
        <v>1</v>
      </c>
      <c r="Y88" s="214">
        <f t="shared" si="324"/>
        <v>1</v>
      </c>
      <c r="Z88" s="216">
        <f>1180439000/1000000000</f>
        <v>1.180439</v>
      </c>
      <c r="AA88" s="188">
        <v>0</v>
      </c>
      <c r="AB88" s="188">
        <f t="shared" si="339"/>
        <v>0</v>
      </c>
      <c r="AC88" s="214">
        <f t="shared" si="340"/>
        <v>0</v>
      </c>
      <c r="AD88" s="214">
        <f t="shared" si="341"/>
        <v>0</v>
      </c>
      <c r="AE88" s="188"/>
      <c r="AF88" s="188">
        <f t="shared" si="342"/>
        <v>0</v>
      </c>
      <c r="AG88" s="188"/>
      <c r="AH88" s="188"/>
      <c r="AI88" s="188">
        <v>0</v>
      </c>
      <c r="AJ88" s="188">
        <f t="shared" si="325"/>
        <v>0</v>
      </c>
      <c r="AK88" s="188"/>
      <c r="AL88" s="188">
        <v>0</v>
      </c>
      <c r="AM88" s="188">
        <v>0</v>
      </c>
      <c r="AN88" s="217"/>
      <c r="AO88" s="188"/>
      <c r="AP88" s="188"/>
      <c r="AQ88" s="188"/>
      <c r="AR88" s="188"/>
      <c r="AS88" s="188"/>
      <c r="AT88" s="188"/>
      <c r="AU88" s="188"/>
      <c r="AV88" s="188"/>
      <c r="AW88" s="188"/>
      <c r="AX88" s="188"/>
      <c r="AY88" s="188"/>
      <c r="AZ88" s="188"/>
      <c r="BA88" s="188"/>
      <c r="BB88" s="188">
        <f t="shared" si="343"/>
        <v>0</v>
      </c>
      <c r="BD88" s="196">
        <f t="shared" si="386"/>
        <v>0</v>
      </c>
      <c r="BE88" s="188">
        <f t="shared" si="326"/>
        <v>0</v>
      </c>
      <c r="BF88" s="188">
        <f t="shared" si="327"/>
        <v>0</v>
      </c>
      <c r="BG88" s="188">
        <f t="shared" si="328"/>
        <v>0</v>
      </c>
      <c r="BH88" s="188">
        <f t="shared" si="329"/>
        <v>0</v>
      </c>
      <c r="BI88" s="188">
        <f t="shared" si="330"/>
        <v>0</v>
      </c>
      <c r="BJ88" s="188">
        <f t="shared" si="331"/>
        <v>0</v>
      </c>
      <c r="BK88" s="188">
        <f t="shared" si="332"/>
        <v>0</v>
      </c>
      <c r="BN88" s="277"/>
      <c r="BO88" s="139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B88" s="188"/>
      <c r="CD88" s="188">
        <f t="shared" si="344"/>
        <v>0</v>
      </c>
      <c r="CE88" s="188">
        <f t="shared" si="345"/>
        <v>0</v>
      </c>
      <c r="CF88" s="188">
        <f t="shared" si="346"/>
        <v>0</v>
      </c>
      <c r="CG88" s="188">
        <f t="shared" si="347"/>
        <v>0</v>
      </c>
      <c r="CH88" s="188">
        <f t="shared" si="348"/>
        <v>0</v>
      </c>
      <c r="CI88" s="188">
        <f t="shared" si="349"/>
        <v>0</v>
      </c>
      <c r="CJ88" s="188">
        <f t="shared" si="350"/>
        <v>0</v>
      </c>
      <c r="CK88" s="188">
        <f t="shared" si="351"/>
        <v>0</v>
      </c>
      <c r="CL88" s="188">
        <f t="shared" si="352"/>
        <v>0</v>
      </c>
      <c r="CM88" s="188">
        <f t="shared" si="353"/>
        <v>0</v>
      </c>
      <c r="CN88" s="188">
        <f t="shared" si="354"/>
        <v>0</v>
      </c>
      <c r="CO88" s="188">
        <f t="shared" si="355"/>
        <v>0</v>
      </c>
      <c r="CP88" s="188">
        <f t="shared" si="356"/>
        <v>0</v>
      </c>
      <c r="DV88" s="188">
        <f t="shared" si="333"/>
        <v>0</v>
      </c>
      <c r="DW88" s="188">
        <f t="shared" si="334"/>
        <v>0</v>
      </c>
      <c r="DX88" s="188">
        <f t="shared" si="335"/>
        <v>0</v>
      </c>
      <c r="DY88" s="188">
        <f t="shared" si="336"/>
        <v>0</v>
      </c>
      <c r="DZ88" s="188">
        <f t="shared" si="337"/>
        <v>0</v>
      </c>
      <c r="EA88" s="188">
        <f t="shared" si="338"/>
        <v>0</v>
      </c>
      <c r="EB88" s="188">
        <f t="shared" si="357"/>
        <v>0</v>
      </c>
      <c r="EG88" s="220">
        <f t="shared" si="358"/>
        <v>0</v>
      </c>
      <c r="EH88" s="220">
        <f t="shared" si="359"/>
        <v>0</v>
      </c>
      <c r="EI88" s="188"/>
      <c r="EJ88" s="188"/>
      <c r="EK88" s="188"/>
      <c r="EL88" s="188"/>
      <c r="EM88" s="188"/>
      <c r="EN88" s="188"/>
      <c r="EO88" s="188"/>
      <c r="EP88" s="188"/>
      <c r="EQ88" s="188"/>
      <c r="ER88" s="188"/>
      <c r="ES88" s="188"/>
      <c r="ET88" s="188"/>
      <c r="EU88" s="188"/>
      <c r="EV88" s="188"/>
      <c r="EW88" s="188"/>
      <c r="EX88" s="188"/>
      <c r="EY88" s="188"/>
      <c r="EZ88" s="188"/>
      <c r="FA88" s="188"/>
      <c r="FB88" s="188"/>
      <c r="FC88" s="188"/>
      <c r="FD88" s="188"/>
      <c r="FE88" s="188"/>
      <c r="FF88" s="188"/>
      <c r="FH88" s="189"/>
      <c r="FI88" s="189"/>
      <c r="FJ88" s="189"/>
      <c r="FK88" s="189"/>
      <c r="FL88" s="189"/>
      <c r="FM88" s="189"/>
      <c r="FN88" s="189"/>
      <c r="FO88" s="189"/>
      <c r="FP88" s="189"/>
      <c r="FQ88" s="189"/>
      <c r="FR88" s="189"/>
      <c r="FS88" s="189"/>
      <c r="FT88" s="189"/>
      <c r="FU88" s="189"/>
      <c r="FV88" s="189"/>
      <c r="FX88" s="217"/>
      <c r="FY88" s="188">
        <f t="shared" si="360"/>
        <v>0</v>
      </c>
      <c r="FZ88" s="188">
        <f t="shared" si="439"/>
        <v>0</v>
      </c>
      <c r="GA88" s="188">
        <f t="shared" si="440"/>
        <v>0</v>
      </c>
      <c r="GB88" s="188">
        <f t="shared" si="441"/>
        <v>0</v>
      </c>
      <c r="GC88" s="188">
        <f t="shared" si="442"/>
        <v>0</v>
      </c>
      <c r="GD88" s="188">
        <f t="shared" si="443"/>
        <v>0</v>
      </c>
      <c r="GE88" s="188">
        <f t="shared" si="444"/>
        <v>0</v>
      </c>
      <c r="GF88" s="199"/>
      <c r="GG88" s="189">
        <v>0</v>
      </c>
      <c r="GH88" s="189">
        <v>0</v>
      </c>
      <c r="GI88" s="199"/>
      <c r="GJ88" s="224">
        <f t="shared" si="361"/>
        <v>0</v>
      </c>
      <c r="GK88" s="224">
        <f t="shared" si="362"/>
        <v>0</v>
      </c>
      <c r="GO88" s="189">
        <f t="shared" si="445"/>
        <v>0</v>
      </c>
      <c r="GP88" s="189">
        <f t="shared" si="446"/>
        <v>0</v>
      </c>
      <c r="GQ88" s="189">
        <f t="shared" si="447"/>
        <v>0</v>
      </c>
      <c r="GR88" s="189">
        <f t="shared" si="448"/>
        <v>0</v>
      </c>
      <c r="GS88" s="189">
        <f t="shared" si="449"/>
        <v>0</v>
      </c>
      <c r="GT88" s="189">
        <f t="shared" si="387"/>
        <v>1</v>
      </c>
      <c r="GU88" s="201">
        <f t="shared" si="388"/>
        <v>43243</v>
      </c>
      <c r="GV88" s="189" t="str">
        <f t="shared" si="389"/>
        <v>SELESAI</v>
      </c>
      <c r="GW88" s="189">
        <f t="shared" si="390"/>
        <v>0</v>
      </c>
      <c r="GX88" s="202" t="str">
        <f t="shared" si="391"/>
        <v>SELESAI</v>
      </c>
      <c r="GY88" s="202">
        <f t="shared" si="392"/>
        <v>0</v>
      </c>
      <c r="GZ88" s="203" t="str">
        <f t="shared" si="393"/>
        <v>SELESAI</v>
      </c>
      <c r="HA88" s="204"/>
      <c r="HB88" s="204"/>
      <c r="HC88" s="189">
        <f t="shared" si="450"/>
        <v>0</v>
      </c>
      <c r="HD88" s="189">
        <f t="shared" si="451"/>
        <v>0</v>
      </c>
      <c r="HE88" s="189">
        <f t="shared" si="394"/>
        <v>0</v>
      </c>
      <c r="HF88" s="189">
        <f t="shared" si="395"/>
        <v>0</v>
      </c>
      <c r="HG88" s="189">
        <f t="shared" si="396"/>
        <v>0</v>
      </c>
      <c r="HH88" s="201" t="str">
        <f t="shared" si="363"/>
        <v>TIDAK KONSINYASI</v>
      </c>
      <c r="HI88" s="201" t="str">
        <f t="shared" si="397"/>
        <v>SELESAI</v>
      </c>
      <c r="HJ88" s="205"/>
      <c r="HK88" s="201">
        <f t="shared" si="364"/>
        <v>0</v>
      </c>
      <c r="HL88" s="204"/>
      <c r="HM88" s="204"/>
      <c r="HN88" s="204"/>
      <c r="HO88" s="204"/>
      <c r="HP88" s="203">
        <f t="shared" si="398"/>
        <v>0</v>
      </c>
      <c r="HQ88" s="202">
        <f t="shared" si="399"/>
        <v>0</v>
      </c>
      <c r="HR88" s="202">
        <f t="shared" si="452"/>
        <v>0</v>
      </c>
      <c r="HS88" s="203">
        <f t="shared" si="400"/>
        <v>0</v>
      </c>
      <c r="HT88" s="202">
        <f t="shared" si="401"/>
        <v>0</v>
      </c>
      <c r="HU88" s="202">
        <f t="shared" si="453"/>
        <v>0</v>
      </c>
      <c r="HV88" s="203">
        <f t="shared" si="402"/>
        <v>0</v>
      </c>
      <c r="HW88" s="202">
        <f t="shared" si="403"/>
        <v>0</v>
      </c>
      <c r="HX88" s="202">
        <f t="shared" si="454"/>
        <v>0</v>
      </c>
      <c r="HY88" s="203">
        <f t="shared" si="365"/>
        <v>0</v>
      </c>
      <c r="HZ88" s="202">
        <f t="shared" si="404"/>
        <v>0</v>
      </c>
      <c r="IA88" s="202">
        <f t="shared" si="455"/>
        <v>0</v>
      </c>
      <c r="IB88" s="203">
        <f t="shared" si="405"/>
        <v>0</v>
      </c>
      <c r="IC88" s="202">
        <f t="shared" si="366"/>
        <v>0</v>
      </c>
      <c r="ID88" s="202">
        <f t="shared" si="456"/>
        <v>0</v>
      </c>
      <c r="IE88" s="203">
        <f t="shared" si="367"/>
        <v>0</v>
      </c>
      <c r="IF88" s="202">
        <f t="shared" si="368"/>
        <v>0</v>
      </c>
      <c r="IG88" s="202">
        <f t="shared" si="457"/>
        <v>0</v>
      </c>
      <c r="IH88" s="203">
        <f t="shared" si="406"/>
        <v>0</v>
      </c>
      <c r="II88" s="202">
        <f t="shared" si="407"/>
        <v>0</v>
      </c>
      <c r="IJ88" s="202">
        <f t="shared" si="458"/>
        <v>0</v>
      </c>
      <c r="IK88" s="203">
        <f t="shared" si="369"/>
        <v>0</v>
      </c>
      <c r="IL88" s="202">
        <f t="shared" si="370"/>
        <v>0</v>
      </c>
      <c r="IM88" s="202">
        <f t="shared" si="459"/>
        <v>0</v>
      </c>
      <c r="IN88" s="204"/>
      <c r="IO88" s="203">
        <f t="shared" si="371"/>
        <v>0</v>
      </c>
      <c r="IP88" s="202">
        <f t="shared" si="460"/>
        <v>0</v>
      </c>
      <c r="IQ88" s="202">
        <f t="shared" si="461"/>
        <v>0</v>
      </c>
      <c r="IR88" s="204"/>
      <c r="IS88" s="203"/>
      <c r="IT88" s="202">
        <f t="shared" si="462"/>
        <v>1</v>
      </c>
      <c r="IU88" s="202">
        <f t="shared" si="463"/>
        <v>66</v>
      </c>
      <c r="IV88" s="204"/>
      <c r="IW88" s="203"/>
      <c r="IX88" s="202">
        <f t="shared" si="464"/>
        <v>0</v>
      </c>
      <c r="IY88" s="202">
        <f t="shared" si="465"/>
        <v>0</v>
      </c>
      <c r="IZ88" s="204"/>
      <c r="JA88" s="203"/>
      <c r="JB88" s="202">
        <f t="shared" si="466"/>
        <v>0</v>
      </c>
      <c r="JC88" s="202">
        <f t="shared" si="467"/>
        <v>0</v>
      </c>
      <c r="JD88" s="204"/>
      <c r="JE88" s="203"/>
      <c r="JF88" s="202">
        <f t="shared" si="408"/>
        <v>1</v>
      </c>
      <c r="JG88" s="202">
        <f t="shared" si="408"/>
        <v>66</v>
      </c>
      <c r="JH88" s="204"/>
      <c r="JI88" s="203"/>
      <c r="JJ88" s="202">
        <f t="shared" si="468"/>
        <v>0</v>
      </c>
      <c r="JK88" s="202">
        <f t="shared" si="469"/>
        <v>0</v>
      </c>
      <c r="JM88" s="203">
        <f t="shared" si="409"/>
        <v>0</v>
      </c>
      <c r="JO88" s="196">
        <f t="shared" si="372"/>
        <v>0</v>
      </c>
      <c r="JP88" s="189">
        <f t="shared" si="470"/>
        <v>0</v>
      </c>
      <c r="JQ88" s="189">
        <f t="shared" si="471"/>
        <v>0</v>
      </c>
      <c r="JR88" s="189">
        <f t="shared" si="472"/>
        <v>0</v>
      </c>
      <c r="JS88" s="189">
        <f t="shared" si="473"/>
        <v>0</v>
      </c>
      <c r="JT88" s="189">
        <f t="shared" si="474"/>
        <v>0</v>
      </c>
      <c r="JU88" s="189">
        <f t="shared" si="475"/>
        <v>0</v>
      </c>
      <c r="JV88" s="189">
        <f t="shared" si="476"/>
        <v>0</v>
      </c>
      <c r="JW88" s="189">
        <f t="shared" si="477"/>
        <v>0</v>
      </c>
      <c r="JX88" s="189">
        <f t="shared" si="478"/>
        <v>0</v>
      </c>
      <c r="JY88" s="189">
        <f t="shared" si="479"/>
        <v>0</v>
      </c>
      <c r="JZ88" s="189">
        <f t="shared" si="480"/>
        <v>0</v>
      </c>
      <c r="KA88" s="189">
        <f t="shared" si="481"/>
        <v>0</v>
      </c>
      <c r="KB88" s="189">
        <f t="shared" si="482"/>
        <v>0</v>
      </c>
      <c r="KD88" s="206">
        <f t="shared" si="410"/>
        <v>0</v>
      </c>
      <c r="KE88" s="206">
        <f t="shared" si="373"/>
        <v>0</v>
      </c>
      <c r="KF88" s="206">
        <f t="shared" si="483"/>
        <v>0</v>
      </c>
      <c r="KG88" s="206">
        <f t="shared" si="484"/>
        <v>0</v>
      </c>
      <c r="KH88" s="206">
        <f t="shared" si="485"/>
        <v>0</v>
      </c>
      <c r="KI88" s="206">
        <f t="shared" si="486"/>
        <v>0</v>
      </c>
      <c r="KJ88" s="206">
        <f t="shared" si="487"/>
        <v>0</v>
      </c>
      <c r="KK88" s="206">
        <f t="shared" si="488"/>
        <v>0</v>
      </c>
      <c r="KL88" s="206">
        <f t="shared" si="489"/>
        <v>0</v>
      </c>
      <c r="KM88" s="206">
        <f t="shared" si="490"/>
        <v>0</v>
      </c>
      <c r="KN88" s="221">
        <f t="shared" si="491"/>
        <v>0</v>
      </c>
      <c r="KO88" s="221">
        <f t="shared" si="492"/>
        <v>0</v>
      </c>
      <c r="KP88" s="221">
        <f t="shared" si="493"/>
        <v>0</v>
      </c>
      <c r="KQ88" s="221">
        <f t="shared" si="494"/>
        <v>0</v>
      </c>
      <c r="KR88" s="221">
        <f t="shared" si="495"/>
        <v>0</v>
      </c>
      <c r="KT88" s="195">
        <f t="shared" si="496"/>
        <v>0</v>
      </c>
      <c r="KU88" s="221"/>
      <c r="KV88" s="221"/>
      <c r="KW88" s="221"/>
      <c r="KX88" s="221"/>
      <c r="KY88" s="221"/>
      <c r="KZ88" s="221"/>
      <c r="LA88" s="221"/>
      <c r="LB88" s="221"/>
      <c r="LC88" s="221"/>
      <c r="LD88" s="221"/>
      <c r="LE88" s="221"/>
      <c r="LF88" s="221"/>
      <c r="LG88" s="221"/>
      <c r="LH88" s="221"/>
      <c r="LI88" s="221"/>
      <c r="LJ88" s="221"/>
      <c r="LK88" s="221"/>
      <c r="LL88" s="221"/>
      <c r="LM88" s="221"/>
      <c r="LN88" s="221"/>
      <c r="LO88" s="221"/>
      <c r="LP88" s="221"/>
      <c r="LQ88" s="221"/>
      <c r="LR88" s="221"/>
      <c r="LS88" s="221"/>
      <c r="LT88" s="221"/>
      <c r="LU88" s="221"/>
      <c r="LV88" s="221"/>
      <c r="LW88" s="221"/>
      <c r="LX88" s="221"/>
      <c r="LY88" s="221"/>
      <c r="LZ88" s="221"/>
      <c r="MA88" s="221"/>
      <c r="MB88" s="221"/>
      <c r="MC88" s="221"/>
      <c r="MD88" s="221"/>
      <c r="ME88" s="221"/>
      <c r="MF88" s="221"/>
      <c r="MG88" s="221"/>
      <c r="MH88" s="221"/>
      <c r="MI88" s="221"/>
      <c r="MJ88" s="221"/>
      <c r="MK88" s="221"/>
      <c r="ML88" s="221"/>
      <c r="MM88" s="221"/>
      <c r="MN88" s="221"/>
      <c r="MO88" s="221"/>
      <c r="MP88" s="221"/>
      <c r="MQ88" s="221"/>
      <c r="MR88" s="221"/>
      <c r="MS88" s="221"/>
      <c r="MT88" s="221"/>
      <c r="MU88" s="221"/>
      <c r="MV88" s="221"/>
      <c r="MW88" s="221"/>
      <c r="MX88" s="221"/>
      <c r="MY88" s="221"/>
      <c r="MZ88" s="221"/>
      <c r="NA88" s="221"/>
      <c r="NB88" s="221"/>
      <c r="NC88" s="221"/>
      <c r="ND88" s="221"/>
      <c r="NE88" s="221"/>
      <c r="NF88" s="221"/>
      <c r="NG88" s="221"/>
      <c r="NH88" s="221"/>
      <c r="NI88" s="221"/>
      <c r="NJ88" s="221"/>
      <c r="NK88" s="221"/>
      <c r="NM88" s="195">
        <f t="shared" si="411"/>
        <v>0</v>
      </c>
      <c r="NN88" s="195">
        <f t="shared" si="412"/>
        <v>0</v>
      </c>
      <c r="NO88" s="195">
        <f t="shared" si="413"/>
        <v>0</v>
      </c>
      <c r="NP88" s="195">
        <f t="shared" si="414"/>
        <v>0</v>
      </c>
      <c r="NQ88" s="195">
        <f t="shared" si="415"/>
        <v>0</v>
      </c>
      <c r="NR88" s="195">
        <f t="shared" si="416"/>
        <v>0</v>
      </c>
      <c r="NS88" s="195">
        <f t="shared" si="417"/>
        <v>0</v>
      </c>
      <c r="NT88" s="195">
        <f t="shared" si="418"/>
        <v>0</v>
      </c>
      <c r="NU88" s="196">
        <f t="shared" si="419"/>
        <v>0</v>
      </c>
      <c r="NY88" s="215">
        <f t="shared" si="420"/>
        <v>1</v>
      </c>
      <c r="NZ88" s="222">
        <v>10780000</v>
      </c>
      <c r="OE88" s="207">
        <f t="shared" si="374"/>
        <v>0</v>
      </c>
      <c r="OF88" s="207">
        <f t="shared" si="375"/>
        <v>0</v>
      </c>
      <c r="OG88" s="207">
        <f t="shared" si="376"/>
        <v>0</v>
      </c>
      <c r="OH88" s="207">
        <f t="shared" si="421"/>
        <v>0</v>
      </c>
      <c r="OI88" s="207">
        <f t="shared" si="377"/>
        <v>0</v>
      </c>
      <c r="OJ88" s="199">
        <f t="shared" si="422"/>
        <v>0</v>
      </c>
      <c r="OK88" s="199">
        <f t="shared" si="423"/>
        <v>0</v>
      </c>
      <c r="OL88" s="199">
        <f t="shared" si="424"/>
        <v>0</v>
      </c>
      <c r="OM88" s="199">
        <f t="shared" si="425"/>
        <v>0</v>
      </c>
      <c r="OO88" s="207">
        <f t="shared" si="378"/>
        <v>0</v>
      </c>
      <c r="OP88" s="207">
        <f t="shared" si="379"/>
        <v>0</v>
      </c>
      <c r="OQ88" s="207">
        <f t="shared" si="426"/>
        <v>0</v>
      </c>
      <c r="OR88" s="207">
        <f t="shared" si="427"/>
        <v>0</v>
      </c>
      <c r="OS88" s="207">
        <f t="shared" si="428"/>
        <v>0</v>
      </c>
      <c r="OT88" s="199">
        <f t="shared" si="429"/>
        <v>0</v>
      </c>
      <c r="OU88" s="199">
        <f t="shared" si="430"/>
        <v>0</v>
      </c>
      <c r="OV88" s="199">
        <f t="shared" si="431"/>
        <v>0</v>
      </c>
      <c r="OW88" s="199">
        <f t="shared" si="432"/>
        <v>0</v>
      </c>
      <c r="OZ88" s="208">
        <f t="shared" si="380"/>
        <v>0</v>
      </c>
      <c r="PA88" s="209"/>
      <c r="PB88" s="209"/>
      <c r="PC88" s="209"/>
      <c r="PD88" s="210">
        <f t="shared" si="433"/>
        <v>0</v>
      </c>
      <c r="PE88" s="210"/>
      <c r="PF88" s="210">
        <f t="shared" si="434"/>
        <v>0</v>
      </c>
      <c r="PG88" s="210">
        <f t="shared" si="435"/>
        <v>0</v>
      </c>
      <c r="PH88" s="210">
        <f t="shared" si="381"/>
        <v>0</v>
      </c>
      <c r="PI88" s="210">
        <f t="shared" si="382"/>
        <v>0</v>
      </c>
      <c r="PJ88" s="210">
        <f t="shared" si="383"/>
        <v>0</v>
      </c>
      <c r="PK88" s="210">
        <f t="shared" si="384"/>
        <v>0</v>
      </c>
      <c r="PL88" s="210">
        <f t="shared" si="385"/>
        <v>0</v>
      </c>
      <c r="PM88" s="211"/>
      <c r="PN88" s="211"/>
      <c r="PO88" s="212">
        <f t="shared" si="436"/>
        <v>0</v>
      </c>
      <c r="PP88" s="212">
        <f t="shared" si="437"/>
        <v>0</v>
      </c>
      <c r="PQ88" s="212">
        <f t="shared" si="438"/>
        <v>0</v>
      </c>
      <c r="PR88" s="211"/>
      <c r="PS88" s="211"/>
      <c r="PT88" s="211"/>
      <c r="PU88" s="211"/>
    </row>
    <row r="89" spans="1:437" s="195" customFormat="1" ht="16" x14ac:dyDescent="0.2">
      <c r="A89" s="213">
        <f t="shared" si="206"/>
        <v>79</v>
      </c>
      <c r="B89" s="186" t="s">
        <v>89</v>
      </c>
      <c r="C89" s="186">
        <v>85</v>
      </c>
      <c r="D89" s="188">
        <v>1</v>
      </c>
      <c r="E89" s="188">
        <v>50</v>
      </c>
      <c r="F89" s="188">
        <v>1</v>
      </c>
      <c r="G89" s="188">
        <f t="shared" si="308"/>
        <v>50</v>
      </c>
      <c r="H89" s="214">
        <f t="shared" si="311"/>
        <v>1</v>
      </c>
      <c r="I89" s="214">
        <f t="shared" si="312"/>
        <v>1</v>
      </c>
      <c r="J89" s="188">
        <v>1</v>
      </c>
      <c r="K89" s="188">
        <f t="shared" si="313"/>
        <v>50</v>
      </c>
      <c r="L89" s="214">
        <f t="shared" si="314"/>
        <v>1</v>
      </c>
      <c r="M89" s="214">
        <f t="shared" si="315"/>
        <v>1</v>
      </c>
      <c r="N89" s="188">
        <v>1</v>
      </c>
      <c r="O89" s="188">
        <f t="shared" si="316"/>
        <v>50</v>
      </c>
      <c r="P89" s="214">
        <f t="shared" si="317"/>
        <v>1</v>
      </c>
      <c r="Q89" s="214">
        <f t="shared" si="318"/>
        <v>1</v>
      </c>
      <c r="R89" s="188">
        <v>1</v>
      </c>
      <c r="S89" s="188">
        <f t="shared" si="319"/>
        <v>50</v>
      </c>
      <c r="T89" s="214">
        <f t="shared" si="320"/>
        <v>1</v>
      </c>
      <c r="U89" s="214">
        <f t="shared" si="321"/>
        <v>1</v>
      </c>
      <c r="V89" s="215">
        <v>1</v>
      </c>
      <c r="W89" s="188">
        <f t="shared" si="322"/>
        <v>50</v>
      </c>
      <c r="X89" s="214">
        <f t="shared" si="323"/>
        <v>1</v>
      </c>
      <c r="Y89" s="214">
        <f t="shared" si="324"/>
        <v>1</v>
      </c>
      <c r="Z89" s="216">
        <f>(263964000+299400000)/1000000000</f>
        <v>0.56336399999999998</v>
      </c>
      <c r="AA89" s="188">
        <v>0</v>
      </c>
      <c r="AB89" s="188">
        <f t="shared" si="339"/>
        <v>0</v>
      </c>
      <c r="AC89" s="214">
        <f t="shared" si="340"/>
        <v>0</v>
      </c>
      <c r="AD89" s="214">
        <f t="shared" si="341"/>
        <v>0</v>
      </c>
      <c r="AE89" s="188"/>
      <c r="AF89" s="188">
        <f t="shared" si="342"/>
        <v>0</v>
      </c>
      <c r="AG89" s="188"/>
      <c r="AH89" s="188"/>
      <c r="AI89" s="188">
        <v>0</v>
      </c>
      <c r="AJ89" s="188">
        <f t="shared" si="325"/>
        <v>0</v>
      </c>
      <c r="AK89" s="188"/>
      <c r="AL89" s="188">
        <v>0</v>
      </c>
      <c r="AM89" s="188">
        <v>0</v>
      </c>
      <c r="AN89" s="217"/>
      <c r="AO89" s="188"/>
      <c r="AP89" s="188"/>
      <c r="AQ89" s="188"/>
      <c r="AR89" s="188"/>
      <c r="AS89" s="188"/>
      <c r="AT89" s="188"/>
      <c r="AU89" s="188"/>
      <c r="AV89" s="188"/>
      <c r="AW89" s="188"/>
      <c r="AX89" s="188"/>
      <c r="AY89" s="188"/>
      <c r="AZ89" s="188"/>
      <c r="BA89" s="188"/>
      <c r="BB89" s="188">
        <f t="shared" si="343"/>
        <v>0</v>
      </c>
      <c r="BD89" s="196">
        <f t="shared" si="386"/>
        <v>0</v>
      </c>
      <c r="BE89" s="188">
        <f t="shared" si="326"/>
        <v>0</v>
      </c>
      <c r="BF89" s="188">
        <f t="shared" si="327"/>
        <v>0</v>
      </c>
      <c r="BG89" s="188">
        <f t="shared" si="328"/>
        <v>0</v>
      </c>
      <c r="BH89" s="188">
        <f t="shared" si="329"/>
        <v>0</v>
      </c>
      <c r="BI89" s="188">
        <f t="shared" si="330"/>
        <v>0</v>
      </c>
      <c r="BJ89" s="188">
        <f t="shared" si="331"/>
        <v>0</v>
      </c>
      <c r="BK89" s="188">
        <f t="shared" si="332"/>
        <v>0</v>
      </c>
      <c r="BN89" s="277">
        <v>27</v>
      </c>
      <c r="BO89" s="139">
        <v>1</v>
      </c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B89" s="188"/>
      <c r="CD89" s="188">
        <f t="shared" si="344"/>
        <v>27</v>
      </c>
      <c r="CE89" s="188">
        <f t="shared" si="345"/>
        <v>27</v>
      </c>
      <c r="CF89" s="188">
        <f t="shared" si="346"/>
        <v>0</v>
      </c>
      <c r="CG89" s="188">
        <f t="shared" si="347"/>
        <v>0</v>
      </c>
      <c r="CH89" s="188">
        <f t="shared" si="348"/>
        <v>0</v>
      </c>
      <c r="CI89" s="188">
        <f t="shared" si="349"/>
        <v>0</v>
      </c>
      <c r="CJ89" s="188">
        <f t="shared" si="350"/>
        <v>0</v>
      </c>
      <c r="CK89" s="188">
        <f t="shared" si="351"/>
        <v>0</v>
      </c>
      <c r="CL89" s="188">
        <f t="shared" si="352"/>
        <v>0</v>
      </c>
      <c r="CM89" s="188">
        <f t="shared" si="353"/>
        <v>0</v>
      </c>
      <c r="CN89" s="188">
        <f t="shared" si="354"/>
        <v>0</v>
      </c>
      <c r="CO89" s="188">
        <f t="shared" si="355"/>
        <v>0</v>
      </c>
      <c r="CP89" s="188">
        <f t="shared" si="356"/>
        <v>0</v>
      </c>
      <c r="DV89" s="188">
        <f t="shared" si="333"/>
        <v>0</v>
      </c>
      <c r="DW89" s="188">
        <f t="shared" si="334"/>
        <v>0</v>
      </c>
      <c r="DX89" s="188">
        <f t="shared" si="335"/>
        <v>0</v>
      </c>
      <c r="DY89" s="188">
        <f t="shared" si="336"/>
        <v>0</v>
      </c>
      <c r="DZ89" s="188">
        <f t="shared" si="337"/>
        <v>0</v>
      </c>
      <c r="EA89" s="188">
        <f t="shared" si="338"/>
        <v>0</v>
      </c>
      <c r="EB89" s="188">
        <f t="shared" si="357"/>
        <v>0</v>
      </c>
      <c r="EG89" s="220">
        <f t="shared" si="358"/>
        <v>0</v>
      </c>
      <c r="EH89" s="220">
        <f t="shared" si="359"/>
        <v>0</v>
      </c>
      <c r="EI89" s="188"/>
      <c r="EJ89" s="188"/>
      <c r="EK89" s="188"/>
      <c r="EL89" s="188"/>
      <c r="EM89" s="188"/>
      <c r="EN89" s="188"/>
      <c r="EO89" s="188"/>
      <c r="EP89" s="188"/>
      <c r="EQ89" s="188"/>
      <c r="ER89" s="188"/>
      <c r="ES89" s="188"/>
      <c r="ET89" s="188"/>
      <c r="EU89" s="188"/>
      <c r="EV89" s="188"/>
      <c r="EW89" s="188"/>
      <c r="EX89" s="188"/>
      <c r="EY89" s="188"/>
      <c r="EZ89" s="188"/>
      <c r="FA89" s="188"/>
      <c r="FB89" s="188"/>
      <c r="FC89" s="188"/>
      <c r="FD89" s="188"/>
      <c r="FE89" s="188"/>
      <c r="FF89" s="188"/>
      <c r="FH89" s="189"/>
      <c r="FI89" s="189"/>
      <c r="FJ89" s="189"/>
      <c r="FK89" s="189"/>
      <c r="FL89" s="189"/>
      <c r="FM89" s="189"/>
      <c r="FN89" s="189"/>
      <c r="FO89" s="189"/>
      <c r="FP89" s="189"/>
      <c r="FQ89" s="189"/>
      <c r="FR89" s="189"/>
      <c r="FS89" s="189"/>
      <c r="FT89" s="189"/>
      <c r="FU89" s="189"/>
      <c r="FV89" s="189"/>
      <c r="FX89" s="217">
        <v>1</v>
      </c>
      <c r="FY89" s="188">
        <f t="shared" si="360"/>
        <v>27</v>
      </c>
      <c r="FZ89" s="188">
        <f t="shared" si="439"/>
        <v>27</v>
      </c>
      <c r="GA89" s="188">
        <f t="shared" si="440"/>
        <v>0</v>
      </c>
      <c r="GB89" s="188">
        <f t="shared" si="441"/>
        <v>0</v>
      </c>
      <c r="GC89" s="188">
        <f t="shared" si="442"/>
        <v>0</v>
      </c>
      <c r="GD89" s="188">
        <f t="shared" si="443"/>
        <v>0</v>
      </c>
      <c r="GE89" s="188">
        <f t="shared" si="444"/>
        <v>0</v>
      </c>
      <c r="GF89" s="199"/>
      <c r="GG89" s="189">
        <v>0</v>
      </c>
      <c r="GH89" s="189">
        <v>0</v>
      </c>
      <c r="GI89" s="199"/>
      <c r="GJ89" s="224">
        <f t="shared" si="361"/>
        <v>0</v>
      </c>
      <c r="GK89" s="224">
        <f t="shared" si="362"/>
        <v>0</v>
      </c>
      <c r="GO89" s="189">
        <f t="shared" si="445"/>
        <v>0</v>
      </c>
      <c r="GP89" s="189">
        <f t="shared" si="446"/>
        <v>0</v>
      </c>
      <c r="GQ89" s="189">
        <f t="shared" si="447"/>
        <v>0</v>
      </c>
      <c r="GR89" s="189">
        <f t="shared" si="448"/>
        <v>0</v>
      </c>
      <c r="GS89" s="189">
        <f t="shared" si="449"/>
        <v>0</v>
      </c>
      <c r="GT89" s="189">
        <f t="shared" si="387"/>
        <v>1</v>
      </c>
      <c r="GU89" s="201">
        <f t="shared" si="388"/>
        <v>43243</v>
      </c>
      <c r="GV89" s="189" t="str">
        <f t="shared" si="389"/>
        <v>SELESAI</v>
      </c>
      <c r="GW89" s="189">
        <f t="shared" si="390"/>
        <v>0</v>
      </c>
      <c r="GX89" s="202" t="str">
        <f t="shared" si="391"/>
        <v>SELESAI</v>
      </c>
      <c r="GY89" s="202">
        <f t="shared" si="392"/>
        <v>0</v>
      </c>
      <c r="GZ89" s="203" t="str">
        <f t="shared" si="393"/>
        <v>SELESAI</v>
      </c>
      <c r="HA89" s="204"/>
      <c r="HB89" s="204"/>
      <c r="HC89" s="189">
        <f t="shared" si="450"/>
        <v>0</v>
      </c>
      <c r="HD89" s="189">
        <f t="shared" si="451"/>
        <v>0</v>
      </c>
      <c r="HE89" s="189">
        <f t="shared" si="394"/>
        <v>0</v>
      </c>
      <c r="HF89" s="189">
        <f t="shared" si="395"/>
        <v>0</v>
      </c>
      <c r="HG89" s="189">
        <f t="shared" si="396"/>
        <v>0</v>
      </c>
      <c r="HH89" s="201" t="str">
        <f t="shared" si="363"/>
        <v>TIDAK KONSINYASI</v>
      </c>
      <c r="HI89" s="201" t="str">
        <f t="shared" si="397"/>
        <v>SELESAI</v>
      </c>
      <c r="HJ89" s="205"/>
      <c r="HK89" s="201">
        <f t="shared" si="364"/>
        <v>0</v>
      </c>
      <c r="HL89" s="204"/>
      <c r="HM89" s="204"/>
      <c r="HN89" s="204"/>
      <c r="HO89" s="204"/>
      <c r="HP89" s="203">
        <f t="shared" si="398"/>
        <v>0</v>
      </c>
      <c r="HQ89" s="202">
        <f t="shared" si="399"/>
        <v>0</v>
      </c>
      <c r="HR89" s="202">
        <f t="shared" si="452"/>
        <v>0</v>
      </c>
      <c r="HS89" s="203">
        <f t="shared" si="400"/>
        <v>0</v>
      </c>
      <c r="HT89" s="202">
        <f t="shared" si="401"/>
        <v>0</v>
      </c>
      <c r="HU89" s="202">
        <f t="shared" si="453"/>
        <v>0</v>
      </c>
      <c r="HV89" s="203">
        <f t="shared" si="402"/>
        <v>0</v>
      </c>
      <c r="HW89" s="202">
        <f t="shared" si="403"/>
        <v>0</v>
      </c>
      <c r="HX89" s="202">
        <f t="shared" si="454"/>
        <v>0</v>
      </c>
      <c r="HY89" s="203">
        <f t="shared" si="365"/>
        <v>0</v>
      </c>
      <c r="HZ89" s="202">
        <f t="shared" si="404"/>
        <v>0</v>
      </c>
      <c r="IA89" s="202">
        <f t="shared" si="455"/>
        <v>0</v>
      </c>
      <c r="IB89" s="203">
        <f t="shared" si="405"/>
        <v>0</v>
      </c>
      <c r="IC89" s="202">
        <f t="shared" si="366"/>
        <v>0</v>
      </c>
      <c r="ID89" s="202">
        <f t="shared" si="456"/>
        <v>0</v>
      </c>
      <c r="IE89" s="203">
        <f t="shared" si="367"/>
        <v>0</v>
      </c>
      <c r="IF89" s="202">
        <f t="shared" si="368"/>
        <v>0</v>
      </c>
      <c r="IG89" s="202">
        <f t="shared" si="457"/>
        <v>0</v>
      </c>
      <c r="IH89" s="203">
        <f t="shared" si="406"/>
        <v>0</v>
      </c>
      <c r="II89" s="202">
        <f t="shared" si="407"/>
        <v>0</v>
      </c>
      <c r="IJ89" s="202">
        <f t="shared" si="458"/>
        <v>0</v>
      </c>
      <c r="IK89" s="203">
        <f t="shared" si="369"/>
        <v>0</v>
      </c>
      <c r="IL89" s="202">
        <f t="shared" si="370"/>
        <v>0</v>
      </c>
      <c r="IM89" s="202">
        <f t="shared" si="459"/>
        <v>0</v>
      </c>
      <c r="IN89" s="204"/>
      <c r="IO89" s="203">
        <f t="shared" si="371"/>
        <v>0</v>
      </c>
      <c r="IP89" s="202">
        <f t="shared" si="460"/>
        <v>0</v>
      </c>
      <c r="IQ89" s="202">
        <f t="shared" si="461"/>
        <v>0</v>
      </c>
      <c r="IR89" s="204"/>
      <c r="IS89" s="203"/>
      <c r="IT89" s="202">
        <f t="shared" si="462"/>
        <v>1</v>
      </c>
      <c r="IU89" s="202">
        <f t="shared" si="463"/>
        <v>50</v>
      </c>
      <c r="IV89" s="204"/>
      <c r="IW89" s="203"/>
      <c r="IX89" s="202">
        <f t="shared" si="464"/>
        <v>0</v>
      </c>
      <c r="IY89" s="202">
        <f t="shared" si="465"/>
        <v>0</v>
      </c>
      <c r="IZ89" s="204"/>
      <c r="JA89" s="203"/>
      <c r="JB89" s="202">
        <f t="shared" si="466"/>
        <v>0</v>
      </c>
      <c r="JC89" s="202">
        <f t="shared" si="467"/>
        <v>0</v>
      </c>
      <c r="JD89" s="204"/>
      <c r="JE89" s="203"/>
      <c r="JF89" s="202">
        <f t="shared" si="408"/>
        <v>1</v>
      </c>
      <c r="JG89" s="202">
        <f t="shared" si="408"/>
        <v>50</v>
      </c>
      <c r="JH89" s="204"/>
      <c r="JI89" s="203"/>
      <c r="JJ89" s="202">
        <f t="shared" si="468"/>
        <v>0</v>
      </c>
      <c r="JK89" s="202">
        <f t="shared" si="469"/>
        <v>0</v>
      </c>
      <c r="JM89" s="203">
        <f t="shared" si="409"/>
        <v>0</v>
      </c>
      <c r="JO89" s="196">
        <f t="shared" si="372"/>
        <v>1</v>
      </c>
      <c r="JP89" s="189">
        <f t="shared" si="470"/>
        <v>27</v>
      </c>
      <c r="JQ89" s="189">
        <f t="shared" si="471"/>
        <v>1</v>
      </c>
      <c r="JR89" s="189">
        <f t="shared" si="472"/>
        <v>0</v>
      </c>
      <c r="JS89" s="189">
        <f t="shared" si="473"/>
        <v>0</v>
      </c>
      <c r="JT89" s="189">
        <f t="shared" si="474"/>
        <v>0</v>
      </c>
      <c r="JU89" s="189">
        <f t="shared" si="475"/>
        <v>0</v>
      </c>
      <c r="JV89" s="189">
        <f t="shared" si="476"/>
        <v>0</v>
      </c>
      <c r="JW89" s="189">
        <f t="shared" si="477"/>
        <v>0</v>
      </c>
      <c r="JX89" s="189">
        <f t="shared" si="478"/>
        <v>0</v>
      </c>
      <c r="JY89" s="189">
        <f t="shared" si="479"/>
        <v>0</v>
      </c>
      <c r="JZ89" s="189">
        <f t="shared" si="480"/>
        <v>0</v>
      </c>
      <c r="KA89" s="189">
        <f t="shared" si="481"/>
        <v>0</v>
      </c>
      <c r="KB89" s="189">
        <f t="shared" si="482"/>
        <v>0</v>
      </c>
      <c r="KD89" s="206">
        <f t="shared" si="410"/>
        <v>0</v>
      </c>
      <c r="KE89" s="206">
        <f t="shared" si="373"/>
        <v>0</v>
      </c>
      <c r="KF89" s="206">
        <f t="shared" si="483"/>
        <v>27</v>
      </c>
      <c r="KG89" s="206">
        <f t="shared" si="484"/>
        <v>27</v>
      </c>
      <c r="KH89" s="206">
        <f t="shared" si="485"/>
        <v>0</v>
      </c>
      <c r="KI89" s="206">
        <f t="shared" si="486"/>
        <v>0</v>
      </c>
      <c r="KJ89" s="206">
        <f t="shared" si="487"/>
        <v>0</v>
      </c>
      <c r="KK89" s="206">
        <f t="shared" si="488"/>
        <v>0</v>
      </c>
      <c r="KL89" s="206">
        <f t="shared" si="489"/>
        <v>0</v>
      </c>
      <c r="KM89" s="206">
        <f t="shared" si="490"/>
        <v>0</v>
      </c>
      <c r="KN89" s="221">
        <f t="shared" si="491"/>
        <v>0</v>
      </c>
      <c r="KO89" s="221">
        <f t="shared" si="492"/>
        <v>0</v>
      </c>
      <c r="KP89" s="221">
        <f t="shared" si="493"/>
        <v>0</v>
      </c>
      <c r="KQ89" s="221">
        <f t="shared" si="494"/>
        <v>0</v>
      </c>
      <c r="KR89" s="221">
        <f t="shared" si="495"/>
        <v>0</v>
      </c>
      <c r="KT89" s="195">
        <f t="shared" si="496"/>
        <v>0</v>
      </c>
      <c r="KU89" s="221"/>
      <c r="KV89" s="221"/>
      <c r="KW89" s="221"/>
      <c r="KX89" s="221"/>
      <c r="KY89" s="221"/>
      <c r="KZ89" s="221"/>
      <c r="LA89" s="221"/>
      <c r="LB89" s="221"/>
      <c r="LC89" s="221"/>
      <c r="LD89" s="221"/>
      <c r="LE89" s="221"/>
      <c r="LF89" s="221"/>
      <c r="LG89" s="221"/>
      <c r="LH89" s="221"/>
      <c r="LI89" s="221"/>
      <c r="LJ89" s="221"/>
      <c r="LK89" s="221"/>
      <c r="LL89" s="221"/>
      <c r="LM89" s="221"/>
      <c r="LN89" s="221"/>
      <c r="LO89" s="221"/>
      <c r="LP89" s="221"/>
      <c r="LQ89" s="221"/>
      <c r="LR89" s="221"/>
      <c r="LS89" s="221"/>
      <c r="LT89" s="221"/>
      <c r="LU89" s="221"/>
      <c r="LV89" s="221"/>
      <c r="LW89" s="221"/>
      <c r="LX89" s="221"/>
      <c r="LY89" s="221"/>
      <c r="LZ89" s="221"/>
      <c r="MA89" s="221"/>
      <c r="MB89" s="221"/>
      <c r="MC89" s="221"/>
      <c r="MD89" s="221"/>
      <c r="ME89" s="221"/>
      <c r="MF89" s="221"/>
      <c r="MG89" s="221"/>
      <c r="MH89" s="221"/>
      <c r="MI89" s="221"/>
      <c r="MJ89" s="221"/>
      <c r="MK89" s="221"/>
      <c r="ML89" s="221"/>
      <c r="MM89" s="221"/>
      <c r="MN89" s="221"/>
      <c r="MO89" s="221"/>
      <c r="MP89" s="221"/>
      <c r="MQ89" s="221"/>
      <c r="MR89" s="221"/>
      <c r="MS89" s="221"/>
      <c r="MT89" s="221"/>
      <c r="MU89" s="221"/>
      <c r="MV89" s="221"/>
      <c r="MW89" s="221"/>
      <c r="MX89" s="221"/>
      <c r="MY89" s="221"/>
      <c r="MZ89" s="221"/>
      <c r="NA89" s="221"/>
      <c r="NB89" s="221"/>
      <c r="NC89" s="221"/>
      <c r="ND89" s="221"/>
      <c r="NE89" s="221"/>
      <c r="NF89" s="221"/>
      <c r="NG89" s="221"/>
      <c r="NH89" s="221"/>
      <c r="NI89" s="221"/>
      <c r="NJ89" s="221"/>
      <c r="NK89" s="221"/>
      <c r="NM89" s="195">
        <f t="shared" si="411"/>
        <v>0</v>
      </c>
      <c r="NN89" s="195">
        <f t="shared" si="412"/>
        <v>0</v>
      </c>
      <c r="NO89" s="195">
        <f t="shared" si="413"/>
        <v>0</v>
      </c>
      <c r="NP89" s="195">
        <f t="shared" si="414"/>
        <v>0</v>
      </c>
      <c r="NQ89" s="195">
        <f t="shared" si="415"/>
        <v>0</v>
      </c>
      <c r="NR89" s="195">
        <f t="shared" si="416"/>
        <v>0</v>
      </c>
      <c r="NS89" s="195">
        <f t="shared" si="417"/>
        <v>0</v>
      </c>
      <c r="NT89" s="195">
        <f t="shared" si="418"/>
        <v>0</v>
      </c>
      <c r="NU89" s="196">
        <f t="shared" si="419"/>
        <v>0</v>
      </c>
      <c r="NY89" s="215">
        <f t="shared" si="420"/>
        <v>1</v>
      </c>
      <c r="NZ89" s="222">
        <f>247940000/23</f>
        <v>10780000</v>
      </c>
      <c r="OE89" s="207">
        <f t="shared" si="374"/>
        <v>0</v>
      </c>
      <c r="OF89" s="207">
        <f t="shared" si="375"/>
        <v>0</v>
      </c>
      <c r="OG89" s="207">
        <f t="shared" si="376"/>
        <v>0</v>
      </c>
      <c r="OH89" s="207">
        <f t="shared" si="421"/>
        <v>0</v>
      </c>
      <c r="OI89" s="207">
        <f t="shared" si="377"/>
        <v>0</v>
      </c>
      <c r="OJ89" s="199">
        <f t="shared" si="422"/>
        <v>0</v>
      </c>
      <c r="OK89" s="199">
        <f t="shared" si="423"/>
        <v>0</v>
      </c>
      <c r="OL89" s="199">
        <f t="shared" si="424"/>
        <v>0</v>
      </c>
      <c r="OM89" s="199">
        <f t="shared" si="425"/>
        <v>0</v>
      </c>
      <c r="OO89" s="207">
        <f t="shared" si="378"/>
        <v>0</v>
      </c>
      <c r="OP89" s="207">
        <f t="shared" si="379"/>
        <v>0</v>
      </c>
      <c r="OQ89" s="207">
        <f t="shared" si="426"/>
        <v>0</v>
      </c>
      <c r="OR89" s="207">
        <f t="shared" si="427"/>
        <v>0</v>
      </c>
      <c r="OS89" s="207">
        <f t="shared" si="428"/>
        <v>0</v>
      </c>
      <c r="OT89" s="199">
        <f t="shared" si="429"/>
        <v>0</v>
      </c>
      <c r="OU89" s="199">
        <f t="shared" si="430"/>
        <v>0</v>
      </c>
      <c r="OV89" s="199">
        <f t="shared" si="431"/>
        <v>0</v>
      </c>
      <c r="OW89" s="199">
        <f t="shared" si="432"/>
        <v>0</v>
      </c>
      <c r="OZ89" s="208">
        <f t="shared" si="380"/>
        <v>0</v>
      </c>
      <c r="PA89" s="209"/>
      <c r="PB89" s="209"/>
      <c r="PC89" s="209"/>
      <c r="PD89" s="210">
        <f t="shared" si="433"/>
        <v>0</v>
      </c>
      <c r="PE89" s="210"/>
      <c r="PF89" s="210">
        <f t="shared" si="434"/>
        <v>0</v>
      </c>
      <c r="PG89" s="210">
        <f t="shared" si="435"/>
        <v>0</v>
      </c>
      <c r="PH89" s="210">
        <f t="shared" si="381"/>
        <v>0</v>
      </c>
      <c r="PI89" s="210">
        <f t="shared" si="382"/>
        <v>0</v>
      </c>
      <c r="PJ89" s="210">
        <f t="shared" si="383"/>
        <v>0</v>
      </c>
      <c r="PK89" s="210">
        <f t="shared" si="384"/>
        <v>0</v>
      </c>
      <c r="PL89" s="210">
        <f t="shared" si="385"/>
        <v>0</v>
      </c>
      <c r="PM89" s="211"/>
      <c r="PN89" s="211"/>
      <c r="PO89" s="212">
        <f t="shared" si="436"/>
        <v>0</v>
      </c>
      <c r="PP89" s="212">
        <f t="shared" si="437"/>
        <v>0</v>
      </c>
      <c r="PQ89" s="212">
        <f t="shared" si="438"/>
        <v>0</v>
      </c>
      <c r="PR89" s="211"/>
      <c r="PS89" s="211"/>
      <c r="PT89" s="211"/>
      <c r="PU89" s="211"/>
    </row>
    <row r="90" spans="1:437" s="195" customFormat="1" ht="16" x14ac:dyDescent="0.2">
      <c r="A90" s="213">
        <f t="shared" si="206"/>
        <v>80</v>
      </c>
      <c r="B90" s="186" t="s">
        <v>90</v>
      </c>
      <c r="C90" s="186">
        <v>86</v>
      </c>
      <c r="D90" s="188">
        <v>1</v>
      </c>
      <c r="E90" s="188">
        <v>48</v>
      </c>
      <c r="F90" s="188">
        <v>1</v>
      </c>
      <c r="G90" s="188">
        <f t="shared" si="308"/>
        <v>48</v>
      </c>
      <c r="H90" s="214">
        <f t="shared" si="311"/>
        <v>1</v>
      </c>
      <c r="I90" s="214">
        <f t="shared" si="312"/>
        <v>1</v>
      </c>
      <c r="J90" s="188">
        <v>1</v>
      </c>
      <c r="K90" s="188">
        <f t="shared" si="313"/>
        <v>48</v>
      </c>
      <c r="L90" s="214">
        <f t="shared" si="314"/>
        <v>1</v>
      </c>
      <c r="M90" s="214">
        <f t="shared" si="315"/>
        <v>1</v>
      </c>
      <c r="N90" s="188">
        <v>1</v>
      </c>
      <c r="O90" s="188">
        <f t="shared" si="316"/>
        <v>48</v>
      </c>
      <c r="P90" s="214">
        <f t="shared" si="317"/>
        <v>1</v>
      </c>
      <c r="Q90" s="214">
        <f t="shared" si="318"/>
        <v>1</v>
      </c>
      <c r="R90" s="188">
        <v>1</v>
      </c>
      <c r="S90" s="188">
        <f t="shared" si="319"/>
        <v>48</v>
      </c>
      <c r="T90" s="214">
        <f t="shared" si="320"/>
        <v>1</v>
      </c>
      <c r="U90" s="214">
        <f t="shared" si="321"/>
        <v>1</v>
      </c>
      <c r="V90" s="215">
        <v>1</v>
      </c>
      <c r="W90" s="188">
        <f t="shared" si="322"/>
        <v>48</v>
      </c>
      <c r="X90" s="214">
        <f t="shared" si="323"/>
        <v>1</v>
      </c>
      <c r="Y90" s="214">
        <f t="shared" si="324"/>
        <v>1</v>
      </c>
      <c r="Z90" s="216">
        <f>813291000/1000000000</f>
        <v>0.81329099999999999</v>
      </c>
      <c r="AA90" s="188">
        <v>0</v>
      </c>
      <c r="AB90" s="188">
        <f t="shared" si="339"/>
        <v>0</v>
      </c>
      <c r="AC90" s="214">
        <f t="shared" si="340"/>
        <v>0</v>
      </c>
      <c r="AD90" s="214">
        <f t="shared" si="341"/>
        <v>0</v>
      </c>
      <c r="AE90" s="188"/>
      <c r="AF90" s="188">
        <f t="shared" si="342"/>
        <v>0</v>
      </c>
      <c r="AG90" s="188"/>
      <c r="AH90" s="188"/>
      <c r="AI90" s="188">
        <v>0</v>
      </c>
      <c r="AJ90" s="188">
        <f t="shared" si="325"/>
        <v>0</v>
      </c>
      <c r="AK90" s="188"/>
      <c r="AL90" s="188">
        <v>0</v>
      </c>
      <c r="AM90" s="188">
        <v>0</v>
      </c>
      <c r="AN90" s="217"/>
      <c r="AO90" s="188"/>
      <c r="AP90" s="188"/>
      <c r="AQ90" s="188"/>
      <c r="AR90" s="188"/>
      <c r="AS90" s="188"/>
      <c r="AT90" s="188"/>
      <c r="AU90" s="188"/>
      <c r="AV90" s="188"/>
      <c r="AW90" s="188"/>
      <c r="AX90" s="188"/>
      <c r="AY90" s="188"/>
      <c r="AZ90" s="188"/>
      <c r="BA90" s="188"/>
      <c r="BB90" s="188">
        <f t="shared" si="343"/>
        <v>0</v>
      </c>
      <c r="BD90" s="196">
        <f t="shared" si="386"/>
        <v>0</v>
      </c>
      <c r="BE90" s="188">
        <f t="shared" si="326"/>
        <v>0</v>
      </c>
      <c r="BF90" s="188">
        <f t="shared" si="327"/>
        <v>0</v>
      </c>
      <c r="BG90" s="188">
        <f t="shared" si="328"/>
        <v>0</v>
      </c>
      <c r="BH90" s="188">
        <f t="shared" si="329"/>
        <v>0</v>
      </c>
      <c r="BI90" s="188">
        <f t="shared" si="330"/>
        <v>0</v>
      </c>
      <c r="BJ90" s="188">
        <f t="shared" si="331"/>
        <v>0</v>
      </c>
      <c r="BK90" s="188">
        <f t="shared" si="332"/>
        <v>0</v>
      </c>
      <c r="BN90" s="277"/>
      <c r="BO90" s="139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B90" s="188"/>
      <c r="CD90" s="188">
        <f t="shared" si="344"/>
        <v>0</v>
      </c>
      <c r="CE90" s="188">
        <f t="shared" si="345"/>
        <v>0</v>
      </c>
      <c r="CF90" s="188">
        <f t="shared" si="346"/>
        <v>0</v>
      </c>
      <c r="CG90" s="188">
        <f t="shared" si="347"/>
        <v>0</v>
      </c>
      <c r="CH90" s="188">
        <f t="shared" si="348"/>
        <v>0</v>
      </c>
      <c r="CI90" s="188">
        <f t="shared" si="349"/>
        <v>0</v>
      </c>
      <c r="CJ90" s="188">
        <f t="shared" si="350"/>
        <v>0</v>
      </c>
      <c r="CK90" s="188">
        <f t="shared" si="351"/>
        <v>0</v>
      </c>
      <c r="CL90" s="188">
        <f t="shared" si="352"/>
        <v>0</v>
      </c>
      <c r="CM90" s="188">
        <f t="shared" si="353"/>
        <v>0</v>
      </c>
      <c r="CN90" s="188">
        <f t="shared" si="354"/>
        <v>0</v>
      </c>
      <c r="CO90" s="188">
        <f t="shared" si="355"/>
        <v>0</v>
      </c>
      <c r="CP90" s="188">
        <f t="shared" si="356"/>
        <v>0</v>
      </c>
      <c r="DV90" s="188">
        <f t="shared" si="333"/>
        <v>0</v>
      </c>
      <c r="DW90" s="188">
        <f t="shared" si="334"/>
        <v>0</v>
      </c>
      <c r="DX90" s="188">
        <f t="shared" si="335"/>
        <v>0</v>
      </c>
      <c r="DY90" s="188">
        <f t="shared" si="336"/>
        <v>0</v>
      </c>
      <c r="DZ90" s="188">
        <f t="shared" si="337"/>
        <v>0</v>
      </c>
      <c r="EA90" s="188">
        <f t="shared" si="338"/>
        <v>0</v>
      </c>
      <c r="EB90" s="188">
        <f t="shared" si="357"/>
        <v>0</v>
      </c>
      <c r="EG90" s="220">
        <f t="shared" si="358"/>
        <v>0</v>
      </c>
      <c r="EH90" s="220">
        <f t="shared" si="359"/>
        <v>0</v>
      </c>
      <c r="EI90" s="188"/>
      <c r="EJ90" s="188"/>
      <c r="EK90" s="188"/>
      <c r="EL90" s="188"/>
      <c r="EM90" s="188"/>
      <c r="EN90" s="188"/>
      <c r="EO90" s="188"/>
      <c r="EP90" s="188"/>
      <c r="EQ90" s="188"/>
      <c r="ER90" s="188"/>
      <c r="ES90" s="188"/>
      <c r="ET90" s="188"/>
      <c r="EU90" s="188"/>
      <c r="EV90" s="188"/>
      <c r="EW90" s="188"/>
      <c r="EX90" s="188"/>
      <c r="EY90" s="188"/>
      <c r="EZ90" s="188"/>
      <c r="FA90" s="188"/>
      <c r="FB90" s="188"/>
      <c r="FC90" s="188"/>
      <c r="FD90" s="188"/>
      <c r="FE90" s="188"/>
      <c r="FF90" s="188"/>
      <c r="FH90" s="189"/>
      <c r="FI90" s="189"/>
      <c r="FJ90" s="189"/>
      <c r="FK90" s="189"/>
      <c r="FL90" s="189"/>
      <c r="FM90" s="189"/>
      <c r="FN90" s="189"/>
      <c r="FO90" s="189"/>
      <c r="FP90" s="189"/>
      <c r="FQ90" s="189"/>
      <c r="FR90" s="189"/>
      <c r="FS90" s="189"/>
      <c r="FT90" s="189"/>
      <c r="FU90" s="189"/>
      <c r="FV90" s="189"/>
      <c r="FX90" s="217"/>
      <c r="FY90" s="188">
        <f t="shared" si="360"/>
        <v>0</v>
      </c>
      <c r="FZ90" s="188">
        <f t="shared" si="439"/>
        <v>0</v>
      </c>
      <c r="GA90" s="188">
        <f t="shared" si="440"/>
        <v>0</v>
      </c>
      <c r="GB90" s="188">
        <f t="shared" si="441"/>
        <v>0</v>
      </c>
      <c r="GC90" s="188">
        <f t="shared" si="442"/>
        <v>0</v>
      </c>
      <c r="GD90" s="188">
        <f t="shared" si="443"/>
        <v>0</v>
      </c>
      <c r="GE90" s="188">
        <f t="shared" si="444"/>
        <v>0</v>
      </c>
      <c r="GF90" s="199"/>
      <c r="GG90" s="189">
        <v>0</v>
      </c>
      <c r="GH90" s="189">
        <v>0</v>
      </c>
      <c r="GI90" s="199"/>
      <c r="GJ90" s="224">
        <f t="shared" si="361"/>
        <v>0</v>
      </c>
      <c r="GK90" s="224">
        <f t="shared" si="362"/>
        <v>0</v>
      </c>
      <c r="GO90" s="189">
        <f t="shared" si="445"/>
        <v>0</v>
      </c>
      <c r="GP90" s="189">
        <f t="shared" si="446"/>
        <v>0</v>
      </c>
      <c r="GQ90" s="189">
        <f t="shared" si="447"/>
        <v>0</v>
      </c>
      <c r="GR90" s="189">
        <f t="shared" si="448"/>
        <v>0</v>
      </c>
      <c r="GS90" s="189">
        <f t="shared" si="449"/>
        <v>0</v>
      </c>
      <c r="GT90" s="189">
        <f t="shared" si="387"/>
        <v>1</v>
      </c>
      <c r="GU90" s="201">
        <f t="shared" si="388"/>
        <v>43243</v>
      </c>
      <c r="GV90" s="189" t="str">
        <f t="shared" si="389"/>
        <v>SELESAI</v>
      </c>
      <c r="GW90" s="189">
        <f t="shared" si="390"/>
        <v>0</v>
      </c>
      <c r="GX90" s="202" t="str">
        <f t="shared" si="391"/>
        <v>SELESAI</v>
      </c>
      <c r="GY90" s="202">
        <f t="shared" si="392"/>
        <v>0</v>
      </c>
      <c r="GZ90" s="203" t="str">
        <f t="shared" si="393"/>
        <v>SELESAI</v>
      </c>
      <c r="HA90" s="204"/>
      <c r="HB90" s="204"/>
      <c r="HC90" s="189">
        <f t="shared" si="450"/>
        <v>0</v>
      </c>
      <c r="HD90" s="189">
        <f t="shared" si="451"/>
        <v>0</v>
      </c>
      <c r="HE90" s="189">
        <f t="shared" si="394"/>
        <v>0</v>
      </c>
      <c r="HF90" s="189">
        <f t="shared" si="395"/>
        <v>0</v>
      </c>
      <c r="HG90" s="189">
        <f t="shared" si="396"/>
        <v>0</v>
      </c>
      <c r="HH90" s="201" t="str">
        <f t="shared" si="363"/>
        <v>TIDAK KONSINYASI</v>
      </c>
      <c r="HI90" s="201" t="str">
        <f t="shared" si="397"/>
        <v>SELESAI</v>
      </c>
      <c r="HJ90" s="205"/>
      <c r="HK90" s="201">
        <f t="shared" si="364"/>
        <v>0</v>
      </c>
      <c r="HL90" s="204"/>
      <c r="HM90" s="204"/>
      <c r="HN90" s="204"/>
      <c r="HO90" s="204"/>
      <c r="HP90" s="203">
        <f t="shared" si="398"/>
        <v>0</v>
      </c>
      <c r="HQ90" s="202">
        <f t="shared" si="399"/>
        <v>0</v>
      </c>
      <c r="HR90" s="202">
        <f t="shared" si="452"/>
        <v>0</v>
      </c>
      <c r="HS90" s="203">
        <f t="shared" si="400"/>
        <v>0</v>
      </c>
      <c r="HT90" s="202">
        <f t="shared" si="401"/>
        <v>0</v>
      </c>
      <c r="HU90" s="202">
        <f t="shared" si="453"/>
        <v>0</v>
      </c>
      <c r="HV90" s="203">
        <f t="shared" si="402"/>
        <v>0</v>
      </c>
      <c r="HW90" s="202">
        <f t="shared" si="403"/>
        <v>0</v>
      </c>
      <c r="HX90" s="202">
        <f t="shared" si="454"/>
        <v>0</v>
      </c>
      <c r="HY90" s="203">
        <f t="shared" si="365"/>
        <v>0</v>
      </c>
      <c r="HZ90" s="202">
        <f t="shared" si="404"/>
        <v>0</v>
      </c>
      <c r="IA90" s="202">
        <f t="shared" si="455"/>
        <v>0</v>
      </c>
      <c r="IB90" s="203">
        <f t="shared" si="405"/>
        <v>0</v>
      </c>
      <c r="IC90" s="202">
        <f t="shared" si="366"/>
        <v>0</v>
      </c>
      <c r="ID90" s="202">
        <f t="shared" si="456"/>
        <v>0</v>
      </c>
      <c r="IE90" s="203">
        <f t="shared" si="367"/>
        <v>0</v>
      </c>
      <c r="IF90" s="202">
        <f t="shared" si="368"/>
        <v>0</v>
      </c>
      <c r="IG90" s="202">
        <f t="shared" si="457"/>
        <v>0</v>
      </c>
      <c r="IH90" s="203">
        <f t="shared" si="406"/>
        <v>0</v>
      </c>
      <c r="II90" s="202">
        <f t="shared" si="407"/>
        <v>0</v>
      </c>
      <c r="IJ90" s="202">
        <f t="shared" si="458"/>
        <v>0</v>
      </c>
      <c r="IK90" s="203">
        <f t="shared" si="369"/>
        <v>0</v>
      </c>
      <c r="IL90" s="202">
        <f t="shared" si="370"/>
        <v>0</v>
      </c>
      <c r="IM90" s="202">
        <f t="shared" si="459"/>
        <v>0</v>
      </c>
      <c r="IN90" s="204"/>
      <c r="IO90" s="203">
        <f t="shared" si="371"/>
        <v>0</v>
      </c>
      <c r="IP90" s="202">
        <f t="shared" si="460"/>
        <v>0</v>
      </c>
      <c r="IQ90" s="202">
        <f t="shared" si="461"/>
        <v>0</v>
      </c>
      <c r="IR90" s="204"/>
      <c r="IS90" s="203"/>
      <c r="IT90" s="202">
        <f t="shared" si="462"/>
        <v>1</v>
      </c>
      <c r="IU90" s="202">
        <f t="shared" si="463"/>
        <v>48</v>
      </c>
      <c r="IV90" s="204"/>
      <c r="IW90" s="203"/>
      <c r="IX90" s="202">
        <f t="shared" si="464"/>
        <v>0</v>
      </c>
      <c r="IY90" s="202">
        <f t="shared" si="465"/>
        <v>0</v>
      </c>
      <c r="IZ90" s="204"/>
      <c r="JA90" s="203"/>
      <c r="JB90" s="202">
        <f t="shared" si="466"/>
        <v>0</v>
      </c>
      <c r="JC90" s="202">
        <f t="shared" si="467"/>
        <v>0</v>
      </c>
      <c r="JD90" s="204"/>
      <c r="JE90" s="203"/>
      <c r="JF90" s="202">
        <f t="shared" si="408"/>
        <v>1</v>
      </c>
      <c r="JG90" s="202">
        <f t="shared" si="408"/>
        <v>48</v>
      </c>
      <c r="JH90" s="204"/>
      <c r="JI90" s="203"/>
      <c r="JJ90" s="202">
        <f t="shared" si="468"/>
        <v>0</v>
      </c>
      <c r="JK90" s="202">
        <f t="shared" si="469"/>
        <v>0</v>
      </c>
      <c r="JM90" s="203">
        <f t="shared" si="409"/>
        <v>0</v>
      </c>
      <c r="JO90" s="196">
        <f t="shared" si="372"/>
        <v>0</v>
      </c>
      <c r="JP90" s="189">
        <f t="shared" si="470"/>
        <v>0</v>
      </c>
      <c r="JQ90" s="189">
        <f t="shared" si="471"/>
        <v>0</v>
      </c>
      <c r="JR90" s="189">
        <f t="shared" si="472"/>
        <v>0</v>
      </c>
      <c r="JS90" s="189">
        <f t="shared" si="473"/>
        <v>0</v>
      </c>
      <c r="JT90" s="189">
        <f t="shared" si="474"/>
        <v>0</v>
      </c>
      <c r="JU90" s="189">
        <f t="shared" si="475"/>
        <v>0</v>
      </c>
      <c r="JV90" s="189">
        <f t="shared" si="476"/>
        <v>0</v>
      </c>
      <c r="JW90" s="189">
        <f t="shared" si="477"/>
        <v>0</v>
      </c>
      <c r="JX90" s="189">
        <f t="shared" si="478"/>
        <v>0</v>
      </c>
      <c r="JY90" s="189">
        <f t="shared" si="479"/>
        <v>0</v>
      </c>
      <c r="JZ90" s="189">
        <f t="shared" si="480"/>
        <v>0</v>
      </c>
      <c r="KA90" s="189">
        <f t="shared" si="481"/>
        <v>0</v>
      </c>
      <c r="KB90" s="189">
        <f t="shared" si="482"/>
        <v>0</v>
      </c>
      <c r="KD90" s="206">
        <f t="shared" si="410"/>
        <v>0</v>
      </c>
      <c r="KE90" s="206">
        <f t="shared" si="373"/>
        <v>0</v>
      </c>
      <c r="KF90" s="206">
        <f t="shared" si="483"/>
        <v>0</v>
      </c>
      <c r="KG90" s="206">
        <f t="shared" si="484"/>
        <v>0</v>
      </c>
      <c r="KH90" s="206">
        <f t="shared" si="485"/>
        <v>0</v>
      </c>
      <c r="KI90" s="206">
        <f t="shared" si="486"/>
        <v>0</v>
      </c>
      <c r="KJ90" s="206">
        <f t="shared" si="487"/>
        <v>0</v>
      </c>
      <c r="KK90" s="206">
        <f t="shared" si="488"/>
        <v>0</v>
      </c>
      <c r="KL90" s="206">
        <f t="shared" si="489"/>
        <v>0</v>
      </c>
      <c r="KM90" s="206">
        <f t="shared" si="490"/>
        <v>0</v>
      </c>
      <c r="KN90" s="221">
        <f t="shared" si="491"/>
        <v>0</v>
      </c>
      <c r="KO90" s="221">
        <f t="shared" si="492"/>
        <v>0</v>
      </c>
      <c r="KP90" s="221">
        <f t="shared" si="493"/>
        <v>0</v>
      </c>
      <c r="KQ90" s="221">
        <f t="shared" si="494"/>
        <v>0</v>
      </c>
      <c r="KR90" s="221">
        <f t="shared" si="495"/>
        <v>0</v>
      </c>
      <c r="KT90" s="195">
        <f t="shared" si="496"/>
        <v>0</v>
      </c>
      <c r="KU90" s="221"/>
      <c r="KV90" s="221"/>
      <c r="KW90" s="221"/>
      <c r="KX90" s="221"/>
      <c r="KY90" s="221"/>
      <c r="KZ90" s="221"/>
      <c r="LA90" s="221"/>
      <c r="LB90" s="221"/>
      <c r="LC90" s="221"/>
      <c r="LD90" s="221"/>
      <c r="LE90" s="221"/>
      <c r="LF90" s="221"/>
      <c r="LG90" s="221"/>
      <c r="LH90" s="221"/>
      <c r="LI90" s="221"/>
      <c r="LJ90" s="221"/>
      <c r="LK90" s="221"/>
      <c r="LL90" s="221"/>
      <c r="LM90" s="221"/>
      <c r="LN90" s="221"/>
      <c r="LO90" s="221"/>
      <c r="LP90" s="221"/>
      <c r="LQ90" s="221"/>
      <c r="LR90" s="221"/>
      <c r="LS90" s="221"/>
      <c r="LT90" s="221"/>
      <c r="LU90" s="221"/>
      <c r="LV90" s="221"/>
      <c r="LW90" s="221"/>
      <c r="LX90" s="221"/>
      <c r="LY90" s="221"/>
      <c r="LZ90" s="221"/>
      <c r="MA90" s="221"/>
      <c r="MB90" s="221"/>
      <c r="MC90" s="221"/>
      <c r="MD90" s="221"/>
      <c r="ME90" s="221"/>
      <c r="MF90" s="221"/>
      <c r="MG90" s="221"/>
      <c r="MH90" s="221"/>
      <c r="MI90" s="221"/>
      <c r="MJ90" s="221"/>
      <c r="MK90" s="221"/>
      <c r="ML90" s="221"/>
      <c r="MM90" s="221"/>
      <c r="MN90" s="221"/>
      <c r="MO90" s="221"/>
      <c r="MP90" s="221"/>
      <c r="MQ90" s="221"/>
      <c r="MR90" s="221"/>
      <c r="MS90" s="221"/>
      <c r="MT90" s="221"/>
      <c r="MU90" s="221"/>
      <c r="MV90" s="221"/>
      <c r="MW90" s="221"/>
      <c r="MX90" s="221"/>
      <c r="MY90" s="221"/>
      <c r="MZ90" s="221"/>
      <c r="NA90" s="221"/>
      <c r="NB90" s="221"/>
      <c r="NC90" s="221"/>
      <c r="ND90" s="221"/>
      <c r="NE90" s="221"/>
      <c r="NF90" s="221"/>
      <c r="NG90" s="221"/>
      <c r="NH90" s="221"/>
      <c r="NI90" s="221"/>
      <c r="NJ90" s="221"/>
      <c r="NK90" s="221"/>
      <c r="NM90" s="195">
        <f t="shared" si="411"/>
        <v>0</v>
      </c>
      <c r="NN90" s="195">
        <f t="shared" si="412"/>
        <v>0</v>
      </c>
      <c r="NO90" s="195">
        <f t="shared" si="413"/>
        <v>0</v>
      </c>
      <c r="NP90" s="195">
        <f t="shared" si="414"/>
        <v>0</v>
      </c>
      <c r="NQ90" s="195">
        <f t="shared" si="415"/>
        <v>0</v>
      </c>
      <c r="NR90" s="195">
        <f t="shared" si="416"/>
        <v>0</v>
      </c>
      <c r="NS90" s="195">
        <f t="shared" si="417"/>
        <v>0</v>
      </c>
      <c r="NT90" s="195">
        <f t="shared" si="418"/>
        <v>0</v>
      </c>
      <c r="NU90" s="196">
        <f t="shared" si="419"/>
        <v>0</v>
      </c>
      <c r="NY90" s="215">
        <f t="shared" si="420"/>
        <v>1</v>
      </c>
      <c r="NZ90" s="222">
        <v>10780000</v>
      </c>
      <c r="OE90" s="207">
        <f t="shared" si="374"/>
        <v>0</v>
      </c>
      <c r="OF90" s="207">
        <f t="shared" si="375"/>
        <v>0</v>
      </c>
      <c r="OG90" s="207">
        <f t="shared" si="376"/>
        <v>0</v>
      </c>
      <c r="OH90" s="207">
        <f t="shared" si="421"/>
        <v>0</v>
      </c>
      <c r="OI90" s="207">
        <f t="shared" si="377"/>
        <v>0</v>
      </c>
      <c r="OJ90" s="199">
        <f t="shared" si="422"/>
        <v>0</v>
      </c>
      <c r="OK90" s="199">
        <f t="shared" si="423"/>
        <v>0</v>
      </c>
      <c r="OL90" s="199">
        <f t="shared" si="424"/>
        <v>0</v>
      </c>
      <c r="OM90" s="199">
        <f t="shared" si="425"/>
        <v>0</v>
      </c>
      <c r="OO90" s="207">
        <f t="shared" si="378"/>
        <v>0</v>
      </c>
      <c r="OP90" s="207">
        <f t="shared" si="379"/>
        <v>0</v>
      </c>
      <c r="OQ90" s="207">
        <f t="shared" si="426"/>
        <v>0</v>
      </c>
      <c r="OR90" s="207">
        <f t="shared" si="427"/>
        <v>0</v>
      </c>
      <c r="OS90" s="207">
        <f t="shared" si="428"/>
        <v>0</v>
      </c>
      <c r="OT90" s="199">
        <f t="shared" si="429"/>
        <v>0</v>
      </c>
      <c r="OU90" s="199">
        <f t="shared" si="430"/>
        <v>0</v>
      </c>
      <c r="OV90" s="199">
        <f t="shared" si="431"/>
        <v>0</v>
      </c>
      <c r="OW90" s="199">
        <f t="shared" si="432"/>
        <v>0</v>
      </c>
      <c r="OZ90" s="208">
        <f t="shared" si="380"/>
        <v>0</v>
      </c>
      <c r="PA90" s="209"/>
      <c r="PB90" s="209"/>
      <c r="PC90" s="209"/>
      <c r="PD90" s="210">
        <f t="shared" si="433"/>
        <v>0</v>
      </c>
      <c r="PE90" s="210"/>
      <c r="PF90" s="210">
        <f t="shared" si="434"/>
        <v>0</v>
      </c>
      <c r="PG90" s="210">
        <f t="shared" si="435"/>
        <v>0</v>
      </c>
      <c r="PH90" s="210">
        <f t="shared" si="381"/>
        <v>0</v>
      </c>
      <c r="PI90" s="210">
        <f t="shared" si="382"/>
        <v>0</v>
      </c>
      <c r="PJ90" s="210">
        <f t="shared" si="383"/>
        <v>0</v>
      </c>
      <c r="PK90" s="210">
        <f t="shared" si="384"/>
        <v>0</v>
      </c>
      <c r="PL90" s="210">
        <f t="shared" si="385"/>
        <v>0</v>
      </c>
      <c r="PM90" s="211"/>
      <c r="PN90" s="211"/>
      <c r="PO90" s="212">
        <f t="shared" si="436"/>
        <v>0</v>
      </c>
      <c r="PP90" s="212">
        <f t="shared" si="437"/>
        <v>0</v>
      </c>
      <c r="PQ90" s="212">
        <f t="shared" si="438"/>
        <v>0</v>
      </c>
      <c r="PR90" s="211"/>
      <c r="PS90" s="211"/>
      <c r="PT90" s="211"/>
      <c r="PU90" s="211"/>
    </row>
    <row r="91" spans="1:437" s="195" customFormat="1" ht="16" x14ac:dyDescent="0.2">
      <c r="A91" s="213">
        <f t="shared" si="206"/>
        <v>81</v>
      </c>
      <c r="B91" s="186" t="s">
        <v>91</v>
      </c>
      <c r="C91" s="186">
        <v>87</v>
      </c>
      <c r="D91" s="188">
        <v>1</v>
      </c>
      <c r="E91" s="188">
        <v>91</v>
      </c>
      <c r="F91" s="188">
        <v>1</v>
      </c>
      <c r="G91" s="188">
        <f t="shared" si="308"/>
        <v>91</v>
      </c>
      <c r="H91" s="214">
        <f t="shared" si="311"/>
        <v>1</v>
      </c>
      <c r="I91" s="214">
        <f t="shared" si="312"/>
        <v>1</v>
      </c>
      <c r="J91" s="188">
        <v>1</v>
      </c>
      <c r="K91" s="188">
        <f t="shared" si="313"/>
        <v>91</v>
      </c>
      <c r="L91" s="214">
        <f t="shared" si="314"/>
        <v>1</v>
      </c>
      <c r="M91" s="214">
        <f t="shared" si="315"/>
        <v>1</v>
      </c>
      <c r="N91" s="188">
        <v>1</v>
      </c>
      <c r="O91" s="188">
        <f t="shared" si="316"/>
        <v>91</v>
      </c>
      <c r="P91" s="214">
        <f t="shared" si="317"/>
        <v>1</v>
      </c>
      <c r="Q91" s="214">
        <f t="shared" si="318"/>
        <v>1</v>
      </c>
      <c r="R91" s="188">
        <v>1</v>
      </c>
      <c r="S91" s="188">
        <f t="shared" si="319"/>
        <v>91</v>
      </c>
      <c r="T91" s="214">
        <f t="shared" si="320"/>
        <v>1</v>
      </c>
      <c r="U91" s="214">
        <f t="shared" si="321"/>
        <v>1</v>
      </c>
      <c r="V91" s="215">
        <v>1</v>
      </c>
      <c r="W91" s="188">
        <f t="shared" si="322"/>
        <v>91</v>
      </c>
      <c r="X91" s="214">
        <f t="shared" si="323"/>
        <v>1</v>
      </c>
      <c r="Y91" s="214">
        <f t="shared" si="324"/>
        <v>1</v>
      </c>
      <c r="Z91" s="216">
        <f>1554335000/1000000000</f>
        <v>1.554335</v>
      </c>
      <c r="AA91" s="188">
        <v>0</v>
      </c>
      <c r="AB91" s="188">
        <f t="shared" si="339"/>
        <v>0</v>
      </c>
      <c r="AC91" s="214">
        <f t="shared" si="340"/>
        <v>0</v>
      </c>
      <c r="AD91" s="214">
        <f t="shared" si="341"/>
        <v>0</v>
      </c>
      <c r="AE91" s="188"/>
      <c r="AF91" s="188">
        <f t="shared" si="342"/>
        <v>0</v>
      </c>
      <c r="AG91" s="188"/>
      <c r="AH91" s="188"/>
      <c r="AI91" s="188">
        <v>0</v>
      </c>
      <c r="AJ91" s="188">
        <f t="shared" si="325"/>
        <v>0</v>
      </c>
      <c r="AK91" s="188"/>
      <c r="AL91" s="188">
        <v>0</v>
      </c>
      <c r="AM91" s="188">
        <v>0</v>
      </c>
      <c r="AN91" s="217"/>
      <c r="AO91" s="188"/>
      <c r="AP91" s="188"/>
      <c r="AQ91" s="188"/>
      <c r="AR91" s="188"/>
      <c r="AS91" s="188"/>
      <c r="AT91" s="188"/>
      <c r="AU91" s="188"/>
      <c r="AV91" s="188"/>
      <c r="AW91" s="188"/>
      <c r="AX91" s="188"/>
      <c r="AY91" s="188"/>
      <c r="AZ91" s="188"/>
      <c r="BA91" s="188"/>
      <c r="BB91" s="188">
        <f t="shared" si="343"/>
        <v>0</v>
      </c>
      <c r="BD91" s="196">
        <f t="shared" si="386"/>
        <v>0</v>
      </c>
      <c r="BE91" s="188">
        <f t="shared" si="326"/>
        <v>0</v>
      </c>
      <c r="BF91" s="188">
        <f t="shared" si="327"/>
        <v>0</v>
      </c>
      <c r="BG91" s="188">
        <f t="shared" si="328"/>
        <v>0</v>
      </c>
      <c r="BH91" s="188">
        <f t="shared" si="329"/>
        <v>0</v>
      </c>
      <c r="BI91" s="188">
        <f t="shared" si="330"/>
        <v>0</v>
      </c>
      <c r="BJ91" s="188">
        <f t="shared" si="331"/>
        <v>0</v>
      </c>
      <c r="BK91" s="188">
        <f t="shared" si="332"/>
        <v>0</v>
      </c>
      <c r="BN91" s="277">
        <v>2</v>
      </c>
      <c r="BO91" s="139">
        <v>1</v>
      </c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B91" s="188"/>
      <c r="CD91" s="188">
        <f t="shared" si="344"/>
        <v>2</v>
      </c>
      <c r="CE91" s="188">
        <f t="shared" si="345"/>
        <v>2</v>
      </c>
      <c r="CF91" s="188">
        <f t="shared" si="346"/>
        <v>0</v>
      </c>
      <c r="CG91" s="188">
        <f t="shared" si="347"/>
        <v>0</v>
      </c>
      <c r="CH91" s="188">
        <f t="shared" si="348"/>
        <v>0</v>
      </c>
      <c r="CI91" s="188">
        <f t="shared" si="349"/>
        <v>0</v>
      </c>
      <c r="CJ91" s="188">
        <f t="shared" si="350"/>
        <v>0</v>
      </c>
      <c r="CK91" s="188">
        <f t="shared" si="351"/>
        <v>0</v>
      </c>
      <c r="CL91" s="188">
        <f t="shared" si="352"/>
        <v>0</v>
      </c>
      <c r="CM91" s="188">
        <f t="shared" si="353"/>
        <v>0</v>
      </c>
      <c r="CN91" s="188">
        <f t="shared" si="354"/>
        <v>0</v>
      </c>
      <c r="CO91" s="188">
        <f t="shared" si="355"/>
        <v>0</v>
      </c>
      <c r="CP91" s="188">
        <f t="shared" si="356"/>
        <v>0</v>
      </c>
      <c r="DV91" s="188">
        <f t="shared" si="333"/>
        <v>0</v>
      </c>
      <c r="DW91" s="188">
        <f t="shared" si="334"/>
        <v>0</v>
      </c>
      <c r="DX91" s="188">
        <f t="shared" si="335"/>
        <v>0</v>
      </c>
      <c r="DY91" s="188">
        <f t="shared" si="336"/>
        <v>0</v>
      </c>
      <c r="DZ91" s="188">
        <f t="shared" si="337"/>
        <v>0</v>
      </c>
      <c r="EA91" s="188">
        <f t="shared" si="338"/>
        <v>0</v>
      </c>
      <c r="EB91" s="188">
        <f t="shared" si="357"/>
        <v>0</v>
      </c>
      <c r="EG91" s="220">
        <f t="shared" si="358"/>
        <v>0</v>
      </c>
      <c r="EH91" s="220">
        <f t="shared" si="359"/>
        <v>0</v>
      </c>
      <c r="EI91" s="188"/>
      <c r="EJ91" s="188"/>
      <c r="EK91" s="188"/>
      <c r="EL91" s="188"/>
      <c r="EM91" s="188"/>
      <c r="EN91" s="188"/>
      <c r="EO91" s="188"/>
      <c r="EP91" s="188"/>
      <c r="EQ91" s="188"/>
      <c r="ER91" s="188"/>
      <c r="ES91" s="188"/>
      <c r="ET91" s="188"/>
      <c r="EU91" s="188"/>
      <c r="EV91" s="188"/>
      <c r="EW91" s="188"/>
      <c r="EX91" s="188"/>
      <c r="EY91" s="188"/>
      <c r="EZ91" s="188"/>
      <c r="FA91" s="188"/>
      <c r="FB91" s="188"/>
      <c r="FC91" s="188"/>
      <c r="FD91" s="188"/>
      <c r="FE91" s="188"/>
      <c r="FF91" s="188"/>
      <c r="FH91" s="189"/>
      <c r="FI91" s="189"/>
      <c r="FJ91" s="189"/>
      <c r="FK91" s="189"/>
      <c r="FL91" s="189"/>
      <c r="FM91" s="189"/>
      <c r="FN91" s="189"/>
      <c r="FO91" s="189"/>
      <c r="FP91" s="189"/>
      <c r="FQ91" s="189"/>
      <c r="FR91" s="189"/>
      <c r="FS91" s="189"/>
      <c r="FT91" s="189"/>
      <c r="FU91" s="189"/>
      <c r="FV91" s="189"/>
      <c r="FX91" s="217">
        <v>1</v>
      </c>
      <c r="FY91" s="188">
        <f t="shared" si="360"/>
        <v>2</v>
      </c>
      <c r="FZ91" s="188">
        <f t="shared" si="439"/>
        <v>2</v>
      </c>
      <c r="GA91" s="188">
        <f t="shared" si="440"/>
        <v>0</v>
      </c>
      <c r="GB91" s="188">
        <f t="shared" si="441"/>
        <v>0</v>
      </c>
      <c r="GC91" s="188">
        <f t="shared" si="442"/>
        <v>0</v>
      </c>
      <c r="GD91" s="188">
        <f t="shared" si="443"/>
        <v>0</v>
      </c>
      <c r="GE91" s="188">
        <f t="shared" si="444"/>
        <v>0</v>
      </c>
      <c r="GF91" s="199"/>
      <c r="GG91" s="189">
        <v>0</v>
      </c>
      <c r="GH91" s="189">
        <v>0</v>
      </c>
      <c r="GI91" s="199"/>
      <c r="GJ91" s="224">
        <f t="shared" si="361"/>
        <v>0</v>
      </c>
      <c r="GK91" s="224">
        <f t="shared" si="362"/>
        <v>0</v>
      </c>
      <c r="GO91" s="189">
        <f t="shared" si="445"/>
        <v>0</v>
      </c>
      <c r="GP91" s="189">
        <f t="shared" si="446"/>
        <v>0</v>
      </c>
      <c r="GQ91" s="189">
        <f t="shared" si="447"/>
        <v>0</v>
      </c>
      <c r="GR91" s="189">
        <f t="shared" si="448"/>
        <v>0</v>
      </c>
      <c r="GS91" s="189">
        <f t="shared" si="449"/>
        <v>0</v>
      </c>
      <c r="GT91" s="189">
        <f t="shared" si="387"/>
        <v>1</v>
      </c>
      <c r="GU91" s="201">
        <f t="shared" si="388"/>
        <v>43243</v>
      </c>
      <c r="GV91" s="189" t="str">
        <f t="shared" si="389"/>
        <v>SELESAI</v>
      </c>
      <c r="GW91" s="189">
        <f t="shared" si="390"/>
        <v>0</v>
      </c>
      <c r="GX91" s="202" t="str">
        <f t="shared" si="391"/>
        <v>SELESAI</v>
      </c>
      <c r="GY91" s="202">
        <f t="shared" si="392"/>
        <v>0</v>
      </c>
      <c r="GZ91" s="203" t="str">
        <f t="shared" si="393"/>
        <v>SELESAI</v>
      </c>
      <c r="HA91" s="204"/>
      <c r="HB91" s="204"/>
      <c r="HC91" s="189">
        <f t="shared" si="450"/>
        <v>0</v>
      </c>
      <c r="HD91" s="189">
        <f t="shared" si="451"/>
        <v>0</v>
      </c>
      <c r="HE91" s="189">
        <f t="shared" si="394"/>
        <v>0</v>
      </c>
      <c r="HF91" s="189">
        <f t="shared" si="395"/>
        <v>0</v>
      </c>
      <c r="HG91" s="189">
        <f t="shared" si="396"/>
        <v>0</v>
      </c>
      <c r="HH91" s="201" t="str">
        <f t="shared" si="363"/>
        <v>TIDAK KONSINYASI</v>
      </c>
      <c r="HI91" s="201" t="str">
        <f t="shared" si="397"/>
        <v>SELESAI</v>
      </c>
      <c r="HJ91" s="205"/>
      <c r="HK91" s="201">
        <f t="shared" si="364"/>
        <v>0</v>
      </c>
      <c r="HL91" s="204"/>
      <c r="HM91" s="204"/>
      <c r="HN91" s="204"/>
      <c r="HO91" s="204"/>
      <c r="HP91" s="203">
        <f t="shared" si="398"/>
        <v>0</v>
      </c>
      <c r="HQ91" s="202">
        <f t="shared" si="399"/>
        <v>0</v>
      </c>
      <c r="HR91" s="202">
        <f t="shared" si="452"/>
        <v>0</v>
      </c>
      <c r="HS91" s="203">
        <f t="shared" si="400"/>
        <v>0</v>
      </c>
      <c r="HT91" s="202">
        <f t="shared" si="401"/>
        <v>0</v>
      </c>
      <c r="HU91" s="202">
        <f t="shared" si="453"/>
        <v>0</v>
      </c>
      <c r="HV91" s="203">
        <f t="shared" si="402"/>
        <v>0</v>
      </c>
      <c r="HW91" s="202">
        <f t="shared" si="403"/>
        <v>0</v>
      </c>
      <c r="HX91" s="202">
        <f t="shared" si="454"/>
        <v>0</v>
      </c>
      <c r="HY91" s="203">
        <f t="shared" si="365"/>
        <v>0</v>
      </c>
      <c r="HZ91" s="202">
        <f t="shared" si="404"/>
        <v>0</v>
      </c>
      <c r="IA91" s="202">
        <f t="shared" si="455"/>
        <v>0</v>
      </c>
      <c r="IB91" s="203">
        <f t="shared" si="405"/>
        <v>0</v>
      </c>
      <c r="IC91" s="202">
        <f>IF(GV91="Hasil Valuasi",GQ91,0)</f>
        <v>0</v>
      </c>
      <c r="ID91" s="202">
        <f t="shared" si="456"/>
        <v>0</v>
      </c>
      <c r="IE91" s="203">
        <f t="shared" si="367"/>
        <v>0</v>
      </c>
      <c r="IF91" s="202">
        <f t="shared" si="368"/>
        <v>0</v>
      </c>
      <c r="IG91" s="202">
        <f t="shared" si="457"/>
        <v>0</v>
      </c>
      <c r="IH91" s="203">
        <f t="shared" si="406"/>
        <v>0</v>
      </c>
      <c r="II91" s="202">
        <f t="shared" si="407"/>
        <v>0</v>
      </c>
      <c r="IJ91" s="202">
        <f t="shared" si="458"/>
        <v>0</v>
      </c>
      <c r="IK91" s="203">
        <f t="shared" si="369"/>
        <v>0</v>
      </c>
      <c r="IL91" s="202">
        <f t="shared" si="370"/>
        <v>0</v>
      </c>
      <c r="IM91" s="202">
        <f t="shared" si="459"/>
        <v>0</v>
      </c>
      <c r="IN91" s="204"/>
      <c r="IO91" s="203">
        <f t="shared" si="371"/>
        <v>0</v>
      </c>
      <c r="IP91" s="202">
        <f t="shared" si="460"/>
        <v>0</v>
      </c>
      <c r="IQ91" s="202">
        <f t="shared" si="461"/>
        <v>0</v>
      </c>
      <c r="IR91" s="204"/>
      <c r="IS91" s="203"/>
      <c r="IT91" s="202">
        <f t="shared" si="462"/>
        <v>1</v>
      </c>
      <c r="IU91" s="202">
        <f t="shared" si="463"/>
        <v>91</v>
      </c>
      <c r="IV91" s="204"/>
      <c r="IW91" s="203"/>
      <c r="IX91" s="202">
        <f t="shared" si="464"/>
        <v>0</v>
      </c>
      <c r="IY91" s="202">
        <f t="shared" si="465"/>
        <v>0</v>
      </c>
      <c r="IZ91" s="204"/>
      <c r="JA91" s="203"/>
      <c r="JB91" s="202">
        <f t="shared" si="466"/>
        <v>0</v>
      </c>
      <c r="JC91" s="202">
        <f t="shared" si="467"/>
        <v>0</v>
      </c>
      <c r="JD91" s="204"/>
      <c r="JE91" s="203"/>
      <c r="JF91" s="202">
        <f t="shared" si="408"/>
        <v>1</v>
      </c>
      <c r="JG91" s="202">
        <f t="shared" si="408"/>
        <v>91</v>
      </c>
      <c r="JH91" s="204"/>
      <c r="JI91" s="203"/>
      <c r="JJ91" s="202">
        <f t="shared" si="468"/>
        <v>0</v>
      </c>
      <c r="JK91" s="202">
        <f t="shared" si="469"/>
        <v>0</v>
      </c>
      <c r="JM91" s="203">
        <f t="shared" si="409"/>
        <v>0</v>
      </c>
      <c r="JO91" s="196">
        <f t="shared" si="372"/>
        <v>1</v>
      </c>
      <c r="JP91" s="189">
        <f t="shared" si="470"/>
        <v>2</v>
      </c>
      <c r="JQ91" s="189">
        <f t="shared" si="471"/>
        <v>1</v>
      </c>
      <c r="JR91" s="189">
        <f t="shared" si="472"/>
        <v>0</v>
      </c>
      <c r="JS91" s="189">
        <f t="shared" si="473"/>
        <v>0</v>
      </c>
      <c r="JT91" s="189">
        <f t="shared" si="474"/>
        <v>0</v>
      </c>
      <c r="JU91" s="189">
        <f t="shared" si="475"/>
        <v>0</v>
      </c>
      <c r="JV91" s="189">
        <f t="shared" si="476"/>
        <v>0</v>
      </c>
      <c r="JW91" s="189">
        <f t="shared" si="477"/>
        <v>0</v>
      </c>
      <c r="JX91" s="189">
        <f t="shared" si="478"/>
        <v>0</v>
      </c>
      <c r="JY91" s="189">
        <f t="shared" si="479"/>
        <v>0</v>
      </c>
      <c r="JZ91" s="189">
        <f t="shared" si="480"/>
        <v>0</v>
      </c>
      <c r="KA91" s="189">
        <f t="shared" si="481"/>
        <v>0</v>
      </c>
      <c r="KB91" s="189">
        <f t="shared" si="482"/>
        <v>0</v>
      </c>
      <c r="KD91" s="206">
        <f t="shared" si="410"/>
        <v>0</v>
      </c>
      <c r="KE91" s="206">
        <f t="shared" si="373"/>
        <v>0</v>
      </c>
      <c r="KF91" s="206">
        <f t="shared" si="483"/>
        <v>2</v>
      </c>
      <c r="KG91" s="206">
        <f t="shared" si="484"/>
        <v>2</v>
      </c>
      <c r="KH91" s="206">
        <f t="shared" si="485"/>
        <v>0</v>
      </c>
      <c r="KI91" s="206">
        <f t="shared" si="486"/>
        <v>0</v>
      </c>
      <c r="KJ91" s="206">
        <f t="shared" si="487"/>
        <v>0</v>
      </c>
      <c r="KK91" s="206">
        <f t="shared" si="488"/>
        <v>0</v>
      </c>
      <c r="KL91" s="206">
        <f t="shared" si="489"/>
        <v>0</v>
      </c>
      <c r="KM91" s="206">
        <f t="shared" si="490"/>
        <v>0</v>
      </c>
      <c r="KN91" s="221">
        <f t="shared" si="491"/>
        <v>0</v>
      </c>
      <c r="KO91" s="221">
        <f t="shared" si="492"/>
        <v>0</v>
      </c>
      <c r="KP91" s="221">
        <f t="shared" si="493"/>
        <v>0</v>
      </c>
      <c r="KQ91" s="221">
        <f t="shared" si="494"/>
        <v>0</v>
      </c>
      <c r="KR91" s="221">
        <f t="shared" si="495"/>
        <v>0</v>
      </c>
      <c r="KT91" s="195">
        <f t="shared" si="496"/>
        <v>0</v>
      </c>
      <c r="KU91" s="221"/>
      <c r="KV91" s="221"/>
      <c r="KW91" s="221"/>
      <c r="KX91" s="221"/>
      <c r="KY91" s="221"/>
      <c r="KZ91" s="221"/>
      <c r="LA91" s="221"/>
      <c r="LB91" s="221"/>
      <c r="LC91" s="221"/>
      <c r="LD91" s="221"/>
      <c r="LE91" s="221"/>
      <c r="LF91" s="221"/>
      <c r="LG91" s="221"/>
      <c r="LH91" s="221"/>
      <c r="LI91" s="221"/>
      <c r="LJ91" s="221"/>
      <c r="LK91" s="221"/>
      <c r="LL91" s="221"/>
      <c r="LM91" s="221"/>
      <c r="LN91" s="221"/>
      <c r="LO91" s="221"/>
      <c r="LP91" s="221"/>
      <c r="LQ91" s="221"/>
      <c r="LR91" s="221"/>
      <c r="LS91" s="221"/>
      <c r="LT91" s="221"/>
      <c r="LU91" s="221"/>
      <c r="LV91" s="221"/>
      <c r="LW91" s="221"/>
      <c r="LX91" s="221"/>
      <c r="LY91" s="221"/>
      <c r="LZ91" s="221"/>
      <c r="MA91" s="221"/>
      <c r="MB91" s="221"/>
      <c r="MC91" s="221"/>
      <c r="MD91" s="221"/>
      <c r="ME91" s="221"/>
      <c r="MF91" s="221"/>
      <c r="MG91" s="221"/>
      <c r="MH91" s="221"/>
      <c r="MI91" s="221"/>
      <c r="MJ91" s="221"/>
      <c r="MK91" s="221"/>
      <c r="ML91" s="221"/>
      <c r="MM91" s="221"/>
      <c r="MN91" s="221"/>
      <c r="MO91" s="221"/>
      <c r="MP91" s="221"/>
      <c r="MQ91" s="221"/>
      <c r="MR91" s="221"/>
      <c r="MS91" s="221"/>
      <c r="MT91" s="221"/>
      <c r="MU91" s="221"/>
      <c r="MV91" s="221"/>
      <c r="MW91" s="221"/>
      <c r="MX91" s="221"/>
      <c r="MY91" s="221"/>
      <c r="MZ91" s="221"/>
      <c r="NA91" s="221"/>
      <c r="NB91" s="221"/>
      <c r="NC91" s="221"/>
      <c r="ND91" s="221"/>
      <c r="NE91" s="221"/>
      <c r="NF91" s="221"/>
      <c r="NG91" s="221"/>
      <c r="NH91" s="221"/>
      <c r="NI91" s="221"/>
      <c r="NJ91" s="221"/>
      <c r="NK91" s="221"/>
      <c r="NM91" s="195">
        <f t="shared" si="411"/>
        <v>0</v>
      </c>
      <c r="NN91" s="195">
        <f t="shared" si="412"/>
        <v>0</v>
      </c>
      <c r="NO91" s="195">
        <f t="shared" si="413"/>
        <v>0</v>
      </c>
      <c r="NP91" s="195">
        <f t="shared" si="414"/>
        <v>0</v>
      </c>
      <c r="NQ91" s="195">
        <f t="shared" si="415"/>
        <v>0</v>
      </c>
      <c r="NR91" s="195">
        <f t="shared" si="416"/>
        <v>0</v>
      </c>
      <c r="NS91" s="195">
        <f t="shared" si="417"/>
        <v>0</v>
      </c>
      <c r="NT91" s="195">
        <f t="shared" si="418"/>
        <v>0</v>
      </c>
      <c r="NU91" s="196">
        <f t="shared" si="419"/>
        <v>0</v>
      </c>
      <c r="NY91" s="215">
        <f t="shared" si="420"/>
        <v>1</v>
      </c>
      <c r="NZ91" s="222">
        <v>10780000</v>
      </c>
      <c r="OE91" s="207">
        <f t="shared" si="374"/>
        <v>0</v>
      </c>
      <c r="OF91" s="207">
        <f t="shared" si="375"/>
        <v>0</v>
      </c>
      <c r="OG91" s="207">
        <f t="shared" si="376"/>
        <v>0</v>
      </c>
      <c r="OH91" s="207">
        <f t="shared" si="421"/>
        <v>0</v>
      </c>
      <c r="OI91" s="207">
        <f t="shared" si="377"/>
        <v>0</v>
      </c>
      <c r="OJ91" s="199">
        <f t="shared" si="422"/>
        <v>0</v>
      </c>
      <c r="OK91" s="199">
        <f t="shared" si="423"/>
        <v>0</v>
      </c>
      <c r="OL91" s="199">
        <f t="shared" si="424"/>
        <v>0</v>
      </c>
      <c r="OM91" s="199">
        <f t="shared" si="425"/>
        <v>0</v>
      </c>
      <c r="OO91" s="207">
        <f t="shared" si="378"/>
        <v>0</v>
      </c>
      <c r="OP91" s="207">
        <f t="shared" si="379"/>
        <v>0</v>
      </c>
      <c r="OQ91" s="207">
        <f t="shared" si="426"/>
        <v>0</v>
      </c>
      <c r="OR91" s="207">
        <f t="shared" si="427"/>
        <v>0</v>
      </c>
      <c r="OS91" s="207">
        <f t="shared" si="428"/>
        <v>0</v>
      </c>
      <c r="OT91" s="199">
        <f t="shared" si="429"/>
        <v>0</v>
      </c>
      <c r="OU91" s="199">
        <f t="shared" si="430"/>
        <v>0</v>
      </c>
      <c r="OV91" s="199">
        <f t="shared" si="431"/>
        <v>0</v>
      </c>
      <c r="OW91" s="199">
        <f t="shared" si="432"/>
        <v>0</v>
      </c>
      <c r="OZ91" s="208">
        <f t="shared" si="380"/>
        <v>0</v>
      </c>
      <c r="PA91" s="209"/>
      <c r="PB91" s="209"/>
      <c r="PC91" s="209"/>
      <c r="PD91" s="210">
        <f t="shared" si="433"/>
        <v>0</v>
      </c>
      <c r="PE91" s="210"/>
      <c r="PF91" s="210">
        <f t="shared" si="434"/>
        <v>0</v>
      </c>
      <c r="PG91" s="210">
        <f t="shared" si="435"/>
        <v>0</v>
      </c>
      <c r="PH91" s="210">
        <f t="shared" si="381"/>
        <v>0</v>
      </c>
      <c r="PI91" s="210">
        <f t="shared" si="382"/>
        <v>0</v>
      </c>
      <c r="PJ91" s="210">
        <f t="shared" si="383"/>
        <v>0</v>
      </c>
      <c r="PK91" s="210">
        <f t="shared" si="384"/>
        <v>0</v>
      </c>
      <c r="PL91" s="210">
        <f t="shared" si="385"/>
        <v>0</v>
      </c>
      <c r="PM91" s="211"/>
      <c r="PN91" s="211"/>
      <c r="PO91" s="212">
        <f t="shared" si="436"/>
        <v>0</v>
      </c>
      <c r="PP91" s="212">
        <f t="shared" si="437"/>
        <v>0</v>
      </c>
      <c r="PQ91" s="212">
        <f t="shared" si="438"/>
        <v>0</v>
      </c>
      <c r="PR91" s="211"/>
      <c r="PS91" s="211"/>
      <c r="PT91" s="211"/>
      <c r="PU91" s="211"/>
    </row>
    <row r="92" spans="1:437" s="195" customFormat="1" ht="16" x14ac:dyDescent="0.2">
      <c r="A92" s="213">
        <f t="shared" si="206"/>
        <v>82</v>
      </c>
      <c r="B92" s="186" t="s">
        <v>400</v>
      </c>
      <c r="C92" s="186">
        <v>88</v>
      </c>
      <c r="D92" s="188">
        <v>1</v>
      </c>
      <c r="E92" s="188">
        <v>134</v>
      </c>
      <c r="F92" s="188">
        <v>1</v>
      </c>
      <c r="G92" s="188">
        <f t="shared" si="308"/>
        <v>134</v>
      </c>
      <c r="H92" s="214">
        <f t="shared" si="311"/>
        <v>1</v>
      </c>
      <c r="I92" s="214">
        <f t="shared" si="312"/>
        <v>1</v>
      </c>
      <c r="J92" s="188">
        <v>1</v>
      </c>
      <c r="K92" s="188">
        <f t="shared" si="313"/>
        <v>134</v>
      </c>
      <c r="L92" s="214">
        <f t="shared" si="314"/>
        <v>1</v>
      </c>
      <c r="M92" s="214">
        <f t="shared" si="315"/>
        <v>1</v>
      </c>
      <c r="N92" s="188">
        <v>1</v>
      </c>
      <c r="O92" s="188">
        <f t="shared" si="316"/>
        <v>134</v>
      </c>
      <c r="P92" s="214">
        <f t="shared" si="317"/>
        <v>1</v>
      </c>
      <c r="Q92" s="214">
        <f t="shared" si="318"/>
        <v>1</v>
      </c>
      <c r="R92" s="188">
        <v>1</v>
      </c>
      <c r="S92" s="188">
        <f t="shared" si="319"/>
        <v>134</v>
      </c>
      <c r="T92" s="214">
        <f t="shared" si="320"/>
        <v>1</v>
      </c>
      <c r="U92" s="214">
        <f t="shared" si="321"/>
        <v>1</v>
      </c>
      <c r="V92" s="215">
        <v>1</v>
      </c>
      <c r="W92" s="188">
        <f t="shared" si="322"/>
        <v>134</v>
      </c>
      <c r="X92" s="214">
        <f t="shared" si="323"/>
        <v>1</v>
      </c>
      <c r="Y92" s="214">
        <f t="shared" si="324"/>
        <v>1</v>
      </c>
      <c r="Z92" s="216">
        <f>2299138000/1000000000</f>
        <v>2.2991380000000001</v>
      </c>
      <c r="AA92" s="188">
        <v>0</v>
      </c>
      <c r="AB92" s="188">
        <f t="shared" si="339"/>
        <v>0</v>
      </c>
      <c r="AC92" s="214">
        <f t="shared" si="340"/>
        <v>0</v>
      </c>
      <c r="AD92" s="214">
        <f t="shared" si="341"/>
        <v>0</v>
      </c>
      <c r="AE92" s="188"/>
      <c r="AF92" s="188">
        <f t="shared" si="342"/>
        <v>0</v>
      </c>
      <c r="AG92" s="188"/>
      <c r="AH92" s="188"/>
      <c r="AI92" s="188">
        <v>0</v>
      </c>
      <c r="AJ92" s="188">
        <f t="shared" si="325"/>
        <v>0</v>
      </c>
      <c r="AK92" s="188"/>
      <c r="AL92" s="188">
        <v>0</v>
      </c>
      <c r="AM92" s="188">
        <v>0</v>
      </c>
      <c r="AN92" s="217"/>
      <c r="AO92" s="188"/>
      <c r="AP92" s="188"/>
      <c r="AQ92" s="188"/>
      <c r="AR92" s="188"/>
      <c r="AS92" s="188"/>
      <c r="AT92" s="188"/>
      <c r="AU92" s="188"/>
      <c r="AV92" s="188"/>
      <c r="AW92" s="188"/>
      <c r="AX92" s="188"/>
      <c r="AY92" s="188"/>
      <c r="AZ92" s="188"/>
      <c r="BA92" s="188"/>
      <c r="BB92" s="188">
        <f t="shared" si="343"/>
        <v>0</v>
      </c>
      <c r="BD92" s="196">
        <f t="shared" si="386"/>
        <v>0</v>
      </c>
      <c r="BE92" s="188">
        <f t="shared" si="326"/>
        <v>0</v>
      </c>
      <c r="BF92" s="188">
        <f t="shared" si="327"/>
        <v>0</v>
      </c>
      <c r="BG92" s="188">
        <f t="shared" si="328"/>
        <v>0</v>
      </c>
      <c r="BH92" s="188">
        <f t="shared" si="329"/>
        <v>0</v>
      </c>
      <c r="BI92" s="188">
        <f t="shared" si="330"/>
        <v>0</v>
      </c>
      <c r="BJ92" s="188">
        <f t="shared" si="331"/>
        <v>0</v>
      </c>
      <c r="BK92" s="188">
        <f t="shared" si="332"/>
        <v>0</v>
      </c>
      <c r="BN92" s="277">
        <v>19</v>
      </c>
      <c r="BO92" s="139">
        <v>1</v>
      </c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B92" s="188"/>
      <c r="CD92" s="188">
        <f t="shared" si="344"/>
        <v>19</v>
      </c>
      <c r="CE92" s="188">
        <f t="shared" si="345"/>
        <v>19</v>
      </c>
      <c r="CF92" s="188">
        <f t="shared" si="346"/>
        <v>0</v>
      </c>
      <c r="CG92" s="188">
        <f t="shared" si="347"/>
        <v>0</v>
      </c>
      <c r="CH92" s="188">
        <f t="shared" si="348"/>
        <v>0</v>
      </c>
      <c r="CI92" s="188">
        <f t="shared" si="349"/>
        <v>0</v>
      </c>
      <c r="CJ92" s="188">
        <f t="shared" si="350"/>
        <v>0</v>
      </c>
      <c r="CK92" s="188">
        <f t="shared" si="351"/>
        <v>0</v>
      </c>
      <c r="CL92" s="188">
        <f t="shared" si="352"/>
        <v>0</v>
      </c>
      <c r="CM92" s="188">
        <f t="shared" si="353"/>
        <v>0</v>
      </c>
      <c r="CN92" s="188">
        <f t="shared" si="354"/>
        <v>0</v>
      </c>
      <c r="CO92" s="188">
        <f t="shared" si="355"/>
        <v>0</v>
      </c>
      <c r="CP92" s="188">
        <f t="shared" si="356"/>
        <v>0</v>
      </c>
      <c r="DV92" s="188">
        <f t="shared" si="333"/>
        <v>0</v>
      </c>
      <c r="DW92" s="188">
        <f t="shared" si="334"/>
        <v>0</v>
      </c>
      <c r="DX92" s="188">
        <f t="shared" si="335"/>
        <v>0</v>
      </c>
      <c r="DY92" s="188">
        <f t="shared" si="336"/>
        <v>0</v>
      </c>
      <c r="DZ92" s="188">
        <f t="shared" si="337"/>
        <v>0</v>
      </c>
      <c r="EA92" s="188">
        <f t="shared" si="338"/>
        <v>0</v>
      </c>
      <c r="EB92" s="188">
        <f t="shared" si="357"/>
        <v>0</v>
      </c>
      <c r="EG92" s="220">
        <f t="shared" si="358"/>
        <v>0</v>
      </c>
      <c r="EH92" s="220">
        <f t="shared" si="359"/>
        <v>0</v>
      </c>
      <c r="EI92" s="188"/>
      <c r="EJ92" s="188"/>
      <c r="EK92" s="188"/>
      <c r="EL92" s="188"/>
      <c r="EM92" s="188"/>
      <c r="EN92" s="188"/>
      <c r="EO92" s="188"/>
      <c r="EP92" s="188"/>
      <c r="EQ92" s="188"/>
      <c r="ER92" s="188"/>
      <c r="ES92" s="188"/>
      <c r="ET92" s="188"/>
      <c r="EU92" s="188"/>
      <c r="EV92" s="188"/>
      <c r="EW92" s="188"/>
      <c r="EX92" s="188"/>
      <c r="EY92" s="188"/>
      <c r="EZ92" s="188"/>
      <c r="FA92" s="188"/>
      <c r="FB92" s="188"/>
      <c r="FC92" s="188"/>
      <c r="FD92" s="188"/>
      <c r="FE92" s="188"/>
      <c r="FF92" s="188"/>
      <c r="FH92" s="189"/>
      <c r="FI92" s="189"/>
      <c r="FJ92" s="189"/>
      <c r="FK92" s="189"/>
      <c r="FL92" s="189"/>
      <c r="FM92" s="189"/>
      <c r="FN92" s="189"/>
      <c r="FO92" s="189"/>
      <c r="FP92" s="189"/>
      <c r="FQ92" s="189"/>
      <c r="FR92" s="189"/>
      <c r="FS92" s="189"/>
      <c r="FT92" s="189"/>
      <c r="FU92" s="189"/>
      <c r="FV92" s="189"/>
      <c r="FX92" s="217">
        <v>1</v>
      </c>
      <c r="FY92" s="188">
        <f t="shared" si="360"/>
        <v>19</v>
      </c>
      <c r="FZ92" s="188">
        <f t="shared" si="439"/>
        <v>19</v>
      </c>
      <c r="GA92" s="188">
        <f t="shared" si="440"/>
        <v>0</v>
      </c>
      <c r="GB92" s="188">
        <f t="shared" si="441"/>
        <v>0</v>
      </c>
      <c r="GC92" s="188">
        <f t="shared" si="442"/>
        <v>0</v>
      </c>
      <c r="GD92" s="188">
        <f t="shared" si="443"/>
        <v>0</v>
      </c>
      <c r="GE92" s="188">
        <f t="shared" si="444"/>
        <v>0</v>
      </c>
      <c r="GF92" s="199"/>
      <c r="GG92" s="189">
        <v>0</v>
      </c>
      <c r="GH92" s="189">
        <v>0</v>
      </c>
      <c r="GI92" s="199"/>
      <c r="GJ92" s="224">
        <f t="shared" si="361"/>
        <v>0</v>
      </c>
      <c r="GK92" s="224">
        <f t="shared" si="362"/>
        <v>0</v>
      </c>
      <c r="GO92" s="189">
        <f t="shared" si="445"/>
        <v>0</v>
      </c>
      <c r="GP92" s="189">
        <f t="shared" si="446"/>
        <v>0</v>
      </c>
      <c r="GQ92" s="189">
        <f t="shared" si="447"/>
        <v>0</v>
      </c>
      <c r="GR92" s="189">
        <f t="shared" si="448"/>
        <v>0</v>
      </c>
      <c r="GS92" s="189">
        <f t="shared" si="449"/>
        <v>0</v>
      </c>
      <c r="GT92" s="189">
        <f t="shared" si="387"/>
        <v>1</v>
      </c>
      <c r="GU92" s="201">
        <f t="shared" si="388"/>
        <v>43243</v>
      </c>
      <c r="GV92" s="189" t="str">
        <f t="shared" si="389"/>
        <v>SELESAI</v>
      </c>
      <c r="GW92" s="189">
        <f t="shared" si="390"/>
        <v>0</v>
      </c>
      <c r="GX92" s="202" t="str">
        <f t="shared" si="391"/>
        <v>SELESAI</v>
      </c>
      <c r="GY92" s="202">
        <f t="shared" si="392"/>
        <v>0</v>
      </c>
      <c r="GZ92" s="203" t="str">
        <f t="shared" si="393"/>
        <v>SELESAI</v>
      </c>
      <c r="HA92" s="204"/>
      <c r="HB92" s="204"/>
      <c r="HC92" s="189">
        <f t="shared" si="450"/>
        <v>0</v>
      </c>
      <c r="HD92" s="189">
        <f t="shared" si="451"/>
        <v>0</v>
      </c>
      <c r="HE92" s="189">
        <f t="shared" si="394"/>
        <v>0</v>
      </c>
      <c r="HF92" s="189">
        <f t="shared" si="395"/>
        <v>0</v>
      </c>
      <c r="HG92" s="189">
        <f t="shared" si="396"/>
        <v>0</v>
      </c>
      <c r="HH92" s="201" t="str">
        <f t="shared" si="363"/>
        <v>TIDAK KONSINYASI</v>
      </c>
      <c r="HI92" s="201" t="str">
        <f t="shared" si="397"/>
        <v>SELESAI</v>
      </c>
      <c r="HJ92" s="205"/>
      <c r="HK92" s="201">
        <f t="shared" si="364"/>
        <v>0</v>
      </c>
      <c r="HL92" s="204"/>
      <c r="HM92" s="204"/>
      <c r="HN92" s="204"/>
      <c r="HO92" s="204"/>
      <c r="HP92" s="203">
        <f t="shared" si="398"/>
        <v>0</v>
      </c>
      <c r="HQ92" s="202">
        <f t="shared" si="399"/>
        <v>0</v>
      </c>
      <c r="HR92" s="202">
        <f t="shared" si="452"/>
        <v>0</v>
      </c>
      <c r="HS92" s="203">
        <f t="shared" si="400"/>
        <v>0</v>
      </c>
      <c r="HT92" s="202">
        <f t="shared" si="401"/>
        <v>0</v>
      </c>
      <c r="HU92" s="202">
        <f t="shared" si="453"/>
        <v>0</v>
      </c>
      <c r="HV92" s="203">
        <f t="shared" si="402"/>
        <v>0</v>
      </c>
      <c r="HW92" s="202">
        <f t="shared" si="403"/>
        <v>0</v>
      </c>
      <c r="HX92" s="202">
        <f t="shared" si="454"/>
        <v>0</v>
      </c>
      <c r="HY92" s="203">
        <f t="shared" si="365"/>
        <v>0</v>
      </c>
      <c r="HZ92" s="202">
        <f t="shared" si="404"/>
        <v>0</v>
      </c>
      <c r="IA92" s="202">
        <f t="shared" si="455"/>
        <v>0</v>
      </c>
      <c r="IB92" s="203">
        <f t="shared" si="405"/>
        <v>0</v>
      </c>
      <c r="IC92" s="202">
        <f t="shared" ref="IC92:IC93" si="497">IF(GV92="Hasil Valuasi",GQ92,0)</f>
        <v>0</v>
      </c>
      <c r="ID92" s="202">
        <f t="shared" si="456"/>
        <v>0</v>
      </c>
      <c r="IE92" s="203">
        <f t="shared" si="367"/>
        <v>0</v>
      </c>
      <c r="IF92" s="202">
        <f t="shared" si="368"/>
        <v>0</v>
      </c>
      <c r="IG92" s="202">
        <f t="shared" si="457"/>
        <v>0</v>
      </c>
      <c r="IH92" s="203">
        <f t="shared" si="406"/>
        <v>0</v>
      </c>
      <c r="II92" s="202">
        <f t="shared" si="407"/>
        <v>0</v>
      </c>
      <c r="IJ92" s="202">
        <f t="shared" si="458"/>
        <v>0</v>
      </c>
      <c r="IK92" s="203">
        <f t="shared" si="369"/>
        <v>0</v>
      </c>
      <c r="IL92" s="202">
        <f t="shared" si="370"/>
        <v>0</v>
      </c>
      <c r="IM92" s="202">
        <f t="shared" si="459"/>
        <v>0</v>
      </c>
      <c r="IN92" s="204"/>
      <c r="IO92" s="203">
        <f t="shared" si="371"/>
        <v>0</v>
      </c>
      <c r="IP92" s="202">
        <f t="shared" si="460"/>
        <v>0</v>
      </c>
      <c r="IQ92" s="202">
        <f t="shared" si="461"/>
        <v>0</v>
      </c>
      <c r="IR92" s="204"/>
      <c r="IS92" s="203"/>
      <c r="IT92" s="202">
        <f t="shared" si="462"/>
        <v>1</v>
      </c>
      <c r="IU92" s="202">
        <f t="shared" si="463"/>
        <v>134</v>
      </c>
      <c r="IV92" s="204"/>
      <c r="IW92" s="203"/>
      <c r="IX92" s="202">
        <f t="shared" si="464"/>
        <v>0</v>
      </c>
      <c r="IY92" s="202">
        <f t="shared" si="465"/>
        <v>0</v>
      </c>
      <c r="IZ92" s="204"/>
      <c r="JA92" s="203"/>
      <c r="JB92" s="202">
        <f t="shared" si="466"/>
        <v>0</v>
      </c>
      <c r="JC92" s="202">
        <f t="shared" si="467"/>
        <v>0</v>
      </c>
      <c r="JD92" s="204"/>
      <c r="JE92" s="203"/>
      <c r="JF92" s="202">
        <f t="shared" si="408"/>
        <v>1</v>
      </c>
      <c r="JG92" s="202">
        <f t="shared" si="408"/>
        <v>134</v>
      </c>
      <c r="JH92" s="204"/>
      <c r="JI92" s="203"/>
      <c r="JJ92" s="202">
        <f t="shared" si="468"/>
        <v>0</v>
      </c>
      <c r="JK92" s="202">
        <f t="shared" si="469"/>
        <v>0</v>
      </c>
      <c r="JM92" s="203">
        <f t="shared" si="409"/>
        <v>0</v>
      </c>
      <c r="JO92" s="196">
        <f t="shared" si="372"/>
        <v>1</v>
      </c>
      <c r="JP92" s="189">
        <f t="shared" si="470"/>
        <v>19</v>
      </c>
      <c r="JQ92" s="189">
        <f t="shared" si="471"/>
        <v>1</v>
      </c>
      <c r="JR92" s="189">
        <f t="shared" si="472"/>
        <v>0</v>
      </c>
      <c r="JS92" s="189">
        <f t="shared" si="473"/>
        <v>0</v>
      </c>
      <c r="JT92" s="189">
        <f t="shared" si="474"/>
        <v>0</v>
      </c>
      <c r="JU92" s="189">
        <f t="shared" si="475"/>
        <v>0</v>
      </c>
      <c r="JV92" s="189">
        <f t="shared" si="476"/>
        <v>0</v>
      </c>
      <c r="JW92" s="189">
        <f t="shared" si="477"/>
        <v>0</v>
      </c>
      <c r="JX92" s="189">
        <f t="shared" si="478"/>
        <v>0</v>
      </c>
      <c r="JY92" s="189">
        <f t="shared" si="479"/>
        <v>0</v>
      </c>
      <c r="JZ92" s="189">
        <f t="shared" si="480"/>
        <v>0</v>
      </c>
      <c r="KA92" s="189">
        <f t="shared" si="481"/>
        <v>0</v>
      </c>
      <c r="KB92" s="189">
        <f t="shared" si="482"/>
        <v>0</v>
      </c>
      <c r="KD92" s="206">
        <f t="shared" si="410"/>
        <v>0</v>
      </c>
      <c r="KE92" s="206">
        <f t="shared" si="373"/>
        <v>0</v>
      </c>
      <c r="KF92" s="206">
        <f t="shared" si="483"/>
        <v>19</v>
      </c>
      <c r="KG92" s="206">
        <f t="shared" si="484"/>
        <v>19</v>
      </c>
      <c r="KH92" s="206">
        <f t="shared" si="485"/>
        <v>0</v>
      </c>
      <c r="KI92" s="206">
        <f t="shared" si="486"/>
        <v>0</v>
      </c>
      <c r="KJ92" s="206">
        <f t="shared" si="487"/>
        <v>0</v>
      </c>
      <c r="KK92" s="206">
        <f t="shared" si="488"/>
        <v>0</v>
      </c>
      <c r="KL92" s="206">
        <f t="shared" si="489"/>
        <v>0</v>
      </c>
      <c r="KM92" s="206">
        <f t="shared" si="490"/>
        <v>0</v>
      </c>
      <c r="KN92" s="221">
        <f t="shared" si="491"/>
        <v>0</v>
      </c>
      <c r="KO92" s="221">
        <f t="shared" si="492"/>
        <v>0</v>
      </c>
      <c r="KP92" s="221">
        <f t="shared" si="493"/>
        <v>0</v>
      </c>
      <c r="KQ92" s="221">
        <f t="shared" si="494"/>
        <v>0</v>
      </c>
      <c r="KR92" s="221">
        <f t="shared" si="495"/>
        <v>0</v>
      </c>
      <c r="KT92" s="195">
        <f t="shared" si="496"/>
        <v>0</v>
      </c>
      <c r="KU92" s="221"/>
      <c r="KV92" s="221"/>
      <c r="KW92" s="221"/>
      <c r="KX92" s="221"/>
      <c r="KY92" s="221"/>
      <c r="KZ92" s="221"/>
      <c r="LA92" s="221"/>
      <c r="LB92" s="221"/>
      <c r="LC92" s="221"/>
      <c r="LD92" s="221"/>
      <c r="LE92" s="221"/>
      <c r="LF92" s="221"/>
      <c r="LG92" s="221"/>
      <c r="LH92" s="221"/>
      <c r="LI92" s="221"/>
      <c r="LJ92" s="221"/>
      <c r="LK92" s="221"/>
      <c r="LL92" s="221"/>
      <c r="LM92" s="221"/>
      <c r="LN92" s="221"/>
      <c r="LO92" s="221"/>
      <c r="LP92" s="221"/>
      <c r="LQ92" s="221"/>
      <c r="LR92" s="221"/>
      <c r="LS92" s="221"/>
      <c r="LT92" s="221"/>
      <c r="LU92" s="221"/>
      <c r="LV92" s="221"/>
      <c r="LW92" s="221"/>
      <c r="LX92" s="221"/>
      <c r="LY92" s="221"/>
      <c r="LZ92" s="221"/>
      <c r="MA92" s="221"/>
      <c r="MB92" s="221"/>
      <c r="MC92" s="221"/>
      <c r="MD92" s="221"/>
      <c r="ME92" s="221"/>
      <c r="MF92" s="221"/>
      <c r="MG92" s="221"/>
      <c r="MH92" s="221"/>
      <c r="MI92" s="221"/>
      <c r="MJ92" s="221"/>
      <c r="MK92" s="221"/>
      <c r="ML92" s="221"/>
      <c r="MM92" s="221"/>
      <c r="MN92" s="221"/>
      <c r="MO92" s="221"/>
      <c r="MP92" s="221"/>
      <c r="MQ92" s="221"/>
      <c r="MR92" s="221"/>
      <c r="MS92" s="221"/>
      <c r="MT92" s="221"/>
      <c r="MU92" s="221"/>
      <c r="MV92" s="221"/>
      <c r="MW92" s="221"/>
      <c r="MX92" s="221"/>
      <c r="MY92" s="221"/>
      <c r="MZ92" s="221"/>
      <c r="NA92" s="221"/>
      <c r="NB92" s="221"/>
      <c r="NC92" s="221"/>
      <c r="ND92" s="221"/>
      <c r="NE92" s="221"/>
      <c r="NF92" s="221"/>
      <c r="NG92" s="221"/>
      <c r="NH92" s="221"/>
      <c r="NI92" s="221"/>
      <c r="NJ92" s="221"/>
      <c r="NK92" s="221"/>
      <c r="NM92" s="195">
        <f t="shared" si="411"/>
        <v>0</v>
      </c>
      <c r="NN92" s="195">
        <f t="shared" si="412"/>
        <v>0</v>
      </c>
      <c r="NO92" s="195">
        <f t="shared" si="413"/>
        <v>0</v>
      </c>
      <c r="NP92" s="195">
        <f t="shared" si="414"/>
        <v>0</v>
      </c>
      <c r="NQ92" s="195">
        <f t="shared" si="415"/>
        <v>0</v>
      </c>
      <c r="NR92" s="195">
        <f t="shared" si="416"/>
        <v>0</v>
      </c>
      <c r="NS92" s="195">
        <f t="shared" si="417"/>
        <v>0</v>
      </c>
      <c r="NT92" s="195">
        <f t="shared" si="418"/>
        <v>0</v>
      </c>
      <c r="NU92" s="196">
        <f t="shared" si="419"/>
        <v>0</v>
      </c>
      <c r="NY92" s="215">
        <f t="shared" si="420"/>
        <v>1</v>
      </c>
      <c r="NZ92" s="222">
        <v>10780000</v>
      </c>
      <c r="OE92" s="207">
        <f t="shared" si="374"/>
        <v>0</v>
      </c>
      <c r="OF92" s="207">
        <f t="shared" si="375"/>
        <v>0</v>
      </c>
      <c r="OG92" s="207">
        <f t="shared" si="376"/>
        <v>0</v>
      </c>
      <c r="OH92" s="207">
        <f t="shared" si="421"/>
        <v>0</v>
      </c>
      <c r="OI92" s="207">
        <f t="shared" si="377"/>
        <v>0</v>
      </c>
      <c r="OJ92" s="199">
        <f t="shared" si="422"/>
        <v>0</v>
      </c>
      <c r="OK92" s="199">
        <f t="shared" si="423"/>
        <v>0</v>
      </c>
      <c r="OL92" s="199">
        <f t="shared" si="424"/>
        <v>0</v>
      </c>
      <c r="OM92" s="199">
        <f t="shared" si="425"/>
        <v>0</v>
      </c>
      <c r="OO92" s="207">
        <f t="shared" si="378"/>
        <v>0</v>
      </c>
      <c r="OP92" s="207">
        <f t="shared" si="379"/>
        <v>0</v>
      </c>
      <c r="OQ92" s="207">
        <f t="shared" si="426"/>
        <v>0</v>
      </c>
      <c r="OR92" s="207">
        <f t="shared" si="427"/>
        <v>0</v>
      </c>
      <c r="OS92" s="207">
        <f t="shared" si="428"/>
        <v>0</v>
      </c>
      <c r="OT92" s="199">
        <f t="shared" si="429"/>
        <v>0</v>
      </c>
      <c r="OU92" s="199">
        <f t="shared" si="430"/>
        <v>0</v>
      </c>
      <c r="OV92" s="199">
        <f t="shared" si="431"/>
        <v>0</v>
      </c>
      <c r="OW92" s="199">
        <f t="shared" si="432"/>
        <v>0</v>
      </c>
      <c r="OZ92" s="208">
        <f t="shared" si="380"/>
        <v>0</v>
      </c>
      <c r="PA92" s="209"/>
      <c r="PB92" s="209"/>
      <c r="PC92" s="209"/>
      <c r="PD92" s="210">
        <f t="shared" si="433"/>
        <v>0</v>
      </c>
      <c r="PE92" s="210"/>
      <c r="PF92" s="210">
        <f t="shared" si="434"/>
        <v>0</v>
      </c>
      <c r="PG92" s="210">
        <f t="shared" si="435"/>
        <v>0</v>
      </c>
      <c r="PH92" s="210">
        <f t="shared" si="381"/>
        <v>0</v>
      </c>
      <c r="PI92" s="210">
        <f t="shared" si="382"/>
        <v>0</v>
      </c>
      <c r="PJ92" s="210">
        <f t="shared" si="383"/>
        <v>0</v>
      </c>
      <c r="PK92" s="210">
        <f t="shared" si="384"/>
        <v>0</v>
      </c>
      <c r="PL92" s="210">
        <f t="shared" si="385"/>
        <v>0</v>
      </c>
      <c r="PM92" s="211"/>
      <c r="PN92" s="211"/>
      <c r="PO92" s="212">
        <f t="shared" si="436"/>
        <v>0</v>
      </c>
      <c r="PP92" s="212">
        <f t="shared" si="437"/>
        <v>0</v>
      </c>
      <c r="PQ92" s="212">
        <f t="shared" si="438"/>
        <v>0</v>
      </c>
      <c r="PR92" s="211"/>
      <c r="PS92" s="211"/>
      <c r="PT92" s="211"/>
      <c r="PU92" s="211"/>
    </row>
    <row r="93" spans="1:437" s="195" customFormat="1" ht="16" x14ac:dyDescent="0.2">
      <c r="A93" s="213">
        <f t="shared" si="206"/>
        <v>83</v>
      </c>
      <c r="B93" s="186" t="s">
        <v>411</v>
      </c>
      <c r="C93" s="186">
        <v>89</v>
      </c>
      <c r="D93" s="188">
        <v>1</v>
      </c>
      <c r="E93" s="188">
        <v>103</v>
      </c>
      <c r="F93" s="188">
        <v>1</v>
      </c>
      <c r="G93" s="188">
        <f t="shared" si="308"/>
        <v>103</v>
      </c>
      <c r="H93" s="214">
        <f t="shared" si="311"/>
        <v>1</v>
      </c>
      <c r="I93" s="214">
        <f t="shared" si="312"/>
        <v>1</v>
      </c>
      <c r="J93" s="188">
        <v>1</v>
      </c>
      <c r="K93" s="188">
        <f t="shared" si="313"/>
        <v>103</v>
      </c>
      <c r="L93" s="214">
        <f t="shared" si="314"/>
        <v>1</v>
      </c>
      <c r="M93" s="214">
        <f t="shared" si="315"/>
        <v>1</v>
      </c>
      <c r="N93" s="188">
        <v>1</v>
      </c>
      <c r="O93" s="188">
        <f t="shared" si="316"/>
        <v>103</v>
      </c>
      <c r="P93" s="214">
        <f t="shared" si="317"/>
        <v>1</v>
      </c>
      <c r="Q93" s="214">
        <f t="shared" si="318"/>
        <v>1</v>
      </c>
      <c r="R93" s="188">
        <v>1</v>
      </c>
      <c r="S93" s="188">
        <f t="shared" si="319"/>
        <v>103</v>
      </c>
      <c r="T93" s="214">
        <f t="shared" si="320"/>
        <v>1</v>
      </c>
      <c r="U93" s="214">
        <f t="shared" si="321"/>
        <v>1</v>
      </c>
      <c r="V93" s="215">
        <v>1</v>
      </c>
      <c r="W93" s="188">
        <f t="shared" si="322"/>
        <v>103</v>
      </c>
      <c r="X93" s="214">
        <f t="shared" si="323"/>
        <v>1</v>
      </c>
      <c r="Y93" s="214">
        <f t="shared" si="324"/>
        <v>1</v>
      </c>
      <c r="Z93" s="216">
        <f>1526090000/1000000000</f>
        <v>1.5260899999999999</v>
      </c>
      <c r="AA93" s="188">
        <v>0</v>
      </c>
      <c r="AB93" s="188">
        <f t="shared" si="339"/>
        <v>0</v>
      </c>
      <c r="AC93" s="214">
        <f t="shared" si="340"/>
        <v>0</v>
      </c>
      <c r="AD93" s="214">
        <f t="shared" si="341"/>
        <v>0</v>
      </c>
      <c r="AE93" s="188"/>
      <c r="AF93" s="188">
        <f t="shared" si="342"/>
        <v>0</v>
      </c>
      <c r="AG93" s="188"/>
      <c r="AH93" s="188"/>
      <c r="AI93" s="188">
        <v>0</v>
      </c>
      <c r="AJ93" s="188">
        <f t="shared" si="325"/>
        <v>0</v>
      </c>
      <c r="AK93" s="188"/>
      <c r="AL93" s="188">
        <v>0</v>
      </c>
      <c r="AM93" s="188">
        <v>0</v>
      </c>
      <c r="AN93" s="217"/>
      <c r="AO93" s="188"/>
      <c r="AP93" s="188"/>
      <c r="AQ93" s="188"/>
      <c r="AR93" s="188"/>
      <c r="AS93" s="188"/>
      <c r="AT93" s="188"/>
      <c r="AU93" s="188"/>
      <c r="AV93" s="188"/>
      <c r="AW93" s="188"/>
      <c r="AX93" s="188"/>
      <c r="AY93" s="188"/>
      <c r="AZ93" s="188"/>
      <c r="BA93" s="188"/>
      <c r="BB93" s="188">
        <f t="shared" si="343"/>
        <v>0</v>
      </c>
      <c r="BD93" s="196">
        <f t="shared" si="386"/>
        <v>0</v>
      </c>
      <c r="BE93" s="188">
        <f t="shared" si="326"/>
        <v>0</v>
      </c>
      <c r="BF93" s="188">
        <f t="shared" si="327"/>
        <v>0</v>
      </c>
      <c r="BG93" s="188">
        <f t="shared" si="328"/>
        <v>0</v>
      </c>
      <c r="BH93" s="188">
        <f t="shared" si="329"/>
        <v>0</v>
      </c>
      <c r="BI93" s="188">
        <f t="shared" si="330"/>
        <v>0</v>
      </c>
      <c r="BJ93" s="188">
        <f t="shared" si="331"/>
        <v>0</v>
      </c>
      <c r="BK93" s="188">
        <f t="shared" si="332"/>
        <v>0</v>
      </c>
      <c r="BN93" s="277">
        <v>69</v>
      </c>
      <c r="BO93" s="139">
        <v>1</v>
      </c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B93" s="188"/>
      <c r="CD93" s="188">
        <f t="shared" si="344"/>
        <v>69</v>
      </c>
      <c r="CE93" s="188">
        <f t="shared" si="345"/>
        <v>69</v>
      </c>
      <c r="CF93" s="188">
        <f t="shared" si="346"/>
        <v>0</v>
      </c>
      <c r="CG93" s="188">
        <f t="shared" si="347"/>
        <v>0</v>
      </c>
      <c r="CH93" s="188">
        <f t="shared" si="348"/>
        <v>0</v>
      </c>
      <c r="CI93" s="188">
        <f t="shared" si="349"/>
        <v>0</v>
      </c>
      <c r="CJ93" s="188">
        <f t="shared" si="350"/>
        <v>0</v>
      </c>
      <c r="CK93" s="188">
        <f t="shared" si="351"/>
        <v>0</v>
      </c>
      <c r="CL93" s="188">
        <f t="shared" si="352"/>
        <v>0</v>
      </c>
      <c r="CM93" s="188">
        <f t="shared" si="353"/>
        <v>0</v>
      </c>
      <c r="CN93" s="188">
        <f t="shared" si="354"/>
        <v>0</v>
      </c>
      <c r="CO93" s="188">
        <f t="shared" si="355"/>
        <v>0</v>
      </c>
      <c r="CP93" s="188">
        <f t="shared" si="356"/>
        <v>0</v>
      </c>
      <c r="DV93" s="188">
        <f t="shared" si="333"/>
        <v>0</v>
      </c>
      <c r="DW93" s="188">
        <f t="shared" si="334"/>
        <v>0</v>
      </c>
      <c r="DX93" s="188">
        <f t="shared" si="335"/>
        <v>0</v>
      </c>
      <c r="DY93" s="188">
        <f t="shared" si="336"/>
        <v>0</v>
      </c>
      <c r="DZ93" s="188">
        <f t="shared" si="337"/>
        <v>0</v>
      </c>
      <c r="EA93" s="188">
        <f t="shared" si="338"/>
        <v>0</v>
      </c>
      <c r="EB93" s="188">
        <f t="shared" si="357"/>
        <v>0</v>
      </c>
      <c r="EG93" s="220">
        <f t="shared" si="358"/>
        <v>0</v>
      </c>
      <c r="EH93" s="220">
        <f t="shared" si="359"/>
        <v>0</v>
      </c>
      <c r="EI93" s="188"/>
      <c r="EJ93" s="188"/>
      <c r="EK93" s="188"/>
      <c r="EL93" s="188"/>
      <c r="EM93" s="188"/>
      <c r="EN93" s="188"/>
      <c r="EO93" s="188"/>
      <c r="EP93" s="188"/>
      <c r="EQ93" s="188"/>
      <c r="ER93" s="188"/>
      <c r="ES93" s="188"/>
      <c r="ET93" s="188"/>
      <c r="EU93" s="188"/>
      <c r="EV93" s="188"/>
      <c r="EW93" s="188"/>
      <c r="EX93" s="188"/>
      <c r="EY93" s="188"/>
      <c r="EZ93" s="188"/>
      <c r="FA93" s="188"/>
      <c r="FB93" s="188"/>
      <c r="FC93" s="188"/>
      <c r="FD93" s="188"/>
      <c r="FE93" s="188"/>
      <c r="FF93" s="188"/>
      <c r="FH93" s="189"/>
      <c r="FI93" s="189"/>
      <c r="FJ93" s="189"/>
      <c r="FK93" s="189"/>
      <c r="FL93" s="189"/>
      <c r="FM93" s="189"/>
      <c r="FN93" s="189"/>
      <c r="FO93" s="189"/>
      <c r="FP93" s="189"/>
      <c r="FQ93" s="189"/>
      <c r="FR93" s="189"/>
      <c r="FS93" s="189"/>
      <c r="FT93" s="189"/>
      <c r="FU93" s="189"/>
      <c r="FV93" s="189"/>
      <c r="FX93" s="217">
        <v>1</v>
      </c>
      <c r="FY93" s="188">
        <f t="shared" si="360"/>
        <v>69</v>
      </c>
      <c r="FZ93" s="188">
        <f t="shared" si="439"/>
        <v>69</v>
      </c>
      <c r="GA93" s="188">
        <f t="shared" si="440"/>
        <v>0</v>
      </c>
      <c r="GB93" s="188">
        <f t="shared" si="441"/>
        <v>0</v>
      </c>
      <c r="GC93" s="188">
        <f t="shared" si="442"/>
        <v>0</v>
      </c>
      <c r="GD93" s="188">
        <f t="shared" si="443"/>
        <v>0</v>
      </c>
      <c r="GE93" s="188">
        <f t="shared" si="444"/>
        <v>0</v>
      </c>
      <c r="GF93" s="199"/>
      <c r="GG93" s="189">
        <v>0</v>
      </c>
      <c r="GH93" s="189">
        <v>0</v>
      </c>
      <c r="GI93" s="199"/>
      <c r="GJ93" s="224">
        <f t="shared" si="361"/>
        <v>0</v>
      </c>
      <c r="GK93" s="224">
        <f t="shared" si="362"/>
        <v>0</v>
      </c>
      <c r="GO93" s="189">
        <f t="shared" si="445"/>
        <v>0</v>
      </c>
      <c r="GP93" s="189">
        <f t="shared" si="446"/>
        <v>0</v>
      </c>
      <c r="GQ93" s="189">
        <f t="shared" si="447"/>
        <v>0</v>
      </c>
      <c r="GR93" s="189">
        <f t="shared" si="448"/>
        <v>0</v>
      </c>
      <c r="GS93" s="189">
        <f t="shared" si="449"/>
        <v>0</v>
      </c>
      <c r="GT93" s="189">
        <f t="shared" si="387"/>
        <v>1</v>
      </c>
      <c r="GU93" s="201">
        <f t="shared" si="388"/>
        <v>43243</v>
      </c>
      <c r="GV93" s="189" t="str">
        <f t="shared" si="389"/>
        <v>SELESAI</v>
      </c>
      <c r="GW93" s="189">
        <f t="shared" si="390"/>
        <v>0</v>
      </c>
      <c r="GX93" s="202" t="str">
        <f t="shared" si="391"/>
        <v>SELESAI</v>
      </c>
      <c r="GY93" s="202">
        <f t="shared" si="392"/>
        <v>0</v>
      </c>
      <c r="GZ93" s="203" t="str">
        <f t="shared" si="393"/>
        <v>SELESAI</v>
      </c>
      <c r="HA93" s="204"/>
      <c r="HB93" s="204"/>
      <c r="HC93" s="189">
        <f t="shared" si="450"/>
        <v>0</v>
      </c>
      <c r="HD93" s="189">
        <f t="shared" si="451"/>
        <v>0</v>
      </c>
      <c r="HE93" s="189">
        <f t="shared" si="394"/>
        <v>0</v>
      </c>
      <c r="HF93" s="189">
        <f t="shared" si="395"/>
        <v>0</v>
      </c>
      <c r="HG93" s="189">
        <f t="shared" si="396"/>
        <v>0</v>
      </c>
      <c r="HH93" s="201" t="str">
        <f>IF(HG93=1,GU93+$HH$8,"TIDAK KONSINYASI")</f>
        <v>TIDAK KONSINYASI</v>
      </c>
      <c r="HI93" s="201" t="str">
        <f t="shared" si="397"/>
        <v>SELESAI</v>
      </c>
      <c r="HJ93" s="205"/>
      <c r="HK93" s="201">
        <f t="shared" si="364"/>
        <v>0</v>
      </c>
      <c r="HL93" s="204"/>
      <c r="HM93" s="204"/>
      <c r="HN93" s="204"/>
      <c r="HO93" s="204"/>
      <c r="HP93" s="203">
        <f t="shared" si="398"/>
        <v>0</v>
      </c>
      <c r="HQ93" s="202">
        <f t="shared" si="399"/>
        <v>0</v>
      </c>
      <c r="HR93" s="202">
        <f t="shared" si="452"/>
        <v>0</v>
      </c>
      <c r="HS93" s="203">
        <f t="shared" si="400"/>
        <v>0</v>
      </c>
      <c r="HT93" s="202">
        <f t="shared" si="401"/>
        <v>0</v>
      </c>
      <c r="HU93" s="202">
        <f t="shared" si="453"/>
        <v>0</v>
      </c>
      <c r="HV93" s="203">
        <f t="shared" si="402"/>
        <v>0</v>
      </c>
      <c r="HW93" s="202">
        <f t="shared" si="403"/>
        <v>0</v>
      </c>
      <c r="HX93" s="202">
        <f t="shared" si="454"/>
        <v>0</v>
      </c>
      <c r="HY93" s="203">
        <f t="shared" si="365"/>
        <v>0</v>
      </c>
      <c r="HZ93" s="202">
        <f t="shared" si="404"/>
        <v>0</v>
      </c>
      <c r="IA93" s="202">
        <f t="shared" si="455"/>
        <v>0</v>
      </c>
      <c r="IB93" s="203">
        <f t="shared" si="405"/>
        <v>0</v>
      </c>
      <c r="IC93" s="202">
        <f t="shared" si="497"/>
        <v>0</v>
      </c>
      <c r="ID93" s="202">
        <f t="shared" si="456"/>
        <v>0</v>
      </c>
      <c r="IE93" s="203">
        <f>IF(IF93=1,IB93+$HI$8,0)</f>
        <v>0</v>
      </c>
      <c r="IF93" s="202">
        <f t="shared" si="368"/>
        <v>0</v>
      </c>
      <c r="IG93" s="202">
        <f t="shared" si="457"/>
        <v>0</v>
      </c>
      <c r="IH93" s="203">
        <f t="shared" si="406"/>
        <v>0</v>
      </c>
      <c r="II93" s="202">
        <f t="shared" si="407"/>
        <v>0</v>
      </c>
      <c r="IJ93" s="202">
        <f t="shared" si="458"/>
        <v>0</v>
      </c>
      <c r="IK93" s="203">
        <f t="shared" si="369"/>
        <v>0</v>
      </c>
      <c r="IL93" s="202">
        <f t="shared" si="370"/>
        <v>0</v>
      </c>
      <c r="IM93" s="202">
        <f t="shared" si="459"/>
        <v>0</v>
      </c>
      <c r="IN93" s="204"/>
      <c r="IO93" s="203">
        <f>IF(IP93=1,+$GU$3+$HH$8,0)</f>
        <v>0</v>
      </c>
      <c r="IP93" s="202">
        <f t="shared" si="460"/>
        <v>0</v>
      </c>
      <c r="IQ93" s="202">
        <f t="shared" si="461"/>
        <v>0</v>
      </c>
      <c r="IR93" s="204"/>
      <c r="IS93" s="203"/>
      <c r="IT93" s="202">
        <f t="shared" si="462"/>
        <v>1</v>
      </c>
      <c r="IU93" s="202">
        <f t="shared" si="463"/>
        <v>103</v>
      </c>
      <c r="IV93" s="204"/>
      <c r="IW93" s="203"/>
      <c r="IX93" s="202">
        <f t="shared" si="464"/>
        <v>0</v>
      </c>
      <c r="IY93" s="202">
        <f t="shared" si="465"/>
        <v>0</v>
      </c>
      <c r="IZ93" s="204"/>
      <c r="JA93" s="203"/>
      <c r="JB93" s="202">
        <f t="shared" si="466"/>
        <v>0</v>
      </c>
      <c r="JC93" s="202">
        <f t="shared" si="467"/>
        <v>0</v>
      </c>
      <c r="JD93" s="204"/>
      <c r="JE93" s="203"/>
      <c r="JF93" s="202">
        <f t="shared" si="408"/>
        <v>1</v>
      </c>
      <c r="JG93" s="202">
        <f t="shared" si="408"/>
        <v>103</v>
      </c>
      <c r="JH93" s="204"/>
      <c r="JI93" s="203"/>
      <c r="JJ93" s="202">
        <f t="shared" si="468"/>
        <v>0</v>
      </c>
      <c r="JK93" s="202">
        <f t="shared" si="469"/>
        <v>0</v>
      </c>
      <c r="JM93" s="203">
        <f t="shared" si="409"/>
        <v>0</v>
      </c>
      <c r="JO93" s="196">
        <f t="shared" si="372"/>
        <v>1</v>
      </c>
      <c r="JP93" s="189">
        <f t="shared" si="470"/>
        <v>69</v>
      </c>
      <c r="JQ93" s="189">
        <f t="shared" si="471"/>
        <v>1</v>
      </c>
      <c r="JR93" s="189">
        <f t="shared" si="472"/>
        <v>0</v>
      </c>
      <c r="JS93" s="189">
        <f t="shared" si="473"/>
        <v>0</v>
      </c>
      <c r="JT93" s="189">
        <f t="shared" si="474"/>
        <v>0</v>
      </c>
      <c r="JU93" s="189">
        <f t="shared" si="475"/>
        <v>0</v>
      </c>
      <c r="JV93" s="189">
        <f t="shared" si="476"/>
        <v>0</v>
      </c>
      <c r="JW93" s="189">
        <f t="shared" si="477"/>
        <v>0</v>
      </c>
      <c r="JX93" s="189">
        <f t="shared" si="478"/>
        <v>0</v>
      </c>
      <c r="JY93" s="189">
        <f t="shared" si="479"/>
        <v>0</v>
      </c>
      <c r="JZ93" s="189">
        <f t="shared" si="480"/>
        <v>0</v>
      </c>
      <c r="KA93" s="189">
        <f t="shared" si="481"/>
        <v>0</v>
      </c>
      <c r="KB93" s="189">
        <f t="shared" si="482"/>
        <v>0</v>
      </c>
      <c r="KD93" s="206">
        <f t="shared" si="410"/>
        <v>0</v>
      </c>
      <c r="KE93" s="206">
        <f t="shared" si="373"/>
        <v>0</v>
      </c>
      <c r="KF93" s="206">
        <f t="shared" si="483"/>
        <v>69</v>
      </c>
      <c r="KG93" s="206">
        <f t="shared" si="484"/>
        <v>69</v>
      </c>
      <c r="KH93" s="206">
        <f t="shared" si="485"/>
        <v>0</v>
      </c>
      <c r="KI93" s="206">
        <f t="shared" si="486"/>
        <v>0</v>
      </c>
      <c r="KJ93" s="206">
        <f t="shared" si="487"/>
        <v>0</v>
      </c>
      <c r="KK93" s="206">
        <f t="shared" si="488"/>
        <v>0</v>
      </c>
      <c r="KL93" s="206">
        <f t="shared" si="489"/>
        <v>0</v>
      </c>
      <c r="KM93" s="206">
        <f t="shared" si="490"/>
        <v>0</v>
      </c>
      <c r="KN93" s="221">
        <f t="shared" si="491"/>
        <v>0</v>
      </c>
      <c r="KO93" s="221">
        <f t="shared" si="492"/>
        <v>0</v>
      </c>
      <c r="KP93" s="221">
        <f t="shared" si="493"/>
        <v>0</v>
      </c>
      <c r="KQ93" s="221">
        <f t="shared" si="494"/>
        <v>0</v>
      </c>
      <c r="KR93" s="221">
        <f t="shared" si="495"/>
        <v>0</v>
      </c>
      <c r="KT93" s="195">
        <f t="shared" si="496"/>
        <v>0</v>
      </c>
      <c r="KU93" s="221"/>
      <c r="KV93" s="221"/>
      <c r="KW93" s="221"/>
      <c r="KX93" s="221"/>
      <c r="KY93" s="221"/>
      <c r="KZ93" s="221"/>
      <c r="LA93" s="221"/>
      <c r="LB93" s="221"/>
      <c r="LC93" s="221"/>
      <c r="LD93" s="221"/>
      <c r="LE93" s="221"/>
      <c r="LF93" s="221"/>
      <c r="LG93" s="221"/>
      <c r="LH93" s="221"/>
      <c r="LI93" s="221"/>
      <c r="LJ93" s="221"/>
      <c r="LK93" s="221"/>
      <c r="LL93" s="221"/>
      <c r="LM93" s="221"/>
      <c r="LN93" s="221"/>
      <c r="LO93" s="221"/>
      <c r="LP93" s="221"/>
      <c r="LQ93" s="221"/>
      <c r="LR93" s="221"/>
      <c r="LS93" s="221"/>
      <c r="LT93" s="221"/>
      <c r="LU93" s="221"/>
      <c r="LV93" s="221"/>
      <c r="LW93" s="221"/>
      <c r="LX93" s="221"/>
      <c r="LY93" s="221"/>
      <c r="LZ93" s="221"/>
      <c r="MA93" s="221"/>
      <c r="MB93" s="221"/>
      <c r="MC93" s="221"/>
      <c r="MD93" s="221"/>
      <c r="ME93" s="221"/>
      <c r="MF93" s="221"/>
      <c r="MG93" s="221"/>
      <c r="MH93" s="221"/>
      <c r="MI93" s="221"/>
      <c r="MJ93" s="221"/>
      <c r="MK93" s="221"/>
      <c r="ML93" s="221"/>
      <c r="MM93" s="221"/>
      <c r="MN93" s="221"/>
      <c r="MO93" s="221"/>
      <c r="MP93" s="221"/>
      <c r="MQ93" s="221"/>
      <c r="MR93" s="221"/>
      <c r="MS93" s="221"/>
      <c r="MT93" s="221"/>
      <c r="MU93" s="221"/>
      <c r="MV93" s="221"/>
      <c r="MW93" s="221"/>
      <c r="MX93" s="221"/>
      <c r="MY93" s="221"/>
      <c r="MZ93" s="221"/>
      <c r="NA93" s="221"/>
      <c r="NB93" s="221"/>
      <c r="NC93" s="221"/>
      <c r="ND93" s="221"/>
      <c r="NE93" s="221"/>
      <c r="NF93" s="221"/>
      <c r="NG93" s="221"/>
      <c r="NH93" s="221"/>
      <c r="NI93" s="221"/>
      <c r="NJ93" s="221"/>
      <c r="NK93" s="221"/>
      <c r="NM93" s="195">
        <f t="shared" si="411"/>
        <v>0</v>
      </c>
      <c r="NN93" s="195">
        <f t="shared" si="412"/>
        <v>0</v>
      </c>
      <c r="NO93" s="195">
        <f t="shared" si="413"/>
        <v>0</v>
      </c>
      <c r="NP93" s="195">
        <f t="shared" si="414"/>
        <v>0</v>
      </c>
      <c r="NQ93" s="195">
        <f t="shared" si="415"/>
        <v>0</v>
      </c>
      <c r="NR93" s="195">
        <f t="shared" si="416"/>
        <v>0</v>
      </c>
      <c r="NS93" s="195">
        <f t="shared" si="417"/>
        <v>0</v>
      </c>
      <c r="NT93" s="195">
        <f t="shared" si="418"/>
        <v>0</v>
      </c>
      <c r="NU93" s="196">
        <f t="shared" si="419"/>
        <v>0</v>
      </c>
      <c r="NY93" s="215">
        <f t="shared" si="420"/>
        <v>1</v>
      </c>
      <c r="NZ93" s="222">
        <f>366520000/34</f>
        <v>10780000</v>
      </c>
      <c r="OE93" s="207">
        <f t="shared" si="374"/>
        <v>0</v>
      </c>
      <c r="OF93" s="207">
        <f t="shared" si="375"/>
        <v>0</v>
      </c>
      <c r="OG93" s="207">
        <f t="shared" si="376"/>
        <v>0</v>
      </c>
      <c r="OH93" s="207">
        <f t="shared" si="421"/>
        <v>0</v>
      </c>
      <c r="OI93" s="207">
        <f t="shared" si="377"/>
        <v>0</v>
      </c>
      <c r="OJ93" s="199">
        <f t="shared" si="422"/>
        <v>0</v>
      </c>
      <c r="OK93" s="199">
        <f t="shared" si="423"/>
        <v>0</v>
      </c>
      <c r="OL93" s="199">
        <f t="shared" si="424"/>
        <v>0</v>
      </c>
      <c r="OM93" s="199">
        <f t="shared" si="425"/>
        <v>0</v>
      </c>
      <c r="OO93" s="207">
        <f t="shared" si="378"/>
        <v>0</v>
      </c>
      <c r="OP93" s="207">
        <f t="shared" si="379"/>
        <v>0</v>
      </c>
      <c r="OQ93" s="207">
        <f t="shared" si="426"/>
        <v>0</v>
      </c>
      <c r="OR93" s="207">
        <f t="shared" si="427"/>
        <v>0</v>
      </c>
      <c r="OS93" s="207">
        <f t="shared" si="428"/>
        <v>0</v>
      </c>
      <c r="OT93" s="199">
        <f t="shared" si="429"/>
        <v>0</v>
      </c>
      <c r="OU93" s="199">
        <f t="shared" si="430"/>
        <v>0</v>
      </c>
      <c r="OV93" s="199">
        <f t="shared" si="431"/>
        <v>0</v>
      </c>
      <c r="OW93" s="199">
        <f t="shared" si="432"/>
        <v>0</v>
      </c>
      <c r="OZ93" s="208">
        <f t="shared" si="380"/>
        <v>0</v>
      </c>
      <c r="PA93" s="209"/>
      <c r="PB93" s="209"/>
      <c r="PC93" s="209"/>
      <c r="PD93" s="210">
        <f t="shared" si="433"/>
        <v>0</v>
      </c>
      <c r="PE93" s="210"/>
      <c r="PF93" s="210">
        <f t="shared" si="434"/>
        <v>0</v>
      </c>
      <c r="PG93" s="210">
        <f t="shared" si="435"/>
        <v>0</v>
      </c>
      <c r="PH93" s="210">
        <f t="shared" si="381"/>
        <v>0</v>
      </c>
      <c r="PI93" s="210">
        <f t="shared" si="382"/>
        <v>0</v>
      </c>
      <c r="PJ93" s="210">
        <f t="shared" si="383"/>
        <v>0</v>
      </c>
      <c r="PK93" s="210">
        <f t="shared" si="384"/>
        <v>0</v>
      </c>
      <c r="PL93" s="210">
        <f t="shared" si="385"/>
        <v>0</v>
      </c>
      <c r="PM93" s="211"/>
      <c r="PN93" s="211"/>
      <c r="PO93" s="212">
        <f t="shared" si="436"/>
        <v>0</v>
      </c>
      <c r="PP93" s="212">
        <f t="shared" si="437"/>
        <v>0</v>
      </c>
      <c r="PQ93" s="212">
        <f t="shared" si="438"/>
        <v>0</v>
      </c>
      <c r="PR93" s="211"/>
      <c r="PS93" s="211"/>
      <c r="PT93" s="211"/>
      <c r="PU93" s="211"/>
    </row>
    <row r="94" spans="1:437" s="195" customFormat="1" ht="16" x14ac:dyDescent="0.2">
      <c r="A94" s="213">
        <f t="shared" si="206"/>
        <v>84</v>
      </c>
      <c r="B94" s="186" t="s">
        <v>42</v>
      </c>
      <c r="C94" s="186">
        <v>90</v>
      </c>
      <c r="D94" s="188">
        <v>1</v>
      </c>
      <c r="E94" s="188">
        <v>34</v>
      </c>
      <c r="F94" s="188">
        <v>1</v>
      </c>
      <c r="G94" s="188">
        <f t="shared" si="308"/>
        <v>34</v>
      </c>
      <c r="H94" s="214">
        <f t="shared" si="311"/>
        <v>1</v>
      </c>
      <c r="I94" s="214">
        <f t="shared" si="312"/>
        <v>1</v>
      </c>
      <c r="J94" s="188">
        <v>1</v>
      </c>
      <c r="K94" s="188">
        <f t="shared" si="313"/>
        <v>34</v>
      </c>
      <c r="L94" s="214">
        <f t="shared" si="314"/>
        <v>1</v>
      </c>
      <c r="M94" s="214">
        <f t="shared" si="315"/>
        <v>1</v>
      </c>
      <c r="N94" s="188">
        <v>1</v>
      </c>
      <c r="O94" s="188">
        <f t="shared" si="316"/>
        <v>34</v>
      </c>
      <c r="P94" s="214">
        <f t="shared" si="317"/>
        <v>1</v>
      </c>
      <c r="Q94" s="214">
        <f t="shared" si="318"/>
        <v>1</v>
      </c>
      <c r="R94" s="188">
        <v>1</v>
      </c>
      <c r="S94" s="188">
        <f t="shared" si="319"/>
        <v>34</v>
      </c>
      <c r="T94" s="214">
        <f t="shared" si="320"/>
        <v>1</v>
      </c>
      <c r="U94" s="214">
        <f t="shared" si="321"/>
        <v>1</v>
      </c>
      <c r="V94" s="215">
        <v>1</v>
      </c>
      <c r="W94" s="188">
        <f t="shared" si="322"/>
        <v>34</v>
      </c>
      <c r="X94" s="214">
        <f t="shared" si="323"/>
        <v>1</v>
      </c>
      <c r="Y94" s="214">
        <f t="shared" si="324"/>
        <v>1</v>
      </c>
      <c r="Z94" s="216">
        <f>474067000/1000000000</f>
        <v>0.47406700000000002</v>
      </c>
      <c r="AA94" s="188">
        <v>0</v>
      </c>
      <c r="AB94" s="188">
        <f t="shared" si="339"/>
        <v>0</v>
      </c>
      <c r="AC94" s="214">
        <f t="shared" si="340"/>
        <v>0</v>
      </c>
      <c r="AD94" s="214">
        <f t="shared" si="341"/>
        <v>0</v>
      </c>
      <c r="AE94" s="188"/>
      <c r="AF94" s="188">
        <f t="shared" si="342"/>
        <v>0</v>
      </c>
      <c r="AG94" s="188"/>
      <c r="AH94" s="188"/>
      <c r="AI94" s="188">
        <v>1</v>
      </c>
      <c r="AJ94" s="188">
        <f t="shared" si="325"/>
        <v>34</v>
      </c>
      <c r="AK94" s="188" t="s">
        <v>304</v>
      </c>
      <c r="AL94" s="188">
        <v>0</v>
      </c>
      <c r="AM94" s="188">
        <v>0</v>
      </c>
      <c r="AN94" s="217"/>
      <c r="AO94" s="188">
        <f t="shared" ref="AO94" si="498">IF(AI94=1,D94,0)</f>
        <v>1</v>
      </c>
      <c r="AP94" s="188">
        <f t="shared" ref="AP94" si="499">IF(AO94=D94,E94,0)</f>
        <v>34</v>
      </c>
      <c r="AQ94" s="188">
        <f>IF(AI94=1,J94,0)</f>
        <v>1</v>
      </c>
      <c r="AR94" s="188">
        <f>IF(AQ94=1,K94,0)</f>
        <v>34</v>
      </c>
      <c r="AS94" s="188">
        <f>IF(AI94=1,N94,0)</f>
        <v>1</v>
      </c>
      <c r="AT94" s="188">
        <f>IF(AS94=1,O94,0)</f>
        <v>34</v>
      </c>
      <c r="AU94" s="188">
        <f t="shared" ref="AU94" si="500">IF(AI94=1,R94,0)</f>
        <v>1</v>
      </c>
      <c r="AV94" s="188">
        <f t="shared" ref="AV94" si="501">IF(AU94=1,S94,0)</f>
        <v>34</v>
      </c>
      <c r="AW94" s="188">
        <f t="shared" ref="AW94" si="502">IF(AI94=1,V94,0)</f>
        <v>1</v>
      </c>
      <c r="AX94" s="188">
        <f t="shared" ref="AX94" si="503">IF(AW94=1,W94,0)</f>
        <v>34</v>
      </c>
      <c r="AY94" s="188">
        <f t="shared" ref="AY94" si="504">AU94-AW94</f>
        <v>0</v>
      </c>
      <c r="AZ94" s="188">
        <f t="shared" ref="AZ94" si="505">AV94-AX94</f>
        <v>0</v>
      </c>
      <c r="BA94" s="188">
        <f>IF(AW94=1,Z94,0)</f>
        <v>0.47406700000000002</v>
      </c>
      <c r="BB94" s="188">
        <f t="shared" si="343"/>
        <v>0</v>
      </c>
      <c r="BD94" s="196">
        <f t="shared" si="386"/>
        <v>0</v>
      </c>
      <c r="BE94" s="188">
        <f t="shared" si="326"/>
        <v>0</v>
      </c>
      <c r="BF94" s="188">
        <f t="shared" si="327"/>
        <v>0</v>
      </c>
      <c r="BG94" s="188">
        <f t="shared" si="328"/>
        <v>0</v>
      </c>
      <c r="BH94" s="188">
        <f t="shared" si="329"/>
        <v>0</v>
      </c>
      <c r="BI94" s="188">
        <f t="shared" si="330"/>
        <v>0</v>
      </c>
      <c r="BJ94" s="188">
        <f t="shared" si="331"/>
        <v>0</v>
      </c>
      <c r="BK94" s="188">
        <f t="shared" si="332"/>
        <v>0</v>
      </c>
      <c r="BN94" s="143"/>
      <c r="BO94" s="277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B94" s="188"/>
      <c r="CD94" s="188">
        <f t="shared" si="344"/>
        <v>0</v>
      </c>
      <c r="CE94" s="188">
        <f t="shared" si="345"/>
        <v>0</v>
      </c>
      <c r="CF94" s="188">
        <f t="shared" si="346"/>
        <v>0</v>
      </c>
      <c r="CG94" s="188">
        <f t="shared" si="347"/>
        <v>0</v>
      </c>
      <c r="CH94" s="188">
        <f t="shared" si="348"/>
        <v>0</v>
      </c>
      <c r="CI94" s="188">
        <f t="shared" si="349"/>
        <v>0</v>
      </c>
      <c r="CJ94" s="188">
        <f t="shared" si="350"/>
        <v>0</v>
      </c>
      <c r="CK94" s="188">
        <f t="shared" si="351"/>
        <v>0</v>
      </c>
      <c r="CL94" s="188">
        <f t="shared" si="352"/>
        <v>0</v>
      </c>
      <c r="CM94" s="188">
        <f t="shared" si="353"/>
        <v>0</v>
      </c>
      <c r="CN94" s="188">
        <f t="shared" si="354"/>
        <v>0</v>
      </c>
      <c r="CO94" s="188">
        <f t="shared" si="355"/>
        <v>0</v>
      </c>
      <c r="CP94" s="188">
        <f t="shared" si="356"/>
        <v>0</v>
      </c>
      <c r="DV94" s="188">
        <f t="shared" si="333"/>
        <v>0</v>
      </c>
      <c r="DW94" s="188">
        <f t="shared" si="334"/>
        <v>0</v>
      </c>
      <c r="DX94" s="188">
        <f t="shared" si="335"/>
        <v>0</v>
      </c>
      <c r="DY94" s="188">
        <f t="shared" si="336"/>
        <v>0</v>
      </c>
      <c r="DZ94" s="188">
        <f t="shared" si="337"/>
        <v>0</v>
      </c>
      <c r="EA94" s="188">
        <f t="shared" si="338"/>
        <v>0</v>
      </c>
      <c r="EB94" s="188">
        <f t="shared" si="357"/>
        <v>0</v>
      </c>
      <c r="EG94" s="220">
        <f t="shared" si="358"/>
        <v>0</v>
      </c>
      <c r="EH94" s="220">
        <f t="shared" si="359"/>
        <v>0</v>
      </c>
      <c r="EI94" s="188"/>
      <c r="EJ94" s="188"/>
      <c r="EK94" s="188"/>
      <c r="EL94" s="188"/>
      <c r="EM94" s="188"/>
      <c r="EN94" s="188"/>
      <c r="EO94" s="188"/>
      <c r="EP94" s="188"/>
      <c r="EQ94" s="188"/>
      <c r="ER94" s="188"/>
      <c r="ES94" s="188"/>
      <c r="ET94" s="188"/>
      <c r="EU94" s="188"/>
      <c r="EV94" s="188"/>
      <c r="EW94" s="188"/>
      <c r="EX94" s="188"/>
      <c r="EY94" s="188"/>
      <c r="EZ94" s="188"/>
      <c r="FA94" s="188"/>
      <c r="FB94" s="188"/>
      <c r="FC94" s="188"/>
      <c r="FD94" s="188"/>
      <c r="FE94" s="188"/>
      <c r="FF94" s="188"/>
      <c r="FH94" s="189"/>
      <c r="FI94" s="189"/>
      <c r="FJ94" s="189"/>
      <c r="FK94" s="189"/>
      <c r="FL94" s="189"/>
      <c r="FM94" s="189"/>
      <c r="FN94" s="189"/>
      <c r="FO94" s="189"/>
      <c r="FP94" s="189"/>
      <c r="FQ94" s="189"/>
      <c r="FR94" s="189"/>
      <c r="FS94" s="189"/>
      <c r="FT94" s="189"/>
      <c r="FU94" s="189"/>
      <c r="FV94" s="189"/>
      <c r="FX94" s="217"/>
      <c r="FY94" s="188">
        <f t="shared" si="360"/>
        <v>0</v>
      </c>
      <c r="FZ94" s="188">
        <f t="shared" si="439"/>
        <v>0</v>
      </c>
      <c r="GA94" s="188">
        <f t="shared" si="440"/>
        <v>0</v>
      </c>
      <c r="GB94" s="188">
        <f t="shared" si="441"/>
        <v>0</v>
      </c>
      <c r="GC94" s="188">
        <f t="shared" si="442"/>
        <v>0</v>
      </c>
      <c r="GD94" s="188">
        <f t="shared" si="443"/>
        <v>0</v>
      </c>
      <c r="GE94" s="188">
        <f t="shared" si="444"/>
        <v>0</v>
      </c>
      <c r="GF94" s="199"/>
      <c r="GG94" s="189">
        <v>0</v>
      </c>
      <c r="GH94" s="189">
        <v>0</v>
      </c>
      <c r="GI94" s="199"/>
      <c r="GJ94" s="224">
        <f t="shared" si="361"/>
        <v>0</v>
      </c>
      <c r="GK94" s="224">
        <f t="shared" si="362"/>
        <v>0</v>
      </c>
      <c r="GO94" s="189">
        <f t="shared" si="445"/>
        <v>0</v>
      </c>
      <c r="GP94" s="189">
        <f t="shared" si="446"/>
        <v>0</v>
      </c>
      <c r="GQ94" s="189">
        <f t="shared" si="447"/>
        <v>0</v>
      </c>
      <c r="GR94" s="189">
        <f t="shared" si="448"/>
        <v>0</v>
      </c>
      <c r="GS94" s="189">
        <f t="shared" si="449"/>
        <v>0</v>
      </c>
      <c r="GT94" s="189">
        <f t="shared" ref="GT94:GT106" si="506">IF(SUM(GO94:GS94)=0,1,0)</f>
        <v>1</v>
      </c>
      <c r="GU94" s="201">
        <f t="shared" si="388"/>
        <v>43243</v>
      </c>
      <c r="GV94" s="189" t="str">
        <f t="shared" ref="GV94:GV106" si="507">IF(GO94&gt;0,$GO$6,IF(GP94&gt;0,$GP$6,IF(GQ94&gt;0,$GQ$6,IF(GR94&gt;0,$GR$6,IF(GS94&gt;0,$GS$6,IF(GT94&gt;0,$GT$6,0))))))</f>
        <v>SELESAI</v>
      </c>
      <c r="GW94" s="189">
        <f t="shared" ref="GW94:GW106" si="508">IF(GV94=$GO$6,GO94,IF(GV94=$GP$6,GP94,IF(GV94=$GQ$6,GQ94,IF(GV94=$GR$6,GR94,IF(GV94=$GS$6,GS94,0)))))</f>
        <v>0</v>
      </c>
      <c r="GX94" s="202" t="str">
        <f t="shared" ref="GX94:GX106" si="509">GV94</f>
        <v>SELESAI</v>
      </c>
      <c r="GY94" s="202">
        <f t="shared" ref="GY94:GY106" si="510">IF(GX94="DNP",SUM($GY$4:$GY$8),IF(GX94="Survey KJPP",SUM($GY$5:$GY$8),IF(GX94="Hasil Valuasi",SUM($GY$6:$GY$8),IF(GX94="Musyawarah",SUM($GY$7:$GY$8),IF(GX94="UGR",$GY$8,0)))))</f>
        <v>0</v>
      </c>
      <c r="GZ94" s="203" t="str">
        <f t="shared" ref="GZ94:GZ106" si="511">IF(GW94=0,"SELESAI",GU94+GY94)</f>
        <v>SELESAI</v>
      </c>
      <c r="HA94" s="204"/>
      <c r="HB94" s="204"/>
      <c r="HC94" s="189">
        <f t="shared" si="450"/>
        <v>0</v>
      </c>
      <c r="HD94" s="189">
        <f t="shared" si="451"/>
        <v>0</v>
      </c>
      <c r="HE94" s="189">
        <f t="shared" ref="HE94:HE106" si="512">HC94+HD94</f>
        <v>0</v>
      </c>
      <c r="HF94" s="189">
        <f t="shared" ref="HF94:HF106" si="513">FQ94</f>
        <v>0</v>
      </c>
      <c r="HG94" s="189">
        <f t="shared" ref="HG94:HG106" si="514">HE94-HF94</f>
        <v>0</v>
      </c>
      <c r="HH94" s="201" t="str">
        <f t="shared" ref="HH94:HH106" si="515">IF(HG94=1,GU94+$HH$8,"TIDAK KONSINYASI")</f>
        <v>TIDAK KONSINYASI</v>
      </c>
      <c r="HI94" s="201" t="str">
        <f t="shared" ref="HI94:HI106" si="516">IF(GW94=0,"SELESAI",GZ94+$HI$8)</f>
        <v>SELESAI</v>
      </c>
      <c r="HJ94" s="205"/>
      <c r="HK94" s="201">
        <f t="shared" ref="HK94:HK106" si="517">MAX(GZ94,HH94,HI94)</f>
        <v>0</v>
      </c>
      <c r="HL94" s="204"/>
      <c r="HM94" s="204"/>
      <c r="HN94" s="204"/>
      <c r="HO94" s="204"/>
      <c r="HP94" s="203">
        <f t="shared" ref="HP94:HP106" si="518">IF(HQ94=1,GZ94,0)</f>
        <v>0</v>
      </c>
      <c r="HQ94" s="202">
        <f t="shared" ref="HQ94:HQ106" si="519">IF(IX94=0,IF(HT94=0,IF(IP94=0,IF(GV94="UGR",GS94,0),0),0),0)</f>
        <v>0</v>
      </c>
      <c r="HR94" s="202">
        <f t="shared" si="452"/>
        <v>0</v>
      </c>
      <c r="HS94" s="203">
        <f t="shared" ref="HS94:HS100" si="520">IF(HT94=1,HH94,0)</f>
        <v>0</v>
      </c>
      <c r="HT94" s="202">
        <f t="shared" ref="HT94:HT100" si="521">HG94</f>
        <v>0</v>
      </c>
      <c r="HU94" s="202">
        <f t="shared" si="453"/>
        <v>0</v>
      </c>
      <c r="HV94" s="203">
        <f t="shared" ref="HV94:HV100" si="522">IF(HW94=1,GZ94,0)</f>
        <v>0</v>
      </c>
      <c r="HW94" s="202">
        <f t="shared" si="403"/>
        <v>0</v>
      </c>
      <c r="HX94" s="202">
        <f t="shared" si="454"/>
        <v>0</v>
      </c>
      <c r="HY94" s="203">
        <f t="shared" ref="HY94:HY100" si="523">IF(HZ94=1,HV94+$HI$8,0)</f>
        <v>0</v>
      </c>
      <c r="HZ94" s="202">
        <f t="shared" ref="HZ94:HZ100" si="524">HW94</f>
        <v>0</v>
      </c>
      <c r="IA94" s="202">
        <f t="shared" si="455"/>
        <v>0</v>
      </c>
      <c r="IB94" s="203">
        <f t="shared" ref="IB94:IB101" si="525">IF(IC94=1,$GU$3+SUM($GY$6:$GY$8),0)</f>
        <v>0</v>
      </c>
      <c r="IC94" s="202">
        <f t="shared" ref="IC94:IC101" si="526">IF(GV94="Hasil Valuasi",GQ94,0)</f>
        <v>0</v>
      </c>
      <c r="ID94" s="202">
        <f t="shared" si="456"/>
        <v>0</v>
      </c>
      <c r="IE94" s="203">
        <f t="shared" ref="IE94:IE101" si="527">IF(IF94=1,IB94+$HI$8,0)</f>
        <v>0</v>
      </c>
      <c r="IF94" s="202">
        <f t="shared" ref="IF94:IF101" si="528">IC94</f>
        <v>0</v>
      </c>
      <c r="IG94" s="202">
        <f t="shared" si="457"/>
        <v>0</v>
      </c>
      <c r="IH94" s="203">
        <f t="shared" ref="IH94:IH101" si="529">IF(II94=1,$GU$3+SUM($GY$5:$GY$8),0)</f>
        <v>0</v>
      </c>
      <c r="II94" s="202">
        <f t="shared" ref="II94:II106" si="530">IF(GV94="Survey KJPP",GP94,0)</f>
        <v>0</v>
      </c>
      <c r="IJ94" s="202">
        <f t="shared" si="458"/>
        <v>0</v>
      </c>
      <c r="IK94" s="203">
        <f t="shared" ref="IK94:IK106" si="531">IF(IL94=1,IH94+$HI$8,0)</f>
        <v>0</v>
      </c>
      <c r="IL94" s="202">
        <f t="shared" ref="IL94:IL106" si="532">II94</f>
        <v>0</v>
      </c>
      <c r="IM94" s="202">
        <f t="shared" si="459"/>
        <v>0</v>
      </c>
      <c r="IN94" s="204"/>
      <c r="IO94" s="203">
        <f t="shared" ref="IO94:IO106" si="533">IF(IP94=1,+$GU$3+$HH$8,0)</f>
        <v>0</v>
      </c>
      <c r="IP94" s="202">
        <f t="shared" si="460"/>
        <v>0</v>
      </c>
      <c r="IQ94" s="202">
        <f t="shared" si="461"/>
        <v>0</v>
      </c>
      <c r="IR94" s="204"/>
      <c r="IS94" s="203"/>
      <c r="IT94" s="202">
        <f t="shared" si="462"/>
        <v>1</v>
      </c>
      <c r="IU94" s="202">
        <f t="shared" si="463"/>
        <v>34</v>
      </c>
      <c r="IV94" s="204"/>
      <c r="IW94" s="203"/>
      <c r="IX94" s="202">
        <f t="shared" si="464"/>
        <v>0</v>
      </c>
      <c r="IY94" s="202">
        <f t="shared" si="465"/>
        <v>0</v>
      </c>
      <c r="IZ94" s="204"/>
      <c r="JA94" s="203"/>
      <c r="JB94" s="202">
        <f t="shared" si="466"/>
        <v>0</v>
      </c>
      <c r="JC94" s="202">
        <f t="shared" si="467"/>
        <v>0</v>
      </c>
      <c r="JD94" s="204"/>
      <c r="JE94" s="203"/>
      <c r="JF94" s="202">
        <f t="shared" ref="JF94:JF106" si="534">IT94+HQ94+HT94+HZ94+IF94+IL94+IP94+IX94+JB94</f>
        <v>1</v>
      </c>
      <c r="JG94" s="202">
        <f t="shared" ref="JG94:JG106" si="535">IU94+HR94+HU94+IA94+IG94+IM94+IQ94+IY94+JC94</f>
        <v>34</v>
      </c>
      <c r="JH94" s="204"/>
      <c r="JI94" s="203"/>
      <c r="JJ94" s="202">
        <f t="shared" si="468"/>
        <v>0</v>
      </c>
      <c r="JK94" s="202">
        <f t="shared" si="469"/>
        <v>0</v>
      </c>
      <c r="JM94" s="203">
        <f t="shared" si="409"/>
        <v>0</v>
      </c>
      <c r="JO94" s="196">
        <f t="shared" si="372"/>
        <v>0</v>
      </c>
      <c r="JP94" s="189">
        <f t="shared" si="470"/>
        <v>0</v>
      </c>
      <c r="JQ94" s="189">
        <f t="shared" si="471"/>
        <v>0</v>
      </c>
      <c r="JR94" s="189">
        <f t="shared" si="472"/>
        <v>0</v>
      </c>
      <c r="JS94" s="189">
        <f t="shared" si="473"/>
        <v>0</v>
      </c>
      <c r="JT94" s="189">
        <f t="shared" si="474"/>
        <v>0</v>
      </c>
      <c r="JU94" s="189">
        <f t="shared" si="475"/>
        <v>0</v>
      </c>
      <c r="JV94" s="189">
        <f t="shared" si="476"/>
        <v>0</v>
      </c>
      <c r="JW94" s="189">
        <f t="shared" si="477"/>
        <v>0</v>
      </c>
      <c r="JX94" s="189">
        <f t="shared" si="478"/>
        <v>0</v>
      </c>
      <c r="JY94" s="189">
        <f t="shared" si="479"/>
        <v>0</v>
      </c>
      <c r="JZ94" s="189">
        <f t="shared" si="480"/>
        <v>0</v>
      </c>
      <c r="KA94" s="189">
        <f t="shared" si="481"/>
        <v>0</v>
      </c>
      <c r="KB94" s="189">
        <f t="shared" si="482"/>
        <v>0</v>
      </c>
      <c r="KD94" s="206">
        <f t="shared" si="410"/>
        <v>0</v>
      </c>
      <c r="KE94" s="206">
        <f t="shared" si="373"/>
        <v>0</v>
      </c>
      <c r="KF94" s="206">
        <f t="shared" si="483"/>
        <v>0</v>
      </c>
      <c r="KG94" s="206">
        <f t="shared" si="484"/>
        <v>0</v>
      </c>
      <c r="KH94" s="206">
        <f t="shared" si="485"/>
        <v>0</v>
      </c>
      <c r="KI94" s="206">
        <f t="shared" si="486"/>
        <v>0</v>
      </c>
      <c r="KJ94" s="206">
        <f t="shared" si="487"/>
        <v>0</v>
      </c>
      <c r="KK94" s="206">
        <f t="shared" si="488"/>
        <v>0</v>
      </c>
      <c r="KL94" s="206">
        <f t="shared" si="489"/>
        <v>0</v>
      </c>
      <c r="KM94" s="206">
        <f t="shared" si="490"/>
        <v>0</v>
      </c>
      <c r="KN94" s="221">
        <f t="shared" si="491"/>
        <v>0</v>
      </c>
      <c r="KO94" s="221">
        <f t="shared" si="492"/>
        <v>0</v>
      </c>
      <c r="KP94" s="221">
        <f t="shared" si="493"/>
        <v>0</v>
      </c>
      <c r="KQ94" s="221">
        <f t="shared" si="494"/>
        <v>0</v>
      </c>
      <c r="KR94" s="221">
        <f t="shared" si="495"/>
        <v>0</v>
      </c>
      <c r="KT94" s="195">
        <f t="shared" si="496"/>
        <v>0</v>
      </c>
      <c r="KU94" s="221"/>
      <c r="KV94" s="221"/>
      <c r="KW94" s="221"/>
      <c r="KX94" s="221"/>
      <c r="KY94" s="221"/>
      <c r="KZ94" s="221"/>
      <c r="LA94" s="221"/>
      <c r="LB94" s="221"/>
      <c r="LC94" s="221"/>
      <c r="LD94" s="221"/>
      <c r="LE94" s="221"/>
      <c r="LF94" s="221"/>
      <c r="LG94" s="221"/>
      <c r="LH94" s="221"/>
      <c r="LI94" s="221"/>
      <c r="LJ94" s="221"/>
      <c r="LK94" s="221"/>
      <c r="LL94" s="221"/>
      <c r="LM94" s="221"/>
      <c r="LN94" s="221"/>
      <c r="LO94" s="221"/>
      <c r="LP94" s="221"/>
      <c r="LQ94" s="221"/>
      <c r="LR94" s="221"/>
      <c r="LS94" s="221"/>
      <c r="LT94" s="221"/>
      <c r="LU94" s="221"/>
      <c r="LV94" s="221"/>
      <c r="LW94" s="221"/>
      <c r="LX94" s="221"/>
      <c r="LY94" s="221"/>
      <c r="LZ94" s="221"/>
      <c r="MA94" s="221"/>
      <c r="MB94" s="221"/>
      <c r="MC94" s="221"/>
      <c r="MD94" s="221"/>
      <c r="ME94" s="221"/>
      <c r="MF94" s="221"/>
      <c r="MG94" s="221"/>
      <c r="MH94" s="221"/>
      <c r="MI94" s="221"/>
      <c r="MJ94" s="221"/>
      <c r="MK94" s="221"/>
      <c r="ML94" s="221"/>
      <c r="MM94" s="221"/>
      <c r="MN94" s="221"/>
      <c r="MO94" s="221"/>
      <c r="MP94" s="221"/>
      <c r="MQ94" s="221"/>
      <c r="MR94" s="221"/>
      <c r="MS94" s="221"/>
      <c r="MT94" s="221"/>
      <c r="MU94" s="221"/>
      <c r="MV94" s="221"/>
      <c r="MW94" s="221"/>
      <c r="MX94" s="221"/>
      <c r="MY94" s="221"/>
      <c r="MZ94" s="221"/>
      <c r="NA94" s="221"/>
      <c r="NB94" s="221"/>
      <c r="NC94" s="221"/>
      <c r="ND94" s="221"/>
      <c r="NE94" s="221"/>
      <c r="NF94" s="221"/>
      <c r="NG94" s="221"/>
      <c r="NH94" s="221"/>
      <c r="NI94" s="221"/>
      <c r="NJ94" s="221"/>
      <c r="NK94" s="221"/>
      <c r="NM94" s="195">
        <f t="shared" si="411"/>
        <v>0</v>
      </c>
      <c r="NN94" s="195">
        <f t="shared" si="412"/>
        <v>0</v>
      </c>
      <c r="NO94" s="195">
        <f t="shared" si="413"/>
        <v>0</v>
      </c>
      <c r="NP94" s="195">
        <f t="shared" si="414"/>
        <v>0</v>
      </c>
      <c r="NQ94" s="195">
        <f t="shared" si="415"/>
        <v>0</v>
      </c>
      <c r="NR94" s="195">
        <f t="shared" si="416"/>
        <v>0</v>
      </c>
      <c r="NS94" s="195">
        <f t="shared" si="417"/>
        <v>0</v>
      </c>
      <c r="NT94" s="195">
        <f t="shared" si="418"/>
        <v>0</v>
      </c>
      <c r="NU94" s="196">
        <f t="shared" si="419"/>
        <v>0</v>
      </c>
      <c r="NY94" s="215">
        <f t="shared" si="420"/>
        <v>1</v>
      </c>
      <c r="NZ94" s="222">
        <v>12500000</v>
      </c>
      <c r="OE94" s="207">
        <f t="shared" si="374"/>
        <v>0</v>
      </c>
      <c r="OF94" s="207">
        <f t="shared" si="375"/>
        <v>0</v>
      </c>
      <c r="OG94" s="207">
        <f t="shared" si="376"/>
        <v>0</v>
      </c>
      <c r="OH94" s="207">
        <f t="shared" si="421"/>
        <v>0</v>
      </c>
      <c r="OI94" s="207">
        <f t="shared" si="377"/>
        <v>0</v>
      </c>
      <c r="OJ94" s="199">
        <f t="shared" si="422"/>
        <v>0</v>
      </c>
      <c r="OK94" s="199">
        <f t="shared" si="423"/>
        <v>0</v>
      </c>
      <c r="OL94" s="199">
        <f t="shared" si="424"/>
        <v>0</v>
      </c>
      <c r="OM94" s="199">
        <f t="shared" si="425"/>
        <v>0</v>
      </c>
      <c r="OO94" s="207">
        <f t="shared" si="378"/>
        <v>0</v>
      </c>
      <c r="OP94" s="207">
        <f t="shared" si="379"/>
        <v>0</v>
      </c>
      <c r="OQ94" s="207">
        <f t="shared" si="426"/>
        <v>0</v>
      </c>
      <c r="OR94" s="207">
        <f t="shared" si="427"/>
        <v>0</v>
      </c>
      <c r="OS94" s="207">
        <f t="shared" si="428"/>
        <v>0</v>
      </c>
      <c r="OT94" s="199">
        <f t="shared" si="429"/>
        <v>0</v>
      </c>
      <c r="OU94" s="199">
        <f t="shared" si="430"/>
        <v>0</v>
      </c>
      <c r="OV94" s="199">
        <f t="shared" si="431"/>
        <v>0</v>
      </c>
      <c r="OW94" s="199">
        <f t="shared" si="432"/>
        <v>0</v>
      </c>
      <c r="OZ94" s="208">
        <f t="shared" si="380"/>
        <v>0</v>
      </c>
      <c r="PA94" s="209"/>
      <c r="PB94" s="209"/>
      <c r="PC94" s="209"/>
      <c r="PD94" s="210">
        <f t="shared" si="433"/>
        <v>0</v>
      </c>
      <c r="PE94" s="210"/>
      <c r="PF94" s="210">
        <f t="shared" si="434"/>
        <v>0</v>
      </c>
      <c r="PG94" s="210">
        <f t="shared" si="435"/>
        <v>0</v>
      </c>
      <c r="PH94" s="210">
        <f t="shared" si="381"/>
        <v>0</v>
      </c>
      <c r="PI94" s="210">
        <f t="shared" si="382"/>
        <v>0</v>
      </c>
      <c r="PJ94" s="210">
        <f t="shared" si="383"/>
        <v>0</v>
      </c>
      <c r="PK94" s="210">
        <f t="shared" si="384"/>
        <v>0</v>
      </c>
      <c r="PL94" s="210">
        <f t="shared" si="385"/>
        <v>0</v>
      </c>
      <c r="PM94" s="211"/>
      <c r="PN94" s="211"/>
      <c r="PO94" s="212">
        <f t="shared" si="436"/>
        <v>0</v>
      </c>
      <c r="PP94" s="212">
        <f t="shared" si="437"/>
        <v>0</v>
      </c>
      <c r="PQ94" s="212">
        <f t="shared" si="438"/>
        <v>0</v>
      </c>
      <c r="PR94" s="211"/>
      <c r="PS94" s="211"/>
      <c r="PT94" s="211"/>
      <c r="PU94" s="211"/>
    </row>
    <row r="95" spans="1:437" s="195" customFormat="1" ht="16" x14ac:dyDescent="0.2">
      <c r="A95" s="213">
        <f t="shared" si="206"/>
        <v>85</v>
      </c>
      <c r="B95" s="186" t="s">
        <v>74</v>
      </c>
      <c r="C95" s="186">
        <v>91</v>
      </c>
      <c r="D95" s="188">
        <v>1</v>
      </c>
      <c r="E95" s="188">
        <v>46</v>
      </c>
      <c r="F95" s="188">
        <v>1</v>
      </c>
      <c r="G95" s="188">
        <f t="shared" si="308"/>
        <v>46</v>
      </c>
      <c r="H95" s="214">
        <f t="shared" si="311"/>
        <v>1</v>
      </c>
      <c r="I95" s="214">
        <f t="shared" si="312"/>
        <v>1</v>
      </c>
      <c r="J95" s="188">
        <v>1</v>
      </c>
      <c r="K95" s="188">
        <f t="shared" si="313"/>
        <v>46</v>
      </c>
      <c r="L95" s="214">
        <f t="shared" si="314"/>
        <v>1</v>
      </c>
      <c r="M95" s="214">
        <f t="shared" si="315"/>
        <v>1</v>
      </c>
      <c r="N95" s="188">
        <v>1</v>
      </c>
      <c r="O95" s="188">
        <f t="shared" si="316"/>
        <v>46</v>
      </c>
      <c r="P95" s="214">
        <f t="shared" si="317"/>
        <v>1</v>
      </c>
      <c r="Q95" s="214">
        <f t="shared" si="318"/>
        <v>1</v>
      </c>
      <c r="R95" s="188">
        <v>1</v>
      </c>
      <c r="S95" s="188">
        <f t="shared" si="319"/>
        <v>46</v>
      </c>
      <c r="T95" s="214">
        <f t="shared" si="320"/>
        <v>1</v>
      </c>
      <c r="U95" s="214">
        <f t="shared" si="321"/>
        <v>1</v>
      </c>
      <c r="V95" s="215">
        <v>1</v>
      </c>
      <c r="W95" s="188">
        <f t="shared" si="322"/>
        <v>46</v>
      </c>
      <c r="X95" s="214">
        <f t="shared" si="323"/>
        <v>1</v>
      </c>
      <c r="Y95" s="214">
        <f t="shared" si="324"/>
        <v>1</v>
      </c>
      <c r="Z95" s="216">
        <f>577692000/1000000000</f>
        <v>0.57769199999999998</v>
      </c>
      <c r="AA95" s="188">
        <v>0</v>
      </c>
      <c r="AB95" s="188">
        <f t="shared" si="339"/>
        <v>0</v>
      </c>
      <c r="AC95" s="214">
        <f t="shared" si="340"/>
        <v>0</v>
      </c>
      <c r="AD95" s="214">
        <f t="shared" si="341"/>
        <v>0</v>
      </c>
      <c r="AE95" s="188"/>
      <c r="AF95" s="188">
        <f t="shared" si="342"/>
        <v>0</v>
      </c>
      <c r="AG95" s="188"/>
      <c r="AH95" s="188"/>
      <c r="AI95" s="188">
        <v>0</v>
      </c>
      <c r="AJ95" s="188">
        <f t="shared" si="325"/>
        <v>0</v>
      </c>
      <c r="AK95" s="188"/>
      <c r="AL95" s="188">
        <v>0</v>
      </c>
      <c r="AM95" s="188">
        <v>0</v>
      </c>
      <c r="AN95" s="217"/>
      <c r="AO95" s="188"/>
      <c r="AP95" s="188"/>
      <c r="AQ95" s="188"/>
      <c r="AR95" s="188"/>
      <c r="AS95" s="188"/>
      <c r="AT95" s="188"/>
      <c r="AU95" s="188"/>
      <c r="AV95" s="188"/>
      <c r="AW95" s="188"/>
      <c r="AX95" s="188"/>
      <c r="AY95" s="188"/>
      <c r="AZ95" s="188"/>
      <c r="BA95" s="188"/>
      <c r="BB95" s="188">
        <f t="shared" si="343"/>
        <v>0</v>
      </c>
      <c r="BD95" s="196">
        <f t="shared" si="386"/>
        <v>0</v>
      </c>
      <c r="BE95" s="188">
        <f t="shared" si="326"/>
        <v>0</v>
      </c>
      <c r="BF95" s="188">
        <f t="shared" si="327"/>
        <v>0</v>
      </c>
      <c r="BG95" s="188">
        <f t="shared" si="328"/>
        <v>0</v>
      </c>
      <c r="BH95" s="188">
        <f t="shared" si="329"/>
        <v>0</v>
      </c>
      <c r="BI95" s="188">
        <f t="shared" si="330"/>
        <v>0</v>
      </c>
      <c r="BJ95" s="188">
        <f t="shared" si="331"/>
        <v>0</v>
      </c>
      <c r="BK95" s="188">
        <f t="shared" si="332"/>
        <v>0</v>
      </c>
      <c r="BN95" s="143"/>
      <c r="BO95" s="277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B95" s="188"/>
      <c r="CD95" s="188">
        <f t="shared" si="344"/>
        <v>0</v>
      </c>
      <c r="CE95" s="188">
        <f t="shared" si="345"/>
        <v>0</v>
      </c>
      <c r="CF95" s="188">
        <f t="shared" si="346"/>
        <v>0</v>
      </c>
      <c r="CG95" s="188">
        <f t="shared" si="347"/>
        <v>0</v>
      </c>
      <c r="CH95" s="188">
        <f t="shared" si="348"/>
        <v>0</v>
      </c>
      <c r="CI95" s="188">
        <f t="shared" si="349"/>
        <v>0</v>
      </c>
      <c r="CJ95" s="188">
        <f t="shared" si="350"/>
        <v>0</v>
      </c>
      <c r="CK95" s="188">
        <f t="shared" si="351"/>
        <v>0</v>
      </c>
      <c r="CL95" s="188">
        <f t="shared" si="352"/>
        <v>0</v>
      </c>
      <c r="CM95" s="188">
        <f t="shared" si="353"/>
        <v>0</v>
      </c>
      <c r="CN95" s="188">
        <f t="shared" si="354"/>
        <v>0</v>
      </c>
      <c r="CO95" s="188">
        <f t="shared" si="355"/>
        <v>0</v>
      </c>
      <c r="CP95" s="188">
        <f t="shared" si="356"/>
        <v>0</v>
      </c>
      <c r="DV95" s="188">
        <f t="shared" si="333"/>
        <v>0</v>
      </c>
      <c r="DW95" s="188">
        <f t="shared" si="334"/>
        <v>0</v>
      </c>
      <c r="DX95" s="188">
        <f t="shared" si="335"/>
        <v>0</v>
      </c>
      <c r="DY95" s="188">
        <f t="shared" si="336"/>
        <v>0</v>
      </c>
      <c r="DZ95" s="188">
        <f t="shared" si="337"/>
        <v>0</v>
      </c>
      <c r="EA95" s="188">
        <f t="shared" si="338"/>
        <v>0</v>
      </c>
      <c r="EB95" s="188">
        <f t="shared" si="357"/>
        <v>0</v>
      </c>
      <c r="EG95" s="220">
        <f t="shared" si="358"/>
        <v>0</v>
      </c>
      <c r="EH95" s="220">
        <f t="shared" si="359"/>
        <v>0</v>
      </c>
      <c r="EI95" s="188"/>
      <c r="EJ95" s="188"/>
      <c r="EK95" s="188"/>
      <c r="EL95" s="188"/>
      <c r="EM95" s="188"/>
      <c r="EN95" s="188"/>
      <c r="EO95" s="188"/>
      <c r="EP95" s="188"/>
      <c r="EQ95" s="188"/>
      <c r="ER95" s="188"/>
      <c r="ES95" s="188"/>
      <c r="ET95" s="188"/>
      <c r="EU95" s="188"/>
      <c r="EV95" s="188"/>
      <c r="EW95" s="188"/>
      <c r="EX95" s="188"/>
      <c r="EY95" s="188"/>
      <c r="EZ95" s="188"/>
      <c r="FA95" s="188"/>
      <c r="FB95" s="188"/>
      <c r="FC95" s="188"/>
      <c r="FD95" s="188"/>
      <c r="FE95" s="188"/>
      <c r="FF95" s="188"/>
      <c r="FH95" s="189"/>
      <c r="FI95" s="189"/>
      <c r="FJ95" s="189"/>
      <c r="FK95" s="189"/>
      <c r="FL95" s="189"/>
      <c r="FM95" s="189"/>
      <c r="FN95" s="189"/>
      <c r="FO95" s="189"/>
      <c r="FP95" s="189"/>
      <c r="FQ95" s="189"/>
      <c r="FR95" s="189"/>
      <c r="FS95" s="189"/>
      <c r="FT95" s="189"/>
      <c r="FU95" s="189"/>
      <c r="FV95" s="189"/>
      <c r="FX95" s="217"/>
      <c r="FY95" s="188">
        <f t="shared" si="360"/>
        <v>0</v>
      </c>
      <c r="FZ95" s="188">
        <f t="shared" si="439"/>
        <v>0</v>
      </c>
      <c r="GA95" s="188">
        <f t="shared" si="440"/>
        <v>0</v>
      </c>
      <c r="GB95" s="188">
        <f t="shared" si="441"/>
        <v>0</v>
      </c>
      <c r="GC95" s="188">
        <f t="shared" si="442"/>
        <v>0</v>
      </c>
      <c r="GD95" s="188">
        <f t="shared" si="443"/>
        <v>0</v>
      </c>
      <c r="GE95" s="188">
        <f t="shared" si="444"/>
        <v>0</v>
      </c>
      <c r="GF95" s="199"/>
      <c r="GG95" s="226">
        <v>0</v>
      </c>
      <c r="GH95" s="226">
        <v>0</v>
      </c>
      <c r="GI95" s="199"/>
      <c r="GJ95" s="224">
        <f t="shared" si="361"/>
        <v>0</v>
      </c>
      <c r="GK95" s="224">
        <f t="shared" si="362"/>
        <v>0</v>
      </c>
      <c r="GO95" s="189">
        <f t="shared" si="445"/>
        <v>0</v>
      </c>
      <c r="GP95" s="189">
        <f t="shared" si="446"/>
        <v>0</v>
      </c>
      <c r="GQ95" s="189">
        <f t="shared" si="447"/>
        <v>0</v>
      </c>
      <c r="GR95" s="189">
        <f t="shared" si="448"/>
        <v>0</v>
      </c>
      <c r="GS95" s="189">
        <f t="shared" si="449"/>
        <v>0</v>
      </c>
      <c r="GT95" s="189">
        <f t="shared" si="506"/>
        <v>1</v>
      </c>
      <c r="GU95" s="201">
        <f t="shared" si="388"/>
        <v>43243</v>
      </c>
      <c r="GV95" s="189" t="str">
        <f t="shared" si="507"/>
        <v>SELESAI</v>
      </c>
      <c r="GW95" s="189">
        <f t="shared" si="508"/>
        <v>0</v>
      </c>
      <c r="GX95" s="202" t="str">
        <f t="shared" si="509"/>
        <v>SELESAI</v>
      </c>
      <c r="GY95" s="202">
        <f t="shared" si="510"/>
        <v>0</v>
      </c>
      <c r="GZ95" s="203" t="str">
        <f t="shared" si="511"/>
        <v>SELESAI</v>
      </c>
      <c r="HA95" s="204"/>
      <c r="HB95" s="204"/>
      <c r="HC95" s="189">
        <f t="shared" si="450"/>
        <v>0</v>
      </c>
      <c r="HD95" s="189">
        <f t="shared" si="451"/>
        <v>0</v>
      </c>
      <c r="HE95" s="189">
        <f t="shared" si="512"/>
        <v>0</v>
      </c>
      <c r="HF95" s="189">
        <f t="shared" si="513"/>
        <v>0</v>
      </c>
      <c r="HG95" s="189">
        <f t="shared" si="514"/>
        <v>0</v>
      </c>
      <c r="HH95" s="201" t="str">
        <f t="shared" si="515"/>
        <v>TIDAK KONSINYASI</v>
      </c>
      <c r="HI95" s="201" t="str">
        <f t="shared" si="516"/>
        <v>SELESAI</v>
      </c>
      <c r="HJ95" s="205"/>
      <c r="HK95" s="201">
        <f t="shared" si="517"/>
        <v>0</v>
      </c>
      <c r="HL95" s="204"/>
      <c r="HM95" s="204"/>
      <c r="HN95" s="204"/>
      <c r="HO95" s="204"/>
      <c r="HP95" s="203">
        <f t="shared" si="518"/>
        <v>0</v>
      </c>
      <c r="HQ95" s="202">
        <f t="shared" si="519"/>
        <v>0</v>
      </c>
      <c r="HR95" s="202">
        <f t="shared" si="452"/>
        <v>0</v>
      </c>
      <c r="HS95" s="203">
        <f t="shared" si="520"/>
        <v>0</v>
      </c>
      <c r="HT95" s="202">
        <f t="shared" si="521"/>
        <v>0</v>
      </c>
      <c r="HU95" s="202">
        <f t="shared" si="453"/>
        <v>0</v>
      </c>
      <c r="HV95" s="203">
        <f t="shared" si="522"/>
        <v>0</v>
      </c>
      <c r="HW95" s="202">
        <f t="shared" si="403"/>
        <v>0</v>
      </c>
      <c r="HX95" s="202">
        <f t="shared" si="454"/>
        <v>0</v>
      </c>
      <c r="HY95" s="203">
        <f t="shared" si="523"/>
        <v>0</v>
      </c>
      <c r="HZ95" s="202">
        <f t="shared" si="524"/>
        <v>0</v>
      </c>
      <c r="IA95" s="202">
        <f t="shared" si="455"/>
        <v>0</v>
      </c>
      <c r="IB95" s="203">
        <f t="shared" si="525"/>
        <v>0</v>
      </c>
      <c r="IC95" s="202">
        <f t="shared" si="526"/>
        <v>0</v>
      </c>
      <c r="ID95" s="202">
        <f t="shared" si="456"/>
        <v>0</v>
      </c>
      <c r="IE95" s="203">
        <f t="shared" si="527"/>
        <v>0</v>
      </c>
      <c r="IF95" s="202">
        <f t="shared" si="528"/>
        <v>0</v>
      </c>
      <c r="IG95" s="202">
        <f t="shared" si="457"/>
        <v>0</v>
      </c>
      <c r="IH95" s="203">
        <f t="shared" si="529"/>
        <v>0</v>
      </c>
      <c r="II95" s="202">
        <f t="shared" si="530"/>
        <v>0</v>
      </c>
      <c r="IJ95" s="202">
        <f t="shared" si="458"/>
        <v>0</v>
      </c>
      <c r="IK95" s="203">
        <f t="shared" si="531"/>
        <v>0</v>
      </c>
      <c r="IL95" s="202">
        <f t="shared" si="532"/>
        <v>0</v>
      </c>
      <c r="IM95" s="202">
        <f t="shared" si="459"/>
        <v>0</v>
      </c>
      <c r="IN95" s="204"/>
      <c r="IO95" s="203">
        <f t="shared" si="533"/>
        <v>0</v>
      </c>
      <c r="IP95" s="202">
        <f t="shared" si="460"/>
        <v>0</v>
      </c>
      <c r="IQ95" s="202">
        <f t="shared" si="461"/>
        <v>0</v>
      </c>
      <c r="IR95" s="204"/>
      <c r="IS95" s="203"/>
      <c r="IT95" s="202">
        <f t="shared" si="462"/>
        <v>1</v>
      </c>
      <c r="IU95" s="202">
        <f t="shared" si="463"/>
        <v>46</v>
      </c>
      <c r="IV95" s="204"/>
      <c r="IW95" s="203"/>
      <c r="IX95" s="202">
        <f t="shared" si="464"/>
        <v>0</v>
      </c>
      <c r="IY95" s="202">
        <f t="shared" si="465"/>
        <v>0</v>
      </c>
      <c r="IZ95" s="204"/>
      <c r="JA95" s="203"/>
      <c r="JB95" s="202">
        <f t="shared" si="466"/>
        <v>0</v>
      </c>
      <c r="JC95" s="202">
        <f t="shared" si="467"/>
        <v>0</v>
      </c>
      <c r="JD95" s="204"/>
      <c r="JE95" s="203"/>
      <c r="JF95" s="202">
        <f t="shared" si="534"/>
        <v>1</v>
      </c>
      <c r="JG95" s="202">
        <f t="shared" si="535"/>
        <v>46</v>
      </c>
      <c r="JH95" s="204"/>
      <c r="JI95" s="203"/>
      <c r="JJ95" s="202">
        <f t="shared" si="468"/>
        <v>0</v>
      </c>
      <c r="JK95" s="202">
        <f t="shared" si="469"/>
        <v>0</v>
      </c>
      <c r="JM95" s="203">
        <f t="shared" si="409"/>
        <v>0</v>
      </c>
      <c r="JO95" s="196">
        <f t="shared" si="372"/>
        <v>0</v>
      </c>
      <c r="JP95" s="189">
        <f t="shared" si="470"/>
        <v>0</v>
      </c>
      <c r="JQ95" s="189">
        <f t="shared" si="471"/>
        <v>0</v>
      </c>
      <c r="JR95" s="189">
        <f t="shared" si="472"/>
        <v>0</v>
      </c>
      <c r="JS95" s="189">
        <f t="shared" si="473"/>
        <v>0</v>
      </c>
      <c r="JT95" s="189">
        <f t="shared" si="474"/>
        <v>0</v>
      </c>
      <c r="JU95" s="189">
        <f t="shared" si="475"/>
        <v>0</v>
      </c>
      <c r="JV95" s="189">
        <f t="shared" si="476"/>
        <v>0</v>
      </c>
      <c r="JW95" s="189">
        <f t="shared" si="477"/>
        <v>0</v>
      </c>
      <c r="JX95" s="189">
        <f t="shared" si="478"/>
        <v>0</v>
      </c>
      <c r="JY95" s="189">
        <f t="shared" si="479"/>
        <v>0</v>
      </c>
      <c r="JZ95" s="189">
        <f t="shared" si="480"/>
        <v>0</v>
      </c>
      <c r="KA95" s="189">
        <f t="shared" si="481"/>
        <v>0</v>
      </c>
      <c r="KB95" s="189">
        <f t="shared" si="482"/>
        <v>0</v>
      </c>
      <c r="KD95" s="206">
        <f t="shared" si="410"/>
        <v>0</v>
      </c>
      <c r="KE95" s="206">
        <f t="shared" si="373"/>
        <v>0</v>
      </c>
      <c r="KF95" s="206">
        <f t="shared" si="483"/>
        <v>0</v>
      </c>
      <c r="KG95" s="206">
        <f t="shared" si="484"/>
        <v>0</v>
      </c>
      <c r="KH95" s="206">
        <f t="shared" si="485"/>
        <v>0</v>
      </c>
      <c r="KI95" s="206">
        <f t="shared" si="486"/>
        <v>0</v>
      </c>
      <c r="KJ95" s="206">
        <f t="shared" si="487"/>
        <v>0</v>
      </c>
      <c r="KK95" s="206">
        <f t="shared" si="488"/>
        <v>0</v>
      </c>
      <c r="KL95" s="206">
        <f t="shared" si="489"/>
        <v>0</v>
      </c>
      <c r="KM95" s="206">
        <f t="shared" si="490"/>
        <v>0</v>
      </c>
      <c r="KN95" s="221">
        <f t="shared" si="491"/>
        <v>0</v>
      </c>
      <c r="KO95" s="221">
        <f t="shared" si="492"/>
        <v>0</v>
      </c>
      <c r="KP95" s="221">
        <f t="shared" si="493"/>
        <v>0</v>
      </c>
      <c r="KQ95" s="221">
        <f t="shared" si="494"/>
        <v>0</v>
      </c>
      <c r="KR95" s="221">
        <f t="shared" si="495"/>
        <v>0</v>
      </c>
      <c r="KT95" s="195">
        <f t="shared" si="496"/>
        <v>0</v>
      </c>
      <c r="KU95" s="221"/>
      <c r="KV95" s="221"/>
      <c r="KW95" s="221"/>
      <c r="KX95" s="221"/>
      <c r="KY95" s="221"/>
      <c r="KZ95" s="221"/>
      <c r="LA95" s="221"/>
      <c r="LB95" s="221"/>
      <c r="LC95" s="221"/>
      <c r="LD95" s="221"/>
      <c r="LE95" s="221"/>
      <c r="LF95" s="221"/>
      <c r="LG95" s="221"/>
      <c r="LH95" s="221"/>
      <c r="LI95" s="221"/>
      <c r="LJ95" s="221"/>
      <c r="LK95" s="221"/>
      <c r="LL95" s="221"/>
      <c r="LM95" s="221"/>
      <c r="LN95" s="221"/>
      <c r="LO95" s="221"/>
      <c r="LP95" s="221"/>
      <c r="LQ95" s="221"/>
      <c r="LR95" s="221"/>
      <c r="LS95" s="221"/>
      <c r="LT95" s="221"/>
      <c r="LU95" s="221"/>
      <c r="LV95" s="221"/>
      <c r="LW95" s="221"/>
      <c r="LX95" s="221"/>
      <c r="LY95" s="221"/>
      <c r="LZ95" s="221"/>
      <c r="MA95" s="221"/>
      <c r="MB95" s="221"/>
      <c r="MC95" s="221"/>
      <c r="MD95" s="221"/>
      <c r="ME95" s="221"/>
      <c r="MF95" s="221"/>
      <c r="MG95" s="221"/>
      <c r="MH95" s="221"/>
      <c r="MI95" s="221"/>
      <c r="MJ95" s="221"/>
      <c r="MK95" s="221"/>
      <c r="ML95" s="221"/>
      <c r="MM95" s="221"/>
      <c r="MN95" s="221"/>
      <c r="MO95" s="221"/>
      <c r="MP95" s="221"/>
      <c r="MQ95" s="221"/>
      <c r="MR95" s="221"/>
      <c r="MS95" s="221"/>
      <c r="MT95" s="221"/>
      <c r="MU95" s="221"/>
      <c r="MV95" s="221"/>
      <c r="MW95" s="221"/>
      <c r="MX95" s="221"/>
      <c r="MY95" s="221"/>
      <c r="MZ95" s="221"/>
      <c r="NA95" s="221"/>
      <c r="NB95" s="221"/>
      <c r="NC95" s="221"/>
      <c r="ND95" s="221"/>
      <c r="NE95" s="221"/>
      <c r="NF95" s="221"/>
      <c r="NG95" s="221"/>
      <c r="NH95" s="221"/>
      <c r="NI95" s="221"/>
      <c r="NJ95" s="221"/>
      <c r="NK95" s="221"/>
      <c r="NM95" s="195">
        <f t="shared" si="411"/>
        <v>0</v>
      </c>
      <c r="NN95" s="195">
        <f t="shared" si="412"/>
        <v>0</v>
      </c>
      <c r="NO95" s="195">
        <f t="shared" si="413"/>
        <v>0</v>
      </c>
      <c r="NP95" s="195">
        <f t="shared" si="414"/>
        <v>0</v>
      </c>
      <c r="NQ95" s="195">
        <f t="shared" si="415"/>
        <v>0</v>
      </c>
      <c r="NR95" s="195">
        <f t="shared" si="416"/>
        <v>0</v>
      </c>
      <c r="NS95" s="195">
        <f t="shared" si="417"/>
        <v>0</v>
      </c>
      <c r="NT95" s="195">
        <f t="shared" si="418"/>
        <v>0</v>
      </c>
      <c r="NU95" s="196">
        <f t="shared" si="419"/>
        <v>0</v>
      </c>
      <c r="NY95" s="215">
        <f t="shared" si="420"/>
        <v>1</v>
      </c>
      <c r="NZ95" s="222">
        <v>11025000</v>
      </c>
      <c r="OE95" s="207">
        <f t="shared" si="374"/>
        <v>0</v>
      </c>
      <c r="OF95" s="207">
        <f t="shared" si="375"/>
        <v>0</v>
      </c>
      <c r="OG95" s="207">
        <f t="shared" si="376"/>
        <v>0</v>
      </c>
      <c r="OH95" s="207">
        <f t="shared" si="421"/>
        <v>0</v>
      </c>
      <c r="OI95" s="207">
        <f t="shared" si="377"/>
        <v>0</v>
      </c>
      <c r="OJ95" s="199">
        <f t="shared" si="422"/>
        <v>0</v>
      </c>
      <c r="OK95" s="199">
        <f t="shared" si="423"/>
        <v>0</v>
      </c>
      <c r="OL95" s="199">
        <f t="shared" si="424"/>
        <v>0</v>
      </c>
      <c r="OM95" s="199">
        <f t="shared" si="425"/>
        <v>0</v>
      </c>
      <c r="OO95" s="207">
        <f t="shared" si="378"/>
        <v>0</v>
      </c>
      <c r="OP95" s="207">
        <f t="shared" si="379"/>
        <v>0</v>
      </c>
      <c r="OQ95" s="207">
        <f t="shared" si="426"/>
        <v>0</v>
      </c>
      <c r="OR95" s="207">
        <f t="shared" si="427"/>
        <v>0</v>
      </c>
      <c r="OS95" s="207">
        <f t="shared" si="428"/>
        <v>0</v>
      </c>
      <c r="OT95" s="199">
        <f t="shared" si="429"/>
        <v>0</v>
      </c>
      <c r="OU95" s="199">
        <f t="shared" si="430"/>
        <v>0</v>
      </c>
      <c r="OV95" s="199">
        <f t="shared" si="431"/>
        <v>0</v>
      </c>
      <c r="OW95" s="199">
        <f t="shared" si="432"/>
        <v>0</v>
      </c>
      <c r="OZ95" s="208">
        <f t="shared" si="380"/>
        <v>0</v>
      </c>
      <c r="PA95" s="209"/>
      <c r="PB95" s="209"/>
      <c r="PC95" s="209"/>
      <c r="PD95" s="210">
        <f t="shared" si="433"/>
        <v>0</v>
      </c>
      <c r="PE95" s="210"/>
      <c r="PF95" s="210">
        <f t="shared" si="434"/>
        <v>0</v>
      </c>
      <c r="PG95" s="210">
        <f t="shared" si="435"/>
        <v>0</v>
      </c>
      <c r="PH95" s="210">
        <f t="shared" si="381"/>
        <v>0</v>
      </c>
      <c r="PI95" s="210">
        <f t="shared" si="382"/>
        <v>0</v>
      </c>
      <c r="PJ95" s="210">
        <f t="shared" si="383"/>
        <v>0</v>
      </c>
      <c r="PK95" s="210">
        <f t="shared" si="384"/>
        <v>0</v>
      </c>
      <c r="PL95" s="210">
        <f t="shared" si="385"/>
        <v>0</v>
      </c>
      <c r="PM95" s="211"/>
      <c r="PN95" s="211"/>
      <c r="PO95" s="212">
        <f t="shared" si="436"/>
        <v>0</v>
      </c>
      <c r="PP95" s="212">
        <f t="shared" si="437"/>
        <v>0</v>
      </c>
      <c r="PQ95" s="212">
        <f t="shared" si="438"/>
        <v>0</v>
      </c>
      <c r="PR95" s="211"/>
      <c r="PS95" s="211"/>
      <c r="PT95" s="211"/>
      <c r="PU95" s="211"/>
    </row>
    <row r="96" spans="1:437" s="195" customFormat="1" ht="16" x14ac:dyDescent="0.2">
      <c r="A96" s="213">
        <f t="shared" si="206"/>
        <v>86</v>
      </c>
      <c r="B96" s="186" t="s">
        <v>287</v>
      </c>
      <c r="C96" s="186">
        <v>92</v>
      </c>
      <c r="D96" s="188">
        <v>1</v>
      </c>
      <c r="E96" s="188">
        <v>264</v>
      </c>
      <c r="F96" s="188">
        <v>1</v>
      </c>
      <c r="G96" s="188">
        <f t="shared" si="308"/>
        <v>264</v>
      </c>
      <c r="H96" s="214">
        <f t="shared" ref="H96:H97" si="536">F96/$D96</f>
        <v>1</v>
      </c>
      <c r="I96" s="214">
        <f t="shared" ref="I96:I126" si="537">G96/$E96</f>
        <v>1</v>
      </c>
      <c r="J96" s="188">
        <v>1</v>
      </c>
      <c r="K96" s="188">
        <f t="shared" ref="K96:K106" si="538">IF(J96=D96,E96,0)</f>
        <v>264</v>
      </c>
      <c r="L96" s="214">
        <f t="shared" ref="L96:L106" si="539">J96/$D96</f>
        <v>1</v>
      </c>
      <c r="M96" s="214">
        <f t="shared" ref="M96:M106" si="540">K96/$E96</f>
        <v>1</v>
      </c>
      <c r="N96" s="188">
        <v>1</v>
      </c>
      <c r="O96" s="188">
        <f t="shared" ref="O96:O106" si="541">IF(N96=D96,E96,0)</f>
        <v>264</v>
      </c>
      <c r="P96" s="214">
        <f t="shared" ref="P96:P106" si="542">N96/$D96</f>
        <v>1</v>
      </c>
      <c r="Q96" s="214">
        <f t="shared" ref="Q96:Q106" si="543">O96/$E96</f>
        <v>1</v>
      </c>
      <c r="R96" s="188">
        <v>1</v>
      </c>
      <c r="S96" s="188">
        <f t="shared" ref="S96:S106" si="544">IF(R96=D96,E96,0)</f>
        <v>264</v>
      </c>
      <c r="T96" s="214">
        <f t="shared" ref="T96:T106" si="545">R96/$D96</f>
        <v>1</v>
      </c>
      <c r="U96" s="214">
        <f t="shared" ref="U96:U106" si="546">S96/$E96</f>
        <v>1</v>
      </c>
      <c r="V96" s="215">
        <v>1</v>
      </c>
      <c r="W96" s="188">
        <f t="shared" ref="W96:W106" si="547">IF(V96=D96,E96,0)</f>
        <v>264</v>
      </c>
      <c r="X96" s="214">
        <f t="shared" ref="X96:X106" si="548">V96/$D96</f>
        <v>1</v>
      </c>
      <c r="Y96" s="214">
        <f t="shared" ref="Y96:Y106" si="549">W96/$E96</f>
        <v>1</v>
      </c>
      <c r="Z96" s="227">
        <f>3483552000/1000000000</f>
        <v>3.483552</v>
      </c>
      <c r="AA96" s="188">
        <v>0</v>
      </c>
      <c r="AB96" s="188">
        <f t="shared" si="339"/>
        <v>0</v>
      </c>
      <c r="AC96" s="214">
        <f t="shared" si="340"/>
        <v>0</v>
      </c>
      <c r="AD96" s="214">
        <f t="shared" si="341"/>
        <v>0</v>
      </c>
      <c r="AE96" s="188"/>
      <c r="AF96" s="188">
        <f t="shared" si="342"/>
        <v>0</v>
      </c>
      <c r="AG96" s="188"/>
      <c r="AH96" s="188"/>
      <c r="AI96" s="188">
        <v>1</v>
      </c>
      <c r="AJ96" s="188">
        <f t="shared" ref="AJ96:AJ98" si="550">IF(AI96=D96,E96,0)</f>
        <v>264</v>
      </c>
      <c r="AK96" s="188" t="s">
        <v>304</v>
      </c>
      <c r="AL96" s="188">
        <v>0</v>
      </c>
      <c r="AM96" s="188">
        <v>0</v>
      </c>
      <c r="AN96" s="217"/>
      <c r="AO96" s="188">
        <f t="shared" ref="AO96:AO98" si="551">IF(AI96=1,D96,0)</f>
        <v>1</v>
      </c>
      <c r="AP96" s="188">
        <f t="shared" ref="AP96:AP98" si="552">IF(AO96=D96,E96,0)</f>
        <v>264</v>
      </c>
      <c r="AQ96" s="188">
        <f t="shared" ref="AQ96:AQ98" si="553">IF(AI96=1,J96,0)</f>
        <v>1</v>
      </c>
      <c r="AR96" s="188">
        <f t="shared" ref="AR96:AR98" si="554">IF(AQ96=1,K96,0)</f>
        <v>264</v>
      </c>
      <c r="AS96" s="188">
        <f t="shared" ref="AS96:AS98" si="555">IF(AI96=1,N96,0)</f>
        <v>1</v>
      </c>
      <c r="AT96" s="188">
        <f t="shared" ref="AT96:AT98" si="556">IF(AS96=1,O96,0)</f>
        <v>264</v>
      </c>
      <c r="AU96" s="188">
        <f t="shared" ref="AU96:AU98" si="557">IF(AI96=1,R96,0)</f>
        <v>1</v>
      </c>
      <c r="AV96" s="188">
        <f t="shared" ref="AV96:AV98" si="558">IF(AU96=1,S96,0)</f>
        <v>264</v>
      </c>
      <c r="AW96" s="188">
        <f t="shared" ref="AW96:AW98" si="559">IF(AI96=1,V96,0)</f>
        <v>1</v>
      </c>
      <c r="AX96" s="188">
        <f t="shared" ref="AX96:AX98" si="560">IF(AW96=1,W96,0)</f>
        <v>264</v>
      </c>
      <c r="AY96" s="188">
        <f t="shared" ref="AY96:AY98" si="561">AU96-AW96</f>
        <v>0</v>
      </c>
      <c r="AZ96" s="188">
        <f t="shared" ref="AZ96:AZ98" si="562">AV96-AX96</f>
        <v>0</v>
      </c>
      <c r="BA96" s="188">
        <f t="shared" ref="BA96:BA98" si="563">IF(AW96=1,Z96,0)</f>
        <v>3.483552</v>
      </c>
      <c r="BB96" s="188">
        <f t="shared" si="343"/>
        <v>0</v>
      </c>
      <c r="BD96" s="196">
        <f t="shared" si="386"/>
        <v>0</v>
      </c>
      <c r="BE96" s="188">
        <f t="shared" si="326"/>
        <v>0</v>
      </c>
      <c r="BF96" s="188">
        <f t="shared" si="327"/>
        <v>0</v>
      </c>
      <c r="BG96" s="188">
        <f t="shared" si="328"/>
        <v>0</v>
      </c>
      <c r="BH96" s="188">
        <f t="shared" si="329"/>
        <v>0</v>
      </c>
      <c r="BI96" s="188">
        <f t="shared" si="330"/>
        <v>0</v>
      </c>
      <c r="BJ96" s="188">
        <f t="shared" si="331"/>
        <v>0</v>
      </c>
      <c r="BK96" s="188">
        <f t="shared" si="332"/>
        <v>0</v>
      </c>
      <c r="BN96" s="277">
        <v>66</v>
      </c>
      <c r="BO96" s="139">
        <v>1</v>
      </c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B96" s="188"/>
      <c r="CD96" s="188">
        <f t="shared" si="344"/>
        <v>66</v>
      </c>
      <c r="CE96" s="188">
        <f t="shared" si="345"/>
        <v>66</v>
      </c>
      <c r="CF96" s="188">
        <f t="shared" si="346"/>
        <v>0</v>
      </c>
      <c r="CG96" s="188">
        <f t="shared" si="347"/>
        <v>0</v>
      </c>
      <c r="CH96" s="188">
        <f t="shared" si="348"/>
        <v>0</v>
      </c>
      <c r="CI96" s="188">
        <f t="shared" si="349"/>
        <v>0</v>
      </c>
      <c r="CJ96" s="188">
        <f t="shared" si="350"/>
        <v>0</v>
      </c>
      <c r="CK96" s="188">
        <f t="shared" si="351"/>
        <v>0</v>
      </c>
      <c r="CL96" s="188">
        <f t="shared" si="352"/>
        <v>0</v>
      </c>
      <c r="CM96" s="188">
        <f t="shared" si="353"/>
        <v>0</v>
      </c>
      <c r="CN96" s="188">
        <f t="shared" si="354"/>
        <v>0</v>
      </c>
      <c r="CO96" s="188">
        <f t="shared" si="355"/>
        <v>0</v>
      </c>
      <c r="CP96" s="188">
        <f t="shared" si="356"/>
        <v>0</v>
      </c>
      <c r="DV96" s="188">
        <f t="shared" si="333"/>
        <v>0</v>
      </c>
      <c r="DW96" s="188">
        <f t="shared" si="334"/>
        <v>0</v>
      </c>
      <c r="DX96" s="188">
        <f t="shared" si="335"/>
        <v>0</v>
      </c>
      <c r="DY96" s="188">
        <f t="shared" si="336"/>
        <v>0</v>
      </c>
      <c r="DZ96" s="188">
        <f t="shared" si="337"/>
        <v>0</v>
      </c>
      <c r="EA96" s="188">
        <f t="shared" si="338"/>
        <v>0</v>
      </c>
      <c r="EB96" s="188">
        <f t="shared" si="357"/>
        <v>0</v>
      </c>
      <c r="EG96" s="220">
        <f t="shared" si="358"/>
        <v>0</v>
      </c>
      <c r="EH96" s="220">
        <f t="shared" si="359"/>
        <v>0</v>
      </c>
      <c r="EI96" s="188"/>
      <c r="EJ96" s="188"/>
      <c r="EK96" s="188"/>
      <c r="EL96" s="188"/>
      <c r="EM96" s="188"/>
      <c r="EN96" s="188"/>
      <c r="EO96" s="188"/>
      <c r="EP96" s="188"/>
      <c r="EQ96" s="188"/>
      <c r="ER96" s="188"/>
      <c r="ES96" s="188"/>
      <c r="ET96" s="188"/>
      <c r="EU96" s="188"/>
      <c r="EV96" s="188"/>
      <c r="EW96" s="188"/>
      <c r="EX96" s="188"/>
      <c r="EY96" s="188"/>
      <c r="EZ96" s="188"/>
      <c r="FA96" s="188"/>
      <c r="FB96" s="188"/>
      <c r="FC96" s="188"/>
      <c r="FD96" s="188"/>
      <c r="FE96" s="188"/>
      <c r="FF96" s="188"/>
      <c r="FH96" s="189"/>
      <c r="FI96" s="189"/>
      <c r="FJ96" s="189"/>
      <c r="FK96" s="189"/>
      <c r="FL96" s="189"/>
      <c r="FM96" s="189"/>
      <c r="FN96" s="189"/>
      <c r="FO96" s="189"/>
      <c r="FP96" s="189"/>
      <c r="FQ96" s="189"/>
      <c r="FR96" s="189"/>
      <c r="FS96" s="189"/>
      <c r="FT96" s="189"/>
      <c r="FU96" s="189"/>
      <c r="FV96" s="189"/>
      <c r="FX96" s="217">
        <v>1</v>
      </c>
      <c r="FY96" s="188">
        <f t="shared" si="360"/>
        <v>66</v>
      </c>
      <c r="FZ96" s="188">
        <f t="shared" si="439"/>
        <v>66</v>
      </c>
      <c r="GA96" s="188">
        <f t="shared" si="440"/>
        <v>0</v>
      </c>
      <c r="GB96" s="188">
        <f t="shared" si="441"/>
        <v>0</v>
      </c>
      <c r="GC96" s="188">
        <f t="shared" si="442"/>
        <v>0</v>
      </c>
      <c r="GD96" s="188">
        <f t="shared" si="443"/>
        <v>0</v>
      </c>
      <c r="GE96" s="188">
        <f t="shared" si="444"/>
        <v>0</v>
      </c>
      <c r="GF96" s="199"/>
      <c r="GG96" s="188">
        <v>0</v>
      </c>
      <c r="GH96" s="188">
        <v>0</v>
      </c>
      <c r="GI96" s="199"/>
      <c r="GJ96" s="224">
        <f t="shared" si="361"/>
        <v>0</v>
      </c>
      <c r="GK96" s="224">
        <f t="shared" si="362"/>
        <v>0</v>
      </c>
      <c r="GO96" s="189">
        <f t="shared" si="445"/>
        <v>0</v>
      </c>
      <c r="GP96" s="189">
        <f t="shared" si="446"/>
        <v>0</v>
      </c>
      <c r="GQ96" s="189">
        <f t="shared" si="447"/>
        <v>0</v>
      </c>
      <c r="GR96" s="189">
        <f t="shared" si="448"/>
        <v>0</v>
      </c>
      <c r="GS96" s="189">
        <f t="shared" si="449"/>
        <v>0</v>
      </c>
      <c r="GT96" s="189">
        <f t="shared" si="506"/>
        <v>1</v>
      </c>
      <c r="GU96" s="201">
        <f t="shared" si="388"/>
        <v>43243</v>
      </c>
      <c r="GV96" s="189" t="str">
        <f t="shared" si="507"/>
        <v>SELESAI</v>
      </c>
      <c r="GW96" s="189">
        <f t="shared" si="508"/>
        <v>0</v>
      </c>
      <c r="GX96" s="202" t="str">
        <f t="shared" si="509"/>
        <v>SELESAI</v>
      </c>
      <c r="GY96" s="202">
        <f t="shared" si="510"/>
        <v>0</v>
      </c>
      <c r="GZ96" s="203" t="str">
        <f t="shared" si="511"/>
        <v>SELESAI</v>
      </c>
      <c r="HA96" s="204"/>
      <c r="HB96" s="204"/>
      <c r="HC96" s="189">
        <f t="shared" si="450"/>
        <v>0</v>
      </c>
      <c r="HD96" s="189">
        <f t="shared" si="451"/>
        <v>0</v>
      </c>
      <c r="HE96" s="189">
        <f t="shared" si="512"/>
        <v>0</v>
      </c>
      <c r="HF96" s="189">
        <f t="shared" si="513"/>
        <v>0</v>
      </c>
      <c r="HG96" s="189">
        <f t="shared" si="514"/>
        <v>0</v>
      </c>
      <c r="HH96" s="201" t="str">
        <f t="shared" si="515"/>
        <v>TIDAK KONSINYASI</v>
      </c>
      <c r="HI96" s="201" t="str">
        <f t="shared" si="516"/>
        <v>SELESAI</v>
      </c>
      <c r="HJ96" s="205"/>
      <c r="HK96" s="201">
        <f t="shared" si="517"/>
        <v>0</v>
      </c>
      <c r="HL96" s="204"/>
      <c r="HM96" s="204"/>
      <c r="HN96" s="204"/>
      <c r="HO96" s="204"/>
      <c r="HP96" s="203">
        <f t="shared" si="518"/>
        <v>0</v>
      </c>
      <c r="HQ96" s="202">
        <f t="shared" si="519"/>
        <v>0</v>
      </c>
      <c r="HR96" s="202">
        <f t="shared" si="452"/>
        <v>0</v>
      </c>
      <c r="HS96" s="203">
        <f t="shared" si="520"/>
        <v>0</v>
      </c>
      <c r="HT96" s="202">
        <f t="shared" si="521"/>
        <v>0</v>
      </c>
      <c r="HU96" s="202">
        <f t="shared" si="453"/>
        <v>0</v>
      </c>
      <c r="HV96" s="203">
        <f t="shared" si="522"/>
        <v>0</v>
      </c>
      <c r="HW96" s="202">
        <f t="shared" si="403"/>
        <v>0</v>
      </c>
      <c r="HX96" s="202">
        <f t="shared" si="454"/>
        <v>0</v>
      </c>
      <c r="HY96" s="203">
        <f t="shared" si="523"/>
        <v>0</v>
      </c>
      <c r="HZ96" s="202">
        <f t="shared" si="524"/>
        <v>0</v>
      </c>
      <c r="IA96" s="202">
        <f t="shared" si="455"/>
        <v>0</v>
      </c>
      <c r="IB96" s="203">
        <f t="shared" si="525"/>
        <v>0</v>
      </c>
      <c r="IC96" s="202">
        <f t="shared" si="526"/>
        <v>0</v>
      </c>
      <c r="ID96" s="202">
        <f t="shared" si="456"/>
        <v>0</v>
      </c>
      <c r="IE96" s="203">
        <f t="shared" si="527"/>
        <v>0</v>
      </c>
      <c r="IF96" s="202">
        <f t="shared" si="528"/>
        <v>0</v>
      </c>
      <c r="IG96" s="202">
        <f t="shared" si="457"/>
        <v>0</v>
      </c>
      <c r="IH96" s="203">
        <f t="shared" si="529"/>
        <v>0</v>
      </c>
      <c r="II96" s="202">
        <f t="shared" si="530"/>
        <v>0</v>
      </c>
      <c r="IJ96" s="202">
        <f t="shared" si="458"/>
        <v>0</v>
      </c>
      <c r="IK96" s="203">
        <f t="shared" si="531"/>
        <v>0</v>
      </c>
      <c r="IL96" s="202">
        <f t="shared" si="532"/>
        <v>0</v>
      </c>
      <c r="IM96" s="202">
        <f t="shared" si="459"/>
        <v>0</v>
      </c>
      <c r="IN96" s="204"/>
      <c r="IO96" s="203">
        <f t="shared" si="533"/>
        <v>0</v>
      </c>
      <c r="IP96" s="202">
        <f t="shared" si="460"/>
        <v>0</v>
      </c>
      <c r="IQ96" s="202">
        <f t="shared" si="461"/>
        <v>0</v>
      </c>
      <c r="IR96" s="204"/>
      <c r="IS96" s="203"/>
      <c r="IT96" s="202">
        <f t="shared" si="462"/>
        <v>1</v>
      </c>
      <c r="IU96" s="202">
        <f t="shared" si="463"/>
        <v>264</v>
      </c>
      <c r="IV96" s="204"/>
      <c r="IW96" s="203"/>
      <c r="IX96" s="202">
        <f t="shared" si="464"/>
        <v>0</v>
      </c>
      <c r="IY96" s="202">
        <f t="shared" si="465"/>
        <v>0</v>
      </c>
      <c r="IZ96" s="204"/>
      <c r="JA96" s="203"/>
      <c r="JB96" s="202">
        <f t="shared" si="466"/>
        <v>0</v>
      </c>
      <c r="JC96" s="202">
        <f t="shared" si="467"/>
        <v>0</v>
      </c>
      <c r="JD96" s="204"/>
      <c r="JE96" s="203"/>
      <c r="JF96" s="202">
        <f t="shared" si="534"/>
        <v>1</v>
      </c>
      <c r="JG96" s="202">
        <f t="shared" si="535"/>
        <v>264</v>
      </c>
      <c r="JH96" s="204"/>
      <c r="JI96" s="203"/>
      <c r="JJ96" s="202">
        <f t="shared" si="468"/>
        <v>0</v>
      </c>
      <c r="JK96" s="202">
        <f t="shared" si="469"/>
        <v>0</v>
      </c>
      <c r="JM96" s="203">
        <f t="shared" si="409"/>
        <v>0</v>
      </c>
      <c r="JO96" s="196">
        <f t="shared" si="372"/>
        <v>1</v>
      </c>
      <c r="JP96" s="189">
        <f t="shared" si="470"/>
        <v>66</v>
      </c>
      <c r="JQ96" s="189">
        <f t="shared" si="471"/>
        <v>1</v>
      </c>
      <c r="JR96" s="189">
        <f t="shared" si="472"/>
        <v>0</v>
      </c>
      <c r="JS96" s="189">
        <f t="shared" si="473"/>
        <v>0</v>
      </c>
      <c r="JT96" s="189">
        <f t="shared" si="474"/>
        <v>0</v>
      </c>
      <c r="JU96" s="189">
        <f t="shared" si="475"/>
        <v>0</v>
      </c>
      <c r="JV96" s="189">
        <f t="shared" si="476"/>
        <v>0</v>
      </c>
      <c r="JW96" s="189">
        <f t="shared" si="477"/>
        <v>0</v>
      </c>
      <c r="JX96" s="189">
        <f t="shared" si="478"/>
        <v>0</v>
      </c>
      <c r="JY96" s="189">
        <f t="shared" si="479"/>
        <v>0</v>
      </c>
      <c r="JZ96" s="189">
        <f t="shared" si="480"/>
        <v>0</v>
      </c>
      <c r="KA96" s="189">
        <f t="shared" si="481"/>
        <v>0</v>
      </c>
      <c r="KB96" s="189">
        <f t="shared" si="482"/>
        <v>0</v>
      </c>
      <c r="KD96" s="206">
        <f t="shared" si="410"/>
        <v>0</v>
      </c>
      <c r="KE96" s="206">
        <f t="shared" si="373"/>
        <v>0</v>
      </c>
      <c r="KF96" s="206">
        <f t="shared" si="483"/>
        <v>66</v>
      </c>
      <c r="KG96" s="206">
        <f t="shared" si="484"/>
        <v>66</v>
      </c>
      <c r="KH96" s="206">
        <f t="shared" si="485"/>
        <v>0</v>
      </c>
      <c r="KI96" s="206">
        <f t="shared" si="486"/>
        <v>0</v>
      </c>
      <c r="KJ96" s="206">
        <f t="shared" si="487"/>
        <v>0</v>
      </c>
      <c r="KK96" s="206">
        <f t="shared" si="488"/>
        <v>0</v>
      </c>
      <c r="KL96" s="206">
        <f t="shared" si="489"/>
        <v>0</v>
      </c>
      <c r="KM96" s="206">
        <f t="shared" si="490"/>
        <v>0</v>
      </c>
      <c r="KN96" s="221">
        <f t="shared" si="491"/>
        <v>0</v>
      </c>
      <c r="KO96" s="221">
        <f t="shared" si="492"/>
        <v>0</v>
      </c>
      <c r="KP96" s="221">
        <f t="shared" si="493"/>
        <v>0</v>
      </c>
      <c r="KQ96" s="221">
        <f t="shared" si="494"/>
        <v>0</v>
      </c>
      <c r="KR96" s="221">
        <f t="shared" si="495"/>
        <v>0</v>
      </c>
      <c r="KT96" s="195">
        <f t="shared" si="496"/>
        <v>0</v>
      </c>
      <c r="KU96" s="221"/>
      <c r="KV96" s="221"/>
      <c r="KW96" s="221"/>
      <c r="KX96" s="221"/>
      <c r="KY96" s="221"/>
      <c r="KZ96" s="221"/>
      <c r="LA96" s="221"/>
      <c r="LB96" s="221"/>
      <c r="LC96" s="221"/>
      <c r="LD96" s="221"/>
      <c r="LE96" s="221"/>
      <c r="LF96" s="221"/>
      <c r="LG96" s="221"/>
      <c r="LH96" s="221"/>
      <c r="LI96" s="221"/>
      <c r="LJ96" s="221"/>
      <c r="LK96" s="221"/>
      <c r="LL96" s="221"/>
      <c r="LM96" s="221"/>
      <c r="LN96" s="221"/>
      <c r="LO96" s="221"/>
      <c r="LP96" s="221"/>
      <c r="LQ96" s="221"/>
      <c r="LR96" s="221"/>
      <c r="LS96" s="221"/>
      <c r="LT96" s="221"/>
      <c r="LU96" s="221"/>
      <c r="LV96" s="221"/>
      <c r="LW96" s="221"/>
      <c r="LX96" s="221"/>
      <c r="LY96" s="221"/>
      <c r="LZ96" s="221"/>
      <c r="MA96" s="221"/>
      <c r="MB96" s="221"/>
      <c r="MC96" s="221"/>
      <c r="MD96" s="221"/>
      <c r="ME96" s="221"/>
      <c r="MF96" s="221"/>
      <c r="MG96" s="221"/>
      <c r="MH96" s="221"/>
      <c r="MI96" s="221"/>
      <c r="MJ96" s="221"/>
      <c r="MK96" s="221"/>
      <c r="ML96" s="221"/>
      <c r="MM96" s="221"/>
      <c r="MN96" s="221"/>
      <c r="MO96" s="221"/>
      <c r="MP96" s="221"/>
      <c r="MQ96" s="221"/>
      <c r="MR96" s="221"/>
      <c r="MS96" s="221"/>
      <c r="MT96" s="221"/>
      <c r="MU96" s="221"/>
      <c r="MV96" s="221"/>
      <c r="MW96" s="221"/>
      <c r="MX96" s="221"/>
      <c r="MY96" s="221"/>
      <c r="MZ96" s="221"/>
      <c r="NA96" s="221"/>
      <c r="NB96" s="221"/>
      <c r="NC96" s="221"/>
      <c r="ND96" s="221"/>
      <c r="NE96" s="221"/>
      <c r="NF96" s="221"/>
      <c r="NG96" s="221"/>
      <c r="NH96" s="221"/>
      <c r="NI96" s="221"/>
      <c r="NJ96" s="221"/>
      <c r="NK96" s="221"/>
      <c r="NM96" s="195">
        <f t="shared" si="411"/>
        <v>0</v>
      </c>
      <c r="NN96" s="195">
        <f t="shared" si="412"/>
        <v>0</v>
      </c>
      <c r="NO96" s="195">
        <f t="shared" si="413"/>
        <v>0</v>
      </c>
      <c r="NP96" s="195">
        <f t="shared" si="414"/>
        <v>0</v>
      </c>
      <c r="NQ96" s="195">
        <f t="shared" si="415"/>
        <v>0</v>
      </c>
      <c r="NR96" s="195">
        <f t="shared" si="416"/>
        <v>0</v>
      </c>
      <c r="NS96" s="195">
        <f t="shared" si="417"/>
        <v>0</v>
      </c>
      <c r="NT96" s="195">
        <f t="shared" si="418"/>
        <v>0</v>
      </c>
      <c r="NU96" s="196">
        <f t="shared" si="419"/>
        <v>0</v>
      </c>
      <c r="NY96" s="215">
        <f t="shared" si="420"/>
        <v>1</v>
      </c>
      <c r="NZ96" s="222">
        <v>12500000</v>
      </c>
      <c r="OE96" s="207">
        <f t="shared" si="374"/>
        <v>0</v>
      </c>
      <c r="OF96" s="207">
        <f t="shared" si="375"/>
        <v>0</v>
      </c>
      <c r="OG96" s="207">
        <f t="shared" si="376"/>
        <v>0</v>
      </c>
      <c r="OH96" s="207">
        <f t="shared" si="421"/>
        <v>0</v>
      </c>
      <c r="OI96" s="207">
        <f t="shared" si="377"/>
        <v>0</v>
      </c>
      <c r="OJ96" s="199">
        <f t="shared" si="422"/>
        <v>0</v>
      </c>
      <c r="OK96" s="199">
        <f t="shared" si="423"/>
        <v>0</v>
      </c>
      <c r="OL96" s="199">
        <f t="shared" si="424"/>
        <v>0</v>
      </c>
      <c r="OM96" s="199">
        <f t="shared" si="425"/>
        <v>0</v>
      </c>
      <c r="OO96" s="207">
        <f t="shared" si="378"/>
        <v>0</v>
      </c>
      <c r="OP96" s="207">
        <f t="shared" si="379"/>
        <v>0</v>
      </c>
      <c r="OQ96" s="207">
        <f t="shared" si="426"/>
        <v>0</v>
      </c>
      <c r="OR96" s="207">
        <f t="shared" si="427"/>
        <v>0</v>
      </c>
      <c r="OS96" s="207">
        <f t="shared" si="428"/>
        <v>0</v>
      </c>
      <c r="OT96" s="199">
        <f t="shared" si="429"/>
        <v>0</v>
      </c>
      <c r="OU96" s="199">
        <f t="shared" si="430"/>
        <v>0</v>
      </c>
      <c r="OV96" s="199">
        <f t="shared" si="431"/>
        <v>0</v>
      </c>
      <c r="OW96" s="199">
        <f t="shared" si="432"/>
        <v>0</v>
      </c>
      <c r="OZ96" s="208">
        <f t="shared" si="380"/>
        <v>0</v>
      </c>
      <c r="PA96" s="209"/>
      <c r="PB96" s="209"/>
      <c r="PC96" s="209"/>
      <c r="PD96" s="210">
        <f t="shared" si="433"/>
        <v>0</v>
      </c>
      <c r="PE96" s="210"/>
      <c r="PF96" s="210">
        <f t="shared" si="434"/>
        <v>0</v>
      </c>
      <c r="PG96" s="210">
        <f t="shared" si="435"/>
        <v>0</v>
      </c>
      <c r="PH96" s="210">
        <f t="shared" si="381"/>
        <v>0</v>
      </c>
      <c r="PI96" s="210">
        <f t="shared" si="382"/>
        <v>0</v>
      </c>
      <c r="PJ96" s="210">
        <f t="shared" si="383"/>
        <v>0</v>
      </c>
      <c r="PK96" s="210">
        <f t="shared" si="384"/>
        <v>0</v>
      </c>
      <c r="PL96" s="210">
        <f t="shared" si="385"/>
        <v>0</v>
      </c>
      <c r="PM96" s="211"/>
      <c r="PN96" s="211"/>
      <c r="PO96" s="212">
        <f t="shared" si="436"/>
        <v>0</v>
      </c>
      <c r="PP96" s="212">
        <f t="shared" si="437"/>
        <v>0</v>
      </c>
      <c r="PQ96" s="212">
        <f t="shared" si="438"/>
        <v>0</v>
      </c>
      <c r="PR96" s="211"/>
      <c r="PS96" s="211"/>
      <c r="PT96" s="211"/>
      <c r="PU96" s="211"/>
    </row>
    <row r="97" spans="1:437 16384:16384" s="195" customFormat="1" ht="16" x14ac:dyDescent="0.2">
      <c r="A97" s="213">
        <f t="shared" ref="A97:A106" si="564">A96+1</f>
        <v>87</v>
      </c>
      <c r="B97" s="186" t="s">
        <v>412</v>
      </c>
      <c r="C97" s="186">
        <v>93</v>
      </c>
      <c r="D97" s="188">
        <v>1</v>
      </c>
      <c r="E97" s="188">
        <v>16</v>
      </c>
      <c r="F97" s="188">
        <v>1</v>
      </c>
      <c r="G97" s="188">
        <f t="shared" si="308"/>
        <v>16</v>
      </c>
      <c r="H97" s="214">
        <f t="shared" si="536"/>
        <v>1</v>
      </c>
      <c r="I97" s="214">
        <f t="shared" si="537"/>
        <v>1</v>
      </c>
      <c r="J97" s="188">
        <v>1</v>
      </c>
      <c r="K97" s="188">
        <f t="shared" si="538"/>
        <v>16</v>
      </c>
      <c r="L97" s="214">
        <f t="shared" si="539"/>
        <v>1</v>
      </c>
      <c r="M97" s="214">
        <f t="shared" si="540"/>
        <v>1</v>
      </c>
      <c r="N97" s="188">
        <v>1</v>
      </c>
      <c r="O97" s="188">
        <f t="shared" si="541"/>
        <v>16</v>
      </c>
      <c r="P97" s="214">
        <f t="shared" si="542"/>
        <v>1</v>
      </c>
      <c r="Q97" s="214">
        <f t="shared" si="543"/>
        <v>1</v>
      </c>
      <c r="R97" s="188">
        <v>1</v>
      </c>
      <c r="S97" s="188">
        <f t="shared" si="544"/>
        <v>16</v>
      </c>
      <c r="T97" s="214">
        <f t="shared" si="545"/>
        <v>1</v>
      </c>
      <c r="U97" s="214">
        <f t="shared" si="546"/>
        <v>1</v>
      </c>
      <c r="V97" s="215">
        <v>1</v>
      </c>
      <c r="W97" s="188">
        <f t="shared" si="547"/>
        <v>16</v>
      </c>
      <c r="X97" s="214">
        <f t="shared" si="548"/>
        <v>1</v>
      </c>
      <c r="Y97" s="214">
        <f t="shared" si="549"/>
        <v>1</v>
      </c>
      <c r="Z97" s="216">
        <f>208667000/1000000000</f>
        <v>0.20866699999999999</v>
      </c>
      <c r="AA97" s="188">
        <v>0</v>
      </c>
      <c r="AB97" s="188">
        <f t="shared" si="339"/>
        <v>0</v>
      </c>
      <c r="AC97" s="214">
        <f t="shared" si="340"/>
        <v>0</v>
      </c>
      <c r="AD97" s="214">
        <f t="shared" si="341"/>
        <v>0</v>
      </c>
      <c r="AE97" s="188"/>
      <c r="AF97" s="188">
        <f t="shared" si="342"/>
        <v>0</v>
      </c>
      <c r="AG97" s="188"/>
      <c r="AH97" s="188"/>
      <c r="AI97" s="188">
        <v>1</v>
      </c>
      <c r="AJ97" s="188">
        <f t="shared" si="550"/>
        <v>16</v>
      </c>
      <c r="AK97" s="188" t="s">
        <v>304</v>
      </c>
      <c r="AL97" s="188">
        <v>0</v>
      </c>
      <c r="AM97" s="188">
        <v>0</v>
      </c>
      <c r="AN97" s="217"/>
      <c r="AO97" s="188">
        <f t="shared" si="551"/>
        <v>1</v>
      </c>
      <c r="AP97" s="188">
        <f t="shared" si="552"/>
        <v>16</v>
      </c>
      <c r="AQ97" s="188">
        <f t="shared" si="553"/>
        <v>1</v>
      </c>
      <c r="AR97" s="188">
        <f t="shared" si="554"/>
        <v>16</v>
      </c>
      <c r="AS97" s="188">
        <f t="shared" si="555"/>
        <v>1</v>
      </c>
      <c r="AT97" s="188">
        <f t="shared" si="556"/>
        <v>16</v>
      </c>
      <c r="AU97" s="188">
        <f t="shared" si="557"/>
        <v>1</v>
      </c>
      <c r="AV97" s="188">
        <f t="shared" si="558"/>
        <v>16</v>
      </c>
      <c r="AW97" s="188">
        <f t="shared" si="559"/>
        <v>1</v>
      </c>
      <c r="AX97" s="188">
        <f t="shared" si="560"/>
        <v>16</v>
      </c>
      <c r="AY97" s="188">
        <f t="shared" si="561"/>
        <v>0</v>
      </c>
      <c r="AZ97" s="188">
        <f t="shared" si="562"/>
        <v>0</v>
      </c>
      <c r="BA97" s="188">
        <f t="shared" si="563"/>
        <v>0.20866699999999999</v>
      </c>
      <c r="BB97" s="188">
        <f t="shared" si="343"/>
        <v>0</v>
      </c>
      <c r="BD97" s="196">
        <f t="shared" si="386"/>
        <v>0</v>
      </c>
      <c r="BE97" s="188">
        <f t="shared" si="326"/>
        <v>0</v>
      </c>
      <c r="BF97" s="188">
        <f t="shared" si="327"/>
        <v>0</v>
      </c>
      <c r="BG97" s="188">
        <f t="shared" si="328"/>
        <v>0</v>
      </c>
      <c r="BH97" s="188">
        <f t="shared" si="329"/>
        <v>0</v>
      </c>
      <c r="BI97" s="188">
        <f t="shared" si="330"/>
        <v>0</v>
      </c>
      <c r="BJ97" s="188">
        <f t="shared" si="331"/>
        <v>0</v>
      </c>
      <c r="BK97" s="188">
        <f t="shared" si="332"/>
        <v>0</v>
      </c>
      <c r="BN97" s="143"/>
      <c r="BO97" s="277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B97" s="188"/>
      <c r="CD97" s="188">
        <f t="shared" si="344"/>
        <v>0</v>
      </c>
      <c r="CE97" s="188">
        <f t="shared" si="345"/>
        <v>0</v>
      </c>
      <c r="CF97" s="188">
        <f t="shared" si="346"/>
        <v>0</v>
      </c>
      <c r="CG97" s="188">
        <f t="shared" si="347"/>
        <v>0</v>
      </c>
      <c r="CH97" s="188">
        <f t="shared" si="348"/>
        <v>0</v>
      </c>
      <c r="CI97" s="188">
        <f t="shared" si="349"/>
        <v>0</v>
      </c>
      <c r="CJ97" s="188">
        <f t="shared" si="350"/>
        <v>0</v>
      </c>
      <c r="CK97" s="188">
        <f t="shared" si="351"/>
        <v>0</v>
      </c>
      <c r="CL97" s="188">
        <f t="shared" si="352"/>
        <v>0</v>
      </c>
      <c r="CM97" s="188">
        <f t="shared" si="353"/>
        <v>0</v>
      </c>
      <c r="CN97" s="188">
        <f t="shared" si="354"/>
        <v>0</v>
      </c>
      <c r="CO97" s="188">
        <f t="shared" si="355"/>
        <v>0</v>
      </c>
      <c r="CP97" s="188">
        <f t="shared" si="356"/>
        <v>0</v>
      </c>
      <c r="DV97" s="188">
        <f t="shared" si="333"/>
        <v>0</v>
      </c>
      <c r="DW97" s="188">
        <f t="shared" si="334"/>
        <v>0</v>
      </c>
      <c r="DX97" s="188">
        <f t="shared" si="335"/>
        <v>0</v>
      </c>
      <c r="DY97" s="188">
        <f t="shared" si="336"/>
        <v>0</v>
      </c>
      <c r="DZ97" s="188">
        <f t="shared" si="337"/>
        <v>0</v>
      </c>
      <c r="EA97" s="188">
        <f t="shared" si="338"/>
        <v>0</v>
      </c>
      <c r="EB97" s="188">
        <f t="shared" si="357"/>
        <v>0</v>
      </c>
      <c r="EG97" s="220">
        <f t="shared" si="358"/>
        <v>0</v>
      </c>
      <c r="EH97" s="220">
        <f t="shared" si="359"/>
        <v>0</v>
      </c>
      <c r="EI97" s="188"/>
      <c r="EJ97" s="188"/>
      <c r="EK97" s="188"/>
      <c r="EL97" s="188"/>
      <c r="EM97" s="188"/>
      <c r="EN97" s="188"/>
      <c r="EO97" s="188"/>
      <c r="EP97" s="188"/>
      <c r="EQ97" s="188"/>
      <c r="ER97" s="188"/>
      <c r="ES97" s="188"/>
      <c r="ET97" s="188"/>
      <c r="EU97" s="188"/>
      <c r="EV97" s="188"/>
      <c r="EW97" s="188"/>
      <c r="EX97" s="188"/>
      <c r="EY97" s="188"/>
      <c r="EZ97" s="188"/>
      <c r="FA97" s="188"/>
      <c r="FB97" s="188"/>
      <c r="FC97" s="188"/>
      <c r="FD97" s="188"/>
      <c r="FE97" s="188"/>
      <c r="FF97" s="188"/>
      <c r="FH97" s="189"/>
      <c r="FI97" s="189"/>
      <c r="FJ97" s="189"/>
      <c r="FK97" s="189"/>
      <c r="FL97" s="189"/>
      <c r="FM97" s="189"/>
      <c r="FN97" s="189"/>
      <c r="FO97" s="189"/>
      <c r="FP97" s="189"/>
      <c r="FQ97" s="189"/>
      <c r="FR97" s="189"/>
      <c r="FS97" s="189"/>
      <c r="FT97" s="189"/>
      <c r="FU97" s="189"/>
      <c r="FV97" s="189"/>
      <c r="FX97" s="217"/>
      <c r="FY97" s="188">
        <f t="shared" si="360"/>
        <v>0</v>
      </c>
      <c r="FZ97" s="188">
        <f t="shared" si="439"/>
        <v>0</v>
      </c>
      <c r="GA97" s="188">
        <f t="shared" si="440"/>
        <v>0</v>
      </c>
      <c r="GB97" s="188">
        <f t="shared" si="441"/>
        <v>0</v>
      </c>
      <c r="GC97" s="188">
        <f t="shared" si="442"/>
        <v>0</v>
      </c>
      <c r="GD97" s="188">
        <f t="shared" si="443"/>
        <v>0</v>
      </c>
      <c r="GE97" s="188">
        <f t="shared" si="444"/>
        <v>0</v>
      </c>
      <c r="GF97" s="199"/>
      <c r="GG97" s="188">
        <v>0</v>
      </c>
      <c r="GH97" s="188">
        <v>0</v>
      </c>
      <c r="GI97" s="199"/>
      <c r="GJ97" s="224">
        <f t="shared" si="361"/>
        <v>0</v>
      </c>
      <c r="GK97" s="224">
        <f t="shared" si="362"/>
        <v>0</v>
      </c>
      <c r="GO97" s="189">
        <f t="shared" si="445"/>
        <v>0</v>
      </c>
      <c r="GP97" s="189">
        <f t="shared" si="446"/>
        <v>0</v>
      </c>
      <c r="GQ97" s="189">
        <f t="shared" si="447"/>
        <v>0</v>
      </c>
      <c r="GR97" s="189">
        <f t="shared" si="448"/>
        <v>0</v>
      </c>
      <c r="GS97" s="189">
        <f t="shared" si="449"/>
        <v>0</v>
      </c>
      <c r="GT97" s="189">
        <f t="shared" si="506"/>
        <v>1</v>
      </c>
      <c r="GU97" s="201">
        <f t="shared" si="388"/>
        <v>43243</v>
      </c>
      <c r="GV97" s="189" t="str">
        <f t="shared" si="507"/>
        <v>SELESAI</v>
      </c>
      <c r="GW97" s="189">
        <f t="shared" si="508"/>
        <v>0</v>
      </c>
      <c r="GX97" s="202" t="str">
        <f t="shared" si="509"/>
        <v>SELESAI</v>
      </c>
      <c r="GY97" s="202">
        <f t="shared" si="510"/>
        <v>0</v>
      </c>
      <c r="GZ97" s="203" t="str">
        <f t="shared" si="511"/>
        <v>SELESAI</v>
      </c>
      <c r="HA97" s="204"/>
      <c r="HB97" s="204"/>
      <c r="HC97" s="189">
        <f t="shared" si="450"/>
        <v>0</v>
      </c>
      <c r="HD97" s="189">
        <f t="shared" si="451"/>
        <v>0</v>
      </c>
      <c r="HE97" s="189">
        <f t="shared" si="512"/>
        <v>0</v>
      </c>
      <c r="HF97" s="189">
        <f t="shared" si="513"/>
        <v>0</v>
      </c>
      <c r="HG97" s="189">
        <f t="shared" si="514"/>
        <v>0</v>
      </c>
      <c r="HH97" s="201" t="str">
        <f t="shared" si="515"/>
        <v>TIDAK KONSINYASI</v>
      </c>
      <c r="HI97" s="201" t="str">
        <f t="shared" si="516"/>
        <v>SELESAI</v>
      </c>
      <c r="HJ97" s="205"/>
      <c r="HK97" s="228">
        <f t="shared" si="517"/>
        <v>0</v>
      </c>
      <c r="HL97" s="204"/>
      <c r="HM97" s="204"/>
      <c r="HN97" s="204"/>
      <c r="HO97" s="204"/>
      <c r="HP97" s="203">
        <f t="shared" si="518"/>
        <v>0</v>
      </c>
      <c r="HQ97" s="202">
        <f t="shared" si="519"/>
        <v>0</v>
      </c>
      <c r="HR97" s="202">
        <f t="shared" si="452"/>
        <v>0</v>
      </c>
      <c r="HS97" s="203">
        <f t="shared" si="520"/>
        <v>0</v>
      </c>
      <c r="HT97" s="202">
        <f t="shared" si="521"/>
        <v>0</v>
      </c>
      <c r="HU97" s="202">
        <f t="shared" si="453"/>
        <v>0</v>
      </c>
      <c r="HV97" s="203">
        <f t="shared" si="522"/>
        <v>0</v>
      </c>
      <c r="HW97" s="202">
        <f t="shared" si="403"/>
        <v>0</v>
      </c>
      <c r="HX97" s="202">
        <f t="shared" si="454"/>
        <v>0</v>
      </c>
      <c r="HY97" s="203">
        <f t="shared" si="523"/>
        <v>0</v>
      </c>
      <c r="HZ97" s="202">
        <f t="shared" si="524"/>
        <v>0</v>
      </c>
      <c r="IA97" s="202">
        <f t="shared" si="455"/>
        <v>0</v>
      </c>
      <c r="IB97" s="203">
        <f t="shared" si="525"/>
        <v>0</v>
      </c>
      <c r="IC97" s="202">
        <f t="shared" si="526"/>
        <v>0</v>
      </c>
      <c r="ID97" s="202">
        <f t="shared" si="456"/>
        <v>0</v>
      </c>
      <c r="IE97" s="203">
        <f t="shared" si="527"/>
        <v>0</v>
      </c>
      <c r="IF97" s="202">
        <f t="shared" si="528"/>
        <v>0</v>
      </c>
      <c r="IG97" s="202">
        <f t="shared" si="457"/>
        <v>0</v>
      </c>
      <c r="IH97" s="203">
        <f t="shared" si="529"/>
        <v>0</v>
      </c>
      <c r="II97" s="202">
        <f t="shared" si="530"/>
        <v>0</v>
      </c>
      <c r="IJ97" s="202">
        <f t="shared" si="458"/>
        <v>0</v>
      </c>
      <c r="IK97" s="203">
        <f t="shared" si="531"/>
        <v>0</v>
      </c>
      <c r="IL97" s="202">
        <f t="shared" si="532"/>
        <v>0</v>
      </c>
      <c r="IM97" s="202">
        <f t="shared" si="459"/>
        <v>0</v>
      </c>
      <c r="IN97" s="204"/>
      <c r="IO97" s="203">
        <f t="shared" si="533"/>
        <v>0</v>
      </c>
      <c r="IP97" s="202">
        <f t="shared" si="460"/>
        <v>0</v>
      </c>
      <c r="IQ97" s="202">
        <f t="shared" si="461"/>
        <v>0</v>
      </c>
      <c r="IR97" s="204"/>
      <c r="IS97" s="203"/>
      <c r="IT97" s="202">
        <f t="shared" si="462"/>
        <v>1</v>
      </c>
      <c r="IU97" s="202">
        <f t="shared" si="463"/>
        <v>16</v>
      </c>
      <c r="IV97" s="204"/>
      <c r="IW97" s="203"/>
      <c r="IX97" s="202">
        <f t="shared" si="464"/>
        <v>0</v>
      </c>
      <c r="IY97" s="202">
        <f t="shared" si="465"/>
        <v>0</v>
      </c>
      <c r="IZ97" s="204"/>
      <c r="JA97" s="203"/>
      <c r="JB97" s="202">
        <f t="shared" si="466"/>
        <v>0</v>
      </c>
      <c r="JC97" s="202">
        <f t="shared" si="467"/>
        <v>0</v>
      </c>
      <c r="JD97" s="204"/>
      <c r="JE97" s="203"/>
      <c r="JF97" s="202">
        <f t="shared" si="534"/>
        <v>1</v>
      </c>
      <c r="JG97" s="202">
        <f t="shared" si="535"/>
        <v>16</v>
      </c>
      <c r="JH97" s="204"/>
      <c r="JI97" s="203"/>
      <c r="JJ97" s="202">
        <f t="shared" si="468"/>
        <v>0</v>
      </c>
      <c r="JK97" s="202">
        <f t="shared" si="469"/>
        <v>0</v>
      </c>
      <c r="JM97" s="203">
        <f t="shared" si="409"/>
        <v>0</v>
      </c>
      <c r="JO97" s="196">
        <f t="shared" si="372"/>
        <v>0</v>
      </c>
      <c r="JP97" s="189">
        <f t="shared" si="470"/>
        <v>0</v>
      </c>
      <c r="JQ97" s="189">
        <f t="shared" si="471"/>
        <v>0</v>
      </c>
      <c r="JR97" s="189">
        <f t="shared" si="472"/>
        <v>0</v>
      </c>
      <c r="JS97" s="189">
        <f t="shared" si="473"/>
        <v>0</v>
      </c>
      <c r="JT97" s="189">
        <f t="shared" si="474"/>
        <v>0</v>
      </c>
      <c r="JU97" s="189">
        <f t="shared" si="475"/>
        <v>0</v>
      </c>
      <c r="JV97" s="189">
        <f t="shared" si="476"/>
        <v>0</v>
      </c>
      <c r="JW97" s="189">
        <f t="shared" si="477"/>
        <v>0</v>
      </c>
      <c r="JX97" s="189">
        <f t="shared" si="478"/>
        <v>0</v>
      </c>
      <c r="JY97" s="189">
        <f t="shared" si="479"/>
        <v>0</v>
      </c>
      <c r="JZ97" s="189">
        <f t="shared" si="480"/>
        <v>0</v>
      </c>
      <c r="KA97" s="189">
        <f t="shared" si="481"/>
        <v>0</v>
      </c>
      <c r="KB97" s="189">
        <f t="shared" si="482"/>
        <v>0</v>
      </c>
      <c r="KD97" s="206">
        <f t="shared" si="410"/>
        <v>0</v>
      </c>
      <c r="KE97" s="206">
        <f t="shared" si="373"/>
        <v>0</v>
      </c>
      <c r="KF97" s="206">
        <f t="shared" si="483"/>
        <v>0</v>
      </c>
      <c r="KG97" s="206">
        <f t="shared" si="484"/>
        <v>0</v>
      </c>
      <c r="KH97" s="206">
        <f t="shared" si="485"/>
        <v>0</v>
      </c>
      <c r="KI97" s="206">
        <f t="shared" si="486"/>
        <v>0</v>
      </c>
      <c r="KJ97" s="206">
        <f t="shared" si="487"/>
        <v>0</v>
      </c>
      <c r="KK97" s="206">
        <f t="shared" si="488"/>
        <v>0</v>
      </c>
      <c r="KL97" s="206">
        <f t="shared" si="489"/>
        <v>0</v>
      </c>
      <c r="KM97" s="206">
        <f t="shared" si="490"/>
        <v>0</v>
      </c>
      <c r="KN97" s="221">
        <f t="shared" si="491"/>
        <v>0</v>
      </c>
      <c r="KO97" s="221">
        <f t="shared" si="492"/>
        <v>0</v>
      </c>
      <c r="KP97" s="221">
        <f t="shared" si="493"/>
        <v>0</v>
      </c>
      <c r="KQ97" s="221">
        <f t="shared" si="494"/>
        <v>0</v>
      </c>
      <c r="KR97" s="221">
        <f t="shared" si="495"/>
        <v>0</v>
      </c>
      <c r="KT97" s="195">
        <f t="shared" si="496"/>
        <v>0</v>
      </c>
      <c r="KU97" s="221"/>
      <c r="KV97" s="221"/>
      <c r="KW97" s="221"/>
      <c r="KX97" s="221"/>
      <c r="KY97" s="221"/>
      <c r="KZ97" s="221"/>
      <c r="LA97" s="221"/>
      <c r="LB97" s="221"/>
      <c r="LC97" s="221"/>
      <c r="LD97" s="221"/>
      <c r="LE97" s="221"/>
      <c r="LF97" s="221"/>
      <c r="LG97" s="221"/>
      <c r="LH97" s="221"/>
      <c r="LI97" s="221"/>
      <c r="LJ97" s="221"/>
      <c r="LK97" s="221"/>
      <c r="LL97" s="221"/>
      <c r="LM97" s="221"/>
      <c r="LN97" s="221"/>
      <c r="LO97" s="221"/>
      <c r="LP97" s="221"/>
      <c r="LQ97" s="221"/>
      <c r="LR97" s="221"/>
      <c r="LS97" s="221"/>
      <c r="LT97" s="221"/>
      <c r="LU97" s="221"/>
      <c r="LV97" s="221"/>
      <c r="LW97" s="221"/>
      <c r="LX97" s="221"/>
      <c r="LY97" s="221"/>
      <c r="LZ97" s="221"/>
      <c r="MA97" s="221"/>
      <c r="MB97" s="221"/>
      <c r="MC97" s="221"/>
      <c r="MD97" s="221"/>
      <c r="ME97" s="221"/>
      <c r="MF97" s="221"/>
      <c r="MG97" s="221"/>
      <c r="MH97" s="221"/>
      <c r="MI97" s="221"/>
      <c r="MJ97" s="221"/>
      <c r="MK97" s="221"/>
      <c r="ML97" s="221"/>
      <c r="MM97" s="221"/>
      <c r="MN97" s="221"/>
      <c r="MO97" s="221"/>
      <c r="MP97" s="221"/>
      <c r="MQ97" s="221"/>
      <c r="MR97" s="221"/>
      <c r="MS97" s="221"/>
      <c r="MT97" s="221"/>
      <c r="MU97" s="221"/>
      <c r="MV97" s="221"/>
      <c r="MW97" s="221"/>
      <c r="MX97" s="221"/>
      <c r="MY97" s="221"/>
      <c r="MZ97" s="221"/>
      <c r="NA97" s="221"/>
      <c r="NB97" s="221"/>
      <c r="NC97" s="221"/>
      <c r="ND97" s="221"/>
      <c r="NE97" s="221"/>
      <c r="NF97" s="221"/>
      <c r="NG97" s="221"/>
      <c r="NH97" s="221"/>
      <c r="NI97" s="221"/>
      <c r="NJ97" s="221"/>
      <c r="NK97" s="221"/>
      <c r="NM97" s="195">
        <f t="shared" si="411"/>
        <v>0</v>
      </c>
      <c r="NN97" s="195">
        <f t="shared" si="412"/>
        <v>0</v>
      </c>
      <c r="NO97" s="195">
        <f t="shared" si="413"/>
        <v>0</v>
      </c>
      <c r="NP97" s="195">
        <f t="shared" si="414"/>
        <v>0</v>
      </c>
      <c r="NQ97" s="195">
        <f t="shared" si="415"/>
        <v>0</v>
      </c>
      <c r="NR97" s="195">
        <f t="shared" si="416"/>
        <v>0</v>
      </c>
      <c r="NS97" s="195">
        <f t="shared" si="417"/>
        <v>0</v>
      </c>
      <c r="NT97" s="195">
        <f t="shared" si="418"/>
        <v>0</v>
      </c>
      <c r="NU97" s="196">
        <f t="shared" si="419"/>
        <v>0</v>
      </c>
      <c r="NY97" s="215">
        <f t="shared" si="420"/>
        <v>1</v>
      </c>
      <c r="NZ97" s="222">
        <v>12250000</v>
      </c>
      <c r="OE97" s="207">
        <f t="shared" si="374"/>
        <v>0</v>
      </c>
      <c r="OF97" s="207">
        <f t="shared" si="375"/>
        <v>0</v>
      </c>
      <c r="OG97" s="207">
        <f t="shared" si="376"/>
        <v>0</v>
      </c>
      <c r="OH97" s="207">
        <f t="shared" si="421"/>
        <v>0</v>
      </c>
      <c r="OI97" s="207">
        <f t="shared" si="377"/>
        <v>0</v>
      </c>
      <c r="OJ97" s="199">
        <f t="shared" si="422"/>
        <v>0</v>
      </c>
      <c r="OK97" s="199">
        <f t="shared" si="423"/>
        <v>0</v>
      </c>
      <c r="OL97" s="199">
        <f t="shared" si="424"/>
        <v>0</v>
      </c>
      <c r="OM97" s="199">
        <f t="shared" si="425"/>
        <v>0</v>
      </c>
      <c r="OO97" s="207">
        <f t="shared" si="378"/>
        <v>0</v>
      </c>
      <c r="OP97" s="207">
        <f t="shared" si="379"/>
        <v>0</v>
      </c>
      <c r="OQ97" s="207">
        <f t="shared" si="426"/>
        <v>0</v>
      </c>
      <c r="OR97" s="207">
        <f t="shared" si="427"/>
        <v>0</v>
      </c>
      <c r="OS97" s="207">
        <f t="shared" si="428"/>
        <v>0</v>
      </c>
      <c r="OT97" s="199">
        <f t="shared" si="429"/>
        <v>0</v>
      </c>
      <c r="OU97" s="199">
        <f t="shared" si="430"/>
        <v>0</v>
      </c>
      <c r="OV97" s="199">
        <f t="shared" si="431"/>
        <v>0</v>
      </c>
      <c r="OW97" s="199">
        <f t="shared" si="432"/>
        <v>0</v>
      </c>
      <c r="OZ97" s="208">
        <f t="shared" si="380"/>
        <v>0</v>
      </c>
      <c r="PA97" s="209"/>
      <c r="PB97" s="209"/>
      <c r="PC97" s="209"/>
      <c r="PD97" s="210">
        <f t="shared" si="433"/>
        <v>0</v>
      </c>
      <c r="PE97" s="210"/>
      <c r="PF97" s="210">
        <f t="shared" si="434"/>
        <v>0</v>
      </c>
      <c r="PG97" s="210">
        <f t="shared" si="435"/>
        <v>0</v>
      </c>
      <c r="PH97" s="210">
        <f t="shared" si="381"/>
        <v>0</v>
      </c>
      <c r="PI97" s="210">
        <f t="shared" si="382"/>
        <v>0</v>
      </c>
      <c r="PJ97" s="210">
        <f t="shared" si="383"/>
        <v>0</v>
      </c>
      <c r="PK97" s="210">
        <f t="shared" si="384"/>
        <v>0</v>
      </c>
      <c r="PL97" s="210">
        <f t="shared" si="385"/>
        <v>0</v>
      </c>
      <c r="PM97" s="211"/>
      <c r="PN97" s="211"/>
      <c r="PO97" s="212">
        <f t="shared" si="436"/>
        <v>0</v>
      </c>
      <c r="PP97" s="212">
        <f t="shared" si="437"/>
        <v>0</v>
      </c>
      <c r="PQ97" s="212">
        <f t="shared" si="438"/>
        <v>0</v>
      </c>
      <c r="PR97" s="211"/>
      <c r="PS97" s="211"/>
      <c r="PT97" s="211"/>
      <c r="PU97" s="211"/>
    </row>
    <row r="98" spans="1:437 16384:16384" s="195" customFormat="1" ht="16" x14ac:dyDescent="0.2">
      <c r="A98" s="213">
        <f t="shared" si="564"/>
        <v>88</v>
      </c>
      <c r="B98" s="186" t="s">
        <v>55</v>
      </c>
      <c r="C98" s="186">
        <v>94</v>
      </c>
      <c r="D98" s="188">
        <v>1</v>
      </c>
      <c r="E98" s="188">
        <v>188</v>
      </c>
      <c r="F98" s="188">
        <v>1</v>
      </c>
      <c r="G98" s="188">
        <f t="shared" si="308"/>
        <v>188</v>
      </c>
      <c r="H98" s="214">
        <f>F98/$D98</f>
        <v>1</v>
      </c>
      <c r="I98" s="214">
        <f t="shared" si="537"/>
        <v>1</v>
      </c>
      <c r="J98" s="188">
        <v>1</v>
      </c>
      <c r="K98" s="188">
        <f t="shared" si="538"/>
        <v>188</v>
      </c>
      <c r="L98" s="214">
        <f t="shared" si="539"/>
        <v>1</v>
      </c>
      <c r="M98" s="214">
        <f t="shared" si="540"/>
        <v>1</v>
      </c>
      <c r="N98" s="188">
        <v>1</v>
      </c>
      <c r="O98" s="188">
        <f t="shared" si="541"/>
        <v>188</v>
      </c>
      <c r="P98" s="214">
        <f t="shared" si="542"/>
        <v>1</v>
      </c>
      <c r="Q98" s="214">
        <f t="shared" si="543"/>
        <v>1</v>
      </c>
      <c r="R98" s="188">
        <v>1</v>
      </c>
      <c r="S98" s="188">
        <f t="shared" si="544"/>
        <v>188</v>
      </c>
      <c r="T98" s="214">
        <f t="shared" si="545"/>
        <v>1</v>
      </c>
      <c r="U98" s="214">
        <f t="shared" si="546"/>
        <v>1</v>
      </c>
      <c r="V98" s="215">
        <v>1</v>
      </c>
      <c r="W98" s="188">
        <f t="shared" si="547"/>
        <v>188</v>
      </c>
      <c r="X98" s="214">
        <f t="shared" si="548"/>
        <v>1</v>
      </c>
      <c r="Y98" s="214">
        <f t="shared" si="549"/>
        <v>1</v>
      </c>
      <c r="Z98" s="216">
        <f>7000219000/1000000000</f>
        <v>7.0002190000000004</v>
      </c>
      <c r="AA98" s="188">
        <v>0</v>
      </c>
      <c r="AB98" s="188">
        <f t="shared" si="339"/>
        <v>0</v>
      </c>
      <c r="AC98" s="214">
        <f t="shared" si="340"/>
        <v>0</v>
      </c>
      <c r="AD98" s="214">
        <f t="shared" si="341"/>
        <v>0</v>
      </c>
      <c r="AE98" s="188"/>
      <c r="AF98" s="188">
        <f t="shared" si="342"/>
        <v>0</v>
      </c>
      <c r="AG98" s="188"/>
      <c r="AH98" s="188"/>
      <c r="AI98" s="188">
        <v>1</v>
      </c>
      <c r="AJ98" s="188">
        <f t="shared" si="550"/>
        <v>188</v>
      </c>
      <c r="AK98" s="188" t="s">
        <v>304</v>
      </c>
      <c r="AL98" s="188">
        <v>0</v>
      </c>
      <c r="AM98" s="188">
        <v>0</v>
      </c>
      <c r="AN98" s="217"/>
      <c r="AO98" s="188">
        <f t="shared" si="551"/>
        <v>1</v>
      </c>
      <c r="AP98" s="188">
        <f t="shared" si="552"/>
        <v>188</v>
      </c>
      <c r="AQ98" s="188">
        <f t="shared" si="553"/>
        <v>1</v>
      </c>
      <c r="AR98" s="188">
        <f t="shared" si="554"/>
        <v>188</v>
      </c>
      <c r="AS98" s="188">
        <f t="shared" si="555"/>
        <v>1</v>
      </c>
      <c r="AT98" s="188">
        <f t="shared" si="556"/>
        <v>188</v>
      </c>
      <c r="AU98" s="188">
        <f t="shared" si="557"/>
        <v>1</v>
      </c>
      <c r="AV98" s="188">
        <f t="shared" si="558"/>
        <v>188</v>
      </c>
      <c r="AW98" s="188">
        <f t="shared" si="559"/>
        <v>1</v>
      </c>
      <c r="AX98" s="188">
        <f t="shared" si="560"/>
        <v>188</v>
      </c>
      <c r="AY98" s="188">
        <f t="shared" si="561"/>
        <v>0</v>
      </c>
      <c r="AZ98" s="188">
        <f t="shared" si="562"/>
        <v>0</v>
      </c>
      <c r="BA98" s="188">
        <f t="shared" si="563"/>
        <v>7.0002190000000004</v>
      </c>
      <c r="BB98" s="188">
        <f t="shared" si="343"/>
        <v>0</v>
      </c>
      <c r="BD98" s="196">
        <f t="shared" si="386"/>
        <v>0</v>
      </c>
      <c r="BE98" s="188">
        <f t="shared" si="326"/>
        <v>0</v>
      </c>
      <c r="BF98" s="188">
        <f t="shared" si="327"/>
        <v>0</v>
      </c>
      <c r="BG98" s="188">
        <f t="shared" si="328"/>
        <v>0</v>
      </c>
      <c r="BH98" s="188">
        <f t="shared" si="329"/>
        <v>0</v>
      </c>
      <c r="BI98" s="188">
        <f t="shared" si="330"/>
        <v>0</v>
      </c>
      <c r="BJ98" s="188">
        <f t="shared" si="331"/>
        <v>0</v>
      </c>
      <c r="BK98" s="188">
        <f t="shared" si="332"/>
        <v>0</v>
      </c>
      <c r="BN98" s="143"/>
      <c r="BO98" s="277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B98" s="188"/>
      <c r="CD98" s="188">
        <f t="shared" si="344"/>
        <v>0</v>
      </c>
      <c r="CE98" s="188">
        <f t="shared" si="345"/>
        <v>0</v>
      </c>
      <c r="CF98" s="188">
        <f t="shared" si="346"/>
        <v>0</v>
      </c>
      <c r="CG98" s="188">
        <f t="shared" si="347"/>
        <v>0</v>
      </c>
      <c r="CH98" s="188">
        <f t="shared" si="348"/>
        <v>0</v>
      </c>
      <c r="CI98" s="188">
        <f t="shared" si="349"/>
        <v>0</v>
      </c>
      <c r="CJ98" s="188">
        <f t="shared" si="350"/>
        <v>0</v>
      </c>
      <c r="CK98" s="188">
        <f t="shared" si="351"/>
        <v>0</v>
      </c>
      <c r="CL98" s="188">
        <f t="shared" si="352"/>
        <v>0</v>
      </c>
      <c r="CM98" s="188">
        <f t="shared" si="353"/>
        <v>0</v>
      </c>
      <c r="CN98" s="188">
        <f t="shared" si="354"/>
        <v>0</v>
      </c>
      <c r="CO98" s="188">
        <f t="shared" si="355"/>
        <v>0</v>
      </c>
      <c r="CP98" s="188">
        <f t="shared" si="356"/>
        <v>0</v>
      </c>
      <c r="DV98" s="188">
        <f t="shared" si="333"/>
        <v>0</v>
      </c>
      <c r="DW98" s="188">
        <f t="shared" si="334"/>
        <v>0</v>
      </c>
      <c r="DX98" s="188">
        <f t="shared" si="335"/>
        <v>0</v>
      </c>
      <c r="DY98" s="188">
        <f t="shared" si="336"/>
        <v>0</v>
      </c>
      <c r="DZ98" s="188">
        <f t="shared" si="337"/>
        <v>0</v>
      </c>
      <c r="EA98" s="188">
        <f t="shared" si="338"/>
        <v>0</v>
      </c>
      <c r="EB98" s="188">
        <f t="shared" si="357"/>
        <v>0</v>
      </c>
      <c r="EG98" s="220">
        <f t="shared" si="358"/>
        <v>0</v>
      </c>
      <c r="EH98" s="220">
        <f t="shared" si="359"/>
        <v>0</v>
      </c>
      <c r="EI98" s="188"/>
      <c r="EJ98" s="188"/>
      <c r="EK98" s="188"/>
      <c r="EL98" s="188"/>
      <c r="EM98" s="188"/>
      <c r="EN98" s="188"/>
      <c r="EO98" s="188"/>
      <c r="EP98" s="188"/>
      <c r="EQ98" s="188"/>
      <c r="ER98" s="188"/>
      <c r="ES98" s="188"/>
      <c r="ET98" s="188"/>
      <c r="EU98" s="188"/>
      <c r="EV98" s="188"/>
      <c r="EW98" s="188"/>
      <c r="EX98" s="188"/>
      <c r="EY98" s="188"/>
      <c r="EZ98" s="188"/>
      <c r="FA98" s="188"/>
      <c r="FB98" s="188"/>
      <c r="FC98" s="188"/>
      <c r="FD98" s="188"/>
      <c r="FE98" s="188"/>
      <c r="FF98" s="188"/>
      <c r="FH98" s="189"/>
      <c r="FI98" s="189"/>
      <c r="FJ98" s="189"/>
      <c r="FK98" s="189"/>
      <c r="FL98" s="189"/>
      <c r="FM98" s="189"/>
      <c r="FN98" s="189"/>
      <c r="FO98" s="189"/>
      <c r="FP98" s="189"/>
      <c r="FQ98" s="189"/>
      <c r="FR98" s="189"/>
      <c r="FS98" s="189"/>
      <c r="FT98" s="189"/>
      <c r="FU98" s="189"/>
      <c r="FV98" s="189"/>
      <c r="FX98" s="217"/>
      <c r="FY98" s="188">
        <f t="shared" si="360"/>
        <v>0</v>
      </c>
      <c r="FZ98" s="188">
        <f t="shared" si="439"/>
        <v>0</v>
      </c>
      <c r="GA98" s="188">
        <f t="shared" si="440"/>
        <v>0</v>
      </c>
      <c r="GB98" s="188">
        <f t="shared" si="441"/>
        <v>0</v>
      </c>
      <c r="GC98" s="188">
        <f t="shared" si="442"/>
        <v>0</v>
      </c>
      <c r="GD98" s="188">
        <f t="shared" si="443"/>
        <v>0</v>
      </c>
      <c r="GE98" s="188">
        <f t="shared" si="444"/>
        <v>0</v>
      </c>
      <c r="GF98" s="199"/>
      <c r="GG98" s="188">
        <v>0</v>
      </c>
      <c r="GH98" s="188">
        <v>0</v>
      </c>
      <c r="GI98" s="199"/>
      <c r="GJ98" s="224">
        <f t="shared" si="361"/>
        <v>0</v>
      </c>
      <c r="GK98" s="224">
        <f t="shared" si="362"/>
        <v>0</v>
      </c>
      <c r="GO98" s="189">
        <f t="shared" si="445"/>
        <v>0</v>
      </c>
      <c r="GP98" s="189">
        <f t="shared" si="446"/>
        <v>0</v>
      </c>
      <c r="GQ98" s="189">
        <f t="shared" si="447"/>
        <v>0</v>
      </c>
      <c r="GR98" s="189">
        <f t="shared" si="448"/>
        <v>0</v>
      </c>
      <c r="GS98" s="189">
        <f t="shared" si="449"/>
        <v>0</v>
      </c>
      <c r="GT98" s="189">
        <f t="shared" si="506"/>
        <v>1</v>
      </c>
      <c r="GU98" s="201">
        <f t="shared" si="388"/>
        <v>43243</v>
      </c>
      <c r="GV98" s="189" t="str">
        <f t="shared" si="507"/>
        <v>SELESAI</v>
      </c>
      <c r="GW98" s="189">
        <f t="shared" si="508"/>
        <v>0</v>
      </c>
      <c r="GX98" s="202" t="str">
        <f t="shared" si="509"/>
        <v>SELESAI</v>
      </c>
      <c r="GY98" s="202">
        <f t="shared" si="510"/>
        <v>0</v>
      </c>
      <c r="GZ98" s="203" t="str">
        <f t="shared" si="511"/>
        <v>SELESAI</v>
      </c>
      <c r="HA98" s="204"/>
      <c r="HB98" s="204"/>
      <c r="HC98" s="189">
        <f t="shared" si="450"/>
        <v>0</v>
      </c>
      <c r="HD98" s="189">
        <f t="shared" si="451"/>
        <v>0</v>
      </c>
      <c r="HE98" s="189">
        <f t="shared" si="512"/>
        <v>0</v>
      </c>
      <c r="HF98" s="189">
        <f t="shared" si="513"/>
        <v>0</v>
      </c>
      <c r="HG98" s="189">
        <f t="shared" si="514"/>
        <v>0</v>
      </c>
      <c r="HH98" s="201" t="str">
        <f t="shared" si="515"/>
        <v>TIDAK KONSINYASI</v>
      </c>
      <c r="HI98" s="201" t="str">
        <f t="shared" si="516"/>
        <v>SELESAI</v>
      </c>
      <c r="HJ98" s="205"/>
      <c r="HK98" s="228">
        <f t="shared" si="517"/>
        <v>0</v>
      </c>
      <c r="HL98" s="204"/>
      <c r="HM98" s="204"/>
      <c r="HN98" s="204"/>
      <c r="HO98" s="204"/>
      <c r="HP98" s="203">
        <f t="shared" si="518"/>
        <v>0</v>
      </c>
      <c r="HQ98" s="202">
        <f t="shared" si="519"/>
        <v>0</v>
      </c>
      <c r="HR98" s="202">
        <f t="shared" si="452"/>
        <v>0</v>
      </c>
      <c r="HS98" s="203">
        <f t="shared" si="520"/>
        <v>0</v>
      </c>
      <c r="HT98" s="202">
        <f t="shared" si="521"/>
        <v>0</v>
      </c>
      <c r="HU98" s="202">
        <f t="shared" si="453"/>
        <v>0</v>
      </c>
      <c r="HV98" s="203">
        <f t="shared" si="522"/>
        <v>0</v>
      </c>
      <c r="HW98" s="202">
        <f t="shared" si="403"/>
        <v>0</v>
      </c>
      <c r="HX98" s="202">
        <f t="shared" si="454"/>
        <v>0</v>
      </c>
      <c r="HY98" s="203">
        <f t="shared" si="523"/>
        <v>0</v>
      </c>
      <c r="HZ98" s="202">
        <f t="shared" si="524"/>
        <v>0</v>
      </c>
      <c r="IA98" s="202">
        <f t="shared" si="455"/>
        <v>0</v>
      </c>
      <c r="IB98" s="203">
        <f t="shared" si="525"/>
        <v>0</v>
      </c>
      <c r="IC98" s="202">
        <f t="shared" si="526"/>
        <v>0</v>
      </c>
      <c r="ID98" s="202">
        <f t="shared" si="456"/>
        <v>0</v>
      </c>
      <c r="IE98" s="203">
        <f t="shared" si="527"/>
        <v>0</v>
      </c>
      <c r="IF98" s="202">
        <f t="shared" si="528"/>
        <v>0</v>
      </c>
      <c r="IG98" s="202">
        <f t="shared" si="457"/>
        <v>0</v>
      </c>
      <c r="IH98" s="203">
        <f t="shared" si="529"/>
        <v>0</v>
      </c>
      <c r="II98" s="202">
        <f t="shared" si="530"/>
        <v>0</v>
      </c>
      <c r="IJ98" s="202">
        <f t="shared" si="458"/>
        <v>0</v>
      </c>
      <c r="IK98" s="203">
        <f t="shared" si="531"/>
        <v>0</v>
      </c>
      <c r="IL98" s="202">
        <f t="shared" si="532"/>
        <v>0</v>
      </c>
      <c r="IM98" s="202">
        <f t="shared" si="459"/>
        <v>0</v>
      </c>
      <c r="IN98" s="204"/>
      <c r="IO98" s="203">
        <f t="shared" si="533"/>
        <v>0</v>
      </c>
      <c r="IP98" s="202">
        <f t="shared" si="460"/>
        <v>0</v>
      </c>
      <c r="IQ98" s="202">
        <f t="shared" si="461"/>
        <v>0</v>
      </c>
      <c r="IR98" s="204"/>
      <c r="IS98" s="203"/>
      <c r="IT98" s="202">
        <f t="shared" si="462"/>
        <v>1</v>
      </c>
      <c r="IU98" s="202">
        <f t="shared" si="463"/>
        <v>188</v>
      </c>
      <c r="IV98" s="204"/>
      <c r="IW98" s="203"/>
      <c r="IX98" s="202">
        <f t="shared" si="464"/>
        <v>0</v>
      </c>
      <c r="IY98" s="202">
        <f t="shared" si="465"/>
        <v>0</v>
      </c>
      <c r="IZ98" s="204"/>
      <c r="JA98" s="203"/>
      <c r="JB98" s="202">
        <f t="shared" si="466"/>
        <v>0</v>
      </c>
      <c r="JC98" s="202">
        <f t="shared" si="467"/>
        <v>0</v>
      </c>
      <c r="JD98" s="204"/>
      <c r="JE98" s="203"/>
      <c r="JF98" s="202">
        <f t="shared" si="534"/>
        <v>1</v>
      </c>
      <c r="JG98" s="202">
        <f t="shared" si="535"/>
        <v>188</v>
      </c>
      <c r="JH98" s="204"/>
      <c r="JI98" s="203"/>
      <c r="JJ98" s="202">
        <f t="shared" si="468"/>
        <v>0</v>
      </c>
      <c r="JK98" s="202">
        <f t="shared" si="469"/>
        <v>0</v>
      </c>
      <c r="JM98" s="203">
        <f t="shared" si="409"/>
        <v>0</v>
      </c>
      <c r="JO98" s="196">
        <f t="shared" si="372"/>
        <v>0</v>
      </c>
      <c r="JP98" s="189">
        <f t="shared" si="470"/>
        <v>0</v>
      </c>
      <c r="JQ98" s="189">
        <f t="shared" si="471"/>
        <v>0</v>
      </c>
      <c r="JR98" s="189">
        <f t="shared" si="472"/>
        <v>0</v>
      </c>
      <c r="JS98" s="189">
        <f t="shared" si="473"/>
        <v>0</v>
      </c>
      <c r="JT98" s="189">
        <f t="shared" si="474"/>
        <v>0</v>
      </c>
      <c r="JU98" s="189">
        <f t="shared" si="475"/>
        <v>0</v>
      </c>
      <c r="JV98" s="189">
        <f t="shared" si="476"/>
        <v>0</v>
      </c>
      <c r="JW98" s="189">
        <f t="shared" si="477"/>
        <v>0</v>
      </c>
      <c r="JX98" s="189">
        <f t="shared" si="478"/>
        <v>0</v>
      </c>
      <c r="JY98" s="189">
        <f t="shared" si="479"/>
        <v>0</v>
      </c>
      <c r="JZ98" s="189">
        <f t="shared" si="480"/>
        <v>0</v>
      </c>
      <c r="KA98" s="189">
        <f t="shared" si="481"/>
        <v>0</v>
      </c>
      <c r="KB98" s="189">
        <f t="shared" si="482"/>
        <v>0</v>
      </c>
      <c r="KD98" s="206">
        <f t="shared" si="410"/>
        <v>0</v>
      </c>
      <c r="KE98" s="206">
        <f t="shared" si="373"/>
        <v>0</v>
      </c>
      <c r="KF98" s="206">
        <f t="shared" si="483"/>
        <v>0</v>
      </c>
      <c r="KG98" s="206">
        <f t="shared" si="484"/>
        <v>0</v>
      </c>
      <c r="KH98" s="206">
        <f t="shared" si="485"/>
        <v>0</v>
      </c>
      <c r="KI98" s="206">
        <f t="shared" si="486"/>
        <v>0</v>
      </c>
      <c r="KJ98" s="206">
        <f t="shared" si="487"/>
        <v>0</v>
      </c>
      <c r="KK98" s="206">
        <f t="shared" si="488"/>
        <v>0</v>
      </c>
      <c r="KL98" s="206">
        <f t="shared" si="489"/>
        <v>0</v>
      </c>
      <c r="KM98" s="206">
        <f t="shared" si="490"/>
        <v>0</v>
      </c>
      <c r="KN98" s="221">
        <f t="shared" si="491"/>
        <v>0</v>
      </c>
      <c r="KO98" s="221">
        <f t="shared" si="492"/>
        <v>0</v>
      </c>
      <c r="KP98" s="221">
        <f t="shared" si="493"/>
        <v>0</v>
      </c>
      <c r="KQ98" s="221">
        <f t="shared" si="494"/>
        <v>0</v>
      </c>
      <c r="KR98" s="221">
        <f t="shared" si="495"/>
        <v>0</v>
      </c>
      <c r="KT98" s="195">
        <f t="shared" si="496"/>
        <v>0</v>
      </c>
      <c r="KU98" s="221"/>
      <c r="KV98" s="221"/>
      <c r="KW98" s="221"/>
      <c r="KX98" s="221"/>
      <c r="KY98" s="221"/>
      <c r="KZ98" s="221"/>
      <c r="LA98" s="221"/>
      <c r="LB98" s="221"/>
      <c r="LC98" s="221"/>
      <c r="LD98" s="221"/>
      <c r="LE98" s="221"/>
      <c r="LF98" s="221"/>
      <c r="LG98" s="221"/>
      <c r="LH98" s="221"/>
      <c r="LI98" s="221"/>
      <c r="LJ98" s="221"/>
      <c r="LK98" s="221"/>
      <c r="LL98" s="221"/>
      <c r="LM98" s="221"/>
      <c r="LN98" s="221"/>
      <c r="LO98" s="221"/>
      <c r="LP98" s="221"/>
      <c r="LQ98" s="221"/>
      <c r="LR98" s="221"/>
      <c r="LS98" s="221"/>
      <c r="LT98" s="221"/>
      <c r="LU98" s="221"/>
      <c r="LV98" s="221"/>
      <c r="LW98" s="221"/>
      <c r="LX98" s="221"/>
      <c r="LY98" s="221"/>
      <c r="LZ98" s="221"/>
      <c r="MA98" s="221"/>
      <c r="MB98" s="221"/>
      <c r="MC98" s="221"/>
      <c r="MD98" s="221"/>
      <c r="ME98" s="221"/>
      <c r="MF98" s="221"/>
      <c r="MG98" s="221"/>
      <c r="MH98" s="221"/>
      <c r="MI98" s="221"/>
      <c r="MJ98" s="221"/>
      <c r="MK98" s="221"/>
      <c r="ML98" s="221"/>
      <c r="MM98" s="221"/>
      <c r="MN98" s="221"/>
      <c r="MO98" s="221"/>
      <c r="MP98" s="221"/>
      <c r="MQ98" s="221"/>
      <c r="MR98" s="221"/>
      <c r="MS98" s="221"/>
      <c r="MT98" s="221"/>
      <c r="MU98" s="221"/>
      <c r="MV98" s="221"/>
      <c r="MW98" s="221"/>
      <c r="MX98" s="221"/>
      <c r="MY98" s="221"/>
      <c r="MZ98" s="221"/>
      <c r="NA98" s="221"/>
      <c r="NB98" s="221"/>
      <c r="NC98" s="221"/>
      <c r="ND98" s="221"/>
      <c r="NE98" s="221"/>
      <c r="NF98" s="221"/>
      <c r="NG98" s="221"/>
      <c r="NH98" s="221"/>
      <c r="NI98" s="221"/>
      <c r="NJ98" s="221"/>
      <c r="NK98" s="221"/>
      <c r="NM98" s="195">
        <f t="shared" si="411"/>
        <v>0</v>
      </c>
      <c r="NN98" s="195">
        <f t="shared" si="412"/>
        <v>0</v>
      </c>
      <c r="NO98" s="195">
        <f t="shared" si="413"/>
        <v>0</v>
      </c>
      <c r="NP98" s="195">
        <f t="shared" si="414"/>
        <v>0</v>
      </c>
      <c r="NQ98" s="195">
        <f t="shared" si="415"/>
        <v>0</v>
      </c>
      <c r="NR98" s="195">
        <f t="shared" si="416"/>
        <v>0</v>
      </c>
      <c r="NS98" s="195">
        <f t="shared" si="417"/>
        <v>0</v>
      </c>
      <c r="NT98" s="195">
        <f t="shared" si="418"/>
        <v>0</v>
      </c>
      <c r="NU98" s="196">
        <f t="shared" si="419"/>
        <v>0</v>
      </c>
      <c r="NY98" s="215">
        <f t="shared" si="420"/>
        <v>1</v>
      </c>
      <c r="NZ98" s="222">
        <v>12500000</v>
      </c>
      <c r="OE98" s="207">
        <f t="shared" si="374"/>
        <v>0</v>
      </c>
      <c r="OF98" s="207">
        <f t="shared" si="375"/>
        <v>0</v>
      </c>
      <c r="OG98" s="207">
        <f t="shared" si="376"/>
        <v>0</v>
      </c>
      <c r="OH98" s="207">
        <f t="shared" si="421"/>
        <v>0</v>
      </c>
      <c r="OI98" s="207">
        <f t="shared" si="377"/>
        <v>0</v>
      </c>
      <c r="OJ98" s="199">
        <f t="shared" si="422"/>
        <v>0</v>
      </c>
      <c r="OK98" s="199">
        <f t="shared" si="423"/>
        <v>0</v>
      </c>
      <c r="OL98" s="199">
        <f t="shared" si="424"/>
        <v>0</v>
      </c>
      <c r="OM98" s="199">
        <f t="shared" si="425"/>
        <v>0</v>
      </c>
      <c r="OO98" s="207">
        <f t="shared" si="378"/>
        <v>0</v>
      </c>
      <c r="OP98" s="207">
        <f t="shared" si="379"/>
        <v>0</v>
      </c>
      <c r="OQ98" s="207">
        <f t="shared" si="426"/>
        <v>0</v>
      </c>
      <c r="OR98" s="207">
        <f t="shared" si="427"/>
        <v>0</v>
      </c>
      <c r="OS98" s="207">
        <f t="shared" si="428"/>
        <v>0</v>
      </c>
      <c r="OT98" s="199">
        <f t="shared" si="429"/>
        <v>0</v>
      </c>
      <c r="OU98" s="199">
        <f t="shared" si="430"/>
        <v>0</v>
      </c>
      <c r="OV98" s="199">
        <f t="shared" si="431"/>
        <v>0</v>
      </c>
      <c r="OW98" s="199">
        <f t="shared" si="432"/>
        <v>0</v>
      </c>
      <c r="OZ98" s="208">
        <f t="shared" si="380"/>
        <v>0</v>
      </c>
      <c r="PA98" s="209"/>
      <c r="PB98" s="209"/>
      <c r="PC98" s="209"/>
      <c r="PD98" s="210">
        <f t="shared" si="433"/>
        <v>0</v>
      </c>
      <c r="PE98" s="210"/>
      <c r="PF98" s="210">
        <f t="shared" si="434"/>
        <v>0</v>
      </c>
      <c r="PG98" s="210">
        <f t="shared" si="435"/>
        <v>0</v>
      </c>
      <c r="PH98" s="210">
        <f t="shared" si="381"/>
        <v>0</v>
      </c>
      <c r="PI98" s="210">
        <f t="shared" si="382"/>
        <v>0</v>
      </c>
      <c r="PJ98" s="210">
        <f t="shared" si="383"/>
        <v>0</v>
      </c>
      <c r="PK98" s="210">
        <f t="shared" si="384"/>
        <v>0</v>
      </c>
      <c r="PL98" s="210">
        <f t="shared" si="385"/>
        <v>0</v>
      </c>
      <c r="PM98" s="211"/>
      <c r="PN98" s="211"/>
      <c r="PO98" s="212">
        <f t="shared" si="436"/>
        <v>0</v>
      </c>
      <c r="PP98" s="212">
        <f t="shared" si="437"/>
        <v>0</v>
      </c>
      <c r="PQ98" s="212">
        <f t="shared" si="438"/>
        <v>0</v>
      </c>
      <c r="PR98" s="211"/>
      <c r="PS98" s="211"/>
      <c r="PT98" s="211"/>
      <c r="PU98" s="211"/>
    </row>
    <row r="99" spans="1:437 16384:16384" s="195" customFormat="1" ht="16" x14ac:dyDescent="0.2">
      <c r="A99" s="213">
        <f t="shared" si="564"/>
        <v>89</v>
      </c>
      <c r="B99" s="186" t="s">
        <v>404</v>
      </c>
      <c r="C99" s="186">
        <v>95</v>
      </c>
      <c r="D99" s="188">
        <v>1</v>
      </c>
      <c r="E99" s="188">
        <v>45</v>
      </c>
      <c r="F99" s="188">
        <v>1</v>
      </c>
      <c r="G99" s="188">
        <f t="shared" si="308"/>
        <v>45</v>
      </c>
      <c r="H99" s="214">
        <f t="shared" ref="H99:H126" si="565">F99/$D99</f>
        <v>1</v>
      </c>
      <c r="I99" s="214">
        <f t="shared" si="537"/>
        <v>1</v>
      </c>
      <c r="J99" s="188">
        <v>1</v>
      </c>
      <c r="K99" s="188">
        <f t="shared" si="538"/>
        <v>45</v>
      </c>
      <c r="L99" s="214">
        <f t="shared" si="539"/>
        <v>1</v>
      </c>
      <c r="M99" s="214">
        <f t="shared" si="540"/>
        <v>1</v>
      </c>
      <c r="N99" s="188">
        <v>1</v>
      </c>
      <c r="O99" s="188">
        <f t="shared" si="541"/>
        <v>45</v>
      </c>
      <c r="P99" s="214">
        <f t="shared" si="542"/>
        <v>1</v>
      </c>
      <c r="Q99" s="214">
        <f t="shared" si="543"/>
        <v>1</v>
      </c>
      <c r="R99" s="188">
        <v>1</v>
      </c>
      <c r="S99" s="188">
        <f t="shared" si="544"/>
        <v>45</v>
      </c>
      <c r="T99" s="214">
        <f t="shared" si="545"/>
        <v>1</v>
      </c>
      <c r="U99" s="214">
        <f t="shared" si="546"/>
        <v>1</v>
      </c>
      <c r="V99" s="215">
        <v>1</v>
      </c>
      <c r="W99" s="188">
        <f t="shared" si="547"/>
        <v>45</v>
      </c>
      <c r="X99" s="214">
        <f t="shared" si="548"/>
        <v>1</v>
      </c>
      <c r="Y99" s="214">
        <f t="shared" si="549"/>
        <v>1</v>
      </c>
      <c r="Z99" s="216">
        <f>766532000/1000000000</f>
        <v>0.76653199999999999</v>
      </c>
      <c r="AA99" s="188">
        <v>0</v>
      </c>
      <c r="AB99" s="188">
        <f t="shared" si="339"/>
        <v>0</v>
      </c>
      <c r="AC99" s="214">
        <f t="shared" si="340"/>
        <v>0</v>
      </c>
      <c r="AD99" s="214">
        <f t="shared" si="341"/>
        <v>0</v>
      </c>
      <c r="AE99" s="188"/>
      <c r="AF99" s="188">
        <f t="shared" si="342"/>
        <v>0</v>
      </c>
      <c r="AG99" s="188"/>
      <c r="AH99" s="188"/>
      <c r="AI99" s="188"/>
      <c r="AJ99" s="188">
        <f t="shared" ref="AJ99:AJ101" si="566">IF(AI99=D99,E99,0)</f>
        <v>0</v>
      </c>
      <c r="AK99" s="188"/>
      <c r="AL99" s="188">
        <v>0</v>
      </c>
      <c r="AM99" s="188">
        <v>0</v>
      </c>
      <c r="AN99" s="217"/>
      <c r="AO99" s="188">
        <f t="shared" ref="AO99:AO101" si="567">IF(AI99=1,D99,0)</f>
        <v>0</v>
      </c>
      <c r="AP99" s="188">
        <f t="shared" ref="AP99:AP101" si="568">IF(AO99=D99,E99,0)</f>
        <v>0</v>
      </c>
      <c r="AQ99" s="188">
        <f t="shared" ref="AQ99:AQ106" si="569">IF(AI99=1,J99,0)</f>
        <v>0</v>
      </c>
      <c r="AR99" s="188">
        <f t="shared" ref="AR99:AR106" si="570">IF(AQ99=1,K99,0)</f>
        <v>0</v>
      </c>
      <c r="AS99" s="188">
        <f t="shared" ref="AS99:AS106" si="571">IF(AI99=1,N99,0)</f>
        <v>0</v>
      </c>
      <c r="AT99" s="188">
        <f t="shared" ref="AT99:AT106" si="572">IF(AS99=1,O99,0)</f>
        <v>0</v>
      </c>
      <c r="AU99" s="188">
        <f t="shared" ref="AU99:AU106" si="573">IF(AI99=1,R99,0)</f>
        <v>0</v>
      </c>
      <c r="AV99" s="188">
        <f t="shared" ref="AV99:AV106" si="574">IF(AU99=1,S99,0)</f>
        <v>0</v>
      </c>
      <c r="AW99" s="188">
        <f t="shared" ref="AW99:AW106" si="575">IF(AI99=1,V99,0)</f>
        <v>0</v>
      </c>
      <c r="AX99" s="188">
        <f t="shared" ref="AX99:AX106" si="576">IF(AW99=1,W99,0)</f>
        <v>0</v>
      </c>
      <c r="AY99" s="188">
        <f t="shared" ref="AY99:AY106" si="577">AU99-AW99</f>
        <v>0</v>
      </c>
      <c r="AZ99" s="188">
        <f t="shared" ref="AZ99:AZ106" si="578">AV99-AX99</f>
        <v>0</v>
      </c>
      <c r="BA99" s="188">
        <f t="shared" ref="BA99:BA106" si="579">IF(AW99=1,Z99,0)</f>
        <v>0</v>
      </c>
      <c r="BB99" s="188">
        <f t="shared" ref="BB99" si="580">IF(AN99=1,G99,0)</f>
        <v>0</v>
      </c>
      <c r="BD99" s="196">
        <f t="shared" si="386"/>
        <v>0</v>
      </c>
      <c r="BE99" s="188">
        <f t="shared" ref="BE99:BE106" si="581">IF(AF99=1,S99,0)</f>
        <v>0</v>
      </c>
      <c r="BF99" s="188">
        <f t="shared" ref="BF99:BF106" si="582">IF(AG99="A",S99,0)</f>
        <v>0</v>
      </c>
      <c r="BG99" s="188">
        <f t="shared" ref="BG99:BG106" si="583">IF(AG99="B",S99,0)</f>
        <v>0</v>
      </c>
      <c r="BH99" s="188">
        <f t="shared" ref="BH99:BH106" si="584">IF(AG99="C",S99,0)</f>
        <v>0</v>
      </c>
      <c r="BI99" s="188">
        <f t="shared" ref="BI99:BI106" si="585">IF(AG99="D",S99,0)</f>
        <v>0</v>
      </c>
      <c r="BJ99" s="188">
        <f t="shared" ref="BJ99:BJ106" si="586">IF(AG99="E",S99,0)</f>
        <v>0</v>
      </c>
      <c r="BK99" s="188">
        <f t="shared" ref="BK99:BK106" si="587">SUM(BF99:BJ99)</f>
        <v>0</v>
      </c>
      <c r="BN99" s="143"/>
      <c r="BO99" s="277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B99" s="188"/>
      <c r="CD99" s="188">
        <f t="shared" si="344"/>
        <v>0</v>
      </c>
      <c r="CE99" s="188">
        <f t="shared" si="345"/>
        <v>0</v>
      </c>
      <c r="CF99" s="188">
        <f t="shared" ref="CF99:CF100" si="588">IF(BP99=1,$CD99,0)</f>
        <v>0</v>
      </c>
      <c r="CG99" s="188">
        <f t="shared" ref="CG99:CG100" si="589">IF(BQ99=1,$CD99,0)</f>
        <v>0</v>
      </c>
      <c r="CH99" s="188">
        <f t="shared" ref="CH99:CH100" si="590">IF(BR99=1,$CD99,0)</f>
        <v>0</v>
      </c>
      <c r="CI99" s="188">
        <f t="shared" ref="CI99:CI100" si="591">IF(BS99=1,$CD99,0)</f>
        <v>0</v>
      </c>
      <c r="CJ99" s="188">
        <f t="shared" ref="CJ99:CJ100" si="592">IF(BT99=1,$CD99,0)</f>
        <v>0</v>
      </c>
      <c r="CK99" s="188">
        <f t="shared" ref="CK99:CK100" si="593">IF(BU99=1,$CD99,0)</f>
        <v>0</v>
      </c>
      <c r="CL99" s="188">
        <f t="shared" ref="CL99:CL100" si="594">IF(BV99=1,$CD99,0)</f>
        <v>0</v>
      </c>
      <c r="CM99" s="188">
        <f t="shared" ref="CM99:CM100" si="595">IF(BW99=1,$CD99,0)</f>
        <v>0</v>
      </c>
      <c r="CN99" s="188">
        <f t="shared" ref="CN99:CN100" si="596">IF(BX99=1,$CD99,0)</f>
        <v>0</v>
      </c>
      <c r="CO99" s="188">
        <f t="shared" ref="CO99:CO100" si="597">IF(BY99=1,$CD99,0)</f>
        <v>0</v>
      </c>
      <c r="CP99" s="188">
        <f t="shared" ref="CP99:CP100" si="598">IF(BZ99=1,$CD99,0)</f>
        <v>0</v>
      </c>
      <c r="DV99" s="188">
        <f t="shared" ref="DV99:DV106" si="599">IF(CB99=1,G99,0)</f>
        <v>0</v>
      </c>
      <c r="DW99" s="188">
        <f t="shared" ref="DW99:DW106" si="600">IF(CC99="A",G99,0)</f>
        <v>0</v>
      </c>
      <c r="DX99" s="188">
        <f t="shared" ref="DX99:DX106" si="601">IF(CC99="B",G99,0)</f>
        <v>0</v>
      </c>
      <c r="DY99" s="188">
        <f t="shared" ref="DY99:DY106" si="602">IF(CC99="C",G99,0)</f>
        <v>0</v>
      </c>
      <c r="DZ99" s="188">
        <f t="shared" ref="DZ99:DZ106" si="603">IF(CC99="D",G99,0)</f>
        <v>0</v>
      </c>
      <c r="EA99" s="188">
        <f t="shared" ref="EA99:EA106" si="604">IF(CC99="E",G99,0)</f>
        <v>0</v>
      </c>
      <c r="EB99" s="188">
        <f t="shared" ref="EB99:EB106" si="605">SUM(DW99:EA99)</f>
        <v>0</v>
      </c>
      <c r="EG99" s="220">
        <f t="shared" ref="EG99:EG106" si="606">IF(AG99="C","C",IF(AG99="D","D",0))</f>
        <v>0</v>
      </c>
      <c r="EH99" s="220">
        <f t="shared" ref="EH99:EH106" si="607">CC99</f>
        <v>0</v>
      </c>
      <c r="EI99" s="188"/>
      <c r="EJ99" s="188"/>
      <c r="EK99" s="188"/>
      <c r="EL99" s="188"/>
      <c r="EM99" s="188"/>
      <c r="EN99" s="188"/>
      <c r="EO99" s="188"/>
      <c r="EP99" s="188"/>
      <c r="EQ99" s="188"/>
      <c r="ER99" s="188"/>
      <c r="ES99" s="188"/>
      <c r="ET99" s="188"/>
      <c r="EU99" s="188"/>
      <c r="EV99" s="188"/>
      <c r="EW99" s="188"/>
      <c r="EX99" s="188"/>
      <c r="EY99" s="188"/>
      <c r="EZ99" s="188"/>
      <c r="FA99" s="188"/>
      <c r="FB99" s="188"/>
      <c r="FC99" s="188"/>
      <c r="FD99" s="188"/>
      <c r="FE99" s="188"/>
      <c r="FF99" s="188"/>
      <c r="FH99" s="189"/>
      <c r="FI99" s="189"/>
      <c r="FJ99" s="189"/>
      <c r="FK99" s="189"/>
      <c r="FL99" s="189"/>
      <c r="FM99" s="189"/>
      <c r="FN99" s="189"/>
      <c r="FO99" s="189"/>
      <c r="FP99" s="189"/>
      <c r="FQ99" s="189"/>
      <c r="FR99" s="189"/>
      <c r="FS99" s="189"/>
      <c r="FT99" s="189"/>
      <c r="FU99" s="189"/>
      <c r="FV99" s="189"/>
      <c r="FX99" s="217"/>
      <c r="FY99" s="188">
        <f t="shared" ref="FY99:FY100" si="608">SUM(FZ99:GE99)</f>
        <v>0</v>
      </c>
      <c r="FZ99" s="188">
        <f t="shared" si="439"/>
        <v>0</v>
      </c>
      <c r="GA99" s="188">
        <f t="shared" si="440"/>
        <v>0</v>
      </c>
      <c r="GB99" s="188">
        <f t="shared" si="441"/>
        <v>0</v>
      </c>
      <c r="GC99" s="188">
        <f t="shared" si="442"/>
        <v>0</v>
      </c>
      <c r="GD99" s="188">
        <f t="shared" si="443"/>
        <v>0</v>
      </c>
      <c r="GE99" s="188">
        <f t="shared" si="444"/>
        <v>0</v>
      </c>
      <c r="GF99" s="199"/>
      <c r="GG99" s="188">
        <v>0</v>
      </c>
      <c r="GH99" s="188">
        <v>0</v>
      </c>
      <c r="GI99" s="199"/>
      <c r="GJ99" s="224">
        <f t="shared" ref="GJ99:GJ106" si="609">FY99*GG99/1000000000</f>
        <v>0</v>
      </c>
      <c r="GK99" s="224">
        <f t="shared" ref="GK99:GK106" si="610">FY99*GH99/1000000000</f>
        <v>0</v>
      </c>
      <c r="GO99" s="189">
        <f t="shared" si="445"/>
        <v>0</v>
      </c>
      <c r="GP99" s="189">
        <f t="shared" si="446"/>
        <v>0</v>
      </c>
      <c r="GQ99" s="189">
        <f t="shared" si="447"/>
        <v>0</v>
      </c>
      <c r="GR99" s="189">
        <f t="shared" si="448"/>
        <v>0</v>
      </c>
      <c r="GS99" s="189">
        <f t="shared" si="449"/>
        <v>0</v>
      </c>
      <c r="GT99" s="189">
        <f t="shared" si="506"/>
        <v>1</v>
      </c>
      <c r="GU99" s="201">
        <f t="shared" si="388"/>
        <v>43243</v>
      </c>
      <c r="GV99" s="189" t="str">
        <f t="shared" si="507"/>
        <v>SELESAI</v>
      </c>
      <c r="GW99" s="189">
        <f t="shared" si="508"/>
        <v>0</v>
      </c>
      <c r="GX99" s="202" t="str">
        <f t="shared" si="509"/>
        <v>SELESAI</v>
      </c>
      <c r="GY99" s="202">
        <f t="shared" si="510"/>
        <v>0</v>
      </c>
      <c r="GZ99" s="203" t="str">
        <f t="shared" si="511"/>
        <v>SELESAI</v>
      </c>
      <c r="HA99" s="204"/>
      <c r="HB99" s="204"/>
      <c r="HC99" s="189">
        <f t="shared" si="450"/>
        <v>0</v>
      </c>
      <c r="HD99" s="189">
        <f t="shared" si="451"/>
        <v>0</v>
      </c>
      <c r="HE99" s="189">
        <f t="shared" si="512"/>
        <v>0</v>
      </c>
      <c r="HF99" s="189">
        <f t="shared" si="513"/>
        <v>0</v>
      </c>
      <c r="HG99" s="189">
        <f t="shared" si="514"/>
        <v>0</v>
      </c>
      <c r="HH99" s="201" t="str">
        <f t="shared" si="515"/>
        <v>TIDAK KONSINYASI</v>
      </c>
      <c r="HI99" s="201" t="str">
        <f t="shared" si="516"/>
        <v>SELESAI</v>
      </c>
      <c r="HJ99" s="205"/>
      <c r="HK99" s="228">
        <f t="shared" si="517"/>
        <v>0</v>
      </c>
      <c r="HL99" s="204"/>
      <c r="HM99" s="204"/>
      <c r="HN99" s="204"/>
      <c r="HO99" s="204"/>
      <c r="HP99" s="203">
        <f t="shared" si="518"/>
        <v>0</v>
      </c>
      <c r="HQ99" s="202">
        <f t="shared" si="519"/>
        <v>0</v>
      </c>
      <c r="HR99" s="202">
        <f t="shared" si="452"/>
        <v>0</v>
      </c>
      <c r="HS99" s="203">
        <f t="shared" si="520"/>
        <v>0</v>
      </c>
      <c r="HT99" s="202">
        <f t="shared" si="521"/>
        <v>0</v>
      </c>
      <c r="HU99" s="202">
        <f t="shared" si="453"/>
        <v>0</v>
      </c>
      <c r="HV99" s="203">
        <f t="shared" si="522"/>
        <v>0</v>
      </c>
      <c r="HW99" s="202">
        <f t="shared" si="403"/>
        <v>0</v>
      </c>
      <c r="HX99" s="202">
        <f t="shared" si="454"/>
        <v>0</v>
      </c>
      <c r="HY99" s="203">
        <f t="shared" si="523"/>
        <v>0</v>
      </c>
      <c r="HZ99" s="202">
        <f t="shared" si="524"/>
        <v>0</v>
      </c>
      <c r="IA99" s="202">
        <f t="shared" si="455"/>
        <v>0</v>
      </c>
      <c r="IB99" s="203">
        <f t="shared" si="525"/>
        <v>0</v>
      </c>
      <c r="IC99" s="188">
        <f t="shared" si="526"/>
        <v>0</v>
      </c>
      <c r="ID99" s="188">
        <f t="shared" si="456"/>
        <v>0</v>
      </c>
      <c r="IE99" s="228">
        <f t="shared" si="527"/>
        <v>0</v>
      </c>
      <c r="IF99" s="188">
        <f t="shared" si="528"/>
        <v>0</v>
      </c>
      <c r="IG99" s="188">
        <f t="shared" si="457"/>
        <v>0</v>
      </c>
      <c r="IH99" s="228">
        <f t="shared" si="529"/>
        <v>0</v>
      </c>
      <c r="II99" s="188">
        <f t="shared" si="530"/>
        <v>0</v>
      </c>
      <c r="IJ99" s="188">
        <f t="shared" si="458"/>
        <v>0</v>
      </c>
      <c r="IK99" s="228">
        <f t="shared" si="531"/>
        <v>0</v>
      </c>
      <c r="IL99" s="188">
        <f t="shared" si="532"/>
        <v>0</v>
      </c>
      <c r="IM99" s="188">
        <f t="shared" si="459"/>
        <v>0</v>
      </c>
      <c r="IN99" s="204"/>
      <c r="IO99" s="203">
        <f t="shared" si="533"/>
        <v>0</v>
      </c>
      <c r="IP99" s="202">
        <f t="shared" si="460"/>
        <v>0</v>
      </c>
      <c r="IQ99" s="202">
        <f t="shared" si="461"/>
        <v>0</v>
      </c>
      <c r="IR99" s="204"/>
      <c r="IS99" s="203"/>
      <c r="IT99" s="202">
        <f t="shared" si="462"/>
        <v>1</v>
      </c>
      <c r="IU99" s="202">
        <f t="shared" si="463"/>
        <v>45</v>
      </c>
      <c r="IV99" s="204"/>
      <c r="IW99" s="203"/>
      <c r="IX99" s="202">
        <f t="shared" si="464"/>
        <v>0</v>
      </c>
      <c r="IY99" s="202">
        <f t="shared" si="465"/>
        <v>0</v>
      </c>
      <c r="IZ99" s="204"/>
      <c r="JA99" s="203"/>
      <c r="JB99" s="202">
        <f t="shared" si="466"/>
        <v>0</v>
      </c>
      <c r="JC99" s="202">
        <f t="shared" si="467"/>
        <v>0</v>
      </c>
      <c r="JD99" s="204"/>
      <c r="JE99" s="203"/>
      <c r="JF99" s="202">
        <f t="shared" si="534"/>
        <v>1</v>
      </c>
      <c r="JG99" s="202">
        <f t="shared" si="535"/>
        <v>45</v>
      </c>
      <c r="JH99" s="204"/>
      <c r="JI99" s="203"/>
      <c r="JJ99" s="202">
        <f t="shared" si="468"/>
        <v>0</v>
      </c>
      <c r="JK99" s="202">
        <f t="shared" si="469"/>
        <v>0</v>
      </c>
      <c r="JM99" s="203">
        <f t="shared" si="409"/>
        <v>0</v>
      </c>
      <c r="JO99" s="196">
        <f t="shared" si="372"/>
        <v>0</v>
      </c>
      <c r="JP99" s="189">
        <f t="shared" si="470"/>
        <v>0</v>
      </c>
      <c r="JQ99" s="189">
        <f t="shared" si="471"/>
        <v>0</v>
      </c>
      <c r="JR99" s="189">
        <f t="shared" si="472"/>
        <v>0</v>
      </c>
      <c r="JS99" s="189">
        <f t="shared" si="473"/>
        <v>0</v>
      </c>
      <c r="JT99" s="189">
        <f t="shared" si="474"/>
        <v>0</v>
      </c>
      <c r="JU99" s="189">
        <f t="shared" si="475"/>
        <v>0</v>
      </c>
      <c r="JV99" s="189">
        <f t="shared" si="476"/>
        <v>0</v>
      </c>
      <c r="JW99" s="189">
        <f t="shared" si="477"/>
        <v>0</v>
      </c>
      <c r="JX99" s="189">
        <f t="shared" si="478"/>
        <v>0</v>
      </c>
      <c r="JY99" s="189">
        <f t="shared" si="479"/>
        <v>0</v>
      </c>
      <c r="JZ99" s="189">
        <f t="shared" si="480"/>
        <v>0</v>
      </c>
      <c r="KA99" s="189">
        <f t="shared" si="481"/>
        <v>0</v>
      </c>
      <c r="KB99" s="189">
        <f t="shared" si="482"/>
        <v>0</v>
      </c>
      <c r="KD99" s="206">
        <f t="shared" si="410"/>
        <v>0</v>
      </c>
      <c r="KE99" s="206">
        <f t="shared" si="373"/>
        <v>0</v>
      </c>
      <c r="KF99" s="206">
        <f t="shared" si="483"/>
        <v>0</v>
      </c>
      <c r="KG99" s="206">
        <f t="shared" si="484"/>
        <v>0</v>
      </c>
      <c r="KH99" s="206">
        <f t="shared" si="485"/>
        <v>0</v>
      </c>
      <c r="KI99" s="206">
        <f t="shared" si="486"/>
        <v>0</v>
      </c>
      <c r="KJ99" s="206">
        <f t="shared" si="487"/>
        <v>0</v>
      </c>
      <c r="KK99" s="206">
        <f t="shared" si="488"/>
        <v>0</v>
      </c>
      <c r="KL99" s="206">
        <f t="shared" si="489"/>
        <v>0</v>
      </c>
      <c r="KM99" s="206">
        <f t="shared" si="490"/>
        <v>0</v>
      </c>
      <c r="KN99" s="221">
        <f t="shared" si="491"/>
        <v>0</v>
      </c>
      <c r="KO99" s="221">
        <f t="shared" si="492"/>
        <v>0</v>
      </c>
      <c r="KP99" s="221">
        <f t="shared" si="493"/>
        <v>0</v>
      </c>
      <c r="KQ99" s="221">
        <f t="shared" si="494"/>
        <v>0</v>
      </c>
      <c r="KR99" s="221">
        <f t="shared" si="495"/>
        <v>0</v>
      </c>
      <c r="KT99" s="195">
        <f t="shared" si="496"/>
        <v>0</v>
      </c>
      <c r="KU99" s="221"/>
      <c r="KV99" s="221"/>
      <c r="KW99" s="221"/>
      <c r="KX99" s="221"/>
      <c r="KY99" s="221"/>
      <c r="KZ99" s="221"/>
      <c r="LA99" s="221"/>
      <c r="LB99" s="221"/>
      <c r="LC99" s="221"/>
      <c r="LD99" s="221"/>
      <c r="LE99" s="221"/>
      <c r="LF99" s="221"/>
      <c r="LG99" s="221"/>
      <c r="LH99" s="221"/>
      <c r="LI99" s="221"/>
      <c r="LJ99" s="221"/>
      <c r="LK99" s="221"/>
      <c r="LL99" s="221"/>
      <c r="LM99" s="221"/>
      <c r="LN99" s="221"/>
      <c r="LO99" s="221"/>
      <c r="LP99" s="221"/>
      <c r="LQ99" s="221"/>
      <c r="LR99" s="221"/>
      <c r="LS99" s="221"/>
      <c r="LT99" s="221"/>
      <c r="LU99" s="221"/>
      <c r="LV99" s="221"/>
      <c r="LW99" s="221"/>
      <c r="LX99" s="221"/>
      <c r="LY99" s="221"/>
      <c r="LZ99" s="221"/>
      <c r="MA99" s="221"/>
      <c r="MB99" s="221"/>
      <c r="MC99" s="221"/>
      <c r="MD99" s="221"/>
      <c r="ME99" s="221"/>
      <c r="MF99" s="221"/>
      <c r="MG99" s="221"/>
      <c r="MH99" s="221"/>
      <c r="MI99" s="221"/>
      <c r="MJ99" s="221"/>
      <c r="MK99" s="221"/>
      <c r="ML99" s="221"/>
      <c r="MM99" s="221"/>
      <c r="MN99" s="221"/>
      <c r="MO99" s="221"/>
      <c r="MP99" s="221"/>
      <c r="MQ99" s="221"/>
      <c r="MR99" s="221"/>
      <c r="MS99" s="221"/>
      <c r="MT99" s="221"/>
      <c r="MU99" s="221"/>
      <c r="MV99" s="221"/>
      <c r="MW99" s="221"/>
      <c r="MX99" s="221"/>
      <c r="MY99" s="221"/>
      <c r="MZ99" s="221"/>
      <c r="NA99" s="221"/>
      <c r="NB99" s="221"/>
      <c r="NC99" s="221"/>
      <c r="ND99" s="221"/>
      <c r="NE99" s="221"/>
      <c r="NF99" s="221"/>
      <c r="NG99" s="221"/>
      <c r="NH99" s="221"/>
      <c r="NI99" s="221"/>
      <c r="NJ99" s="221"/>
      <c r="NK99" s="221"/>
      <c r="NM99" s="195">
        <f t="shared" si="411"/>
        <v>0</v>
      </c>
      <c r="NN99" s="195">
        <f t="shared" si="412"/>
        <v>0</v>
      </c>
      <c r="NO99" s="195">
        <f t="shared" si="413"/>
        <v>0</v>
      </c>
      <c r="NP99" s="195">
        <f t="shared" si="414"/>
        <v>0</v>
      </c>
      <c r="NQ99" s="195">
        <f t="shared" si="415"/>
        <v>0</v>
      </c>
      <c r="NR99" s="195">
        <f t="shared" si="416"/>
        <v>0</v>
      </c>
      <c r="NS99" s="195">
        <f t="shared" si="417"/>
        <v>0</v>
      </c>
      <c r="NT99" s="195">
        <f t="shared" si="418"/>
        <v>0</v>
      </c>
      <c r="NU99" s="196">
        <f t="shared" si="419"/>
        <v>0</v>
      </c>
      <c r="NY99" s="215">
        <f t="shared" si="420"/>
        <v>1</v>
      </c>
      <c r="NZ99" s="222">
        <v>16000000</v>
      </c>
      <c r="OE99" s="207">
        <f t="shared" si="374"/>
        <v>0</v>
      </c>
      <c r="OF99" s="207">
        <f t="shared" si="375"/>
        <v>0</v>
      </c>
      <c r="OG99" s="207">
        <f t="shared" si="376"/>
        <v>0</v>
      </c>
      <c r="OH99" s="207">
        <f t="shared" si="421"/>
        <v>0</v>
      </c>
      <c r="OI99" s="207">
        <f t="shared" si="377"/>
        <v>0</v>
      </c>
      <c r="OJ99" s="199">
        <f t="shared" si="422"/>
        <v>0</v>
      </c>
      <c r="OK99" s="199">
        <f t="shared" si="423"/>
        <v>0</v>
      </c>
      <c r="OL99" s="199">
        <f t="shared" si="424"/>
        <v>0</v>
      </c>
      <c r="OM99" s="199">
        <f t="shared" si="425"/>
        <v>0</v>
      </c>
      <c r="OO99" s="207">
        <f t="shared" si="378"/>
        <v>0</v>
      </c>
      <c r="OP99" s="207">
        <f t="shared" si="379"/>
        <v>0</v>
      </c>
      <c r="OQ99" s="207">
        <f t="shared" si="426"/>
        <v>0</v>
      </c>
      <c r="OR99" s="207">
        <f t="shared" si="427"/>
        <v>0</v>
      </c>
      <c r="OS99" s="207">
        <f t="shared" si="428"/>
        <v>0</v>
      </c>
      <c r="OT99" s="199">
        <f t="shared" si="429"/>
        <v>0</v>
      </c>
      <c r="OU99" s="199">
        <f t="shared" si="430"/>
        <v>0</v>
      </c>
      <c r="OV99" s="199">
        <f t="shared" si="431"/>
        <v>0</v>
      </c>
      <c r="OW99" s="199">
        <f t="shared" si="432"/>
        <v>0</v>
      </c>
      <c r="OZ99" s="208">
        <f t="shared" si="380"/>
        <v>0</v>
      </c>
      <c r="PA99" s="209"/>
      <c r="PB99" s="209"/>
      <c r="PC99" s="209"/>
      <c r="PD99" s="210">
        <f t="shared" si="433"/>
        <v>0</v>
      </c>
      <c r="PE99" s="210"/>
      <c r="PF99" s="210">
        <f t="shared" si="434"/>
        <v>0</v>
      </c>
      <c r="PG99" s="210">
        <f t="shared" si="435"/>
        <v>0</v>
      </c>
      <c r="PH99" s="210">
        <f t="shared" si="381"/>
        <v>0</v>
      </c>
      <c r="PI99" s="210">
        <f t="shared" si="382"/>
        <v>0</v>
      </c>
      <c r="PJ99" s="210">
        <f t="shared" si="383"/>
        <v>0</v>
      </c>
      <c r="PK99" s="210">
        <f t="shared" si="384"/>
        <v>0</v>
      </c>
      <c r="PL99" s="210">
        <f t="shared" si="385"/>
        <v>0</v>
      </c>
      <c r="PM99" s="211"/>
      <c r="PN99" s="211"/>
      <c r="PO99" s="212">
        <f t="shared" si="436"/>
        <v>0</v>
      </c>
      <c r="PP99" s="212">
        <f t="shared" si="437"/>
        <v>0</v>
      </c>
      <c r="PQ99" s="212">
        <f t="shared" si="438"/>
        <v>0</v>
      </c>
      <c r="PR99" s="211"/>
      <c r="PS99" s="211"/>
      <c r="PT99" s="211"/>
      <c r="PU99" s="211"/>
    </row>
    <row r="100" spans="1:437 16384:16384" s="195" customFormat="1" ht="16" x14ac:dyDescent="0.2">
      <c r="A100" s="213">
        <f t="shared" si="564"/>
        <v>90</v>
      </c>
      <c r="B100" s="186" t="s">
        <v>83</v>
      </c>
      <c r="C100" s="186">
        <v>96</v>
      </c>
      <c r="D100" s="188">
        <v>1</v>
      </c>
      <c r="E100" s="188">
        <v>15</v>
      </c>
      <c r="F100" s="188">
        <v>1</v>
      </c>
      <c r="G100" s="188">
        <f t="shared" si="308"/>
        <v>15</v>
      </c>
      <c r="H100" s="214">
        <f t="shared" si="565"/>
        <v>1</v>
      </c>
      <c r="I100" s="214">
        <f t="shared" si="537"/>
        <v>1</v>
      </c>
      <c r="J100" s="188">
        <v>1</v>
      </c>
      <c r="K100" s="188">
        <f t="shared" si="538"/>
        <v>15</v>
      </c>
      <c r="L100" s="214">
        <f t="shared" si="539"/>
        <v>1</v>
      </c>
      <c r="M100" s="214">
        <f t="shared" si="540"/>
        <v>1</v>
      </c>
      <c r="N100" s="188">
        <v>1</v>
      </c>
      <c r="O100" s="188">
        <f t="shared" si="541"/>
        <v>15</v>
      </c>
      <c r="P100" s="214">
        <f t="shared" si="542"/>
        <v>1</v>
      </c>
      <c r="Q100" s="214">
        <f t="shared" si="543"/>
        <v>1</v>
      </c>
      <c r="R100" s="188">
        <v>1</v>
      </c>
      <c r="S100" s="188">
        <f t="shared" si="544"/>
        <v>15</v>
      </c>
      <c r="T100" s="214">
        <f t="shared" si="545"/>
        <v>1</v>
      </c>
      <c r="U100" s="214">
        <f t="shared" si="546"/>
        <v>1</v>
      </c>
      <c r="V100" s="215">
        <v>1</v>
      </c>
      <c r="W100" s="188">
        <f t="shared" si="547"/>
        <v>15</v>
      </c>
      <c r="X100" s="214">
        <f t="shared" si="548"/>
        <v>1</v>
      </c>
      <c r="Y100" s="214">
        <f t="shared" si="549"/>
        <v>1</v>
      </c>
      <c r="Z100" s="216">
        <f>198448000/1000000000</f>
        <v>0.19844800000000001</v>
      </c>
      <c r="AA100" s="188">
        <v>0</v>
      </c>
      <c r="AB100" s="188">
        <f t="shared" si="339"/>
        <v>0</v>
      </c>
      <c r="AC100" s="214">
        <f t="shared" si="340"/>
        <v>0</v>
      </c>
      <c r="AD100" s="214">
        <f t="shared" si="341"/>
        <v>0</v>
      </c>
      <c r="AE100" s="188"/>
      <c r="AF100" s="188">
        <f t="shared" si="342"/>
        <v>0</v>
      </c>
      <c r="AG100" s="188"/>
      <c r="AH100" s="188"/>
      <c r="AI100" s="188"/>
      <c r="AJ100" s="188">
        <f t="shared" si="566"/>
        <v>0</v>
      </c>
      <c r="AK100" s="188"/>
      <c r="AL100" s="188">
        <v>0</v>
      </c>
      <c r="AM100" s="188">
        <v>0</v>
      </c>
      <c r="AN100" s="217"/>
      <c r="AO100" s="188">
        <f t="shared" si="567"/>
        <v>0</v>
      </c>
      <c r="AP100" s="188">
        <f t="shared" si="568"/>
        <v>0</v>
      </c>
      <c r="AQ100" s="188">
        <f t="shared" si="569"/>
        <v>0</v>
      </c>
      <c r="AR100" s="188">
        <f t="shared" si="570"/>
        <v>0</v>
      </c>
      <c r="AS100" s="188">
        <f t="shared" si="571"/>
        <v>0</v>
      </c>
      <c r="AT100" s="188">
        <f t="shared" si="572"/>
        <v>0</v>
      </c>
      <c r="AU100" s="188">
        <f t="shared" si="573"/>
        <v>0</v>
      </c>
      <c r="AV100" s="188">
        <f t="shared" si="574"/>
        <v>0</v>
      </c>
      <c r="AW100" s="188">
        <f t="shared" si="575"/>
        <v>0</v>
      </c>
      <c r="AX100" s="188">
        <f t="shared" si="576"/>
        <v>0</v>
      </c>
      <c r="AY100" s="188">
        <f t="shared" si="577"/>
        <v>0</v>
      </c>
      <c r="AZ100" s="188">
        <f t="shared" si="578"/>
        <v>0</v>
      </c>
      <c r="BA100" s="188">
        <f t="shared" si="579"/>
        <v>0</v>
      </c>
      <c r="BB100" s="188">
        <f t="shared" ref="BB100:BB112" si="611">IF(AN100=1,E100,0)</f>
        <v>0</v>
      </c>
      <c r="BD100" s="196">
        <f t="shared" si="386"/>
        <v>0</v>
      </c>
      <c r="BE100" s="188">
        <f t="shared" si="581"/>
        <v>0</v>
      </c>
      <c r="BF100" s="188">
        <f t="shared" si="582"/>
        <v>0</v>
      </c>
      <c r="BG100" s="188">
        <f t="shared" si="583"/>
        <v>0</v>
      </c>
      <c r="BH100" s="188">
        <f t="shared" si="584"/>
        <v>0</v>
      </c>
      <c r="BI100" s="188">
        <f t="shared" si="585"/>
        <v>0</v>
      </c>
      <c r="BJ100" s="188">
        <f t="shared" si="586"/>
        <v>0</v>
      </c>
      <c r="BK100" s="188">
        <f t="shared" si="587"/>
        <v>0</v>
      </c>
      <c r="BN100" s="143"/>
      <c r="BO100" s="277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B100" s="188"/>
      <c r="CD100" s="188">
        <f t="shared" si="344"/>
        <v>0</v>
      </c>
      <c r="CE100" s="188">
        <f t="shared" si="345"/>
        <v>0</v>
      </c>
      <c r="CF100" s="188">
        <f t="shared" si="588"/>
        <v>0</v>
      </c>
      <c r="CG100" s="188">
        <f t="shared" si="589"/>
        <v>0</v>
      </c>
      <c r="CH100" s="188">
        <f t="shared" si="590"/>
        <v>0</v>
      </c>
      <c r="CI100" s="188">
        <f t="shared" si="591"/>
        <v>0</v>
      </c>
      <c r="CJ100" s="188">
        <f t="shared" si="592"/>
        <v>0</v>
      </c>
      <c r="CK100" s="188">
        <f t="shared" si="593"/>
        <v>0</v>
      </c>
      <c r="CL100" s="188">
        <f t="shared" si="594"/>
        <v>0</v>
      </c>
      <c r="CM100" s="188">
        <f t="shared" si="595"/>
        <v>0</v>
      </c>
      <c r="CN100" s="188">
        <f t="shared" si="596"/>
        <v>0</v>
      </c>
      <c r="CO100" s="188">
        <f t="shared" si="597"/>
        <v>0</v>
      </c>
      <c r="CP100" s="188">
        <f t="shared" si="598"/>
        <v>0</v>
      </c>
      <c r="DV100" s="188">
        <f t="shared" si="599"/>
        <v>0</v>
      </c>
      <c r="DW100" s="188">
        <f t="shared" si="600"/>
        <v>0</v>
      </c>
      <c r="DX100" s="188">
        <f t="shared" si="601"/>
        <v>0</v>
      </c>
      <c r="DY100" s="188">
        <f t="shared" si="602"/>
        <v>0</v>
      </c>
      <c r="DZ100" s="188">
        <f t="shared" si="603"/>
        <v>0</v>
      </c>
      <c r="EA100" s="188">
        <f t="shared" si="604"/>
        <v>0</v>
      </c>
      <c r="EB100" s="188">
        <f t="shared" si="605"/>
        <v>0</v>
      </c>
      <c r="EG100" s="220">
        <f t="shared" si="606"/>
        <v>0</v>
      </c>
      <c r="EH100" s="220">
        <f t="shared" si="607"/>
        <v>0</v>
      </c>
      <c r="EI100" s="188"/>
      <c r="EJ100" s="188"/>
      <c r="EK100" s="188"/>
      <c r="EL100" s="188"/>
      <c r="EM100" s="188"/>
      <c r="EN100" s="188"/>
      <c r="EO100" s="188"/>
      <c r="EP100" s="188"/>
      <c r="EQ100" s="188"/>
      <c r="ER100" s="188"/>
      <c r="ES100" s="188"/>
      <c r="ET100" s="188"/>
      <c r="EU100" s="188"/>
      <c r="EV100" s="188"/>
      <c r="EW100" s="188"/>
      <c r="EX100" s="188"/>
      <c r="EY100" s="188"/>
      <c r="EZ100" s="188"/>
      <c r="FA100" s="188"/>
      <c r="FB100" s="188"/>
      <c r="FC100" s="188"/>
      <c r="FD100" s="188"/>
      <c r="FE100" s="188"/>
      <c r="FF100" s="188"/>
      <c r="FH100" s="188"/>
      <c r="FI100" s="188"/>
      <c r="FJ100" s="188"/>
      <c r="FK100" s="188"/>
      <c r="FL100" s="188"/>
      <c r="FM100" s="188"/>
      <c r="FN100" s="188"/>
      <c r="FO100" s="188"/>
      <c r="FP100" s="188"/>
      <c r="FQ100" s="188"/>
      <c r="FR100" s="188"/>
      <c r="FS100" s="188"/>
      <c r="FT100" s="188"/>
      <c r="FU100" s="188"/>
      <c r="FV100" s="188"/>
      <c r="FX100" s="217"/>
      <c r="FY100" s="188">
        <f t="shared" si="608"/>
        <v>0</v>
      </c>
      <c r="FZ100" s="188">
        <f t="shared" si="439"/>
        <v>0</v>
      </c>
      <c r="GA100" s="188">
        <f t="shared" si="440"/>
        <v>0</v>
      </c>
      <c r="GB100" s="188">
        <f t="shared" si="441"/>
        <v>0</v>
      </c>
      <c r="GC100" s="188">
        <f t="shared" si="442"/>
        <v>0</v>
      </c>
      <c r="GD100" s="188">
        <f t="shared" si="443"/>
        <v>0</v>
      </c>
      <c r="GE100" s="188">
        <f t="shared" si="444"/>
        <v>0</v>
      </c>
      <c r="GF100" s="229"/>
      <c r="GG100" s="188">
        <v>0</v>
      </c>
      <c r="GH100" s="188">
        <v>0</v>
      </c>
      <c r="GI100" s="230"/>
      <c r="GJ100" s="224">
        <f t="shared" si="609"/>
        <v>0</v>
      </c>
      <c r="GK100" s="224">
        <f t="shared" si="610"/>
        <v>0</v>
      </c>
      <c r="GO100" s="226">
        <f t="shared" si="445"/>
        <v>0</v>
      </c>
      <c r="GP100" s="231">
        <f t="shared" si="446"/>
        <v>0</v>
      </c>
      <c r="GQ100" s="226">
        <f t="shared" si="447"/>
        <v>0</v>
      </c>
      <c r="GR100" s="226">
        <f t="shared" si="448"/>
        <v>0</v>
      </c>
      <c r="GS100" s="226">
        <f t="shared" si="449"/>
        <v>0</v>
      </c>
      <c r="GT100" s="226">
        <f t="shared" si="506"/>
        <v>1</v>
      </c>
      <c r="GU100" s="232">
        <f t="shared" si="388"/>
        <v>43243</v>
      </c>
      <c r="GV100" s="226" t="str">
        <f t="shared" si="507"/>
        <v>SELESAI</v>
      </c>
      <c r="GW100" s="226">
        <f t="shared" si="508"/>
        <v>0</v>
      </c>
      <c r="GX100" s="202" t="str">
        <f t="shared" si="509"/>
        <v>SELESAI</v>
      </c>
      <c r="GY100" s="202">
        <f t="shared" si="510"/>
        <v>0</v>
      </c>
      <c r="GZ100" s="203" t="str">
        <f t="shared" si="511"/>
        <v>SELESAI</v>
      </c>
      <c r="HA100" s="204"/>
      <c r="HB100" s="204"/>
      <c r="HC100" s="188">
        <f t="shared" si="450"/>
        <v>0</v>
      </c>
      <c r="HD100" s="188">
        <f t="shared" si="451"/>
        <v>0</v>
      </c>
      <c r="HE100" s="188">
        <f t="shared" si="512"/>
        <v>0</v>
      </c>
      <c r="HF100" s="188">
        <f t="shared" si="513"/>
        <v>0</v>
      </c>
      <c r="HG100" s="188">
        <f t="shared" si="514"/>
        <v>0</v>
      </c>
      <c r="HH100" s="228" t="str">
        <f t="shared" si="515"/>
        <v>TIDAK KONSINYASI</v>
      </c>
      <c r="HI100" s="228" t="str">
        <f t="shared" si="516"/>
        <v>SELESAI</v>
      </c>
      <c r="HJ100" s="233"/>
      <c r="HK100" s="228">
        <f t="shared" si="517"/>
        <v>0</v>
      </c>
      <c r="HL100" s="204"/>
      <c r="HM100" s="204"/>
      <c r="HN100" s="204"/>
      <c r="HO100" s="204"/>
      <c r="HP100" s="203">
        <f t="shared" si="518"/>
        <v>0</v>
      </c>
      <c r="HQ100" s="202">
        <f t="shared" si="519"/>
        <v>0</v>
      </c>
      <c r="HR100" s="202">
        <f t="shared" si="452"/>
        <v>0</v>
      </c>
      <c r="HS100" s="203">
        <f t="shared" si="520"/>
        <v>0</v>
      </c>
      <c r="HT100" s="202">
        <f t="shared" si="521"/>
        <v>0</v>
      </c>
      <c r="HU100" s="202">
        <f t="shared" si="453"/>
        <v>0</v>
      </c>
      <c r="HV100" s="203">
        <f t="shared" si="522"/>
        <v>0</v>
      </c>
      <c r="HW100" s="202">
        <f t="shared" si="403"/>
        <v>0</v>
      </c>
      <c r="HX100" s="202">
        <f t="shared" si="454"/>
        <v>0</v>
      </c>
      <c r="HY100" s="203">
        <f t="shared" si="523"/>
        <v>0</v>
      </c>
      <c r="HZ100" s="202">
        <f t="shared" si="524"/>
        <v>0</v>
      </c>
      <c r="IA100" s="202">
        <f t="shared" si="455"/>
        <v>0</v>
      </c>
      <c r="IB100" s="203">
        <f t="shared" si="525"/>
        <v>0</v>
      </c>
      <c r="IC100" s="188">
        <f t="shared" si="526"/>
        <v>0</v>
      </c>
      <c r="ID100" s="188">
        <f t="shared" si="456"/>
        <v>0</v>
      </c>
      <c r="IE100" s="228">
        <f t="shared" si="527"/>
        <v>0</v>
      </c>
      <c r="IF100" s="188">
        <f t="shared" si="528"/>
        <v>0</v>
      </c>
      <c r="IG100" s="188">
        <f t="shared" si="457"/>
        <v>0</v>
      </c>
      <c r="IH100" s="228">
        <f t="shared" si="529"/>
        <v>0</v>
      </c>
      <c r="II100" s="188">
        <f t="shared" si="530"/>
        <v>0</v>
      </c>
      <c r="IJ100" s="188">
        <f t="shared" si="458"/>
        <v>0</v>
      </c>
      <c r="IK100" s="228">
        <f t="shared" si="531"/>
        <v>0</v>
      </c>
      <c r="IL100" s="188">
        <f t="shared" si="532"/>
        <v>0</v>
      </c>
      <c r="IM100" s="188">
        <f t="shared" si="459"/>
        <v>0</v>
      </c>
      <c r="IN100" s="204"/>
      <c r="IO100" s="203">
        <f t="shared" si="533"/>
        <v>0</v>
      </c>
      <c r="IP100" s="202">
        <f t="shared" si="460"/>
        <v>0</v>
      </c>
      <c r="IQ100" s="202">
        <f t="shared" si="461"/>
        <v>0</v>
      </c>
      <c r="IR100" s="204"/>
      <c r="IS100" s="203"/>
      <c r="IT100" s="202">
        <f t="shared" si="462"/>
        <v>1</v>
      </c>
      <c r="IU100" s="202">
        <f t="shared" si="463"/>
        <v>15</v>
      </c>
      <c r="IV100" s="204"/>
      <c r="IW100" s="203"/>
      <c r="IX100" s="202">
        <f t="shared" si="464"/>
        <v>0</v>
      </c>
      <c r="IY100" s="202">
        <f t="shared" si="465"/>
        <v>0</v>
      </c>
      <c r="IZ100" s="204"/>
      <c r="JA100" s="203"/>
      <c r="JB100" s="202">
        <f t="shared" si="466"/>
        <v>0</v>
      </c>
      <c r="JC100" s="202">
        <f t="shared" si="467"/>
        <v>0</v>
      </c>
      <c r="JD100" s="204"/>
      <c r="JE100" s="203"/>
      <c r="JF100" s="202">
        <f t="shared" si="534"/>
        <v>1</v>
      </c>
      <c r="JG100" s="202">
        <f t="shared" si="535"/>
        <v>15</v>
      </c>
      <c r="JH100" s="204"/>
      <c r="JI100" s="203"/>
      <c r="JJ100" s="202">
        <f t="shared" si="468"/>
        <v>0</v>
      </c>
      <c r="JK100" s="202">
        <f t="shared" si="469"/>
        <v>0</v>
      </c>
      <c r="JM100" s="203">
        <f t="shared" si="409"/>
        <v>0</v>
      </c>
      <c r="JO100" s="196">
        <f t="shared" si="372"/>
        <v>0</v>
      </c>
      <c r="JP100" s="189">
        <f t="shared" si="470"/>
        <v>0</v>
      </c>
      <c r="JQ100" s="189">
        <f t="shared" si="471"/>
        <v>0</v>
      </c>
      <c r="JR100" s="189">
        <f t="shared" si="472"/>
        <v>0</v>
      </c>
      <c r="JS100" s="189">
        <f t="shared" si="473"/>
        <v>0</v>
      </c>
      <c r="JT100" s="189">
        <f t="shared" si="474"/>
        <v>0</v>
      </c>
      <c r="JU100" s="189">
        <f t="shared" si="475"/>
        <v>0</v>
      </c>
      <c r="JV100" s="189">
        <f t="shared" si="476"/>
        <v>0</v>
      </c>
      <c r="JW100" s="189">
        <f t="shared" si="477"/>
        <v>0</v>
      </c>
      <c r="JX100" s="189">
        <f t="shared" si="478"/>
        <v>0</v>
      </c>
      <c r="JY100" s="189">
        <f t="shared" si="479"/>
        <v>0</v>
      </c>
      <c r="JZ100" s="189">
        <f t="shared" si="480"/>
        <v>0</v>
      </c>
      <c r="KA100" s="189">
        <f t="shared" si="481"/>
        <v>0</v>
      </c>
      <c r="KB100" s="189">
        <f t="shared" si="482"/>
        <v>0</v>
      </c>
      <c r="KD100" s="206">
        <f t="shared" si="410"/>
        <v>0</v>
      </c>
      <c r="KE100" s="206">
        <f t="shared" si="373"/>
        <v>0</v>
      </c>
      <c r="KF100" s="206">
        <f t="shared" si="483"/>
        <v>0</v>
      </c>
      <c r="KG100" s="206">
        <f t="shared" si="484"/>
        <v>0</v>
      </c>
      <c r="KH100" s="206">
        <f t="shared" si="485"/>
        <v>0</v>
      </c>
      <c r="KI100" s="206">
        <f t="shared" si="486"/>
        <v>0</v>
      </c>
      <c r="KJ100" s="206">
        <f t="shared" si="487"/>
        <v>0</v>
      </c>
      <c r="KK100" s="206">
        <f t="shared" si="488"/>
        <v>0</v>
      </c>
      <c r="KL100" s="206">
        <f t="shared" si="489"/>
        <v>0</v>
      </c>
      <c r="KM100" s="206">
        <f t="shared" si="490"/>
        <v>0</v>
      </c>
      <c r="KN100" s="221">
        <f t="shared" si="491"/>
        <v>0</v>
      </c>
      <c r="KO100" s="221">
        <f t="shared" si="492"/>
        <v>0</v>
      </c>
      <c r="KP100" s="221">
        <f t="shared" si="493"/>
        <v>0</v>
      </c>
      <c r="KQ100" s="221">
        <f t="shared" si="494"/>
        <v>0</v>
      </c>
      <c r="KR100" s="221">
        <f t="shared" si="495"/>
        <v>0</v>
      </c>
      <c r="KT100" s="195">
        <f t="shared" si="496"/>
        <v>0</v>
      </c>
      <c r="KU100" s="221"/>
      <c r="KV100" s="221"/>
      <c r="KW100" s="221"/>
      <c r="KX100" s="221"/>
      <c r="KY100" s="221"/>
      <c r="KZ100" s="221"/>
      <c r="LA100" s="221"/>
      <c r="LB100" s="221"/>
      <c r="LC100" s="221"/>
      <c r="LD100" s="221"/>
      <c r="LE100" s="221"/>
      <c r="LF100" s="221"/>
      <c r="LG100" s="221"/>
      <c r="LH100" s="221"/>
      <c r="LI100" s="221"/>
      <c r="LJ100" s="221"/>
      <c r="LK100" s="221"/>
      <c r="LL100" s="221"/>
      <c r="LM100" s="221"/>
      <c r="LN100" s="221"/>
      <c r="LO100" s="221"/>
      <c r="LP100" s="221"/>
      <c r="LQ100" s="221"/>
      <c r="LR100" s="221"/>
      <c r="LS100" s="221"/>
      <c r="LT100" s="221"/>
      <c r="LU100" s="221"/>
      <c r="LV100" s="221"/>
      <c r="LW100" s="221"/>
      <c r="LX100" s="221"/>
      <c r="LY100" s="221"/>
      <c r="LZ100" s="221"/>
      <c r="MA100" s="221"/>
      <c r="MB100" s="221"/>
      <c r="MC100" s="221"/>
      <c r="MD100" s="221"/>
      <c r="ME100" s="221"/>
      <c r="MF100" s="221"/>
      <c r="MG100" s="221"/>
      <c r="MH100" s="221"/>
      <c r="MI100" s="221"/>
      <c r="MJ100" s="221"/>
      <c r="MK100" s="221"/>
      <c r="ML100" s="221"/>
      <c r="MM100" s="221"/>
      <c r="MN100" s="221"/>
      <c r="MO100" s="221"/>
      <c r="MP100" s="221"/>
      <c r="MQ100" s="221"/>
      <c r="MR100" s="221"/>
      <c r="MS100" s="221"/>
      <c r="MT100" s="221"/>
      <c r="MU100" s="221"/>
      <c r="MV100" s="221"/>
      <c r="MW100" s="221"/>
      <c r="MX100" s="221"/>
      <c r="MY100" s="221"/>
      <c r="MZ100" s="221"/>
      <c r="NA100" s="221"/>
      <c r="NB100" s="221"/>
      <c r="NC100" s="221"/>
      <c r="ND100" s="221"/>
      <c r="NE100" s="221"/>
      <c r="NF100" s="221"/>
      <c r="NG100" s="221"/>
      <c r="NH100" s="221"/>
      <c r="NI100" s="221"/>
      <c r="NJ100" s="221"/>
      <c r="NK100" s="221"/>
      <c r="NM100" s="195">
        <f t="shared" si="411"/>
        <v>0</v>
      </c>
      <c r="NN100" s="195">
        <f t="shared" si="412"/>
        <v>0</v>
      </c>
      <c r="NO100" s="195">
        <f t="shared" si="413"/>
        <v>0</v>
      </c>
      <c r="NP100" s="195">
        <f t="shared" si="414"/>
        <v>0</v>
      </c>
      <c r="NQ100" s="195">
        <f t="shared" si="415"/>
        <v>0</v>
      </c>
      <c r="NR100" s="195">
        <f t="shared" si="416"/>
        <v>0</v>
      </c>
      <c r="NS100" s="195">
        <f t="shared" si="417"/>
        <v>0</v>
      </c>
      <c r="NT100" s="195">
        <f t="shared" si="418"/>
        <v>0</v>
      </c>
      <c r="NU100" s="196">
        <f t="shared" si="419"/>
        <v>0</v>
      </c>
      <c r="NY100" s="215">
        <f t="shared" si="420"/>
        <v>1</v>
      </c>
      <c r="NZ100" s="222">
        <v>11562500</v>
      </c>
      <c r="OE100" s="207">
        <f t="shared" si="374"/>
        <v>0</v>
      </c>
      <c r="OF100" s="207">
        <f t="shared" si="375"/>
        <v>0</v>
      </c>
      <c r="OG100" s="207">
        <f t="shared" si="376"/>
        <v>0</v>
      </c>
      <c r="OH100" s="207">
        <f t="shared" si="421"/>
        <v>0</v>
      </c>
      <c r="OI100" s="207">
        <f t="shared" si="377"/>
        <v>0</v>
      </c>
      <c r="OJ100" s="199">
        <f t="shared" si="422"/>
        <v>0</v>
      </c>
      <c r="OK100" s="199">
        <f t="shared" si="423"/>
        <v>0</v>
      </c>
      <c r="OL100" s="199">
        <f t="shared" si="424"/>
        <v>0</v>
      </c>
      <c r="OM100" s="199">
        <f t="shared" si="425"/>
        <v>0</v>
      </c>
      <c r="OO100" s="207">
        <f t="shared" si="378"/>
        <v>0</v>
      </c>
      <c r="OP100" s="207">
        <f t="shared" si="379"/>
        <v>0</v>
      </c>
      <c r="OQ100" s="207">
        <f t="shared" si="426"/>
        <v>0</v>
      </c>
      <c r="OR100" s="207">
        <f t="shared" si="427"/>
        <v>0</v>
      </c>
      <c r="OS100" s="207">
        <f t="shared" si="428"/>
        <v>0</v>
      </c>
      <c r="OT100" s="199">
        <f t="shared" si="429"/>
        <v>0</v>
      </c>
      <c r="OU100" s="199">
        <f t="shared" si="430"/>
        <v>0</v>
      </c>
      <c r="OV100" s="199">
        <f t="shared" si="431"/>
        <v>0</v>
      </c>
      <c r="OW100" s="199">
        <f t="shared" si="432"/>
        <v>0</v>
      </c>
      <c r="OZ100" s="208">
        <f t="shared" si="380"/>
        <v>0</v>
      </c>
      <c r="PA100" s="209"/>
      <c r="PB100" s="209"/>
      <c r="PC100" s="209"/>
      <c r="PD100" s="210">
        <f t="shared" si="433"/>
        <v>0</v>
      </c>
      <c r="PE100" s="210"/>
      <c r="PF100" s="210">
        <f t="shared" si="434"/>
        <v>0</v>
      </c>
      <c r="PG100" s="210">
        <f t="shared" si="435"/>
        <v>0</v>
      </c>
      <c r="PH100" s="210">
        <f t="shared" si="381"/>
        <v>0</v>
      </c>
      <c r="PI100" s="210">
        <f t="shared" si="382"/>
        <v>0</v>
      </c>
      <c r="PJ100" s="210">
        <f t="shared" si="383"/>
        <v>0</v>
      </c>
      <c r="PK100" s="210">
        <f t="shared" si="384"/>
        <v>0</v>
      </c>
      <c r="PL100" s="210">
        <f t="shared" si="385"/>
        <v>0</v>
      </c>
      <c r="PM100" s="211"/>
      <c r="PN100" s="211"/>
      <c r="PO100" s="212">
        <f t="shared" si="436"/>
        <v>0</v>
      </c>
      <c r="PP100" s="212">
        <f t="shared" si="437"/>
        <v>0</v>
      </c>
      <c r="PQ100" s="212">
        <f t="shared" si="438"/>
        <v>0</v>
      </c>
      <c r="PR100" s="211"/>
      <c r="PS100" s="211"/>
      <c r="PT100" s="211"/>
      <c r="PU100" s="211"/>
    </row>
    <row r="101" spans="1:437 16384:16384" s="195" customFormat="1" ht="16" x14ac:dyDescent="0.2">
      <c r="A101" s="213">
        <f t="shared" si="564"/>
        <v>91</v>
      </c>
      <c r="B101" s="186" t="s">
        <v>469</v>
      </c>
      <c r="C101" s="186">
        <v>99</v>
      </c>
      <c r="D101" s="188">
        <v>1</v>
      </c>
      <c r="E101" s="188">
        <v>285</v>
      </c>
      <c r="F101" s="188">
        <v>1</v>
      </c>
      <c r="G101" s="188">
        <f t="shared" si="308"/>
        <v>285</v>
      </c>
      <c r="H101" s="214">
        <f t="shared" si="565"/>
        <v>1</v>
      </c>
      <c r="I101" s="214">
        <f t="shared" si="537"/>
        <v>1</v>
      </c>
      <c r="J101" s="188">
        <v>1</v>
      </c>
      <c r="K101" s="188">
        <f t="shared" si="538"/>
        <v>285</v>
      </c>
      <c r="L101" s="214">
        <f t="shared" si="539"/>
        <v>1</v>
      </c>
      <c r="M101" s="214">
        <f t="shared" si="540"/>
        <v>1</v>
      </c>
      <c r="N101" s="188">
        <v>1</v>
      </c>
      <c r="O101" s="188">
        <f t="shared" si="541"/>
        <v>285</v>
      </c>
      <c r="P101" s="214">
        <f t="shared" si="542"/>
        <v>1</v>
      </c>
      <c r="Q101" s="214">
        <f t="shared" si="543"/>
        <v>1</v>
      </c>
      <c r="R101" s="188">
        <v>1</v>
      </c>
      <c r="S101" s="188">
        <f t="shared" si="544"/>
        <v>285</v>
      </c>
      <c r="T101" s="214">
        <f t="shared" si="545"/>
        <v>1</v>
      </c>
      <c r="U101" s="214">
        <f t="shared" si="546"/>
        <v>1</v>
      </c>
      <c r="V101" s="215">
        <v>1</v>
      </c>
      <c r="W101" s="188">
        <f t="shared" si="547"/>
        <v>285</v>
      </c>
      <c r="X101" s="214">
        <f t="shared" si="548"/>
        <v>1</v>
      </c>
      <c r="Y101" s="214">
        <f t="shared" si="549"/>
        <v>1</v>
      </c>
      <c r="Z101" s="216">
        <f>5409661000/1000000000</f>
        <v>5.4096609999999998</v>
      </c>
      <c r="AA101" s="188">
        <v>0</v>
      </c>
      <c r="AB101" s="188">
        <f t="shared" si="339"/>
        <v>0</v>
      </c>
      <c r="AC101" s="214">
        <f t="shared" si="340"/>
        <v>0</v>
      </c>
      <c r="AD101" s="214">
        <f t="shared" si="341"/>
        <v>0</v>
      </c>
      <c r="AE101" s="188"/>
      <c r="AF101" s="188">
        <f t="shared" si="342"/>
        <v>0</v>
      </c>
      <c r="AG101" s="188"/>
      <c r="AH101" s="188"/>
      <c r="AI101" s="188"/>
      <c r="AJ101" s="188">
        <f t="shared" si="566"/>
        <v>0</v>
      </c>
      <c r="AK101" s="188"/>
      <c r="AL101" s="188"/>
      <c r="AM101" s="188"/>
      <c r="AN101" s="217"/>
      <c r="AO101" s="188">
        <f t="shared" si="567"/>
        <v>0</v>
      </c>
      <c r="AP101" s="188">
        <f t="shared" si="568"/>
        <v>0</v>
      </c>
      <c r="AQ101" s="188">
        <f t="shared" si="569"/>
        <v>0</v>
      </c>
      <c r="AR101" s="188">
        <f t="shared" si="570"/>
        <v>0</v>
      </c>
      <c r="AS101" s="188">
        <f t="shared" si="571"/>
        <v>0</v>
      </c>
      <c r="AT101" s="188">
        <f t="shared" si="572"/>
        <v>0</v>
      </c>
      <c r="AU101" s="188">
        <f t="shared" si="573"/>
        <v>0</v>
      </c>
      <c r="AV101" s="188">
        <f t="shared" si="574"/>
        <v>0</v>
      </c>
      <c r="AW101" s="188">
        <f t="shared" si="575"/>
        <v>0</v>
      </c>
      <c r="AX101" s="188">
        <f t="shared" si="576"/>
        <v>0</v>
      </c>
      <c r="AY101" s="188">
        <f t="shared" si="577"/>
        <v>0</v>
      </c>
      <c r="AZ101" s="188">
        <f t="shared" si="578"/>
        <v>0</v>
      </c>
      <c r="BA101" s="188">
        <f t="shared" si="579"/>
        <v>0</v>
      </c>
      <c r="BB101" s="188">
        <f t="shared" si="611"/>
        <v>0</v>
      </c>
      <c r="BD101" s="196">
        <f t="shared" si="386"/>
        <v>0</v>
      </c>
      <c r="BE101" s="188">
        <f t="shared" si="581"/>
        <v>0</v>
      </c>
      <c r="BF101" s="188">
        <f t="shared" si="582"/>
        <v>0</v>
      </c>
      <c r="BG101" s="188">
        <f t="shared" si="583"/>
        <v>0</v>
      </c>
      <c r="BH101" s="188">
        <f t="shared" si="584"/>
        <v>0</v>
      </c>
      <c r="BI101" s="188">
        <f t="shared" si="585"/>
        <v>0</v>
      </c>
      <c r="BJ101" s="188">
        <f t="shared" si="586"/>
        <v>0</v>
      </c>
      <c r="BK101" s="188">
        <f t="shared" si="587"/>
        <v>0</v>
      </c>
      <c r="BN101" s="143">
        <v>129</v>
      </c>
      <c r="BO101" s="139"/>
      <c r="BP101" s="20"/>
      <c r="BQ101" s="20">
        <v>1</v>
      </c>
      <c r="BR101" s="20"/>
      <c r="BS101" s="20"/>
      <c r="BT101" s="20"/>
      <c r="BU101" s="20"/>
      <c r="BV101" s="20"/>
      <c r="BW101" s="20"/>
      <c r="BX101" s="20"/>
      <c r="BY101" s="20"/>
      <c r="BZ101" s="20"/>
      <c r="CB101" s="188"/>
      <c r="CD101" s="188">
        <f t="shared" si="344"/>
        <v>129</v>
      </c>
      <c r="CE101" s="188">
        <f t="shared" si="345"/>
        <v>0</v>
      </c>
      <c r="CF101" s="188">
        <f t="shared" ref="CF101:CF106" si="612">IF(BP101=1,$CD101,0)</f>
        <v>0</v>
      </c>
      <c r="CG101" s="188">
        <f t="shared" ref="CG101:CG106" si="613">IF(BQ101=1,$CD101,0)</f>
        <v>129</v>
      </c>
      <c r="CH101" s="188">
        <f t="shared" ref="CH101:CH106" si="614">IF(BR101=1,$CD101,0)</f>
        <v>0</v>
      </c>
      <c r="CI101" s="188">
        <f t="shared" ref="CI101:CI106" si="615">IF(BS101=1,$CD101,0)</f>
        <v>0</v>
      </c>
      <c r="CJ101" s="188">
        <f t="shared" ref="CJ101:CJ106" si="616">IF(BT101=1,$CD101,0)</f>
        <v>0</v>
      </c>
      <c r="CK101" s="188">
        <f t="shared" ref="CK101:CK106" si="617">IF(BU101=1,$CD101,0)</f>
        <v>0</v>
      </c>
      <c r="CL101" s="188">
        <f t="shared" ref="CL101:CL106" si="618">IF(BV101=1,$CD101,0)</f>
        <v>0</v>
      </c>
      <c r="CM101" s="188">
        <f t="shared" ref="CM101:CM106" si="619">IF(BW101=1,$CD101,0)</f>
        <v>0</v>
      </c>
      <c r="CN101" s="188">
        <f t="shared" ref="CN101:CN106" si="620">IF(BX101=1,$CD101,0)</f>
        <v>0</v>
      </c>
      <c r="CO101" s="188">
        <f t="shared" ref="CO101:CO106" si="621">IF(BY101=1,$CD101,0)</f>
        <v>0</v>
      </c>
      <c r="CP101" s="188">
        <f t="shared" ref="CP101:CP106" si="622">IF(BZ101=1,$CD101,0)</f>
        <v>0</v>
      </c>
      <c r="DV101" s="188">
        <f t="shared" si="599"/>
        <v>0</v>
      </c>
      <c r="DW101" s="188">
        <f t="shared" si="600"/>
        <v>0</v>
      </c>
      <c r="DX101" s="188">
        <f t="shared" si="601"/>
        <v>0</v>
      </c>
      <c r="DY101" s="188">
        <f t="shared" si="602"/>
        <v>0</v>
      </c>
      <c r="DZ101" s="188">
        <f t="shared" si="603"/>
        <v>0</v>
      </c>
      <c r="EA101" s="188">
        <f t="shared" si="604"/>
        <v>0</v>
      </c>
      <c r="EB101" s="188">
        <f t="shared" si="605"/>
        <v>0</v>
      </c>
      <c r="EG101" s="220">
        <f t="shared" si="606"/>
        <v>0</v>
      </c>
      <c r="EH101" s="220">
        <f t="shared" si="607"/>
        <v>0</v>
      </c>
      <c r="EI101" s="188"/>
      <c r="EJ101" s="188"/>
      <c r="EK101" s="188"/>
      <c r="EL101" s="188"/>
      <c r="EM101" s="188"/>
      <c r="EN101" s="188"/>
      <c r="EO101" s="188"/>
      <c r="EP101" s="188"/>
      <c r="EQ101" s="188"/>
      <c r="ER101" s="188"/>
      <c r="ES101" s="188"/>
      <c r="ET101" s="188"/>
      <c r="EU101" s="188"/>
      <c r="EV101" s="188"/>
      <c r="EW101" s="188"/>
      <c r="EX101" s="188"/>
      <c r="EY101" s="188"/>
      <c r="EZ101" s="188"/>
      <c r="FA101" s="188"/>
      <c r="FB101" s="188"/>
      <c r="FC101" s="188"/>
      <c r="FD101" s="188"/>
      <c r="FE101" s="188"/>
      <c r="FF101" s="188"/>
      <c r="FH101" s="188"/>
      <c r="FI101" s="188"/>
      <c r="FJ101" s="188"/>
      <c r="FK101" s="188"/>
      <c r="FL101" s="188"/>
      <c r="FM101" s="188"/>
      <c r="FN101" s="188"/>
      <c r="FO101" s="188"/>
      <c r="FP101" s="188"/>
      <c r="FQ101" s="188"/>
      <c r="FR101" s="188"/>
      <c r="FS101" s="188"/>
      <c r="FT101" s="188"/>
      <c r="FU101" s="188"/>
      <c r="FV101" s="188"/>
      <c r="FX101" s="217">
        <v>1</v>
      </c>
      <c r="FY101" s="188">
        <f t="shared" ref="FY101:FY106" si="623">SUM(FZ101:GE101)</f>
        <v>129</v>
      </c>
      <c r="FZ101" s="188">
        <f t="shared" si="439"/>
        <v>0</v>
      </c>
      <c r="GA101" s="188">
        <f t="shared" si="440"/>
        <v>0</v>
      </c>
      <c r="GB101" s="188">
        <f t="shared" si="441"/>
        <v>129</v>
      </c>
      <c r="GC101" s="188">
        <f t="shared" si="442"/>
        <v>0</v>
      </c>
      <c r="GD101" s="234">
        <f t="shared" si="443"/>
        <v>0</v>
      </c>
      <c r="GE101" s="188">
        <f t="shared" si="444"/>
        <v>0</v>
      </c>
      <c r="GF101" s="235"/>
      <c r="GG101" s="189">
        <v>0</v>
      </c>
      <c r="GH101" s="189">
        <v>0</v>
      </c>
      <c r="GI101" s="235"/>
      <c r="GJ101" s="224">
        <f t="shared" si="609"/>
        <v>0</v>
      </c>
      <c r="GK101" s="224">
        <f t="shared" si="610"/>
        <v>0</v>
      </c>
      <c r="GO101" s="188">
        <f t="shared" si="445"/>
        <v>0</v>
      </c>
      <c r="GP101" s="188">
        <f t="shared" si="446"/>
        <v>0</v>
      </c>
      <c r="GQ101" s="188">
        <f t="shared" si="447"/>
        <v>0</v>
      </c>
      <c r="GR101" s="188">
        <f t="shared" si="448"/>
        <v>0</v>
      </c>
      <c r="GS101" s="188">
        <f t="shared" si="449"/>
        <v>0</v>
      </c>
      <c r="GT101" s="188">
        <f t="shared" si="506"/>
        <v>1</v>
      </c>
      <c r="GU101" s="232">
        <f t="shared" si="388"/>
        <v>43243</v>
      </c>
      <c r="GV101" s="188" t="str">
        <f t="shared" si="507"/>
        <v>SELESAI</v>
      </c>
      <c r="GW101" s="188">
        <f t="shared" si="508"/>
        <v>0</v>
      </c>
      <c r="GX101" s="188" t="str">
        <f t="shared" si="509"/>
        <v>SELESAI</v>
      </c>
      <c r="GY101" s="188">
        <f t="shared" si="510"/>
        <v>0</v>
      </c>
      <c r="GZ101" s="228" t="str">
        <f t="shared" si="511"/>
        <v>SELESAI</v>
      </c>
      <c r="HA101" s="204"/>
      <c r="HB101" s="204"/>
      <c r="HC101" s="188">
        <f t="shared" si="450"/>
        <v>0</v>
      </c>
      <c r="HD101" s="188">
        <f t="shared" si="451"/>
        <v>0</v>
      </c>
      <c r="HE101" s="188">
        <f t="shared" si="512"/>
        <v>0</v>
      </c>
      <c r="HF101" s="188">
        <f t="shared" si="513"/>
        <v>0</v>
      </c>
      <c r="HG101" s="188">
        <f t="shared" si="514"/>
        <v>0</v>
      </c>
      <c r="HH101" s="228" t="str">
        <f t="shared" si="515"/>
        <v>TIDAK KONSINYASI</v>
      </c>
      <c r="HI101" s="228" t="str">
        <f t="shared" si="516"/>
        <v>SELESAI</v>
      </c>
      <c r="HK101" s="228">
        <f t="shared" si="517"/>
        <v>0</v>
      </c>
      <c r="HL101" s="204"/>
      <c r="HM101" s="204"/>
      <c r="HN101" s="204"/>
      <c r="HO101" s="204"/>
      <c r="HP101" s="203">
        <f t="shared" si="518"/>
        <v>0</v>
      </c>
      <c r="HQ101" s="202">
        <f t="shared" si="519"/>
        <v>0</v>
      </c>
      <c r="HR101" s="202">
        <f t="shared" si="452"/>
        <v>0</v>
      </c>
      <c r="HS101" s="203">
        <f t="shared" ref="HS101:HS106" si="624">IF(HT101=1,HH101,0)</f>
        <v>0</v>
      </c>
      <c r="HT101" s="202">
        <f t="shared" ref="HT101:HT106" si="625">HG101</f>
        <v>0</v>
      </c>
      <c r="HU101" s="202">
        <f t="shared" si="453"/>
        <v>0</v>
      </c>
      <c r="HV101" s="203">
        <f t="shared" ref="HV101:HV106" si="626">IF(HW101=1,GZ101,0)</f>
        <v>0</v>
      </c>
      <c r="HW101" s="202">
        <f t="shared" ref="HW101:HW106" si="627">IF(JB101=0,IF(IX101=0,IF(HT101=0,IF(GV101="MUSYAWARAH",GR101,0),0),0),0)</f>
        <v>0</v>
      </c>
      <c r="HX101" s="202">
        <f t="shared" si="454"/>
        <v>0</v>
      </c>
      <c r="HY101" s="203">
        <f t="shared" ref="HY101:HY106" si="628">IF(HZ101=1,HV101+$HI$8,0)</f>
        <v>0</v>
      </c>
      <c r="HZ101" s="202">
        <f t="shared" ref="HZ101:HZ106" si="629">HW101</f>
        <v>0</v>
      </c>
      <c r="IA101" s="202">
        <f t="shared" si="455"/>
        <v>0</v>
      </c>
      <c r="IB101" s="236">
        <f t="shared" si="525"/>
        <v>0</v>
      </c>
      <c r="IC101" s="188">
        <f t="shared" si="526"/>
        <v>0</v>
      </c>
      <c r="ID101" s="188">
        <f t="shared" si="456"/>
        <v>0</v>
      </c>
      <c r="IE101" s="228">
        <f t="shared" si="527"/>
        <v>0</v>
      </c>
      <c r="IF101" s="188">
        <f t="shared" si="528"/>
        <v>0</v>
      </c>
      <c r="IG101" s="188">
        <f t="shared" si="457"/>
        <v>0</v>
      </c>
      <c r="IH101" s="228">
        <f t="shared" si="529"/>
        <v>0</v>
      </c>
      <c r="II101" s="188">
        <f t="shared" si="530"/>
        <v>0</v>
      </c>
      <c r="IJ101" s="188">
        <f t="shared" si="458"/>
        <v>0</v>
      </c>
      <c r="IK101" s="228">
        <f t="shared" si="531"/>
        <v>0</v>
      </c>
      <c r="IL101" s="188">
        <f t="shared" si="532"/>
        <v>0</v>
      </c>
      <c r="IM101" s="188">
        <f t="shared" si="459"/>
        <v>0</v>
      </c>
      <c r="IN101" s="204"/>
      <c r="IO101" s="228">
        <f t="shared" si="533"/>
        <v>0</v>
      </c>
      <c r="IP101" s="188">
        <f t="shared" si="460"/>
        <v>0</v>
      </c>
      <c r="IQ101" s="188">
        <f t="shared" si="461"/>
        <v>0</v>
      </c>
      <c r="IR101" s="204"/>
      <c r="IS101" s="228"/>
      <c r="IT101" s="188">
        <f t="shared" si="462"/>
        <v>1</v>
      </c>
      <c r="IU101" s="188">
        <f t="shared" si="463"/>
        <v>285</v>
      </c>
      <c r="IV101" s="204"/>
      <c r="IW101" s="228"/>
      <c r="IX101" s="188">
        <f t="shared" si="464"/>
        <v>0</v>
      </c>
      <c r="IY101" s="188">
        <f t="shared" si="465"/>
        <v>0</v>
      </c>
      <c r="IZ101" s="204"/>
      <c r="JA101" s="228"/>
      <c r="JB101" s="188">
        <f t="shared" si="466"/>
        <v>0</v>
      </c>
      <c r="JC101" s="188">
        <f t="shared" si="467"/>
        <v>0</v>
      </c>
      <c r="JD101" s="204"/>
      <c r="JE101" s="228"/>
      <c r="JF101" s="188">
        <f t="shared" si="534"/>
        <v>1</v>
      </c>
      <c r="JG101" s="188">
        <f t="shared" si="535"/>
        <v>285</v>
      </c>
      <c r="JH101" s="204"/>
      <c r="JI101" s="228"/>
      <c r="JJ101" s="188">
        <f t="shared" si="468"/>
        <v>0</v>
      </c>
      <c r="JK101" s="188">
        <f t="shared" si="469"/>
        <v>0</v>
      </c>
      <c r="JM101" s="203">
        <f t="shared" si="409"/>
        <v>0</v>
      </c>
      <c r="JO101" s="196">
        <f t="shared" si="372"/>
        <v>1</v>
      </c>
      <c r="JP101" s="189">
        <f t="shared" si="470"/>
        <v>129</v>
      </c>
      <c r="JQ101" s="189">
        <f t="shared" si="471"/>
        <v>0</v>
      </c>
      <c r="JR101" s="189">
        <f t="shared" si="472"/>
        <v>0</v>
      </c>
      <c r="JS101" s="189">
        <f t="shared" si="473"/>
        <v>1</v>
      </c>
      <c r="JT101" s="189">
        <f t="shared" si="474"/>
        <v>0</v>
      </c>
      <c r="JU101" s="189">
        <f t="shared" si="475"/>
        <v>0</v>
      </c>
      <c r="JV101" s="189">
        <f t="shared" si="476"/>
        <v>0</v>
      </c>
      <c r="JW101" s="189">
        <f t="shared" si="477"/>
        <v>0</v>
      </c>
      <c r="JX101" s="189">
        <f t="shared" si="478"/>
        <v>0</v>
      </c>
      <c r="JY101" s="189">
        <f t="shared" si="479"/>
        <v>0</v>
      </c>
      <c r="JZ101" s="189">
        <f t="shared" si="480"/>
        <v>0</v>
      </c>
      <c r="KA101" s="189">
        <f t="shared" si="481"/>
        <v>0</v>
      </c>
      <c r="KB101" s="189">
        <f t="shared" si="482"/>
        <v>0</v>
      </c>
      <c r="KD101" s="206">
        <f t="shared" si="410"/>
        <v>1</v>
      </c>
      <c r="KE101" s="206">
        <f t="shared" si="373"/>
        <v>129</v>
      </c>
      <c r="KF101" s="206">
        <f t="shared" si="483"/>
        <v>129</v>
      </c>
      <c r="KG101" s="206">
        <f t="shared" si="484"/>
        <v>0</v>
      </c>
      <c r="KH101" s="206">
        <f t="shared" si="485"/>
        <v>0</v>
      </c>
      <c r="KI101" s="206">
        <f t="shared" si="486"/>
        <v>129</v>
      </c>
      <c r="KJ101" s="206">
        <f t="shared" si="487"/>
        <v>0</v>
      </c>
      <c r="KK101" s="206">
        <f t="shared" si="488"/>
        <v>0</v>
      </c>
      <c r="KL101" s="206">
        <f t="shared" si="489"/>
        <v>0</v>
      </c>
      <c r="KM101" s="206">
        <f t="shared" si="490"/>
        <v>0</v>
      </c>
      <c r="KN101" s="221">
        <f t="shared" si="491"/>
        <v>0</v>
      </c>
      <c r="KO101" s="221">
        <f t="shared" si="492"/>
        <v>0</v>
      </c>
      <c r="KP101" s="221">
        <f t="shared" si="493"/>
        <v>0</v>
      </c>
      <c r="KQ101" s="221">
        <f t="shared" si="494"/>
        <v>0</v>
      </c>
      <c r="KR101" s="221">
        <f t="shared" si="495"/>
        <v>0</v>
      </c>
      <c r="KT101" s="195">
        <f t="shared" si="496"/>
        <v>0</v>
      </c>
      <c r="KU101" s="221"/>
      <c r="KV101" s="221"/>
      <c r="KW101" s="221"/>
      <c r="KX101" s="221"/>
      <c r="KY101" s="221"/>
      <c r="KZ101" s="221"/>
      <c r="LA101" s="221"/>
      <c r="LB101" s="221"/>
      <c r="LC101" s="221"/>
      <c r="LD101" s="221"/>
      <c r="LE101" s="221"/>
      <c r="LF101" s="221"/>
      <c r="LG101" s="221"/>
      <c r="LH101" s="221"/>
      <c r="LI101" s="221"/>
      <c r="LJ101" s="221"/>
      <c r="LK101" s="221"/>
      <c r="LL101" s="221"/>
      <c r="LM101" s="221"/>
      <c r="LN101" s="221"/>
      <c r="LO101" s="221"/>
      <c r="LP101" s="221"/>
      <c r="LQ101" s="221"/>
      <c r="LR101" s="221"/>
      <c r="LS101" s="221"/>
      <c r="LT101" s="221"/>
      <c r="LU101" s="221"/>
      <c r="LV101" s="221"/>
      <c r="LW101" s="221"/>
      <c r="LX101" s="221"/>
      <c r="LY101" s="221"/>
      <c r="LZ101" s="221"/>
      <c r="MA101" s="221"/>
      <c r="MB101" s="221"/>
      <c r="MC101" s="221"/>
      <c r="MD101" s="221"/>
      <c r="ME101" s="221"/>
      <c r="MF101" s="221"/>
      <c r="MG101" s="221"/>
      <c r="MH101" s="221"/>
      <c r="MI101" s="221"/>
      <c r="MJ101" s="221"/>
      <c r="MK101" s="221"/>
      <c r="ML101" s="221"/>
      <c r="MM101" s="221"/>
      <c r="MN101" s="221"/>
      <c r="MO101" s="221"/>
      <c r="MP101" s="221"/>
      <c r="MQ101" s="221"/>
      <c r="MR101" s="221"/>
      <c r="MS101" s="221"/>
      <c r="MT101" s="221"/>
      <c r="MU101" s="221"/>
      <c r="MV101" s="221"/>
      <c r="MW101" s="221"/>
      <c r="MX101" s="221"/>
      <c r="MY101" s="221"/>
      <c r="MZ101" s="221"/>
      <c r="NA101" s="221"/>
      <c r="NB101" s="221"/>
      <c r="NC101" s="221"/>
      <c r="ND101" s="221"/>
      <c r="NE101" s="221"/>
      <c r="NF101" s="221"/>
      <c r="NG101" s="221"/>
      <c r="NH101" s="221"/>
      <c r="NI101" s="221"/>
      <c r="NJ101" s="221"/>
      <c r="NK101" s="221"/>
      <c r="NM101" s="195">
        <f t="shared" si="411"/>
        <v>0</v>
      </c>
      <c r="NN101" s="195">
        <f t="shared" si="412"/>
        <v>0</v>
      </c>
      <c r="NO101" s="195">
        <f t="shared" si="413"/>
        <v>0</v>
      </c>
      <c r="NP101" s="195">
        <f t="shared" si="414"/>
        <v>0</v>
      </c>
      <c r="NQ101" s="195">
        <f t="shared" si="415"/>
        <v>0</v>
      </c>
      <c r="NR101" s="195">
        <f t="shared" si="416"/>
        <v>0</v>
      </c>
      <c r="NS101" s="195">
        <f t="shared" si="417"/>
        <v>0</v>
      </c>
      <c r="NT101" s="195">
        <f t="shared" si="418"/>
        <v>0</v>
      </c>
      <c r="NU101" s="196">
        <f t="shared" si="419"/>
        <v>0</v>
      </c>
      <c r="NY101" s="215">
        <f t="shared" si="420"/>
        <v>1</v>
      </c>
      <c r="NZ101" s="222">
        <f t="shared" ref="NZ101:NZ107" si="630">1950000000/156</f>
        <v>12500000</v>
      </c>
      <c r="OE101" s="207">
        <f t="shared" si="374"/>
        <v>0</v>
      </c>
      <c r="OF101" s="207">
        <f t="shared" si="375"/>
        <v>0</v>
      </c>
      <c r="OG101" s="207">
        <f t="shared" si="376"/>
        <v>0</v>
      </c>
      <c r="OH101" s="207">
        <f t="shared" si="421"/>
        <v>0</v>
      </c>
      <c r="OI101" s="207">
        <f t="shared" si="377"/>
        <v>0</v>
      </c>
      <c r="OJ101" s="199">
        <f t="shared" si="422"/>
        <v>0</v>
      </c>
      <c r="OK101" s="199">
        <f t="shared" si="423"/>
        <v>0</v>
      </c>
      <c r="OL101" s="199">
        <f t="shared" si="424"/>
        <v>0</v>
      </c>
      <c r="OM101" s="199">
        <f t="shared" si="425"/>
        <v>0</v>
      </c>
      <c r="OO101" s="207">
        <f t="shared" si="378"/>
        <v>0</v>
      </c>
      <c r="OP101" s="207">
        <f t="shared" si="379"/>
        <v>0</v>
      </c>
      <c r="OQ101" s="207">
        <f t="shared" si="426"/>
        <v>0</v>
      </c>
      <c r="OR101" s="207">
        <f t="shared" si="427"/>
        <v>0</v>
      </c>
      <c r="OS101" s="207">
        <f t="shared" si="428"/>
        <v>0</v>
      </c>
      <c r="OT101" s="199">
        <f t="shared" si="429"/>
        <v>0</v>
      </c>
      <c r="OU101" s="199">
        <f t="shared" si="430"/>
        <v>0</v>
      </c>
      <c r="OV101" s="199">
        <f t="shared" si="431"/>
        <v>0</v>
      </c>
      <c r="OW101" s="199">
        <f t="shared" si="432"/>
        <v>0</v>
      </c>
      <c r="OZ101" s="208">
        <f t="shared" si="380"/>
        <v>0</v>
      </c>
      <c r="PA101" s="209"/>
      <c r="PB101" s="209"/>
      <c r="PC101" s="209"/>
      <c r="PD101" s="210">
        <f t="shared" si="433"/>
        <v>0</v>
      </c>
      <c r="PE101" s="210"/>
      <c r="PF101" s="210">
        <f t="shared" si="434"/>
        <v>0</v>
      </c>
      <c r="PG101" s="210">
        <f t="shared" si="435"/>
        <v>0</v>
      </c>
      <c r="PH101" s="210">
        <f t="shared" si="381"/>
        <v>0</v>
      </c>
      <c r="PI101" s="210">
        <f t="shared" si="382"/>
        <v>0</v>
      </c>
      <c r="PJ101" s="210">
        <f t="shared" si="383"/>
        <v>0</v>
      </c>
      <c r="PK101" s="210">
        <f t="shared" si="384"/>
        <v>0</v>
      </c>
      <c r="PL101" s="210">
        <f t="shared" si="385"/>
        <v>0</v>
      </c>
      <c r="PM101" s="211"/>
      <c r="PN101" s="211"/>
      <c r="PO101" s="212">
        <f t="shared" si="436"/>
        <v>0</v>
      </c>
      <c r="PP101" s="212">
        <f t="shared" si="437"/>
        <v>0</v>
      </c>
      <c r="PQ101" s="212">
        <f t="shared" si="438"/>
        <v>0</v>
      </c>
      <c r="PR101" s="211"/>
      <c r="PS101" s="211"/>
      <c r="PT101" s="211"/>
      <c r="PU101" s="211"/>
    </row>
    <row r="102" spans="1:437 16384:16384" s="195" customFormat="1" ht="16" x14ac:dyDescent="0.2">
      <c r="A102" s="213">
        <f t="shared" si="564"/>
        <v>92</v>
      </c>
      <c r="B102" s="186" t="s">
        <v>470</v>
      </c>
      <c r="C102" s="186">
        <v>100</v>
      </c>
      <c r="D102" s="188">
        <v>1</v>
      </c>
      <c r="E102" s="188">
        <v>300</v>
      </c>
      <c r="F102" s="188">
        <v>1</v>
      </c>
      <c r="G102" s="188">
        <f t="shared" si="308"/>
        <v>300</v>
      </c>
      <c r="H102" s="214">
        <f t="shared" si="565"/>
        <v>1</v>
      </c>
      <c r="I102" s="214">
        <f t="shared" si="537"/>
        <v>1</v>
      </c>
      <c r="J102" s="188">
        <v>1</v>
      </c>
      <c r="K102" s="188">
        <f t="shared" si="538"/>
        <v>300</v>
      </c>
      <c r="L102" s="214">
        <f t="shared" si="539"/>
        <v>1</v>
      </c>
      <c r="M102" s="214">
        <f t="shared" si="540"/>
        <v>1</v>
      </c>
      <c r="N102" s="188">
        <v>1</v>
      </c>
      <c r="O102" s="188">
        <f t="shared" si="541"/>
        <v>300</v>
      </c>
      <c r="P102" s="214">
        <f t="shared" si="542"/>
        <v>1</v>
      </c>
      <c r="Q102" s="214">
        <f t="shared" si="543"/>
        <v>1</v>
      </c>
      <c r="R102" s="188">
        <v>1</v>
      </c>
      <c r="S102" s="188">
        <f t="shared" si="544"/>
        <v>300</v>
      </c>
      <c r="T102" s="214">
        <f t="shared" si="545"/>
        <v>1</v>
      </c>
      <c r="U102" s="214">
        <f t="shared" si="546"/>
        <v>1</v>
      </c>
      <c r="V102" s="215">
        <v>1</v>
      </c>
      <c r="W102" s="188">
        <f t="shared" si="547"/>
        <v>300</v>
      </c>
      <c r="X102" s="214">
        <f t="shared" si="548"/>
        <v>1</v>
      </c>
      <c r="Y102" s="214">
        <f t="shared" si="549"/>
        <v>1</v>
      </c>
      <c r="Z102" s="216">
        <f>6705660000/1000000000</f>
        <v>6.70566</v>
      </c>
      <c r="AA102" s="188">
        <v>0</v>
      </c>
      <c r="AB102" s="188">
        <v>0</v>
      </c>
      <c r="AC102" s="214">
        <f t="shared" si="340"/>
        <v>0</v>
      </c>
      <c r="AD102" s="214">
        <f t="shared" si="341"/>
        <v>0</v>
      </c>
      <c r="AE102" s="188"/>
      <c r="AF102" s="188">
        <f t="shared" si="342"/>
        <v>0</v>
      </c>
      <c r="AG102" s="188"/>
      <c r="AH102" s="188"/>
      <c r="AI102" s="188"/>
      <c r="AJ102" s="188"/>
      <c r="AK102" s="188"/>
      <c r="AL102" s="188"/>
      <c r="AM102" s="188"/>
      <c r="AN102" s="217"/>
      <c r="AO102" s="188">
        <f t="shared" ref="AO102:AO106" si="631">IF(AI102=1,D102,0)</f>
        <v>0</v>
      </c>
      <c r="AP102" s="188">
        <f t="shared" ref="AP102:AP106" si="632">IF(AO102=D102,E102,0)</f>
        <v>0</v>
      </c>
      <c r="AQ102" s="188">
        <f t="shared" si="569"/>
        <v>0</v>
      </c>
      <c r="AR102" s="188">
        <f t="shared" si="570"/>
        <v>0</v>
      </c>
      <c r="AS102" s="188">
        <f t="shared" si="571"/>
        <v>0</v>
      </c>
      <c r="AT102" s="188">
        <f t="shared" si="572"/>
        <v>0</v>
      </c>
      <c r="AU102" s="188">
        <f t="shared" si="573"/>
        <v>0</v>
      </c>
      <c r="AV102" s="188">
        <f t="shared" si="574"/>
        <v>0</v>
      </c>
      <c r="AW102" s="188">
        <f t="shared" si="575"/>
        <v>0</v>
      </c>
      <c r="AX102" s="188">
        <f t="shared" si="576"/>
        <v>0</v>
      </c>
      <c r="AY102" s="188">
        <f t="shared" si="577"/>
        <v>0</v>
      </c>
      <c r="AZ102" s="188">
        <f t="shared" si="578"/>
        <v>0</v>
      </c>
      <c r="BA102" s="188">
        <f t="shared" si="579"/>
        <v>0</v>
      </c>
      <c r="BB102" s="188">
        <f t="shared" si="611"/>
        <v>0</v>
      </c>
      <c r="BD102" s="196">
        <f t="shared" si="386"/>
        <v>0</v>
      </c>
      <c r="BE102" s="188">
        <f t="shared" si="581"/>
        <v>0</v>
      </c>
      <c r="BF102" s="188">
        <f t="shared" si="582"/>
        <v>0</v>
      </c>
      <c r="BG102" s="188">
        <f t="shared" si="583"/>
        <v>0</v>
      </c>
      <c r="BH102" s="188">
        <f t="shared" si="584"/>
        <v>0</v>
      </c>
      <c r="BI102" s="188">
        <f t="shared" si="585"/>
        <v>0</v>
      </c>
      <c r="BJ102" s="188">
        <f t="shared" si="586"/>
        <v>0</v>
      </c>
      <c r="BK102" s="188">
        <f t="shared" si="587"/>
        <v>0</v>
      </c>
      <c r="BN102" s="143">
        <v>165</v>
      </c>
      <c r="BO102" s="20"/>
      <c r="BP102" s="20"/>
      <c r="BQ102" s="20">
        <v>1</v>
      </c>
      <c r="BR102" s="20"/>
      <c r="BS102" s="20"/>
      <c r="BT102" s="20"/>
      <c r="BU102" s="20"/>
      <c r="BV102" s="20"/>
      <c r="BW102" s="20"/>
      <c r="BX102" s="20"/>
      <c r="BY102" s="20"/>
      <c r="BZ102" s="20"/>
      <c r="CB102" s="188"/>
      <c r="CD102" s="188">
        <f t="shared" si="344"/>
        <v>165</v>
      </c>
      <c r="CE102" s="188">
        <f t="shared" si="345"/>
        <v>0</v>
      </c>
      <c r="CF102" s="188">
        <f t="shared" si="612"/>
        <v>0</v>
      </c>
      <c r="CG102" s="188">
        <f t="shared" si="613"/>
        <v>165</v>
      </c>
      <c r="CH102" s="188">
        <f t="shared" si="614"/>
        <v>0</v>
      </c>
      <c r="CI102" s="188">
        <f t="shared" si="615"/>
        <v>0</v>
      </c>
      <c r="CJ102" s="188">
        <f t="shared" si="616"/>
        <v>0</v>
      </c>
      <c r="CK102" s="188">
        <f t="shared" si="617"/>
        <v>0</v>
      </c>
      <c r="CL102" s="188">
        <f t="shared" si="618"/>
        <v>0</v>
      </c>
      <c r="CM102" s="188">
        <f t="shared" si="619"/>
        <v>0</v>
      </c>
      <c r="CN102" s="188">
        <f t="shared" si="620"/>
        <v>0</v>
      </c>
      <c r="CO102" s="188">
        <f t="shared" si="621"/>
        <v>0</v>
      </c>
      <c r="CP102" s="188">
        <f t="shared" si="622"/>
        <v>0</v>
      </c>
      <c r="DV102" s="188">
        <f t="shared" si="599"/>
        <v>0</v>
      </c>
      <c r="DW102" s="188">
        <f t="shared" si="600"/>
        <v>0</v>
      </c>
      <c r="DX102" s="188">
        <f t="shared" si="601"/>
        <v>0</v>
      </c>
      <c r="DY102" s="188">
        <f t="shared" si="602"/>
        <v>0</v>
      </c>
      <c r="DZ102" s="188">
        <f t="shared" si="603"/>
        <v>0</v>
      </c>
      <c r="EA102" s="188">
        <f t="shared" si="604"/>
        <v>0</v>
      </c>
      <c r="EB102" s="188">
        <f t="shared" si="605"/>
        <v>0</v>
      </c>
      <c r="EG102" s="220">
        <f t="shared" si="606"/>
        <v>0</v>
      </c>
      <c r="EH102" s="220">
        <f t="shared" si="607"/>
        <v>0</v>
      </c>
      <c r="EI102" s="188"/>
      <c r="EJ102" s="188"/>
      <c r="EK102" s="188"/>
      <c r="EL102" s="188"/>
      <c r="EM102" s="188"/>
      <c r="EN102" s="188"/>
      <c r="EO102" s="188"/>
      <c r="EP102" s="188"/>
      <c r="EQ102" s="188"/>
      <c r="ER102" s="188"/>
      <c r="ES102" s="188"/>
      <c r="ET102" s="188"/>
      <c r="EU102" s="188"/>
      <c r="EV102" s="188"/>
      <c r="EW102" s="188"/>
      <c r="EX102" s="188"/>
      <c r="EY102" s="188"/>
      <c r="EZ102" s="188"/>
      <c r="FA102" s="188"/>
      <c r="FB102" s="188"/>
      <c r="FC102" s="188"/>
      <c r="FD102" s="188"/>
      <c r="FE102" s="188"/>
      <c r="FF102" s="188"/>
      <c r="FH102" s="188"/>
      <c r="FI102" s="188"/>
      <c r="FJ102" s="188"/>
      <c r="FK102" s="188"/>
      <c r="FL102" s="188"/>
      <c r="FM102" s="188"/>
      <c r="FN102" s="188"/>
      <c r="FO102" s="188"/>
      <c r="FP102" s="188"/>
      <c r="FQ102" s="188"/>
      <c r="FR102" s="188"/>
      <c r="FS102" s="188"/>
      <c r="FT102" s="188"/>
      <c r="FU102" s="188"/>
      <c r="FV102" s="188"/>
      <c r="FX102" s="217">
        <v>1</v>
      </c>
      <c r="FY102" s="188">
        <f t="shared" si="623"/>
        <v>165</v>
      </c>
      <c r="FZ102" s="188">
        <f t="shared" si="439"/>
        <v>0</v>
      </c>
      <c r="GA102" s="188">
        <f t="shared" si="440"/>
        <v>0</v>
      </c>
      <c r="GB102" s="188">
        <f t="shared" si="441"/>
        <v>165</v>
      </c>
      <c r="GC102" s="188">
        <f t="shared" si="442"/>
        <v>0</v>
      </c>
      <c r="GD102" s="234">
        <f t="shared" si="443"/>
        <v>0</v>
      </c>
      <c r="GE102" s="188">
        <f t="shared" si="444"/>
        <v>0</v>
      </c>
      <c r="GF102" s="235"/>
      <c r="GG102" s="188">
        <v>0</v>
      </c>
      <c r="GH102" s="188">
        <v>0</v>
      </c>
      <c r="GI102" s="235"/>
      <c r="GJ102" s="224">
        <f t="shared" si="609"/>
        <v>0</v>
      </c>
      <c r="GK102" s="224">
        <f t="shared" si="610"/>
        <v>0</v>
      </c>
      <c r="GO102" s="188"/>
      <c r="GP102" s="188">
        <f t="shared" si="446"/>
        <v>0</v>
      </c>
      <c r="GQ102" s="188">
        <f t="shared" si="447"/>
        <v>0</v>
      </c>
      <c r="GR102" s="188">
        <f t="shared" si="448"/>
        <v>0</v>
      </c>
      <c r="GS102" s="188">
        <f t="shared" si="449"/>
        <v>0</v>
      </c>
      <c r="GT102" s="188">
        <f t="shared" si="506"/>
        <v>1</v>
      </c>
      <c r="GU102" s="232">
        <f t="shared" si="388"/>
        <v>43243</v>
      </c>
      <c r="GV102" s="188" t="str">
        <f t="shared" si="507"/>
        <v>SELESAI</v>
      </c>
      <c r="GW102" s="188">
        <f t="shared" si="508"/>
        <v>0</v>
      </c>
      <c r="GX102" s="188" t="str">
        <f t="shared" si="509"/>
        <v>SELESAI</v>
      </c>
      <c r="GY102" s="188">
        <f t="shared" si="510"/>
        <v>0</v>
      </c>
      <c r="GZ102" s="228" t="str">
        <f t="shared" si="511"/>
        <v>SELESAI</v>
      </c>
      <c r="HA102" s="204"/>
      <c r="HB102" s="204"/>
      <c r="HC102" s="188">
        <f t="shared" si="450"/>
        <v>0</v>
      </c>
      <c r="HD102" s="188">
        <f t="shared" si="451"/>
        <v>0</v>
      </c>
      <c r="HE102" s="188">
        <f t="shared" si="512"/>
        <v>0</v>
      </c>
      <c r="HF102" s="188">
        <f t="shared" si="513"/>
        <v>0</v>
      </c>
      <c r="HG102" s="188">
        <f t="shared" si="514"/>
        <v>0</v>
      </c>
      <c r="HH102" s="228" t="str">
        <f t="shared" si="515"/>
        <v>TIDAK KONSINYASI</v>
      </c>
      <c r="HI102" s="228" t="str">
        <f t="shared" si="516"/>
        <v>SELESAI</v>
      </c>
      <c r="HK102" s="228">
        <f t="shared" si="517"/>
        <v>0</v>
      </c>
      <c r="HL102" s="204"/>
      <c r="HM102" s="204"/>
      <c r="HN102" s="204"/>
      <c r="HO102" s="204"/>
      <c r="HP102" s="203">
        <f t="shared" si="518"/>
        <v>0</v>
      </c>
      <c r="HQ102" s="202">
        <f t="shared" si="519"/>
        <v>0</v>
      </c>
      <c r="HR102" s="202">
        <f t="shared" si="452"/>
        <v>0</v>
      </c>
      <c r="HS102" s="203">
        <f t="shared" si="624"/>
        <v>0</v>
      </c>
      <c r="HT102" s="202">
        <f t="shared" si="625"/>
        <v>0</v>
      </c>
      <c r="HU102" s="202">
        <f t="shared" si="453"/>
        <v>0</v>
      </c>
      <c r="HV102" s="203">
        <f t="shared" si="626"/>
        <v>0</v>
      </c>
      <c r="HW102" s="202">
        <f t="shared" si="627"/>
        <v>0</v>
      </c>
      <c r="HX102" s="202">
        <f t="shared" si="454"/>
        <v>0</v>
      </c>
      <c r="HY102" s="203">
        <f t="shared" si="628"/>
        <v>0</v>
      </c>
      <c r="HZ102" s="202">
        <f t="shared" si="629"/>
        <v>0</v>
      </c>
      <c r="IA102" s="202">
        <f t="shared" si="455"/>
        <v>0</v>
      </c>
      <c r="IB102" s="236">
        <f t="shared" ref="IB102:IB106" si="633">IF(IC102=1,$GU$3+SUM($GY$6:$GY$8),0)</f>
        <v>0</v>
      </c>
      <c r="IC102" s="188">
        <f t="shared" ref="IC102:IC106" si="634">IF(GV102="Hasil Valuasi",GQ102,0)</f>
        <v>0</v>
      </c>
      <c r="ID102" s="188">
        <f t="shared" si="456"/>
        <v>0</v>
      </c>
      <c r="IE102" s="228">
        <f t="shared" ref="IE102:IE106" si="635">IF(IF102=1,IB102+$HI$8,0)</f>
        <v>0</v>
      </c>
      <c r="IF102" s="188">
        <f t="shared" ref="IF102:IF106" si="636">IC102</f>
        <v>0</v>
      </c>
      <c r="IG102" s="188">
        <f t="shared" si="457"/>
        <v>0</v>
      </c>
      <c r="IH102" s="228">
        <f t="shared" ref="IH102:IH106" si="637">IF(II102=1,$GU$3+SUM($GY$5:$GY$8),0)</f>
        <v>0</v>
      </c>
      <c r="II102" s="188">
        <f t="shared" si="530"/>
        <v>0</v>
      </c>
      <c r="IJ102" s="188">
        <f t="shared" si="458"/>
        <v>0</v>
      </c>
      <c r="IK102" s="228">
        <f t="shared" si="531"/>
        <v>0</v>
      </c>
      <c r="IL102" s="188">
        <f t="shared" si="532"/>
        <v>0</v>
      </c>
      <c r="IM102" s="188">
        <f t="shared" si="459"/>
        <v>0</v>
      </c>
      <c r="IN102" s="204"/>
      <c r="IO102" s="228">
        <f t="shared" si="533"/>
        <v>0</v>
      </c>
      <c r="IP102" s="188">
        <f t="shared" si="460"/>
        <v>0</v>
      </c>
      <c r="IQ102" s="188">
        <f t="shared" si="461"/>
        <v>0</v>
      </c>
      <c r="IR102" s="204"/>
      <c r="IS102" s="228"/>
      <c r="IT102" s="188">
        <f t="shared" si="462"/>
        <v>1</v>
      </c>
      <c r="IU102" s="188">
        <f t="shared" si="463"/>
        <v>300</v>
      </c>
      <c r="IV102" s="204"/>
      <c r="IW102" s="228"/>
      <c r="IX102" s="188">
        <f t="shared" si="464"/>
        <v>0</v>
      </c>
      <c r="IY102" s="188">
        <f t="shared" si="465"/>
        <v>0</v>
      </c>
      <c r="IZ102" s="204"/>
      <c r="JA102" s="228"/>
      <c r="JB102" s="188">
        <f t="shared" si="466"/>
        <v>0</v>
      </c>
      <c r="JC102" s="188">
        <f t="shared" si="467"/>
        <v>0</v>
      </c>
      <c r="JD102" s="204"/>
      <c r="JE102" s="228"/>
      <c r="JF102" s="188">
        <f t="shared" si="534"/>
        <v>1</v>
      </c>
      <c r="JG102" s="188">
        <f t="shared" si="535"/>
        <v>300</v>
      </c>
      <c r="JH102" s="204"/>
      <c r="JI102" s="228"/>
      <c r="JJ102" s="188">
        <f t="shared" si="468"/>
        <v>0</v>
      </c>
      <c r="JK102" s="188">
        <f t="shared" si="469"/>
        <v>0</v>
      </c>
      <c r="JM102" s="203">
        <f t="shared" si="409"/>
        <v>0</v>
      </c>
      <c r="JO102" s="196">
        <f t="shared" si="372"/>
        <v>1</v>
      </c>
      <c r="JP102" s="189">
        <f t="shared" si="470"/>
        <v>165</v>
      </c>
      <c r="JQ102" s="189">
        <f t="shared" si="471"/>
        <v>0</v>
      </c>
      <c r="JR102" s="189">
        <f t="shared" si="472"/>
        <v>0</v>
      </c>
      <c r="JS102" s="189">
        <f t="shared" si="473"/>
        <v>1</v>
      </c>
      <c r="JT102" s="189">
        <f t="shared" si="474"/>
        <v>0</v>
      </c>
      <c r="JU102" s="189">
        <f t="shared" si="475"/>
        <v>0</v>
      </c>
      <c r="JV102" s="189">
        <f t="shared" si="476"/>
        <v>0</v>
      </c>
      <c r="JW102" s="189">
        <f t="shared" si="477"/>
        <v>0</v>
      </c>
      <c r="JX102" s="189">
        <f t="shared" si="478"/>
        <v>0</v>
      </c>
      <c r="JY102" s="189">
        <f t="shared" si="479"/>
        <v>0</v>
      </c>
      <c r="JZ102" s="189">
        <f t="shared" si="480"/>
        <v>0</v>
      </c>
      <c r="KA102" s="189">
        <f t="shared" si="481"/>
        <v>0</v>
      </c>
      <c r="KB102" s="189">
        <f t="shared" si="482"/>
        <v>0</v>
      </c>
      <c r="KD102" s="206">
        <f t="shared" si="410"/>
        <v>1</v>
      </c>
      <c r="KE102" s="206">
        <f t="shared" si="373"/>
        <v>165</v>
      </c>
      <c r="KF102" s="206">
        <f t="shared" si="483"/>
        <v>165</v>
      </c>
      <c r="KG102" s="206">
        <f t="shared" si="484"/>
        <v>0</v>
      </c>
      <c r="KH102" s="206">
        <f t="shared" si="485"/>
        <v>0</v>
      </c>
      <c r="KI102" s="206">
        <f t="shared" si="486"/>
        <v>165</v>
      </c>
      <c r="KJ102" s="206">
        <f t="shared" si="487"/>
        <v>0</v>
      </c>
      <c r="KK102" s="206">
        <f t="shared" si="488"/>
        <v>0</v>
      </c>
      <c r="KL102" s="206">
        <f t="shared" si="489"/>
        <v>0</v>
      </c>
      <c r="KM102" s="206">
        <f t="shared" si="490"/>
        <v>0</v>
      </c>
      <c r="KN102" s="221">
        <f t="shared" si="491"/>
        <v>0</v>
      </c>
      <c r="KO102" s="221">
        <f t="shared" si="492"/>
        <v>0</v>
      </c>
      <c r="KP102" s="221">
        <f t="shared" si="493"/>
        <v>0</v>
      </c>
      <c r="KQ102" s="221">
        <f t="shared" si="494"/>
        <v>0</v>
      </c>
      <c r="KR102" s="221">
        <f t="shared" si="495"/>
        <v>0</v>
      </c>
      <c r="KT102" s="195">
        <f t="shared" si="496"/>
        <v>0</v>
      </c>
      <c r="KU102" s="221"/>
      <c r="KV102" s="221"/>
      <c r="KW102" s="221"/>
      <c r="KX102" s="221"/>
      <c r="KY102" s="221"/>
      <c r="KZ102" s="221"/>
      <c r="LA102" s="221"/>
      <c r="LB102" s="221"/>
      <c r="LC102" s="221"/>
      <c r="LD102" s="221"/>
      <c r="LE102" s="221"/>
      <c r="LF102" s="221"/>
      <c r="LG102" s="221"/>
      <c r="LH102" s="221"/>
      <c r="LI102" s="221"/>
      <c r="LJ102" s="221"/>
      <c r="LK102" s="221"/>
      <c r="LL102" s="221"/>
      <c r="LM102" s="221"/>
      <c r="LN102" s="221"/>
      <c r="LO102" s="221"/>
      <c r="LP102" s="221"/>
      <c r="LQ102" s="221"/>
      <c r="LR102" s="221"/>
      <c r="LS102" s="221"/>
      <c r="LT102" s="221"/>
      <c r="LU102" s="221"/>
      <c r="LV102" s="221"/>
      <c r="LW102" s="221"/>
      <c r="LX102" s="221"/>
      <c r="LY102" s="221"/>
      <c r="LZ102" s="221"/>
      <c r="MA102" s="221"/>
      <c r="MB102" s="221"/>
      <c r="MC102" s="221"/>
      <c r="MD102" s="221"/>
      <c r="ME102" s="221"/>
      <c r="MF102" s="221"/>
      <c r="MG102" s="221"/>
      <c r="MH102" s="221"/>
      <c r="MI102" s="221"/>
      <c r="MJ102" s="221"/>
      <c r="MK102" s="221"/>
      <c r="ML102" s="221"/>
      <c r="MM102" s="221"/>
      <c r="MN102" s="221"/>
      <c r="MO102" s="221"/>
      <c r="MP102" s="221"/>
      <c r="MQ102" s="221"/>
      <c r="MR102" s="221"/>
      <c r="MS102" s="221"/>
      <c r="MT102" s="221"/>
      <c r="MU102" s="221"/>
      <c r="MV102" s="221"/>
      <c r="MW102" s="221"/>
      <c r="MX102" s="221"/>
      <c r="MY102" s="221"/>
      <c r="MZ102" s="221"/>
      <c r="NA102" s="221"/>
      <c r="NB102" s="221"/>
      <c r="NC102" s="221"/>
      <c r="ND102" s="221"/>
      <c r="NE102" s="221"/>
      <c r="NF102" s="221"/>
      <c r="NG102" s="221"/>
      <c r="NH102" s="221"/>
      <c r="NI102" s="221"/>
      <c r="NJ102" s="221"/>
      <c r="NK102" s="221"/>
      <c r="NM102" s="195">
        <f t="shared" si="411"/>
        <v>0</v>
      </c>
      <c r="NN102" s="195">
        <f t="shared" si="412"/>
        <v>0</v>
      </c>
      <c r="NO102" s="195">
        <f t="shared" si="413"/>
        <v>0</v>
      </c>
      <c r="NP102" s="195">
        <f t="shared" si="414"/>
        <v>0</v>
      </c>
      <c r="NQ102" s="195">
        <f t="shared" si="415"/>
        <v>0</v>
      </c>
      <c r="NR102" s="195">
        <f t="shared" si="416"/>
        <v>0</v>
      </c>
      <c r="NS102" s="195">
        <f t="shared" si="417"/>
        <v>0</v>
      </c>
      <c r="NT102" s="195">
        <f t="shared" si="418"/>
        <v>0</v>
      </c>
      <c r="NU102" s="196">
        <f t="shared" si="419"/>
        <v>0</v>
      </c>
      <c r="NY102" s="215">
        <f t="shared" si="420"/>
        <v>1</v>
      </c>
      <c r="NZ102" s="222">
        <f t="shared" si="630"/>
        <v>12500000</v>
      </c>
      <c r="OE102" s="207">
        <f t="shared" si="374"/>
        <v>0</v>
      </c>
      <c r="OF102" s="207">
        <f t="shared" si="375"/>
        <v>0</v>
      </c>
      <c r="OG102" s="207">
        <f t="shared" si="376"/>
        <v>0</v>
      </c>
      <c r="OH102" s="207">
        <f t="shared" si="421"/>
        <v>0</v>
      </c>
      <c r="OI102" s="207">
        <f t="shared" si="377"/>
        <v>0</v>
      </c>
      <c r="OJ102" s="199">
        <f t="shared" si="422"/>
        <v>0</v>
      </c>
      <c r="OK102" s="199">
        <f t="shared" si="423"/>
        <v>0</v>
      </c>
      <c r="OL102" s="199">
        <f t="shared" si="424"/>
        <v>0</v>
      </c>
      <c r="OM102" s="199">
        <f t="shared" si="425"/>
        <v>0</v>
      </c>
      <c r="OO102" s="207">
        <f t="shared" si="378"/>
        <v>0</v>
      </c>
      <c r="OP102" s="207">
        <f t="shared" si="379"/>
        <v>0</v>
      </c>
      <c r="OQ102" s="207">
        <f t="shared" si="426"/>
        <v>0</v>
      </c>
      <c r="OR102" s="207">
        <f t="shared" si="427"/>
        <v>0</v>
      </c>
      <c r="OS102" s="207">
        <f t="shared" si="428"/>
        <v>0</v>
      </c>
      <c r="OT102" s="199">
        <f t="shared" si="429"/>
        <v>0</v>
      </c>
      <c r="OU102" s="199">
        <f t="shared" si="430"/>
        <v>0</v>
      </c>
      <c r="OV102" s="199">
        <f t="shared" si="431"/>
        <v>0</v>
      </c>
      <c r="OW102" s="199">
        <f t="shared" si="432"/>
        <v>0</v>
      </c>
      <c r="OZ102" s="208">
        <f t="shared" si="380"/>
        <v>0</v>
      </c>
      <c r="PA102" s="209"/>
      <c r="PB102" s="209"/>
      <c r="PC102" s="209"/>
      <c r="PD102" s="210">
        <f t="shared" si="433"/>
        <v>0</v>
      </c>
      <c r="PE102" s="210"/>
      <c r="PF102" s="210">
        <f t="shared" si="434"/>
        <v>0</v>
      </c>
      <c r="PG102" s="210">
        <f t="shared" si="435"/>
        <v>0</v>
      </c>
      <c r="PH102" s="210">
        <f t="shared" si="381"/>
        <v>0</v>
      </c>
      <c r="PI102" s="210">
        <f t="shared" si="382"/>
        <v>0</v>
      </c>
      <c r="PJ102" s="210">
        <f t="shared" si="383"/>
        <v>0</v>
      </c>
      <c r="PK102" s="210">
        <f t="shared" si="384"/>
        <v>0</v>
      </c>
      <c r="PL102" s="210">
        <f t="shared" si="385"/>
        <v>0</v>
      </c>
      <c r="PM102" s="211"/>
      <c r="PN102" s="211"/>
      <c r="PO102" s="212">
        <f t="shared" si="436"/>
        <v>0</v>
      </c>
      <c r="PP102" s="212">
        <f t="shared" si="437"/>
        <v>0</v>
      </c>
      <c r="PQ102" s="212">
        <f t="shared" si="438"/>
        <v>0</v>
      </c>
      <c r="PR102" s="211"/>
      <c r="PS102" s="211"/>
      <c r="PT102" s="211"/>
      <c r="PU102" s="211"/>
    </row>
    <row r="103" spans="1:437 16384:16384" s="195" customFormat="1" ht="16" x14ac:dyDescent="0.2">
      <c r="A103" s="213">
        <f t="shared" si="564"/>
        <v>93</v>
      </c>
      <c r="B103" s="186" t="s">
        <v>471</v>
      </c>
      <c r="C103" s="186">
        <v>101</v>
      </c>
      <c r="D103" s="188">
        <v>1</v>
      </c>
      <c r="E103" s="188">
        <v>421</v>
      </c>
      <c r="F103" s="188">
        <v>1</v>
      </c>
      <c r="G103" s="188">
        <f t="shared" si="308"/>
        <v>421</v>
      </c>
      <c r="H103" s="214">
        <f t="shared" si="565"/>
        <v>1</v>
      </c>
      <c r="I103" s="214">
        <f t="shared" si="537"/>
        <v>1</v>
      </c>
      <c r="J103" s="188">
        <v>1</v>
      </c>
      <c r="K103" s="188">
        <f t="shared" si="538"/>
        <v>421</v>
      </c>
      <c r="L103" s="214">
        <f t="shared" si="539"/>
        <v>1</v>
      </c>
      <c r="M103" s="214">
        <f t="shared" si="540"/>
        <v>1</v>
      </c>
      <c r="N103" s="188">
        <v>1</v>
      </c>
      <c r="O103" s="188">
        <f t="shared" si="541"/>
        <v>421</v>
      </c>
      <c r="P103" s="214">
        <f t="shared" si="542"/>
        <v>1</v>
      </c>
      <c r="Q103" s="214">
        <f t="shared" si="543"/>
        <v>1</v>
      </c>
      <c r="R103" s="188">
        <v>1</v>
      </c>
      <c r="S103" s="188">
        <f t="shared" si="544"/>
        <v>421</v>
      </c>
      <c r="T103" s="214">
        <f t="shared" si="545"/>
        <v>1</v>
      </c>
      <c r="U103" s="214">
        <f t="shared" si="546"/>
        <v>1</v>
      </c>
      <c r="V103" s="215">
        <v>1</v>
      </c>
      <c r="W103" s="188">
        <f t="shared" si="547"/>
        <v>421</v>
      </c>
      <c r="X103" s="214">
        <f t="shared" si="548"/>
        <v>1</v>
      </c>
      <c r="Y103" s="214">
        <f t="shared" si="549"/>
        <v>1</v>
      </c>
      <c r="Z103" s="216">
        <f>9801865000/1000000000</f>
        <v>9.8018649999999994</v>
      </c>
      <c r="AA103" s="188">
        <v>0</v>
      </c>
      <c r="AB103" s="188">
        <v>0</v>
      </c>
      <c r="AC103" s="214">
        <f t="shared" si="340"/>
        <v>0</v>
      </c>
      <c r="AD103" s="214">
        <f t="shared" si="341"/>
        <v>0</v>
      </c>
      <c r="AE103" s="188"/>
      <c r="AF103" s="188">
        <f t="shared" si="342"/>
        <v>0</v>
      </c>
      <c r="AG103" s="188"/>
      <c r="AH103" s="188"/>
      <c r="AI103" s="188"/>
      <c r="AJ103" s="188"/>
      <c r="AK103" s="188"/>
      <c r="AL103" s="188"/>
      <c r="AM103" s="188"/>
      <c r="AN103" s="217"/>
      <c r="AO103" s="188">
        <f t="shared" si="631"/>
        <v>0</v>
      </c>
      <c r="AP103" s="188">
        <f t="shared" si="632"/>
        <v>0</v>
      </c>
      <c r="AQ103" s="188">
        <f t="shared" si="569"/>
        <v>0</v>
      </c>
      <c r="AR103" s="188">
        <f t="shared" si="570"/>
        <v>0</v>
      </c>
      <c r="AS103" s="188">
        <f t="shared" si="571"/>
        <v>0</v>
      </c>
      <c r="AT103" s="188">
        <f t="shared" si="572"/>
        <v>0</v>
      </c>
      <c r="AU103" s="188">
        <f t="shared" si="573"/>
        <v>0</v>
      </c>
      <c r="AV103" s="188">
        <f t="shared" si="574"/>
        <v>0</v>
      </c>
      <c r="AW103" s="188">
        <f t="shared" si="575"/>
        <v>0</v>
      </c>
      <c r="AX103" s="188">
        <f t="shared" si="576"/>
        <v>0</v>
      </c>
      <c r="AY103" s="188">
        <f t="shared" si="577"/>
        <v>0</v>
      </c>
      <c r="AZ103" s="188">
        <f t="shared" si="578"/>
        <v>0</v>
      </c>
      <c r="BA103" s="188">
        <f t="shared" si="579"/>
        <v>0</v>
      </c>
      <c r="BB103" s="188">
        <f t="shared" si="611"/>
        <v>0</v>
      </c>
      <c r="BD103" s="196">
        <f t="shared" si="386"/>
        <v>0</v>
      </c>
      <c r="BE103" s="188">
        <f t="shared" si="581"/>
        <v>0</v>
      </c>
      <c r="BF103" s="188">
        <f t="shared" si="582"/>
        <v>0</v>
      </c>
      <c r="BG103" s="188">
        <f t="shared" si="583"/>
        <v>0</v>
      </c>
      <c r="BH103" s="188">
        <f t="shared" si="584"/>
        <v>0</v>
      </c>
      <c r="BI103" s="188">
        <f t="shared" si="585"/>
        <v>0</v>
      </c>
      <c r="BJ103" s="188">
        <f t="shared" si="586"/>
        <v>0</v>
      </c>
      <c r="BK103" s="188">
        <f t="shared" si="587"/>
        <v>0</v>
      </c>
      <c r="BN103" s="143">
        <v>235</v>
      </c>
      <c r="BO103" s="20"/>
      <c r="BP103" s="20"/>
      <c r="BQ103" s="20">
        <v>1</v>
      </c>
      <c r="BR103" s="20"/>
      <c r="BS103" s="20"/>
      <c r="BT103" s="20"/>
      <c r="BU103" s="20"/>
      <c r="BV103" s="20"/>
      <c r="BW103" s="20"/>
      <c r="BX103" s="20"/>
      <c r="BY103" s="20"/>
      <c r="BZ103" s="20"/>
      <c r="CB103" s="188"/>
      <c r="CD103" s="188">
        <f t="shared" si="344"/>
        <v>235</v>
      </c>
      <c r="CE103" s="188">
        <f t="shared" si="345"/>
        <v>0</v>
      </c>
      <c r="CF103" s="188">
        <f t="shared" si="612"/>
        <v>0</v>
      </c>
      <c r="CG103" s="188">
        <f t="shared" si="613"/>
        <v>235</v>
      </c>
      <c r="CH103" s="188">
        <f t="shared" si="614"/>
        <v>0</v>
      </c>
      <c r="CI103" s="188">
        <f t="shared" si="615"/>
        <v>0</v>
      </c>
      <c r="CJ103" s="188">
        <f t="shared" si="616"/>
        <v>0</v>
      </c>
      <c r="CK103" s="188">
        <f t="shared" si="617"/>
        <v>0</v>
      </c>
      <c r="CL103" s="188">
        <f t="shared" si="618"/>
        <v>0</v>
      </c>
      <c r="CM103" s="188">
        <f t="shared" si="619"/>
        <v>0</v>
      </c>
      <c r="CN103" s="188">
        <f t="shared" si="620"/>
        <v>0</v>
      </c>
      <c r="CO103" s="188">
        <f t="shared" si="621"/>
        <v>0</v>
      </c>
      <c r="CP103" s="188">
        <f t="shared" si="622"/>
        <v>0</v>
      </c>
      <c r="DV103" s="188">
        <f t="shared" si="599"/>
        <v>0</v>
      </c>
      <c r="DW103" s="188">
        <f t="shared" si="600"/>
        <v>0</v>
      </c>
      <c r="DX103" s="188">
        <f t="shared" si="601"/>
        <v>0</v>
      </c>
      <c r="DY103" s="188">
        <f t="shared" si="602"/>
        <v>0</v>
      </c>
      <c r="DZ103" s="188">
        <f t="shared" si="603"/>
        <v>0</v>
      </c>
      <c r="EA103" s="188">
        <f t="shared" si="604"/>
        <v>0</v>
      </c>
      <c r="EB103" s="188">
        <f t="shared" si="605"/>
        <v>0</v>
      </c>
      <c r="EG103" s="220">
        <f t="shared" si="606"/>
        <v>0</v>
      </c>
      <c r="EH103" s="220">
        <f t="shared" si="607"/>
        <v>0</v>
      </c>
      <c r="EI103" s="188"/>
      <c r="EJ103" s="188"/>
      <c r="EK103" s="188"/>
      <c r="EL103" s="188"/>
      <c r="EM103" s="188"/>
      <c r="EN103" s="188"/>
      <c r="EO103" s="188"/>
      <c r="EP103" s="188"/>
      <c r="EQ103" s="188"/>
      <c r="ER103" s="188"/>
      <c r="ES103" s="188"/>
      <c r="ET103" s="188"/>
      <c r="EU103" s="188"/>
      <c r="EV103" s="188"/>
      <c r="EW103" s="188"/>
      <c r="EX103" s="188"/>
      <c r="EY103" s="188"/>
      <c r="EZ103" s="188"/>
      <c r="FA103" s="188"/>
      <c r="FB103" s="188"/>
      <c r="FC103" s="188"/>
      <c r="FD103" s="188"/>
      <c r="FE103" s="188"/>
      <c r="FF103" s="188"/>
      <c r="FH103" s="188"/>
      <c r="FI103" s="188"/>
      <c r="FJ103" s="188"/>
      <c r="FK103" s="188"/>
      <c r="FL103" s="188"/>
      <c r="FM103" s="188"/>
      <c r="FN103" s="188"/>
      <c r="FO103" s="188"/>
      <c r="FP103" s="188"/>
      <c r="FQ103" s="188"/>
      <c r="FR103" s="188"/>
      <c r="FS103" s="188"/>
      <c r="FT103" s="188"/>
      <c r="FU103" s="188"/>
      <c r="FV103" s="188"/>
      <c r="FX103" s="217">
        <v>1</v>
      </c>
      <c r="FY103" s="188">
        <f t="shared" si="623"/>
        <v>235</v>
      </c>
      <c r="FZ103" s="188">
        <f t="shared" si="439"/>
        <v>0</v>
      </c>
      <c r="GA103" s="188">
        <f t="shared" si="440"/>
        <v>0</v>
      </c>
      <c r="GB103" s="188">
        <f t="shared" si="441"/>
        <v>235</v>
      </c>
      <c r="GC103" s="188">
        <f t="shared" si="442"/>
        <v>0</v>
      </c>
      <c r="GD103" s="234">
        <f t="shared" si="443"/>
        <v>0</v>
      </c>
      <c r="GE103" s="188">
        <f t="shared" si="444"/>
        <v>0</v>
      </c>
      <c r="GF103" s="235"/>
      <c r="GG103" s="188">
        <v>0</v>
      </c>
      <c r="GH103" s="188">
        <v>0</v>
      </c>
      <c r="GI103" s="235"/>
      <c r="GJ103" s="224">
        <f t="shared" si="609"/>
        <v>0</v>
      </c>
      <c r="GK103" s="224">
        <f t="shared" si="610"/>
        <v>0</v>
      </c>
      <c r="GO103" s="188"/>
      <c r="GP103" s="188">
        <f t="shared" si="446"/>
        <v>0</v>
      </c>
      <c r="GQ103" s="188">
        <f t="shared" si="447"/>
        <v>0</v>
      </c>
      <c r="GR103" s="188">
        <f t="shared" si="448"/>
        <v>0</v>
      </c>
      <c r="GS103" s="188">
        <f t="shared" si="449"/>
        <v>0</v>
      </c>
      <c r="GT103" s="188">
        <f t="shared" si="506"/>
        <v>1</v>
      </c>
      <c r="GU103" s="232">
        <f t="shared" si="388"/>
        <v>43243</v>
      </c>
      <c r="GV103" s="188" t="str">
        <f t="shared" si="507"/>
        <v>SELESAI</v>
      </c>
      <c r="GW103" s="188">
        <f t="shared" si="508"/>
        <v>0</v>
      </c>
      <c r="GX103" s="188" t="str">
        <f t="shared" si="509"/>
        <v>SELESAI</v>
      </c>
      <c r="GY103" s="188">
        <f t="shared" si="510"/>
        <v>0</v>
      </c>
      <c r="GZ103" s="228" t="str">
        <f t="shared" si="511"/>
        <v>SELESAI</v>
      </c>
      <c r="HA103" s="204"/>
      <c r="HB103" s="204"/>
      <c r="HC103" s="188">
        <f t="shared" si="450"/>
        <v>0</v>
      </c>
      <c r="HD103" s="188">
        <f t="shared" si="451"/>
        <v>0</v>
      </c>
      <c r="HE103" s="188">
        <f t="shared" si="512"/>
        <v>0</v>
      </c>
      <c r="HF103" s="188">
        <f t="shared" si="513"/>
        <v>0</v>
      </c>
      <c r="HG103" s="188">
        <f t="shared" si="514"/>
        <v>0</v>
      </c>
      <c r="HH103" s="228" t="str">
        <f t="shared" si="515"/>
        <v>TIDAK KONSINYASI</v>
      </c>
      <c r="HI103" s="228" t="str">
        <f t="shared" si="516"/>
        <v>SELESAI</v>
      </c>
      <c r="HK103" s="228">
        <f t="shared" si="517"/>
        <v>0</v>
      </c>
      <c r="HL103" s="204"/>
      <c r="HM103" s="204"/>
      <c r="HN103" s="204"/>
      <c r="HO103" s="204"/>
      <c r="HP103" s="203">
        <f t="shared" si="518"/>
        <v>0</v>
      </c>
      <c r="HQ103" s="202">
        <f t="shared" si="519"/>
        <v>0</v>
      </c>
      <c r="HR103" s="202">
        <f t="shared" si="452"/>
        <v>0</v>
      </c>
      <c r="HS103" s="203">
        <f t="shared" si="624"/>
        <v>0</v>
      </c>
      <c r="HT103" s="202">
        <f t="shared" si="625"/>
        <v>0</v>
      </c>
      <c r="HU103" s="202">
        <f t="shared" si="453"/>
        <v>0</v>
      </c>
      <c r="HV103" s="203">
        <f t="shared" si="626"/>
        <v>0</v>
      </c>
      <c r="HW103" s="202">
        <f t="shared" si="627"/>
        <v>0</v>
      </c>
      <c r="HX103" s="202">
        <f t="shared" si="454"/>
        <v>0</v>
      </c>
      <c r="HY103" s="203">
        <f t="shared" si="628"/>
        <v>0</v>
      </c>
      <c r="HZ103" s="202">
        <f t="shared" si="629"/>
        <v>0</v>
      </c>
      <c r="IA103" s="202">
        <f t="shared" si="455"/>
        <v>0</v>
      </c>
      <c r="IB103" s="236">
        <f t="shared" si="633"/>
        <v>0</v>
      </c>
      <c r="IC103" s="188">
        <f t="shared" si="634"/>
        <v>0</v>
      </c>
      <c r="ID103" s="188">
        <f t="shared" si="456"/>
        <v>0</v>
      </c>
      <c r="IE103" s="228">
        <f t="shared" si="635"/>
        <v>0</v>
      </c>
      <c r="IF103" s="188">
        <f t="shared" si="636"/>
        <v>0</v>
      </c>
      <c r="IG103" s="188">
        <f t="shared" si="457"/>
        <v>0</v>
      </c>
      <c r="IH103" s="228">
        <f t="shared" si="637"/>
        <v>0</v>
      </c>
      <c r="II103" s="188">
        <f t="shared" si="530"/>
        <v>0</v>
      </c>
      <c r="IJ103" s="188">
        <f t="shared" si="458"/>
        <v>0</v>
      </c>
      <c r="IK103" s="228">
        <f t="shared" si="531"/>
        <v>0</v>
      </c>
      <c r="IL103" s="188">
        <f t="shared" si="532"/>
        <v>0</v>
      </c>
      <c r="IM103" s="188">
        <f t="shared" si="459"/>
        <v>0</v>
      </c>
      <c r="IN103" s="204"/>
      <c r="IO103" s="228">
        <f t="shared" si="533"/>
        <v>0</v>
      </c>
      <c r="IP103" s="188">
        <f t="shared" si="460"/>
        <v>0</v>
      </c>
      <c r="IQ103" s="188">
        <f t="shared" si="461"/>
        <v>0</v>
      </c>
      <c r="IR103" s="204"/>
      <c r="IS103" s="228"/>
      <c r="IT103" s="188">
        <f t="shared" si="462"/>
        <v>1</v>
      </c>
      <c r="IU103" s="188">
        <f t="shared" si="463"/>
        <v>421</v>
      </c>
      <c r="IV103" s="204"/>
      <c r="IW103" s="228"/>
      <c r="IX103" s="188">
        <f t="shared" si="464"/>
        <v>0</v>
      </c>
      <c r="IY103" s="188">
        <f t="shared" si="465"/>
        <v>0</v>
      </c>
      <c r="IZ103" s="204"/>
      <c r="JA103" s="228"/>
      <c r="JB103" s="188">
        <f t="shared" si="466"/>
        <v>0</v>
      </c>
      <c r="JC103" s="188">
        <f t="shared" si="467"/>
        <v>0</v>
      </c>
      <c r="JD103" s="204"/>
      <c r="JE103" s="228"/>
      <c r="JF103" s="188">
        <f t="shared" si="534"/>
        <v>1</v>
      </c>
      <c r="JG103" s="188">
        <f t="shared" si="535"/>
        <v>421</v>
      </c>
      <c r="JH103" s="204"/>
      <c r="JI103" s="228"/>
      <c r="JJ103" s="188">
        <f t="shared" si="468"/>
        <v>0</v>
      </c>
      <c r="JK103" s="188">
        <f t="shared" si="469"/>
        <v>0</v>
      </c>
      <c r="JM103" s="203">
        <f t="shared" si="409"/>
        <v>0</v>
      </c>
      <c r="JO103" s="196">
        <f t="shared" si="372"/>
        <v>1</v>
      </c>
      <c r="JP103" s="189">
        <f t="shared" si="470"/>
        <v>235</v>
      </c>
      <c r="JQ103" s="189">
        <f t="shared" si="471"/>
        <v>0</v>
      </c>
      <c r="JR103" s="189">
        <f t="shared" si="472"/>
        <v>0</v>
      </c>
      <c r="JS103" s="189">
        <f t="shared" si="473"/>
        <v>1</v>
      </c>
      <c r="JT103" s="189">
        <f t="shared" si="474"/>
        <v>0</v>
      </c>
      <c r="JU103" s="189">
        <f t="shared" si="475"/>
        <v>0</v>
      </c>
      <c r="JV103" s="189">
        <f t="shared" si="476"/>
        <v>0</v>
      </c>
      <c r="JW103" s="189">
        <f t="shared" si="477"/>
        <v>0</v>
      </c>
      <c r="JX103" s="189">
        <f t="shared" si="478"/>
        <v>0</v>
      </c>
      <c r="JY103" s="189">
        <f t="shared" si="479"/>
        <v>0</v>
      </c>
      <c r="JZ103" s="189">
        <f t="shared" si="480"/>
        <v>0</v>
      </c>
      <c r="KA103" s="189">
        <f t="shared" si="481"/>
        <v>0</v>
      </c>
      <c r="KB103" s="189">
        <f t="shared" si="482"/>
        <v>0</v>
      </c>
      <c r="KD103" s="206">
        <f t="shared" si="410"/>
        <v>1</v>
      </c>
      <c r="KE103" s="206">
        <f t="shared" si="373"/>
        <v>235</v>
      </c>
      <c r="KF103" s="206">
        <f t="shared" si="483"/>
        <v>235</v>
      </c>
      <c r="KG103" s="206">
        <f t="shared" si="484"/>
        <v>0</v>
      </c>
      <c r="KH103" s="206">
        <f t="shared" si="485"/>
        <v>0</v>
      </c>
      <c r="KI103" s="206">
        <f t="shared" si="486"/>
        <v>235</v>
      </c>
      <c r="KJ103" s="206">
        <f t="shared" si="487"/>
        <v>0</v>
      </c>
      <c r="KK103" s="206">
        <f t="shared" si="488"/>
        <v>0</v>
      </c>
      <c r="KL103" s="206">
        <f t="shared" si="489"/>
        <v>0</v>
      </c>
      <c r="KM103" s="206">
        <f t="shared" si="490"/>
        <v>0</v>
      </c>
      <c r="KN103" s="221">
        <f t="shared" si="491"/>
        <v>0</v>
      </c>
      <c r="KO103" s="221">
        <f t="shared" si="492"/>
        <v>0</v>
      </c>
      <c r="KP103" s="221">
        <f t="shared" si="493"/>
        <v>0</v>
      </c>
      <c r="KQ103" s="221">
        <f t="shared" si="494"/>
        <v>0</v>
      </c>
      <c r="KR103" s="221">
        <f t="shared" si="495"/>
        <v>0</v>
      </c>
      <c r="KT103" s="195">
        <f t="shared" si="496"/>
        <v>0</v>
      </c>
      <c r="KU103" s="221"/>
      <c r="KV103" s="221"/>
      <c r="KW103" s="221"/>
      <c r="KX103" s="221"/>
      <c r="KY103" s="221"/>
      <c r="KZ103" s="221"/>
      <c r="LA103" s="221"/>
      <c r="LB103" s="221"/>
      <c r="LC103" s="221"/>
      <c r="LD103" s="221"/>
      <c r="LE103" s="221"/>
      <c r="LF103" s="221"/>
      <c r="LG103" s="221"/>
      <c r="LH103" s="221"/>
      <c r="LI103" s="221"/>
      <c r="LJ103" s="221"/>
      <c r="LK103" s="221"/>
      <c r="LL103" s="221"/>
      <c r="LM103" s="221"/>
      <c r="LN103" s="221"/>
      <c r="LO103" s="221"/>
      <c r="LP103" s="221"/>
      <c r="LQ103" s="221"/>
      <c r="LR103" s="221"/>
      <c r="LS103" s="221"/>
      <c r="LT103" s="221"/>
      <c r="LU103" s="221"/>
      <c r="LV103" s="221"/>
      <c r="LW103" s="221"/>
      <c r="LX103" s="221"/>
      <c r="LY103" s="221"/>
      <c r="LZ103" s="221"/>
      <c r="MA103" s="221"/>
      <c r="MB103" s="221"/>
      <c r="MC103" s="221"/>
      <c r="MD103" s="221"/>
      <c r="ME103" s="221"/>
      <c r="MF103" s="221"/>
      <c r="MG103" s="221"/>
      <c r="MH103" s="221"/>
      <c r="MI103" s="221"/>
      <c r="MJ103" s="221"/>
      <c r="MK103" s="221"/>
      <c r="ML103" s="221"/>
      <c r="MM103" s="221"/>
      <c r="MN103" s="221"/>
      <c r="MO103" s="221"/>
      <c r="MP103" s="221"/>
      <c r="MQ103" s="221"/>
      <c r="MR103" s="221"/>
      <c r="MS103" s="221"/>
      <c r="MT103" s="221"/>
      <c r="MU103" s="221"/>
      <c r="MV103" s="221"/>
      <c r="MW103" s="221"/>
      <c r="MX103" s="221"/>
      <c r="MY103" s="221"/>
      <c r="MZ103" s="221"/>
      <c r="NA103" s="221"/>
      <c r="NB103" s="221"/>
      <c r="NC103" s="221"/>
      <c r="ND103" s="221"/>
      <c r="NE103" s="221"/>
      <c r="NF103" s="221"/>
      <c r="NG103" s="221"/>
      <c r="NH103" s="221"/>
      <c r="NI103" s="221"/>
      <c r="NJ103" s="221"/>
      <c r="NK103" s="221"/>
      <c r="NM103" s="195">
        <f t="shared" si="411"/>
        <v>0</v>
      </c>
      <c r="NN103" s="195">
        <f t="shared" si="412"/>
        <v>0</v>
      </c>
      <c r="NO103" s="195">
        <f t="shared" si="413"/>
        <v>0</v>
      </c>
      <c r="NP103" s="195">
        <f t="shared" si="414"/>
        <v>0</v>
      </c>
      <c r="NQ103" s="195">
        <f t="shared" si="415"/>
        <v>0</v>
      </c>
      <c r="NR103" s="195">
        <f t="shared" si="416"/>
        <v>0</v>
      </c>
      <c r="NS103" s="195">
        <f t="shared" si="417"/>
        <v>0</v>
      </c>
      <c r="NT103" s="195">
        <f t="shared" si="418"/>
        <v>0</v>
      </c>
      <c r="NU103" s="196">
        <f t="shared" si="419"/>
        <v>0</v>
      </c>
      <c r="NY103" s="215">
        <f t="shared" si="420"/>
        <v>1</v>
      </c>
      <c r="NZ103" s="222">
        <f t="shared" si="630"/>
        <v>12500000</v>
      </c>
      <c r="OE103" s="207">
        <f t="shared" si="374"/>
        <v>0</v>
      </c>
      <c r="OF103" s="207">
        <f t="shared" si="375"/>
        <v>0</v>
      </c>
      <c r="OG103" s="207">
        <f t="shared" si="376"/>
        <v>0</v>
      </c>
      <c r="OH103" s="207">
        <f t="shared" si="421"/>
        <v>0</v>
      </c>
      <c r="OI103" s="207">
        <f t="shared" si="377"/>
        <v>0</v>
      </c>
      <c r="OJ103" s="199">
        <f t="shared" si="422"/>
        <v>0</v>
      </c>
      <c r="OK103" s="199">
        <f t="shared" si="423"/>
        <v>0</v>
      </c>
      <c r="OL103" s="199">
        <f t="shared" si="424"/>
        <v>0</v>
      </c>
      <c r="OM103" s="199">
        <f t="shared" si="425"/>
        <v>0</v>
      </c>
      <c r="OO103" s="207">
        <f t="shared" si="378"/>
        <v>0</v>
      </c>
      <c r="OP103" s="207">
        <f t="shared" si="379"/>
        <v>0</v>
      </c>
      <c r="OQ103" s="207">
        <f t="shared" si="426"/>
        <v>0</v>
      </c>
      <c r="OR103" s="207">
        <f t="shared" si="427"/>
        <v>0</v>
      </c>
      <c r="OS103" s="207">
        <f t="shared" si="428"/>
        <v>0</v>
      </c>
      <c r="OT103" s="199">
        <f t="shared" si="429"/>
        <v>0</v>
      </c>
      <c r="OU103" s="199">
        <f t="shared" si="430"/>
        <v>0</v>
      </c>
      <c r="OV103" s="199">
        <f t="shared" si="431"/>
        <v>0</v>
      </c>
      <c r="OW103" s="199">
        <f t="shared" si="432"/>
        <v>0</v>
      </c>
      <c r="OZ103" s="208">
        <f t="shared" si="380"/>
        <v>0</v>
      </c>
      <c r="PA103" s="209"/>
      <c r="PB103" s="209"/>
      <c r="PC103" s="209"/>
      <c r="PD103" s="210">
        <f t="shared" si="433"/>
        <v>0</v>
      </c>
      <c r="PE103" s="210"/>
      <c r="PF103" s="210">
        <f t="shared" si="434"/>
        <v>0</v>
      </c>
      <c r="PG103" s="210">
        <f t="shared" si="435"/>
        <v>0</v>
      </c>
      <c r="PH103" s="210">
        <f t="shared" si="381"/>
        <v>0</v>
      </c>
      <c r="PI103" s="210">
        <f t="shared" si="382"/>
        <v>0</v>
      </c>
      <c r="PJ103" s="210">
        <f t="shared" si="383"/>
        <v>0</v>
      </c>
      <c r="PK103" s="210">
        <f t="shared" si="384"/>
        <v>0</v>
      </c>
      <c r="PL103" s="210">
        <f t="shared" si="385"/>
        <v>0</v>
      </c>
      <c r="PM103" s="211"/>
      <c r="PN103" s="211"/>
      <c r="PO103" s="212">
        <f t="shared" si="436"/>
        <v>0</v>
      </c>
      <c r="PP103" s="212">
        <f t="shared" si="437"/>
        <v>0</v>
      </c>
      <c r="PQ103" s="212">
        <f t="shared" si="438"/>
        <v>0</v>
      </c>
      <c r="PR103" s="211"/>
      <c r="PS103" s="211"/>
      <c r="PT103" s="211"/>
      <c r="PU103" s="211"/>
    </row>
    <row r="104" spans="1:437 16384:16384" s="195" customFormat="1" ht="16" x14ac:dyDescent="0.2">
      <c r="A104" s="213">
        <f t="shared" si="564"/>
        <v>94</v>
      </c>
      <c r="B104" s="186" t="s">
        <v>472</v>
      </c>
      <c r="C104" s="186">
        <v>102</v>
      </c>
      <c r="D104" s="188">
        <v>1</v>
      </c>
      <c r="E104" s="188">
        <v>415</v>
      </c>
      <c r="F104" s="188">
        <v>1</v>
      </c>
      <c r="G104" s="188">
        <f t="shared" si="308"/>
        <v>415</v>
      </c>
      <c r="H104" s="214">
        <f t="shared" si="565"/>
        <v>1</v>
      </c>
      <c r="I104" s="214">
        <f t="shared" si="537"/>
        <v>1</v>
      </c>
      <c r="J104" s="188">
        <v>1</v>
      </c>
      <c r="K104" s="188">
        <f t="shared" si="538"/>
        <v>415</v>
      </c>
      <c r="L104" s="214">
        <f t="shared" si="539"/>
        <v>1</v>
      </c>
      <c r="M104" s="214">
        <f t="shared" si="540"/>
        <v>1</v>
      </c>
      <c r="N104" s="188">
        <v>1</v>
      </c>
      <c r="O104" s="188">
        <f t="shared" si="541"/>
        <v>415</v>
      </c>
      <c r="P104" s="214">
        <f t="shared" si="542"/>
        <v>1</v>
      </c>
      <c r="Q104" s="214">
        <f t="shared" si="543"/>
        <v>1</v>
      </c>
      <c r="R104" s="188">
        <v>1</v>
      </c>
      <c r="S104" s="188">
        <f t="shared" si="544"/>
        <v>415</v>
      </c>
      <c r="T104" s="214">
        <f t="shared" si="545"/>
        <v>1</v>
      </c>
      <c r="U104" s="214">
        <f t="shared" si="546"/>
        <v>1</v>
      </c>
      <c r="V104" s="215">
        <v>1</v>
      </c>
      <c r="W104" s="188">
        <f t="shared" si="547"/>
        <v>415</v>
      </c>
      <c r="X104" s="214">
        <f t="shared" si="548"/>
        <v>1</v>
      </c>
      <c r="Y104" s="214">
        <f t="shared" si="549"/>
        <v>1</v>
      </c>
      <c r="Z104" s="216">
        <f>9684291000/1000000000</f>
        <v>9.684291</v>
      </c>
      <c r="AA104" s="188">
        <v>0</v>
      </c>
      <c r="AB104" s="188">
        <v>0</v>
      </c>
      <c r="AC104" s="214">
        <f t="shared" si="340"/>
        <v>0</v>
      </c>
      <c r="AD104" s="214">
        <f t="shared" si="341"/>
        <v>0</v>
      </c>
      <c r="AE104" s="188"/>
      <c r="AF104" s="188">
        <f t="shared" si="342"/>
        <v>0</v>
      </c>
      <c r="AG104" s="188"/>
      <c r="AH104" s="188"/>
      <c r="AI104" s="188"/>
      <c r="AJ104" s="188"/>
      <c r="AK104" s="188"/>
      <c r="AL104" s="188"/>
      <c r="AM104" s="188"/>
      <c r="AN104" s="217"/>
      <c r="AO104" s="188">
        <f t="shared" si="631"/>
        <v>0</v>
      </c>
      <c r="AP104" s="188">
        <f t="shared" si="632"/>
        <v>0</v>
      </c>
      <c r="AQ104" s="188">
        <f t="shared" si="569"/>
        <v>0</v>
      </c>
      <c r="AR104" s="188">
        <f t="shared" si="570"/>
        <v>0</v>
      </c>
      <c r="AS104" s="188">
        <f t="shared" si="571"/>
        <v>0</v>
      </c>
      <c r="AT104" s="188">
        <f t="shared" si="572"/>
        <v>0</v>
      </c>
      <c r="AU104" s="188">
        <f t="shared" si="573"/>
        <v>0</v>
      </c>
      <c r="AV104" s="188">
        <f t="shared" si="574"/>
        <v>0</v>
      </c>
      <c r="AW104" s="188">
        <f t="shared" si="575"/>
        <v>0</v>
      </c>
      <c r="AX104" s="188">
        <f t="shared" si="576"/>
        <v>0</v>
      </c>
      <c r="AY104" s="188">
        <f t="shared" si="577"/>
        <v>0</v>
      </c>
      <c r="AZ104" s="188">
        <f t="shared" si="578"/>
        <v>0</v>
      </c>
      <c r="BA104" s="188">
        <f t="shared" si="579"/>
        <v>0</v>
      </c>
      <c r="BB104" s="188">
        <f t="shared" si="611"/>
        <v>0</v>
      </c>
      <c r="BD104" s="196">
        <f t="shared" si="386"/>
        <v>0</v>
      </c>
      <c r="BE104" s="188">
        <f t="shared" si="581"/>
        <v>0</v>
      </c>
      <c r="BF104" s="188">
        <f t="shared" si="582"/>
        <v>0</v>
      </c>
      <c r="BG104" s="188">
        <f t="shared" si="583"/>
        <v>0</v>
      </c>
      <c r="BH104" s="188">
        <f t="shared" si="584"/>
        <v>0</v>
      </c>
      <c r="BI104" s="188">
        <f t="shared" si="585"/>
        <v>0</v>
      </c>
      <c r="BJ104" s="188">
        <f t="shared" si="586"/>
        <v>0</v>
      </c>
      <c r="BK104" s="188">
        <f t="shared" si="587"/>
        <v>0</v>
      </c>
      <c r="BN104" s="143">
        <v>276</v>
      </c>
      <c r="BO104" s="20"/>
      <c r="BP104" s="20"/>
      <c r="BQ104" s="20">
        <v>1</v>
      </c>
      <c r="BR104" s="20"/>
      <c r="BS104" s="20"/>
      <c r="BT104" s="20"/>
      <c r="BU104" s="20"/>
      <c r="BV104" s="20"/>
      <c r="BW104" s="20"/>
      <c r="BX104" s="20"/>
      <c r="BY104" s="20"/>
      <c r="BZ104" s="20"/>
      <c r="CB104" s="188"/>
      <c r="CD104" s="188">
        <f t="shared" si="344"/>
        <v>276</v>
      </c>
      <c r="CE104" s="188">
        <f t="shared" si="345"/>
        <v>0</v>
      </c>
      <c r="CF104" s="188">
        <f t="shared" si="612"/>
        <v>0</v>
      </c>
      <c r="CG104" s="188">
        <f t="shared" si="613"/>
        <v>276</v>
      </c>
      <c r="CH104" s="188">
        <f t="shared" si="614"/>
        <v>0</v>
      </c>
      <c r="CI104" s="188">
        <f t="shared" si="615"/>
        <v>0</v>
      </c>
      <c r="CJ104" s="188">
        <f t="shared" si="616"/>
        <v>0</v>
      </c>
      <c r="CK104" s="188">
        <f t="shared" si="617"/>
        <v>0</v>
      </c>
      <c r="CL104" s="188">
        <f t="shared" si="618"/>
        <v>0</v>
      </c>
      <c r="CM104" s="188">
        <f t="shared" si="619"/>
        <v>0</v>
      </c>
      <c r="CN104" s="188">
        <f t="shared" si="620"/>
        <v>0</v>
      </c>
      <c r="CO104" s="188">
        <f t="shared" si="621"/>
        <v>0</v>
      </c>
      <c r="CP104" s="188">
        <f t="shared" si="622"/>
        <v>0</v>
      </c>
      <c r="DV104" s="188">
        <f t="shared" si="599"/>
        <v>0</v>
      </c>
      <c r="DW104" s="188">
        <f t="shared" si="600"/>
        <v>0</v>
      </c>
      <c r="DX104" s="188">
        <f t="shared" si="601"/>
        <v>0</v>
      </c>
      <c r="DY104" s="188">
        <f t="shared" si="602"/>
        <v>0</v>
      </c>
      <c r="DZ104" s="188">
        <f t="shared" si="603"/>
        <v>0</v>
      </c>
      <c r="EA104" s="188">
        <f t="shared" si="604"/>
        <v>0</v>
      </c>
      <c r="EB104" s="188">
        <f t="shared" si="605"/>
        <v>0</v>
      </c>
      <c r="EG104" s="220">
        <f t="shared" si="606"/>
        <v>0</v>
      </c>
      <c r="EH104" s="220">
        <f t="shared" si="607"/>
        <v>0</v>
      </c>
      <c r="EI104" s="188"/>
      <c r="EJ104" s="188"/>
      <c r="EK104" s="188"/>
      <c r="EL104" s="188"/>
      <c r="EM104" s="188"/>
      <c r="EN104" s="188"/>
      <c r="EO104" s="188"/>
      <c r="EP104" s="188"/>
      <c r="EQ104" s="188"/>
      <c r="ER104" s="188"/>
      <c r="ES104" s="188"/>
      <c r="ET104" s="188"/>
      <c r="EU104" s="188"/>
      <c r="EV104" s="188"/>
      <c r="EW104" s="188"/>
      <c r="EX104" s="188"/>
      <c r="EY104" s="188"/>
      <c r="EZ104" s="188"/>
      <c r="FA104" s="188"/>
      <c r="FB104" s="188"/>
      <c r="FC104" s="188"/>
      <c r="FD104" s="188"/>
      <c r="FE104" s="188"/>
      <c r="FF104" s="188"/>
      <c r="FH104" s="188"/>
      <c r="FI104" s="188"/>
      <c r="FJ104" s="188"/>
      <c r="FK104" s="188"/>
      <c r="FL104" s="188"/>
      <c r="FM104" s="188"/>
      <c r="FN104" s="188"/>
      <c r="FO104" s="188"/>
      <c r="FP104" s="188"/>
      <c r="FQ104" s="188"/>
      <c r="FR104" s="188"/>
      <c r="FS104" s="188"/>
      <c r="FT104" s="188"/>
      <c r="FU104" s="188"/>
      <c r="FV104" s="188"/>
      <c r="FX104" s="217">
        <v>1</v>
      </c>
      <c r="FY104" s="188">
        <f t="shared" si="623"/>
        <v>276</v>
      </c>
      <c r="FZ104" s="188">
        <f t="shared" si="439"/>
        <v>0</v>
      </c>
      <c r="GA104" s="188">
        <f t="shared" si="440"/>
        <v>0</v>
      </c>
      <c r="GB104" s="188">
        <f t="shared" si="441"/>
        <v>276</v>
      </c>
      <c r="GC104" s="188">
        <f t="shared" si="442"/>
        <v>0</v>
      </c>
      <c r="GD104" s="234">
        <f t="shared" si="443"/>
        <v>0</v>
      </c>
      <c r="GE104" s="188">
        <f t="shared" si="444"/>
        <v>0</v>
      </c>
      <c r="GF104" s="235"/>
      <c r="GG104" s="188">
        <v>0</v>
      </c>
      <c r="GH104" s="188">
        <v>0</v>
      </c>
      <c r="GI104" s="235"/>
      <c r="GJ104" s="224">
        <f t="shared" si="609"/>
        <v>0</v>
      </c>
      <c r="GK104" s="224">
        <f t="shared" si="610"/>
        <v>0</v>
      </c>
      <c r="GO104" s="188"/>
      <c r="GP104" s="188">
        <f t="shared" si="446"/>
        <v>0</v>
      </c>
      <c r="GQ104" s="188">
        <f t="shared" si="447"/>
        <v>0</v>
      </c>
      <c r="GR104" s="188">
        <f t="shared" si="448"/>
        <v>0</v>
      </c>
      <c r="GS104" s="188">
        <f t="shared" si="449"/>
        <v>0</v>
      </c>
      <c r="GT104" s="188">
        <f t="shared" si="506"/>
        <v>1</v>
      </c>
      <c r="GU104" s="232">
        <f t="shared" si="388"/>
        <v>43243</v>
      </c>
      <c r="GV104" s="188" t="str">
        <f t="shared" si="507"/>
        <v>SELESAI</v>
      </c>
      <c r="GW104" s="188">
        <f t="shared" si="508"/>
        <v>0</v>
      </c>
      <c r="GX104" s="188" t="str">
        <f t="shared" si="509"/>
        <v>SELESAI</v>
      </c>
      <c r="GY104" s="188">
        <f t="shared" si="510"/>
        <v>0</v>
      </c>
      <c r="GZ104" s="228" t="str">
        <f t="shared" si="511"/>
        <v>SELESAI</v>
      </c>
      <c r="HA104" s="204"/>
      <c r="HB104" s="204"/>
      <c r="HC104" s="188">
        <f t="shared" si="450"/>
        <v>0</v>
      </c>
      <c r="HD104" s="188">
        <f t="shared" si="451"/>
        <v>0</v>
      </c>
      <c r="HE104" s="188">
        <f t="shared" si="512"/>
        <v>0</v>
      </c>
      <c r="HF104" s="188">
        <f t="shared" si="513"/>
        <v>0</v>
      </c>
      <c r="HG104" s="188">
        <f t="shared" si="514"/>
        <v>0</v>
      </c>
      <c r="HH104" s="228" t="str">
        <f t="shared" si="515"/>
        <v>TIDAK KONSINYASI</v>
      </c>
      <c r="HI104" s="228" t="str">
        <f t="shared" si="516"/>
        <v>SELESAI</v>
      </c>
      <c r="HK104" s="228">
        <f t="shared" si="517"/>
        <v>0</v>
      </c>
      <c r="HL104" s="204"/>
      <c r="HM104" s="204"/>
      <c r="HN104" s="204"/>
      <c r="HO104" s="204"/>
      <c r="HP104" s="203">
        <f t="shared" si="518"/>
        <v>0</v>
      </c>
      <c r="HQ104" s="202">
        <f t="shared" si="519"/>
        <v>0</v>
      </c>
      <c r="HR104" s="202">
        <f t="shared" si="452"/>
        <v>0</v>
      </c>
      <c r="HS104" s="203">
        <f t="shared" si="624"/>
        <v>0</v>
      </c>
      <c r="HT104" s="202">
        <f t="shared" si="625"/>
        <v>0</v>
      </c>
      <c r="HU104" s="202">
        <f t="shared" si="453"/>
        <v>0</v>
      </c>
      <c r="HV104" s="203">
        <f t="shared" si="626"/>
        <v>0</v>
      </c>
      <c r="HW104" s="202">
        <f t="shared" si="627"/>
        <v>0</v>
      </c>
      <c r="HX104" s="202">
        <f t="shared" si="454"/>
        <v>0</v>
      </c>
      <c r="HY104" s="203">
        <f t="shared" si="628"/>
        <v>0</v>
      </c>
      <c r="HZ104" s="202">
        <f t="shared" si="629"/>
        <v>0</v>
      </c>
      <c r="IA104" s="202">
        <f t="shared" si="455"/>
        <v>0</v>
      </c>
      <c r="IB104" s="236">
        <f t="shared" si="633"/>
        <v>0</v>
      </c>
      <c r="IC104" s="188">
        <f t="shared" si="634"/>
        <v>0</v>
      </c>
      <c r="ID104" s="188">
        <f t="shared" si="456"/>
        <v>0</v>
      </c>
      <c r="IE104" s="228">
        <f t="shared" si="635"/>
        <v>0</v>
      </c>
      <c r="IF104" s="188">
        <f t="shared" si="636"/>
        <v>0</v>
      </c>
      <c r="IG104" s="188">
        <f t="shared" si="457"/>
        <v>0</v>
      </c>
      <c r="IH104" s="228">
        <f t="shared" si="637"/>
        <v>0</v>
      </c>
      <c r="II104" s="188">
        <f t="shared" si="530"/>
        <v>0</v>
      </c>
      <c r="IJ104" s="188">
        <f t="shared" si="458"/>
        <v>0</v>
      </c>
      <c r="IK104" s="228">
        <f t="shared" si="531"/>
        <v>0</v>
      </c>
      <c r="IL104" s="188">
        <f t="shared" si="532"/>
        <v>0</v>
      </c>
      <c r="IM104" s="188">
        <f t="shared" si="459"/>
        <v>0</v>
      </c>
      <c r="IN104" s="204"/>
      <c r="IO104" s="228">
        <f t="shared" si="533"/>
        <v>0</v>
      </c>
      <c r="IP104" s="188">
        <f t="shared" si="460"/>
        <v>0</v>
      </c>
      <c r="IQ104" s="188">
        <f t="shared" si="461"/>
        <v>0</v>
      </c>
      <c r="IR104" s="204"/>
      <c r="IS104" s="228"/>
      <c r="IT104" s="188">
        <f t="shared" si="462"/>
        <v>1</v>
      </c>
      <c r="IU104" s="188">
        <f t="shared" si="463"/>
        <v>415</v>
      </c>
      <c r="IV104" s="204"/>
      <c r="IW104" s="228"/>
      <c r="IX104" s="188">
        <f t="shared" si="464"/>
        <v>0</v>
      </c>
      <c r="IY104" s="188">
        <f t="shared" si="465"/>
        <v>0</v>
      </c>
      <c r="IZ104" s="204"/>
      <c r="JA104" s="228"/>
      <c r="JB104" s="188">
        <f t="shared" si="466"/>
        <v>0</v>
      </c>
      <c r="JC104" s="188">
        <f t="shared" si="467"/>
        <v>0</v>
      </c>
      <c r="JD104" s="204"/>
      <c r="JE104" s="228"/>
      <c r="JF104" s="188">
        <f t="shared" si="534"/>
        <v>1</v>
      </c>
      <c r="JG104" s="188">
        <f t="shared" si="535"/>
        <v>415</v>
      </c>
      <c r="JH104" s="204"/>
      <c r="JI104" s="228"/>
      <c r="JJ104" s="188">
        <f t="shared" si="468"/>
        <v>0</v>
      </c>
      <c r="JK104" s="188">
        <f t="shared" si="469"/>
        <v>0</v>
      </c>
      <c r="JM104" s="203">
        <f t="shared" si="409"/>
        <v>0</v>
      </c>
      <c r="JO104" s="196">
        <f t="shared" si="372"/>
        <v>1</v>
      </c>
      <c r="JP104" s="189">
        <f t="shared" si="470"/>
        <v>276</v>
      </c>
      <c r="JQ104" s="189">
        <f t="shared" si="471"/>
        <v>0</v>
      </c>
      <c r="JR104" s="189">
        <f t="shared" si="472"/>
        <v>0</v>
      </c>
      <c r="JS104" s="189">
        <f t="shared" si="473"/>
        <v>1</v>
      </c>
      <c r="JT104" s="189">
        <f t="shared" si="474"/>
        <v>0</v>
      </c>
      <c r="JU104" s="189">
        <f t="shared" si="475"/>
        <v>0</v>
      </c>
      <c r="JV104" s="189">
        <f t="shared" si="476"/>
        <v>0</v>
      </c>
      <c r="JW104" s="189">
        <f t="shared" si="477"/>
        <v>0</v>
      </c>
      <c r="JX104" s="189">
        <f t="shared" si="478"/>
        <v>0</v>
      </c>
      <c r="JY104" s="189">
        <f t="shared" si="479"/>
        <v>0</v>
      </c>
      <c r="JZ104" s="189">
        <f t="shared" si="480"/>
        <v>0</v>
      </c>
      <c r="KA104" s="189">
        <f t="shared" si="481"/>
        <v>0</v>
      </c>
      <c r="KB104" s="189">
        <f t="shared" si="482"/>
        <v>0</v>
      </c>
      <c r="KD104" s="206">
        <f t="shared" si="410"/>
        <v>1</v>
      </c>
      <c r="KE104" s="206">
        <f t="shared" si="373"/>
        <v>276</v>
      </c>
      <c r="KF104" s="206">
        <f t="shared" si="483"/>
        <v>276</v>
      </c>
      <c r="KG104" s="206">
        <f t="shared" si="484"/>
        <v>0</v>
      </c>
      <c r="KH104" s="206">
        <f t="shared" si="485"/>
        <v>0</v>
      </c>
      <c r="KI104" s="206">
        <f t="shared" si="486"/>
        <v>276</v>
      </c>
      <c r="KJ104" s="206">
        <f t="shared" si="487"/>
        <v>0</v>
      </c>
      <c r="KK104" s="206">
        <f t="shared" si="488"/>
        <v>0</v>
      </c>
      <c r="KL104" s="206">
        <f t="shared" si="489"/>
        <v>0</v>
      </c>
      <c r="KM104" s="206">
        <f t="shared" si="490"/>
        <v>0</v>
      </c>
      <c r="KN104" s="221">
        <f t="shared" si="491"/>
        <v>0</v>
      </c>
      <c r="KO104" s="221">
        <f t="shared" si="492"/>
        <v>0</v>
      </c>
      <c r="KP104" s="221">
        <f t="shared" si="493"/>
        <v>0</v>
      </c>
      <c r="KQ104" s="221">
        <f t="shared" si="494"/>
        <v>0</v>
      </c>
      <c r="KR104" s="221">
        <f t="shared" si="495"/>
        <v>0</v>
      </c>
      <c r="KT104" s="195">
        <f t="shared" si="496"/>
        <v>0</v>
      </c>
      <c r="KU104" s="221"/>
      <c r="KV104" s="221"/>
      <c r="KW104" s="221"/>
      <c r="KX104" s="221"/>
      <c r="KY104" s="221"/>
      <c r="KZ104" s="221"/>
      <c r="LA104" s="221"/>
      <c r="LB104" s="221"/>
      <c r="LC104" s="221"/>
      <c r="LD104" s="221"/>
      <c r="LE104" s="221"/>
      <c r="LF104" s="221"/>
      <c r="LG104" s="221"/>
      <c r="LH104" s="221"/>
      <c r="LI104" s="221"/>
      <c r="LJ104" s="221"/>
      <c r="LK104" s="221"/>
      <c r="LL104" s="221"/>
      <c r="LM104" s="221"/>
      <c r="LN104" s="221"/>
      <c r="LO104" s="221"/>
      <c r="LP104" s="221"/>
      <c r="LQ104" s="221"/>
      <c r="LR104" s="221"/>
      <c r="LS104" s="221"/>
      <c r="LT104" s="221"/>
      <c r="LU104" s="221"/>
      <c r="LV104" s="221"/>
      <c r="LW104" s="221"/>
      <c r="LX104" s="221"/>
      <c r="LY104" s="221"/>
      <c r="LZ104" s="221"/>
      <c r="MA104" s="221"/>
      <c r="MB104" s="221"/>
      <c r="MC104" s="221"/>
      <c r="MD104" s="221"/>
      <c r="ME104" s="221"/>
      <c r="MF104" s="221"/>
      <c r="MG104" s="221"/>
      <c r="MH104" s="221"/>
      <c r="MI104" s="221"/>
      <c r="MJ104" s="221"/>
      <c r="MK104" s="221"/>
      <c r="ML104" s="221"/>
      <c r="MM104" s="221"/>
      <c r="MN104" s="221"/>
      <c r="MO104" s="221"/>
      <c r="MP104" s="221"/>
      <c r="MQ104" s="221"/>
      <c r="MR104" s="221"/>
      <c r="MS104" s="221"/>
      <c r="MT104" s="221"/>
      <c r="MU104" s="221"/>
      <c r="MV104" s="221"/>
      <c r="MW104" s="221"/>
      <c r="MX104" s="221"/>
      <c r="MY104" s="221"/>
      <c r="MZ104" s="221"/>
      <c r="NA104" s="221"/>
      <c r="NB104" s="221"/>
      <c r="NC104" s="221"/>
      <c r="ND104" s="221"/>
      <c r="NE104" s="221"/>
      <c r="NF104" s="221"/>
      <c r="NG104" s="221"/>
      <c r="NH104" s="221"/>
      <c r="NI104" s="221"/>
      <c r="NJ104" s="221"/>
      <c r="NK104" s="221"/>
      <c r="NM104" s="195">
        <f t="shared" si="411"/>
        <v>0</v>
      </c>
      <c r="NN104" s="195">
        <f t="shared" si="412"/>
        <v>0</v>
      </c>
      <c r="NO104" s="195">
        <f t="shared" si="413"/>
        <v>0</v>
      </c>
      <c r="NP104" s="195">
        <f t="shared" si="414"/>
        <v>0</v>
      </c>
      <c r="NQ104" s="195">
        <f t="shared" si="415"/>
        <v>0</v>
      </c>
      <c r="NR104" s="195">
        <f t="shared" si="416"/>
        <v>0</v>
      </c>
      <c r="NS104" s="195">
        <f t="shared" si="417"/>
        <v>0</v>
      </c>
      <c r="NT104" s="195">
        <f t="shared" si="418"/>
        <v>0</v>
      </c>
      <c r="NU104" s="196">
        <f t="shared" si="419"/>
        <v>0</v>
      </c>
      <c r="NY104" s="215">
        <f t="shared" si="420"/>
        <v>1</v>
      </c>
      <c r="NZ104" s="222">
        <f t="shared" si="630"/>
        <v>12500000</v>
      </c>
      <c r="OE104" s="207">
        <f t="shared" si="374"/>
        <v>0</v>
      </c>
      <c r="OF104" s="207">
        <f t="shared" si="375"/>
        <v>0</v>
      </c>
      <c r="OG104" s="207">
        <f t="shared" si="376"/>
        <v>0</v>
      </c>
      <c r="OH104" s="207">
        <f t="shared" si="421"/>
        <v>0</v>
      </c>
      <c r="OI104" s="207">
        <f t="shared" si="377"/>
        <v>0</v>
      </c>
      <c r="OJ104" s="199">
        <f t="shared" si="422"/>
        <v>0</v>
      </c>
      <c r="OK104" s="199">
        <f t="shared" si="423"/>
        <v>0</v>
      </c>
      <c r="OL104" s="199">
        <f t="shared" si="424"/>
        <v>0</v>
      </c>
      <c r="OM104" s="199">
        <f t="shared" si="425"/>
        <v>0</v>
      </c>
      <c r="OO104" s="207">
        <f t="shared" si="378"/>
        <v>0</v>
      </c>
      <c r="OP104" s="207">
        <f t="shared" si="379"/>
        <v>0</v>
      </c>
      <c r="OQ104" s="207">
        <f t="shared" si="426"/>
        <v>0</v>
      </c>
      <c r="OR104" s="207">
        <f t="shared" si="427"/>
        <v>0</v>
      </c>
      <c r="OS104" s="207">
        <f t="shared" si="428"/>
        <v>0</v>
      </c>
      <c r="OT104" s="199">
        <f t="shared" si="429"/>
        <v>0</v>
      </c>
      <c r="OU104" s="199">
        <f t="shared" si="430"/>
        <v>0</v>
      </c>
      <c r="OV104" s="199">
        <f t="shared" si="431"/>
        <v>0</v>
      </c>
      <c r="OW104" s="199">
        <f t="shared" si="432"/>
        <v>0</v>
      </c>
      <c r="OZ104" s="208">
        <f t="shared" si="380"/>
        <v>0</v>
      </c>
      <c r="PA104" s="209"/>
      <c r="PB104" s="209"/>
      <c r="PC104" s="209"/>
      <c r="PD104" s="210">
        <f t="shared" si="433"/>
        <v>0</v>
      </c>
      <c r="PE104" s="210"/>
      <c r="PF104" s="210">
        <f t="shared" si="434"/>
        <v>0</v>
      </c>
      <c r="PG104" s="210">
        <f t="shared" si="435"/>
        <v>0</v>
      </c>
      <c r="PH104" s="210">
        <f t="shared" si="381"/>
        <v>0</v>
      </c>
      <c r="PI104" s="210">
        <f t="shared" si="382"/>
        <v>0</v>
      </c>
      <c r="PJ104" s="210">
        <f t="shared" si="383"/>
        <v>0</v>
      </c>
      <c r="PK104" s="210">
        <f t="shared" si="384"/>
        <v>0</v>
      </c>
      <c r="PL104" s="210">
        <f t="shared" si="385"/>
        <v>0</v>
      </c>
      <c r="PM104" s="211"/>
      <c r="PN104" s="211"/>
      <c r="PO104" s="212">
        <f t="shared" si="436"/>
        <v>0</v>
      </c>
      <c r="PP104" s="212">
        <f t="shared" si="437"/>
        <v>0</v>
      </c>
      <c r="PQ104" s="212">
        <f t="shared" si="438"/>
        <v>0</v>
      </c>
      <c r="PR104" s="211"/>
      <c r="PS104" s="211"/>
      <c r="PT104" s="211"/>
      <c r="PU104" s="211"/>
    </row>
    <row r="105" spans="1:437 16384:16384" s="195" customFormat="1" ht="16" x14ac:dyDescent="0.2">
      <c r="A105" s="213">
        <f t="shared" si="564"/>
        <v>95</v>
      </c>
      <c r="B105" s="186" t="s">
        <v>473</v>
      </c>
      <c r="C105" s="186">
        <v>103</v>
      </c>
      <c r="D105" s="188">
        <v>1</v>
      </c>
      <c r="E105" s="188">
        <v>211</v>
      </c>
      <c r="F105" s="188">
        <v>1</v>
      </c>
      <c r="G105" s="188">
        <f t="shared" si="308"/>
        <v>211</v>
      </c>
      <c r="H105" s="214">
        <f t="shared" si="565"/>
        <v>1</v>
      </c>
      <c r="I105" s="214">
        <f t="shared" si="537"/>
        <v>1</v>
      </c>
      <c r="J105" s="188">
        <v>1</v>
      </c>
      <c r="K105" s="188">
        <f t="shared" si="538"/>
        <v>211</v>
      </c>
      <c r="L105" s="214">
        <f t="shared" si="539"/>
        <v>1</v>
      </c>
      <c r="M105" s="214">
        <f t="shared" si="540"/>
        <v>1</v>
      </c>
      <c r="N105" s="188">
        <v>1</v>
      </c>
      <c r="O105" s="188">
        <f t="shared" si="541"/>
        <v>211</v>
      </c>
      <c r="P105" s="214">
        <f t="shared" si="542"/>
        <v>1</v>
      </c>
      <c r="Q105" s="214">
        <f t="shared" si="543"/>
        <v>1</v>
      </c>
      <c r="R105" s="188">
        <v>1</v>
      </c>
      <c r="S105" s="188">
        <f t="shared" si="544"/>
        <v>211</v>
      </c>
      <c r="T105" s="214">
        <f t="shared" si="545"/>
        <v>1</v>
      </c>
      <c r="U105" s="214">
        <f t="shared" si="546"/>
        <v>1</v>
      </c>
      <c r="V105" s="215">
        <v>1</v>
      </c>
      <c r="W105" s="188">
        <f t="shared" si="547"/>
        <v>211</v>
      </c>
      <c r="X105" s="214">
        <f t="shared" si="548"/>
        <v>1</v>
      </c>
      <c r="Y105" s="214">
        <f t="shared" si="549"/>
        <v>1</v>
      </c>
      <c r="Z105" s="216">
        <f>4797544000/1000000000</f>
        <v>4.7975440000000003</v>
      </c>
      <c r="AA105" s="188">
        <v>0</v>
      </c>
      <c r="AB105" s="188">
        <v>0</v>
      </c>
      <c r="AC105" s="214">
        <f t="shared" si="340"/>
        <v>0</v>
      </c>
      <c r="AD105" s="214">
        <f t="shared" si="341"/>
        <v>0</v>
      </c>
      <c r="AE105" s="188"/>
      <c r="AF105" s="188">
        <f t="shared" si="342"/>
        <v>0</v>
      </c>
      <c r="AG105" s="188"/>
      <c r="AH105" s="188"/>
      <c r="AI105" s="188"/>
      <c r="AJ105" s="188"/>
      <c r="AK105" s="188"/>
      <c r="AL105" s="188"/>
      <c r="AM105" s="188"/>
      <c r="AN105" s="217"/>
      <c r="AO105" s="188">
        <f t="shared" si="631"/>
        <v>0</v>
      </c>
      <c r="AP105" s="188">
        <f t="shared" si="632"/>
        <v>0</v>
      </c>
      <c r="AQ105" s="188">
        <f t="shared" si="569"/>
        <v>0</v>
      </c>
      <c r="AR105" s="188">
        <f t="shared" si="570"/>
        <v>0</v>
      </c>
      <c r="AS105" s="188">
        <f t="shared" si="571"/>
        <v>0</v>
      </c>
      <c r="AT105" s="188">
        <f t="shared" si="572"/>
        <v>0</v>
      </c>
      <c r="AU105" s="188">
        <f t="shared" si="573"/>
        <v>0</v>
      </c>
      <c r="AV105" s="188">
        <f t="shared" si="574"/>
        <v>0</v>
      </c>
      <c r="AW105" s="188">
        <f t="shared" si="575"/>
        <v>0</v>
      </c>
      <c r="AX105" s="188">
        <f t="shared" si="576"/>
        <v>0</v>
      </c>
      <c r="AY105" s="188">
        <f t="shared" si="577"/>
        <v>0</v>
      </c>
      <c r="AZ105" s="188">
        <f t="shared" si="578"/>
        <v>0</v>
      </c>
      <c r="BA105" s="188">
        <f t="shared" si="579"/>
        <v>0</v>
      </c>
      <c r="BB105" s="188">
        <f t="shared" si="611"/>
        <v>0</v>
      </c>
      <c r="BD105" s="196">
        <f t="shared" si="386"/>
        <v>0</v>
      </c>
      <c r="BE105" s="188">
        <f t="shared" si="581"/>
        <v>0</v>
      </c>
      <c r="BF105" s="188">
        <f t="shared" si="582"/>
        <v>0</v>
      </c>
      <c r="BG105" s="188">
        <f t="shared" si="583"/>
        <v>0</v>
      </c>
      <c r="BH105" s="188">
        <f t="shared" si="584"/>
        <v>0</v>
      </c>
      <c r="BI105" s="188">
        <f t="shared" si="585"/>
        <v>0</v>
      </c>
      <c r="BJ105" s="188">
        <f t="shared" si="586"/>
        <v>0</v>
      </c>
      <c r="BK105" s="188">
        <f t="shared" si="587"/>
        <v>0</v>
      </c>
      <c r="BN105" s="143">
        <v>160</v>
      </c>
      <c r="BO105" s="20"/>
      <c r="BP105" s="20"/>
      <c r="BQ105" s="20">
        <v>1</v>
      </c>
      <c r="BR105" s="20"/>
      <c r="BS105" s="20"/>
      <c r="BT105" s="20"/>
      <c r="BU105" s="20"/>
      <c r="BV105" s="20"/>
      <c r="BW105" s="20"/>
      <c r="BX105" s="20"/>
      <c r="BY105" s="20"/>
      <c r="BZ105" s="20"/>
      <c r="CB105" s="188"/>
      <c r="CD105" s="188">
        <f t="shared" si="344"/>
        <v>160</v>
      </c>
      <c r="CE105" s="188">
        <f t="shared" si="345"/>
        <v>0</v>
      </c>
      <c r="CF105" s="188">
        <f t="shared" si="612"/>
        <v>0</v>
      </c>
      <c r="CG105" s="188">
        <f t="shared" si="613"/>
        <v>160</v>
      </c>
      <c r="CH105" s="188">
        <f t="shared" si="614"/>
        <v>0</v>
      </c>
      <c r="CI105" s="188">
        <f t="shared" si="615"/>
        <v>0</v>
      </c>
      <c r="CJ105" s="188">
        <f t="shared" si="616"/>
        <v>0</v>
      </c>
      <c r="CK105" s="188">
        <f t="shared" si="617"/>
        <v>0</v>
      </c>
      <c r="CL105" s="188">
        <f t="shared" si="618"/>
        <v>0</v>
      </c>
      <c r="CM105" s="188">
        <f t="shared" si="619"/>
        <v>0</v>
      </c>
      <c r="CN105" s="188">
        <f t="shared" si="620"/>
        <v>0</v>
      </c>
      <c r="CO105" s="188">
        <f t="shared" si="621"/>
        <v>0</v>
      </c>
      <c r="CP105" s="188">
        <f t="shared" si="622"/>
        <v>0</v>
      </c>
      <c r="DV105" s="188">
        <f t="shared" si="599"/>
        <v>0</v>
      </c>
      <c r="DW105" s="188">
        <f t="shared" si="600"/>
        <v>0</v>
      </c>
      <c r="DX105" s="188">
        <f t="shared" si="601"/>
        <v>0</v>
      </c>
      <c r="DY105" s="188">
        <f t="shared" si="602"/>
        <v>0</v>
      </c>
      <c r="DZ105" s="188">
        <f t="shared" si="603"/>
        <v>0</v>
      </c>
      <c r="EA105" s="188">
        <f t="shared" si="604"/>
        <v>0</v>
      </c>
      <c r="EB105" s="188">
        <f t="shared" si="605"/>
        <v>0</v>
      </c>
      <c r="EG105" s="220">
        <f t="shared" si="606"/>
        <v>0</v>
      </c>
      <c r="EH105" s="220">
        <f t="shared" si="607"/>
        <v>0</v>
      </c>
      <c r="EI105" s="188"/>
      <c r="EJ105" s="188"/>
      <c r="EK105" s="188"/>
      <c r="EL105" s="188"/>
      <c r="EM105" s="188"/>
      <c r="EN105" s="188"/>
      <c r="EO105" s="188"/>
      <c r="EP105" s="188"/>
      <c r="EQ105" s="188"/>
      <c r="ER105" s="188"/>
      <c r="ES105" s="188"/>
      <c r="ET105" s="188"/>
      <c r="EU105" s="188"/>
      <c r="EV105" s="188"/>
      <c r="EW105" s="188"/>
      <c r="EX105" s="188"/>
      <c r="EY105" s="188"/>
      <c r="EZ105" s="188"/>
      <c r="FA105" s="188"/>
      <c r="FB105" s="188"/>
      <c r="FC105" s="188"/>
      <c r="FD105" s="188"/>
      <c r="FE105" s="188"/>
      <c r="FF105" s="188"/>
      <c r="FH105" s="188"/>
      <c r="FI105" s="188"/>
      <c r="FJ105" s="188"/>
      <c r="FK105" s="188"/>
      <c r="FL105" s="188"/>
      <c r="FM105" s="188"/>
      <c r="FN105" s="188"/>
      <c r="FO105" s="188"/>
      <c r="FP105" s="188"/>
      <c r="FQ105" s="188"/>
      <c r="FR105" s="188"/>
      <c r="FS105" s="188"/>
      <c r="FT105" s="188"/>
      <c r="FU105" s="188"/>
      <c r="FV105" s="188"/>
      <c r="FX105" s="217">
        <v>1</v>
      </c>
      <c r="FY105" s="188">
        <f t="shared" si="623"/>
        <v>160</v>
      </c>
      <c r="FZ105" s="188">
        <f t="shared" si="439"/>
        <v>0</v>
      </c>
      <c r="GA105" s="188">
        <f t="shared" si="440"/>
        <v>0</v>
      </c>
      <c r="GB105" s="188">
        <f t="shared" si="441"/>
        <v>160</v>
      </c>
      <c r="GC105" s="188">
        <f t="shared" si="442"/>
        <v>0</v>
      </c>
      <c r="GD105" s="234">
        <f t="shared" si="443"/>
        <v>0</v>
      </c>
      <c r="GE105" s="188">
        <f t="shared" si="444"/>
        <v>0</v>
      </c>
      <c r="GF105" s="235"/>
      <c r="GG105" s="188">
        <v>0</v>
      </c>
      <c r="GH105" s="188">
        <v>0</v>
      </c>
      <c r="GI105" s="235"/>
      <c r="GJ105" s="224">
        <f t="shared" si="609"/>
        <v>0</v>
      </c>
      <c r="GK105" s="224">
        <f t="shared" si="610"/>
        <v>0</v>
      </c>
      <c r="GO105" s="188"/>
      <c r="GP105" s="188">
        <f t="shared" si="446"/>
        <v>0</v>
      </c>
      <c r="GQ105" s="188">
        <f t="shared" si="447"/>
        <v>0</v>
      </c>
      <c r="GR105" s="188">
        <f t="shared" si="448"/>
        <v>0</v>
      </c>
      <c r="GS105" s="188">
        <f t="shared" si="449"/>
        <v>0</v>
      </c>
      <c r="GT105" s="188">
        <f t="shared" si="506"/>
        <v>1</v>
      </c>
      <c r="GU105" s="232">
        <f t="shared" si="388"/>
        <v>43243</v>
      </c>
      <c r="GV105" s="188" t="str">
        <f t="shared" si="507"/>
        <v>SELESAI</v>
      </c>
      <c r="GW105" s="188">
        <f t="shared" si="508"/>
        <v>0</v>
      </c>
      <c r="GX105" s="188" t="str">
        <f t="shared" si="509"/>
        <v>SELESAI</v>
      </c>
      <c r="GY105" s="188">
        <f t="shared" si="510"/>
        <v>0</v>
      </c>
      <c r="GZ105" s="228" t="str">
        <f t="shared" si="511"/>
        <v>SELESAI</v>
      </c>
      <c r="HA105" s="204"/>
      <c r="HB105" s="204"/>
      <c r="HC105" s="188">
        <f t="shared" si="450"/>
        <v>0</v>
      </c>
      <c r="HD105" s="188">
        <f t="shared" si="451"/>
        <v>0</v>
      </c>
      <c r="HE105" s="188">
        <f t="shared" si="512"/>
        <v>0</v>
      </c>
      <c r="HF105" s="188">
        <f t="shared" si="513"/>
        <v>0</v>
      </c>
      <c r="HG105" s="188">
        <f t="shared" si="514"/>
        <v>0</v>
      </c>
      <c r="HH105" s="228" t="str">
        <f t="shared" si="515"/>
        <v>TIDAK KONSINYASI</v>
      </c>
      <c r="HI105" s="228" t="str">
        <f t="shared" si="516"/>
        <v>SELESAI</v>
      </c>
      <c r="HK105" s="228">
        <f t="shared" si="517"/>
        <v>0</v>
      </c>
      <c r="HL105" s="204"/>
      <c r="HM105" s="204"/>
      <c r="HN105" s="204"/>
      <c r="HO105" s="204"/>
      <c r="HP105" s="203">
        <f t="shared" si="518"/>
        <v>0</v>
      </c>
      <c r="HQ105" s="202">
        <f t="shared" si="519"/>
        <v>0</v>
      </c>
      <c r="HR105" s="202">
        <f t="shared" si="452"/>
        <v>0</v>
      </c>
      <c r="HS105" s="203">
        <f t="shared" si="624"/>
        <v>0</v>
      </c>
      <c r="HT105" s="202">
        <f t="shared" si="625"/>
        <v>0</v>
      </c>
      <c r="HU105" s="202">
        <f t="shared" si="453"/>
        <v>0</v>
      </c>
      <c r="HV105" s="203">
        <f t="shared" si="626"/>
        <v>0</v>
      </c>
      <c r="HW105" s="202">
        <f t="shared" si="627"/>
        <v>0</v>
      </c>
      <c r="HX105" s="202">
        <f t="shared" si="454"/>
        <v>0</v>
      </c>
      <c r="HY105" s="203">
        <f t="shared" si="628"/>
        <v>0</v>
      </c>
      <c r="HZ105" s="202">
        <f t="shared" si="629"/>
        <v>0</v>
      </c>
      <c r="IA105" s="202">
        <f t="shared" si="455"/>
        <v>0</v>
      </c>
      <c r="IB105" s="236">
        <f t="shared" si="633"/>
        <v>0</v>
      </c>
      <c r="IC105" s="188">
        <f t="shared" si="634"/>
        <v>0</v>
      </c>
      <c r="ID105" s="188">
        <f t="shared" si="456"/>
        <v>0</v>
      </c>
      <c r="IE105" s="228">
        <f t="shared" si="635"/>
        <v>0</v>
      </c>
      <c r="IF105" s="188">
        <f t="shared" si="636"/>
        <v>0</v>
      </c>
      <c r="IG105" s="188">
        <f t="shared" si="457"/>
        <v>0</v>
      </c>
      <c r="IH105" s="228">
        <f t="shared" si="637"/>
        <v>0</v>
      </c>
      <c r="II105" s="188">
        <f t="shared" si="530"/>
        <v>0</v>
      </c>
      <c r="IJ105" s="188">
        <f t="shared" si="458"/>
        <v>0</v>
      </c>
      <c r="IK105" s="228">
        <f t="shared" si="531"/>
        <v>0</v>
      </c>
      <c r="IL105" s="188">
        <f t="shared" si="532"/>
        <v>0</v>
      </c>
      <c r="IM105" s="188">
        <f t="shared" si="459"/>
        <v>0</v>
      </c>
      <c r="IN105" s="204"/>
      <c r="IO105" s="228">
        <f t="shared" si="533"/>
        <v>0</v>
      </c>
      <c r="IP105" s="188">
        <f t="shared" si="460"/>
        <v>0</v>
      </c>
      <c r="IQ105" s="188">
        <f t="shared" si="461"/>
        <v>0</v>
      </c>
      <c r="IR105" s="204"/>
      <c r="IS105" s="228"/>
      <c r="IT105" s="188">
        <f t="shared" si="462"/>
        <v>1</v>
      </c>
      <c r="IU105" s="188">
        <f t="shared" si="463"/>
        <v>211</v>
      </c>
      <c r="IV105" s="204"/>
      <c r="IW105" s="228"/>
      <c r="IX105" s="188">
        <f t="shared" si="464"/>
        <v>0</v>
      </c>
      <c r="IY105" s="188">
        <f t="shared" si="465"/>
        <v>0</v>
      </c>
      <c r="IZ105" s="204"/>
      <c r="JA105" s="228"/>
      <c r="JB105" s="188">
        <f t="shared" si="466"/>
        <v>0</v>
      </c>
      <c r="JC105" s="188">
        <f t="shared" si="467"/>
        <v>0</v>
      </c>
      <c r="JD105" s="204"/>
      <c r="JE105" s="228"/>
      <c r="JF105" s="188">
        <f t="shared" si="534"/>
        <v>1</v>
      </c>
      <c r="JG105" s="188">
        <f t="shared" si="535"/>
        <v>211</v>
      </c>
      <c r="JH105" s="204"/>
      <c r="JI105" s="228"/>
      <c r="JJ105" s="188">
        <f t="shared" si="468"/>
        <v>0</v>
      </c>
      <c r="JK105" s="188">
        <f t="shared" si="469"/>
        <v>0</v>
      </c>
      <c r="JM105" s="203">
        <f t="shared" si="409"/>
        <v>0</v>
      </c>
      <c r="JO105" s="196">
        <f t="shared" si="372"/>
        <v>1</v>
      </c>
      <c r="JP105" s="189">
        <f t="shared" si="470"/>
        <v>160</v>
      </c>
      <c r="JQ105" s="189">
        <f t="shared" si="471"/>
        <v>0</v>
      </c>
      <c r="JR105" s="189">
        <f t="shared" si="472"/>
        <v>0</v>
      </c>
      <c r="JS105" s="189">
        <f t="shared" si="473"/>
        <v>1</v>
      </c>
      <c r="JT105" s="189">
        <f t="shared" si="474"/>
        <v>0</v>
      </c>
      <c r="JU105" s="189">
        <f t="shared" si="475"/>
        <v>0</v>
      </c>
      <c r="JV105" s="189">
        <f t="shared" si="476"/>
        <v>0</v>
      </c>
      <c r="JW105" s="189">
        <f t="shared" si="477"/>
        <v>0</v>
      </c>
      <c r="JX105" s="189">
        <f t="shared" si="478"/>
        <v>0</v>
      </c>
      <c r="JY105" s="189">
        <f t="shared" si="479"/>
        <v>0</v>
      </c>
      <c r="JZ105" s="189">
        <f t="shared" si="480"/>
        <v>0</v>
      </c>
      <c r="KA105" s="189">
        <f t="shared" si="481"/>
        <v>0</v>
      </c>
      <c r="KB105" s="189">
        <f t="shared" si="482"/>
        <v>0</v>
      </c>
      <c r="KD105" s="206">
        <f t="shared" si="410"/>
        <v>1</v>
      </c>
      <c r="KE105" s="206">
        <f t="shared" si="373"/>
        <v>160</v>
      </c>
      <c r="KF105" s="206">
        <f t="shared" si="483"/>
        <v>160</v>
      </c>
      <c r="KG105" s="206">
        <f t="shared" si="484"/>
        <v>0</v>
      </c>
      <c r="KH105" s="206">
        <f t="shared" si="485"/>
        <v>0</v>
      </c>
      <c r="KI105" s="206">
        <f t="shared" si="486"/>
        <v>160</v>
      </c>
      <c r="KJ105" s="206">
        <f t="shared" si="487"/>
        <v>0</v>
      </c>
      <c r="KK105" s="206">
        <f t="shared" si="488"/>
        <v>0</v>
      </c>
      <c r="KL105" s="206">
        <f t="shared" si="489"/>
        <v>0</v>
      </c>
      <c r="KM105" s="206">
        <f t="shared" si="490"/>
        <v>0</v>
      </c>
      <c r="KN105" s="221">
        <f t="shared" si="491"/>
        <v>0</v>
      </c>
      <c r="KO105" s="221">
        <f t="shared" si="492"/>
        <v>0</v>
      </c>
      <c r="KP105" s="221">
        <f t="shared" si="493"/>
        <v>0</v>
      </c>
      <c r="KQ105" s="221">
        <f t="shared" si="494"/>
        <v>0</v>
      </c>
      <c r="KR105" s="221">
        <f t="shared" si="495"/>
        <v>0</v>
      </c>
      <c r="KT105" s="195">
        <f t="shared" si="496"/>
        <v>0</v>
      </c>
      <c r="KU105" s="221"/>
      <c r="KV105" s="221"/>
      <c r="KW105" s="221"/>
      <c r="KX105" s="221"/>
      <c r="KY105" s="221"/>
      <c r="KZ105" s="221"/>
      <c r="LA105" s="221"/>
      <c r="LB105" s="221"/>
      <c r="LC105" s="221"/>
      <c r="LD105" s="221"/>
      <c r="LE105" s="221"/>
      <c r="LF105" s="221"/>
      <c r="LG105" s="221"/>
      <c r="LH105" s="221"/>
      <c r="LI105" s="221"/>
      <c r="LJ105" s="221"/>
      <c r="LK105" s="221"/>
      <c r="LL105" s="221"/>
      <c r="LM105" s="221"/>
      <c r="LN105" s="221"/>
      <c r="LO105" s="221"/>
      <c r="LP105" s="221"/>
      <c r="LQ105" s="221"/>
      <c r="LR105" s="221"/>
      <c r="LS105" s="221"/>
      <c r="LT105" s="221"/>
      <c r="LU105" s="221"/>
      <c r="LV105" s="221"/>
      <c r="LW105" s="221"/>
      <c r="LX105" s="221"/>
      <c r="LY105" s="221"/>
      <c r="LZ105" s="221"/>
      <c r="MA105" s="221"/>
      <c r="MB105" s="221"/>
      <c r="MC105" s="221"/>
      <c r="MD105" s="221"/>
      <c r="ME105" s="221"/>
      <c r="MF105" s="221"/>
      <c r="MG105" s="221"/>
      <c r="MH105" s="221"/>
      <c r="MI105" s="221"/>
      <c r="MJ105" s="221"/>
      <c r="MK105" s="221"/>
      <c r="ML105" s="221"/>
      <c r="MM105" s="221"/>
      <c r="MN105" s="221"/>
      <c r="MO105" s="221"/>
      <c r="MP105" s="221"/>
      <c r="MQ105" s="221"/>
      <c r="MR105" s="221"/>
      <c r="MS105" s="221"/>
      <c r="MT105" s="221"/>
      <c r="MU105" s="221"/>
      <c r="MV105" s="221"/>
      <c r="MW105" s="221"/>
      <c r="MX105" s="221"/>
      <c r="MY105" s="221"/>
      <c r="MZ105" s="221"/>
      <c r="NA105" s="221"/>
      <c r="NB105" s="221"/>
      <c r="NC105" s="221"/>
      <c r="ND105" s="221"/>
      <c r="NE105" s="221"/>
      <c r="NF105" s="221"/>
      <c r="NG105" s="221"/>
      <c r="NH105" s="221"/>
      <c r="NI105" s="221"/>
      <c r="NJ105" s="221"/>
      <c r="NK105" s="221"/>
      <c r="NM105" s="195">
        <f t="shared" si="411"/>
        <v>0</v>
      </c>
      <c r="NN105" s="195">
        <f t="shared" si="412"/>
        <v>0</v>
      </c>
      <c r="NO105" s="195">
        <f t="shared" si="413"/>
        <v>0</v>
      </c>
      <c r="NP105" s="195">
        <f t="shared" si="414"/>
        <v>0</v>
      </c>
      <c r="NQ105" s="195">
        <f t="shared" si="415"/>
        <v>0</v>
      </c>
      <c r="NR105" s="195">
        <f t="shared" si="416"/>
        <v>0</v>
      </c>
      <c r="NS105" s="195">
        <f t="shared" si="417"/>
        <v>0</v>
      </c>
      <c r="NT105" s="195">
        <f t="shared" si="418"/>
        <v>0</v>
      </c>
      <c r="NU105" s="196">
        <f t="shared" si="419"/>
        <v>0</v>
      </c>
      <c r="NY105" s="215">
        <f t="shared" si="420"/>
        <v>1</v>
      </c>
      <c r="NZ105" s="222">
        <f t="shared" si="630"/>
        <v>12500000</v>
      </c>
      <c r="OE105" s="207">
        <f t="shared" si="374"/>
        <v>0</v>
      </c>
      <c r="OF105" s="207">
        <f t="shared" si="375"/>
        <v>0</v>
      </c>
      <c r="OG105" s="207">
        <f t="shared" si="376"/>
        <v>0</v>
      </c>
      <c r="OH105" s="207">
        <f t="shared" si="421"/>
        <v>0</v>
      </c>
      <c r="OI105" s="207">
        <f t="shared" si="377"/>
        <v>0</v>
      </c>
      <c r="OJ105" s="199">
        <f t="shared" si="422"/>
        <v>0</v>
      </c>
      <c r="OK105" s="199">
        <f t="shared" si="423"/>
        <v>0</v>
      </c>
      <c r="OL105" s="199">
        <f t="shared" si="424"/>
        <v>0</v>
      </c>
      <c r="OM105" s="199">
        <f t="shared" si="425"/>
        <v>0</v>
      </c>
      <c r="OO105" s="207">
        <f t="shared" si="378"/>
        <v>0</v>
      </c>
      <c r="OP105" s="207">
        <f t="shared" si="379"/>
        <v>0</v>
      </c>
      <c r="OQ105" s="207">
        <f t="shared" si="426"/>
        <v>0</v>
      </c>
      <c r="OR105" s="207">
        <f t="shared" si="427"/>
        <v>0</v>
      </c>
      <c r="OS105" s="207">
        <f t="shared" si="428"/>
        <v>0</v>
      </c>
      <c r="OT105" s="199">
        <f t="shared" si="429"/>
        <v>0</v>
      </c>
      <c r="OU105" s="199">
        <f t="shared" si="430"/>
        <v>0</v>
      </c>
      <c r="OV105" s="199">
        <f t="shared" si="431"/>
        <v>0</v>
      </c>
      <c r="OW105" s="199">
        <f t="shared" si="432"/>
        <v>0</v>
      </c>
      <c r="OZ105" s="208">
        <f t="shared" si="380"/>
        <v>0</v>
      </c>
      <c r="PA105" s="209"/>
      <c r="PB105" s="209"/>
      <c r="PC105" s="209"/>
      <c r="PD105" s="210">
        <f t="shared" si="433"/>
        <v>0</v>
      </c>
      <c r="PE105" s="210"/>
      <c r="PF105" s="210">
        <f t="shared" si="434"/>
        <v>0</v>
      </c>
      <c r="PG105" s="210">
        <f t="shared" si="435"/>
        <v>0</v>
      </c>
      <c r="PH105" s="210">
        <f t="shared" si="381"/>
        <v>0</v>
      </c>
      <c r="PI105" s="210">
        <f t="shared" si="382"/>
        <v>0</v>
      </c>
      <c r="PJ105" s="210">
        <f t="shared" si="383"/>
        <v>0</v>
      </c>
      <c r="PK105" s="210">
        <f t="shared" si="384"/>
        <v>0</v>
      </c>
      <c r="PL105" s="210">
        <f t="shared" si="385"/>
        <v>0</v>
      </c>
      <c r="PM105" s="211"/>
      <c r="PN105" s="211"/>
      <c r="PO105" s="212">
        <f t="shared" si="436"/>
        <v>0</v>
      </c>
      <c r="PP105" s="212">
        <f t="shared" si="437"/>
        <v>0</v>
      </c>
      <c r="PQ105" s="212">
        <f t="shared" si="438"/>
        <v>0</v>
      </c>
      <c r="PR105" s="211"/>
      <c r="PS105" s="211"/>
      <c r="PT105" s="211"/>
      <c r="PU105" s="211"/>
    </row>
    <row r="106" spans="1:437 16384:16384" s="195" customFormat="1" ht="16" x14ac:dyDescent="0.2">
      <c r="A106" s="213">
        <f t="shared" si="564"/>
        <v>96</v>
      </c>
      <c r="B106" s="186" t="s">
        <v>474</v>
      </c>
      <c r="C106" s="186">
        <v>104</v>
      </c>
      <c r="D106" s="188">
        <v>1</v>
      </c>
      <c r="E106" s="188">
        <v>235</v>
      </c>
      <c r="F106" s="188">
        <v>1</v>
      </c>
      <c r="G106" s="188">
        <f t="shared" si="308"/>
        <v>235</v>
      </c>
      <c r="H106" s="214">
        <f t="shared" si="565"/>
        <v>1</v>
      </c>
      <c r="I106" s="214">
        <f t="shared" si="537"/>
        <v>1</v>
      </c>
      <c r="J106" s="188">
        <v>1</v>
      </c>
      <c r="K106" s="188">
        <f t="shared" si="538"/>
        <v>235</v>
      </c>
      <c r="L106" s="214">
        <f t="shared" si="539"/>
        <v>1</v>
      </c>
      <c r="M106" s="214">
        <f t="shared" si="540"/>
        <v>1</v>
      </c>
      <c r="N106" s="188">
        <v>1</v>
      </c>
      <c r="O106" s="188">
        <f t="shared" si="541"/>
        <v>235</v>
      </c>
      <c r="P106" s="214">
        <f t="shared" si="542"/>
        <v>1</v>
      </c>
      <c r="Q106" s="214">
        <f t="shared" si="543"/>
        <v>1</v>
      </c>
      <c r="R106" s="188">
        <v>1</v>
      </c>
      <c r="S106" s="188">
        <f t="shared" si="544"/>
        <v>235</v>
      </c>
      <c r="T106" s="214">
        <f t="shared" si="545"/>
        <v>1</v>
      </c>
      <c r="U106" s="214">
        <f t="shared" si="546"/>
        <v>1</v>
      </c>
      <c r="V106" s="215">
        <v>1</v>
      </c>
      <c r="W106" s="188">
        <f t="shared" si="547"/>
        <v>235</v>
      </c>
      <c r="X106" s="214">
        <f t="shared" si="548"/>
        <v>1</v>
      </c>
      <c r="Y106" s="214">
        <f t="shared" si="549"/>
        <v>1</v>
      </c>
      <c r="Z106" s="216">
        <f>4956947000/1000000000</f>
        <v>4.9569470000000004</v>
      </c>
      <c r="AA106" s="188">
        <v>0</v>
      </c>
      <c r="AB106" s="188">
        <v>0</v>
      </c>
      <c r="AC106" s="214">
        <f t="shared" si="340"/>
        <v>0</v>
      </c>
      <c r="AD106" s="214">
        <f t="shared" si="341"/>
        <v>0</v>
      </c>
      <c r="AE106" s="188"/>
      <c r="AF106" s="188">
        <f t="shared" si="342"/>
        <v>0</v>
      </c>
      <c r="AG106" s="188"/>
      <c r="AH106" s="188"/>
      <c r="AI106" s="188"/>
      <c r="AJ106" s="188"/>
      <c r="AK106" s="188"/>
      <c r="AL106" s="188"/>
      <c r="AM106" s="188"/>
      <c r="AN106" s="217"/>
      <c r="AO106" s="188">
        <f t="shared" si="631"/>
        <v>0</v>
      </c>
      <c r="AP106" s="188">
        <f t="shared" si="632"/>
        <v>0</v>
      </c>
      <c r="AQ106" s="188">
        <f t="shared" si="569"/>
        <v>0</v>
      </c>
      <c r="AR106" s="188">
        <f t="shared" si="570"/>
        <v>0</v>
      </c>
      <c r="AS106" s="188">
        <f t="shared" si="571"/>
        <v>0</v>
      </c>
      <c r="AT106" s="188">
        <f t="shared" si="572"/>
        <v>0</v>
      </c>
      <c r="AU106" s="188">
        <f t="shared" si="573"/>
        <v>0</v>
      </c>
      <c r="AV106" s="188">
        <f t="shared" si="574"/>
        <v>0</v>
      </c>
      <c r="AW106" s="188">
        <f t="shared" si="575"/>
        <v>0</v>
      </c>
      <c r="AX106" s="188">
        <f t="shared" si="576"/>
        <v>0</v>
      </c>
      <c r="AY106" s="188">
        <f t="shared" si="577"/>
        <v>0</v>
      </c>
      <c r="AZ106" s="188">
        <f t="shared" si="578"/>
        <v>0</v>
      </c>
      <c r="BA106" s="188">
        <f t="shared" si="579"/>
        <v>0</v>
      </c>
      <c r="BB106" s="188">
        <f t="shared" si="611"/>
        <v>0</v>
      </c>
      <c r="BD106" s="196">
        <f t="shared" si="386"/>
        <v>0</v>
      </c>
      <c r="BE106" s="188">
        <f t="shared" si="581"/>
        <v>0</v>
      </c>
      <c r="BF106" s="188">
        <f t="shared" si="582"/>
        <v>0</v>
      </c>
      <c r="BG106" s="188">
        <f t="shared" si="583"/>
        <v>0</v>
      </c>
      <c r="BH106" s="188">
        <f t="shared" si="584"/>
        <v>0</v>
      </c>
      <c r="BI106" s="188">
        <f t="shared" si="585"/>
        <v>0</v>
      </c>
      <c r="BJ106" s="188">
        <f t="shared" si="586"/>
        <v>0</v>
      </c>
      <c r="BK106" s="188">
        <f t="shared" si="587"/>
        <v>0</v>
      </c>
      <c r="BN106" s="143">
        <v>197</v>
      </c>
      <c r="BO106" s="20"/>
      <c r="BP106" s="20"/>
      <c r="BQ106" s="20">
        <v>1</v>
      </c>
      <c r="BR106" s="20"/>
      <c r="BS106" s="20"/>
      <c r="BT106" s="20"/>
      <c r="BU106" s="20"/>
      <c r="BV106" s="20"/>
      <c r="BW106" s="20"/>
      <c r="BX106" s="20"/>
      <c r="BY106" s="20"/>
      <c r="BZ106" s="20"/>
      <c r="CB106" s="188"/>
      <c r="CD106" s="188">
        <f t="shared" si="344"/>
        <v>197</v>
      </c>
      <c r="CE106" s="188">
        <f t="shared" si="345"/>
        <v>0</v>
      </c>
      <c r="CF106" s="188">
        <f t="shared" si="612"/>
        <v>0</v>
      </c>
      <c r="CG106" s="188">
        <f t="shared" si="613"/>
        <v>197</v>
      </c>
      <c r="CH106" s="188">
        <f t="shared" si="614"/>
        <v>0</v>
      </c>
      <c r="CI106" s="188">
        <f t="shared" si="615"/>
        <v>0</v>
      </c>
      <c r="CJ106" s="188">
        <f t="shared" si="616"/>
        <v>0</v>
      </c>
      <c r="CK106" s="188">
        <f t="shared" si="617"/>
        <v>0</v>
      </c>
      <c r="CL106" s="188">
        <f t="shared" si="618"/>
        <v>0</v>
      </c>
      <c r="CM106" s="188">
        <f t="shared" si="619"/>
        <v>0</v>
      </c>
      <c r="CN106" s="188">
        <f t="shared" si="620"/>
        <v>0</v>
      </c>
      <c r="CO106" s="188">
        <f t="shared" si="621"/>
        <v>0</v>
      </c>
      <c r="CP106" s="188">
        <f t="shared" si="622"/>
        <v>0</v>
      </c>
      <c r="DV106" s="188">
        <f t="shared" si="599"/>
        <v>0</v>
      </c>
      <c r="DW106" s="188">
        <f t="shared" si="600"/>
        <v>0</v>
      </c>
      <c r="DX106" s="188">
        <f t="shared" si="601"/>
        <v>0</v>
      </c>
      <c r="DY106" s="188">
        <f t="shared" si="602"/>
        <v>0</v>
      </c>
      <c r="DZ106" s="188">
        <f t="shared" si="603"/>
        <v>0</v>
      </c>
      <c r="EA106" s="188">
        <f t="shared" si="604"/>
        <v>0</v>
      </c>
      <c r="EB106" s="188">
        <f t="shared" si="605"/>
        <v>0</v>
      </c>
      <c r="EG106" s="220">
        <f t="shared" si="606"/>
        <v>0</v>
      </c>
      <c r="EH106" s="220">
        <f t="shared" si="607"/>
        <v>0</v>
      </c>
      <c r="EI106" s="188"/>
      <c r="EJ106" s="188"/>
      <c r="EK106" s="188"/>
      <c r="EL106" s="188"/>
      <c r="EM106" s="188"/>
      <c r="EN106" s="188"/>
      <c r="EO106" s="188"/>
      <c r="EP106" s="188"/>
      <c r="EQ106" s="188"/>
      <c r="ER106" s="188"/>
      <c r="ES106" s="188"/>
      <c r="ET106" s="188"/>
      <c r="EU106" s="188"/>
      <c r="EV106" s="188"/>
      <c r="EW106" s="188"/>
      <c r="EX106" s="188"/>
      <c r="EY106" s="188"/>
      <c r="EZ106" s="188"/>
      <c r="FA106" s="188"/>
      <c r="FB106" s="188"/>
      <c r="FC106" s="188"/>
      <c r="FD106" s="188"/>
      <c r="FE106" s="188"/>
      <c r="FF106" s="188"/>
      <c r="FH106" s="188"/>
      <c r="FI106" s="188"/>
      <c r="FJ106" s="188"/>
      <c r="FK106" s="188"/>
      <c r="FL106" s="188"/>
      <c r="FM106" s="188"/>
      <c r="FN106" s="188"/>
      <c r="FO106" s="188"/>
      <c r="FP106" s="188"/>
      <c r="FQ106" s="188"/>
      <c r="FR106" s="188"/>
      <c r="FS106" s="188"/>
      <c r="FT106" s="188"/>
      <c r="FU106" s="188"/>
      <c r="FV106" s="188"/>
      <c r="FX106" s="217">
        <v>1</v>
      </c>
      <c r="FY106" s="188">
        <f t="shared" si="623"/>
        <v>197</v>
      </c>
      <c r="FZ106" s="188">
        <f t="shared" si="439"/>
        <v>0</v>
      </c>
      <c r="GA106" s="188">
        <f t="shared" si="440"/>
        <v>0</v>
      </c>
      <c r="GB106" s="188">
        <f t="shared" si="441"/>
        <v>197</v>
      </c>
      <c r="GC106" s="188">
        <f t="shared" si="442"/>
        <v>0</v>
      </c>
      <c r="GD106" s="234">
        <f t="shared" si="443"/>
        <v>0</v>
      </c>
      <c r="GE106" s="188">
        <f t="shared" si="444"/>
        <v>0</v>
      </c>
      <c r="GF106" s="235"/>
      <c r="GG106" s="188">
        <v>0</v>
      </c>
      <c r="GH106" s="188">
        <v>0</v>
      </c>
      <c r="GI106" s="235"/>
      <c r="GJ106" s="224">
        <f t="shared" si="609"/>
        <v>0</v>
      </c>
      <c r="GK106" s="224">
        <f t="shared" si="610"/>
        <v>0</v>
      </c>
      <c r="GO106" s="188"/>
      <c r="GP106" s="188">
        <f t="shared" si="446"/>
        <v>0</v>
      </c>
      <c r="GQ106" s="188">
        <f t="shared" si="447"/>
        <v>0</v>
      </c>
      <c r="GR106" s="188">
        <f t="shared" si="448"/>
        <v>0</v>
      </c>
      <c r="GS106" s="188">
        <f t="shared" si="449"/>
        <v>0</v>
      </c>
      <c r="GT106" s="188">
        <f t="shared" si="506"/>
        <v>1</v>
      </c>
      <c r="GU106" s="232">
        <f t="shared" si="388"/>
        <v>43243</v>
      </c>
      <c r="GV106" s="188" t="str">
        <f t="shared" si="507"/>
        <v>SELESAI</v>
      </c>
      <c r="GW106" s="188">
        <f t="shared" si="508"/>
        <v>0</v>
      </c>
      <c r="GX106" s="188" t="str">
        <f t="shared" si="509"/>
        <v>SELESAI</v>
      </c>
      <c r="GY106" s="188">
        <f t="shared" si="510"/>
        <v>0</v>
      </c>
      <c r="GZ106" s="228" t="str">
        <f t="shared" si="511"/>
        <v>SELESAI</v>
      </c>
      <c r="HA106" s="204"/>
      <c r="HB106" s="204"/>
      <c r="HC106" s="188">
        <f t="shared" si="450"/>
        <v>0</v>
      </c>
      <c r="HD106" s="188">
        <f t="shared" si="451"/>
        <v>0</v>
      </c>
      <c r="HE106" s="188">
        <f t="shared" si="512"/>
        <v>0</v>
      </c>
      <c r="HF106" s="188">
        <f t="shared" si="513"/>
        <v>0</v>
      </c>
      <c r="HG106" s="188">
        <f t="shared" si="514"/>
        <v>0</v>
      </c>
      <c r="HH106" s="228" t="str">
        <f t="shared" si="515"/>
        <v>TIDAK KONSINYASI</v>
      </c>
      <c r="HI106" s="228" t="str">
        <f t="shared" si="516"/>
        <v>SELESAI</v>
      </c>
      <c r="HK106" s="228">
        <f t="shared" si="517"/>
        <v>0</v>
      </c>
      <c r="HL106" s="204"/>
      <c r="HM106" s="204"/>
      <c r="HN106" s="204"/>
      <c r="HO106" s="204"/>
      <c r="HP106" s="203">
        <f t="shared" si="518"/>
        <v>0</v>
      </c>
      <c r="HQ106" s="202">
        <f t="shared" si="519"/>
        <v>0</v>
      </c>
      <c r="HR106" s="202">
        <f t="shared" si="452"/>
        <v>0</v>
      </c>
      <c r="HS106" s="203">
        <f t="shared" si="624"/>
        <v>0</v>
      </c>
      <c r="HT106" s="202">
        <f t="shared" si="625"/>
        <v>0</v>
      </c>
      <c r="HU106" s="202">
        <f t="shared" si="453"/>
        <v>0</v>
      </c>
      <c r="HV106" s="203">
        <f t="shared" si="626"/>
        <v>0</v>
      </c>
      <c r="HW106" s="202">
        <f t="shared" si="627"/>
        <v>0</v>
      </c>
      <c r="HX106" s="202">
        <f t="shared" si="454"/>
        <v>0</v>
      </c>
      <c r="HY106" s="203">
        <f t="shared" si="628"/>
        <v>0</v>
      </c>
      <c r="HZ106" s="202">
        <f t="shared" si="629"/>
        <v>0</v>
      </c>
      <c r="IA106" s="202">
        <f t="shared" si="455"/>
        <v>0</v>
      </c>
      <c r="IB106" s="236">
        <f t="shared" si="633"/>
        <v>0</v>
      </c>
      <c r="IC106" s="188">
        <f t="shared" si="634"/>
        <v>0</v>
      </c>
      <c r="ID106" s="188">
        <f t="shared" si="456"/>
        <v>0</v>
      </c>
      <c r="IE106" s="228">
        <f t="shared" si="635"/>
        <v>0</v>
      </c>
      <c r="IF106" s="188">
        <f t="shared" si="636"/>
        <v>0</v>
      </c>
      <c r="IG106" s="188">
        <f t="shared" si="457"/>
        <v>0</v>
      </c>
      <c r="IH106" s="228">
        <f t="shared" si="637"/>
        <v>0</v>
      </c>
      <c r="II106" s="188">
        <f t="shared" si="530"/>
        <v>0</v>
      </c>
      <c r="IJ106" s="188">
        <f t="shared" si="458"/>
        <v>0</v>
      </c>
      <c r="IK106" s="228">
        <f t="shared" si="531"/>
        <v>0</v>
      </c>
      <c r="IL106" s="188">
        <f t="shared" si="532"/>
        <v>0</v>
      </c>
      <c r="IM106" s="188">
        <f t="shared" si="459"/>
        <v>0</v>
      </c>
      <c r="IN106" s="204"/>
      <c r="IO106" s="228">
        <f t="shared" si="533"/>
        <v>0</v>
      </c>
      <c r="IP106" s="188">
        <f t="shared" si="460"/>
        <v>0</v>
      </c>
      <c r="IQ106" s="188">
        <f t="shared" si="461"/>
        <v>0</v>
      </c>
      <c r="IR106" s="204"/>
      <c r="IS106" s="228"/>
      <c r="IT106" s="188">
        <f t="shared" si="462"/>
        <v>1</v>
      </c>
      <c r="IU106" s="188">
        <f t="shared" si="463"/>
        <v>235</v>
      </c>
      <c r="IV106" s="204"/>
      <c r="IW106" s="228"/>
      <c r="IX106" s="188">
        <f t="shared" si="464"/>
        <v>0</v>
      </c>
      <c r="IY106" s="188">
        <f t="shared" si="465"/>
        <v>0</v>
      </c>
      <c r="IZ106" s="204"/>
      <c r="JA106" s="228"/>
      <c r="JB106" s="188">
        <f t="shared" si="466"/>
        <v>0</v>
      </c>
      <c r="JC106" s="188">
        <f t="shared" si="467"/>
        <v>0</v>
      </c>
      <c r="JD106" s="204"/>
      <c r="JE106" s="228"/>
      <c r="JF106" s="188">
        <f t="shared" si="534"/>
        <v>1</v>
      </c>
      <c r="JG106" s="188">
        <f t="shared" si="535"/>
        <v>235</v>
      </c>
      <c r="JH106" s="204"/>
      <c r="JI106" s="228"/>
      <c r="JJ106" s="188">
        <f t="shared" si="468"/>
        <v>0</v>
      </c>
      <c r="JK106" s="188">
        <f t="shared" si="469"/>
        <v>0</v>
      </c>
      <c r="JM106" s="203">
        <f t="shared" si="409"/>
        <v>0</v>
      </c>
      <c r="JO106" s="196">
        <f t="shared" si="372"/>
        <v>1</v>
      </c>
      <c r="JP106" s="189">
        <f t="shared" si="470"/>
        <v>197</v>
      </c>
      <c r="JQ106" s="189">
        <f t="shared" si="471"/>
        <v>0</v>
      </c>
      <c r="JR106" s="189">
        <f t="shared" si="472"/>
        <v>0</v>
      </c>
      <c r="JS106" s="189">
        <f t="shared" si="473"/>
        <v>1</v>
      </c>
      <c r="JT106" s="189">
        <f t="shared" si="474"/>
        <v>0</v>
      </c>
      <c r="JU106" s="189">
        <f t="shared" si="475"/>
        <v>0</v>
      </c>
      <c r="JV106" s="189">
        <f t="shared" si="476"/>
        <v>0</v>
      </c>
      <c r="JW106" s="189">
        <f t="shared" si="477"/>
        <v>0</v>
      </c>
      <c r="JX106" s="189">
        <f t="shared" si="478"/>
        <v>0</v>
      </c>
      <c r="JY106" s="189">
        <f t="shared" si="479"/>
        <v>0</v>
      </c>
      <c r="JZ106" s="189">
        <f t="shared" si="480"/>
        <v>0</v>
      </c>
      <c r="KA106" s="189">
        <f t="shared" si="481"/>
        <v>0</v>
      </c>
      <c r="KB106" s="189">
        <f t="shared" si="482"/>
        <v>0</v>
      </c>
      <c r="KD106" s="206">
        <f t="shared" si="410"/>
        <v>1</v>
      </c>
      <c r="KE106" s="206">
        <f t="shared" si="373"/>
        <v>197</v>
      </c>
      <c r="KF106" s="206">
        <f t="shared" si="483"/>
        <v>197</v>
      </c>
      <c r="KG106" s="206">
        <f t="shared" si="484"/>
        <v>0</v>
      </c>
      <c r="KH106" s="206">
        <f t="shared" si="485"/>
        <v>0</v>
      </c>
      <c r="KI106" s="206">
        <f t="shared" si="486"/>
        <v>197</v>
      </c>
      <c r="KJ106" s="206">
        <f t="shared" si="487"/>
        <v>0</v>
      </c>
      <c r="KK106" s="206">
        <f t="shared" si="488"/>
        <v>0</v>
      </c>
      <c r="KL106" s="206">
        <f t="shared" si="489"/>
        <v>0</v>
      </c>
      <c r="KM106" s="206">
        <f t="shared" si="490"/>
        <v>0</v>
      </c>
      <c r="KN106" s="221">
        <f t="shared" si="491"/>
        <v>0</v>
      </c>
      <c r="KO106" s="221">
        <f t="shared" si="492"/>
        <v>0</v>
      </c>
      <c r="KP106" s="221">
        <f t="shared" si="493"/>
        <v>0</v>
      </c>
      <c r="KQ106" s="221">
        <f t="shared" si="494"/>
        <v>0</v>
      </c>
      <c r="KR106" s="221">
        <f t="shared" si="495"/>
        <v>0</v>
      </c>
      <c r="KT106" s="195">
        <f t="shared" si="496"/>
        <v>0</v>
      </c>
      <c r="KU106" s="221"/>
      <c r="KV106" s="221"/>
      <c r="KW106" s="221"/>
      <c r="KX106" s="221"/>
      <c r="KY106" s="221"/>
      <c r="KZ106" s="221"/>
      <c r="LA106" s="221"/>
      <c r="LB106" s="221"/>
      <c r="LC106" s="221"/>
      <c r="LD106" s="221"/>
      <c r="LE106" s="221"/>
      <c r="LF106" s="221"/>
      <c r="LG106" s="221"/>
      <c r="LH106" s="221"/>
      <c r="LI106" s="221"/>
      <c r="LJ106" s="221"/>
      <c r="LK106" s="221"/>
      <c r="LL106" s="221"/>
      <c r="LM106" s="221"/>
      <c r="LN106" s="221"/>
      <c r="LO106" s="221"/>
      <c r="LP106" s="221"/>
      <c r="LQ106" s="221"/>
      <c r="LR106" s="221"/>
      <c r="LS106" s="221"/>
      <c r="LT106" s="221"/>
      <c r="LU106" s="221"/>
      <c r="LV106" s="221"/>
      <c r="LW106" s="221"/>
      <c r="LX106" s="221"/>
      <c r="LY106" s="221"/>
      <c r="LZ106" s="221"/>
      <c r="MA106" s="221"/>
      <c r="MB106" s="221"/>
      <c r="MC106" s="221"/>
      <c r="MD106" s="221"/>
      <c r="ME106" s="221"/>
      <c r="MF106" s="221"/>
      <c r="MG106" s="221"/>
      <c r="MH106" s="221"/>
      <c r="MI106" s="221"/>
      <c r="MJ106" s="221"/>
      <c r="MK106" s="221"/>
      <c r="ML106" s="221"/>
      <c r="MM106" s="221"/>
      <c r="MN106" s="221"/>
      <c r="MO106" s="221"/>
      <c r="MP106" s="221"/>
      <c r="MQ106" s="221"/>
      <c r="MR106" s="221"/>
      <c r="MS106" s="221"/>
      <c r="MT106" s="221"/>
      <c r="MU106" s="221"/>
      <c r="MV106" s="221"/>
      <c r="MW106" s="221"/>
      <c r="MX106" s="221"/>
      <c r="MY106" s="221"/>
      <c r="MZ106" s="221"/>
      <c r="NA106" s="221"/>
      <c r="NB106" s="221"/>
      <c r="NC106" s="221"/>
      <c r="ND106" s="221"/>
      <c r="NE106" s="221"/>
      <c r="NF106" s="221"/>
      <c r="NG106" s="221"/>
      <c r="NH106" s="221"/>
      <c r="NI106" s="221"/>
      <c r="NJ106" s="221"/>
      <c r="NK106" s="221"/>
      <c r="NM106" s="195">
        <f t="shared" si="411"/>
        <v>0</v>
      </c>
      <c r="NN106" s="195">
        <f t="shared" si="412"/>
        <v>0</v>
      </c>
      <c r="NO106" s="195">
        <f t="shared" si="413"/>
        <v>0</v>
      </c>
      <c r="NP106" s="195">
        <f t="shared" si="414"/>
        <v>0</v>
      </c>
      <c r="NQ106" s="195">
        <f t="shared" si="415"/>
        <v>0</v>
      </c>
      <c r="NR106" s="195">
        <f t="shared" si="416"/>
        <v>0</v>
      </c>
      <c r="NS106" s="195">
        <f t="shared" si="417"/>
        <v>0</v>
      </c>
      <c r="NT106" s="195">
        <f t="shared" si="418"/>
        <v>0</v>
      </c>
      <c r="NU106" s="196">
        <f t="shared" si="419"/>
        <v>0</v>
      </c>
      <c r="NY106" s="215">
        <f t="shared" si="420"/>
        <v>1</v>
      </c>
      <c r="NZ106" s="222">
        <f t="shared" si="630"/>
        <v>12500000</v>
      </c>
      <c r="OE106" s="207">
        <f t="shared" si="374"/>
        <v>0</v>
      </c>
      <c r="OF106" s="207">
        <f t="shared" si="375"/>
        <v>0</v>
      </c>
      <c r="OG106" s="207">
        <f t="shared" si="376"/>
        <v>0</v>
      </c>
      <c r="OH106" s="207">
        <f t="shared" si="421"/>
        <v>0</v>
      </c>
      <c r="OI106" s="207">
        <f t="shared" si="377"/>
        <v>0</v>
      </c>
      <c r="OJ106" s="199">
        <f t="shared" si="422"/>
        <v>0</v>
      </c>
      <c r="OK106" s="199">
        <f t="shared" si="423"/>
        <v>0</v>
      </c>
      <c r="OL106" s="199">
        <f t="shared" si="424"/>
        <v>0</v>
      </c>
      <c r="OM106" s="199">
        <f t="shared" si="425"/>
        <v>0</v>
      </c>
      <c r="OO106" s="207">
        <f t="shared" si="378"/>
        <v>0</v>
      </c>
      <c r="OP106" s="207">
        <f t="shared" si="379"/>
        <v>0</v>
      </c>
      <c r="OQ106" s="207">
        <f t="shared" si="426"/>
        <v>0</v>
      </c>
      <c r="OR106" s="207">
        <f t="shared" si="427"/>
        <v>0</v>
      </c>
      <c r="OS106" s="207">
        <f t="shared" si="428"/>
        <v>0</v>
      </c>
      <c r="OT106" s="199">
        <f t="shared" si="429"/>
        <v>0</v>
      </c>
      <c r="OU106" s="199">
        <f t="shared" si="430"/>
        <v>0</v>
      </c>
      <c r="OV106" s="199">
        <f t="shared" si="431"/>
        <v>0</v>
      </c>
      <c r="OW106" s="199">
        <f t="shared" si="432"/>
        <v>0</v>
      </c>
      <c r="OZ106" s="208">
        <f t="shared" si="380"/>
        <v>0</v>
      </c>
      <c r="PA106" s="209"/>
      <c r="PB106" s="209"/>
      <c r="PC106" s="209"/>
      <c r="PD106" s="210">
        <f t="shared" si="433"/>
        <v>0</v>
      </c>
      <c r="PE106" s="210"/>
      <c r="PF106" s="210">
        <f t="shared" si="434"/>
        <v>0</v>
      </c>
      <c r="PG106" s="210">
        <f t="shared" si="435"/>
        <v>0</v>
      </c>
      <c r="PH106" s="210">
        <f t="shared" si="381"/>
        <v>0</v>
      </c>
      <c r="PI106" s="210">
        <f t="shared" si="382"/>
        <v>0</v>
      </c>
      <c r="PJ106" s="210">
        <f t="shared" si="383"/>
        <v>0</v>
      </c>
      <c r="PK106" s="210">
        <f t="shared" si="384"/>
        <v>0</v>
      </c>
      <c r="PL106" s="210">
        <f t="shared" si="385"/>
        <v>0</v>
      </c>
      <c r="PM106" s="211"/>
      <c r="PN106" s="211"/>
      <c r="PO106" s="212">
        <f t="shared" si="436"/>
        <v>0</v>
      </c>
      <c r="PP106" s="212">
        <f t="shared" si="437"/>
        <v>0</v>
      </c>
      <c r="PQ106" s="212">
        <f t="shared" si="438"/>
        <v>0</v>
      </c>
      <c r="PR106" s="211"/>
      <c r="PS106" s="211"/>
      <c r="PT106" s="211"/>
      <c r="PU106" s="211"/>
    </row>
    <row r="107" spans="1:437 16384:16384" s="195" customFormat="1" ht="16" x14ac:dyDescent="0.2">
      <c r="A107" s="213">
        <f>A106+1</f>
        <v>97</v>
      </c>
      <c r="B107" s="186" t="s">
        <v>475</v>
      </c>
      <c r="C107" s="186">
        <v>105</v>
      </c>
      <c r="D107" s="188">
        <v>1</v>
      </c>
      <c r="E107" s="188">
        <v>204</v>
      </c>
      <c r="F107" s="188">
        <v>1</v>
      </c>
      <c r="G107" s="188">
        <f t="shared" si="308"/>
        <v>204</v>
      </c>
      <c r="H107" s="214">
        <f>F107/$D107</f>
        <v>1</v>
      </c>
      <c r="I107" s="214">
        <f>G107/$E107</f>
        <v>1</v>
      </c>
      <c r="J107" s="188">
        <v>1</v>
      </c>
      <c r="K107" s="188">
        <f>IF(J107=D107,E107,0)</f>
        <v>204</v>
      </c>
      <c r="L107" s="214">
        <f>J107/$D107</f>
        <v>1</v>
      </c>
      <c r="M107" s="214">
        <f>K107/$E107</f>
        <v>1</v>
      </c>
      <c r="N107" s="188">
        <v>1</v>
      </c>
      <c r="O107" s="188">
        <f>IF(N107=D107,E107,0)</f>
        <v>204</v>
      </c>
      <c r="P107" s="214">
        <f>N107/$D107</f>
        <v>1</v>
      </c>
      <c r="Q107" s="214">
        <f>O107/$E107</f>
        <v>1</v>
      </c>
      <c r="R107" s="188">
        <v>1</v>
      </c>
      <c r="S107" s="188">
        <f>IF(R107=D107,E107,0)</f>
        <v>204</v>
      </c>
      <c r="T107" s="214">
        <f>R107/$D107</f>
        <v>1</v>
      </c>
      <c r="U107" s="214">
        <f>S107/$E107</f>
        <v>1</v>
      </c>
      <c r="V107" s="215">
        <v>1</v>
      </c>
      <c r="W107" s="188">
        <f>IF(V107=D107,E107,0)</f>
        <v>204</v>
      </c>
      <c r="X107" s="214">
        <f>V107/$D107</f>
        <v>1</v>
      </c>
      <c r="Y107" s="214">
        <f>W107/$E107</f>
        <v>1</v>
      </c>
      <c r="Z107" s="216">
        <f>2810151000/1000000000</f>
        <v>2.8101509999999998</v>
      </c>
      <c r="AA107" s="188">
        <v>0</v>
      </c>
      <c r="AB107" s="188">
        <v>0</v>
      </c>
      <c r="AC107" s="214">
        <f>AA107/$D107</f>
        <v>0</v>
      </c>
      <c r="AD107" s="214">
        <f>AB107/$E107</f>
        <v>0</v>
      </c>
      <c r="AE107" s="188"/>
      <c r="AF107" s="188">
        <f>R107-V107</f>
        <v>0</v>
      </c>
      <c r="AG107" s="188"/>
      <c r="AH107" s="188"/>
      <c r="AI107" s="188"/>
      <c r="AJ107" s="188"/>
      <c r="AK107" s="188"/>
      <c r="AL107" s="188"/>
      <c r="AM107" s="188"/>
      <c r="AN107" s="217"/>
      <c r="AO107" s="188">
        <f>IF(AI107=1,D107,0)</f>
        <v>0</v>
      </c>
      <c r="AP107" s="188">
        <f>IF(AO107=D107,E107,0)</f>
        <v>0</v>
      </c>
      <c r="AQ107" s="188">
        <f>IF(AI107=1,J107,0)</f>
        <v>0</v>
      </c>
      <c r="AR107" s="188">
        <f>IF(AQ107=1,K107,0)</f>
        <v>0</v>
      </c>
      <c r="AS107" s="188">
        <f>IF(AI107=1,N107,0)</f>
        <v>0</v>
      </c>
      <c r="AT107" s="188">
        <f>IF(AS107=1,O107,0)</f>
        <v>0</v>
      </c>
      <c r="AU107" s="188">
        <f>IF(AI107=1,R107,0)</f>
        <v>0</v>
      </c>
      <c r="AV107" s="188">
        <f>IF(AU107=1,S107,0)</f>
        <v>0</v>
      </c>
      <c r="AW107" s="188">
        <f>IF(AI107=1,V107,0)</f>
        <v>0</v>
      </c>
      <c r="AX107" s="188">
        <f>IF(AW107=1,W107,0)</f>
        <v>0</v>
      </c>
      <c r="AY107" s="188">
        <f>AU107-AW107</f>
        <v>0</v>
      </c>
      <c r="AZ107" s="188">
        <f>AV107-AX107</f>
        <v>0</v>
      </c>
      <c r="BA107" s="188">
        <f>IF(AW107=1,Z107,0)</f>
        <v>0</v>
      </c>
      <c r="BB107" s="188">
        <f t="shared" si="611"/>
        <v>0</v>
      </c>
      <c r="BD107" s="196">
        <f>S107-W107-BE107</f>
        <v>0</v>
      </c>
      <c r="BE107" s="188">
        <f>IF(AF107=1,S107,0)</f>
        <v>0</v>
      </c>
      <c r="BF107" s="188">
        <f>IF(AG107="A",S107,0)</f>
        <v>0</v>
      </c>
      <c r="BG107" s="188">
        <f>IF(AG107="B",S107,0)</f>
        <v>0</v>
      </c>
      <c r="BH107" s="188">
        <f>IF(AG107="C",S107,0)</f>
        <v>0</v>
      </c>
      <c r="BI107" s="188">
        <f>IF(AG107="D",S107,0)</f>
        <v>0</v>
      </c>
      <c r="BJ107" s="188">
        <f>IF(AG107="E",S107,0)</f>
        <v>0</v>
      </c>
      <c r="BK107" s="188">
        <f>SUM(BF107:BJ107)</f>
        <v>0</v>
      </c>
      <c r="BN107" s="143">
        <v>178</v>
      </c>
      <c r="BO107" s="20"/>
      <c r="BP107" s="20"/>
      <c r="BQ107" s="20">
        <v>1</v>
      </c>
      <c r="BR107" s="20"/>
      <c r="BS107" s="20"/>
      <c r="BT107" s="20"/>
      <c r="BU107" s="20"/>
      <c r="BV107" s="20"/>
      <c r="BW107" s="20"/>
      <c r="BX107" s="20"/>
      <c r="BY107" s="20"/>
      <c r="BZ107" s="20"/>
      <c r="CB107" s="188"/>
      <c r="CD107" s="188">
        <f>BN107</f>
        <v>178</v>
      </c>
      <c r="CE107" s="188">
        <f t="shared" ref="CE107:CP109" si="638">IF(BO107=1,$CD107,0)</f>
        <v>0</v>
      </c>
      <c r="CF107" s="188">
        <f t="shared" si="638"/>
        <v>0</v>
      </c>
      <c r="CG107" s="188">
        <f t="shared" si="638"/>
        <v>178</v>
      </c>
      <c r="CH107" s="188">
        <f t="shared" si="638"/>
        <v>0</v>
      </c>
      <c r="CI107" s="188">
        <f t="shared" si="638"/>
        <v>0</v>
      </c>
      <c r="CJ107" s="188">
        <f t="shared" si="638"/>
        <v>0</v>
      </c>
      <c r="CK107" s="188">
        <f t="shared" si="638"/>
        <v>0</v>
      </c>
      <c r="CL107" s="188">
        <f t="shared" si="638"/>
        <v>0</v>
      </c>
      <c r="CM107" s="188">
        <f t="shared" si="638"/>
        <v>0</v>
      </c>
      <c r="CN107" s="188">
        <f t="shared" si="638"/>
        <v>0</v>
      </c>
      <c r="CO107" s="188">
        <f t="shared" si="638"/>
        <v>0</v>
      </c>
      <c r="CP107" s="188">
        <f t="shared" si="638"/>
        <v>0</v>
      </c>
      <c r="DV107" s="188">
        <f>IF(CB107=1,G107,0)</f>
        <v>0</v>
      </c>
      <c r="DW107" s="188">
        <f>IF(CC107="A",G107,0)</f>
        <v>0</v>
      </c>
      <c r="DX107" s="188">
        <f>IF(CC107="B",G107,0)</f>
        <v>0</v>
      </c>
      <c r="DY107" s="188">
        <f>IF(CC107="C",G107,0)</f>
        <v>0</v>
      </c>
      <c r="DZ107" s="188">
        <f>IF(CC107="D",G107,0)</f>
        <v>0</v>
      </c>
      <c r="EA107" s="188">
        <f>IF(CC107="E",G107,0)</f>
        <v>0</v>
      </c>
      <c r="EB107" s="188">
        <f>SUM(DW107:EA107)</f>
        <v>0</v>
      </c>
      <c r="EG107" s="220">
        <f>IF(AG107="C","C",IF(AG107="D","D",0))</f>
        <v>0</v>
      </c>
      <c r="EH107" s="220">
        <f>CC107</f>
        <v>0</v>
      </c>
      <c r="EI107" s="188"/>
      <c r="EJ107" s="188"/>
      <c r="EK107" s="188"/>
      <c r="EL107" s="188"/>
      <c r="EM107" s="188"/>
      <c r="EN107" s="188"/>
      <c r="EO107" s="188"/>
      <c r="EP107" s="188"/>
      <c r="EQ107" s="188"/>
      <c r="ER107" s="188"/>
      <c r="ES107" s="188"/>
      <c r="ET107" s="188"/>
      <c r="EU107" s="188"/>
      <c r="EV107" s="188"/>
      <c r="EW107" s="188"/>
      <c r="EX107" s="188"/>
      <c r="EY107" s="188"/>
      <c r="EZ107" s="188"/>
      <c r="FA107" s="188"/>
      <c r="FB107" s="188"/>
      <c r="FC107" s="188"/>
      <c r="FD107" s="188"/>
      <c r="FE107" s="188"/>
      <c r="FF107" s="188"/>
      <c r="FH107" s="188"/>
      <c r="FI107" s="188"/>
      <c r="FJ107" s="188"/>
      <c r="FK107" s="188"/>
      <c r="FL107" s="188"/>
      <c r="FM107" s="188"/>
      <c r="FN107" s="188"/>
      <c r="FO107" s="188"/>
      <c r="FP107" s="188"/>
      <c r="FQ107" s="188"/>
      <c r="FR107" s="188"/>
      <c r="FS107" s="188"/>
      <c r="FT107" s="188"/>
      <c r="FU107" s="188"/>
      <c r="FV107" s="188"/>
      <c r="FX107" s="217">
        <v>1</v>
      </c>
      <c r="FY107" s="188">
        <f>SUM(FZ107:GE107)</f>
        <v>178</v>
      </c>
      <c r="FZ107" s="188">
        <f t="shared" si="439"/>
        <v>0</v>
      </c>
      <c r="GA107" s="188">
        <f t="shared" si="440"/>
        <v>0</v>
      </c>
      <c r="GB107" s="188">
        <f t="shared" si="441"/>
        <v>178</v>
      </c>
      <c r="GC107" s="188">
        <f t="shared" si="442"/>
        <v>0</v>
      </c>
      <c r="GD107" s="234">
        <f t="shared" si="443"/>
        <v>0</v>
      </c>
      <c r="GE107" s="188">
        <f t="shared" si="444"/>
        <v>0</v>
      </c>
      <c r="GF107" s="235"/>
      <c r="GG107" s="188">
        <v>0</v>
      </c>
      <c r="GH107" s="188">
        <v>0</v>
      </c>
      <c r="GI107" s="235"/>
      <c r="GJ107" s="224">
        <f>FY107*GG107/1000000000</f>
        <v>0</v>
      </c>
      <c r="GK107" s="224">
        <f>FY107*GH107/1000000000</f>
        <v>0</v>
      </c>
      <c r="GO107" s="188"/>
      <c r="GP107" s="188">
        <f t="shared" si="446"/>
        <v>0</v>
      </c>
      <c r="GQ107" s="188">
        <f t="shared" si="447"/>
        <v>0</v>
      </c>
      <c r="GR107" s="188">
        <f t="shared" si="448"/>
        <v>0</v>
      </c>
      <c r="GS107" s="188">
        <f t="shared" si="449"/>
        <v>0</v>
      </c>
      <c r="GT107" s="188">
        <f>IF(SUM(GO107:GS107)=0,1,0)</f>
        <v>1</v>
      </c>
      <c r="GU107" s="232">
        <f t="shared" si="388"/>
        <v>43243</v>
      </c>
      <c r="GV107" s="188" t="str">
        <f>IF(GO107&gt;0,$GO$6,IF(GP107&gt;0,$GP$6,IF(GQ107&gt;0,$GQ$6,IF(GR107&gt;0,$GR$6,IF(GS107&gt;0,$GS$6,IF(GT107&gt;0,$GT$6,0))))))</f>
        <v>SELESAI</v>
      </c>
      <c r="GW107" s="188">
        <f>IF(GV107=$GO$6,GO107,IF(GV107=$GP$6,GP107,IF(GV107=$GQ$6,GQ107,IF(GV107=$GR$6,GR107,IF(GV107=$GS$6,GS107,0)))))</f>
        <v>0</v>
      </c>
      <c r="GX107" s="188" t="str">
        <f>GV107</f>
        <v>SELESAI</v>
      </c>
      <c r="GY107" s="188">
        <f>IF(GX107="DNP",SUM($GY$4:$GY$8),IF(GX107="Survey KJPP",SUM($GY$5:$GY$8),IF(GX107="Hasil Valuasi",SUM($GY$6:$GY$8),IF(GX107="Musyawarah",SUM($GY$7:$GY$8),IF(GX107="UGR",$GY$8,0)))))</f>
        <v>0</v>
      </c>
      <c r="GZ107" s="228" t="str">
        <f>IF(GW107=0,"SELESAI",GU107+GY107)</f>
        <v>SELESAI</v>
      </c>
      <c r="HA107" s="204"/>
      <c r="HB107" s="204"/>
      <c r="HC107" s="188">
        <f t="shared" si="450"/>
        <v>0</v>
      </c>
      <c r="HD107" s="188">
        <f t="shared" si="451"/>
        <v>0</v>
      </c>
      <c r="HE107" s="188">
        <f>HC107+HD107</f>
        <v>0</v>
      </c>
      <c r="HF107" s="188">
        <f>FQ107</f>
        <v>0</v>
      </c>
      <c r="HG107" s="188">
        <f>HE107-HF107</f>
        <v>0</v>
      </c>
      <c r="HH107" s="228" t="str">
        <f>IF(HG107=1,GU107+$HH$8,"TIDAK KONSINYASI")</f>
        <v>TIDAK KONSINYASI</v>
      </c>
      <c r="HI107" s="228" t="str">
        <f>IF(GW107=0,"SELESAI",GZ107+$HI$8)</f>
        <v>SELESAI</v>
      </c>
      <c r="HK107" s="228">
        <f>MAX(GZ107,HH107,HI107)</f>
        <v>0</v>
      </c>
      <c r="HL107" s="204"/>
      <c r="HM107" s="204"/>
      <c r="HN107" s="204"/>
      <c r="HO107" s="204"/>
      <c r="HP107" s="203">
        <f>IF(HQ107=1,GZ107,0)</f>
        <v>0</v>
      </c>
      <c r="HQ107" s="202">
        <f>IF(IX107=0,IF(HT107=0,IF(IP107=0,IF(GV107="UGR",GS107,0),0),0),0)</f>
        <v>0</v>
      </c>
      <c r="HR107" s="202">
        <f t="shared" ref="HR107:HR125" si="639">IF(HQ107=1,E107,0)</f>
        <v>0</v>
      </c>
      <c r="HS107" s="203">
        <f>IF(HT107=1,HH107,0)</f>
        <v>0</v>
      </c>
      <c r="HT107" s="202">
        <f>HG107</f>
        <v>0</v>
      </c>
      <c r="HU107" s="202">
        <f t="shared" ref="HU107:HU125" si="640">IF(HT107=1,E107,0)</f>
        <v>0</v>
      </c>
      <c r="HV107" s="203">
        <f>IF(HW107=1,GZ107,0)</f>
        <v>0</v>
      </c>
      <c r="HW107" s="202">
        <f>IF(JB107=0,IF(IX107=0,IF(HT107=0,IF(GV107="MUSYAWARAH",GR107,0),0),0),0)</f>
        <v>0</v>
      </c>
      <c r="HX107" s="202">
        <f t="shared" ref="HX107:HX125" si="641">IF(HW107=1,E107,0)</f>
        <v>0</v>
      </c>
      <c r="HY107" s="203">
        <f>IF(HZ107=1,HV107+$HI$8,0)</f>
        <v>0</v>
      </c>
      <c r="HZ107" s="202">
        <f>HW107</f>
        <v>0</v>
      </c>
      <c r="IA107" s="202">
        <f t="shared" ref="IA107:IA125" si="642">IF(HZ107=1,E107,0)</f>
        <v>0</v>
      </c>
      <c r="IB107" s="236">
        <f>IF(IC107=1,$GU$3+SUM($GY$6:$GY$8),0)</f>
        <v>0</v>
      </c>
      <c r="IC107" s="188">
        <f>IF(GV107="Hasil Valuasi",GQ107,0)</f>
        <v>0</v>
      </c>
      <c r="ID107" s="188">
        <f t="shared" ref="ID107:ID125" si="643">IF(IC107=1,E107,0)</f>
        <v>0</v>
      </c>
      <c r="IE107" s="228">
        <f>IF(IF107=1,IB107+$HI$8,0)</f>
        <v>0</v>
      </c>
      <c r="IF107" s="188">
        <f>IC107</f>
        <v>0</v>
      </c>
      <c r="IG107" s="188">
        <f t="shared" ref="IG107:IG125" si="644">IF(IF107=1,E107,0)</f>
        <v>0</v>
      </c>
      <c r="IH107" s="228">
        <f>IF(II107=1,$GU$3+SUM($GY$5:$GY$8),0)</f>
        <v>0</v>
      </c>
      <c r="II107" s="188">
        <f>IF(GV107="Survey KJPP",GP107,0)</f>
        <v>0</v>
      </c>
      <c r="IJ107" s="188">
        <f t="shared" ref="IJ107:IJ125" si="645">IF(II107=1,E107,0)</f>
        <v>0</v>
      </c>
      <c r="IK107" s="228">
        <f>IF(IL107=1,IH107+$HI$8,0)</f>
        <v>0</v>
      </c>
      <c r="IL107" s="188">
        <f>II107</f>
        <v>0</v>
      </c>
      <c r="IM107" s="188">
        <f t="shared" ref="IM107:IM125" si="646">IF(IL107=1,E107,0)</f>
        <v>0</v>
      </c>
      <c r="IN107" s="204"/>
      <c r="IO107" s="228">
        <f>IF(IP107=1,+$GU$3+$HH$8,0)</f>
        <v>0</v>
      </c>
      <c r="IP107" s="188">
        <f t="shared" si="460"/>
        <v>0</v>
      </c>
      <c r="IQ107" s="188">
        <f t="shared" ref="IQ107:IQ125" si="647">IF(IP107=1,E107,0)</f>
        <v>0</v>
      </c>
      <c r="IR107" s="204"/>
      <c r="IS107" s="228"/>
      <c r="IT107" s="188">
        <f t="shared" si="462"/>
        <v>1</v>
      </c>
      <c r="IU107" s="188">
        <f t="shared" si="463"/>
        <v>204</v>
      </c>
      <c r="IV107" s="204"/>
      <c r="IW107" s="228"/>
      <c r="IX107" s="188">
        <f t="shared" si="464"/>
        <v>0</v>
      </c>
      <c r="IY107" s="188">
        <f t="shared" si="465"/>
        <v>0</v>
      </c>
      <c r="IZ107" s="204"/>
      <c r="JA107" s="228"/>
      <c r="JB107" s="188">
        <f t="shared" si="466"/>
        <v>0</v>
      </c>
      <c r="JC107" s="188">
        <f t="shared" si="467"/>
        <v>0</v>
      </c>
      <c r="JD107" s="204"/>
      <c r="JE107" s="228"/>
      <c r="JF107" s="188">
        <f>IT107+HQ107+HT107+HZ107+IF107+IL107+IP107+IX107+JB107</f>
        <v>1</v>
      </c>
      <c r="JG107" s="188">
        <f>IU107+HR107+HU107+IA107+IG107+IM107+IQ107+IY107+JC107</f>
        <v>204</v>
      </c>
      <c r="JH107" s="204"/>
      <c r="JI107" s="228"/>
      <c r="JJ107" s="188">
        <f t="shared" si="468"/>
        <v>0</v>
      </c>
      <c r="JK107" s="188">
        <f t="shared" si="469"/>
        <v>0</v>
      </c>
      <c r="JM107" s="203">
        <f>MAX(IW107,IS107,IO107,IK107,IE107,HY107,HS107,HP107)</f>
        <v>0</v>
      </c>
      <c r="JO107" s="196">
        <f>SUM(JQ107:KB107)</f>
        <v>1</v>
      </c>
      <c r="JP107" s="189">
        <f t="shared" si="470"/>
        <v>178</v>
      </c>
      <c r="JQ107" s="189">
        <f t="shared" si="471"/>
        <v>0</v>
      </c>
      <c r="JR107" s="189">
        <f t="shared" si="472"/>
        <v>0</v>
      </c>
      <c r="JS107" s="189">
        <f t="shared" si="473"/>
        <v>1</v>
      </c>
      <c r="JT107" s="189">
        <f t="shared" si="474"/>
        <v>0</v>
      </c>
      <c r="JU107" s="189">
        <f t="shared" si="475"/>
        <v>0</v>
      </c>
      <c r="JV107" s="189">
        <f t="shared" si="476"/>
        <v>0</v>
      </c>
      <c r="JW107" s="189">
        <f t="shared" si="477"/>
        <v>0</v>
      </c>
      <c r="JX107" s="189">
        <f t="shared" si="478"/>
        <v>0</v>
      </c>
      <c r="JY107" s="189">
        <f t="shared" si="479"/>
        <v>0</v>
      </c>
      <c r="JZ107" s="189">
        <f t="shared" si="480"/>
        <v>0</v>
      </c>
      <c r="KA107" s="189">
        <f t="shared" si="481"/>
        <v>0</v>
      </c>
      <c r="KB107" s="189">
        <f t="shared" si="482"/>
        <v>0</v>
      </c>
      <c r="KD107" s="206">
        <f t="shared" si="410"/>
        <v>1</v>
      </c>
      <c r="KE107" s="206">
        <f t="shared" si="373"/>
        <v>178</v>
      </c>
      <c r="KF107" s="206">
        <f t="shared" si="483"/>
        <v>178</v>
      </c>
      <c r="KG107" s="206">
        <f t="shared" si="484"/>
        <v>0</v>
      </c>
      <c r="KH107" s="206">
        <f t="shared" si="485"/>
        <v>0</v>
      </c>
      <c r="KI107" s="206">
        <f t="shared" si="486"/>
        <v>178</v>
      </c>
      <c r="KJ107" s="206">
        <f t="shared" si="487"/>
        <v>0</v>
      </c>
      <c r="KK107" s="206">
        <f t="shared" si="488"/>
        <v>0</v>
      </c>
      <c r="KL107" s="206">
        <f t="shared" si="489"/>
        <v>0</v>
      </c>
      <c r="KM107" s="206">
        <f t="shared" si="490"/>
        <v>0</v>
      </c>
      <c r="KN107" s="221">
        <f t="shared" si="491"/>
        <v>0</v>
      </c>
      <c r="KO107" s="221">
        <f t="shared" si="492"/>
        <v>0</v>
      </c>
      <c r="KP107" s="221">
        <f t="shared" si="493"/>
        <v>0</v>
      </c>
      <c r="KQ107" s="221">
        <f t="shared" si="494"/>
        <v>0</v>
      </c>
      <c r="KR107" s="221">
        <f t="shared" si="495"/>
        <v>0</v>
      </c>
      <c r="KT107" s="195">
        <f t="shared" si="496"/>
        <v>0</v>
      </c>
      <c r="KU107" s="221"/>
      <c r="KV107" s="221"/>
      <c r="KW107" s="221"/>
      <c r="KX107" s="221"/>
      <c r="KY107" s="221"/>
      <c r="KZ107" s="221"/>
      <c r="LA107" s="221"/>
      <c r="LB107" s="221"/>
      <c r="LC107" s="221"/>
      <c r="LD107" s="221"/>
      <c r="LE107" s="221"/>
      <c r="LF107" s="221"/>
      <c r="LG107" s="221"/>
      <c r="LH107" s="221"/>
      <c r="LI107" s="221"/>
      <c r="LJ107" s="221"/>
      <c r="LK107" s="221"/>
      <c r="LL107" s="221"/>
      <c r="LM107" s="221"/>
      <c r="LN107" s="221"/>
      <c r="LO107" s="221"/>
      <c r="LP107" s="221"/>
      <c r="LQ107" s="221"/>
      <c r="LR107" s="221"/>
      <c r="LS107" s="221"/>
      <c r="LT107" s="221"/>
      <c r="LU107" s="221"/>
      <c r="LV107" s="221"/>
      <c r="LW107" s="221"/>
      <c r="LX107" s="221"/>
      <c r="LY107" s="221"/>
      <c r="LZ107" s="221"/>
      <c r="MA107" s="221"/>
      <c r="MB107" s="221"/>
      <c r="MC107" s="221"/>
      <c r="MD107" s="221"/>
      <c r="ME107" s="221"/>
      <c r="MF107" s="221"/>
      <c r="MG107" s="221"/>
      <c r="MH107" s="221"/>
      <c r="MI107" s="221"/>
      <c r="MJ107" s="221"/>
      <c r="MK107" s="221"/>
      <c r="ML107" s="221"/>
      <c r="MM107" s="221"/>
      <c r="MN107" s="221"/>
      <c r="MO107" s="221"/>
      <c r="MP107" s="221"/>
      <c r="MQ107" s="221"/>
      <c r="MR107" s="221"/>
      <c r="MS107" s="221"/>
      <c r="MT107" s="221"/>
      <c r="MU107" s="221"/>
      <c r="MV107" s="221"/>
      <c r="MW107" s="221"/>
      <c r="MX107" s="221"/>
      <c r="MY107" s="221"/>
      <c r="MZ107" s="221"/>
      <c r="NA107" s="221"/>
      <c r="NB107" s="221"/>
      <c r="NC107" s="221"/>
      <c r="ND107" s="221"/>
      <c r="NE107" s="221"/>
      <c r="NF107" s="221"/>
      <c r="NG107" s="221"/>
      <c r="NH107" s="221"/>
      <c r="NI107" s="221"/>
      <c r="NJ107" s="221"/>
      <c r="NK107" s="221"/>
      <c r="NM107" s="195">
        <f>IF(KS107=1,1,0)</f>
        <v>0</v>
      </c>
      <c r="NN107" s="195">
        <f>IF(KS107=2,1,0)</f>
        <v>0</v>
      </c>
      <c r="NO107" s="195">
        <f>IF(KS107=3,1,0)</f>
        <v>0</v>
      </c>
      <c r="NP107" s="195">
        <f>IF(KS107=4,1,0)</f>
        <v>0</v>
      </c>
      <c r="NQ107" s="195">
        <f>IF(KS107=5,1,0)</f>
        <v>0</v>
      </c>
      <c r="NR107" s="195">
        <f>IF(KS107=6,1,0)</f>
        <v>0</v>
      </c>
      <c r="NS107" s="195">
        <f>IF(KS107=7,1,0)</f>
        <v>0</v>
      </c>
      <c r="NT107" s="195">
        <f>SUM(NM107:NS107)</f>
        <v>0</v>
      </c>
      <c r="NU107" s="196">
        <f>NT107-KT107</f>
        <v>0</v>
      </c>
      <c r="NY107" s="215">
        <f t="shared" si="420"/>
        <v>1</v>
      </c>
      <c r="NZ107" s="222">
        <f t="shared" si="630"/>
        <v>12500000</v>
      </c>
      <c r="OE107" s="207">
        <f t="shared" si="374"/>
        <v>0</v>
      </c>
      <c r="OF107" s="207">
        <f t="shared" si="375"/>
        <v>0</v>
      </c>
      <c r="OG107" s="207">
        <f t="shared" si="376"/>
        <v>0</v>
      </c>
      <c r="OH107" s="207">
        <f t="shared" si="421"/>
        <v>0</v>
      </c>
      <c r="OI107" s="207">
        <f t="shared" si="377"/>
        <v>0</v>
      </c>
      <c r="OJ107" s="199">
        <f t="shared" si="422"/>
        <v>0</v>
      </c>
      <c r="OK107" s="199">
        <f t="shared" si="423"/>
        <v>0</v>
      </c>
      <c r="OL107" s="199">
        <f t="shared" si="424"/>
        <v>0</v>
      </c>
      <c r="OM107" s="199">
        <f t="shared" si="425"/>
        <v>0</v>
      </c>
      <c r="OO107" s="207">
        <f t="shared" si="378"/>
        <v>0</v>
      </c>
      <c r="OP107" s="207">
        <f t="shared" si="379"/>
        <v>0</v>
      </c>
      <c r="OQ107" s="207">
        <f t="shared" si="426"/>
        <v>0</v>
      </c>
      <c r="OR107" s="207">
        <f t="shared" si="427"/>
        <v>0</v>
      </c>
      <c r="OS107" s="207">
        <f t="shared" si="428"/>
        <v>0</v>
      </c>
      <c r="OT107" s="199">
        <f t="shared" si="429"/>
        <v>0</v>
      </c>
      <c r="OU107" s="199">
        <f t="shared" si="430"/>
        <v>0</v>
      </c>
      <c r="OV107" s="199">
        <f t="shared" si="431"/>
        <v>0</v>
      </c>
      <c r="OW107" s="199">
        <f t="shared" si="432"/>
        <v>0</v>
      </c>
      <c r="OZ107" s="208">
        <f t="shared" si="380"/>
        <v>0</v>
      </c>
      <c r="PA107" s="209"/>
      <c r="PB107" s="209"/>
      <c r="PC107" s="209"/>
      <c r="PD107" s="210">
        <f t="shared" si="433"/>
        <v>0</v>
      </c>
      <c r="PE107" s="210"/>
      <c r="PF107" s="210">
        <f t="shared" si="434"/>
        <v>0</v>
      </c>
      <c r="PG107" s="210">
        <f t="shared" si="435"/>
        <v>0</v>
      </c>
      <c r="PH107" s="210">
        <f t="shared" si="381"/>
        <v>0</v>
      </c>
      <c r="PI107" s="210">
        <f t="shared" si="382"/>
        <v>0</v>
      </c>
      <c r="PJ107" s="210">
        <f t="shared" si="383"/>
        <v>0</v>
      </c>
      <c r="PK107" s="210">
        <f t="shared" si="384"/>
        <v>0</v>
      </c>
      <c r="PL107" s="210">
        <f t="shared" si="385"/>
        <v>0</v>
      </c>
      <c r="PM107" s="211"/>
      <c r="PN107" s="211"/>
      <c r="PO107" s="212">
        <f t="shared" si="436"/>
        <v>0</v>
      </c>
      <c r="PP107" s="212">
        <f t="shared" si="437"/>
        <v>0</v>
      </c>
      <c r="PQ107" s="212">
        <f t="shared" si="438"/>
        <v>0</v>
      </c>
      <c r="PR107" s="211"/>
      <c r="PS107" s="211"/>
      <c r="PT107" s="211"/>
      <c r="PU107" s="211"/>
    </row>
    <row r="108" spans="1:437 16384:16384" s="195" customFormat="1" ht="16" x14ac:dyDescent="0.2">
      <c r="A108" s="213">
        <f>A107+1</f>
        <v>98</v>
      </c>
      <c r="B108" s="186" t="s">
        <v>405</v>
      </c>
      <c r="C108" s="186">
        <v>106</v>
      </c>
      <c r="D108" s="188">
        <v>1</v>
      </c>
      <c r="E108" s="188">
        <v>230</v>
      </c>
      <c r="F108" s="188">
        <v>1</v>
      </c>
      <c r="G108" s="188">
        <f t="shared" si="308"/>
        <v>230</v>
      </c>
      <c r="H108" s="214">
        <f t="shared" ref="H108:H109" si="648">F108/$D108</f>
        <v>1</v>
      </c>
      <c r="I108" s="214">
        <v>0</v>
      </c>
      <c r="J108" s="188">
        <v>1</v>
      </c>
      <c r="K108" s="188">
        <f>IF(J108=D108,E108,0)</f>
        <v>230</v>
      </c>
      <c r="L108" s="214">
        <f>J108/$D108</f>
        <v>1</v>
      </c>
      <c r="M108" s="214">
        <f>K108/$E108</f>
        <v>1</v>
      </c>
      <c r="N108" s="188">
        <v>1</v>
      </c>
      <c r="O108" s="188">
        <f>IF(N108=D108,E108,0)</f>
        <v>230</v>
      </c>
      <c r="P108" s="214">
        <f>N108/$D108</f>
        <v>1</v>
      </c>
      <c r="Q108" s="214">
        <f>O108/$E108</f>
        <v>1</v>
      </c>
      <c r="R108" s="188">
        <v>1</v>
      </c>
      <c r="S108" s="188">
        <f>IF(R108=D108,E108,0)</f>
        <v>230</v>
      </c>
      <c r="T108" s="214">
        <f>R108/$D108</f>
        <v>1</v>
      </c>
      <c r="U108" s="214">
        <f>S108/$E108</f>
        <v>1</v>
      </c>
      <c r="V108" s="215">
        <v>1</v>
      </c>
      <c r="W108" s="188">
        <f>IF(V108=D108,E108,0)</f>
        <v>230</v>
      </c>
      <c r="X108" s="214">
        <f>V108/$D108</f>
        <v>1</v>
      </c>
      <c r="Y108" s="214">
        <f>W108/$E108</f>
        <v>1</v>
      </c>
      <c r="Z108" s="216">
        <f>3577747000/1000000000</f>
        <v>3.577747</v>
      </c>
      <c r="AA108" s="188">
        <v>0</v>
      </c>
      <c r="AB108" s="188">
        <v>0</v>
      </c>
      <c r="AC108" s="214">
        <f t="shared" ref="AC108:AC109" si="649">AA108/$D108</f>
        <v>0</v>
      </c>
      <c r="AD108" s="214">
        <f t="shared" ref="AD108:AD123" si="650">AB108/$E108</f>
        <v>0</v>
      </c>
      <c r="AE108" s="188"/>
      <c r="AF108" s="188">
        <f t="shared" ref="AF108:AF109" si="651">R108-V108</f>
        <v>0</v>
      </c>
      <c r="AG108" s="188"/>
      <c r="AH108" s="188"/>
      <c r="AI108" s="188"/>
      <c r="AJ108" s="188"/>
      <c r="AK108" s="188"/>
      <c r="AL108" s="188"/>
      <c r="AM108" s="188"/>
      <c r="AN108" s="217"/>
      <c r="AO108" s="188">
        <f t="shared" ref="AO108:AO109" si="652">IF(AI108=1,D108,0)</f>
        <v>0</v>
      </c>
      <c r="AP108" s="188">
        <f t="shared" ref="AP108:AP109" si="653">IF(AO108=D108,E108,0)</f>
        <v>0</v>
      </c>
      <c r="AQ108" s="188">
        <f t="shared" ref="AQ108:AQ109" si="654">IF(AI108=1,J108,0)</f>
        <v>0</v>
      </c>
      <c r="AR108" s="188">
        <f t="shared" ref="AR108:AR109" si="655">IF(AQ108=1,K108,0)</f>
        <v>0</v>
      </c>
      <c r="AS108" s="188">
        <f t="shared" ref="AS108:AS109" si="656">IF(AI108=1,N108,0)</f>
        <v>0</v>
      </c>
      <c r="AT108" s="188">
        <f t="shared" ref="AT108:AT109" si="657">IF(AS108=1,O108,0)</f>
        <v>0</v>
      </c>
      <c r="AU108" s="188">
        <f t="shared" ref="AU108:AU109" si="658">IF(AI108=1,R108,0)</f>
        <v>0</v>
      </c>
      <c r="AV108" s="188">
        <f t="shared" ref="AV108:AV109" si="659">IF(AU108=1,S108,0)</f>
        <v>0</v>
      </c>
      <c r="AW108" s="188">
        <f t="shared" ref="AW108:AW109" si="660">IF(AI108=1,V108,0)</f>
        <v>0</v>
      </c>
      <c r="AX108" s="188">
        <f t="shared" ref="AX108:AX109" si="661">IF(AW108=1,W108,0)</f>
        <v>0</v>
      </c>
      <c r="AY108" s="188">
        <f t="shared" ref="AY108:AY109" si="662">AU108-AW108</f>
        <v>0</v>
      </c>
      <c r="AZ108" s="188">
        <f t="shared" ref="AZ108:AZ109" si="663">AV108-AX108</f>
        <v>0</v>
      </c>
      <c r="BA108" s="188">
        <f t="shared" ref="BA108:BA109" si="664">IF(AW108=1,Z108,0)</f>
        <v>0</v>
      </c>
      <c r="BB108" s="188">
        <f t="shared" ref="BB108:BB109" si="665">IF(AN108=1,E108,0)</f>
        <v>0</v>
      </c>
      <c r="BD108" s="196">
        <f t="shared" ref="BD108:BD109" si="666">S108-W108-BE108</f>
        <v>0</v>
      </c>
      <c r="BE108" s="188">
        <f t="shared" ref="BE108:BE109" si="667">IF(AF108=1,S108,0)</f>
        <v>0</v>
      </c>
      <c r="BF108" s="188">
        <f t="shared" ref="BF108:BF109" si="668">IF(AG108="A",S108,0)</f>
        <v>0</v>
      </c>
      <c r="BG108" s="188">
        <f t="shared" ref="BG108:BG109" si="669">IF(AG108="B",S108,0)</f>
        <v>0</v>
      </c>
      <c r="BH108" s="188">
        <f t="shared" ref="BH108:BH109" si="670">IF(AG108="C",S108,0)</f>
        <v>0</v>
      </c>
      <c r="BI108" s="188">
        <f t="shared" ref="BI108:BI109" si="671">IF(AG108="D",S108,0)</f>
        <v>0</v>
      </c>
      <c r="BJ108" s="188">
        <f t="shared" ref="BJ108:BJ109" si="672">IF(AG108="E",S108,0)</f>
        <v>0</v>
      </c>
      <c r="BK108" s="188">
        <f t="shared" ref="BK108:BK109" si="673">SUM(BF108:BJ108)</f>
        <v>0</v>
      </c>
      <c r="BN108" s="215"/>
      <c r="BO108" s="188"/>
      <c r="BP108" s="188"/>
      <c r="BQ108" s="188"/>
      <c r="BR108" s="188"/>
      <c r="BS108" s="188"/>
      <c r="BT108" s="188"/>
      <c r="BU108" s="188"/>
      <c r="BV108" s="188"/>
      <c r="BW108" s="188"/>
      <c r="BX108" s="188"/>
      <c r="BY108" s="188"/>
      <c r="BZ108" s="188"/>
      <c r="CB108" s="188"/>
      <c r="CD108" s="188">
        <f t="shared" ref="CD108:CD109" si="674">BN108</f>
        <v>0</v>
      </c>
      <c r="CE108" s="188">
        <f t="shared" si="638"/>
        <v>0</v>
      </c>
      <c r="CF108" s="188">
        <f t="shared" si="638"/>
        <v>0</v>
      </c>
      <c r="CG108" s="188">
        <f t="shared" si="638"/>
        <v>0</v>
      </c>
      <c r="CH108" s="188">
        <f t="shared" si="638"/>
        <v>0</v>
      </c>
      <c r="CI108" s="188">
        <f t="shared" si="638"/>
        <v>0</v>
      </c>
      <c r="CJ108" s="188">
        <f t="shared" si="638"/>
        <v>0</v>
      </c>
      <c r="CK108" s="188">
        <f t="shared" si="638"/>
        <v>0</v>
      </c>
      <c r="CL108" s="188">
        <f t="shared" si="638"/>
        <v>0</v>
      </c>
      <c r="CM108" s="188">
        <f t="shared" si="638"/>
        <v>0</v>
      </c>
      <c r="CN108" s="188">
        <f t="shared" si="638"/>
        <v>0</v>
      </c>
      <c r="CO108" s="188">
        <f t="shared" si="638"/>
        <v>0</v>
      </c>
      <c r="CP108" s="188">
        <f t="shared" si="638"/>
        <v>0</v>
      </c>
      <c r="DV108" s="188">
        <f t="shared" ref="DV108:DV109" si="675">IF(CB108=1,G108,0)</f>
        <v>0</v>
      </c>
      <c r="DW108" s="188">
        <f t="shared" ref="DW108:DW109" si="676">IF(CC108="A",G108,0)</f>
        <v>0</v>
      </c>
      <c r="DX108" s="188">
        <f t="shared" ref="DX108:DX109" si="677">IF(CC108="B",G108,0)</f>
        <v>0</v>
      </c>
      <c r="DY108" s="188">
        <f t="shared" ref="DY108:DY109" si="678">IF(CC108="C",G108,0)</f>
        <v>0</v>
      </c>
      <c r="DZ108" s="188">
        <f t="shared" ref="DZ108:DZ109" si="679">IF(CC108="D",G108,0)</f>
        <v>0</v>
      </c>
      <c r="EA108" s="188">
        <f t="shared" ref="EA108:EA109" si="680">IF(CC108="E",G108,0)</f>
        <v>0</v>
      </c>
      <c r="EB108" s="188">
        <f t="shared" ref="EB108:EB109" si="681">SUM(DW108:EA108)</f>
        <v>0</v>
      </c>
      <c r="EG108" s="220">
        <f t="shared" ref="EG108:EG109" si="682">IF(AG108="C","C",IF(AG108="D","D",0))</f>
        <v>0</v>
      </c>
      <c r="EH108" s="220">
        <f t="shared" ref="EH108:EH109" si="683">CC108</f>
        <v>0</v>
      </c>
      <c r="EI108" s="188"/>
      <c r="EJ108" s="188"/>
      <c r="EK108" s="188"/>
      <c r="EL108" s="188"/>
      <c r="EM108" s="188"/>
      <c r="EN108" s="188"/>
      <c r="EO108" s="188"/>
      <c r="EP108" s="188"/>
      <c r="EQ108" s="188"/>
      <c r="ER108" s="188"/>
      <c r="ES108" s="188"/>
      <c r="ET108" s="188"/>
      <c r="EU108" s="188"/>
      <c r="EV108" s="188"/>
      <c r="EW108" s="188"/>
      <c r="EX108" s="188"/>
      <c r="EY108" s="188"/>
      <c r="EZ108" s="188"/>
      <c r="FA108" s="188"/>
      <c r="FB108" s="188"/>
      <c r="FC108" s="188"/>
      <c r="FD108" s="188"/>
      <c r="FE108" s="188"/>
      <c r="FF108" s="188"/>
      <c r="FH108" s="188"/>
      <c r="FI108" s="188"/>
      <c r="FJ108" s="188"/>
      <c r="FK108" s="188"/>
      <c r="FL108" s="188"/>
      <c r="FM108" s="188"/>
      <c r="FN108" s="188"/>
      <c r="FO108" s="188"/>
      <c r="FP108" s="188"/>
      <c r="FQ108" s="188"/>
      <c r="FR108" s="188"/>
      <c r="FS108" s="188"/>
      <c r="FT108" s="188"/>
      <c r="FU108" s="188"/>
      <c r="FV108" s="188"/>
      <c r="FX108" s="188">
        <f t="shared" ref="FX108:FX109" si="684">FL108*FU108/1000000000</f>
        <v>0</v>
      </c>
      <c r="FY108" s="188">
        <f t="shared" ref="FY108:FY109" si="685">SUM(FZ108:GE108)</f>
        <v>0</v>
      </c>
      <c r="FZ108" s="188">
        <f t="shared" ref="FZ108:FZ109" si="686">DI108+CE108</f>
        <v>0</v>
      </c>
      <c r="GA108" s="188">
        <f t="shared" ref="GA108:GA109" si="687">DJ108+CF108</f>
        <v>0</v>
      </c>
      <c r="GB108" s="188">
        <f t="shared" ref="GB108:GB109" si="688">DK108+CG108</f>
        <v>0</v>
      </c>
      <c r="GC108" s="188">
        <f t="shared" ref="GC108:GC109" si="689">DM108+CI108</f>
        <v>0</v>
      </c>
      <c r="GD108" s="234">
        <f t="shared" ref="GD108:GD109" si="690">DO108+CK108</f>
        <v>0</v>
      </c>
      <c r="GE108" s="188">
        <f t="shared" ref="GE108:GE109" si="691">DT108+CP108</f>
        <v>0</v>
      </c>
      <c r="GF108" s="235"/>
      <c r="GG108" s="188">
        <v>0</v>
      </c>
      <c r="GH108" s="188">
        <v>0</v>
      </c>
      <c r="GI108" s="235"/>
      <c r="GJ108" s="224">
        <f t="shared" ref="GJ108:GJ109" si="692">FY108*GG108/1000000000</f>
        <v>0</v>
      </c>
      <c r="GK108" s="224">
        <f t="shared" ref="GK108:GK109" si="693">FY108*GH108/1000000000</f>
        <v>0</v>
      </c>
      <c r="GO108" s="188"/>
      <c r="GP108" s="188">
        <f t="shared" ref="GP108:GP109" si="694">D108-J108</f>
        <v>0</v>
      </c>
      <c r="GQ108" s="188">
        <f t="shared" ref="GQ108:GQ109" si="695">D108-N108</f>
        <v>0</v>
      </c>
      <c r="GR108" s="188">
        <f t="shared" ref="GR108:GR109" si="696">D108-R108</f>
        <v>0</v>
      </c>
      <c r="GS108" s="188">
        <f t="shared" ref="GS108:GS109" si="697">D108-V108</f>
        <v>0</v>
      </c>
      <c r="GT108" s="188">
        <f t="shared" ref="GT108:GT109" si="698">IF(SUM(GO108:GS108)=0,1,0)</f>
        <v>1</v>
      </c>
      <c r="GU108" s="232">
        <f t="shared" si="388"/>
        <v>43243</v>
      </c>
      <c r="GV108" s="188" t="str">
        <f t="shared" ref="GV108:GV109" si="699">IF(GO108&gt;0,$GO$6,IF(GP108&gt;0,$GP$6,IF(GQ108&gt;0,$GQ$6,IF(GR108&gt;0,$GR$6,IF(GS108&gt;0,$GS$6,IF(GT108&gt;0,$GT$6,0))))))</f>
        <v>SELESAI</v>
      </c>
      <c r="GW108" s="188">
        <f t="shared" ref="GW108:GW109" si="700">IF(GV108=$GO$6,GO108,IF(GV108=$GP$6,GP108,IF(GV108=$GQ$6,GQ108,IF(GV108=$GR$6,GR108,IF(GV108=$GS$6,GS108,0)))))</f>
        <v>0</v>
      </c>
      <c r="GX108" s="188" t="str">
        <f t="shared" ref="GX108:GX109" si="701">GV108</f>
        <v>SELESAI</v>
      </c>
      <c r="GY108" s="188">
        <f t="shared" ref="GY108:GY109" si="702">IF(GX108="DNP",SUM($GY$4:$GY$8),IF(GX108="Survey KJPP",SUM($GY$5:$GY$8),IF(GX108="Hasil Valuasi",SUM($GY$6:$GY$8),IF(GX108="Musyawarah",SUM($GY$7:$GY$8),IF(GX108="UGR",$GY$8,0)))))</f>
        <v>0</v>
      </c>
      <c r="GZ108" s="228" t="str">
        <f t="shared" ref="GZ108:GZ109" si="703">IF(GW108=0,"SELESAI",GU108+GY108)</f>
        <v>SELESAI</v>
      </c>
      <c r="HA108" s="204"/>
      <c r="HB108" s="204"/>
      <c r="HC108" s="188">
        <f t="shared" ref="HC108:HC109" si="704">IF(BH108&gt;0,1,IF(BI108&gt;0,1,0))</f>
        <v>0</v>
      </c>
      <c r="HD108" s="188">
        <f t="shared" ref="HD108:HD109" si="705">IF(CB108&gt;0,1,0)</f>
        <v>0</v>
      </c>
      <c r="HE108" s="188">
        <f t="shared" ref="HE108:HE109" si="706">HC108+HD108</f>
        <v>0</v>
      </c>
      <c r="HF108" s="188">
        <f t="shared" ref="HF108:HF109" si="707">FQ108</f>
        <v>0</v>
      </c>
      <c r="HG108" s="188">
        <f t="shared" ref="HG108:HG109" si="708">HE108-HF108</f>
        <v>0</v>
      </c>
      <c r="HH108" s="228" t="str">
        <f t="shared" ref="HH108:HH109" si="709">IF(HG108=1,GU108+$HH$8,"TIDAK KONSINYASI")</f>
        <v>TIDAK KONSINYASI</v>
      </c>
      <c r="HI108" s="228" t="str">
        <f t="shared" ref="HI108:HI109" si="710">IF(GW108=0,"SELESAI",GZ108+$HI$8)</f>
        <v>SELESAI</v>
      </c>
      <c r="HK108" s="228">
        <f t="shared" ref="HK108:HK109" si="711">MAX(GZ108,HH108,HI108)</f>
        <v>0</v>
      </c>
      <c r="HL108" s="204"/>
      <c r="HM108" s="204"/>
      <c r="HN108" s="204"/>
      <c r="HO108" s="204"/>
      <c r="HP108" s="203">
        <f t="shared" ref="HP108:HP109" si="712">IF(HQ108=1,GZ108,0)</f>
        <v>0</v>
      </c>
      <c r="HQ108" s="202">
        <f t="shared" ref="HQ108:HQ109" si="713">IF(IX108=0,IF(HT108=0,IF(IP108=0,IF(GV108="UGR",GS108,0),0),0),0)</f>
        <v>0</v>
      </c>
      <c r="HR108" s="202">
        <f t="shared" ref="HR108:HR109" si="714">IF(HQ108=1,E108,0)</f>
        <v>0</v>
      </c>
      <c r="HS108" s="203">
        <f t="shared" ref="HS108:HS109" si="715">IF(HT108=1,HH108,0)</f>
        <v>0</v>
      </c>
      <c r="HT108" s="202">
        <f t="shared" ref="HT108:HT109" si="716">HG108</f>
        <v>0</v>
      </c>
      <c r="HU108" s="202">
        <f t="shared" ref="HU108:HU109" si="717">IF(HT108=1,E108,0)</f>
        <v>0</v>
      </c>
      <c r="HV108" s="203">
        <f t="shared" ref="HV108:HV109" si="718">IF(HW108=1,GZ108,0)</f>
        <v>0</v>
      </c>
      <c r="HW108" s="202">
        <f t="shared" ref="HW108:HW109" si="719">IF(JB108=0,IF(IX108=0,IF(HT108=0,IF(GV108="MUSYAWARAH",GR108,0),0),0),0)</f>
        <v>0</v>
      </c>
      <c r="HX108" s="202">
        <f t="shared" ref="HX108:HX109" si="720">IF(HW108=1,E108,0)</f>
        <v>0</v>
      </c>
      <c r="HY108" s="203">
        <f t="shared" ref="HY108:HY109" si="721">IF(HZ108=1,HV108+$HI$8,0)</f>
        <v>0</v>
      </c>
      <c r="HZ108" s="202">
        <f t="shared" ref="HZ108:HZ109" si="722">HW108</f>
        <v>0</v>
      </c>
      <c r="IA108" s="202">
        <f t="shared" ref="IA108:IA109" si="723">IF(HZ108=1,E108,0)</f>
        <v>0</v>
      </c>
      <c r="IB108" s="236">
        <f t="shared" ref="IB108:IB109" si="724">IF(IC108=1,$GU$3+SUM($GY$6:$GY$8),0)</f>
        <v>0</v>
      </c>
      <c r="IC108" s="188">
        <f t="shared" ref="IC108:IC109" si="725">IF(GV108="Hasil Valuasi",GQ108,0)</f>
        <v>0</v>
      </c>
      <c r="ID108" s="188">
        <f t="shared" ref="ID108:ID109" si="726">IF(IC108=1,E108,0)</f>
        <v>0</v>
      </c>
      <c r="IE108" s="228">
        <f t="shared" ref="IE108:IE109" si="727">IF(IF108=1,IB108+$HI$8,0)</f>
        <v>0</v>
      </c>
      <c r="IF108" s="188">
        <f t="shared" ref="IF108:IF109" si="728">IC108</f>
        <v>0</v>
      </c>
      <c r="IG108" s="188">
        <f t="shared" ref="IG108:IG109" si="729">IF(IF108=1,E108,0)</f>
        <v>0</v>
      </c>
      <c r="IH108" s="228">
        <f t="shared" ref="IH108:IH109" si="730">IF(II108=1,$GU$3+SUM($GY$5:$GY$8),0)</f>
        <v>0</v>
      </c>
      <c r="II108" s="188">
        <f t="shared" ref="II108:II109" si="731">IF(GV108="Survey KJPP",GP108,0)</f>
        <v>0</v>
      </c>
      <c r="IJ108" s="188">
        <f t="shared" ref="IJ108:IJ109" si="732">IF(II108=1,E108,0)</f>
        <v>0</v>
      </c>
      <c r="IK108" s="228">
        <f t="shared" ref="IK108:IK109" si="733">IF(IL108=1,IH108+$HI$8,0)</f>
        <v>0</v>
      </c>
      <c r="IL108" s="188">
        <f t="shared" ref="IL108:IL109" si="734">II108</f>
        <v>0</v>
      </c>
      <c r="IM108" s="188">
        <f t="shared" ref="IM108:IM109" si="735">IF(IL108=1,E108,0)</f>
        <v>0</v>
      </c>
      <c r="IN108" s="204"/>
      <c r="IO108" s="228">
        <f t="shared" ref="IO108:IO109" si="736">IF(IP108=1,+$GU$3+$HH$8,0)</f>
        <v>0</v>
      </c>
      <c r="IP108" s="188">
        <f t="shared" ref="IP108:IP109" si="737">IF(BG108&gt;0,1,0)</f>
        <v>0</v>
      </c>
      <c r="IQ108" s="188">
        <f t="shared" ref="IQ108:IQ109" si="738">IF(IP108=1,E108,0)</f>
        <v>0</v>
      </c>
      <c r="IR108" s="204"/>
      <c r="IS108" s="228"/>
      <c r="IT108" s="188">
        <f t="shared" ref="IT108:IT109" si="739">V108</f>
        <v>1</v>
      </c>
      <c r="IU108" s="188">
        <f t="shared" ref="IU108:IU109" si="740">W108</f>
        <v>230</v>
      </c>
      <c r="IV108" s="204"/>
      <c r="IW108" s="228"/>
      <c r="IX108" s="188">
        <f t="shared" ref="IX108:IX109" si="741">AA108</f>
        <v>0</v>
      </c>
      <c r="IY108" s="188">
        <f t="shared" ref="IY108:IY109" si="742">AB108</f>
        <v>0</v>
      </c>
      <c r="IZ108" s="204"/>
      <c r="JA108" s="228"/>
      <c r="JB108" s="188">
        <f t="shared" ref="JB108:JB109" si="743">AN108</f>
        <v>0</v>
      </c>
      <c r="JC108" s="188">
        <f t="shared" ref="JC108:JC109" si="744">BB108</f>
        <v>0</v>
      </c>
      <c r="JD108" s="204"/>
      <c r="JE108" s="228"/>
      <c r="JF108" s="188">
        <f t="shared" ref="JF108:JF109" si="745">IT108+HQ108+HT108+HZ108+IF108+IL108+IP108+IX108+JB108</f>
        <v>1</v>
      </c>
      <c r="JG108" s="188">
        <f t="shared" ref="JG108:JG109" si="746">IU108+HR108+HU108+IA108+IG108+IM108+IQ108+IY108+JC108</f>
        <v>230</v>
      </c>
      <c r="JH108" s="204"/>
      <c r="JI108" s="228"/>
      <c r="JJ108" s="188">
        <f t="shared" ref="JJ108:JJ109" si="747">JF108-D108</f>
        <v>0</v>
      </c>
      <c r="JK108" s="188">
        <f t="shared" ref="JK108:JK109" si="748">JG108-E108</f>
        <v>0</v>
      </c>
      <c r="JM108" s="203">
        <f t="shared" ref="JM108:JM109" si="749">MAX(IW108,IS108,IO108,IK108,IE108,HY108,HS108,HP108)</f>
        <v>0</v>
      </c>
      <c r="JO108" s="196">
        <f t="shared" ref="JO108:JO109" si="750">SUM(JQ108:KB108)</f>
        <v>0</v>
      </c>
      <c r="JP108" s="189">
        <f t="shared" ref="JP108:JP109" si="751">BN108+CR108</f>
        <v>0</v>
      </c>
      <c r="JQ108" s="189">
        <f t="shared" ref="JQ108:JQ109" si="752">IF(BO108+CS108=2,1,IF(BO108+CS108=1,1,0))</f>
        <v>0</v>
      </c>
      <c r="JR108" s="189">
        <f t="shared" ref="JR108:JR109" si="753">IF(BP108+CT108=2,1,IF(BP108+CT108=1,1,0))</f>
        <v>0</v>
      </c>
      <c r="JS108" s="189">
        <f t="shared" ref="JS108:JS109" si="754">IF(BQ108+CU108=2,1,IF(BQ108+CU108=1,1,0))</f>
        <v>0</v>
      </c>
      <c r="JT108" s="189">
        <f t="shared" ref="JT108:JT109" si="755">IF(BR108+CV108=2,1,IF(BR108+CV108=1,1,0))</f>
        <v>0</v>
      </c>
      <c r="JU108" s="189">
        <f t="shared" ref="JU108:JU109" si="756">IF(BS108+CW108=2,1,IF(BS108+CW108=1,1,0))</f>
        <v>0</v>
      </c>
      <c r="JV108" s="189">
        <f t="shared" ref="JV108:JV109" si="757">IF(BT108+CX108=2,1,IF(BT108+CX108=1,1,0))</f>
        <v>0</v>
      </c>
      <c r="JW108" s="189">
        <f t="shared" ref="JW108:JW109" si="758">IF(BU108+CY108=2,1,IF(BU108+CY108=1,1,0))</f>
        <v>0</v>
      </c>
      <c r="JX108" s="189">
        <f t="shared" ref="JX108:JX109" si="759">IF(BV108+CZ108=2,1,IF(BV108+CZ108=1,1,0))</f>
        <v>0</v>
      </c>
      <c r="JY108" s="189">
        <f t="shared" ref="JY108:JY109" si="760">IF(BW108+DA108=2,1,IF(BW108+DA108=1,1,0))</f>
        <v>0</v>
      </c>
      <c r="JZ108" s="189">
        <f t="shared" ref="JZ108:JZ109" si="761">IF(BX108+DB108=2,1,IF(BX108+DB108=1,1,0))</f>
        <v>0</v>
      </c>
      <c r="KA108" s="189">
        <f t="shared" ref="KA108:KA109" si="762">IF(BY108+DC108=2,1,IF(BY108+DC108=1,1,0))</f>
        <v>0</v>
      </c>
      <c r="KB108" s="189">
        <f t="shared" ref="KB108:KB109" si="763">IF(BZ108+DD108=2,1,IF(BZ108+DD108=1,1,0))</f>
        <v>0</v>
      </c>
      <c r="KD108" s="206">
        <f t="shared" ref="KD108:KD109" si="764">IF(IF(SUM(GA108:GE108)&gt;100,1,0)+IF(FX108=1,1,0)=2,1,0)</f>
        <v>0</v>
      </c>
      <c r="KE108" s="206">
        <f t="shared" ref="KE108:KE109" si="765">IF(KD108=1,KF108,0)</f>
        <v>0</v>
      </c>
      <c r="KF108" s="206">
        <f t="shared" ref="KF108:KF109" si="766">CD108+DH108</f>
        <v>0</v>
      </c>
      <c r="KG108" s="206">
        <f t="shared" ref="KG108:KG109" si="767">CE108+DI108</f>
        <v>0</v>
      </c>
      <c r="KH108" s="206">
        <f t="shared" ref="KH108:KH109" si="768">CF108+DJ108</f>
        <v>0</v>
      </c>
      <c r="KI108" s="206">
        <f t="shared" ref="KI108:KI109" si="769">CG108+DK108</f>
        <v>0</v>
      </c>
      <c r="KJ108" s="206">
        <f t="shared" ref="KJ108:KJ109" si="770">CH108+DL108</f>
        <v>0</v>
      </c>
      <c r="KK108" s="206">
        <f t="shared" ref="KK108:KK109" si="771">CI108+DM108</f>
        <v>0</v>
      </c>
      <c r="KL108" s="206">
        <f t="shared" ref="KL108:KL109" si="772">CJ108+DN108</f>
        <v>0</v>
      </c>
      <c r="KM108" s="206">
        <f t="shared" ref="KM108:KM109" si="773">CK108+DO108</f>
        <v>0</v>
      </c>
      <c r="KN108" s="221">
        <f t="shared" ref="KN108:KN109" si="774">CL108+DP108</f>
        <v>0</v>
      </c>
      <c r="KO108" s="221">
        <f t="shared" ref="KO108:KO109" si="775">CM108+DQ108</f>
        <v>0</v>
      </c>
      <c r="KP108" s="221">
        <f t="shared" ref="KP108:KP109" si="776">CN108+DR108</f>
        <v>0</v>
      </c>
      <c r="KQ108" s="221">
        <f t="shared" ref="KQ108:KQ109" si="777">CO108+DS108</f>
        <v>0</v>
      </c>
      <c r="KR108" s="221">
        <f t="shared" ref="KR108:KR109" si="778">CP108+DT108</f>
        <v>0</v>
      </c>
      <c r="KT108" s="195">
        <f t="shared" ref="KT108:KT109" si="779">AN108</f>
        <v>0</v>
      </c>
      <c r="KU108" s="221"/>
      <c r="KV108" s="221"/>
      <c r="KW108" s="221"/>
      <c r="KX108" s="221"/>
      <c r="KY108" s="221"/>
      <c r="KZ108" s="221"/>
      <c r="LA108" s="221"/>
      <c r="LB108" s="221"/>
      <c r="LC108" s="221"/>
      <c r="LD108" s="221"/>
      <c r="LE108" s="221"/>
      <c r="LF108" s="221"/>
      <c r="LG108" s="221"/>
      <c r="LH108" s="221"/>
      <c r="LI108" s="221"/>
      <c r="LJ108" s="221"/>
      <c r="LK108" s="221"/>
      <c r="LL108" s="221"/>
      <c r="LM108" s="221"/>
      <c r="LN108" s="221"/>
      <c r="LO108" s="221"/>
      <c r="LP108" s="221"/>
      <c r="LQ108" s="221"/>
      <c r="LR108" s="221"/>
      <c r="LS108" s="221"/>
      <c r="LT108" s="221"/>
      <c r="LU108" s="221"/>
      <c r="LV108" s="221"/>
      <c r="LW108" s="221"/>
      <c r="LX108" s="221"/>
      <c r="LY108" s="221"/>
      <c r="LZ108" s="221"/>
      <c r="MA108" s="221"/>
      <c r="MB108" s="221"/>
      <c r="MC108" s="221"/>
      <c r="MD108" s="221"/>
      <c r="ME108" s="221"/>
      <c r="MF108" s="221"/>
      <c r="MG108" s="221"/>
      <c r="MH108" s="221"/>
      <c r="MI108" s="221"/>
      <c r="MJ108" s="221"/>
      <c r="MK108" s="221"/>
      <c r="ML108" s="221"/>
      <c r="MM108" s="221"/>
      <c r="MN108" s="221"/>
      <c r="MO108" s="221"/>
      <c r="MP108" s="221"/>
      <c r="MQ108" s="221"/>
      <c r="MR108" s="221"/>
      <c r="MS108" s="221"/>
      <c r="MT108" s="221"/>
      <c r="MU108" s="221"/>
      <c r="MV108" s="221"/>
      <c r="MW108" s="221"/>
      <c r="MX108" s="221"/>
      <c r="MY108" s="221"/>
      <c r="MZ108" s="221"/>
      <c r="NA108" s="221"/>
      <c r="NB108" s="221"/>
      <c r="NC108" s="221"/>
      <c r="ND108" s="221"/>
      <c r="NE108" s="221"/>
      <c r="NF108" s="221"/>
      <c r="NG108" s="221"/>
      <c r="NH108" s="221"/>
      <c r="NI108" s="221"/>
      <c r="NJ108" s="221"/>
      <c r="NK108" s="221"/>
      <c r="NM108" s="195">
        <f t="shared" ref="NM108:NM109" si="780">IF(KS108=1,1,0)</f>
        <v>0</v>
      </c>
      <c r="NN108" s="195">
        <f t="shared" ref="NN108:NN109" si="781">IF(KS108=2,1,0)</f>
        <v>0</v>
      </c>
      <c r="NO108" s="195">
        <f t="shared" ref="NO108:NO109" si="782">IF(KS108=3,1,0)</f>
        <v>0</v>
      </c>
      <c r="NP108" s="195">
        <f t="shared" ref="NP108:NP109" si="783">IF(KS108=4,1,0)</f>
        <v>0</v>
      </c>
      <c r="NQ108" s="195">
        <f t="shared" ref="NQ108:NQ109" si="784">IF(KS108=5,1,0)</f>
        <v>0</v>
      </c>
      <c r="NR108" s="195">
        <f t="shared" ref="NR108:NR109" si="785">IF(KS108=6,1,0)</f>
        <v>0</v>
      </c>
      <c r="NS108" s="195">
        <f t="shared" ref="NS108:NS109" si="786">IF(KS108=7,1,0)</f>
        <v>0</v>
      </c>
      <c r="NT108" s="195">
        <f t="shared" ref="NT108:NT109" si="787">SUM(NM108:NS108)</f>
        <v>0</v>
      </c>
      <c r="NU108" s="196">
        <f t="shared" ref="NU108:NU109" si="788">NT108-KT108</f>
        <v>0</v>
      </c>
      <c r="NY108" s="215">
        <f t="shared" si="420"/>
        <v>1</v>
      </c>
      <c r="NZ108" s="222">
        <f>11875000</f>
        <v>11875000</v>
      </c>
      <c r="OE108" s="207">
        <f t="shared" ref="OE108:OE111" si="789">D108-J108</f>
        <v>0</v>
      </c>
      <c r="OF108" s="207">
        <f t="shared" ref="OF108:OF110" si="790">D108-N108</f>
        <v>0</v>
      </c>
      <c r="OG108" s="207">
        <f t="shared" ref="OG108:OG110" si="791">AN108</f>
        <v>0</v>
      </c>
      <c r="OH108" s="207">
        <f t="shared" ref="OH108:OH110" si="792">HE108</f>
        <v>0</v>
      </c>
      <c r="OI108" s="207">
        <f t="shared" ref="OI108:OI110" si="793">D108-R108</f>
        <v>0</v>
      </c>
      <c r="OJ108" s="199">
        <f t="shared" ref="OJ108:OJ110" si="794">IF(OG108=1,OF108,0)</f>
        <v>0</v>
      </c>
      <c r="OK108" s="199">
        <f t="shared" ref="OK108:OK110" si="795">IF(OH108=1,OF108,0)</f>
        <v>0</v>
      </c>
      <c r="OL108" s="199">
        <f t="shared" ref="OL108:OL110" si="796">IF((OG108+OH108)=0,OF108,0)</f>
        <v>0</v>
      </c>
      <c r="OM108" s="199">
        <f t="shared" ref="OM108:OM110" si="797">SUM(OJ108:OL108)</f>
        <v>0</v>
      </c>
      <c r="OO108" s="207">
        <f t="shared" ref="OO108:OO110" si="798">E108-K108</f>
        <v>0</v>
      </c>
      <c r="OP108" s="207">
        <f t="shared" ref="OP108:OP110" si="799">E108-O108</f>
        <v>0</v>
      </c>
      <c r="OQ108" s="207">
        <f t="shared" ref="OQ108:OQ110" si="800">OG108</f>
        <v>0</v>
      </c>
      <c r="OR108" s="207">
        <f t="shared" ref="OR108:OR110" si="801">OH108</f>
        <v>0</v>
      </c>
      <c r="OS108" s="207">
        <f t="shared" ref="OS108:OS110" si="802">OI108</f>
        <v>0</v>
      </c>
      <c r="OT108" s="199">
        <f t="shared" ref="OT108:OT110" si="803">IF(OQ108=1,OP108,0)</f>
        <v>0</v>
      </c>
      <c r="OU108" s="199">
        <f t="shared" ref="OU108:OU110" si="804">IF(OR108=1,OP108,0)</f>
        <v>0</v>
      </c>
      <c r="OV108" s="199">
        <f t="shared" ref="OV108:OV110" si="805">IF((OQ108+OR108)=0,OP108,0)</f>
        <v>0</v>
      </c>
      <c r="OW108" s="199">
        <f t="shared" ref="OW108:OW110" si="806">SUM(OT108:OV108)</f>
        <v>0</v>
      </c>
      <c r="OZ108" s="208">
        <f t="shared" si="380"/>
        <v>0</v>
      </c>
      <c r="PA108" s="209"/>
      <c r="PB108" s="209"/>
      <c r="PC108" s="209"/>
      <c r="PD108" s="210">
        <f t="shared" si="433"/>
        <v>0</v>
      </c>
      <c r="PE108" s="210"/>
      <c r="PF108" s="210">
        <f t="shared" si="434"/>
        <v>0</v>
      </c>
      <c r="PG108" s="210">
        <f t="shared" si="435"/>
        <v>0</v>
      </c>
      <c r="PH108" s="210">
        <f t="shared" si="381"/>
        <v>0</v>
      </c>
      <c r="PI108" s="210">
        <f t="shared" si="382"/>
        <v>0</v>
      </c>
      <c r="PJ108" s="210">
        <f t="shared" si="383"/>
        <v>0</v>
      </c>
      <c r="PK108" s="210">
        <f t="shared" si="384"/>
        <v>0</v>
      </c>
      <c r="PL108" s="210">
        <f t="shared" si="385"/>
        <v>0</v>
      </c>
      <c r="PM108" s="211"/>
      <c r="PN108" s="211"/>
      <c r="PO108" s="212">
        <f t="shared" ref="PO108:PO109" si="807">IF(FC108=1,AB108,0)</f>
        <v>0</v>
      </c>
      <c r="PP108" s="212">
        <f t="shared" ref="PP108:PP109" si="808">IF(FF108=1,AB108,0)</f>
        <v>0</v>
      </c>
      <c r="PQ108" s="212">
        <f t="shared" ref="PQ108:PQ109" si="809">AB108-(PO108+PP108)</f>
        <v>0</v>
      </c>
      <c r="PR108" s="211"/>
      <c r="PS108" s="211"/>
      <c r="PT108" s="211"/>
      <c r="PU108" s="211"/>
    </row>
    <row r="109" spans="1:437 16384:16384" s="195" customFormat="1" ht="16" x14ac:dyDescent="0.2">
      <c r="A109" s="213">
        <f t="shared" ref="A109:A125" si="810">A108+1</f>
        <v>99</v>
      </c>
      <c r="B109" s="186" t="s">
        <v>405</v>
      </c>
      <c r="C109" s="186">
        <v>107</v>
      </c>
      <c r="D109" s="188">
        <v>1</v>
      </c>
      <c r="E109" s="188">
        <v>251</v>
      </c>
      <c r="F109" s="188">
        <v>1</v>
      </c>
      <c r="G109" s="188">
        <f t="shared" ref="G109" si="811">E109</f>
        <v>251</v>
      </c>
      <c r="H109" s="214">
        <f t="shared" si="648"/>
        <v>1</v>
      </c>
      <c r="I109" s="214">
        <v>0</v>
      </c>
      <c r="J109" s="188">
        <v>1</v>
      </c>
      <c r="K109" s="188">
        <f>IF(J109=D109,E109,0)</f>
        <v>251</v>
      </c>
      <c r="L109" s="214">
        <f>J109/$D109</f>
        <v>1</v>
      </c>
      <c r="M109" s="214">
        <f>K109/$E109</f>
        <v>1</v>
      </c>
      <c r="N109" s="188">
        <v>1</v>
      </c>
      <c r="O109" s="188">
        <f>IF(N109=D109,E109,0)</f>
        <v>251</v>
      </c>
      <c r="P109" s="214">
        <f>N109/$D109</f>
        <v>1</v>
      </c>
      <c r="Q109" s="214">
        <f>O109/$E109</f>
        <v>1</v>
      </c>
      <c r="R109" s="188">
        <v>1</v>
      </c>
      <c r="S109" s="188">
        <f>IF(R109=D109,E109,0)</f>
        <v>251</v>
      </c>
      <c r="T109" s="214">
        <f>R109/$D109</f>
        <v>1</v>
      </c>
      <c r="U109" s="214">
        <f>S109/$E109</f>
        <v>1</v>
      </c>
      <c r="V109" s="215">
        <v>1</v>
      </c>
      <c r="W109" s="188">
        <f>IF(V109=D109,E109,0)</f>
        <v>251</v>
      </c>
      <c r="X109" s="214">
        <f>V109/$D109</f>
        <v>1</v>
      </c>
      <c r="Y109" s="214">
        <f>W109/$E109</f>
        <v>1</v>
      </c>
      <c r="Z109" s="216">
        <f>3934883000/1000000000</f>
        <v>3.9348830000000001</v>
      </c>
      <c r="AA109" s="188">
        <v>0</v>
      </c>
      <c r="AB109" s="188">
        <v>0</v>
      </c>
      <c r="AC109" s="214">
        <f t="shared" si="649"/>
        <v>0</v>
      </c>
      <c r="AD109" s="214">
        <f t="shared" si="650"/>
        <v>0</v>
      </c>
      <c r="AE109" s="188"/>
      <c r="AF109" s="188">
        <f t="shared" si="651"/>
        <v>0</v>
      </c>
      <c r="AG109" s="188"/>
      <c r="AH109" s="188"/>
      <c r="AI109" s="188"/>
      <c r="AJ109" s="188"/>
      <c r="AK109" s="188"/>
      <c r="AL109" s="188"/>
      <c r="AM109" s="188"/>
      <c r="AN109" s="217"/>
      <c r="AO109" s="188">
        <f t="shared" si="652"/>
        <v>0</v>
      </c>
      <c r="AP109" s="188">
        <f t="shared" si="653"/>
        <v>0</v>
      </c>
      <c r="AQ109" s="188">
        <f t="shared" si="654"/>
        <v>0</v>
      </c>
      <c r="AR109" s="188">
        <f t="shared" si="655"/>
        <v>0</v>
      </c>
      <c r="AS109" s="188">
        <f t="shared" si="656"/>
        <v>0</v>
      </c>
      <c r="AT109" s="188">
        <f t="shared" si="657"/>
        <v>0</v>
      </c>
      <c r="AU109" s="188">
        <f t="shared" si="658"/>
        <v>0</v>
      </c>
      <c r="AV109" s="188">
        <f t="shared" si="659"/>
        <v>0</v>
      </c>
      <c r="AW109" s="188">
        <f t="shared" si="660"/>
        <v>0</v>
      </c>
      <c r="AX109" s="188">
        <f t="shared" si="661"/>
        <v>0</v>
      </c>
      <c r="AY109" s="188">
        <f t="shared" si="662"/>
        <v>0</v>
      </c>
      <c r="AZ109" s="188">
        <f t="shared" si="663"/>
        <v>0</v>
      </c>
      <c r="BA109" s="188">
        <f t="shared" si="664"/>
        <v>0</v>
      </c>
      <c r="BB109" s="188">
        <f t="shared" si="665"/>
        <v>0</v>
      </c>
      <c r="BD109" s="196">
        <f t="shared" si="666"/>
        <v>0</v>
      </c>
      <c r="BE109" s="188">
        <f t="shared" si="667"/>
        <v>0</v>
      </c>
      <c r="BF109" s="188">
        <f t="shared" si="668"/>
        <v>0</v>
      </c>
      <c r="BG109" s="188">
        <f t="shared" si="669"/>
        <v>0</v>
      </c>
      <c r="BH109" s="188">
        <f t="shared" si="670"/>
        <v>0</v>
      </c>
      <c r="BI109" s="188">
        <f t="shared" si="671"/>
        <v>0</v>
      </c>
      <c r="BJ109" s="188">
        <f t="shared" si="672"/>
        <v>0</v>
      </c>
      <c r="BK109" s="188">
        <f t="shared" si="673"/>
        <v>0</v>
      </c>
      <c r="BN109" s="215"/>
      <c r="BO109" s="188"/>
      <c r="BP109" s="188"/>
      <c r="BQ109" s="188"/>
      <c r="BR109" s="188"/>
      <c r="BS109" s="188"/>
      <c r="BT109" s="188"/>
      <c r="BU109" s="188"/>
      <c r="BV109" s="188"/>
      <c r="BW109" s="188"/>
      <c r="BX109" s="188"/>
      <c r="BY109" s="188"/>
      <c r="BZ109" s="188"/>
      <c r="CB109" s="188"/>
      <c r="CD109" s="188">
        <f t="shared" si="674"/>
        <v>0</v>
      </c>
      <c r="CE109" s="188">
        <f t="shared" si="638"/>
        <v>0</v>
      </c>
      <c r="CF109" s="188">
        <f t="shared" si="638"/>
        <v>0</v>
      </c>
      <c r="CG109" s="188">
        <f t="shared" si="638"/>
        <v>0</v>
      </c>
      <c r="CH109" s="188">
        <f t="shared" si="638"/>
        <v>0</v>
      </c>
      <c r="CI109" s="188">
        <f t="shared" si="638"/>
        <v>0</v>
      </c>
      <c r="CJ109" s="188">
        <f t="shared" si="638"/>
        <v>0</v>
      </c>
      <c r="CK109" s="188">
        <f t="shared" si="638"/>
        <v>0</v>
      </c>
      <c r="CL109" s="188">
        <f t="shared" si="638"/>
        <v>0</v>
      </c>
      <c r="CM109" s="188">
        <f t="shared" si="638"/>
        <v>0</v>
      </c>
      <c r="CN109" s="188">
        <f t="shared" si="638"/>
        <v>0</v>
      </c>
      <c r="CO109" s="188">
        <f t="shared" si="638"/>
        <v>0</v>
      </c>
      <c r="CP109" s="188">
        <f t="shared" si="638"/>
        <v>0</v>
      </c>
      <c r="DV109" s="188">
        <f t="shared" si="675"/>
        <v>0</v>
      </c>
      <c r="DW109" s="188">
        <f t="shared" si="676"/>
        <v>0</v>
      </c>
      <c r="DX109" s="188">
        <f t="shared" si="677"/>
        <v>0</v>
      </c>
      <c r="DY109" s="188">
        <f t="shared" si="678"/>
        <v>0</v>
      </c>
      <c r="DZ109" s="188">
        <f t="shared" si="679"/>
        <v>0</v>
      </c>
      <c r="EA109" s="188">
        <f t="shared" si="680"/>
        <v>0</v>
      </c>
      <c r="EB109" s="188">
        <f t="shared" si="681"/>
        <v>0</v>
      </c>
      <c r="EG109" s="220">
        <f t="shared" si="682"/>
        <v>0</v>
      </c>
      <c r="EH109" s="220">
        <f t="shared" si="683"/>
        <v>0</v>
      </c>
      <c r="EI109" s="188"/>
      <c r="EJ109" s="188"/>
      <c r="EK109" s="188"/>
      <c r="EL109" s="188"/>
      <c r="EM109" s="188"/>
      <c r="EN109" s="188"/>
      <c r="EO109" s="188"/>
      <c r="EP109" s="188"/>
      <c r="EQ109" s="188"/>
      <c r="ER109" s="188"/>
      <c r="ES109" s="188"/>
      <c r="ET109" s="188"/>
      <c r="EU109" s="188"/>
      <c r="EV109" s="188"/>
      <c r="EW109" s="188"/>
      <c r="EX109" s="188"/>
      <c r="EY109" s="188"/>
      <c r="EZ109" s="188"/>
      <c r="FA109" s="188"/>
      <c r="FB109" s="188"/>
      <c r="FC109" s="188"/>
      <c r="FD109" s="188"/>
      <c r="FE109" s="188"/>
      <c r="FF109" s="188"/>
      <c r="FH109" s="188"/>
      <c r="FI109" s="188"/>
      <c r="FJ109" s="188"/>
      <c r="FK109" s="188"/>
      <c r="FL109" s="188"/>
      <c r="FM109" s="188"/>
      <c r="FN109" s="188"/>
      <c r="FO109" s="188"/>
      <c r="FP109" s="188"/>
      <c r="FQ109" s="188"/>
      <c r="FR109" s="188"/>
      <c r="FS109" s="188"/>
      <c r="FT109" s="188"/>
      <c r="FU109" s="188"/>
      <c r="FV109" s="188"/>
      <c r="FX109" s="188">
        <f t="shared" si="684"/>
        <v>0</v>
      </c>
      <c r="FY109" s="188">
        <f t="shared" si="685"/>
        <v>0</v>
      </c>
      <c r="FZ109" s="188">
        <f t="shared" si="686"/>
        <v>0</v>
      </c>
      <c r="GA109" s="188">
        <f t="shared" si="687"/>
        <v>0</v>
      </c>
      <c r="GB109" s="188">
        <f t="shared" si="688"/>
        <v>0</v>
      </c>
      <c r="GC109" s="188">
        <f t="shared" si="689"/>
        <v>0</v>
      </c>
      <c r="GD109" s="234">
        <f t="shared" si="690"/>
        <v>0</v>
      </c>
      <c r="GE109" s="188">
        <f t="shared" si="691"/>
        <v>0</v>
      </c>
      <c r="GF109" s="235"/>
      <c r="GG109" s="188">
        <v>0</v>
      </c>
      <c r="GH109" s="188">
        <v>0</v>
      </c>
      <c r="GI109" s="235"/>
      <c r="GJ109" s="224">
        <f t="shared" si="692"/>
        <v>0</v>
      </c>
      <c r="GK109" s="224">
        <f t="shared" si="693"/>
        <v>0</v>
      </c>
      <c r="GO109" s="188"/>
      <c r="GP109" s="188">
        <f t="shared" si="694"/>
        <v>0</v>
      </c>
      <c r="GQ109" s="188">
        <f t="shared" si="695"/>
        <v>0</v>
      </c>
      <c r="GR109" s="188">
        <f t="shared" si="696"/>
        <v>0</v>
      </c>
      <c r="GS109" s="188">
        <f t="shared" si="697"/>
        <v>0</v>
      </c>
      <c r="GT109" s="188">
        <f t="shared" si="698"/>
        <v>1</v>
      </c>
      <c r="GU109" s="232">
        <f t="shared" si="388"/>
        <v>43243</v>
      </c>
      <c r="GV109" s="188" t="str">
        <f t="shared" si="699"/>
        <v>SELESAI</v>
      </c>
      <c r="GW109" s="188">
        <f t="shared" si="700"/>
        <v>0</v>
      </c>
      <c r="GX109" s="188" t="str">
        <f t="shared" si="701"/>
        <v>SELESAI</v>
      </c>
      <c r="GY109" s="188">
        <f t="shared" si="702"/>
        <v>0</v>
      </c>
      <c r="GZ109" s="228" t="str">
        <f t="shared" si="703"/>
        <v>SELESAI</v>
      </c>
      <c r="HA109" s="204"/>
      <c r="HB109" s="204"/>
      <c r="HC109" s="188">
        <f t="shared" si="704"/>
        <v>0</v>
      </c>
      <c r="HD109" s="188">
        <f t="shared" si="705"/>
        <v>0</v>
      </c>
      <c r="HE109" s="188">
        <f t="shared" si="706"/>
        <v>0</v>
      </c>
      <c r="HF109" s="188">
        <f t="shared" si="707"/>
        <v>0</v>
      </c>
      <c r="HG109" s="188">
        <f t="shared" si="708"/>
        <v>0</v>
      </c>
      <c r="HH109" s="228" t="str">
        <f t="shared" si="709"/>
        <v>TIDAK KONSINYASI</v>
      </c>
      <c r="HI109" s="228" t="str">
        <f t="shared" si="710"/>
        <v>SELESAI</v>
      </c>
      <c r="HK109" s="228">
        <f t="shared" si="711"/>
        <v>0</v>
      </c>
      <c r="HL109" s="204"/>
      <c r="HM109" s="204"/>
      <c r="HN109" s="204"/>
      <c r="HO109" s="204"/>
      <c r="HP109" s="203">
        <f t="shared" si="712"/>
        <v>0</v>
      </c>
      <c r="HQ109" s="202">
        <f t="shared" si="713"/>
        <v>0</v>
      </c>
      <c r="HR109" s="202">
        <f t="shared" si="714"/>
        <v>0</v>
      </c>
      <c r="HS109" s="203">
        <f t="shared" si="715"/>
        <v>0</v>
      </c>
      <c r="HT109" s="202">
        <f t="shared" si="716"/>
        <v>0</v>
      </c>
      <c r="HU109" s="202">
        <f t="shared" si="717"/>
        <v>0</v>
      </c>
      <c r="HV109" s="203">
        <f t="shared" si="718"/>
        <v>0</v>
      </c>
      <c r="HW109" s="202">
        <f t="shared" si="719"/>
        <v>0</v>
      </c>
      <c r="HX109" s="202">
        <f t="shared" si="720"/>
        <v>0</v>
      </c>
      <c r="HY109" s="203">
        <f t="shared" si="721"/>
        <v>0</v>
      </c>
      <c r="HZ109" s="202">
        <f t="shared" si="722"/>
        <v>0</v>
      </c>
      <c r="IA109" s="202">
        <f t="shared" si="723"/>
        <v>0</v>
      </c>
      <c r="IB109" s="236">
        <f t="shared" si="724"/>
        <v>0</v>
      </c>
      <c r="IC109" s="188">
        <f t="shared" si="725"/>
        <v>0</v>
      </c>
      <c r="ID109" s="188">
        <f t="shared" si="726"/>
        <v>0</v>
      </c>
      <c r="IE109" s="228">
        <f t="shared" si="727"/>
        <v>0</v>
      </c>
      <c r="IF109" s="188">
        <f t="shared" si="728"/>
        <v>0</v>
      </c>
      <c r="IG109" s="188">
        <f t="shared" si="729"/>
        <v>0</v>
      </c>
      <c r="IH109" s="228">
        <f t="shared" si="730"/>
        <v>0</v>
      </c>
      <c r="II109" s="188">
        <f t="shared" si="731"/>
        <v>0</v>
      </c>
      <c r="IJ109" s="188">
        <f t="shared" si="732"/>
        <v>0</v>
      </c>
      <c r="IK109" s="228">
        <f t="shared" si="733"/>
        <v>0</v>
      </c>
      <c r="IL109" s="188">
        <f t="shared" si="734"/>
        <v>0</v>
      </c>
      <c r="IM109" s="188">
        <f t="shared" si="735"/>
        <v>0</v>
      </c>
      <c r="IN109" s="204"/>
      <c r="IO109" s="228">
        <f t="shared" si="736"/>
        <v>0</v>
      </c>
      <c r="IP109" s="188">
        <f t="shared" si="737"/>
        <v>0</v>
      </c>
      <c r="IQ109" s="188">
        <f t="shared" si="738"/>
        <v>0</v>
      </c>
      <c r="IR109" s="204"/>
      <c r="IS109" s="228"/>
      <c r="IT109" s="188">
        <f t="shared" si="739"/>
        <v>1</v>
      </c>
      <c r="IU109" s="188">
        <f t="shared" si="740"/>
        <v>251</v>
      </c>
      <c r="IV109" s="204"/>
      <c r="IW109" s="228"/>
      <c r="IX109" s="188">
        <f t="shared" si="741"/>
        <v>0</v>
      </c>
      <c r="IY109" s="188">
        <f t="shared" si="742"/>
        <v>0</v>
      </c>
      <c r="IZ109" s="204"/>
      <c r="JA109" s="228"/>
      <c r="JB109" s="188">
        <f t="shared" si="743"/>
        <v>0</v>
      </c>
      <c r="JC109" s="188">
        <f t="shared" si="744"/>
        <v>0</v>
      </c>
      <c r="JD109" s="204"/>
      <c r="JE109" s="228"/>
      <c r="JF109" s="188">
        <f t="shared" si="745"/>
        <v>1</v>
      </c>
      <c r="JG109" s="188">
        <f t="shared" si="746"/>
        <v>251</v>
      </c>
      <c r="JH109" s="204"/>
      <c r="JI109" s="228"/>
      <c r="JJ109" s="188">
        <f t="shared" si="747"/>
        <v>0</v>
      </c>
      <c r="JK109" s="188">
        <f t="shared" si="748"/>
        <v>0</v>
      </c>
      <c r="JM109" s="203">
        <f t="shared" si="749"/>
        <v>0</v>
      </c>
      <c r="JO109" s="196">
        <f t="shared" si="750"/>
        <v>0</v>
      </c>
      <c r="JP109" s="189">
        <f t="shared" si="751"/>
        <v>0</v>
      </c>
      <c r="JQ109" s="189">
        <f t="shared" si="752"/>
        <v>0</v>
      </c>
      <c r="JR109" s="189">
        <f t="shared" si="753"/>
        <v>0</v>
      </c>
      <c r="JS109" s="189">
        <f t="shared" si="754"/>
        <v>0</v>
      </c>
      <c r="JT109" s="189">
        <f t="shared" si="755"/>
        <v>0</v>
      </c>
      <c r="JU109" s="189">
        <f t="shared" si="756"/>
        <v>0</v>
      </c>
      <c r="JV109" s="189">
        <f t="shared" si="757"/>
        <v>0</v>
      </c>
      <c r="JW109" s="189">
        <f t="shared" si="758"/>
        <v>0</v>
      </c>
      <c r="JX109" s="189">
        <f t="shared" si="759"/>
        <v>0</v>
      </c>
      <c r="JY109" s="189">
        <f t="shared" si="760"/>
        <v>0</v>
      </c>
      <c r="JZ109" s="189">
        <f t="shared" si="761"/>
        <v>0</v>
      </c>
      <c r="KA109" s="189">
        <f t="shared" si="762"/>
        <v>0</v>
      </c>
      <c r="KB109" s="189">
        <f t="shared" si="763"/>
        <v>0</v>
      </c>
      <c r="KD109" s="206">
        <f t="shared" si="764"/>
        <v>0</v>
      </c>
      <c r="KE109" s="206">
        <f t="shared" si="765"/>
        <v>0</v>
      </c>
      <c r="KF109" s="206">
        <f t="shared" si="766"/>
        <v>0</v>
      </c>
      <c r="KG109" s="206">
        <f t="shared" si="767"/>
        <v>0</v>
      </c>
      <c r="KH109" s="206">
        <f t="shared" si="768"/>
        <v>0</v>
      </c>
      <c r="KI109" s="206">
        <f t="shared" si="769"/>
        <v>0</v>
      </c>
      <c r="KJ109" s="206">
        <f t="shared" si="770"/>
        <v>0</v>
      </c>
      <c r="KK109" s="206">
        <f t="shared" si="771"/>
        <v>0</v>
      </c>
      <c r="KL109" s="206">
        <f t="shared" si="772"/>
        <v>0</v>
      </c>
      <c r="KM109" s="206">
        <f t="shared" si="773"/>
        <v>0</v>
      </c>
      <c r="KN109" s="221">
        <f t="shared" si="774"/>
        <v>0</v>
      </c>
      <c r="KO109" s="221">
        <f t="shared" si="775"/>
        <v>0</v>
      </c>
      <c r="KP109" s="221">
        <f t="shared" si="776"/>
        <v>0</v>
      </c>
      <c r="KQ109" s="221">
        <f t="shared" si="777"/>
        <v>0</v>
      </c>
      <c r="KR109" s="221">
        <f t="shared" si="778"/>
        <v>0</v>
      </c>
      <c r="KT109" s="195">
        <f t="shared" si="779"/>
        <v>0</v>
      </c>
      <c r="KU109" s="221"/>
      <c r="KV109" s="221"/>
      <c r="KW109" s="221"/>
      <c r="KX109" s="221"/>
      <c r="KY109" s="221"/>
      <c r="KZ109" s="221"/>
      <c r="LA109" s="221"/>
      <c r="LB109" s="221"/>
      <c r="LC109" s="221"/>
      <c r="LD109" s="221"/>
      <c r="LE109" s="221"/>
      <c r="LF109" s="221"/>
      <c r="LG109" s="221"/>
      <c r="LH109" s="221"/>
      <c r="LI109" s="221"/>
      <c r="LJ109" s="221"/>
      <c r="LK109" s="221"/>
      <c r="LL109" s="221"/>
      <c r="LM109" s="221"/>
      <c r="LN109" s="221"/>
      <c r="LO109" s="221"/>
      <c r="LP109" s="221"/>
      <c r="LQ109" s="221"/>
      <c r="LR109" s="221"/>
      <c r="LS109" s="221"/>
      <c r="LT109" s="221"/>
      <c r="LU109" s="221"/>
      <c r="LV109" s="221"/>
      <c r="LW109" s="221"/>
      <c r="LX109" s="221"/>
      <c r="LY109" s="221"/>
      <c r="LZ109" s="221"/>
      <c r="MA109" s="221"/>
      <c r="MB109" s="221"/>
      <c r="MC109" s="221"/>
      <c r="MD109" s="221"/>
      <c r="ME109" s="221"/>
      <c r="MF109" s="221"/>
      <c r="MG109" s="221"/>
      <c r="MH109" s="221"/>
      <c r="MI109" s="221"/>
      <c r="MJ109" s="221"/>
      <c r="MK109" s="221"/>
      <c r="ML109" s="221"/>
      <c r="MM109" s="221"/>
      <c r="MN109" s="221"/>
      <c r="MO109" s="221"/>
      <c r="MP109" s="221"/>
      <c r="MQ109" s="221"/>
      <c r="MR109" s="221"/>
      <c r="MS109" s="221"/>
      <c r="MT109" s="221"/>
      <c r="MU109" s="221"/>
      <c r="MV109" s="221"/>
      <c r="MW109" s="221"/>
      <c r="MX109" s="221"/>
      <c r="MY109" s="221"/>
      <c r="MZ109" s="221"/>
      <c r="NA109" s="221"/>
      <c r="NB109" s="221"/>
      <c r="NC109" s="221"/>
      <c r="ND109" s="221"/>
      <c r="NE109" s="221"/>
      <c r="NF109" s="221"/>
      <c r="NG109" s="221"/>
      <c r="NH109" s="221"/>
      <c r="NI109" s="221"/>
      <c r="NJ109" s="221"/>
      <c r="NK109" s="221"/>
      <c r="NM109" s="195">
        <f t="shared" si="780"/>
        <v>0</v>
      </c>
      <c r="NN109" s="195">
        <f t="shared" si="781"/>
        <v>0</v>
      </c>
      <c r="NO109" s="195">
        <f t="shared" si="782"/>
        <v>0</v>
      </c>
      <c r="NP109" s="195">
        <f t="shared" si="783"/>
        <v>0</v>
      </c>
      <c r="NQ109" s="195">
        <f t="shared" si="784"/>
        <v>0</v>
      </c>
      <c r="NR109" s="195">
        <f t="shared" si="785"/>
        <v>0</v>
      </c>
      <c r="NS109" s="195">
        <f t="shared" si="786"/>
        <v>0</v>
      </c>
      <c r="NT109" s="195">
        <f t="shared" si="787"/>
        <v>0</v>
      </c>
      <c r="NU109" s="196">
        <f t="shared" si="788"/>
        <v>0</v>
      </c>
      <c r="NY109" s="215">
        <f t="shared" si="420"/>
        <v>1</v>
      </c>
      <c r="NZ109" s="222">
        <f>11875000</f>
        <v>11875000</v>
      </c>
      <c r="OE109" s="207">
        <f t="shared" si="789"/>
        <v>0</v>
      </c>
      <c r="OF109" s="207">
        <f t="shared" si="790"/>
        <v>0</v>
      </c>
      <c r="OG109" s="207">
        <f t="shared" si="791"/>
        <v>0</v>
      </c>
      <c r="OH109" s="207">
        <f t="shared" si="792"/>
        <v>0</v>
      </c>
      <c r="OI109" s="207">
        <f t="shared" si="793"/>
        <v>0</v>
      </c>
      <c r="OJ109" s="199">
        <f t="shared" si="794"/>
        <v>0</v>
      </c>
      <c r="OK109" s="199">
        <f t="shared" si="795"/>
        <v>0</v>
      </c>
      <c r="OL109" s="199">
        <f t="shared" si="796"/>
        <v>0</v>
      </c>
      <c r="OM109" s="199">
        <f t="shared" si="797"/>
        <v>0</v>
      </c>
      <c r="OO109" s="207">
        <f t="shared" si="798"/>
        <v>0</v>
      </c>
      <c r="OP109" s="207">
        <f t="shared" si="799"/>
        <v>0</v>
      </c>
      <c r="OQ109" s="207">
        <f t="shared" si="800"/>
        <v>0</v>
      </c>
      <c r="OR109" s="207">
        <f t="shared" si="801"/>
        <v>0</v>
      </c>
      <c r="OS109" s="207">
        <f t="shared" si="802"/>
        <v>0</v>
      </c>
      <c r="OT109" s="199">
        <f t="shared" si="803"/>
        <v>0</v>
      </c>
      <c r="OU109" s="199">
        <f t="shared" si="804"/>
        <v>0</v>
      </c>
      <c r="OV109" s="199">
        <f t="shared" si="805"/>
        <v>0</v>
      </c>
      <c r="OW109" s="199">
        <f t="shared" si="806"/>
        <v>0</v>
      </c>
      <c r="OZ109" s="208">
        <f t="shared" si="380"/>
        <v>0</v>
      </c>
      <c r="PA109" s="209"/>
      <c r="PB109" s="209"/>
      <c r="PC109" s="209"/>
      <c r="PD109" s="210">
        <f t="shared" si="433"/>
        <v>0</v>
      </c>
      <c r="PE109" s="210"/>
      <c r="PF109" s="210">
        <f t="shared" si="434"/>
        <v>0</v>
      </c>
      <c r="PG109" s="210">
        <f t="shared" si="435"/>
        <v>0</v>
      </c>
      <c r="PH109" s="210">
        <f t="shared" si="381"/>
        <v>0</v>
      </c>
      <c r="PI109" s="210">
        <f t="shared" si="382"/>
        <v>0</v>
      </c>
      <c r="PJ109" s="210">
        <f t="shared" si="383"/>
        <v>0</v>
      </c>
      <c r="PK109" s="210">
        <f t="shared" si="384"/>
        <v>0</v>
      </c>
      <c r="PL109" s="210">
        <f t="shared" si="385"/>
        <v>0</v>
      </c>
      <c r="PM109" s="211"/>
      <c r="PN109" s="211"/>
      <c r="PO109" s="212">
        <f t="shared" si="807"/>
        <v>0</v>
      </c>
      <c r="PP109" s="212">
        <f t="shared" si="808"/>
        <v>0</v>
      </c>
      <c r="PQ109" s="212">
        <f t="shared" si="809"/>
        <v>0</v>
      </c>
      <c r="PR109" s="211"/>
      <c r="PS109" s="211"/>
      <c r="PT109" s="211"/>
      <c r="PU109" s="211"/>
    </row>
    <row r="110" spans="1:437 16384:16384" s="195" customFormat="1" ht="16" x14ac:dyDescent="0.2">
      <c r="A110" s="213">
        <f t="shared" si="810"/>
        <v>100</v>
      </c>
      <c r="B110" s="186" t="s">
        <v>633</v>
      </c>
      <c r="C110" s="186">
        <v>108</v>
      </c>
      <c r="D110" s="188">
        <v>1</v>
      </c>
      <c r="E110" s="188">
        <v>770</v>
      </c>
      <c r="F110" s="188">
        <v>1</v>
      </c>
      <c r="G110" s="188">
        <f t="shared" ref="G110:G124" si="812">E110</f>
        <v>770</v>
      </c>
      <c r="H110" s="214">
        <f t="shared" ref="H110" si="813">F110/$D110</f>
        <v>1</v>
      </c>
      <c r="I110" s="214">
        <v>0</v>
      </c>
      <c r="J110" s="188">
        <v>1</v>
      </c>
      <c r="K110" s="188">
        <f>IF(J110=D110,E110,0)</f>
        <v>770</v>
      </c>
      <c r="L110" s="214">
        <f>J110/$D110</f>
        <v>1</v>
      </c>
      <c r="M110" s="214">
        <f>K110/$E110</f>
        <v>1</v>
      </c>
      <c r="N110" s="188">
        <v>1</v>
      </c>
      <c r="O110" s="188">
        <f>IF(N110=D110,E110,0)</f>
        <v>770</v>
      </c>
      <c r="P110" s="214">
        <f>N110/$D110</f>
        <v>1</v>
      </c>
      <c r="Q110" s="214">
        <f>O110/$E110</f>
        <v>1</v>
      </c>
      <c r="R110" s="188">
        <v>1</v>
      </c>
      <c r="S110" s="188">
        <f>IF(R110=D110,E110,0)</f>
        <v>770</v>
      </c>
      <c r="T110" s="214">
        <f>R110/$D110</f>
        <v>1</v>
      </c>
      <c r="U110" s="214">
        <f>S110/$E110</f>
        <v>1</v>
      </c>
      <c r="V110" s="215">
        <v>1</v>
      </c>
      <c r="W110" s="188">
        <f>IF(V110=D110,E110,0)</f>
        <v>770</v>
      </c>
      <c r="X110" s="214">
        <f>V110/$D110</f>
        <v>1</v>
      </c>
      <c r="Y110" s="214">
        <f>W110/$E110</f>
        <v>1</v>
      </c>
      <c r="Z110" s="216">
        <f>14264731000/1000000000</f>
        <v>14.264730999999999</v>
      </c>
      <c r="AA110" s="188">
        <v>0</v>
      </c>
      <c r="AB110" s="188">
        <v>0</v>
      </c>
      <c r="AC110" s="214">
        <f t="shared" ref="AC110" si="814">AA110/$D110</f>
        <v>0</v>
      </c>
      <c r="AD110" s="214">
        <f t="shared" si="650"/>
        <v>0</v>
      </c>
      <c r="AE110" s="188"/>
      <c r="AF110" s="188">
        <f t="shared" ref="AF110" si="815">R110-V110</f>
        <v>0</v>
      </c>
      <c r="AG110" s="188"/>
      <c r="AH110" s="188"/>
      <c r="AI110" s="188"/>
      <c r="AJ110" s="188"/>
      <c r="AK110" s="188"/>
      <c r="AL110" s="188"/>
      <c r="AM110" s="188"/>
      <c r="AN110" s="217"/>
      <c r="AO110" s="188">
        <f t="shared" ref="AO110" si="816">IF(AI110=1,D110,0)</f>
        <v>0</v>
      </c>
      <c r="AP110" s="188">
        <f t="shared" ref="AP110" si="817">IF(AO110=D110,E110,0)</f>
        <v>0</v>
      </c>
      <c r="AQ110" s="188">
        <f t="shared" ref="AQ110" si="818">IF(AI110=1,J110,0)</f>
        <v>0</v>
      </c>
      <c r="AR110" s="188">
        <f t="shared" ref="AR110" si="819">IF(AQ110=1,K110,0)</f>
        <v>0</v>
      </c>
      <c r="AS110" s="188">
        <f t="shared" ref="AS110" si="820">IF(AI110=1,N110,0)</f>
        <v>0</v>
      </c>
      <c r="AT110" s="188">
        <f t="shared" ref="AT110" si="821">IF(AS110=1,O110,0)</f>
        <v>0</v>
      </c>
      <c r="AU110" s="188">
        <f t="shared" ref="AU110" si="822">IF(AI110=1,R110,0)</f>
        <v>0</v>
      </c>
      <c r="AV110" s="188">
        <f t="shared" ref="AV110" si="823">IF(AU110=1,S110,0)</f>
        <v>0</v>
      </c>
      <c r="AW110" s="188">
        <f t="shared" ref="AW110" si="824">IF(AI110=1,V110,0)</f>
        <v>0</v>
      </c>
      <c r="AX110" s="188">
        <f t="shared" ref="AX110" si="825">IF(AW110=1,W110,0)</f>
        <v>0</v>
      </c>
      <c r="AY110" s="188">
        <f t="shared" ref="AY110" si="826">AU110-AW110</f>
        <v>0</v>
      </c>
      <c r="AZ110" s="188">
        <f t="shared" ref="AZ110" si="827">AV110-AX110</f>
        <v>0</v>
      </c>
      <c r="BA110" s="188">
        <f t="shared" ref="BA110" si="828">IF(AW110=1,Z110,0)</f>
        <v>0</v>
      </c>
      <c r="BB110" s="188">
        <f t="shared" ref="BB110" si="829">IF(AN110=1,E110,0)</f>
        <v>0</v>
      </c>
      <c r="BD110" s="196">
        <f t="shared" ref="BD110" si="830">S110-W110-BE110</f>
        <v>0</v>
      </c>
      <c r="BE110" s="188">
        <f t="shared" ref="BE110" si="831">IF(AF110=1,S110,0)</f>
        <v>0</v>
      </c>
      <c r="BF110" s="188">
        <f t="shared" ref="BF110" si="832">IF(AG110="A",S110,0)</f>
        <v>0</v>
      </c>
      <c r="BG110" s="188">
        <f t="shared" ref="BG110" si="833">IF(AG110="B",S110,0)</f>
        <v>0</v>
      </c>
      <c r="BH110" s="188">
        <f t="shared" ref="BH110" si="834">IF(AG110="C",S110,0)</f>
        <v>0</v>
      </c>
      <c r="BI110" s="188">
        <f t="shared" ref="BI110" si="835">IF(AG110="D",S110,0)</f>
        <v>0</v>
      </c>
      <c r="BJ110" s="188">
        <f t="shared" ref="BJ110" si="836">IF(AG110="E",S110,0)</f>
        <v>0</v>
      </c>
      <c r="BK110" s="188">
        <f t="shared" ref="BK110" si="837">SUM(BF110:BJ110)</f>
        <v>0</v>
      </c>
      <c r="BN110" s="215"/>
      <c r="BO110" s="188"/>
      <c r="BP110" s="188"/>
      <c r="BQ110" s="188"/>
      <c r="BR110" s="188"/>
      <c r="BS110" s="188"/>
      <c r="BT110" s="188"/>
      <c r="BU110" s="188"/>
      <c r="BV110" s="188"/>
      <c r="BW110" s="188"/>
      <c r="BX110" s="188"/>
      <c r="BY110" s="188"/>
      <c r="BZ110" s="188"/>
      <c r="CB110" s="188"/>
      <c r="CD110" s="188">
        <f t="shared" ref="CD110" si="838">BN110</f>
        <v>0</v>
      </c>
      <c r="CE110" s="188">
        <f t="shared" ref="CE110" si="839">IF(BO110=1,$CD110,0)</f>
        <v>0</v>
      </c>
      <c r="CF110" s="188">
        <f t="shared" ref="CF110" si="840">IF(BP110=1,$CD110,0)</f>
        <v>0</v>
      </c>
      <c r="CG110" s="188">
        <f t="shared" ref="CG110" si="841">IF(BQ110=1,$CD110,0)</f>
        <v>0</v>
      </c>
      <c r="CH110" s="188">
        <f t="shared" ref="CH110" si="842">IF(BR110=1,$CD110,0)</f>
        <v>0</v>
      </c>
      <c r="CI110" s="188">
        <f t="shared" ref="CI110" si="843">IF(BS110=1,$CD110,0)</f>
        <v>0</v>
      </c>
      <c r="CJ110" s="188">
        <f t="shared" ref="CJ110" si="844">IF(BT110=1,$CD110,0)</f>
        <v>0</v>
      </c>
      <c r="CK110" s="188">
        <f t="shared" ref="CK110" si="845">IF(BU110=1,$CD110,0)</f>
        <v>0</v>
      </c>
      <c r="CL110" s="188">
        <f t="shared" ref="CL110" si="846">IF(BV110=1,$CD110,0)</f>
        <v>0</v>
      </c>
      <c r="CM110" s="188">
        <f t="shared" ref="CM110" si="847">IF(BW110=1,$CD110,0)</f>
        <v>0</v>
      </c>
      <c r="CN110" s="188">
        <f t="shared" ref="CN110" si="848">IF(BX110=1,$CD110,0)</f>
        <v>0</v>
      </c>
      <c r="CO110" s="188">
        <f t="shared" ref="CO110" si="849">IF(BY110=1,$CD110,0)</f>
        <v>0</v>
      </c>
      <c r="CP110" s="188">
        <f t="shared" ref="CP110" si="850">IF(BZ110=1,$CD110,0)</f>
        <v>0</v>
      </c>
      <c r="DV110" s="188">
        <f t="shared" ref="DV110" si="851">IF(CB110=1,G110,0)</f>
        <v>0</v>
      </c>
      <c r="DW110" s="188">
        <f t="shared" ref="DW110" si="852">IF(CC110="A",G110,0)</f>
        <v>0</v>
      </c>
      <c r="DX110" s="188">
        <f t="shared" ref="DX110" si="853">IF(CC110="B",G110,0)</f>
        <v>0</v>
      </c>
      <c r="DY110" s="188">
        <f t="shared" ref="DY110" si="854">IF(CC110="C",G110,0)</f>
        <v>0</v>
      </c>
      <c r="DZ110" s="188">
        <f t="shared" ref="DZ110" si="855">IF(CC110="D",G110,0)</f>
        <v>0</v>
      </c>
      <c r="EA110" s="188">
        <f t="shared" ref="EA110" si="856">IF(CC110="E",G110,0)</f>
        <v>0</v>
      </c>
      <c r="EB110" s="188">
        <f t="shared" ref="EB110" si="857">SUM(DW110:EA110)</f>
        <v>0</v>
      </c>
      <c r="EG110" s="220">
        <f t="shared" ref="EG110" si="858">IF(AG110="C","C",IF(AG110="D","D",0))</f>
        <v>0</v>
      </c>
      <c r="EH110" s="220">
        <f t="shared" ref="EH110" si="859">CC110</f>
        <v>0</v>
      </c>
      <c r="EI110" s="188"/>
      <c r="EJ110" s="188"/>
      <c r="EK110" s="188"/>
      <c r="EL110" s="188"/>
      <c r="EM110" s="188"/>
      <c r="EN110" s="188"/>
      <c r="EO110" s="188"/>
      <c r="EP110" s="188"/>
      <c r="EQ110" s="188"/>
      <c r="ER110" s="188"/>
      <c r="ES110" s="188"/>
      <c r="ET110" s="188"/>
      <c r="EU110" s="188"/>
      <c r="EV110" s="188"/>
      <c r="EW110" s="188"/>
      <c r="EX110" s="188"/>
      <c r="EY110" s="188"/>
      <c r="EZ110" s="188"/>
      <c r="FA110" s="188"/>
      <c r="FB110" s="188"/>
      <c r="FC110" s="188"/>
      <c r="FD110" s="188"/>
      <c r="FE110" s="188"/>
      <c r="FF110" s="188"/>
      <c r="FH110" s="188"/>
      <c r="FI110" s="188"/>
      <c r="FJ110" s="188"/>
      <c r="FK110" s="188"/>
      <c r="FL110" s="188"/>
      <c r="FM110" s="188"/>
      <c r="FN110" s="188"/>
      <c r="FO110" s="188"/>
      <c r="FP110" s="188"/>
      <c r="FQ110" s="188"/>
      <c r="FR110" s="188"/>
      <c r="FS110" s="188"/>
      <c r="FT110" s="188"/>
      <c r="FU110" s="188"/>
      <c r="FV110" s="188"/>
      <c r="FX110" s="188">
        <f t="shared" ref="FX110" si="860">FL110*FU110/1000000000</f>
        <v>0</v>
      </c>
      <c r="FY110" s="188">
        <f t="shared" ref="FY110" si="861">SUM(FZ110:GE110)</f>
        <v>0</v>
      </c>
      <c r="FZ110" s="188">
        <f t="shared" ref="FZ110" si="862">DI110+CE110</f>
        <v>0</v>
      </c>
      <c r="GA110" s="188">
        <f t="shared" ref="GA110" si="863">DJ110+CF110</f>
        <v>0</v>
      </c>
      <c r="GB110" s="188">
        <f t="shared" ref="GB110" si="864">DK110+CG110</f>
        <v>0</v>
      </c>
      <c r="GC110" s="188">
        <f t="shared" ref="GC110" si="865">DM110+CI110</f>
        <v>0</v>
      </c>
      <c r="GD110" s="234">
        <f t="shared" ref="GD110" si="866">DO110+CK110</f>
        <v>0</v>
      </c>
      <c r="GE110" s="188">
        <f t="shared" ref="GE110" si="867">DT110+CP110</f>
        <v>0</v>
      </c>
      <c r="GF110" s="235"/>
      <c r="GG110" s="188">
        <v>0</v>
      </c>
      <c r="GH110" s="188">
        <v>0</v>
      </c>
      <c r="GI110" s="235"/>
      <c r="GJ110" s="224">
        <f t="shared" ref="GJ110" si="868">FY110*GG110/1000000000</f>
        <v>0</v>
      </c>
      <c r="GK110" s="224">
        <f t="shared" ref="GK110" si="869">FY110*GH110/1000000000</f>
        <v>0</v>
      </c>
      <c r="GO110" s="188"/>
      <c r="GP110" s="188">
        <f t="shared" ref="GP110" si="870">D110-J110</f>
        <v>0</v>
      </c>
      <c r="GQ110" s="188">
        <f t="shared" ref="GQ110" si="871">D110-N110</f>
        <v>0</v>
      </c>
      <c r="GR110" s="188">
        <f t="shared" ref="GR110" si="872">D110-R110</f>
        <v>0</v>
      </c>
      <c r="GS110" s="188">
        <f t="shared" ref="GS110" si="873">D110-V110</f>
        <v>0</v>
      </c>
      <c r="GT110" s="188">
        <f t="shared" ref="GT110" si="874">IF(SUM(GO110:GS110)=0,1,0)</f>
        <v>1</v>
      </c>
      <c r="GU110" s="232">
        <f t="shared" si="388"/>
        <v>43243</v>
      </c>
      <c r="GV110" s="188" t="str">
        <f t="shared" ref="GV110" si="875">IF(GO110&gt;0,$GO$6,IF(GP110&gt;0,$GP$6,IF(GQ110&gt;0,$GQ$6,IF(GR110&gt;0,$GR$6,IF(GS110&gt;0,$GS$6,IF(GT110&gt;0,$GT$6,0))))))</f>
        <v>SELESAI</v>
      </c>
      <c r="GW110" s="188">
        <f t="shared" ref="GW110" si="876">IF(GV110=$GO$6,GO110,IF(GV110=$GP$6,GP110,IF(GV110=$GQ$6,GQ110,IF(GV110=$GR$6,GR110,IF(GV110=$GS$6,GS110,0)))))</f>
        <v>0</v>
      </c>
      <c r="GX110" s="188" t="str">
        <f t="shared" ref="GX110" si="877">GV110</f>
        <v>SELESAI</v>
      </c>
      <c r="GY110" s="188">
        <f t="shared" ref="GY110" si="878">IF(GX110="DNP",SUM($GY$4:$GY$8),IF(GX110="Survey KJPP",SUM($GY$5:$GY$8),IF(GX110="Hasil Valuasi",SUM($GY$6:$GY$8),IF(GX110="Musyawarah",SUM($GY$7:$GY$8),IF(GX110="UGR",$GY$8,0)))))</f>
        <v>0</v>
      </c>
      <c r="GZ110" s="228" t="str">
        <f t="shared" ref="GZ110" si="879">IF(GW110=0,"SELESAI",GU110+GY110)</f>
        <v>SELESAI</v>
      </c>
      <c r="HA110" s="204"/>
      <c r="HB110" s="204"/>
      <c r="HC110" s="188">
        <f t="shared" ref="HC110" si="880">IF(BH110&gt;0,1,IF(BI110&gt;0,1,0))</f>
        <v>0</v>
      </c>
      <c r="HD110" s="188">
        <f t="shared" ref="HD110" si="881">IF(CB110&gt;0,1,0)</f>
        <v>0</v>
      </c>
      <c r="HE110" s="188">
        <f t="shared" ref="HE110" si="882">HC110+HD110</f>
        <v>0</v>
      </c>
      <c r="HF110" s="188">
        <f t="shared" ref="HF110" si="883">FQ110</f>
        <v>0</v>
      </c>
      <c r="HG110" s="188">
        <f t="shared" ref="HG110" si="884">HE110-HF110</f>
        <v>0</v>
      </c>
      <c r="HH110" s="228" t="str">
        <f t="shared" ref="HH110" si="885">IF(HG110=1,GU110+$HH$8,"TIDAK KONSINYASI")</f>
        <v>TIDAK KONSINYASI</v>
      </c>
      <c r="HI110" s="228" t="str">
        <f t="shared" ref="HI110" si="886">IF(GW110=0,"SELESAI",GZ110+$HI$8)</f>
        <v>SELESAI</v>
      </c>
      <c r="HK110" s="228">
        <f t="shared" ref="HK110" si="887">MAX(GZ110,HH110,HI110)</f>
        <v>0</v>
      </c>
      <c r="HL110" s="204"/>
      <c r="HM110" s="204"/>
      <c r="HN110" s="204"/>
      <c r="HO110" s="204"/>
      <c r="HP110" s="203">
        <f t="shared" ref="HP110" si="888">IF(HQ110=1,GZ110,0)</f>
        <v>0</v>
      </c>
      <c r="HQ110" s="202">
        <f t="shared" ref="HQ110" si="889">IF(IX110=0,IF(HT110=0,IF(IP110=0,IF(GV110="UGR",GS110,0),0),0),0)</f>
        <v>0</v>
      </c>
      <c r="HR110" s="202">
        <f t="shared" ref="HR110" si="890">IF(HQ110=1,E110,0)</f>
        <v>0</v>
      </c>
      <c r="HS110" s="203">
        <f t="shared" ref="HS110" si="891">IF(HT110=1,HH110,0)</f>
        <v>0</v>
      </c>
      <c r="HT110" s="202">
        <f t="shared" ref="HT110" si="892">HG110</f>
        <v>0</v>
      </c>
      <c r="HU110" s="202">
        <f t="shared" ref="HU110" si="893">IF(HT110=1,E110,0)</f>
        <v>0</v>
      </c>
      <c r="HV110" s="203">
        <f t="shared" ref="HV110" si="894">IF(HW110=1,GZ110,0)</f>
        <v>0</v>
      </c>
      <c r="HW110" s="202">
        <f t="shared" ref="HW110" si="895">IF(JB110=0,IF(IX110=0,IF(HT110=0,IF(GV110="MUSYAWARAH",GR110,0),0),0),0)</f>
        <v>0</v>
      </c>
      <c r="HX110" s="202">
        <f t="shared" ref="HX110" si="896">IF(HW110=1,E110,0)</f>
        <v>0</v>
      </c>
      <c r="HY110" s="203">
        <f t="shared" ref="HY110" si="897">IF(HZ110=1,HV110+$HI$8,0)</f>
        <v>0</v>
      </c>
      <c r="HZ110" s="202">
        <f t="shared" ref="HZ110" si="898">HW110</f>
        <v>0</v>
      </c>
      <c r="IA110" s="202">
        <f t="shared" ref="IA110" si="899">IF(HZ110=1,E110,0)</f>
        <v>0</v>
      </c>
      <c r="IB110" s="236">
        <f t="shared" ref="IB110" si="900">IF(IC110=1,$GU$3+SUM($GY$6:$GY$8),0)</f>
        <v>0</v>
      </c>
      <c r="IC110" s="188">
        <f t="shared" ref="IC110" si="901">IF(GV110="Hasil Valuasi",GQ110,0)</f>
        <v>0</v>
      </c>
      <c r="ID110" s="188">
        <f t="shared" ref="ID110" si="902">IF(IC110=1,E110,0)</f>
        <v>0</v>
      </c>
      <c r="IE110" s="228">
        <f t="shared" ref="IE110" si="903">IF(IF110=1,IB110+$HI$8,0)</f>
        <v>0</v>
      </c>
      <c r="IF110" s="188">
        <f t="shared" ref="IF110" si="904">IC110</f>
        <v>0</v>
      </c>
      <c r="IG110" s="188">
        <f t="shared" ref="IG110" si="905">IF(IF110=1,E110,0)</f>
        <v>0</v>
      </c>
      <c r="IH110" s="228">
        <f t="shared" ref="IH110" si="906">IF(II110=1,$GU$3+SUM($GY$5:$GY$8),0)</f>
        <v>0</v>
      </c>
      <c r="II110" s="188">
        <f t="shared" ref="II110" si="907">IF(GV110="Survey KJPP",GP110,0)</f>
        <v>0</v>
      </c>
      <c r="IJ110" s="188">
        <f t="shared" ref="IJ110" si="908">IF(II110=1,E110,0)</f>
        <v>0</v>
      </c>
      <c r="IK110" s="228">
        <f t="shared" ref="IK110" si="909">IF(IL110=1,IH110+$HI$8,0)</f>
        <v>0</v>
      </c>
      <c r="IL110" s="188">
        <f t="shared" ref="IL110" si="910">II110</f>
        <v>0</v>
      </c>
      <c r="IM110" s="188">
        <f t="shared" ref="IM110" si="911">IF(IL110=1,E110,0)</f>
        <v>0</v>
      </c>
      <c r="IN110" s="204"/>
      <c r="IO110" s="228">
        <f t="shared" ref="IO110" si="912">IF(IP110=1,+$GU$3+$HH$8,0)</f>
        <v>0</v>
      </c>
      <c r="IP110" s="188">
        <f t="shared" ref="IP110" si="913">IF(BG110&gt;0,1,0)</f>
        <v>0</v>
      </c>
      <c r="IQ110" s="188">
        <f t="shared" ref="IQ110" si="914">IF(IP110=1,E110,0)</f>
        <v>0</v>
      </c>
      <c r="IR110" s="204"/>
      <c r="IS110" s="228"/>
      <c r="IT110" s="188">
        <f t="shared" ref="IT110" si="915">V110</f>
        <v>1</v>
      </c>
      <c r="IU110" s="188">
        <f t="shared" ref="IU110" si="916">W110</f>
        <v>770</v>
      </c>
      <c r="IV110" s="204"/>
      <c r="IW110" s="228"/>
      <c r="IX110" s="188">
        <f t="shared" ref="IX110" si="917">AA110</f>
        <v>0</v>
      </c>
      <c r="IY110" s="188">
        <f t="shared" ref="IY110" si="918">AB110</f>
        <v>0</v>
      </c>
      <c r="IZ110" s="204"/>
      <c r="JA110" s="228"/>
      <c r="JB110" s="188">
        <f t="shared" ref="JB110" si="919">AN110</f>
        <v>0</v>
      </c>
      <c r="JC110" s="188">
        <f t="shared" ref="JC110" si="920">BB110</f>
        <v>0</v>
      </c>
      <c r="JD110" s="204"/>
      <c r="JE110" s="228"/>
      <c r="JF110" s="188">
        <f t="shared" ref="JF110" si="921">IT110+HQ110+HT110+HZ110+IF110+IL110+IP110+IX110+JB110</f>
        <v>1</v>
      </c>
      <c r="JG110" s="188">
        <f t="shared" ref="JG110" si="922">IU110+HR110+HU110+IA110+IG110+IM110+IQ110+IY110+JC110</f>
        <v>770</v>
      </c>
      <c r="JH110" s="204"/>
      <c r="JI110" s="228"/>
      <c r="JJ110" s="188">
        <f t="shared" ref="JJ110" si="923">JF110-D110</f>
        <v>0</v>
      </c>
      <c r="JK110" s="188">
        <f t="shared" ref="JK110" si="924">JG110-E110</f>
        <v>0</v>
      </c>
      <c r="JM110" s="203">
        <f t="shared" ref="JM110" si="925">MAX(IW110,IS110,IO110,IK110,IE110,HY110,HS110,HP110)</f>
        <v>0</v>
      </c>
      <c r="JO110" s="196">
        <f t="shared" ref="JO110" si="926">SUM(JQ110:KB110)</f>
        <v>0</v>
      </c>
      <c r="JP110" s="189">
        <f t="shared" ref="JP110" si="927">BN110+CR110</f>
        <v>0</v>
      </c>
      <c r="JQ110" s="189">
        <f t="shared" ref="JQ110" si="928">IF(BO110+CS110=2,1,IF(BO110+CS110=1,1,0))</f>
        <v>0</v>
      </c>
      <c r="JR110" s="189">
        <f t="shared" ref="JR110" si="929">IF(BP110+CT110=2,1,IF(BP110+CT110=1,1,0))</f>
        <v>0</v>
      </c>
      <c r="JS110" s="189">
        <f t="shared" ref="JS110" si="930">IF(BQ110+CU110=2,1,IF(BQ110+CU110=1,1,0))</f>
        <v>0</v>
      </c>
      <c r="JT110" s="189">
        <f t="shared" ref="JT110" si="931">IF(BR110+CV110=2,1,IF(BR110+CV110=1,1,0))</f>
        <v>0</v>
      </c>
      <c r="JU110" s="189">
        <f t="shared" ref="JU110" si="932">IF(BS110+CW110=2,1,IF(BS110+CW110=1,1,0))</f>
        <v>0</v>
      </c>
      <c r="JV110" s="189">
        <f t="shared" ref="JV110" si="933">IF(BT110+CX110=2,1,IF(BT110+CX110=1,1,0))</f>
        <v>0</v>
      </c>
      <c r="JW110" s="189">
        <f t="shared" ref="JW110" si="934">IF(BU110+CY110=2,1,IF(BU110+CY110=1,1,0))</f>
        <v>0</v>
      </c>
      <c r="JX110" s="189">
        <f t="shared" ref="JX110" si="935">IF(BV110+CZ110=2,1,IF(BV110+CZ110=1,1,0))</f>
        <v>0</v>
      </c>
      <c r="JY110" s="189">
        <f t="shared" ref="JY110" si="936">IF(BW110+DA110=2,1,IF(BW110+DA110=1,1,0))</f>
        <v>0</v>
      </c>
      <c r="JZ110" s="189">
        <f t="shared" ref="JZ110" si="937">IF(BX110+DB110=2,1,IF(BX110+DB110=1,1,0))</f>
        <v>0</v>
      </c>
      <c r="KA110" s="189">
        <f t="shared" ref="KA110" si="938">IF(BY110+DC110=2,1,IF(BY110+DC110=1,1,0))</f>
        <v>0</v>
      </c>
      <c r="KB110" s="189">
        <f t="shared" ref="KB110" si="939">IF(BZ110+DD110=2,1,IF(BZ110+DD110=1,1,0))</f>
        <v>0</v>
      </c>
      <c r="KD110" s="206">
        <f t="shared" ref="KD110" si="940">IF(IF(SUM(GA110:GE110)&gt;100,1,0)+IF(FX110=1,1,0)=2,1,0)</f>
        <v>0</v>
      </c>
      <c r="KE110" s="206">
        <f t="shared" ref="KE110" si="941">IF(KD110=1,KF110,0)</f>
        <v>0</v>
      </c>
      <c r="KF110" s="206">
        <f t="shared" ref="KF110" si="942">CD110+DH110</f>
        <v>0</v>
      </c>
      <c r="KG110" s="206">
        <f t="shared" ref="KG110" si="943">CE110+DI110</f>
        <v>0</v>
      </c>
      <c r="KH110" s="206">
        <f t="shared" ref="KH110" si="944">CF110+DJ110</f>
        <v>0</v>
      </c>
      <c r="KI110" s="206">
        <f t="shared" ref="KI110" si="945">CG110+DK110</f>
        <v>0</v>
      </c>
      <c r="KJ110" s="206">
        <f t="shared" ref="KJ110" si="946">CH110+DL110</f>
        <v>0</v>
      </c>
      <c r="KK110" s="206">
        <f t="shared" ref="KK110" si="947">CI110+DM110</f>
        <v>0</v>
      </c>
      <c r="KL110" s="206">
        <f t="shared" ref="KL110" si="948">CJ110+DN110</f>
        <v>0</v>
      </c>
      <c r="KM110" s="206">
        <f t="shared" ref="KM110" si="949">CK110+DO110</f>
        <v>0</v>
      </c>
      <c r="KN110" s="221">
        <f t="shared" ref="KN110" si="950">CL110+DP110</f>
        <v>0</v>
      </c>
      <c r="KO110" s="221">
        <f t="shared" ref="KO110" si="951">CM110+DQ110</f>
        <v>0</v>
      </c>
      <c r="KP110" s="221">
        <f t="shared" ref="KP110" si="952">CN110+DR110</f>
        <v>0</v>
      </c>
      <c r="KQ110" s="221">
        <f t="shared" ref="KQ110" si="953">CO110+DS110</f>
        <v>0</v>
      </c>
      <c r="KR110" s="221">
        <f t="shared" ref="KR110" si="954">CP110+DT110</f>
        <v>0</v>
      </c>
      <c r="KT110" s="195">
        <f t="shared" ref="KT110" si="955">AN110</f>
        <v>0</v>
      </c>
      <c r="KU110" s="221"/>
      <c r="KV110" s="221"/>
      <c r="KW110" s="221"/>
      <c r="KX110" s="221"/>
      <c r="KY110" s="221"/>
      <c r="KZ110" s="221"/>
      <c r="LA110" s="221"/>
      <c r="LB110" s="221"/>
      <c r="LC110" s="221"/>
      <c r="LD110" s="221"/>
      <c r="LE110" s="221"/>
      <c r="LF110" s="221"/>
      <c r="LG110" s="221"/>
      <c r="LH110" s="221"/>
      <c r="LI110" s="221"/>
      <c r="LJ110" s="221"/>
      <c r="LK110" s="221"/>
      <c r="LL110" s="221"/>
      <c r="LM110" s="221"/>
      <c r="LN110" s="221"/>
      <c r="LO110" s="221"/>
      <c r="LP110" s="221"/>
      <c r="LQ110" s="221"/>
      <c r="LR110" s="221"/>
      <c r="LS110" s="221"/>
      <c r="LT110" s="221"/>
      <c r="LU110" s="221"/>
      <c r="LV110" s="221"/>
      <c r="LW110" s="221"/>
      <c r="LX110" s="221"/>
      <c r="LY110" s="221"/>
      <c r="LZ110" s="221"/>
      <c r="MA110" s="221"/>
      <c r="MB110" s="221"/>
      <c r="MC110" s="221"/>
      <c r="MD110" s="221"/>
      <c r="ME110" s="221"/>
      <c r="MF110" s="221"/>
      <c r="MG110" s="221"/>
      <c r="MH110" s="221"/>
      <c r="MI110" s="221"/>
      <c r="MJ110" s="221"/>
      <c r="MK110" s="221"/>
      <c r="ML110" s="221"/>
      <c r="MM110" s="221"/>
      <c r="MN110" s="221"/>
      <c r="MO110" s="221"/>
      <c r="MP110" s="221"/>
      <c r="MQ110" s="221"/>
      <c r="MR110" s="221"/>
      <c r="MS110" s="221"/>
      <c r="MT110" s="221"/>
      <c r="MU110" s="221"/>
      <c r="MV110" s="221"/>
      <c r="MW110" s="221"/>
      <c r="MX110" s="221"/>
      <c r="MY110" s="221"/>
      <c r="MZ110" s="221"/>
      <c r="NA110" s="221"/>
      <c r="NB110" s="221"/>
      <c r="NC110" s="221"/>
      <c r="ND110" s="221"/>
      <c r="NE110" s="221"/>
      <c r="NF110" s="221"/>
      <c r="NG110" s="221"/>
      <c r="NH110" s="221"/>
      <c r="NI110" s="221"/>
      <c r="NJ110" s="221"/>
      <c r="NK110" s="221"/>
      <c r="NM110" s="195">
        <f t="shared" ref="NM110" si="956">IF(KS110=1,1,0)</f>
        <v>0</v>
      </c>
      <c r="NN110" s="195">
        <f t="shared" ref="NN110" si="957">IF(KS110=2,1,0)</f>
        <v>0</v>
      </c>
      <c r="NO110" s="195">
        <f t="shared" ref="NO110" si="958">IF(KS110=3,1,0)</f>
        <v>0</v>
      </c>
      <c r="NP110" s="195">
        <f t="shared" ref="NP110" si="959">IF(KS110=4,1,0)</f>
        <v>0</v>
      </c>
      <c r="NQ110" s="195">
        <f t="shared" ref="NQ110" si="960">IF(KS110=5,1,0)</f>
        <v>0</v>
      </c>
      <c r="NR110" s="195">
        <f t="shared" ref="NR110" si="961">IF(KS110=6,1,0)</f>
        <v>0</v>
      </c>
      <c r="NS110" s="195">
        <f t="shared" ref="NS110" si="962">IF(KS110=7,1,0)</f>
        <v>0</v>
      </c>
      <c r="NT110" s="195">
        <f t="shared" ref="NT110" si="963">SUM(NM110:NS110)</f>
        <v>0</v>
      </c>
      <c r="NU110" s="196">
        <f t="shared" ref="NU110" si="964">NT110-KT110</f>
        <v>0</v>
      </c>
      <c r="NY110" s="215">
        <f t="shared" si="420"/>
        <v>1</v>
      </c>
      <c r="NZ110" s="222">
        <v>9286000</v>
      </c>
      <c r="OE110" s="207">
        <f t="shared" si="789"/>
        <v>0</v>
      </c>
      <c r="OF110" s="207">
        <f t="shared" si="790"/>
        <v>0</v>
      </c>
      <c r="OG110" s="207">
        <f t="shared" si="791"/>
        <v>0</v>
      </c>
      <c r="OH110" s="207">
        <f t="shared" si="792"/>
        <v>0</v>
      </c>
      <c r="OI110" s="207">
        <f t="shared" si="793"/>
        <v>0</v>
      </c>
      <c r="OJ110" s="199">
        <f t="shared" si="794"/>
        <v>0</v>
      </c>
      <c r="OK110" s="199">
        <f t="shared" si="795"/>
        <v>0</v>
      </c>
      <c r="OL110" s="199">
        <f t="shared" si="796"/>
        <v>0</v>
      </c>
      <c r="OM110" s="199">
        <f t="shared" si="797"/>
        <v>0</v>
      </c>
      <c r="OO110" s="207">
        <f t="shared" si="798"/>
        <v>0</v>
      </c>
      <c r="OP110" s="207">
        <f t="shared" si="799"/>
        <v>0</v>
      </c>
      <c r="OQ110" s="207">
        <f t="shared" si="800"/>
        <v>0</v>
      </c>
      <c r="OR110" s="207">
        <f t="shared" si="801"/>
        <v>0</v>
      </c>
      <c r="OS110" s="207">
        <f t="shared" si="802"/>
        <v>0</v>
      </c>
      <c r="OT110" s="199">
        <f t="shared" si="803"/>
        <v>0</v>
      </c>
      <c r="OU110" s="199">
        <f t="shared" si="804"/>
        <v>0</v>
      </c>
      <c r="OV110" s="199">
        <f t="shared" si="805"/>
        <v>0</v>
      </c>
      <c r="OW110" s="199">
        <f t="shared" si="806"/>
        <v>0</v>
      </c>
      <c r="OZ110" s="208">
        <f t="shared" ref="OZ110" si="965">AN110</f>
        <v>0</v>
      </c>
      <c r="PA110" s="209"/>
      <c r="PB110" s="209"/>
      <c r="PC110" s="209"/>
      <c r="PD110" s="210">
        <f t="shared" si="433"/>
        <v>0</v>
      </c>
      <c r="PE110" s="210"/>
      <c r="PF110" s="210">
        <f t="shared" si="434"/>
        <v>0</v>
      </c>
      <c r="PG110" s="210">
        <f t="shared" si="435"/>
        <v>0</v>
      </c>
      <c r="PH110" s="210">
        <f t="shared" si="381"/>
        <v>0</v>
      </c>
      <c r="PI110" s="210">
        <f t="shared" si="382"/>
        <v>0</v>
      </c>
      <c r="PJ110" s="210">
        <f t="shared" si="383"/>
        <v>0</v>
      </c>
      <c r="PK110" s="210">
        <f t="shared" si="384"/>
        <v>0</v>
      </c>
      <c r="PL110" s="210">
        <f t="shared" si="385"/>
        <v>0</v>
      </c>
      <c r="PM110" s="211"/>
      <c r="PN110" s="211"/>
      <c r="PO110" s="212">
        <f t="shared" ref="PO110" si="966">IF(FC110=1,AB110,0)</f>
        <v>0</v>
      </c>
      <c r="PP110" s="212">
        <f t="shared" ref="PP110" si="967">IF(FF110=1,AB110,0)</f>
        <v>0</v>
      </c>
      <c r="PQ110" s="212">
        <f t="shared" ref="PQ110" si="968">AB110-(PO110+PP110)</f>
        <v>0</v>
      </c>
      <c r="PR110" s="211"/>
      <c r="PS110" s="211"/>
      <c r="PT110" s="211"/>
      <c r="PU110" s="211"/>
      <c r="XFD110" s="195">
        <v>14264731000</v>
      </c>
    </row>
    <row r="111" spans="1:437 16384:16384" s="195" customFormat="1" ht="16" x14ac:dyDescent="0.2">
      <c r="A111" s="213">
        <f t="shared" si="810"/>
        <v>101</v>
      </c>
      <c r="B111" s="237" t="s">
        <v>641</v>
      </c>
      <c r="C111" s="186">
        <v>1</v>
      </c>
      <c r="D111" s="188">
        <v>1</v>
      </c>
      <c r="E111" s="188">
        <v>4739</v>
      </c>
      <c r="F111" s="188">
        <v>1</v>
      </c>
      <c r="G111" s="188">
        <f t="shared" si="812"/>
        <v>4739</v>
      </c>
      <c r="H111" s="214">
        <f t="shared" ref="H111:H125" si="969">F111/$D111</f>
        <v>1</v>
      </c>
      <c r="I111" s="214">
        <v>0</v>
      </c>
      <c r="J111" s="188">
        <v>1</v>
      </c>
      <c r="K111" s="188">
        <f t="shared" ref="K111:K123" si="970">IF(J111=D111,E111,0)</f>
        <v>4739</v>
      </c>
      <c r="L111" s="214">
        <f t="shared" ref="L111:L123" si="971">J111/$D111</f>
        <v>1</v>
      </c>
      <c r="M111" s="214">
        <v>0</v>
      </c>
      <c r="N111" s="188">
        <v>1</v>
      </c>
      <c r="O111" s="188">
        <f t="shared" ref="O111:O123" si="972">IF(N111=D111,E111,0)</f>
        <v>4739</v>
      </c>
      <c r="P111" s="214">
        <f t="shared" ref="P111:P123" si="973">N111/$D111</f>
        <v>1</v>
      </c>
      <c r="Q111" s="214">
        <f t="shared" ref="Q111:Q123" si="974">O111/$E111</f>
        <v>1</v>
      </c>
      <c r="R111" s="188"/>
      <c r="S111" s="188">
        <f t="shared" ref="S111:S123" si="975">IF(R111=D111,E111,0)</f>
        <v>0</v>
      </c>
      <c r="T111" s="214">
        <f t="shared" ref="T111:T123" si="976">R111/$D111</f>
        <v>0</v>
      </c>
      <c r="U111" s="214">
        <f t="shared" ref="U111:U123" si="977">S111/$E111</f>
        <v>0</v>
      </c>
      <c r="V111" s="215"/>
      <c r="W111" s="188">
        <f t="shared" ref="W111:W123" si="978">IF(V111=D111,E111,0)</f>
        <v>0</v>
      </c>
      <c r="X111" s="214">
        <f t="shared" ref="X111:X123" si="979">V111/$D111</f>
        <v>0</v>
      </c>
      <c r="Y111" s="214">
        <f t="shared" ref="Y111:Y123" si="980">W111/$E111</f>
        <v>0</v>
      </c>
      <c r="Z111" s="216"/>
      <c r="AA111" s="188">
        <v>0</v>
      </c>
      <c r="AB111" s="188">
        <v>0</v>
      </c>
      <c r="AC111" s="214">
        <f t="shared" ref="AC111:AC125" si="981">AA111/$D111</f>
        <v>0</v>
      </c>
      <c r="AD111" s="214">
        <f t="shared" si="650"/>
        <v>0</v>
      </c>
      <c r="AE111" s="188"/>
      <c r="AF111" s="188">
        <f t="shared" ref="AF111:AF125" si="982">R111-V111</f>
        <v>0</v>
      </c>
      <c r="AG111" s="188"/>
      <c r="AH111" s="188"/>
      <c r="AI111" s="188"/>
      <c r="AJ111" s="188"/>
      <c r="AK111" s="188"/>
      <c r="AL111" s="188"/>
      <c r="AM111" s="188"/>
      <c r="AN111" s="217">
        <v>1</v>
      </c>
      <c r="AO111" s="188">
        <f t="shared" ref="AO111:AO125" si="983">IF(AI111=1,D111,0)</f>
        <v>0</v>
      </c>
      <c r="AP111" s="188">
        <f t="shared" ref="AP111:AP125" si="984">IF(AO111=D111,E111,0)</f>
        <v>0</v>
      </c>
      <c r="AQ111" s="188">
        <f t="shared" ref="AQ111:AQ125" si="985">IF(AI111=1,J111,0)</f>
        <v>0</v>
      </c>
      <c r="AR111" s="188">
        <f t="shared" ref="AR111:AR125" si="986">IF(AQ111=1,K111,0)</f>
        <v>0</v>
      </c>
      <c r="AS111" s="188">
        <f t="shared" ref="AS111:AS125" si="987">IF(AI111=1,N111,0)</f>
        <v>0</v>
      </c>
      <c r="AT111" s="188">
        <f t="shared" ref="AT111:AT125" si="988">IF(AS111=1,O111,0)</f>
        <v>0</v>
      </c>
      <c r="AU111" s="188">
        <f t="shared" ref="AU111:AU125" si="989">IF(AI111=1,R111,0)</f>
        <v>0</v>
      </c>
      <c r="AV111" s="188">
        <f t="shared" ref="AV111:AV125" si="990">IF(AU111=1,S111,0)</f>
        <v>0</v>
      </c>
      <c r="AW111" s="188">
        <f t="shared" ref="AW111:AW125" si="991">IF(AI111=1,V111,0)</f>
        <v>0</v>
      </c>
      <c r="AX111" s="188">
        <f t="shared" ref="AX111:AX125" si="992">IF(AW111=1,W111,0)</f>
        <v>0</v>
      </c>
      <c r="AY111" s="188">
        <f t="shared" ref="AY111:AY125" si="993">AU111-AW111</f>
        <v>0</v>
      </c>
      <c r="AZ111" s="188">
        <f t="shared" ref="AZ111:AZ125" si="994">AV111-AX111</f>
        <v>0</v>
      </c>
      <c r="BA111" s="188">
        <f t="shared" ref="BA111:BA125" si="995">IF(AW111=1,Z111,0)</f>
        <v>0</v>
      </c>
      <c r="BB111" s="188">
        <f t="shared" si="611"/>
        <v>4739</v>
      </c>
      <c r="BD111" s="196">
        <f t="shared" ref="BD111:BD125" si="996">S111-W111-BE111</f>
        <v>0</v>
      </c>
      <c r="BE111" s="188">
        <f t="shared" ref="BE111:BE125" si="997">IF(AF111=1,S111,0)</f>
        <v>0</v>
      </c>
      <c r="BF111" s="188">
        <f t="shared" ref="BF111:BF125" si="998">IF(AG111="A",S111,0)</f>
        <v>0</v>
      </c>
      <c r="BG111" s="188">
        <f t="shared" ref="BG111:BG125" si="999">IF(AG111="B",S111,0)</f>
        <v>0</v>
      </c>
      <c r="BH111" s="188">
        <f t="shared" ref="BH111:BH125" si="1000">IF(AG111="C",S111,0)</f>
        <v>0</v>
      </c>
      <c r="BI111" s="188">
        <f t="shared" ref="BI111:BI125" si="1001">IF(AG111="D",S111,0)</f>
        <v>0</v>
      </c>
      <c r="BJ111" s="188">
        <f t="shared" ref="BJ111:BJ125" si="1002">IF(AG111="E",S111,0)</f>
        <v>0</v>
      </c>
      <c r="BK111" s="188">
        <f t="shared" ref="BK111:BK125" si="1003">SUM(BF111:BJ111)</f>
        <v>0</v>
      </c>
      <c r="BN111" s="215"/>
      <c r="BO111" s="188"/>
      <c r="BP111" s="188"/>
      <c r="BQ111" s="188"/>
      <c r="BR111" s="188"/>
      <c r="BS111" s="188"/>
      <c r="BT111" s="188"/>
      <c r="BU111" s="188"/>
      <c r="BV111" s="188"/>
      <c r="BW111" s="188"/>
      <c r="BX111" s="188"/>
      <c r="BY111" s="188"/>
      <c r="BZ111" s="188"/>
      <c r="CB111" s="188"/>
      <c r="CD111" s="188">
        <f t="shared" ref="CD111:CD125" si="1004">BN111</f>
        <v>0</v>
      </c>
      <c r="CE111" s="188">
        <f t="shared" ref="CE111:CE125" si="1005">IF(BO111=1,$CD111,0)</f>
        <v>0</v>
      </c>
      <c r="CF111" s="188">
        <f t="shared" ref="CF111:CF125" si="1006">IF(BP111=1,$CD111,0)</f>
        <v>0</v>
      </c>
      <c r="CG111" s="188">
        <f t="shared" ref="CG111:CG125" si="1007">IF(BQ111=1,$CD111,0)</f>
        <v>0</v>
      </c>
      <c r="CH111" s="188">
        <f t="shared" ref="CH111:CH125" si="1008">IF(BR111=1,$CD111,0)</f>
        <v>0</v>
      </c>
      <c r="CI111" s="188">
        <f t="shared" ref="CI111:CI125" si="1009">IF(BS111=1,$CD111,0)</f>
        <v>0</v>
      </c>
      <c r="CJ111" s="188">
        <f t="shared" ref="CJ111:CJ125" si="1010">IF(BT111=1,$CD111,0)</f>
        <v>0</v>
      </c>
      <c r="CK111" s="188">
        <f t="shared" ref="CK111:CK125" si="1011">IF(BU111=1,$CD111,0)</f>
        <v>0</v>
      </c>
      <c r="CL111" s="188">
        <f t="shared" ref="CL111:CL125" si="1012">IF(BV111=1,$CD111,0)</f>
        <v>0</v>
      </c>
      <c r="CM111" s="188">
        <f t="shared" ref="CM111:CM125" si="1013">IF(BW111=1,$CD111,0)</f>
        <v>0</v>
      </c>
      <c r="CN111" s="188">
        <f t="shared" ref="CN111:CN125" si="1014">IF(BX111=1,$CD111,0)</f>
        <v>0</v>
      </c>
      <c r="CO111" s="188">
        <f t="shared" ref="CO111:CO125" si="1015">IF(BY111=1,$CD111,0)</f>
        <v>0</v>
      </c>
      <c r="CP111" s="188">
        <f t="shared" ref="CP111:CP125" si="1016">IF(BZ111=1,$CD111,0)</f>
        <v>0</v>
      </c>
      <c r="DV111" s="188">
        <f t="shared" ref="DV111:DV125" si="1017">IF(CB111=1,G111,0)</f>
        <v>0</v>
      </c>
      <c r="DW111" s="188">
        <f t="shared" ref="DW111:DW125" si="1018">IF(CC111="A",G111,0)</f>
        <v>0</v>
      </c>
      <c r="DX111" s="188">
        <f t="shared" ref="DX111:DX125" si="1019">IF(CC111="B",G111,0)</f>
        <v>0</v>
      </c>
      <c r="DY111" s="188">
        <f t="shared" ref="DY111:DY125" si="1020">IF(CC111="C",G111,0)</f>
        <v>0</v>
      </c>
      <c r="DZ111" s="188">
        <f t="shared" ref="DZ111:DZ125" si="1021">IF(CC111="D",G111,0)</f>
        <v>0</v>
      </c>
      <c r="EA111" s="188">
        <f t="shared" ref="EA111:EA125" si="1022">IF(CC111="E",G111,0)</f>
        <v>0</v>
      </c>
      <c r="EB111" s="188">
        <f t="shared" ref="EB111:EB125" si="1023">SUM(DW111:EA111)</f>
        <v>0</v>
      </c>
      <c r="EG111" s="220">
        <f t="shared" ref="EG111:EG125" si="1024">IF(AG111="C","C",IF(AG111="D","D",0))</f>
        <v>0</v>
      </c>
      <c r="EH111" s="220">
        <f t="shared" ref="EH111:EH125" si="1025">CC111</f>
        <v>0</v>
      </c>
      <c r="EI111" s="188"/>
      <c r="EJ111" s="188"/>
      <c r="EK111" s="188"/>
      <c r="EL111" s="188"/>
      <c r="EM111" s="188"/>
      <c r="EN111" s="188"/>
      <c r="EO111" s="188"/>
      <c r="EP111" s="188"/>
      <c r="EQ111" s="188"/>
      <c r="ER111" s="188"/>
      <c r="ES111" s="188"/>
      <c r="ET111" s="188"/>
      <c r="EU111" s="188"/>
      <c r="EV111" s="188"/>
      <c r="EW111" s="188"/>
      <c r="EX111" s="188"/>
      <c r="EY111" s="188"/>
      <c r="EZ111" s="188"/>
      <c r="FA111" s="188"/>
      <c r="FB111" s="188"/>
      <c r="FC111" s="188"/>
      <c r="FD111" s="188"/>
      <c r="FE111" s="188"/>
      <c r="FF111" s="188"/>
      <c r="FH111" s="188"/>
      <c r="FI111" s="188"/>
      <c r="FJ111" s="188"/>
      <c r="FK111" s="188"/>
      <c r="FL111" s="188"/>
      <c r="FM111" s="188"/>
      <c r="FN111" s="188"/>
      <c r="FO111" s="188"/>
      <c r="FP111" s="188"/>
      <c r="FQ111" s="188"/>
      <c r="FR111" s="188"/>
      <c r="FS111" s="188"/>
      <c r="FT111" s="188"/>
      <c r="FU111" s="188"/>
      <c r="FV111" s="188"/>
      <c r="FX111" s="188">
        <f t="shared" ref="FX111:FX123" si="1026">FL111*FU111/1000000000</f>
        <v>0</v>
      </c>
      <c r="FY111" s="188">
        <f t="shared" ref="FY111:FY125" si="1027">SUM(FZ111:GE111)</f>
        <v>0</v>
      </c>
      <c r="FZ111" s="188">
        <f t="shared" si="439"/>
        <v>0</v>
      </c>
      <c r="GA111" s="188">
        <f t="shared" si="440"/>
        <v>0</v>
      </c>
      <c r="GB111" s="188">
        <f t="shared" si="441"/>
        <v>0</v>
      </c>
      <c r="GC111" s="188">
        <f t="shared" si="442"/>
        <v>0</v>
      </c>
      <c r="GD111" s="234">
        <f t="shared" si="443"/>
        <v>0</v>
      </c>
      <c r="GE111" s="188">
        <f t="shared" si="444"/>
        <v>0</v>
      </c>
      <c r="GF111" s="235"/>
      <c r="GG111" s="188">
        <v>0</v>
      </c>
      <c r="GH111" s="188">
        <v>0</v>
      </c>
      <c r="GI111" s="235"/>
      <c r="GJ111" s="224">
        <f t="shared" ref="GJ111:GJ125" si="1028">FY111*GG111/1000000000</f>
        <v>0</v>
      </c>
      <c r="GK111" s="224">
        <f t="shared" ref="GK111:GK125" si="1029">FY111*GH111/1000000000</f>
        <v>0</v>
      </c>
      <c r="GO111" s="188"/>
      <c r="GP111" s="188">
        <f t="shared" si="446"/>
        <v>0</v>
      </c>
      <c r="GQ111" s="188">
        <f t="shared" si="447"/>
        <v>0</v>
      </c>
      <c r="GR111" s="188">
        <f t="shared" si="448"/>
        <v>1</v>
      </c>
      <c r="GS111" s="188">
        <f t="shared" si="449"/>
        <v>1</v>
      </c>
      <c r="GT111" s="188">
        <f t="shared" ref="GT111:GT125" si="1030">IF(SUM(GO111:GS111)=0,1,0)</f>
        <v>0</v>
      </c>
      <c r="GU111" s="232">
        <f t="shared" si="388"/>
        <v>43243</v>
      </c>
      <c r="GV111" s="188" t="str">
        <f t="shared" ref="GV111:GV125" si="1031">IF(GO111&gt;0,$GO$6,IF(GP111&gt;0,$GP$6,IF(GQ111&gt;0,$GQ$6,IF(GR111&gt;0,$GR$6,IF(GS111&gt;0,$GS$6,IF(GT111&gt;0,$GT$6,0))))))</f>
        <v>Musyawarah</v>
      </c>
      <c r="GW111" s="188">
        <f t="shared" ref="GW111:GW125" si="1032">IF(GV111=$GO$6,GO111,IF(GV111=$GP$6,GP111,IF(GV111=$GQ$6,GQ111,IF(GV111=$GR$6,GR111,IF(GV111=$GS$6,GS111,0)))))</f>
        <v>1</v>
      </c>
      <c r="GX111" s="188" t="str">
        <f t="shared" ref="GX111:GX125" si="1033">GV111</f>
        <v>Musyawarah</v>
      </c>
      <c r="GY111" s="188">
        <f t="shared" ref="GY111:GY125" si="1034">IF(GX111="DNP",SUM($GY$4:$GY$8),IF(GX111="Survey KJPP",SUM($GY$5:$GY$8),IF(GX111="Hasil Valuasi",SUM($GY$6:$GY$8),IF(GX111="Musyawarah",SUM($GY$7:$GY$8),IF(GX111="UGR",$GY$8,0)))))</f>
        <v>24</v>
      </c>
      <c r="GZ111" s="228">
        <f t="shared" ref="GZ111:GZ125" si="1035">IF(GW111=0,"SELESAI",GU111+GY111)</f>
        <v>43267</v>
      </c>
      <c r="HA111" s="204"/>
      <c r="HB111" s="204"/>
      <c r="HC111" s="188">
        <f t="shared" si="450"/>
        <v>0</v>
      </c>
      <c r="HD111" s="188">
        <f t="shared" si="451"/>
        <v>0</v>
      </c>
      <c r="HE111" s="188">
        <f t="shared" ref="HE111:HE125" si="1036">HC111+HD111</f>
        <v>0</v>
      </c>
      <c r="HF111" s="188">
        <f t="shared" ref="HF111:HF125" si="1037">FQ111</f>
        <v>0</v>
      </c>
      <c r="HG111" s="188">
        <f t="shared" ref="HG111:HG125" si="1038">HE111-HF111</f>
        <v>0</v>
      </c>
      <c r="HH111" s="228" t="str">
        <f t="shared" ref="HH111:HH125" si="1039">IF(HG111=1,GU111+$HH$8,"TIDAK KONSINYASI")</f>
        <v>TIDAK KONSINYASI</v>
      </c>
      <c r="HI111" s="228">
        <f t="shared" ref="HI111:HI125" si="1040">IF(GW111=0,"SELESAI",GZ111+$HI$8)</f>
        <v>43312</v>
      </c>
      <c r="HK111" s="228">
        <f t="shared" ref="HK111:HK125" si="1041">MAX(GZ111,HH111,HI111)</f>
        <v>43312</v>
      </c>
      <c r="HL111" s="204"/>
      <c r="HM111" s="204"/>
      <c r="HN111" s="204"/>
      <c r="HO111" s="204"/>
      <c r="HP111" s="203">
        <f t="shared" ref="HP111:HP125" si="1042">IF(HQ111=1,GZ111,0)</f>
        <v>0</v>
      </c>
      <c r="HQ111" s="202">
        <f t="shared" ref="HQ111:HQ125" si="1043">IF(IX111=0,IF(HT111=0,IF(IP111=0,IF(GV111="UGR",GS111,0),0),0),0)</f>
        <v>0</v>
      </c>
      <c r="HR111" s="202">
        <f t="shared" si="639"/>
        <v>0</v>
      </c>
      <c r="HS111" s="203">
        <f t="shared" ref="HS111:HS125" si="1044">IF(HT111=1,HH111,0)</f>
        <v>0</v>
      </c>
      <c r="HT111" s="202">
        <f t="shared" ref="HT111:HT125" si="1045">HG111</f>
        <v>0</v>
      </c>
      <c r="HU111" s="202">
        <f t="shared" si="640"/>
        <v>0</v>
      </c>
      <c r="HV111" s="203">
        <f t="shared" ref="HV111:HV125" si="1046">IF(HW111=1,GZ111,0)</f>
        <v>0</v>
      </c>
      <c r="HW111" s="202">
        <f t="shared" ref="HW111:HW125" si="1047">IF(JB111=0,IF(IX111=0,IF(HT111=0,IF(GV111="MUSYAWARAH",GR111,0),0),0),0)</f>
        <v>0</v>
      </c>
      <c r="HX111" s="202">
        <f t="shared" si="641"/>
        <v>0</v>
      </c>
      <c r="HY111" s="203">
        <f t="shared" ref="HY111:HY125" si="1048">IF(HZ111=1,HV111+$HI$8,0)</f>
        <v>0</v>
      </c>
      <c r="HZ111" s="202">
        <f t="shared" ref="HZ111:HZ125" si="1049">HW111</f>
        <v>0</v>
      </c>
      <c r="IA111" s="202">
        <f t="shared" si="642"/>
        <v>0</v>
      </c>
      <c r="IB111" s="236">
        <f t="shared" ref="IB111:IB125" si="1050">IF(IC111=1,$GU$3+SUM($GY$6:$GY$8),0)</f>
        <v>0</v>
      </c>
      <c r="IC111" s="188">
        <f t="shared" ref="IC111:IC125" si="1051">IF(GV111="Hasil Valuasi",GQ111,0)</f>
        <v>0</v>
      </c>
      <c r="ID111" s="188">
        <f t="shared" si="643"/>
        <v>0</v>
      </c>
      <c r="IE111" s="228">
        <f t="shared" ref="IE111:IE125" si="1052">IF(IF111=1,IB111+$HI$8,0)</f>
        <v>0</v>
      </c>
      <c r="IF111" s="188">
        <f t="shared" ref="IF111:IF125" si="1053">IC111</f>
        <v>0</v>
      </c>
      <c r="IG111" s="188">
        <f t="shared" si="644"/>
        <v>0</v>
      </c>
      <c r="IH111" s="228">
        <f t="shared" ref="IH111:IH125" si="1054">IF(II111=1,$GU$3+SUM($GY$5:$GY$8),0)</f>
        <v>0</v>
      </c>
      <c r="II111" s="188">
        <f t="shared" ref="II111:II125" si="1055">IF(GV111="Survey KJPP",GP111,0)</f>
        <v>0</v>
      </c>
      <c r="IJ111" s="188">
        <f t="shared" si="645"/>
        <v>0</v>
      </c>
      <c r="IK111" s="228">
        <f t="shared" ref="IK111:IK125" si="1056">IF(IL111=1,IH111+$HI$8,0)</f>
        <v>0</v>
      </c>
      <c r="IL111" s="188">
        <f t="shared" ref="IL111:IL125" si="1057">II111</f>
        <v>0</v>
      </c>
      <c r="IM111" s="188">
        <f t="shared" si="646"/>
        <v>0</v>
      </c>
      <c r="IN111" s="204"/>
      <c r="IO111" s="228">
        <f t="shared" ref="IO111:IO125" si="1058">IF(IP111=1,+$GU$3+$HH$8,0)</f>
        <v>0</v>
      </c>
      <c r="IP111" s="188">
        <f t="shared" si="460"/>
        <v>0</v>
      </c>
      <c r="IQ111" s="188">
        <f t="shared" si="647"/>
        <v>0</v>
      </c>
      <c r="IR111" s="204"/>
      <c r="IS111" s="228"/>
      <c r="IT111" s="188">
        <f t="shared" si="462"/>
        <v>0</v>
      </c>
      <c r="IU111" s="188">
        <f t="shared" si="463"/>
        <v>0</v>
      </c>
      <c r="IV111" s="204"/>
      <c r="IW111" s="228"/>
      <c r="IX111" s="188">
        <f t="shared" si="464"/>
        <v>0</v>
      </c>
      <c r="IY111" s="188">
        <f t="shared" si="465"/>
        <v>0</v>
      </c>
      <c r="IZ111" s="204"/>
      <c r="JA111" s="228"/>
      <c r="JB111" s="188">
        <f t="shared" si="466"/>
        <v>1</v>
      </c>
      <c r="JC111" s="188">
        <f t="shared" si="467"/>
        <v>4739</v>
      </c>
      <c r="JD111" s="204"/>
      <c r="JE111" s="228"/>
      <c r="JF111" s="188">
        <f t="shared" ref="JF111:JF125" si="1059">IT111+HQ111+HT111+HZ111+IF111+IL111+IP111+IX111+JB111</f>
        <v>1</v>
      </c>
      <c r="JG111" s="188">
        <f t="shared" ref="JG111:JG125" si="1060">IU111+HR111+HU111+IA111+IG111+IM111+IQ111+IY111+JC111</f>
        <v>4739</v>
      </c>
      <c r="JH111" s="204"/>
      <c r="JI111" s="228"/>
      <c r="JJ111" s="188">
        <f t="shared" si="468"/>
        <v>0</v>
      </c>
      <c r="JK111" s="188">
        <f t="shared" si="469"/>
        <v>0</v>
      </c>
      <c r="JM111" s="203">
        <f t="shared" ref="JM111:JM125" si="1061">MAX(IW111,IS111,IO111,IK111,IE111,HY111,HS111,HP111)</f>
        <v>0</v>
      </c>
      <c r="JO111" s="196">
        <f t="shared" ref="JO111:JO125" si="1062">SUM(JQ111:KB111)</f>
        <v>0</v>
      </c>
      <c r="JP111" s="189">
        <f t="shared" si="470"/>
        <v>0</v>
      </c>
      <c r="JQ111" s="189">
        <f t="shared" si="471"/>
        <v>0</v>
      </c>
      <c r="JR111" s="189">
        <f t="shared" si="472"/>
        <v>0</v>
      </c>
      <c r="JS111" s="189">
        <f t="shared" si="473"/>
        <v>0</v>
      </c>
      <c r="JT111" s="189">
        <f t="shared" si="474"/>
        <v>0</v>
      </c>
      <c r="JU111" s="189">
        <f t="shared" si="475"/>
        <v>0</v>
      </c>
      <c r="JV111" s="189">
        <f t="shared" si="476"/>
        <v>0</v>
      </c>
      <c r="JW111" s="189">
        <f t="shared" si="477"/>
        <v>0</v>
      </c>
      <c r="JX111" s="189">
        <f t="shared" si="478"/>
        <v>0</v>
      </c>
      <c r="JY111" s="189">
        <f t="shared" si="479"/>
        <v>0</v>
      </c>
      <c r="JZ111" s="189">
        <f t="shared" si="480"/>
        <v>0</v>
      </c>
      <c r="KA111" s="189">
        <f t="shared" si="481"/>
        <v>0</v>
      </c>
      <c r="KB111" s="189">
        <f t="shared" si="482"/>
        <v>0</v>
      </c>
      <c r="KD111" s="206">
        <f t="shared" si="410"/>
        <v>0</v>
      </c>
      <c r="KE111" s="206">
        <f t="shared" si="373"/>
        <v>0</v>
      </c>
      <c r="KF111" s="206">
        <f t="shared" si="483"/>
        <v>0</v>
      </c>
      <c r="KG111" s="206">
        <f t="shared" si="484"/>
        <v>0</v>
      </c>
      <c r="KH111" s="206">
        <f t="shared" si="485"/>
        <v>0</v>
      </c>
      <c r="KI111" s="206">
        <f t="shared" si="486"/>
        <v>0</v>
      </c>
      <c r="KJ111" s="206">
        <f t="shared" si="487"/>
        <v>0</v>
      </c>
      <c r="KK111" s="206">
        <f t="shared" si="488"/>
        <v>0</v>
      </c>
      <c r="KL111" s="206">
        <f t="shared" si="489"/>
        <v>0</v>
      </c>
      <c r="KM111" s="206">
        <f t="shared" si="490"/>
        <v>0</v>
      </c>
      <c r="KN111" s="221">
        <f t="shared" si="491"/>
        <v>0</v>
      </c>
      <c r="KO111" s="221">
        <f t="shared" si="492"/>
        <v>0</v>
      </c>
      <c r="KP111" s="221">
        <f t="shared" si="493"/>
        <v>0</v>
      </c>
      <c r="KQ111" s="221">
        <f t="shared" si="494"/>
        <v>0</v>
      </c>
      <c r="KR111" s="221">
        <f t="shared" si="495"/>
        <v>0</v>
      </c>
      <c r="KS111" s="195">
        <v>2</v>
      </c>
      <c r="KT111" s="195">
        <f t="shared" si="496"/>
        <v>1</v>
      </c>
      <c r="KU111" s="221"/>
      <c r="KV111" s="221"/>
      <c r="KW111" s="221"/>
      <c r="KX111" s="221"/>
      <c r="KY111" s="221"/>
      <c r="KZ111" s="221"/>
      <c r="LA111" s="221"/>
      <c r="LB111" s="221"/>
      <c r="LC111" s="221"/>
      <c r="LD111" s="221"/>
      <c r="LE111" s="221"/>
      <c r="LF111" s="221"/>
      <c r="LG111" s="221"/>
      <c r="LH111" s="221"/>
      <c r="LI111" s="221"/>
      <c r="LJ111" s="221"/>
      <c r="LK111" s="221"/>
      <c r="LL111" s="221"/>
      <c r="LM111" s="221">
        <v>1</v>
      </c>
      <c r="LN111" s="221">
        <v>1</v>
      </c>
      <c r="LO111" s="221"/>
      <c r="LP111" s="221"/>
      <c r="LQ111" s="221"/>
      <c r="LR111" s="221"/>
      <c r="LS111" s="221"/>
      <c r="LT111" s="221"/>
      <c r="LU111" s="221"/>
      <c r="LV111" s="221"/>
      <c r="LW111" s="221"/>
      <c r="LX111" s="221"/>
      <c r="LY111" s="221"/>
      <c r="LZ111" s="221"/>
      <c r="MA111" s="221"/>
      <c r="MB111" s="221"/>
      <c r="MC111" s="221"/>
      <c r="MD111" s="221"/>
      <c r="ME111" s="221"/>
      <c r="MF111" s="221"/>
      <c r="MG111" s="221"/>
      <c r="MH111" s="221"/>
      <c r="MI111" s="221"/>
      <c r="MJ111" s="221"/>
      <c r="MK111" s="221"/>
      <c r="ML111" s="221"/>
      <c r="MM111" s="221"/>
      <c r="MN111" s="221"/>
      <c r="MO111" s="221"/>
      <c r="MP111" s="221"/>
      <c r="MQ111" s="221"/>
      <c r="MR111" s="221"/>
      <c r="MS111" s="221"/>
      <c r="MT111" s="221"/>
      <c r="MU111" s="221"/>
      <c r="MV111" s="221"/>
      <c r="MW111" s="221"/>
      <c r="MX111" s="221"/>
      <c r="MY111" s="221"/>
      <c r="MZ111" s="221"/>
      <c r="NA111" s="221"/>
      <c r="NB111" s="221"/>
      <c r="NC111" s="221"/>
      <c r="ND111" s="221"/>
      <c r="NE111" s="221"/>
      <c r="NF111" s="221"/>
      <c r="NG111" s="221"/>
      <c r="NH111" s="221"/>
      <c r="NI111" s="221"/>
      <c r="NJ111" s="221"/>
      <c r="NK111" s="221"/>
      <c r="NM111" s="195">
        <f t="shared" ref="NM111:NM125" si="1063">IF(KS111=1,1,0)</f>
        <v>0</v>
      </c>
      <c r="NN111" s="195">
        <f t="shared" ref="NN111:NN125" si="1064">IF(KS111=2,1,0)</f>
        <v>1</v>
      </c>
      <c r="NO111" s="195">
        <f t="shared" ref="NO111:NO125" si="1065">IF(KS111=3,1,0)</f>
        <v>0</v>
      </c>
      <c r="NP111" s="195">
        <f t="shared" ref="NP111:NP125" si="1066">IF(KS111=4,1,0)</f>
        <v>0</v>
      </c>
      <c r="NQ111" s="195">
        <f t="shared" ref="NQ111:NQ125" si="1067">IF(KS111=5,1,0)</f>
        <v>0</v>
      </c>
      <c r="NR111" s="195">
        <f t="shared" ref="NR111:NR125" si="1068">IF(KS111=6,1,0)</f>
        <v>0</v>
      </c>
      <c r="NS111" s="195">
        <f t="shared" ref="NS111:NS125" si="1069">IF(KS111=7,1,0)</f>
        <v>0</v>
      </c>
      <c r="NT111" s="195">
        <f t="shared" ref="NT111:NT125" si="1070">SUM(NM111:NS111)</f>
        <v>1</v>
      </c>
      <c r="NU111" s="196">
        <f t="shared" ref="NU111:NU125" si="1071">NT111-KT111</f>
        <v>0</v>
      </c>
      <c r="NY111" s="215"/>
      <c r="OE111" s="207">
        <f t="shared" si="789"/>
        <v>0</v>
      </c>
      <c r="OF111" s="207"/>
      <c r="OG111" s="207"/>
      <c r="OH111" s="207"/>
      <c r="OI111" s="207"/>
      <c r="OJ111" s="199"/>
      <c r="OK111" s="199"/>
      <c r="OL111" s="199"/>
      <c r="OM111" s="199"/>
      <c r="OO111" s="207"/>
      <c r="OP111" s="207"/>
      <c r="OQ111" s="207"/>
      <c r="OR111" s="207"/>
      <c r="OS111" s="207"/>
      <c r="OT111" s="199"/>
      <c r="OU111" s="199"/>
      <c r="OV111" s="199"/>
      <c r="OW111" s="199"/>
      <c r="OZ111" s="208">
        <f t="shared" si="380"/>
        <v>1</v>
      </c>
      <c r="PA111" s="209"/>
      <c r="PB111" s="209">
        <v>1</v>
      </c>
      <c r="PC111" s="209">
        <v>1</v>
      </c>
      <c r="PD111" s="210">
        <f t="shared" si="433"/>
        <v>0</v>
      </c>
      <c r="PE111" s="210"/>
      <c r="PF111" s="210">
        <f t="shared" si="434"/>
        <v>0</v>
      </c>
      <c r="PG111" s="210">
        <f t="shared" si="435"/>
        <v>0</v>
      </c>
      <c r="PH111" s="210">
        <f t="shared" si="381"/>
        <v>4739</v>
      </c>
      <c r="PI111" s="210">
        <f t="shared" si="382"/>
        <v>4739</v>
      </c>
      <c r="PJ111" s="210">
        <f t="shared" si="383"/>
        <v>0</v>
      </c>
      <c r="PK111" s="210">
        <f t="shared" si="384"/>
        <v>0</v>
      </c>
      <c r="PL111" s="210">
        <f t="shared" si="385"/>
        <v>0</v>
      </c>
      <c r="PM111" s="211"/>
      <c r="PN111" s="211"/>
      <c r="PO111" s="212">
        <f t="shared" si="436"/>
        <v>0</v>
      </c>
      <c r="PP111" s="212">
        <f t="shared" si="437"/>
        <v>0</v>
      </c>
      <c r="PQ111" s="212">
        <f t="shared" si="438"/>
        <v>0</v>
      </c>
      <c r="PR111" s="211"/>
      <c r="PS111" s="211"/>
      <c r="PT111" s="211"/>
      <c r="PU111" s="211"/>
    </row>
    <row r="112" spans="1:437 16384:16384" s="195" customFormat="1" ht="16" x14ac:dyDescent="0.2">
      <c r="A112" s="213">
        <f t="shared" si="810"/>
        <v>102</v>
      </c>
      <c r="B112" s="237" t="s">
        <v>642</v>
      </c>
      <c r="C112" s="186">
        <v>2</v>
      </c>
      <c r="D112" s="188">
        <v>1</v>
      </c>
      <c r="E112" s="188">
        <v>159</v>
      </c>
      <c r="F112" s="188">
        <v>1</v>
      </c>
      <c r="G112" s="188">
        <f t="shared" si="812"/>
        <v>159</v>
      </c>
      <c r="H112" s="214">
        <f t="shared" si="969"/>
        <v>1</v>
      </c>
      <c r="I112" s="214">
        <v>0</v>
      </c>
      <c r="J112" s="298">
        <v>1</v>
      </c>
      <c r="K112" s="188">
        <f t="shared" si="970"/>
        <v>159</v>
      </c>
      <c r="L112" s="214">
        <f t="shared" si="971"/>
        <v>1</v>
      </c>
      <c r="M112" s="214">
        <v>0</v>
      </c>
      <c r="N112" s="298">
        <v>1</v>
      </c>
      <c r="O112" s="188">
        <f t="shared" si="972"/>
        <v>159</v>
      </c>
      <c r="P112" s="214">
        <f t="shared" si="973"/>
        <v>1</v>
      </c>
      <c r="Q112" s="214">
        <f t="shared" si="974"/>
        <v>1</v>
      </c>
      <c r="R112" s="188"/>
      <c r="S112" s="188">
        <f t="shared" si="975"/>
        <v>0</v>
      </c>
      <c r="T112" s="214">
        <f t="shared" si="976"/>
        <v>0</v>
      </c>
      <c r="U112" s="214">
        <f t="shared" si="977"/>
        <v>0</v>
      </c>
      <c r="V112" s="215"/>
      <c r="W112" s="188">
        <f t="shared" si="978"/>
        <v>0</v>
      </c>
      <c r="X112" s="214">
        <f t="shared" si="979"/>
        <v>0</v>
      </c>
      <c r="Y112" s="214">
        <f t="shared" si="980"/>
        <v>0</v>
      </c>
      <c r="Z112" s="216"/>
      <c r="AA112" s="188">
        <v>0</v>
      </c>
      <c r="AB112" s="188">
        <v>0</v>
      </c>
      <c r="AC112" s="214">
        <f t="shared" si="981"/>
        <v>0</v>
      </c>
      <c r="AD112" s="214">
        <f t="shared" si="650"/>
        <v>0</v>
      </c>
      <c r="AE112" s="188"/>
      <c r="AF112" s="188">
        <f t="shared" si="982"/>
        <v>0</v>
      </c>
      <c r="AG112" s="188"/>
      <c r="AH112" s="188"/>
      <c r="AI112" s="188"/>
      <c r="AJ112" s="188"/>
      <c r="AK112" s="188"/>
      <c r="AL112" s="188"/>
      <c r="AM112" s="188"/>
      <c r="AN112" s="217">
        <v>1</v>
      </c>
      <c r="AO112" s="188">
        <f t="shared" si="983"/>
        <v>0</v>
      </c>
      <c r="AP112" s="188">
        <f t="shared" si="984"/>
        <v>0</v>
      </c>
      <c r="AQ112" s="188">
        <f t="shared" si="985"/>
        <v>0</v>
      </c>
      <c r="AR112" s="188">
        <f t="shared" si="986"/>
        <v>0</v>
      </c>
      <c r="AS112" s="188">
        <f t="shared" si="987"/>
        <v>0</v>
      </c>
      <c r="AT112" s="188">
        <f t="shared" si="988"/>
        <v>0</v>
      </c>
      <c r="AU112" s="188">
        <f t="shared" si="989"/>
        <v>0</v>
      </c>
      <c r="AV112" s="188">
        <f t="shared" si="990"/>
        <v>0</v>
      </c>
      <c r="AW112" s="188">
        <f t="shared" si="991"/>
        <v>0</v>
      </c>
      <c r="AX112" s="188">
        <f t="shared" si="992"/>
        <v>0</v>
      </c>
      <c r="AY112" s="188">
        <f t="shared" si="993"/>
        <v>0</v>
      </c>
      <c r="AZ112" s="188">
        <f t="shared" si="994"/>
        <v>0</v>
      </c>
      <c r="BA112" s="188">
        <f t="shared" si="995"/>
        <v>0</v>
      </c>
      <c r="BB112" s="188">
        <f t="shared" si="611"/>
        <v>159</v>
      </c>
      <c r="BD112" s="196">
        <f t="shared" si="996"/>
        <v>0</v>
      </c>
      <c r="BE112" s="188">
        <f t="shared" si="997"/>
        <v>0</v>
      </c>
      <c r="BF112" s="188">
        <f t="shared" si="998"/>
        <v>0</v>
      </c>
      <c r="BG112" s="188">
        <f t="shared" si="999"/>
        <v>0</v>
      </c>
      <c r="BH112" s="188">
        <f t="shared" si="1000"/>
        <v>0</v>
      </c>
      <c r="BI112" s="188">
        <f t="shared" si="1001"/>
        <v>0</v>
      </c>
      <c r="BJ112" s="188">
        <f t="shared" si="1002"/>
        <v>0</v>
      </c>
      <c r="BK112" s="188">
        <f t="shared" si="1003"/>
        <v>0</v>
      </c>
      <c r="BN112" s="215"/>
      <c r="BO112" s="188"/>
      <c r="BP112" s="188"/>
      <c r="BQ112" s="188"/>
      <c r="BR112" s="188"/>
      <c r="BS112" s="188"/>
      <c r="BT112" s="188"/>
      <c r="BU112" s="188"/>
      <c r="BV112" s="188"/>
      <c r="BW112" s="188"/>
      <c r="BX112" s="188"/>
      <c r="BY112" s="188"/>
      <c r="BZ112" s="188"/>
      <c r="CB112" s="188"/>
      <c r="CD112" s="188">
        <f t="shared" si="1004"/>
        <v>0</v>
      </c>
      <c r="CE112" s="188">
        <f t="shared" si="1005"/>
        <v>0</v>
      </c>
      <c r="CF112" s="188">
        <f t="shared" si="1006"/>
        <v>0</v>
      </c>
      <c r="CG112" s="188">
        <f t="shared" si="1007"/>
        <v>0</v>
      </c>
      <c r="CH112" s="188">
        <f t="shared" si="1008"/>
        <v>0</v>
      </c>
      <c r="CI112" s="188">
        <f t="shared" si="1009"/>
        <v>0</v>
      </c>
      <c r="CJ112" s="188">
        <f t="shared" si="1010"/>
        <v>0</v>
      </c>
      <c r="CK112" s="188">
        <f t="shared" si="1011"/>
        <v>0</v>
      </c>
      <c r="CL112" s="188">
        <f t="shared" si="1012"/>
        <v>0</v>
      </c>
      <c r="CM112" s="188">
        <f t="shared" si="1013"/>
        <v>0</v>
      </c>
      <c r="CN112" s="188">
        <f t="shared" si="1014"/>
        <v>0</v>
      </c>
      <c r="CO112" s="188">
        <f t="shared" si="1015"/>
        <v>0</v>
      </c>
      <c r="CP112" s="188">
        <f t="shared" si="1016"/>
        <v>0</v>
      </c>
      <c r="DV112" s="188">
        <f t="shared" si="1017"/>
        <v>0</v>
      </c>
      <c r="DW112" s="188">
        <f t="shared" si="1018"/>
        <v>0</v>
      </c>
      <c r="DX112" s="188">
        <f t="shared" si="1019"/>
        <v>0</v>
      </c>
      <c r="DY112" s="188">
        <f t="shared" si="1020"/>
        <v>0</v>
      </c>
      <c r="DZ112" s="188">
        <f t="shared" si="1021"/>
        <v>0</v>
      </c>
      <c r="EA112" s="188">
        <f t="shared" si="1022"/>
        <v>0</v>
      </c>
      <c r="EB112" s="188">
        <f t="shared" si="1023"/>
        <v>0</v>
      </c>
      <c r="EG112" s="220">
        <f t="shared" si="1024"/>
        <v>0</v>
      </c>
      <c r="EH112" s="220">
        <f t="shared" si="1025"/>
        <v>0</v>
      </c>
      <c r="EI112" s="188"/>
      <c r="EJ112" s="188"/>
      <c r="EK112" s="188"/>
      <c r="EL112" s="188"/>
      <c r="EM112" s="188"/>
      <c r="EN112" s="188"/>
      <c r="EO112" s="188"/>
      <c r="EP112" s="188"/>
      <c r="EQ112" s="188"/>
      <c r="ER112" s="188"/>
      <c r="ES112" s="188"/>
      <c r="ET112" s="188"/>
      <c r="EU112" s="188"/>
      <c r="EV112" s="188"/>
      <c r="EW112" s="188"/>
      <c r="EX112" s="188"/>
      <c r="EY112" s="188"/>
      <c r="EZ112" s="188"/>
      <c r="FA112" s="188"/>
      <c r="FB112" s="188"/>
      <c r="FC112" s="188"/>
      <c r="FD112" s="188"/>
      <c r="FE112" s="188"/>
      <c r="FF112" s="188"/>
      <c r="FH112" s="188"/>
      <c r="FI112" s="188"/>
      <c r="FJ112" s="188"/>
      <c r="FK112" s="188"/>
      <c r="FL112" s="188"/>
      <c r="FM112" s="188"/>
      <c r="FN112" s="188"/>
      <c r="FO112" s="188"/>
      <c r="FP112" s="188"/>
      <c r="FQ112" s="188"/>
      <c r="FR112" s="188"/>
      <c r="FS112" s="188"/>
      <c r="FT112" s="188"/>
      <c r="FU112" s="188"/>
      <c r="FV112" s="188"/>
      <c r="FX112" s="188">
        <f t="shared" si="1026"/>
        <v>0</v>
      </c>
      <c r="FY112" s="188">
        <f t="shared" si="1027"/>
        <v>0</v>
      </c>
      <c r="FZ112" s="188">
        <f t="shared" si="439"/>
        <v>0</v>
      </c>
      <c r="GA112" s="188">
        <f t="shared" si="440"/>
        <v>0</v>
      </c>
      <c r="GB112" s="188">
        <f t="shared" si="441"/>
        <v>0</v>
      </c>
      <c r="GC112" s="188">
        <f t="shared" si="442"/>
        <v>0</v>
      </c>
      <c r="GD112" s="234">
        <f t="shared" si="443"/>
        <v>0</v>
      </c>
      <c r="GE112" s="188">
        <f t="shared" si="444"/>
        <v>0</v>
      </c>
      <c r="GF112" s="235"/>
      <c r="GG112" s="188">
        <v>0</v>
      </c>
      <c r="GH112" s="188">
        <v>0</v>
      </c>
      <c r="GI112" s="235"/>
      <c r="GJ112" s="224">
        <f t="shared" si="1028"/>
        <v>0</v>
      </c>
      <c r="GK112" s="224">
        <f t="shared" si="1029"/>
        <v>0</v>
      </c>
      <c r="GO112" s="188"/>
      <c r="GP112" s="188">
        <f t="shared" si="446"/>
        <v>0</v>
      </c>
      <c r="GQ112" s="188">
        <f t="shared" si="447"/>
        <v>0</v>
      </c>
      <c r="GR112" s="188">
        <f t="shared" si="448"/>
        <v>1</v>
      </c>
      <c r="GS112" s="188">
        <f t="shared" si="449"/>
        <v>1</v>
      </c>
      <c r="GT112" s="188">
        <f t="shared" si="1030"/>
        <v>0</v>
      </c>
      <c r="GU112" s="232">
        <f t="shared" si="388"/>
        <v>43243</v>
      </c>
      <c r="GV112" s="188" t="str">
        <f t="shared" si="1031"/>
        <v>Musyawarah</v>
      </c>
      <c r="GW112" s="188">
        <f t="shared" si="1032"/>
        <v>1</v>
      </c>
      <c r="GX112" s="188" t="str">
        <f t="shared" si="1033"/>
        <v>Musyawarah</v>
      </c>
      <c r="GY112" s="188">
        <f t="shared" si="1034"/>
        <v>24</v>
      </c>
      <c r="GZ112" s="228">
        <f t="shared" si="1035"/>
        <v>43267</v>
      </c>
      <c r="HA112" s="204"/>
      <c r="HB112" s="204"/>
      <c r="HC112" s="188">
        <f t="shared" si="450"/>
        <v>0</v>
      </c>
      <c r="HD112" s="188">
        <f t="shared" si="451"/>
        <v>0</v>
      </c>
      <c r="HE112" s="188">
        <f t="shared" si="1036"/>
        <v>0</v>
      </c>
      <c r="HF112" s="188">
        <f t="shared" si="1037"/>
        <v>0</v>
      </c>
      <c r="HG112" s="188">
        <f t="shared" si="1038"/>
        <v>0</v>
      </c>
      <c r="HH112" s="228" t="str">
        <f t="shared" si="1039"/>
        <v>TIDAK KONSINYASI</v>
      </c>
      <c r="HI112" s="228">
        <f t="shared" si="1040"/>
        <v>43312</v>
      </c>
      <c r="HK112" s="228">
        <f t="shared" si="1041"/>
        <v>43312</v>
      </c>
      <c r="HL112" s="204"/>
      <c r="HM112" s="204"/>
      <c r="HN112" s="204"/>
      <c r="HO112" s="204"/>
      <c r="HP112" s="203">
        <f t="shared" si="1042"/>
        <v>0</v>
      </c>
      <c r="HQ112" s="202">
        <f t="shared" si="1043"/>
        <v>0</v>
      </c>
      <c r="HR112" s="202">
        <f t="shared" si="639"/>
        <v>0</v>
      </c>
      <c r="HS112" s="203">
        <f t="shared" si="1044"/>
        <v>0</v>
      </c>
      <c r="HT112" s="202">
        <f t="shared" si="1045"/>
        <v>0</v>
      </c>
      <c r="HU112" s="202">
        <f t="shared" si="640"/>
        <v>0</v>
      </c>
      <c r="HV112" s="203">
        <f t="shared" si="1046"/>
        <v>0</v>
      </c>
      <c r="HW112" s="202">
        <f t="shared" si="1047"/>
        <v>0</v>
      </c>
      <c r="HX112" s="202">
        <f t="shared" si="641"/>
        <v>0</v>
      </c>
      <c r="HY112" s="203">
        <f t="shared" si="1048"/>
        <v>0</v>
      </c>
      <c r="HZ112" s="202">
        <f t="shared" si="1049"/>
        <v>0</v>
      </c>
      <c r="IA112" s="202">
        <f t="shared" si="642"/>
        <v>0</v>
      </c>
      <c r="IB112" s="236">
        <f t="shared" si="1050"/>
        <v>0</v>
      </c>
      <c r="IC112" s="188">
        <f t="shared" si="1051"/>
        <v>0</v>
      </c>
      <c r="ID112" s="188">
        <f t="shared" si="643"/>
        <v>0</v>
      </c>
      <c r="IE112" s="228">
        <f t="shared" si="1052"/>
        <v>0</v>
      </c>
      <c r="IF112" s="188">
        <f t="shared" si="1053"/>
        <v>0</v>
      </c>
      <c r="IG112" s="188">
        <f t="shared" si="644"/>
        <v>0</v>
      </c>
      <c r="IH112" s="228">
        <f t="shared" si="1054"/>
        <v>0</v>
      </c>
      <c r="II112" s="188">
        <f t="shared" si="1055"/>
        <v>0</v>
      </c>
      <c r="IJ112" s="188">
        <f t="shared" si="645"/>
        <v>0</v>
      </c>
      <c r="IK112" s="228">
        <f t="shared" si="1056"/>
        <v>0</v>
      </c>
      <c r="IL112" s="188">
        <f t="shared" si="1057"/>
        <v>0</v>
      </c>
      <c r="IM112" s="188">
        <f t="shared" si="646"/>
        <v>0</v>
      </c>
      <c r="IN112" s="204"/>
      <c r="IO112" s="228">
        <f t="shared" si="1058"/>
        <v>0</v>
      </c>
      <c r="IP112" s="188">
        <f t="shared" si="460"/>
        <v>0</v>
      </c>
      <c r="IQ112" s="188">
        <f t="shared" si="647"/>
        <v>0</v>
      </c>
      <c r="IR112" s="204"/>
      <c r="IS112" s="228"/>
      <c r="IT112" s="188">
        <f t="shared" si="462"/>
        <v>0</v>
      </c>
      <c r="IU112" s="188">
        <f t="shared" si="463"/>
        <v>0</v>
      </c>
      <c r="IV112" s="204"/>
      <c r="IW112" s="228"/>
      <c r="IX112" s="188">
        <f t="shared" si="464"/>
        <v>0</v>
      </c>
      <c r="IY112" s="188">
        <f t="shared" si="465"/>
        <v>0</v>
      </c>
      <c r="IZ112" s="204"/>
      <c r="JA112" s="228"/>
      <c r="JB112" s="188">
        <f t="shared" si="466"/>
        <v>1</v>
      </c>
      <c r="JC112" s="188">
        <f t="shared" si="467"/>
        <v>159</v>
      </c>
      <c r="JD112" s="204"/>
      <c r="JE112" s="228"/>
      <c r="JF112" s="188">
        <f t="shared" si="1059"/>
        <v>1</v>
      </c>
      <c r="JG112" s="188">
        <f t="shared" si="1060"/>
        <v>159</v>
      </c>
      <c r="JH112" s="204"/>
      <c r="JI112" s="228"/>
      <c r="JJ112" s="188">
        <f t="shared" si="468"/>
        <v>0</v>
      </c>
      <c r="JK112" s="188">
        <f t="shared" si="469"/>
        <v>0</v>
      </c>
      <c r="JM112" s="203">
        <f t="shared" si="1061"/>
        <v>0</v>
      </c>
      <c r="JO112" s="196">
        <f t="shared" si="1062"/>
        <v>0</v>
      </c>
      <c r="JP112" s="189">
        <f t="shared" si="470"/>
        <v>0</v>
      </c>
      <c r="JQ112" s="189">
        <f t="shared" si="471"/>
        <v>0</v>
      </c>
      <c r="JR112" s="189">
        <f t="shared" si="472"/>
        <v>0</v>
      </c>
      <c r="JS112" s="189">
        <f t="shared" si="473"/>
        <v>0</v>
      </c>
      <c r="JT112" s="189">
        <f t="shared" si="474"/>
        <v>0</v>
      </c>
      <c r="JU112" s="189">
        <f t="shared" si="475"/>
        <v>0</v>
      </c>
      <c r="JV112" s="189">
        <f t="shared" si="476"/>
        <v>0</v>
      </c>
      <c r="JW112" s="189">
        <f t="shared" si="477"/>
        <v>0</v>
      </c>
      <c r="JX112" s="189">
        <f t="shared" si="478"/>
        <v>0</v>
      </c>
      <c r="JY112" s="189">
        <f t="shared" si="479"/>
        <v>0</v>
      </c>
      <c r="JZ112" s="189">
        <f t="shared" si="480"/>
        <v>0</v>
      </c>
      <c r="KA112" s="189">
        <f t="shared" si="481"/>
        <v>0</v>
      </c>
      <c r="KB112" s="189">
        <f t="shared" si="482"/>
        <v>0</v>
      </c>
      <c r="KD112" s="206">
        <f t="shared" si="410"/>
        <v>0</v>
      </c>
      <c r="KE112" s="206">
        <f t="shared" si="373"/>
        <v>0</v>
      </c>
      <c r="KF112" s="206">
        <f t="shared" si="483"/>
        <v>0</v>
      </c>
      <c r="KG112" s="206">
        <f t="shared" si="484"/>
        <v>0</v>
      </c>
      <c r="KH112" s="206">
        <f t="shared" si="485"/>
        <v>0</v>
      </c>
      <c r="KI112" s="206">
        <f t="shared" si="486"/>
        <v>0</v>
      </c>
      <c r="KJ112" s="206">
        <f t="shared" si="487"/>
        <v>0</v>
      </c>
      <c r="KK112" s="206">
        <f t="shared" si="488"/>
        <v>0</v>
      </c>
      <c r="KL112" s="206">
        <f t="shared" si="489"/>
        <v>0</v>
      </c>
      <c r="KM112" s="206">
        <f t="shared" si="490"/>
        <v>0</v>
      </c>
      <c r="KN112" s="221">
        <f t="shared" si="491"/>
        <v>0</v>
      </c>
      <c r="KO112" s="221">
        <f t="shared" si="492"/>
        <v>0</v>
      </c>
      <c r="KP112" s="221">
        <f t="shared" si="493"/>
        <v>0</v>
      </c>
      <c r="KQ112" s="221">
        <f t="shared" si="494"/>
        <v>0</v>
      </c>
      <c r="KR112" s="221">
        <f t="shared" si="495"/>
        <v>0</v>
      </c>
      <c r="KS112" s="195">
        <v>2</v>
      </c>
      <c r="KT112" s="195">
        <f t="shared" si="496"/>
        <v>1</v>
      </c>
      <c r="KU112" s="221"/>
      <c r="KV112" s="221"/>
      <c r="KW112" s="221"/>
      <c r="KX112" s="221"/>
      <c r="KY112" s="221"/>
      <c r="KZ112" s="221"/>
      <c r="LA112" s="221"/>
      <c r="LB112" s="221"/>
      <c r="LC112" s="221"/>
      <c r="LD112" s="221"/>
      <c r="LE112" s="221"/>
      <c r="LF112" s="221"/>
      <c r="LG112" s="221"/>
      <c r="LH112" s="221"/>
      <c r="LI112" s="221"/>
      <c r="LJ112" s="221"/>
      <c r="LK112" s="221"/>
      <c r="LL112" s="221"/>
      <c r="LM112" s="221">
        <v>1</v>
      </c>
      <c r="LN112" s="221">
        <v>1</v>
      </c>
      <c r="LO112" s="221"/>
      <c r="LP112" s="221"/>
      <c r="LQ112" s="221"/>
      <c r="LR112" s="221"/>
      <c r="LS112" s="221"/>
      <c r="LT112" s="221"/>
      <c r="LU112" s="221"/>
      <c r="LV112" s="221"/>
      <c r="LW112" s="221"/>
      <c r="LX112" s="221"/>
      <c r="LY112" s="221"/>
      <c r="LZ112" s="221"/>
      <c r="MA112" s="221"/>
      <c r="MB112" s="221"/>
      <c r="MC112" s="221"/>
      <c r="MD112" s="221"/>
      <c r="ME112" s="221"/>
      <c r="MF112" s="221"/>
      <c r="MG112" s="221"/>
      <c r="MH112" s="221"/>
      <c r="MI112" s="221"/>
      <c r="MJ112" s="221"/>
      <c r="MK112" s="221"/>
      <c r="ML112" s="221"/>
      <c r="MM112" s="221"/>
      <c r="MN112" s="221"/>
      <c r="MO112" s="221"/>
      <c r="MP112" s="221"/>
      <c r="MQ112" s="221"/>
      <c r="MR112" s="221"/>
      <c r="MS112" s="221"/>
      <c r="MT112" s="221"/>
      <c r="MU112" s="221"/>
      <c r="MV112" s="221"/>
      <c r="MW112" s="221"/>
      <c r="MX112" s="221"/>
      <c r="MY112" s="221"/>
      <c r="MZ112" s="221"/>
      <c r="NA112" s="221"/>
      <c r="NB112" s="221"/>
      <c r="NC112" s="221"/>
      <c r="ND112" s="221"/>
      <c r="NE112" s="221"/>
      <c r="NF112" s="221"/>
      <c r="NG112" s="221"/>
      <c r="NH112" s="221"/>
      <c r="NI112" s="221"/>
      <c r="NJ112" s="221"/>
      <c r="NK112" s="221"/>
      <c r="NM112" s="195">
        <f t="shared" si="1063"/>
        <v>0</v>
      </c>
      <c r="NN112" s="195">
        <f t="shared" si="1064"/>
        <v>1</v>
      </c>
      <c r="NO112" s="195">
        <f t="shared" si="1065"/>
        <v>0</v>
      </c>
      <c r="NP112" s="195">
        <f t="shared" si="1066"/>
        <v>0</v>
      </c>
      <c r="NQ112" s="195">
        <f t="shared" si="1067"/>
        <v>0</v>
      </c>
      <c r="NR112" s="195">
        <f t="shared" si="1068"/>
        <v>0</v>
      </c>
      <c r="NS112" s="195">
        <f t="shared" si="1069"/>
        <v>0</v>
      </c>
      <c r="NT112" s="195">
        <f t="shared" si="1070"/>
        <v>1</v>
      </c>
      <c r="NU112" s="196">
        <f t="shared" si="1071"/>
        <v>0</v>
      </c>
      <c r="NY112" s="215"/>
      <c r="OE112" s="207"/>
      <c r="OF112" s="207"/>
      <c r="OG112" s="207"/>
      <c r="OH112" s="207"/>
      <c r="OI112" s="207"/>
      <c r="OJ112" s="199"/>
      <c r="OK112" s="199"/>
      <c r="OL112" s="199"/>
      <c r="OM112" s="199"/>
      <c r="OO112" s="207"/>
      <c r="OP112" s="207"/>
      <c r="OQ112" s="207"/>
      <c r="OR112" s="207"/>
      <c r="OS112" s="207"/>
      <c r="OT112" s="199"/>
      <c r="OU112" s="199"/>
      <c r="OV112" s="199"/>
      <c r="OW112" s="199"/>
      <c r="OZ112" s="208">
        <f t="shared" si="380"/>
        <v>1</v>
      </c>
      <c r="PA112" s="209">
        <v>1</v>
      </c>
      <c r="PB112" s="209"/>
      <c r="PC112" s="209"/>
      <c r="PD112" s="210">
        <f t="shared" si="433"/>
        <v>0</v>
      </c>
      <c r="PE112" s="210"/>
      <c r="PF112" s="210">
        <f t="shared" si="434"/>
        <v>0</v>
      </c>
      <c r="PG112" s="210">
        <f t="shared" si="435"/>
        <v>159</v>
      </c>
      <c r="PH112" s="210">
        <f t="shared" si="381"/>
        <v>0</v>
      </c>
      <c r="PI112" s="210">
        <f t="shared" si="382"/>
        <v>0</v>
      </c>
      <c r="PJ112" s="210">
        <f t="shared" si="383"/>
        <v>0</v>
      </c>
      <c r="PK112" s="210">
        <f t="shared" si="384"/>
        <v>0</v>
      </c>
      <c r="PL112" s="210">
        <f t="shared" si="385"/>
        <v>0</v>
      </c>
      <c r="PM112" s="211"/>
      <c r="PN112" s="211"/>
      <c r="PO112" s="212">
        <f t="shared" si="436"/>
        <v>0</v>
      </c>
      <c r="PP112" s="212">
        <f t="shared" si="437"/>
        <v>0</v>
      </c>
      <c r="PQ112" s="212">
        <f t="shared" si="438"/>
        <v>0</v>
      </c>
      <c r="PR112" s="211"/>
      <c r="PS112" s="211"/>
      <c r="PT112" s="211"/>
      <c r="PU112" s="211"/>
    </row>
    <row r="113" spans="1:437 16383:16384" s="195" customFormat="1" ht="16" x14ac:dyDescent="0.2">
      <c r="A113" s="213">
        <f>A112+1</f>
        <v>103</v>
      </c>
      <c r="B113" s="238" t="s">
        <v>643</v>
      </c>
      <c r="C113" s="239">
        <v>6</v>
      </c>
      <c r="D113" s="240">
        <v>1</v>
      </c>
      <c r="E113" s="240">
        <v>210</v>
      </c>
      <c r="F113" s="240">
        <v>1</v>
      </c>
      <c r="G113" s="188">
        <f t="shared" si="812"/>
        <v>210</v>
      </c>
      <c r="H113" s="241">
        <f t="shared" ref="H113" si="1072">F113/$D113</f>
        <v>1</v>
      </c>
      <c r="I113" s="241">
        <v>0</v>
      </c>
      <c r="J113" s="298">
        <v>1</v>
      </c>
      <c r="K113" s="240">
        <f t="shared" ref="K113" si="1073">IF(J113=D113,E113,0)</f>
        <v>210</v>
      </c>
      <c r="L113" s="241">
        <f t="shared" ref="L113" si="1074">J113/$D113</f>
        <v>1</v>
      </c>
      <c r="M113" s="241">
        <v>0</v>
      </c>
      <c r="N113" s="298">
        <v>1</v>
      </c>
      <c r="O113" s="240">
        <f t="shared" ref="O113" si="1075">IF(N113=D113,E113,0)</f>
        <v>210</v>
      </c>
      <c r="P113" s="241">
        <f t="shared" ref="P113" si="1076">N113/$D113</f>
        <v>1</v>
      </c>
      <c r="Q113" s="241">
        <f t="shared" ref="Q113" si="1077">O113/$E113</f>
        <v>1</v>
      </c>
      <c r="R113" s="240"/>
      <c r="S113" s="240">
        <f t="shared" ref="S113" si="1078">IF(R113=D113,E113,0)</f>
        <v>0</v>
      </c>
      <c r="T113" s="241">
        <f t="shared" ref="T113" si="1079">R113/$D113</f>
        <v>0</v>
      </c>
      <c r="U113" s="241">
        <f t="shared" ref="U113" si="1080">S113/$E113</f>
        <v>0</v>
      </c>
      <c r="V113" s="242"/>
      <c r="W113" s="240">
        <f t="shared" ref="W113" si="1081">IF(V113=D113,E113,0)</f>
        <v>0</v>
      </c>
      <c r="X113" s="241">
        <f t="shared" ref="X113" si="1082">V113/$D113</f>
        <v>0</v>
      </c>
      <c r="Y113" s="241">
        <f t="shared" ref="Y113" si="1083">W113/$E113</f>
        <v>0</v>
      </c>
      <c r="Z113" s="243"/>
      <c r="AA113" s="240">
        <v>0</v>
      </c>
      <c r="AB113" s="240">
        <v>0</v>
      </c>
      <c r="AC113" s="241">
        <f t="shared" ref="AC113" si="1084">AA113/$D113</f>
        <v>0</v>
      </c>
      <c r="AD113" s="214">
        <f t="shared" ref="AD113" si="1085">AB113/$E113</f>
        <v>0</v>
      </c>
      <c r="AE113" s="240"/>
      <c r="AF113" s="240">
        <f t="shared" ref="AF113" si="1086">R113-V113</f>
        <v>0</v>
      </c>
      <c r="AG113" s="240"/>
      <c r="AH113" s="240"/>
      <c r="AI113" s="240"/>
      <c r="AJ113" s="240"/>
      <c r="AK113" s="240"/>
      <c r="AL113" s="240"/>
      <c r="AM113" s="240"/>
      <c r="AN113" s="244">
        <v>1</v>
      </c>
      <c r="AO113" s="240">
        <f t="shared" ref="AO113" si="1087">IF(AI113=1,D113,0)</f>
        <v>0</v>
      </c>
      <c r="AP113" s="240">
        <f t="shared" ref="AP113" si="1088">IF(AO113=D113,E113,0)</f>
        <v>0</v>
      </c>
      <c r="AQ113" s="240">
        <f t="shared" ref="AQ113" si="1089">IF(AI113=1,J113,0)</f>
        <v>0</v>
      </c>
      <c r="AR113" s="240">
        <f t="shared" ref="AR113" si="1090">IF(AQ113=1,K113,0)</f>
        <v>0</v>
      </c>
      <c r="AS113" s="240">
        <f t="shared" ref="AS113" si="1091">IF(AI113=1,N113,0)</f>
        <v>0</v>
      </c>
      <c r="AT113" s="240">
        <f t="shared" ref="AT113" si="1092">IF(AS113=1,O113,0)</f>
        <v>0</v>
      </c>
      <c r="AU113" s="240">
        <f t="shared" ref="AU113" si="1093">IF(AI113=1,R113,0)</f>
        <v>0</v>
      </c>
      <c r="AV113" s="240">
        <f t="shared" ref="AV113" si="1094">IF(AU113=1,S113,0)</f>
        <v>0</v>
      </c>
      <c r="AW113" s="240">
        <f t="shared" ref="AW113" si="1095">IF(AI113=1,V113,0)</f>
        <v>0</v>
      </c>
      <c r="AX113" s="240">
        <f t="shared" ref="AX113" si="1096">IF(AW113=1,W113,0)</f>
        <v>0</v>
      </c>
      <c r="AY113" s="240">
        <f t="shared" ref="AY113" si="1097">AU113-AW113</f>
        <v>0</v>
      </c>
      <c r="AZ113" s="240">
        <f t="shared" ref="AZ113" si="1098">AV113-AX113</f>
        <v>0</v>
      </c>
      <c r="BA113" s="240">
        <f t="shared" ref="BA113" si="1099">IF(AW113=1,Z113,0)</f>
        <v>0</v>
      </c>
      <c r="BB113" s="240">
        <f>IF(AN113=1,E113,0)</f>
        <v>210</v>
      </c>
      <c r="BD113" s="196">
        <f t="shared" ref="BD113" si="1100">S113-W113-BE113</f>
        <v>0</v>
      </c>
      <c r="BE113" s="240">
        <f t="shared" ref="BE113" si="1101">IF(AF113=1,S113,0)</f>
        <v>0</v>
      </c>
      <c r="BF113" s="240">
        <f t="shared" ref="BF113" si="1102">IF(AG113="A",S113,0)</f>
        <v>0</v>
      </c>
      <c r="BG113" s="240">
        <f t="shared" ref="BG113" si="1103">IF(AG113="B",S113,0)</f>
        <v>0</v>
      </c>
      <c r="BH113" s="240">
        <f t="shared" ref="BH113" si="1104">IF(AG113="C",S113,0)</f>
        <v>0</v>
      </c>
      <c r="BI113" s="240">
        <f t="shared" ref="BI113" si="1105">IF(AG113="D",S113,0)</f>
        <v>0</v>
      </c>
      <c r="BJ113" s="240">
        <f t="shared" ref="BJ113" si="1106">IF(AG113="E",S113,0)</f>
        <v>0</v>
      </c>
      <c r="BK113" s="240">
        <f t="shared" ref="BK113" si="1107">SUM(BF113:BJ113)</f>
        <v>0</v>
      </c>
      <c r="BN113" s="242"/>
      <c r="BO113" s="240"/>
      <c r="BP113" s="240"/>
      <c r="BQ113" s="240"/>
      <c r="BR113" s="240"/>
      <c r="BS113" s="240"/>
      <c r="BT113" s="240"/>
      <c r="BU113" s="240"/>
      <c r="BV113" s="240"/>
      <c r="BW113" s="240"/>
      <c r="BX113" s="240"/>
      <c r="BY113" s="240"/>
      <c r="BZ113" s="240"/>
      <c r="CB113" s="240"/>
      <c r="CD113" s="240">
        <f t="shared" ref="CD113" si="1108">BN113</f>
        <v>0</v>
      </c>
      <c r="CE113" s="240">
        <f t="shared" ref="CE113" si="1109">IF(BO113=1,$CD113,0)</f>
        <v>0</v>
      </c>
      <c r="CF113" s="240">
        <f t="shared" ref="CF113" si="1110">IF(BP113=1,$CD113,0)</f>
        <v>0</v>
      </c>
      <c r="CG113" s="240">
        <f t="shared" ref="CG113" si="1111">IF(BQ113=1,$CD113,0)</f>
        <v>0</v>
      </c>
      <c r="CH113" s="240">
        <f t="shared" ref="CH113" si="1112">IF(BR113=1,$CD113,0)</f>
        <v>0</v>
      </c>
      <c r="CI113" s="240">
        <f t="shared" ref="CI113" si="1113">IF(BS113=1,$CD113,0)</f>
        <v>0</v>
      </c>
      <c r="CJ113" s="240">
        <f t="shared" ref="CJ113" si="1114">IF(BT113=1,$CD113,0)</f>
        <v>0</v>
      </c>
      <c r="CK113" s="240">
        <f t="shared" ref="CK113" si="1115">IF(BU113=1,$CD113,0)</f>
        <v>0</v>
      </c>
      <c r="CL113" s="240">
        <f t="shared" ref="CL113" si="1116">IF(BV113=1,$CD113,0)</f>
        <v>0</v>
      </c>
      <c r="CM113" s="240">
        <f t="shared" ref="CM113" si="1117">IF(BW113=1,$CD113,0)</f>
        <v>0</v>
      </c>
      <c r="CN113" s="240">
        <f t="shared" ref="CN113" si="1118">IF(BX113=1,$CD113,0)</f>
        <v>0</v>
      </c>
      <c r="CO113" s="240">
        <f t="shared" ref="CO113" si="1119">IF(BY113=1,$CD113,0)</f>
        <v>0</v>
      </c>
      <c r="CP113" s="240">
        <f t="shared" ref="CP113" si="1120">IF(BZ113=1,$CD113,0)</f>
        <v>0</v>
      </c>
      <c r="DV113" s="240">
        <f t="shared" ref="DV113" si="1121">IF(CB113=1,G113,0)</f>
        <v>0</v>
      </c>
      <c r="DW113" s="240">
        <f t="shared" ref="DW113" si="1122">IF(CC113="A",G113,0)</f>
        <v>0</v>
      </c>
      <c r="DX113" s="240">
        <f t="shared" ref="DX113" si="1123">IF(CC113="B",G113,0)</f>
        <v>0</v>
      </c>
      <c r="DY113" s="240">
        <f t="shared" ref="DY113" si="1124">IF(CC113="C",G113,0)</f>
        <v>0</v>
      </c>
      <c r="DZ113" s="240">
        <f t="shared" ref="DZ113" si="1125">IF(CC113="D",G113,0)</f>
        <v>0</v>
      </c>
      <c r="EA113" s="240">
        <f t="shared" ref="EA113" si="1126">IF(CC113="E",G113,0)</f>
        <v>0</v>
      </c>
      <c r="EB113" s="240">
        <f t="shared" ref="EB113" si="1127">SUM(DW113:EA113)</f>
        <v>0</v>
      </c>
      <c r="EG113" s="245">
        <f t="shared" ref="EG113" si="1128">IF(AG113="C","C",IF(AG113="D","D",0))</f>
        <v>0</v>
      </c>
      <c r="EH113" s="245">
        <f t="shared" ref="EH113" si="1129">CC113</f>
        <v>0</v>
      </c>
      <c r="EI113" s="240"/>
      <c r="EJ113" s="240"/>
      <c r="EK113" s="240"/>
      <c r="EL113" s="240"/>
      <c r="EM113" s="240"/>
      <c r="EN113" s="240"/>
      <c r="EO113" s="240"/>
      <c r="EP113" s="240"/>
      <c r="EQ113" s="240"/>
      <c r="ER113" s="240"/>
      <c r="ES113" s="240"/>
      <c r="ET113" s="240"/>
      <c r="EU113" s="240"/>
      <c r="EV113" s="240"/>
      <c r="EW113" s="240"/>
      <c r="EX113" s="240"/>
      <c r="EY113" s="240"/>
      <c r="EZ113" s="240"/>
      <c r="FA113" s="240"/>
      <c r="FB113" s="240"/>
      <c r="FC113" s="240"/>
      <c r="FD113" s="240"/>
      <c r="FE113" s="240"/>
      <c r="FF113" s="240"/>
      <c r="FH113" s="240"/>
      <c r="FI113" s="240"/>
      <c r="FJ113" s="240"/>
      <c r="FK113" s="240"/>
      <c r="FL113" s="240"/>
      <c r="FM113" s="240"/>
      <c r="FN113" s="240"/>
      <c r="FO113" s="240"/>
      <c r="FP113" s="240"/>
      <c r="FQ113" s="240"/>
      <c r="FR113" s="240"/>
      <c r="FS113" s="240"/>
      <c r="FT113" s="240"/>
      <c r="FU113" s="240"/>
      <c r="FV113" s="240"/>
      <c r="FX113" s="240">
        <f t="shared" ref="FX113" si="1130">FL113*FU113/1000000000</f>
        <v>0</v>
      </c>
      <c r="FY113" s="240">
        <f t="shared" ref="FY113" si="1131">SUM(FZ113:GE113)</f>
        <v>0</v>
      </c>
      <c r="FZ113" s="240">
        <f t="shared" ref="FZ113" si="1132">DI113+CE113</f>
        <v>0</v>
      </c>
      <c r="GA113" s="240">
        <f t="shared" ref="GA113" si="1133">DJ113+CF113</f>
        <v>0</v>
      </c>
      <c r="GB113" s="240">
        <f t="shared" ref="GB113" si="1134">DK113+CG113</f>
        <v>0</v>
      </c>
      <c r="GC113" s="240">
        <f t="shared" ref="GC113" si="1135">DM113+CI113</f>
        <v>0</v>
      </c>
      <c r="GD113" s="246">
        <f t="shared" ref="GD113" si="1136">DO113+CK113</f>
        <v>0</v>
      </c>
      <c r="GE113" s="240">
        <f t="shared" ref="GE113" si="1137">DT113+CP113</f>
        <v>0</v>
      </c>
      <c r="GF113" s="235"/>
      <c r="GG113" s="240">
        <v>0</v>
      </c>
      <c r="GH113" s="240">
        <v>0</v>
      </c>
      <c r="GI113" s="235"/>
      <c r="GJ113" s="247">
        <f t="shared" ref="GJ113" si="1138">FY113*GG113/1000000000</f>
        <v>0</v>
      </c>
      <c r="GK113" s="247">
        <f t="shared" ref="GK113" si="1139">FY113*GH113/1000000000</f>
        <v>0</v>
      </c>
      <c r="GO113" s="240"/>
      <c r="GP113" s="240">
        <f t="shared" ref="GP113" si="1140">D113-J113</f>
        <v>0</v>
      </c>
      <c r="GQ113" s="240">
        <f t="shared" ref="GQ113" si="1141">D113-N113</f>
        <v>0</v>
      </c>
      <c r="GR113" s="240">
        <f t="shared" ref="GR113" si="1142">D113-R113</f>
        <v>1</v>
      </c>
      <c r="GS113" s="240">
        <f t="shared" ref="GS113" si="1143">D113-V113</f>
        <v>1</v>
      </c>
      <c r="GT113" s="240">
        <f t="shared" ref="GT113" si="1144">IF(SUM(GO113:GS113)=0,1,0)</f>
        <v>0</v>
      </c>
      <c r="GU113" s="232">
        <f t="shared" si="388"/>
        <v>43243</v>
      </c>
      <c r="GV113" s="240" t="str">
        <f t="shared" ref="GV113" si="1145">IF(GO113&gt;0,$GO$6,IF(GP113&gt;0,$GP$6,IF(GQ113&gt;0,$GQ$6,IF(GR113&gt;0,$GR$6,IF(GS113&gt;0,$GS$6,IF(GT113&gt;0,$GT$6,0))))))</f>
        <v>Musyawarah</v>
      </c>
      <c r="GW113" s="240">
        <f t="shared" ref="GW113" si="1146">IF(GV113=$GO$6,GO113,IF(GV113=$GP$6,GP113,IF(GV113=$GQ$6,GQ113,IF(GV113=$GR$6,GR113,IF(GV113=$GS$6,GS113,0)))))</f>
        <v>1</v>
      </c>
      <c r="GX113" s="240" t="str">
        <f t="shared" ref="GX113" si="1147">GV113</f>
        <v>Musyawarah</v>
      </c>
      <c r="GY113" s="240">
        <f t="shared" ref="GY113" si="1148">IF(GX113="DNP",SUM($GY$4:$GY$8),IF(GX113="Survey KJPP",SUM($GY$5:$GY$8),IF(GX113="Hasil Valuasi",SUM($GY$6:$GY$8),IF(GX113="Musyawarah",SUM($GY$7:$GY$8),IF(GX113="UGR",$GY$8,0)))))</f>
        <v>24</v>
      </c>
      <c r="GZ113" s="248">
        <f t="shared" ref="GZ113" si="1149">IF(GW113=0,"SELESAI",GU113+GY113)</f>
        <v>43267</v>
      </c>
      <c r="HA113" s="204"/>
      <c r="HB113" s="204"/>
      <c r="HC113" s="240">
        <f t="shared" ref="HC113" si="1150">IF(BH113&gt;0,1,IF(BI113&gt;0,1,0))</f>
        <v>0</v>
      </c>
      <c r="HD113" s="240">
        <f t="shared" ref="HD113" si="1151">IF(CB113&gt;0,1,0)</f>
        <v>0</v>
      </c>
      <c r="HE113" s="240">
        <f t="shared" ref="HE113" si="1152">HC113+HD113</f>
        <v>0</v>
      </c>
      <c r="HF113" s="240">
        <f t="shared" ref="HF113" si="1153">FQ113</f>
        <v>0</v>
      </c>
      <c r="HG113" s="240">
        <f t="shared" ref="HG113" si="1154">HE113-HF113</f>
        <v>0</v>
      </c>
      <c r="HH113" s="248" t="str">
        <f t="shared" ref="HH113" si="1155">IF(HG113=1,GU113+$HH$8,"TIDAK KONSINYASI")</f>
        <v>TIDAK KONSINYASI</v>
      </c>
      <c r="HI113" s="248">
        <f t="shared" ref="HI113" si="1156">IF(GW113=0,"SELESAI",GZ113+$HI$8)</f>
        <v>43312</v>
      </c>
      <c r="HK113" s="248">
        <f t="shared" ref="HK113" si="1157">MAX(GZ113,HH113,HI113)</f>
        <v>43312</v>
      </c>
      <c r="HL113" s="204"/>
      <c r="HM113" s="204"/>
      <c r="HN113" s="204"/>
      <c r="HO113" s="204"/>
      <c r="HP113" s="203">
        <f t="shared" ref="HP113" si="1158">IF(HQ113=1,GZ113,0)</f>
        <v>0</v>
      </c>
      <c r="HQ113" s="202">
        <f t="shared" ref="HQ113" si="1159">IF(IX113=0,IF(HT113=0,IF(IP113=0,IF(GV113="UGR",GS113,0),0),0),0)</f>
        <v>0</v>
      </c>
      <c r="HR113" s="202">
        <f t="shared" ref="HR113" si="1160">IF(HQ113=1,E113,0)</f>
        <v>0</v>
      </c>
      <c r="HS113" s="203">
        <f t="shared" ref="HS113" si="1161">IF(HT113=1,HH113,0)</f>
        <v>0</v>
      </c>
      <c r="HT113" s="202">
        <f t="shared" ref="HT113" si="1162">HG113</f>
        <v>0</v>
      </c>
      <c r="HU113" s="202">
        <f t="shared" ref="HU113" si="1163">IF(HT113=1,E113,0)</f>
        <v>0</v>
      </c>
      <c r="HV113" s="203">
        <f t="shared" ref="HV113" si="1164">IF(HW113=1,GZ113,0)</f>
        <v>0</v>
      </c>
      <c r="HW113" s="202">
        <f t="shared" ref="HW113" si="1165">IF(JB113=0,IF(IX113=0,IF(HT113=0,IF(GV113="MUSYAWARAH",GR113,0),0),0),0)</f>
        <v>0</v>
      </c>
      <c r="HX113" s="202">
        <f t="shared" ref="HX113" si="1166">IF(HW113=1,E113,0)</f>
        <v>0</v>
      </c>
      <c r="HY113" s="203">
        <f t="shared" ref="HY113" si="1167">IF(HZ113=1,HV113+$HI$8,0)</f>
        <v>0</v>
      </c>
      <c r="HZ113" s="202">
        <f t="shared" ref="HZ113" si="1168">HW113</f>
        <v>0</v>
      </c>
      <c r="IA113" s="202">
        <f t="shared" ref="IA113" si="1169">IF(HZ113=1,E113,0)</f>
        <v>0</v>
      </c>
      <c r="IB113" s="236">
        <f t="shared" ref="IB113" si="1170">IF(IC113=1,$GU$3+SUM($GY$6:$GY$8),0)</f>
        <v>0</v>
      </c>
      <c r="IC113" s="240">
        <f t="shared" ref="IC113" si="1171">IF(GV113="Hasil Valuasi",GQ113,0)</f>
        <v>0</v>
      </c>
      <c r="ID113" s="240">
        <f t="shared" ref="ID113" si="1172">IF(IC113=1,E113,0)</f>
        <v>0</v>
      </c>
      <c r="IE113" s="248">
        <f t="shared" ref="IE113" si="1173">IF(IF113=1,IB113+$HI$8,0)</f>
        <v>0</v>
      </c>
      <c r="IF113" s="240">
        <f t="shared" ref="IF113" si="1174">IC113</f>
        <v>0</v>
      </c>
      <c r="IG113" s="240">
        <f t="shared" ref="IG113" si="1175">IF(IF113=1,E113,0)</f>
        <v>0</v>
      </c>
      <c r="IH113" s="248">
        <f t="shared" ref="IH113" si="1176">IF(II113=1,$GU$3+SUM($GY$5:$GY$8),0)</f>
        <v>0</v>
      </c>
      <c r="II113" s="240">
        <f t="shared" ref="II113" si="1177">IF(GV113="Survey KJPP",GP113,0)</f>
        <v>0</v>
      </c>
      <c r="IJ113" s="240">
        <f t="shared" ref="IJ113" si="1178">IF(II113=1,E113,0)</f>
        <v>0</v>
      </c>
      <c r="IK113" s="248">
        <f t="shared" ref="IK113" si="1179">IF(IL113=1,IH113+$HI$8,0)</f>
        <v>0</v>
      </c>
      <c r="IL113" s="240">
        <f t="shared" ref="IL113" si="1180">II113</f>
        <v>0</v>
      </c>
      <c r="IM113" s="240">
        <f t="shared" ref="IM113" si="1181">IF(IL113=1,E113,0)</f>
        <v>0</v>
      </c>
      <c r="IN113" s="204"/>
      <c r="IO113" s="248">
        <f t="shared" ref="IO113" si="1182">IF(IP113=1,+$GU$3+$HH$8,0)</f>
        <v>0</v>
      </c>
      <c r="IP113" s="240">
        <f t="shared" ref="IP113" si="1183">IF(BG113&gt;0,1,0)</f>
        <v>0</v>
      </c>
      <c r="IQ113" s="240">
        <f t="shared" ref="IQ113" si="1184">IF(IP113=1,E113,0)</f>
        <v>0</v>
      </c>
      <c r="IR113" s="204"/>
      <c r="IS113" s="248"/>
      <c r="IT113" s="240">
        <f t="shared" ref="IT113" si="1185">V113</f>
        <v>0</v>
      </c>
      <c r="IU113" s="240">
        <f t="shared" ref="IU113" si="1186">W113</f>
        <v>0</v>
      </c>
      <c r="IV113" s="204"/>
      <c r="IW113" s="248"/>
      <c r="IX113" s="240">
        <f t="shared" ref="IX113" si="1187">AA113</f>
        <v>0</v>
      </c>
      <c r="IY113" s="240">
        <f t="shared" ref="IY113" si="1188">AB113</f>
        <v>0</v>
      </c>
      <c r="IZ113" s="204"/>
      <c r="JA113" s="248"/>
      <c r="JB113" s="240">
        <f t="shared" ref="JB113" si="1189">AN113</f>
        <v>1</v>
      </c>
      <c r="JC113" s="240">
        <f t="shared" ref="JC113" si="1190">BB113</f>
        <v>210</v>
      </c>
      <c r="JD113" s="204"/>
      <c r="JE113" s="248"/>
      <c r="JF113" s="240">
        <f t="shared" ref="JF113" si="1191">IT113+HQ113+HT113+HZ113+IF113+IL113+IP113+IX113+JB113</f>
        <v>1</v>
      </c>
      <c r="JG113" s="240">
        <f t="shared" ref="JG113" si="1192">IU113+HR113+HU113+IA113+IG113+IM113+IQ113+IY113+JC113</f>
        <v>210</v>
      </c>
      <c r="JH113" s="204"/>
      <c r="JI113" s="248"/>
      <c r="JJ113" s="240">
        <f t="shared" ref="JJ113" si="1193">JF113-D113</f>
        <v>0</v>
      </c>
      <c r="JK113" s="240">
        <f t="shared" ref="JK113" si="1194">JG113-E113</f>
        <v>0</v>
      </c>
      <c r="JM113" s="203">
        <f t="shared" ref="JM113" si="1195">MAX(IW113,IS113,IO113,IK113,IE113,HY113,HS113,HP113)</f>
        <v>0</v>
      </c>
      <c r="JO113" s="196">
        <f t="shared" ref="JO113" si="1196">SUM(JQ113:KB113)</f>
        <v>0</v>
      </c>
      <c r="JP113" s="189">
        <f t="shared" ref="JP113" si="1197">BN113+CR113</f>
        <v>0</v>
      </c>
      <c r="JQ113" s="189">
        <f t="shared" ref="JQ113" si="1198">IF(BO113+CS113=2,1,IF(BO113+CS113=1,1,0))</f>
        <v>0</v>
      </c>
      <c r="JR113" s="189">
        <f t="shared" ref="JR113" si="1199">IF(BP113+CT113=2,1,IF(BP113+CT113=1,1,0))</f>
        <v>0</v>
      </c>
      <c r="JS113" s="189">
        <f t="shared" ref="JS113" si="1200">IF(BQ113+CU113=2,1,IF(BQ113+CU113=1,1,0))</f>
        <v>0</v>
      </c>
      <c r="JT113" s="189">
        <f t="shared" ref="JT113" si="1201">IF(BR113+CV113=2,1,IF(BR113+CV113=1,1,0))</f>
        <v>0</v>
      </c>
      <c r="JU113" s="189">
        <f t="shared" ref="JU113" si="1202">IF(BS113+CW113=2,1,IF(BS113+CW113=1,1,0))</f>
        <v>0</v>
      </c>
      <c r="JV113" s="189">
        <f t="shared" ref="JV113" si="1203">IF(BT113+CX113=2,1,IF(BT113+CX113=1,1,0))</f>
        <v>0</v>
      </c>
      <c r="JW113" s="189">
        <f t="shared" ref="JW113" si="1204">IF(BU113+CY113=2,1,IF(BU113+CY113=1,1,0))</f>
        <v>0</v>
      </c>
      <c r="JX113" s="189">
        <f t="shared" ref="JX113" si="1205">IF(BV113+CZ113=2,1,IF(BV113+CZ113=1,1,0))</f>
        <v>0</v>
      </c>
      <c r="JY113" s="189">
        <f t="shared" ref="JY113" si="1206">IF(BW113+DA113=2,1,IF(BW113+DA113=1,1,0))</f>
        <v>0</v>
      </c>
      <c r="JZ113" s="189">
        <f t="shared" ref="JZ113" si="1207">IF(BX113+DB113=2,1,IF(BX113+DB113=1,1,0))</f>
        <v>0</v>
      </c>
      <c r="KA113" s="189">
        <f t="shared" ref="KA113" si="1208">IF(BY113+DC113=2,1,IF(BY113+DC113=1,1,0))</f>
        <v>0</v>
      </c>
      <c r="KB113" s="189">
        <f t="shared" ref="KB113" si="1209">IF(BZ113+DD113=2,1,IF(BZ113+DD113=1,1,0))</f>
        <v>0</v>
      </c>
      <c r="KD113" s="206">
        <f t="shared" ref="KD113" si="1210">IF(IF(SUM(GA113:GE113)&gt;100,1,0)+IF(FX113=1,1,0)=2,1,0)</f>
        <v>0</v>
      </c>
      <c r="KE113" s="206">
        <f t="shared" ref="KE113" si="1211">IF(KD113=1,KF113,0)</f>
        <v>0</v>
      </c>
      <c r="KF113" s="206">
        <f t="shared" ref="KF113" si="1212">CD113+DH113</f>
        <v>0</v>
      </c>
      <c r="KG113" s="206">
        <f t="shared" ref="KG113" si="1213">CE113+DI113</f>
        <v>0</v>
      </c>
      <c r="KH113" s="206">
        <f t="shared" ref="KH113" si="1214">CF113+DJ113</f>
        <v>0</v>
      </c>
      <c r="KI113" s="206">
        <f t="shared" ref="KI113" si="1215">CG113+DK113</f>
        <v>0</v>
      </c>
      <c r="KJ113" s="206">
        <f t="shared" ref="KJ113" si="1216">CH113+DL113</f>
        <v>0</v>
      </c>
      <c r="KK113" s="206">
        <f t="shared" ref="KK113" si="1217">CI113+DM113</f>
        <v>0</v>
      </c>
      <c r="KL113" s="206">
        <f t="shared" ref="KL113" si="1218">CJ113+DN113</f>
        <v>0</v>
      </c>
      <c r="KM113" s="206">
        <f t="shared" ref="KM113" si="1219">CK113+DO113</f>
        <v>0</v>
      </c>
      <c r="KN113" s="221">
        <f t="shared" ref="KN113" si="1220">CL113+DP113</f>
        <v>0</v>
      </c>
      <c r="KO113" s="221">
        <f t="shared" ref="KO113" si="1221">CM113+DQ113</f>
        <v>0</v>
      </c>
      <c r="KP113" s="221">
        <f t="shared" ref="KP113" si="1222">CN113+DR113</f>
        <v>0</v>
      </c>
      <c r="KQ113" s="221">
        <f t="shared" ref="KQ113" si="1223">CO113+DS113</f>
        <v>0</v>
      </c>
      <c r="KR113" s="221">
        <f t="shared" ref="KR113" si="1224">CP113+DT113</f>
        <v>0</v>
      </c>
      <c r="KS113" s="195">
        <v>2</v>
      </c>
      <c r="KT113" s="195">
        <f t="shared" ref="KT113" si="1225">AN113</f>
        <v>1</v>
      </c>
      <c r="KU113" s="221"/>
      <c r="KV113" s="221"/>
      <c r="KW113" s="221"/>
      <c r="KX113" s="221"/>
      <c r="KY113" s="221"/>
      <c r="KZ113" s="221"/>
      <c r="LA113" s="221"/>
      <c r="LB113" s="221"/>
      <c r="LC113" s="221"/>
      <c r="LD113" s="221"/>
      <c r="LE113" s="221"/>
      <c r="LF113" s="221"/>
      <c r="LG113" s="221"/>
      <c r="LH113" s="221"/>
      <c r="LI113" s="221"/>
      <c r="LJ113" s="221"/>
      <c r="LK113" s="221"/>
      <c r="LL113" s="221"/>
      <c r="LM113" s="221">
        <v>1</v>
      </c>
      <c r="LN113" s="221">
        <v>1</v>
      </c>
      <c r="LO113" s="221"/>
      <c r="LP113" s="221"/>
      <c r="LQ113" s="221"/>
      <c r="LR113" s="221"/>
      <c r="LS113" s="221"/>
      <c r="LT113" s="221"/>
      <c r="LU113" s="221"/>
      <c r="LV113" s="221"/>
      <c r="LW113" s="221"/>
      <c r="LX113" s="221"/>
      <c r="LY113" s="221"/>
      <c r="LZ113" s="221"/>
      <c r="MA113" s="221"/>
      <c r="MB113" s="221"/>
      <c r="MC113" s="221"/>
      <c r="MD113" s="221"/>
      <c r="ME113" s="221"/>
      <c r="MF113" s="221"/>
      <c r="MG113" s="221"/>
      <c r="MH113" s="221"/>
      <c r="MI113" s="221"/>
      <c r="MJ113" s="221"/>
      <c r="MK113" s="221"/>
      <c r="ML113" s="221"/>
      <c r="MM113" s="221"/>
      <c r="MN113" s="221"/>
      <c r="MO113" s="221"/>
      <c r="MP113" s="221"/>
      <c r="MQ113" s="221"/>
      <c r="MR113" s="221"/>
      <c r="MS113" s="221"/>
      <c r="MT113" s="221"/>
      <c r="MU113" s="221"/>
      <c r="MV113" s="221"/>
      <c r="MW113" s="221"/>
      <c r="MX113" s="221"/>
      <c r="MY113" s="221"/>
      <c r="MZ113" s="221"/>
      <c r="NA113" s="221"/>
      <c r="NB113" s="221"/>
      <c r="NC113" s="221"/>
      <c r="ND113" s="221"/>
      <c r="NE113" s="221"/>
      <c r="NF113" s="221"/>
      <c r="NG113" s="221"/>
      <c r="NH113" s="221"/>
      <c r="NI113" s="221"/>
      <c r="NJ113" s="221"/>
      <c r="NK113" s="221"/>
      <c r="NM113" s="195">
        <f t="shared" ref="NM113" si="1226">IF(KS113=1,1,0)</f>
        <v>0</v>
      </c>
      <c r="NN113" s="195">
        <f t="shared" ref="NN113" si="1227">IF(KS113=2,1,0)</f>
        <v>1</v>
      </c>
      <c r="NO113" s="195">
        <f t="shared" ref="NO113" si="1228">IF(KS113=3,1,0)</f>
        <v>0</v>
      </c>
      <c r="NP113" s="195">
        <f t="shared" ref="NP113" si="1229">IF(KS113=4,1,0)</f>
        <v>0</v>
      </c>
      <c r="NQ113" s="195">
        <f t="shared" ref="NQ113" si="1230">IF(KS113=5,1,0)</f>
        <v>0</v>
      </c>
      <c r="NR113" s="195">
        <f t="shared" ref="NR113" si="1231">IF(KS113=6,1,0)</f>
        <v>0</v>
      </c>
      <c r="NS113" s="195">
        <f t="shared" ref="NS113" si="1232">IF(KS113=7,1,0)</f>
        <v>0</v>
      </c>
      <c r="NT113" s="195">
        <f t="shared" ref="NT113" si="1233">SUM(NM113:NS113)</f>
        <v>1</v>
      </c>
      <c r="NU113" s="196">
        <f t="shared" ref="NU113" si="1234">NT113-KT113</f>
        <v>0</v>
      </c>
      <c r="NY113" s="215"/>
      <c r="OE113" s="207"/>
      <c r="OF113" s="207"/>
      <c r="OG113" s="207"/>
      <c r="OH113" s="207"/>
      <c r="OI113" s="207"/>
      <c r="OJ113" s="199"/>
      <c r="OK113" s="199"/>
      <c r="OL113" s="199"/>
      <c r="OM113" s="199"/>
      <c r="OO113" s="207"/>
      <c r="OP113" s="207"/>
      <c r="OQ113" s="207"/>
      <c r="OR113" s="207"/>
      <c r="OS113" s="207"/>
      <c r="OT113" s="199"/>
      <c r="OU113" s="199"/>
      <c r="OV113" s="199"/>
      <c r="OW113" s="199"/>
      <c r="OZ113" s="208">
        <f t="shared" ref="OZ113" si="1235">AN113</f>
        <v>1</v>
      </c>
      <c r="PA113" s="209">
        <v>1</v>
      </c>
      <c r="PB113" s="209"/>
      <c r="PC113" s="209"/>
      <c r="PD113" s="210">
        <f t="shared" si="433"/>
        <v>0</v>
      </c>
      <c r="PE113" s="210"/>
      <c r="PF113" s="210">
        <f t="shared" si="434"/>
        <v>0</v>
      </c>
      <c r="PG113" s="210">
        <f t="shared" si="435"/>
        <v>210</v>
      </c>
      <c r="PH113" s="210">
        <f t="shared" si="381"/>
        <v>0</v>
      </c>
      <c r="PI113" s="210">
        <f t="shared" si="382"/>
        <v>0</v>
      </c>
      <c r="PJ113" s="210">
        <f t="shared" si="383"/>
        <v>0</v>
      </c>
      <c r="PK113" s="210">
        <f t="shared" si="384"/>
        <v>0</v>
      </c>
      <c r="PL113" s="210">
        <f t="shared" si="385"/>
        <v>0</v>
      </c>
      <c r="PM113" s="211"/>
      <c r="PN113" s="211"/>
      <c r="PO113" s="212">
        <f t="shared" ref="PO113" si="1236">IF(FC113=1,AB113,0)</f>
        <v>0</v>
      </c>
      <c r="PP113" s="212">
        <f t="shared" ref="PP113" si="1237">IF(FF113=1,AB113,0)</f>
        <v>0</v>
      </c>
      <c r="PQ113" s="212">
        <f t="shared" ref="PQ113" si="1238">AB113-(PO113+PP113)</f>
        <v>0</v>
      </c>
      <c r="PR113" s="211"/>
      <c r="PS113" s="211"/>
      <c r="PT113" s="211"/>
      <c r="PU113" s="211"/>
    </row>
    <row r="114" spans="1:437 16383:16384" s="195" customFormat="1" ht="16" x14ac:dyDescent="0.2">
      <c r="A114" s="213">
        <f t="shared" si="810"/>
        <v>104</v>
      </c>
      <c r="B114" s="237" t="s">
        <v>673</v>
      </c>
      <c r="C114" s="186">
        <v>3</v>
      </c>
      <c r="D114" s="188">
        <v>1</v>
      </c>
      <c r="E114" s="188">
        <v>92</v>
      </c>
      <c r="F114" s="188">
        <v>1</v>
      </c>
      <c r="G114" s="188">
        <f t="shared" si="812"/>
        <v>92</v>
      </c>
      <c r="H114" s="214">
        <f t="shared" ref="H114:H122" si="1239">F114/$D114</f>
        <v>1</v>
      </c>
      <c r="I114" s="214">
        <v>0</v>
      </c>
      <c r="J114" s="188">
        <v>1</v>
      </c>
      <c r="K114" s="188">
        <f t="shared" ref="K114:K122" si="1240">IF(J114=D114,E114,0)</f>
        <v>92</v>
      </c>
      <c r="L114" s="214">
        <f t="shared" ref="L114:L122" si="1241">J114/$D114</f>
        <v>1</v>
      </c>
      <c r="M114" s="214">
        <v>0</v>
      </c>
      <c r="N114" s="188">
        <v>1</v>
      </c>
      <c r="O114" s="188">
        <f t="shared" ref="O114:O122" si="1242">IF(N114=D114,E114,0)</f>
        <v>92</v>
      </c>
      <c r="P114" s="214">
        <f t="shared" ref="P114:P122" si="1243">N114/$D114</f>
        <v>1</v>
      </c>
      <c r="Q114" s="214">
        <f t="shared" ref="Q114:Q122" si="1244">O114/$E114</f>
        <v>1</v>
      </c>
      <c r="R114" s="188"/>
      <c r="S114" s="188">
        <f t="shared" ref="S114:S122" si="1245">IF(R114=D114,E114,0)</f>
        <v>0</v>
      </c>
      <c r="T114" s="214">
        <f t="shared" ref="T114:T122" si="1246">R114/$D114</f>
        <v>0</v>
      </c>
      <c r="U114" s="214">
        <f t="shared" ref="U114:U122" si="1247">S114/$E114</f>
        <v>0</v>
      </c>
      <c r="V114" s="215"/>
      <c r="W114" s="188">
        <f t="shared" ref="W114:W122" si="1248">IF(V114=D114,E114,0)</f>
        <v>0</v>
      </c>
      <c r="X114" s="214">
        <f t="shared" ref="X114:X122" si="1249">V114/$D114</f>
        <v>0</v>
      </c>
      <c r="Y114" s="214">
        <f t="shared" ref="Y114:Y122" si="1250">W114/$E114</f>
        <v>0</v>
      </c>
      <c r="Z114" s="216"/>
      <c r="AA114" s="188">
        <v>0</v>
      </c>
      <c r="AB114" s="188">
        <v>0</v>
      </c>
      <c r="AC114" s="214">
        <f t="shared" ref="AC114:AC122" si="1251">AA114/$D114</f>
        <v>0</v>
      </c>
      <c r="AD114" s="214">
        <f t="shared" ref="AD114:AD122" si="1252">AB114/$E114</f>
        <v>0</v>
      </c>
      <c r="AE114" s="188"/>
      <c r="AF114" s="188">
        <f t="shared" ref="AF114:AF122" si="1253">R114-V114</f>
        <v>0</v>
      </c>
      <c r="AG114" s="188"/>
      <c r="AH114" s="188"/>
      <c r="AI114" s="188"/>
      <c r="AJ114" s="188"/>
      <c r="AK114" s="188"/>
      <c r="AL114" s="188"/>
      <c r="AM114" s="188"/>
      <c r="AN114" s="217">
        <v>1</v>
      </c>
      <c r="AO114" s="188">
        <f t="shared" ref="AO114:AO122" si="1254">IF(AI114=1,D114,0)</f>
        <v>0</v>
      </c>
      <c r="AP114" s="188">
        <f t="shared" ref="AP114:AP122" si="1255">IF(AO114=D114,E114,0)</f>
        <v>0</v>
      </c>
      <c r="AQ114" s="188">
        <f t="shared" ref="AQ114:AQ122" si="1256">IF(AI114=1,J114,0)</f>
        <v>0</v>
      </c>
      <c r="AR114" s="188">
        <f t="shared" ref="AR114:AR122" si="1257">IF(AQ114=1,K114,0)</f>
        <v>0</v>
      </c>
      <c r="AS114" s="188">
        <f t="shared" ref="AS114:AS122" si="1258">IF(AI114=1,N114,0)</f>
        <v>0</v>
      </c>
      <c r="AT114" s="188">
        <f t="shared" ref="AT114:AT122" si="1259">IF(AS114=1,O114,0)</f>
        <v>0</v>
      </c>
      <c r="AU114" s="188">
        <f t="shared" ref="AU114:AU122" si="1260">IF(AI114=1,R114,0)</f>
        <v>0</v>
      </c>
      <c r="AV114" s="188">
        <f t="shared" ref="AV114:AV122" si="1261">IF(AU114=1,S114,0)</f>
        <v>0</v>
      </c>
      <c r="AW114" s="188">
        <f t="shared" ref="AW114:AW122" si="1262">IF(AI114=1,V114,0)</f>
        <v>0</v>
      </c>
      <c r="AX114" s="188">
        <f t="shared" ref="AX114:AX122" si="1263">IF(AW114=1,W114,0)</f>
        <v>0</v>
      </c>
      <c r="AY114" s="188">
        <f t="shared" ref="AY114:AY122" si="1264">AU114-AW114</f>
        <v>0</v>
      </c>
      <c r="AZ114" s="188">
        <f t="shared" ref="AZ114:AZ122" si="1265">AV114-AX114</f>
        <v>0</v>
      </c>
      <c r="BA114" s="188">
        <f t="shared" ref="BA114:BA122" si="1266">IF(AW114=1,Z114,0)</f>
        <v>0</v>
      </c>
      <c r="BB114" s="188">
        <f t="shared" ref="BB114:BB122" si="1267">IF(AN114=1,E114,0)</f>
        <v>92</v>
      </c>
      <c r="BD114" s="196">
        <f t="shared" ref="BD114:BD122" si="1268">S114-W114-BE114</f>
        <v>0</v>
      </c>
      <c r="BE114" s="188">
        <f t="shared" ref="BE114:BE122" si="1269">IF(AF114=1,S114,0)</f>
        <v>0</v>
      </c>
      <c r="BF114" s="188">
        <f t="shared" ref="BF114:BF122" si="1270">IF(AG114="A",S114,0)</f>
        <v>0</v>
      </c>
      <c r="BG114" s="188">
        <f t="shared" ref="BG114:BG122" si="1271">IF(AG114="B",S114,0)</f>
        <v>0</v>
      </c>
      <c r="BH114" s="188">
        <f t="shared" ref="BH114:BH122" si="1272">IF(AG114="C",S114,0)</f>
        <v>0</v>
      </c>
      <c r="BI114" s="188">
        <f t="shared" ref="BI114:BI122" si="1273">IF(AG114="D",S114,0)</f>
        <v>0</v>
      </c>
      <c r="BJ114" s="188">
        <f t="shared" ref="BJ114:BJ122" si="1274">IF(AG114="E",S114,0)</f>
        <v>0</v>
      </c>
      <c r="BK114" s="188">
        <f t="shared" ref="BK114:BK122" si="1275">SUM(BF114:BJ114)</f>
        <v>0</v>
      </c>
      <c r="BN114" s="215"/>
      <c r="BO114" s="188"/>
      <c r="BP114" s="188"/>
      <c r="BQ114" s="188"/>
      <c r="BR114" s="188"/>
      <c r="BS114" s="188"/>
      <c r="BT114" s="188"/>
      <c r="BU114" s="188"/>
      <c r="BV114" s="188"/>
      <c r="BW114" s="188"/>
      <c r="BX114" s="188"/>
      <c r="BY114" s="188"/>
      <c r="BZ114" s="188"/>
      <c r="CB114" s="188"/>
      <c r="CD114" s="188">
        <f t="shared" ref="CD114:CD122" si="1276">BN114</f>
        <v>0</v>
      </c>
      <c r="CE114" s="188">
        <f t="shared" ref="CE114:CE122" si="1277">IF(BO114=1,$CD114,0)</f>
        <v>0</v>
      </c>
      <c r="CF114" s="188">
        <f t="shared" ref="CF114:CF122" si="1278">IF(BP114=1,$CD114,0)</f>
        <v>0</v>
      </c>
      <c r="CG114" s="188">
        <f t="shared" ref="CG114:CG122" si="1279">IF(BQ114=1,$CD114,0)</f>
        <v>0</v>
      </c>
      <c r="CH114" s="188">
        <f t="shared" ref="CH114:CH122" si="1280">IF(BR114=1,$CD114,0)</f>
        <v>0</v>
      </c>
      <c r="CI114" s="188">
        <f t="shared" ref="CI114:CI122" si="1281">IF(BS114=1,$CD114,0)</f>
        <v>0</v>
      </c>
      <c r="CJ114" s="188">
        <f t="shared" ref="CJ114:CJ122" si="1282">IF(BT114=1,$CD114,0)</f>
        <v>0</v>
      </c>
      <c r="CK114" s="188">
        <f t="shared" ref="CK114:CK122" si="1283">IF(BU114=1,$CD114,0)</f>
        <v>0</v>
      </c>
      <c r="CL114" s="188">
        <f t="shared" ref="CL114:CL122" si="1284">IF(BV114=1,$CD114,0)</f>
        <v>0</v>
      </c>
      <c r="CM114" s="188">
        <f t="shared" ref="CM114:CM122" si="1285">IF(BW114=1,$CD114,0)</f>
        <v>0</v>
      </c>
      <c r="CN114" s="188">
        <f t="shared" ref="CN114:CN122" si="1286">IF(BX114=1,$CD114,0)</f>
        <v>0</v>
      </c>
      <c r="CO114" s="188">
        <f t="shared" ref="CO114:CO122" si="1287">IF(BY114=1,$CD114,0)</f>
        <v>0</v>
      </c>
      <c r="CP114" s="188">
        <f t="shared" ref="CP114:CP122" si="1288">IF(BZ114=1,$CD114,0)</f>
        <v>0</v>
      </c>
      <c r="DV114" s="188">
        <f t="shared" ref="DV114:DV122" si="1289">IF(CB114=1,G114,0)</f>
        <v>0</v>
      </c>
      <c r="DW114" s="188">
        <f t="shared" ref="DW114:DW122" si="1290">IF(CC114="A",G114,0)</f>
        <v>0</v>
      </c>
      <c r="DX114" s="188">
        <f t="shared" ref="DX114:DX122" si="1291">IF(CC114="B",G114,0)</f>
        <v>0</v>
      </c>
      <c r="DY114" s="188">
        <f t="shared" ref="DY114:DY122" si="1292">IF(CC114="C",G114,0)</f>
        <v>0</v>
      </c>
      <c r="DZ114" s="188">
        <f t="shared" ref="DZ114:DZ122" si="1293">IF(CC114="D",G114,0)</f>
        <v>0</v>
      </c>
      <c r="EA114" s="188">
        <f t="shared" ref="EA114:EA122" si="1294">IF(CC114="E",G114,0)</f>
        <v>0</v>
      </c>
      <c r="EB114" s="188">
        <f t="shared" ref="EB114:EB122" si="1295">SUM(DW114:EA114)</f>
        <v>0</v>
      </c>
      <c r="EG114" s="220">
        <f t="shared" ref="EG114:EG122" si="1296">IF(AG114="C","C",IF(AG114="D","D",0))</f>
        <v>0</v>
      </c>
      <c r="EH114" s="220">
        <f t="shared" ref="EH114:EH122" si="1297">CC114</f>
        <v>0</v>
      </c>
      <c r="EI114" s="188"/>
      <c r="EJ114" s="188"/>
      <c r="EK114" s="188"/>
      <c r="EL114" s="188"/>
      <c r="EM114" s="188"/>
      <c r="EN114" s="188"/>
      <c r="EO114" s="188" t="s">
        <v>696</v>
      </c>
      <c r="EP114" s="188"/>
      <c r="EQ114" s="188"/>
      <c r="ER114" s="188"/>
      <c r="ES114" s="188"/>
      <c r="ET114" s="188"/>
      <c r="EU114" s="188"/>
      <c r="EV114" s="188"/>
      <c r="EW114" s="188"/>
      <c r="EX114" s="188"/>
      <c r="EY114" s="188"/>
      <c r="EZ114" s="188"/>
      <c r="FA114" s="188"/>
      <c r="FB114" s="188"/>
      <c r="FC114" s="188"/>
      <c r="FD114" s="188"/>
      <c r="FE114" s="188"/>
      <c r="FF114" s="188"/>
      <c r="FH114" s="188"/>
      <c r="FI114" s="188"/>
      <c r="FJ114" s="188"/>
      <c r="FK114" s="188"/>
      <c r="FL114" s="188"/>
      <c r="FM114" s="188"/>
      <c r="FN114" s="188"/>
      <c r="FO114" s="188"/>
      <c r="FP114" s="188"/>
      <c r="FQ114" s="188"/>
      <c r="FR114" s="188"/>
      <c r="FS114" s="188"/>
      <c r="FT114" s="188"/>
      <c r="FU114" s="188"/>
      <c r="FV114" s="188"/>
      <c r="FX114" s="188">
        <f t="shared" ref="FX114:FX122" si="1298">FL114*FU114/1000000000</f>
        <v>0</v>
      </c>
      <c r="FY114" s="188">
        <f t="shared" ref="FY114:FY122" si="1299">SUM(FZ114:GE114)</f>
        <v>0</v>
      </c>
      <c r="FZ114" s="188">
        <f t="shared" ref="FZ114:FZ122" si="1300">DI114+CE114</f>
        <v>0</v>
      </c>
      <c r="GA114" s="188">
        <f t="shared" ref="GA114:GA122" si="1301">DJ114+CF114</f>
        <v>0</v>
      </c>
      <c r="GB114" s="188">
        <f t="shared" ref="GB114:GB122" si="1302">DK114+CG114</f>
        <v>0</v>
      </c>
      <c r="GC114" s="188">
        <f t="shared" ref="GC114:GC122" si="1303">DM114+CI114</f>
        <v>0</v>
      </c>
      <c r="GD114" s="234">
        <f t="shared" ref="GD114:GD122" si="1304">DO114+CK114</f>
        <v>0</v>
      </c>
      <c r="GE114" s="188">
        <f t="shared" ref="GE114:GE122" si="1305">DT114+CP114</f>
        <v>0</v>
      </c>
      <c r="GF114" s="235"/>
      <c r="GG114" s="188">
        <v>0</v>
      </c>
      <c r="GH114" s="188">
        <v>0</v>
      </c>
      <c r="GI114" s="235"/>
      <c r="GJ114" s="224">
        <f t="shared" ref="GJ114:GJ122" si="1306">FY114*GG114/1000000000</f>
        <v>0</v>
      </c>
      <c r="GK114" s="224">
        <f t="shared" ref="GK114:GK122" si="1307">FY114*GH114/1000000000</f>
        <v>0</v>
      </c>
      <c r="GO114" s="188"/>
      <c r="GP114" s="188">
        <f t="shared" ref="GP114:GP122" si="1308">D114-J114</f>
        <v>0</v>
      </c>
      <c r="GQ114" s="188">
        <f t="shared" ref="GQ114:GQ122" si="1309">D114-N114</f>
        <v>0</v>
      </c>
      <c r="GR114" s="188">
        <f t="shared" ref="GR114:GR122" si="1310">D114-R114</f>
        <v>1</v>
      </c>
      <c r="GS114" s="188">
        <f t="shared" ref="GS114:GS122" si="1311">D114-V114</f>
        <v>1</v>
      </c>
      <c r="GT114" s="188">
        <f t="shared" ref="GT114:GT122" si="1312">IF(SUM(GO114:GS114)=0,1,0)</f>
        <v>0</v>
      </c>
      <c r="GU114" s="232">
        <f t="shared" si="388"/>
        <v>43243</v>
      </c>
      <c r="GV114" s="188" t="str">
        <f t="shared" ref="GV114:GV122" si="1313">IF(GO114&gt;0,$GO$6,IF(GP114&gt;0,$GP$6,IF(GQ114&gt;0,$GQ$6,IF(GR114&gt;0,$GR$6,IF(GS114&gt;0,$GS$6,IF(GT114&gt;0,$GT$6,0))))))</f>
        <v>Musyawarah</v>
      </c>
      <c r="GW114" s="188">
        <f t="shared" ref="GW114:GW122" si="1314">IF(GV114=$GO$6,GO114,IF(GV114=$GP$6,GP114,IF(GV114=$GQ$6,GQ114,IF(GV114=$GR$6,GR114,IF(GV114=$GS$6,GS114,0)))))</f>
        <v>1</v>
      </c>
      <c r="GX114" s="188" t="str">
        <f t="shared" ref="GX114:GX122" si="1315">GV114</f>
        <v>Musyawarah</v>
      </c>
      <c r="GY114" s="188">
        <f t="shared" ref="GY114:GY122" si="1316">IF(GX114="DNP",SUM($GY$4:$GY$8),IF(GX114="Survey KJPP",SUM($GY$5:$GY$8),IF(GX114="Hasil Valuasi",SUM($GY$6:$GY$8),IF(GX114="Musyawarah",SUM($GY$7:$GY$8),IF(GX114="UGR",$GY$8,0)))))</f>
        <v>24</v>
      </c>
      <c r="GZ114" s="228">
        <f t="shared" ref="GZ114:GZ122" si="1317">IF(GW114=0,"SELESAI",GU114+GY114)</f>
        <v>43267</v>
      </c>
      <c r="HA114" s="204"/>
      <c r="HB114" s="204"/>
      <c r="HC114" s="188">
        <f t="shared" ref="HC114:HC122" si="1318">IF(BH114&gt;0,1,IF(BI114&gt;0,1,0))</f>
        <v>0</v>
      </c>
      <c r="HD114" s="188">
        <f t="shared" ref="HD114:HD122" si="1319">IF(CB114&gt;0,1,0)</f>
        <v>0</v>
      </c>
      <c r="HE114" s="188">
        <f t="shared" ref="HE114:HE122" si="1320">HC114+HD114</f>
        <v>0</v>
      </c>
      <c r="HF114" s="188">
        <f t="shared" ref="HF114:HF122" si="1321">FQ114</f>
        <v>0</v>
      </c>
      <c r="HG114" s="188">
        <f t="shared" ref="HG114:HG122" si="1322">HE114-HF114</f>
        <v>0</v>
      </c>
      <c r="HH114" s="228" t="str">
        <f t="shared" ref="HH114:HH122" si="1323">IF(HG114=1,GU114+$HH$8,"TIDAK KONSINYASI")</f>
        <v>TIDAK KONSINYASI</v>
      </c>
      <c r="HI114" s="228">
        <f t="shared" ref="HI114:HI122" si="1324">IF(GW114=0,"SELESAI",GZ114+$HI$8)</f>
        <v>43312</v>
      </c>
      <c r="HK114" s="228">
        <f t="shared" ref="HK114:HK122" si="1325">MAX(GZ114,HH114,HI114)</f>
        <v>43312</v>
      </c>
      <c r="HL114" s="204"/>
      <c r="HM114" s="204"/>
      <c r="HN114" s="204"/>
      <c r="HO114" s="204"/>
      <c r="HP114" s="203">
        <f t="shared" ref="HP114:HP122" si="1326">IF(HQ114=1,GZ114,0)</f>
        <v>0</v>
      </c>
      <c r="HQ114" s="202">
        <f t="shared" ref="HQ114:HQ122" si="1327">IF(IX114=0,IF(HT114=0,IF(IP114=0,IF(GV114="UGR",GS114,0),0),0),0)</f>
        <v>0</v>
      </c>
      <c r="HR114" s="202">
        <f t="shared" ref="HR114:HR122" si="1328">IF(HQ114=1,E114,0)</f>
        <v>0</v>
      </c>
      <c r="HS114" s="203">
        <f t="shared" ref="HS114:HS122" si="1329">IF(HT114=1,HH114,0)</f>
        <v>0</v>
      </c>
      <c r="HT114" s="202">
        <f t="shared" ref="HT114:HT122" si="1330">HG114</f>
        <v>0</v>
      </c>
      <c r="HU114" s="202">
        <f t="shared" ref="HU114:HU122" si="1331">IF(HT114=1,E114,0)</f>
        <v>0</v>
      </c>
      <c r="HV114" s="203">
        <f t="shared" ref="HV114:HV122" si="1332">IF(HW114=1,GZ114,0)</f>
        <v>0</v>
      </c>
      <c r="HW114" s="202">
        <f t="shared" ref="HW114:HW122" si="1333">IF(JB114=0,IF(IX114=0,IF(HT114=0,IF(GV114="MUSYAWARAH",GR114,0),0),0),0)</f>
        <v>0</v>
      </c>
      <c r="HX114" s="202">
        <f t="shared" ref="HX114:HX122" si="1334">IF(HW114=1,E114,0)</f>
        <v>0</v>
      </c>
      <c r="HY114" s="203">
        <f t="shared" ref="HY114:HY122" si="1335">IF(HZ114=1,HV114+$HI$8,0)</f>
        <v>0</v>
      </c>
      <c r="HZ114" s="202">
        <f t="shared" ref="HZ114:HZ122" si="1336">HW114</f>
        <v>0</v>
      </c>
      <c r="IA114" s="202">
        <f t="shared" ref="IA114:IA122" si="1337">IF(HZ114=1,E114,0)</f>
        <v>0</v>
      </c>
      <c r="IB114" s="236">
        <f t="shared" ref="IB114:IB122" si="1338">IF(IC114=1,$GU$3+SUM($GY$6:$GY$8),0)</f>
        <v>0</v>
      </c>
      <c r="IC114" s="188">
        <f t="shared" ref="IC114:IC122" si="1339">IF(GV114="Hasil Valuasi",GQ114,0)</f>
        <v>0</v>
      </c>
      <c r="ID114" s="188">
        <f t="shared" ref="ID114:ID122" si="1340">IF(IC114=1,E114,0)</f>
        <v>0</v>
      </c>
      <c r="IE114" s="228">
        <f t="shared" ref="IE114:IE122" si="1341">IF(IF114=1,IB114+$HI$8,0)</f>
        <v>0</v>
      </c>
      <c r="IF114" s="188">
        <f t="shared" ref="IF114:IF122" si="1342">IC114</f>
        <v>0</v>
      </c>
      <c r="IG114" s="188">
        <f t="shared" ref="IG114:IG122" si="1343">IF(IF114=1,E114,0)</f>
        <v>0</v>
      </c>
      <c r="IH114" s="228">
        <f t="shared" ref="IH114:IH122" si="1344">IF(II114=1,$GU$3+SUM($GY$5:$GY$8),0)</f>
        <v>0</v>
      </c>
      <c r="II114" s="188">
        <f t="shared" ref="II114:II122" si="1345">IF(GV114="Survey KJPP",GP114,0)</f>
        <v>0</v>
      </c>
      <c r="IJ114" s="188">
        <f t="shared" ref="IJ114:IJ122" si="1346">IF(II114=1,E114,0)</f>
        <v>0</v>
      </c>
      <c r="IK114" s="228">
        <f t="shared" ref="IK114:IK122" si="1347">IF(IL114=1,IH114+$HI$8,0)</f>
        <v>0</v>
      </c>
      <c r="IL114" s="188">
        <f t="shared" ref="IL114:IL122" si="1348">II114</f>
        <v>0</v>
      </c>
      <c r="IM114" s="188">
        <f t="shared" ref="IM114:IM122" si="1349">IF(IL114=1,E114,0)</f>
        <v>0</v>
      </c>
      <c r="IN114" s="204"/>
      <c r="IO114" s="228">
        <f t="shared" ref="IO114:IO122" si="1350">IF(IP114=1,+$GU$3+$HH$8,0)</f>
        <v>0</v>
      </c>
      <c r="IP114" s="188">
        <f t="shared" ref="IP114:IP122" si="1351">IF(BG114&gt;0,1,0)</f>
        <v>0</v>
      </c>
      <c r="IQ114" s="188">
        <f t="shared" ref="IQ114:IQ122" si="1352">IF(IP114=1,E114,0)</f>
        <v>0</v>
      </c>
      <c r="IR114" s="204"/>
      <c r="IS114" s="228"/>
      <c r="IT114" s="188">
        <f t="shared" ref="IT114:IT122" si="1353">V114</f>
        <v>0</v>
      </c>
      <c r="IU114" s="188">
        <f t="shared" ref="IU114:IU122" si="1354">W114</f>
        <v>0</v>
      </c>
      <c r="IV114" s="204"/>
      <c r="IW114" s="228"/>
      <c r="IX114" s="188">
        <f t="shared" ref="IX114:IX122" si="1355">AA114</f>
        <v>0</v>
      </c>
      <c r="IY114" s="188">
        <f t="shared" ref="IY114:IY122" si="1356">AB114</f>
        <v>0</v>
      </c>
      <c r="IZ114" s="204"/>
      <c r="JA114" s="228"/>
      <c r="JB114" s="188">
        <f t="shared" ref="JB114:JB122" si="1357">AN114</f>
        <v>1</v>
      </c>
      <c r="JC114" s="188">
        <f t="shared" ref="JC114:JC122" si="1358">BB114</f>
        <v>92</v>
      </c>
      <c r="JD114" s="204"/>
      <c r="JE114" s="228"/>
      <c r="JF114" s="188">
        <f t="shared" ref="JF114:JF122" si="1359">IT114+HQ114+HT114+HZ114+IF114+IL114+IP114+IX114+JB114</f>
        <v>1</v>
      </c>
      <c r="JG114" s="188">
        <f t="shared" ref="JG114:JG122" si="1360">IU114+HR114+HU114+IA114+IG114+IM114+IQ114+IY114+JC114</f>
        <v>92</v>
      </c>
      <c r="JH114" s="204"/>
      <c r="JI114" s="228"/>
      <c r="JJ114" s="188">
        <f t="shared" ref="JJ114:JJ122" si="1361">JF114-D114</f>
        <v>0</v>
      </c>
      <c r="JK114" s="188">
        <f t="shared" ref="JK114:JK122" si="1362">JG114-E114</f>
        <v>0</v>
      </c>
      <c r="JM114" s="203">
        <f t="shared" ref="JM114:JM122" si="1363">MAX(IW114,IS114,IO114,IK114,IE114,HY114,HS114,HP114)</f>
        <v>0</v>
      </c>
      <c r="JO114" s="196">
        <f t="shared" ref="JO114:JO122" si="1364">SUM(JQ114:KB114)</f>
        <v>0</v>
      </c>
      <c r="JP114" s="189">
        <f t="shared" ref="JP114:JP122" si="1365">BN114+CR114</f>
        <v>0</v>
      </c>
      <c r="JQ114" s="189">
        <f t="shared" ref="JQ114:JQ122" si="1366">IF(BO114+CS114=2,1,IF(BO114+CS114=1,1,0))</f>
        <v>0</v>
      </c>
      <c r="JR114" s="189">
        <f t="shared" ref="JR114:JR122" si="1367">IF(BP114+CT114=2,1,IF(BP114+CT114=1,1,0))</f>
        <v>0</v>
      </c>
      <c r="JS114" s="189">
        <f t="shared" ref="JS114:JS122" si="1368">IF(BQ114+CU114=2,1,IF(BQ114+CU114=1,1,0))</f>
        <v>0</v>
      </c>
      <c r="JT114" s="189">
        <f t="shared" ref="JT114:JT122" si="1369">IF(BR114+CV114=2,1,IF(BR114+CV114=1,1,0))</f>
        <v>0</v>
      </c>
      <c r="JU114" s="189">
        <f t="shared" ref="JU114:JU122" si="1370">IF(BS114+CW114=2,1,IF(BS114+CW114=1,1,0))</f>
        <v>0</v>
      </c>
      <c r="JV114" s="189">
        <f t="shared" ref="JV114:JV122" si="1371">IF(BT114+CX114=2,1,IF(BT114+CX114=1,1,0))</f>
        <v>0</v>
      </c>
      <c r="JW114" s="189">
        <f t="shared" ref="JW114:JW122" si="1372">IF(BU114+CY114=2,1,IF(BU114+CY114=1,1,0))</f>
        <v>0</v>
      </c>
      <c r="JX114" s="189">
        <f t="shared" ref="JX114:JX122" si="1373">IF(BV114+CZ114=2,1,IF(BV114+CZ114=1,1,0))</f>
        <v>0</v>
      </c>
      <c r="JY114" s="189">
        <f t="shared" ref="JY114:JY122" si="1374">IF(BW114+DA114=2,1,IF(BW114+DA114=1,1,0))</f>
        <v>0</v>
      </c>
      <c r="JZ114" s="189">
        <f t="shared" ref="JZ114:JZ122" si="1375">IF(BX114+DB114=2,1,IF(BX114+DB114=1,1,0))</f>
        <v>0</v>
      </c>
      <c r="KA114" s="189">
        <f t="shared" ref="KA114:KA122" si="1376">IF(BY114+DC114=2,1,IF(BY114+DC114=1,1,0))</f>
        <v>0</v>
      </c>
      <c r="KB114" s="189">
        <f t="shared" ref="KB114:KB122" si="1377">IF(BZ114+DD114=2,1,IF(BZ114+DD114=1,1,0))</f>
        <v>0</v>
      </c>
      <c r="KD114" s="206">
        <f t="shared" ref="KD114:KD122" si="1378">IF(IF(SUM(GA114:GE114)&gt;100,1,0)+IF(FX114=1,1,0)=2,1,0)</f>
        <v>0</v>
      </c>
      <c r="KE114" s="206">
        <f t="shared" ref="KE114:KE122" si="1379">IF(KD114=1,KF114,0)</f>
        <v>0</v>
      </c>
      <c r="KF114" s="206">
        <f t="shared" ref="KF114:KF122" si="1380">CD114+DH114</f>
        <v>0</v>
      </c>
      <c r="KG114" s="206">
        <f t="shared" ref="KG114:KG122" si="1381">CE114+DI114</f>
        <v>0</v>
      </c>
      <c r="KH114" s="206">
        <f t="shared" ref="KH114:KH122" si="1382">CF114+DJ114</f>
        <v>0</v>
      </c>
      <c r="KI114" s="206">
        <f t="shared" ref="KI114:KI122" si="1383">CG114+DK114</f>
        <v>0</v>
      </c>
      <c r="KJ114" s="206">
        <f t="shared" ref="KJ114:KJ122" si="1384">CH114+DL114</f>
        <v>0</v>
      </c>
      <c r="KK114" s="206">
        <f t="shared" ref="KK114:KK122" si="1385">CI114+DM114</f>
        <v>0</v>
      </c>
      <c r="KL114" s="206">
        <f t="shared" ref="KL114:KL122" si="1386">CJ114+DN114</f>
        <v>0</v>
      </c>
      <c r="KM114" s="206">
        <f t="shared" ref="KM114:KM122" si="1387">CK114+DO114</f>
        <v>0</v>
      </c>
      <c r="KN114" s="221">
        <f t="shared" ref="KN114:KN122" si="1388">CL114+DP114</f>
        <v>0</v>
      </c>
      <c r="KO114" s="221">
        <f t="shared" ref="KO114:KO122" si="1389">CM114+DQ114</f>
        <v>0</v>
      </c>
      <c r="KP114" s="221">
        <f t="shared" ref="KP114:KP122" si="1390">CN114+DR114</f>
        <v>0</v>
      </c>
      <c r="KQ114" s="221">
        <f t="shared" ref="KQ114:KQ122" si="1391">CO114+DS114</f>
        <v>0</v>
      </c>
      <c r="KR114" s="221">
        <f t="shared" ref="KR114:KR122" si="1392">CP114+DT114</f>
        <v>0</v>
      </c>
      <c r="KS114" s="109">
        <v>2</v>
      </c>
      <c r="KT114" s="195">
        <f t="shared" ref="KT114:KT122" si="1393">AN114</f>
        <v>1</v>
      </c>
      <c r="KU114" s="221"/>
      <c r="KV114" s="221"/>
      <c r="KW114" s="221"/>
      <c r="KX114" s="221"/>
      <c r="KY114" s="221"/>
      <c r="KZ114" s="221"/>
      <c r="LA114" s="221"/>
      <c r="LB114" s="221"/>
      <c r="LC114" s="221"/>
      <c r="LD114" s="221"/>
      <c r="LE114" s="221"/>
      <c r="LF114" s="221"/>
      <c r="LG114" s="221"/>
      <c r="LH114" s="221"/>
      <c r="LI114" s="221"/>
      <c r="LJ114" s="221"/>
      <c r="LK114" s="221"/>
      <c r="LL114" s="221"/>
      <c r="LM114" s="221"/>
      <c r="LN114" s="221"/>
      <c r="LO114" s="221"/>
      <c r="LP114" s="221"/>
      <c r="LQ114" s="221"/>
      <c r="LR114" s="221"/>
      <c r="LS114" s="221"/>
      <c r="LT114" s="221"/>
      <c r="LU114" s="221"/>
      <c r="LV114" s="221"/>
      <c r="LW114" s="221"/>
      <c r="LX114" s="221"/>
      <c r="LY114" s="221"/>
      <c r="LZ114" s="221"/>
      <c r="MA114" s="221"/>
      <c r="MB114" s="221"/>
      <c r="MC114" s="221"/>
      <c r="MD114" s="221"/>
      <c r="ME114" s="221"/>
      <c r="MF114" s="221"/>
      <c r="MG114" s="221"/>
      <c r="MH114" s="221"/>
      <c r="MI114" s="221"/>
      <c r="MJ114" s="221"/>
      <c r="MK114" s="221"/>
      <c r="ML114" s="221"/>
      <c r="MM114" s="221"/>
      <c r="MN114" s="221"/>
      <c r="MO114" s="221"/>
      <c r="MP114" s="221"/>
      <c r="MQ114" s="221"/>
      <c r="MR114" s="221"/>
      <c r="MS114" s="221"/>
      <c r="MT114" s="221"/>
      <c r="MU114" s="221"/>
      <c r="MV114" s="221"/>
      <c r="MW114" s="221"/>
      <c r="MX114" s="221"/>
      <c r="MY114" s="221"/>
      <c r="MZ114" s="221"/>
      <c r="NA114" s="221"/>
      <c r="NB114" s="221"/>
      <c r="NC114" s="221"/>
      <c r="ND114" s="221"/>
      <c r="NE114" s="221"/>
      <c r="NF114" s="221"/>
      <c r="NG114" s="221"/>
      <c r="NH114" s="221"/>
      <c r="NI114" s="221"/>
      <c r="NJ114" s="221"/>
      <c r="NK114" s="221"/>
      <c r="NM114" s="195">
        <f t="shared" ref="NM114:NM122" si="1394">IF(KS114=1,1,0)</f>
        <v>0</v>
      </c>
      <c r="NN114" s="195">
        <f t="shared" ref="NN114:NN122" si="1395">IF(KS114=2,1,0)</f>
        <v>1</v>
      </c>
      <c r="NO114" s="195">
        <f t="shared" ref="NO114:NO122" si="1396">IF(KS114=3,1,0)</f>
        <v>0</v>
      </c>
      <c r="NP114" s="195">
        <f t="shared" ref="NP114:NP122" si="1397">IF(KS114=4,1,0)</f>
        <v>0</v>
      </c>
      <c r="NQ114" s="195">
        <f t="shared" ref="NQ114:NQ122" si="1398">IF(KS114=5,1,0)</f>
        <v>0</v>
      </c>
      <c r="NR114" s="195">
        <f t="shared" ref="NR114:NR122" si="1399">IF(KS114=6,1,0)</f>
        <v>0</v>
      </c>
      <c r="NS114" s="195">
        <f t="shared" ref="NS114:NS122" si="1400">IF(KS114=7,1,0)</f>
        <v>0</v>
      </c>
      <c r="NT114" s="195">
        <f t="shared" ref="NT114:NT122" si="1401">SUM(NM114:NS114)</f>
        <v>1</v>
      </c>
      <c r="NU114" s="196">
        <f t="shared" ref="NU114:NU122" si="1402">NT114-KT114</f>
        <v>0</v>
      </c>
      <c r="NY114" s="215"/>
      <c r="OE114" s="207"/>
      <c r="OF114" s="207"/>
      <c r="OG114" s="207"/>
      <c r="OH114" s="207"/>
      <c r="OI114" s="207"/>
      <c r="OJ114" s="199"/>
      <c r="OK114" s="199"/>
      <c r="OL114" s="199"/>
      <c r="OM114" s="199"/>
      <c r="OO114" s="207"/>
      <c r="OP114" s="207"/>
      <c r="OQ114" s="207"/>
      <c r="OR114" s="207"/>
      <c r="OS114" s="207"/>
      <c r="OT114" s="199"/>
      <c r="OU114" s="199"/>
      <c r="OV114" s="199"/>
      <c r="OW114" s="199"/>
      <c r="OZ114" s="208">
        <f t="shared" ref="OZ114:OZ122" si="1403">AN114</f>
        <v>1</v>
      </c>
      <c r="PA114" s="209">
        <v>1</v>
      </c>
      <c r="PB114" s="209"/>
      <c r="PC114" s="209"/>
      <c r="PD114" s="210">
        <f t="shared" si="433"/>
        <v>0</v>
      </c>
      <c r="PE114" s="210"/>
      <c r="PF114" s="210">
        <f t="shared" si="434"/>
        <v>0</v>
      </c>
      <c r="PG114" s="210">
        <f t="shared" si="435"/>
        <v>92</v>
      </c>
      <c r="PH114" s="210">
        <f t="shared" si="381"/>
        <v>0</v>
      </c>
      <c r="PI114" s="210">
        <f t="shared" si="382"/>
        <v>0</v>
      </c>
      <c r="PJ114" s="210">
        <f t="shared" si="383"/>
        <v>0</v>
      </c>
      <c r="PK114" s="210">
        <f t="shared" si="384"/>
        <v>0</v>
      </c>
      <c r="PL114" s="210">
        <f t="shared" si="385"/>
        <v>0</v>
      </c>
      <c r="PM114" s="211"/>
      <c r="PN114" s="211"/>
      <c r="PO114" s="212">
        <f t="shared" ref="PO114:PO122" si="1404">IF(FC114=1,AB114,0)</f>
        <v>0</v>
      </c>
      <c r="PP114" s="212">
        <f t="shared" ref="PP114:PP122" si="1405">IF(FF114=1,AB114,0)</f>
        <v>0</v>
      </c>
      <c r="PQ114" s="212">
        <f t="shared" ref="PQ114:PQ122" si="1406">AB114-(PO114+PP114)</f>
        <v>0</v>
      </c>
      <c r="PR114" s="211"/>
      <c r="PS114" s="211"/>
      <c r="PT114" s="211"/>
      <c r="PU114" s="211"/>
    </row>
    <row r="115" spans="1:437 16383:16384" s="195" customFormat="1" ht="16" x14ac:dyDescent="0.2">
      <c r="A115" s="213">
        <f t="shared" si="810"/>
        <v>105</v>
      </c>
      <c r="B115" s="237" t="s">
        <v>644</v>
      </c>
      <c r="C115" s="186">
        <v>4</v>
      </c>
      <c r="D115" s="188">
        <v>1</v>
      </c>
      <c r="E115" s="188">
        <v>51</v>
      </c>
      <c r="F115" s="188">
        <v>1</v>
      </c>
      <c r="G115" s="188">
        <f t="shared" si="812"/>
        <v>51</v>
      </c>
      <c r="H115" s="214">
        <f t="shared" si="1239"/>
        <v>1</v>
      </c>
      <c r="I115" s="214">
        <v>0</v>
      </c>
      <c r="J115" s="188">
        <v>1</v>
      </c>
      <c r="K115" s="188">
        <f t="shared" si="1240"/>
        <v>51</v>
      </c>
      <c r="L115" s="214">
        <f t="shared" si="1241"/>
        <v>1</v>
      </c>
      <c r="M115" s="214">
        <v>0</v>
      </c>
      <c r="N115" s="188">
        <v>1</v>
      </c>
      <c r="O115" s="188">
        <f t="shared" si="1242"/>
        <v>51</v>
      </c>
      <c r="P115" s="214">
        <f t="shared" si="1243"/>
        <v>1</v>
      </c>
      <c r="Q115" s="214">
        <f t="shared" si="1244"/>
        <v>1</v>
      </c>
      <c r="R115" s="188"/>
      <c r="S115" s="188">
        <f t="shared" si="1245"/>
        <v>0</v>
      </c>
      <c r="T115" s="214">
        <f t="shared" si="1246"/>
        <v>0</v>
      </c>
      <c r="U115" s="214">
        <f t="shared" si="1247"/>
        <v>0</v>
      </c>
      <c r="V115" s="215"/>
      <c r="W115" s="188">
        <f t="shared" si="1248"/>
        <v>0</v>
      </c>
      <c r="X115" s="214">
        <f t="shared" si="1249"/>
        <v>0</v>
      </c>
      <c r="Y115" s="214">
        <f t="shared" si="1250"/>
        <v>0</v>
      </c>
      <c r="Z115" s="216"/>
      <c r="AA115" s="188">
        <v>0</v>
      </c>
      <c r="AB115" s="188">
        <v>0</v>
      </c>
      <c r="AC115" s="214">
        <f t="shared" si="1251"/>
        <v>0</v>
      </c>
      <c r="AD115" s="214">
        <f t="shared" si="1252"/>
        <v>0</v>
      </c>
      <c r="AE115" s="188"/>
      <c r="AF115" s="188">
        <f t="shared" si="1253"/>
        <v>0</v>
      </c>
      <c r="AG115" s="188"/>
      <c r="AH115" s="188"/>
      <c r="AI115" s="188"/>
      <c r="AJ115" s="188"/>
      <c r="AK115" s="188"/>
      <c r="AL115" s="188"/>
      <c r="AM115" s="188"/>
      <c r="AN115" s="217">
        <v>1</v>
      </c>
      <c r="AO115" s="188">
        <f t="shared" si="1254"/>
        <v>0</v>
      </c>
      <c r="AP115" s="188">
        <f t="shared" si="1255"/>
        <v>0</v>
      </c>
      <c r="AQ115" s="188">
        <f t="shared" si="1256"/>
        <v>0</v>
      </c>
      <c r="AR115" s="188">
        <f t="shared" si="1257"/>
        <v>0</v>
      </c>
      <c r="AS115" s="188">
        <f t="shared" si="1258"/>
        <v>0</v>
      </c>
      <c r="AT115" s="188">
        <f t="shared" si="1259"/>
        <v>0</v>
      </c>
      <c r="AU115" s="188">
        <f t="shared" si="1260"/>
        <v>0</v>
      </c>
      <c r="AV115" s="188">
        <f t="shared" si="1261"/>
        <v>0</v>
      </c>
      <c r="AW115" s="188">
        <f t="shared" si="1262"/>
        <v>0</v>
      </c>
      <c r="AX115" s="188">
        <f t="shared" si="1263"/>
        <v>0</v>
      </c>
      <c r="AY115" s="188">
        <f t="shared" si="1264"/>
        <v>0</v>
      </c>
      <c r="AZ115" s="188">
        <f t="shared" si="1265"/>
        <v>0</v>
      </c>
      <c r="BA115" s="188">
        <f t="shared" si="1266"/>
        <v>0</v>
      </c>
      <c r="BB115" s="188">
        <f t="shared" si="1267"/>
        <v>51</v>
      </c>
      <c r="BD115" s="196">
        <f t="shared" si="1268"/>
        <v>0</v>
      </c>
      <c r="BE115" s="188">
        <f t="shared" si="1269"/>
        <v>0</v>
      </c>
      <c r="BF115" s="188">
        <f t="shared" si="1270"/>
        <v>0</v>
      </c>
      <c r="BG115" s="188">
        <f t="shared" si="1271"/>
        <v>0</v>
      </c>
      <c r="BH115" s="188">
        <f t="shared" si="1272"/>
        <v>0</v>
      </c>
      <c r="BI115" s="188">
        <f t="shared" si="1273"/>
        <v>0</v>
      </c>
      <c r="BJ115" s="188">
        <f t="shared" si="1274"/>
        <v>0</v>
      </c>
      <c r="BK115" s="188">
        <f t="shared" si="1275"/>
        <v>0</v>
      </c>
      <c r="BN115" s="215"/>
      <c r="BO115" s="188"/>
      <c r="BP115" s="188"/>
      <c r="BQ115" s="188"/>
      <c r="BR115" s="188"/>
      <c r="BS115" s="188"/>
      <c r="BT115" s="188"/>
      <c r="BU115" s="188"/>
      <c r="BV115" s="188"/>
      <c r="BW115" s="188"/>
      <c r="BX115" s="188"/>
      <c r="BY115" s="188"/>
      <c r="BZ115" s="188"/>
      <c r="CB115" s="188"/>
      <c r="CD115" s="188">
        <f t="shared" si="1276"/>
        <v>0</v>
      </c>
      <c r="CE115" s="188">
        <f t="shared" si="1277"/>
        <v>0</v>
      </c>
      <c r="CF115" s="188">
        <f t="shared" si="1278"/>
        <v>0</v>
      </c>
      <c r="CG115" s="188">
        <f t="shared" si="1279"/>
        <v>0</v>
      </c>
      <c r="CH115" s="188">
        <f t="shared" si="1280"/>
        <v>0</v>
      </c>
      <c r="CI115" s="188">
        <f t="shared" si="1281"/>
        <v>0</v>
      </c>
      <c r="CJ115" s="188">
        <f t="shared" si="1282"/>
        <v>0</v>
      </c>
      <c r="CK115" s="188">
        <f t="shared" si="1283"/>
        <v>0</v>
      </c>
      <c r="CL115" s="188">
        <f t="shared" si="1284"/>
        <v>0</v>
      </c>
      <c r="CM115" s="188">
        <f t="shared" si="1285"/>
        <v>0</v>
      </c>
      <c r="CN115" s="188">
        <f t="shared" si="1286"/>
        <v>0</v>
      </c>
      <c r="CO115" s="188">
        <f t="shared" si="1287"/>
        <v>0</v>
      </c>
      <c r="CP115" s="188">
        <f t="shared" si="1288"/>
        <v>0</v>
      </c>
      <c r="DV115" s="188">
        <f t="shared" si="1289"/>
        <v>0</v>
      </c>
      <c r="DW115" s="188">
        <f t="shared" si="1290"/>
        <v>0</v>
      </c>
      <c r="DX115" s="188">
        <f t="shared" si="1291"/>
        <v>0</v>
      </c>
      <c r="DY115" s="188">
        <f t="shared" si="1292"/>
        <v>0</v>
      </c>
      <c r="DZ115" s="188">
        <f t="shared" si="1293"/>
        <v>0</v>
      </c>
      <c r="EA115" s="188">
        <f t="shared" si="1294"/>
        <v>0</v>
      </c>
      <c r="EB115" s="188">
        <f t="shared" si="1295"/>
        <v>0</v>
      </c>
      <c r="EG115" s="220">
        <f t="shared" si="1296"/>
        <v>0</v>
      </c>
      <c r="EH115" s="220">
        <f t="shared" si="1297"/>
        <v>0</v>
      </c>
      <c r="EI115" s="188"/>
      <c r="EJ115" s="188"/>
      <c r="EK115" s="188"/>
      <c r="EL115" s="188"/>
      <c r="EM115" s="188"/>
      <c r="EN115" s="188"/>
      <c r="EO115" s="188"/>
      <c r="EP115" s="188"/>
      <c r="EQ115" s="188"/>
      <c r="ER115" s="188"/>
      <c r="ES115" s="188"/>
      <c r="ET115" s="188"/>
      <c r="EU115" s="188"/>
      <c r="EV115" s="188"/>
      <c r="EW115" s="188"/>
      <c r="EX115" s="188"/>
      <c r="EY115" s="188"/>
      <c r="EZ115" s="188"/>
      <c r="FA115" s="188"/>
      <c r="FB115" s="188"/>
      <c r="FC115" s="188"/>
      <c r="FD115" s="188"/>
      <c r="FE115" s="188"/>
      <c r="FF115" s="188"/>
      <c r="FH115" s="188"/>
      <c r="FI115" s="188"/>
      <c r="FJ115" s="188"/>
      <c r="FK115" s="188"/>
      <c r="FL115" s="188"/>
      <c r="FM115" s="188"/>
      <c r="FN115" s="188"/>
      <c r="FO115" s="188"/>
      <c r="FP115" s="188"/>
      <c r="FQ115" s="188"/>
      <c r="FR115" s="188"/>
      <c r="FS115" s="188"/>
      <c r="FT115" s="188"/>
      <c r="FU115" s="188"/>
      <c r="FV115" s="188"/>
      <c r="FX115" s="188">
        <f t="shared" si="1298"/>
        <v>0</v>
      </c>
      <c r="FY115" s="188">
        <f t="shared" si="1299"/>
        <v>0</v>
      </c>
      <c r="FZ115" s="188">
        <f t="shared" si="1300"/>
        <v>0</v>
      </c>
      <c r="GA115" s="188">
        <f t="shared" si="1301"/>
        <v>0</v>
      </c>
      <c r="GB115" s="188">
        <f t="shared" si="1302"/>
        <v>0</v>
      </c>
      <c r="GC115" s="188">
        <f t="shared" si="1303"/>
        <v>0</v>
      </c>
      <c r="GD115" s="234">
        <f t="shared" si="1304"/>
        <v>0</v>
      </c>
      <c r="GE115" s="188">
        <f t="shared" si="1305"/>
        <v>0</v>
      </c>
      <c r="GF115" s="235"/>
      <c r="GG115" s="188">
        <v>0</v>
      </c>
      <c r="GH115" s="188">
        <v>0</v>
      </c>
      <c r="GI115" s="235"/>
      <c r="GJ115" s="224">
        <f t="shared" si="1306"/>
        <v>0</v>
      </c>
      <c r="GK115" s="224">
        <f t="shared" si="1307"/>
        <v>0</v>
      </c>
      <c r="GO115" s="188"/>
      <c r="GP115" s="188">
        <f t="shared" si="1308"/>
        <v>0</v>
      </c>
      <c r="GQ115" s="188">
        <f t="shared" si="1309"/>
        <v>0</v>
      </c>
      <c r="GR115" s="188">
        <f t="shared" si="1310"/>
        <v>1</v>
      </c>
      <c r="GS115" s="188">
        <f t="shared" si="1311"/>
        <v>1</v>
      </c>
      <c r="GT115" s="188">
        <f t="shared" si="1312"/>
        <v>0</v>
      </c>
      <c r="GU115" s="232">
        <f t="shared" si="388"/>
        <v>43243</v>
      </c>
      <c r="GV115" s="188" t="str">
        <f t="shared" si="1313"/>
        <v>Musyawarah</v>
      </c>
      <c r="GW115" s="188">
        <f t="shared" si="1314"/>
        <v>1</v>
      </c>
      <c r="GX115" s="188" t="str">
        <f t="shared" si="1315"/>
        <v>Musyawarah</v>
      </c>
      <c r="GY115" s="188">
        <f t="shared" si="1316"/>
        <v>24</v>
      </c>
      <c r="GZ115" s="228">
        <f t="shared" si="1317"/>
        <v>43267</v>
      </c>
      <c r="HA115" s="204"/>
      <c r="HB115" s="204"/>
      <c r="HC115" s="188">
        <f t="shared" si="1318"/>
        <v>0</v>
      </c>
      <c r="HD115" s="188">
        <f t="shared" si="1319"/>
        <v>0</v>
      </c>
      <c r="HE115" s="188">
        <f t="shared" si="1320"/>
        <v>0</v>
      </c>
      <c r="HF115" s="188">
        <f t="shared" si="1321"/>
        <v>0</v>
      </c>
      <c r="HG115" s="188">
        <f t="shared" si="1322"/>
        <v>0</v>
      </c>
      <c r="HH115" s="228" t="str">
        <f t="shared" si="1323"/>
        <v>TIDAK KONSINYASI</v>
      </c>
      <c r="HI115" s="228">
        <f t="shared" si="1324"/>
        <v>43312</v>
      </c>
      <c r="HK115" s="228">
        <f t="shared" si="1325"/>
        <v>43312</v>
      </c>
      <c r="HL115" s="204"/>
      <c r="HM115" s="204"/>
      <c r="HN115" s="204"/>
      <c r="HO115" s="204"/>
      <c r="HP115" s="203">
        <f t="shared" si="1326"/>
        <v>0</v>
      </c>
      <c r="HQ115" s="202">
        <f t="shared" si="1327"/>
        <v>0</v>
      </c>
      <c r="HR115" s="202">
        <f t="shared" si="1328"/>
        <v>0</v>
      </c>
      <c r="HS115" s="203">
        <f t="shared" si="1329"/>
        <v>0</v>
      </c>
      <c r="HT115" s="202">
        <f t="shared" si="1330"/>
        <v>0</v>
      </c>
      <c r="HU115" s="202">
        <f t="shared" si="1331"/>
        <v>0</v>
      </c>
      <c r="HV115" s="203">
        <f t="shared" si="1332"/>
        <v>0</v>
      </c>
      <c r="HW115" s="202">
        <f t="shared" si="1333"/>
        <v>0</v>
      </c>
      <c r="HX115" s="202">
        <f t="shared" si="1334"/>
        <v>0</v>
      </c>
      <c r="HY115" s="203">
        <f t="shared" si="1335"/>
        <v>0</v>
      </c>
      <c r="HZ115" s="202">
        <f t="shared" si="1336"/>
        <v>0</v>
      </c>
      <c r="IA115" s="202">
        <f t="shared" si="1337"/>
        <v>0</v>
      </c>
      <c r="IB115" s="236">
        <f t="shared" si="1338"/>
        <v>0</v>
      </c>
      <c r="IC115" s="188">
        <f t="shared" si="1339"/>
        <v>0</v>
      </c>
      <c r="ID115" s="188">
        <f t="shared" si="1340"/>
        <v>0</v>
      </c>
      <c r="IE115" s="228">
        <f t="shared" si="1341"/>
        <v>0</v>
      </c>
      <c r="IF115" s="188">
        <f t="shared" si="1342"/>
        <v>0</v>
      </c>
      <c r="IG115" s="188">
        <f t="shared" si="1343"/>
        <v>0</v>
      </c>
      <c r="IH115" s="228">
        <f t="shared" si="1344"/>
        <v>0</v>
      </c>
      <c r="II115" s="188">
        <f t="shared" si="1345"/>
        <v>0</v>
      </c>
      <c r="IJ115" s="188">
        <f t="shared" si="1346"/>
        <v>0</v>
      </c>
      <c r="IK115" s="228">
        <f t="shared" si="1347"/>
        <v>0</v>
      </c>
      <c r="IL115" s="188">
        <f t="shared" si="1348"/>
        <v>0</v>
      </c>
      <c r="IM115" s="188">
        <f t="shared" si="1349"/>
        <v>0</v>
      </c>
      <c r="IN115" s="204"/>
      <c r="IO115" s="228">
        <f t="shared" si="1350"/>
        <v>0</v>
      </c>
      <c r="IP115" s="188">
        <f t="shared" si="1351"/>
        <v>0</v>
      </c>
      <c r="IQ115" s="188">
        <f t="shared" si="1352"/>
        <v>0</v>
      </c>
      <c r="IR115" s="204"/>
      <c r="IS115" s="228"/>
      <c r="IT115" s="188">
        <f t="shared" si="1353"/>
        <v>0</v>
      </c>
      <c r="IU115" s="188">
        <f t="shared" si="1354"/>
        <v>0</v>
      </c>
      <c r="IV115" s="204"/>
      <c r="IW115" s="228"/>
      <c r="IX115" s="188">
        <f t="shared" si="1355"/>
        <v>0</v>
      </c>
      <c r="IY115" s="188">
        <f t="shared" si="1356"/>
        <v>0</v>
      </c>
      <c r="IZ115" s="204"/>
      <c r="JA115" s="228"/>
      <c r="JB115" s="188">
        <f t="shared" si="1357"/>
        <v>1</v>
      </c>
      <c r="JC115" s="188">
        <f t="shared" si="1358"/>
        <v>51</v>
      </c>
      <c r="JD115" s="204"/>
      <c r="JE115" s="228"/>
      <c r="JF115" s="188">
        <f t="shared" si="1359"/>
        <v>1</v>
      </c>
      <c r="JG115" s="188">
        <f t="shared" si="1360"/>
        <v>51</v>
      </c>
      <c r="JH115" s="204"/>
      <c r="JI115" s="228"/>
      <c r="JJ115" s="188">
        <f t="shared" si="1361"/>
        <v>0</v>
      </c>
      <c r="JK115" s="188">
        <f t="shared" si="1362"/>
        <v>0</v>
      </c>
      <c r="JM115" s="203">
        <f t="shared" si="1363"/>
        <v>0</v>
      </c>
      <c r="JO115" s="196">
        <f t="shared" si="1364"/>
        <v>0</v>
      </c>
      <c r="JP115" s="189">
        <f t="shared" si="1365"/>
        <v>0</v>
      </c>
      <c r="JQ115" s="189">
        <f t="shared" si="1366"/>
        <v>0</v>
      </c>
      <c r="JR115" s="189">
        <f t="shared" si="1367"/>
        <v>0</v>
      </c>
      <c r="JS115" s="189">
        <f t="shared" si="1368"/>
        <v>0</v>
      </c>
      <c r="JT115" s="189">
        <f t="shared" si="1369"/>
        <v>0</v>
      </c>
      <c r="JU115" s="189">
        <f t="shared" si="1370"/>
        <v>0</v>
      </c>
      <c r="JV115" s="189">
        <f t="shared" si="1371"/>
        <v>0</v>
      </c>
      <c r="JW115" s="189">
        <f t="shared" si="1372"/>
        <v>0</v>
      </c>
      <c r="JX115" s="189">
        <f t="shared" si="1373"/>
        <v>0</v>
      </c>
      <c r="JY115" s="189">
        <f t="shared" si="1374"/>
        <v>0</v>
      </c>
      <c r="JZ115" s="189">
        <f t="shared" si="1375"/>
        <v>0</v>
      </c>
      <c r="KA115" s="189">
        <f t="shared" si="1376"/>
        <v>0</v>
      </c>
      <c r="KB115" s="189">
        <f t="shared" si="1377"/>
        <v>0</v>
      </c>
      <c r="KD115" s="206">
        <f t="shared" si="1378"/>
        <v>0</v>
      </c>
      <c r="KE115" s="206">
        <f t="shared" si="1379"/>
        <v>0</v>
      </c>
      <c r="KF115" s="206">
        <f t="shared" si="1380"/>
        <v>0</v>
      </c>
      <c r="KG115" s="206">
        <f t="shared" si="1381"/>
        <v>0</v>
      </c>
      <c r="KH115" s="206">
        <f t="shared" si="1382"/>
        <v>0</v>
      </c>
      <c r="KI115" s="206">
        <f t="shared" si="1383"/>
        <v>0</v>
      </c>
      <c r="KJ115" s="206">
        <f t="shared" si="1384"/>
        <v>0</v>
      </c>
      <c r="KK115" s="206">
        <f t="shared" si="1385"/>
        <v>0</v>
      </c>
      <c r="KL115" s="206">
        <f t="shared" si="1386"/>
        <v>0</v>
      </c>
      <c r="KM115" s="206">
        <f t="shared" si="1387"/>
        <v>0</v>
      </c>
      <c r="KN115" s="221">
        <f t="shared" si="1388"/>
        <v>0</v>
      </c>
      <c r="KO115" s="221">
        <f t="shared" si="1389"/>
        <v>0</v>
      </c>
      <c r="KP115" s="221">
        <f t="shared" si="1390"/>
        <v>0</v>
      </c>
      <c r="KQ115" s="221">
        <f t="shared" si="1391"/>
        <v>0</v>
      </c>
      <c r="KR115" s="221">
        <f t="shared" si="1392"/>
        <v>0</v>
      </c>
      <c r="KS115" s="195">
        <v>6</v>
      </c>
      <c r="KT115" s="195">
        <f t="shared" si="1393"/>
        <v>1</v>
      </c>
      <c r="KU115" s="221"/>
      <c r="KV115" s="221"/>
      <c r="KW115" s="221"/>
      <c r="KX115" s="221"/>
      <c r="KY115" s="221"/>
      <c r="KZ115" s="221"/>
      <c r="LA115" s="221"/>
      <c r="LB115" s="221"/>
      <c r="LC115" s="221"/>
      <c r="LD115" s="221"/>
      <c r="LE115" s="221"/>
      <c r="LF115" s="221"/>
      <c r="LG115" s="221"/>
      <c r="LH115" s="221"/>
      <c r="LI115" s="221"/>
      <c r="LJ115" s="221"/>
      <c r="LK115" s="221"/>
      <c r="LL115" s="221"/>
      <c r="LM115" s="221"/>
      <c r="LN115" s="221"/>
      <c r="LO115" s="221"/>
      <c r="LP115" s="221"/>
      <c r="LQ115" s="221"/>
      <c r="LR115" s="221"/>
      <c r="LS115" s="221"/>
      <c r="LT115" s="221"/>
      <c r="LU115" s="221"/>
      <c r="LV115" s="221"/>
      <c r="LW115" s="221"/>
      <c r="LX115" s="221"/>
      <c r="LY115" s="221"/>
      <c r="LZ115" s="221"/>
      <c r="MA115" s="221"/>
      <c r="MB115" s="221"/>
      <c r="MC115" s="221"/>
      <c r="MD115" s="221"/>
      <c r="ME115" s="221"/>
      <c r="MF115" s="221"/>
      <c r="MG115" s="221"/>
      <c r="MH115" s="221"/>
      <c r="MI115" s="221"/>
      <c r="MJ115" s="221"/>
      <c r="MK115" s="221"/>
      <c r="ML115" s="221"/>
      <c r="MM115" s="221"/>
      <c r="MN115" s="221"/>
      <c r="MO115" s="221"/>
      <c r="MP115" s="221"/>
      <c r="MQ115" s="221"/>
      <c r="MR115" s="221"/>
      <c r="MS115" s="221"/>
      <c r="MT115" s="221"/>
      <c r="MU115" s="221"/>
      <c r="MV115" s="221"/>
      <c r="MW115" s="221"/>
      <c r="MX115" s="221"/>
      <c r="MY115" s="221"/>
      <c r="MZ115" s="221"/>
      <c r="NA115" s="221"/>
      <c r="NB115" s="221"/>
      <c r="NC115" s="221"/>
      <c r="ND115" s="221"/>
      <c r="NE115" s="221"/>
      <c r="NF115" s="221"/>
      <c r="NG115" s="221"/>
      <c r="NH115" s="221"/>
      <c r="NI115" s="221"/>
      <c r="NJ115" s="221"/>
      <c r="NK115" s="221"/>
      <c r="NM115" s="195">
        <f t="shared" si="1394"/>
        <v>0</v>
      </c>
      <c r="NN115" s="195">
        <f t="shared" si="1395"/>
        <v>0</v>
      </c>
      <c r="NO115" s="195">
        <f t="shared" si="1396"/>
        <v>0</v>
      </c>
      <c r="NP115" s="195">
        <f t="shared" si="1397"/>
        <v>0</v>
      </c>
      <c r="NQ115" s="195">
        <f t="shared" si="1398"/>
        <v>0</v>
      </c>
      <c r="NR115" s="195">
        <f t="shared" si="1399"/>
        <v>1</v>
      </c>
      <c r="NS115" s="195">
        <f t="shared" si="1400"/>
        <v>0</v>
      </c>
      <c r="NT115" s="195">
        <f t="shared" si="1401"/>
        <v>1</v>
      </c>
      <c r="NU115" s="196">
        <f t="shared" si="1402"/>
        <v>0</v>
      </c>
      <c r="NY115" s="215"/>
      <c r="OE115" s="207"/>
      <c r="OF115" s="207"/>
      <c r="OG115" s="207"/>
      <c r="OH115" s="207"/>
      <c r="OI115" s="207"/>
      <c r="OJ115" s="199"/>
      <c r="OK115" s="199"/>
      <c r="OL115" s="199"/>
      <c r="OM115" s="199"/>
      <c r="OO115" s="207"/>
      <c r="OP115" s="207"/>
      <c r="OQ115" s="207"/>
      <c r="OR115" s="207"/>
      <c r="OS115" s="207"/>
      <c r="OT115" s="199"/>
      <c r="OU115" s="199"/>
      <c r="OV115" s="199"/>
      <c r="OW115" s="199"/>
      <c r="OZ115" s="208">
        <f t="shared" si="1403"/>
        <v>1</v>
      </c>
      <c r="PA115" s="209"/>
      <c r="PB115" s="209">
        <v>1</v>
      </c>
      <c r="PC115" s="209"/>
      <c r="PD115" s="210">
        <f t="shared" si="433"/>
        <v>1</v>
      </c>
      <c r="PE115" s="210">
        <v>1</v>
      </c>
      <c r="PF115" s="210">
        <f t="shared" si="434"/>
        <v>0</v>
      </c>
      <c r="PG115" s="210">
        <f t="shared" si="435"/>
        <v>0</v>
      </c>
      <c r="PH115" s="210">
        <f t="shared" si="381"/>
        <v>51</v>
      </c>
      <c r="PI115" s="210">
        <f t="shared" si="382"/>
        <v>0</v>
      </c>
      <c r="PJ115" s="210">
        <f t="shared" si="383"/>
        <v>51</v>
      </c>
      <c r="PK115" s="210">
        <f t="shared" si="384"/>
        <v>51</v>
      </c>
      <c r="PL115" s="210">
        <f t="shared" si="385"/>
        <v>0</v>
      </c>
      <c r="PM115" s="211"/>
      <c r="PN115" s="211"/>
      <c r="PO115" s="212">
        <f t="shared" si="1404"/>
        <v>0</v>
      </c>
      <c r="PP115" s="212">
        <f t="shared" si="1405"/>
        <v>0</v>
      </c>
      <c r="PQ115" s="212">
        <f t="shared" si="1406"/>
        <v>0</v>
      </c>
      <c r="PR115" s="211"/>
      <c r="PS115" s="211"/>
      <c r="PT115" s="211"/>
      <c r="PU115" s="211"/>
    </row>
    <row r="116" spans="1:437 16383:16384" s="195" customFormat="1" ht="16" x14ac:dyDescent="0.2">
      <c r="A116" s="213">
        <f t="shared" si="810"/>
        <v>106</v>
      </c>
      <c r="B116" s="237" t="s">
        <v>645</v>
      </c>
      <c r="C116" s="186">
        <v>5</v>
      </c>
      <c r="D116" s="188">
        <v>1</v>
      </c>
      <c r="E116" s="188">
        <v>59</v>
      </c>
      <c r="F116" s="188">
        <v>1</v>
      </c>
      <c r="G116" s="188">
        <f t="shared" si="812"/>
        <v>59</v>
      </c>
      <c r="H116" s="214">
        <f t="shared" si="1239"/>
        <v>1</v>
      </c>
      <c r="I116" s="214">
        <v>0</v>
      </c>
      <c r="J116" s="188">
        <v>1</v>
      </c>
      <c r="K116" s="188">
        <f t="shared" si="1240"/>
        <v>59</v>
      </c>
      <c r="L116" s="214">
        <f t="shared" si="1241"/>
        <v>1</v>
      </c>
      <c r="M116" s="214">
        <v>0</v>
      </c>
      <c r="N116" s="188">
        <v>1</v>
      </c>
      <c r="O116" s="188">
        <f t="shared" si="1242"/>
        <v>59</v>
      </c>
      <c r="P116" s="214">
        <f t="shared" si="1243"/>
        <v>1</v>
      </c>
      <c r="Q116" s="214">
        <f t="shared" si="1244"/>
        <v>1</v>
      </c>
      <c r="R116" s="188"/>
      <c r="S116" s="188">
        <f t="shared" si="1245"/>
        <v>0</v>
      </c>
      <c r="T116" s="214">
        <f t="shared" si="1246"/>
        <v>0</v>
      </c>
      <c r="U116" s="214">
        <f t="shared" si="1247"/>
        <v>0</v>
      </c>
      <c r="V116" s="215"/>
      <c r="W116" s="188">
        <f t="shared" si="1248"/>
        <v>0</v>
      </c>
      <c r="X116" s="214">
        <f t="shared" si="1249"/>
        <v>0</v>
      </c>
      <c r="Y116" s="214">
        <f t="shared" si="1250"/>
        <v>0</v>
      </c>
      <c r="Z116" s="216"/>
      <c r="AA116" s="188">
        <v>0</v>
      </c>
      <c r="AB116" s="188">
        <v>0</v>
      </c>
      <c r="AC116" s="214">
        <f t="shared" si="1251"/>
        <v>0</v>
      </c>
      <c r="AD116" s="214">
        <f t="shared" si="1252"/>
        <v>0</v>
      </c>
      <c r="AE116" s="188"/>
      <c r="AF116" s="188">
        <f t="shared" si="1253"/>
        <v>0</v>
      </c>
      <c r="AG116" s="188"/>
      <c r="AH116" s="188"/>
      <c r="AI116" s="188"/>
      <c r="AJ116" s="188"/>
      <c r="AK116" s="188"/>
      <c r="AL116" s="188"/>
      <c r="AM116" s="188"/>
      <c r="AN116" s="217">
        <v>1</v>
      </c>
      <c r="AO116" s="188">
        <f t="shared" si="1254"/>
        <v>0</v>
      </c>
      <c r="AP116" s="188">
        <f t="shared" si="1255"/>
        <v>0</v>
      </c>
      <c r="AQ116" s="188">
        <f t="shared" si="1256"/>
        <v>0</v>
      </c>
      <c r="AR116" s="188">
        <f t="shared" si="1257"/>
        <v>0</v>
      </c>
      <c r="AS116" s="188">
        <f t="shared" si="1258"/>
        <v>0</v>
      </c>
      <c r="AT116" s="188">
        <f t="shared" si="1259"/>
        <v>0</v>
      </c>
      <c r="AU116" s="188">
        <f t="shared" si="1260"/>
        <v>0</v>
      </c>
      <c r="AV116" s="188">
        <f t="shared" si="1261"/>
        <v>0</v>
      </c>
      <c r="AW116" s="188">
        <f t="shared" si="1262"/>
        <v>0</v>
      </c>
      <c r="AX116" s="188">
        <f t="shared" si="1263"/>
        <v>0</v>
      </c>
      <c r="AY116" s="188">
        <f t="shared" si="1264"/>
        <v>0</v>
      </c>
      <c r="AZ116" s="188">
        <f t="shared" si="1265"/>
        <v>0</v>
      </c>
      <c r="BA116" s="188">
        <f t="shared" si="1266"/>
        <v>0</v>
      </c>
      <c r="BB116" s="188">
        <f t="shared" si="1267"/>
        <v>59</v>
      </c>
      <c r="BD116" s="196">
        <f t="shared" si="1268"/>
        <v>0</v>
      </c>
      <c r="BE116" s="188">
        <f t="shared" si="1269"/>
        <v>0</v>
      </c>
      <c r="BF116" s="188">
        <f t="shared" si="1270"/>
        <v>0</v>
      </c>
      <c r="BG116" s="188">
        <f t="shared" si="1271"/>
        <v>0</v>
      </c>
      <c r="BH116" s="188">
        <f t="shared" si="1272"/>
        <v>0</v>
      </c>
      <c r="BI116" s="188">
        <f t="shared" si="1273"/>
        <v>0</v>
      </c>
      <c r="BJ116" s="188">
        <f t="shared" si="1274"/>
        <v>0</v>
      </c>
      <c r="BK116" s="188">
        <f t="shared" si="1275"/>
        <v>0</v>
      </c>
      <c r="BN116" s="215"/>
      <c r="BO116" s="188"/>
      <c r="BP116" s="188"/>
      <c r="BQ116" s="188"/>
      <c r="BR116" s="188"/>
      <c r="BS116" s="188"/>
      <c r="BT116" s="188"/>
      <c r="BU116" s="188"/>
      <c r="BV116" s="188"/>
      <c r="BW116" s="188"/>
      <c r="BX116" s="188"/>
      <c r="BY116" s="188"/>
      <c r="BZ116" s="188"/>
      <c r="CB116" s="188"/>
      <c r="CD116" s="188">
        <f t="shared" si="1276"/>
        <v>0</v>
      </c>
      <c r="CE116" s="188">
        <f t="shared" si="1277"/>
        <v>0</v>
      </c>
      <c r="CF116" s="188">
        <f t="shared" si="1278"/>
        <v>0</v>
      </c>
      <c r="CG116" s="188">
        <f t="shared" si="1279"/>
        <v>0</v>
      </c>
      <c r="CH116" s="188">
        <f t="shared" si="1280"/>
        <v>0</v>
      </c>
      <c r="CI116" s="188">
        <f t="shared" si="1281"/>
        <v>0</v>
      </c>
      <c r="CJ116" s="188">
        <f t="shared" si="1282"/>
        <v>0</v>
      </c>
      <c r="CK116" s="188">
        <f t="shared" si="1283"/>
        <v>0</v>
      </c>
      <c r="CL116" s="188">
        <f t="shared" si="1284"/>
        <v>0</v>
      </c>
      <c r="CM116" s="188">
        <f t="shared" si="1285"/>
        <v>0</v>
      </c>
      <c r="CN116" s="188">
        <f t="shared" si="1286"/>
        <v>0</v>
      </c>
      <c r="CO116" s="188">
        <f t="shared" si="1287"/>
        <v>0</v>
      </c>
      <c r="CP116" s="188">
        <f t="shared" si="1288"/>
        <v>0</v>
      </c>
      <c r="DV116" s="188">
        <f t="shared" si="1289"/>
        <v>0</v>
      </c>
      <c r="DW116" s="188">
        <f t="shared" si="1290"/>
        <v>0</v>
      </c>
      <c r="DX116" s="188">
        <f t="shared" si="1291"/>
        <v>0</v>
      </c>
      <c r="DY116" s="188">
        <f t="shared" si="1292"/>
        <v>0</v>
      </c>
      <c r="DZ116" s="188">
        <f t="shared" si="1293"/>
        <v>0</v>
      </c>
      <c r="EA116" s="188">
        <f t="shared" si="1294"/>
        <v>0</v>
      </c>
      <c r="EB116" s="188">
        <f t="shared" si="1295"/>
        <v>0</v>
      </c>
      <c r="EG116" s="220">
        <f t="shared" si="1296"/>
        <v>0</v>
      </c>
      <c r="EH116" s="220">
        <f t="shared" si="1297"/>
        <v>0</v>
      </c>
      <c r="EI116" s="188"/>
      <c r="EJ116" s="188"/>
      <c r="EK116" s="188"/>
      <c r="EL116" s="188"/>
      <c r="EM116" s="188"/>
      <c r="EN116" s="188"/>
      <c r="EO116" s="188"/>
      <c r="EP116" s="188"/>
      <c r="EQ116" s="188"/>
      <c r="ER116" s="188"/>
      <c r="ES116" s="188"/>
      <c r="ET116" s="188"/>
      <c r="EU116" s="188"/>
      <c r="EV116" s="188"/>
      <c r="EW116" s="188"/>
      <c r="EX116" s="188"/>
      <c r="EY116" s="188"/>
      <c r="EZ116" s="188"/>
      <c r="FA116" s="188"/>
      <c r="FB116" s="188"/>
      <c r="FC116" s="188"/>
      <c r="FD116" s="188"/>
      <c r="FE116" s="188"/>
      <c r="FF116" s="188"/>
      <c r="FH116" s="188"/>
      <c r="FI116" s="188"/>
      <c r="FJ116" s="188"/>
      <c r="FK116" s="188"/>
      <c r="FL116" s="188"/>
      <c r="FM116" s="188"/>
      <c r="FN116" s="188"/>
      <c r="FO116" s="188"/>
      <c r="FP116" s="188"/>
      <c r="FQ116" s="188"/>
      <c r="FR116" s="188"/>
      <c r="FS116" s="188"/>
      <c r="FT116" s="188"/>
      <c r="FU116" s="188"/>
      <c r="FV116" s="188"/>
      <c r="FX116" s="188">
        <f t="shared" si="1298"/>
        <v>0</v>
      </c>
      <c r="FY116" s="188">
        <f t="shared" si="1299"/>
        <v>0</v>
      </c>
      <c r="FZ116" s="188">
        <f t="shared" si="1300"/>
        <v>0</v>
      </c>
      <c r="GA116" s="188">
        <f t="shared" si="1301"/>
        <v>0</v>
      </c>
      <c r="GB116" s="188">
        <f t="shared" si="1302"/>
        <v>0</v>
      </c>
      <c r="GC116" s="188">
        <f t="shared" si="1303"/>
        <v>0</v>
      </c>
      <c r="GD116" s="234">
        <f t="shared" si="1304"/>
        <v>0</v>
      </c>
      <c r="GE116" s="188">
        <f t="shared" si="1305"/>
        <v>0</v>
      </c>
      <c r="GF116" s="235"/>
      <c r="GG116" s="188">
        <v>0</v>
      </c>
      <c r="GH116" s="188">
        <v>0</v>
      </c>
      <c r="GI116" s="235"/>
      <c r="GJ116" s="224">
        <f t="shared" si="1306"/>
        <v>0</v>
      </c>
      <c r="GK116" s="224">
        <f t="shared" si="1307"/>
        <v>0</v>
      </c>
      <c r="GO116" s="188"/>
      <c r="GP116" s="188">
        <f t="shared" si="1308"/>
        <v>0</v>
      </c>
      <c r="GQ116" s="188">
        <f t="shared" si="1309"/>
        <v>0</v>
      </c>
      <c r="GR116" s="188">
        <f t="shared" si="1310"/>
        <v>1</v>
      </c>
      <c r="GS116" s="188">
        <f t="shared" si="1311"/>
        <v>1</v>
      </c>
      <c r="GT116" s="188">
        <f t="shared" si="1312"/>
        <v>0</v>
      </c>
      <c r="GU116" s="232">
        <f t="shared" si="388"/>
        <v>43243</v>
      </c>
      <c r="GV116" s="188" t="str">
        <f t="shared" si="1313"/>
        <v>Musyawarah</v>
      </c>
      <c r="GW116" s="188">
        <f t="shared" si="1314"/>
        <v>1</v>
      </c>
      <c r="GX116" s="188" t="str">
        <f t="shared" si="1315"/>
        <v>Musyawarah</v>
      </c>
      <c r="GY116" s="188">
        <f t="shared" si="1316"/>
        <v>24</v>
      </c>
      <c r="GZ116" s="228">
        <f t="shared" si="1317"/>
        <v>43267</v>
      </c>
      <c r="HA116" s="204"/>
      <c r="HB116" s="204"/>
      <c r="HC116" s="188">
        <f t="shared" si="1318"/>
        <v>0</v>
      </c>
      <c r="HD116" s="188">
        <f t="shared" si="1319"/>
        <v>0</v>
      </c>
      <c r="HE116" s="188">
        <f t="shared" si="1320"/>
        <v>0</v>
      </c>
      <c r="HF116" s="188">
        <f t="shared" si="1321"/>
        <v>0</v>
      </c>
      <c r="HG116" s="188">
        <f t="shared" si="1322"/>
        <v>0</v>
      </c>
      <c r="HH116" s="228" t="str">
        <f t="shared" si="1323"/>
        <v>TIDAK KONSINYASI</v>
      </c>
      <c r="HI116" s="228">
        <f t="shared" si="1324"/>
        <v>43312</v>
      </c>
      <c r="HK116" s="228">
        <f t="shared" si="1325"/>
        <v>43312</v>
      </c>
      <c r="HL116" s="204"/>
      <c r="HM116" s="204"/>
      <c r="HN116" s="204"/>
      <c r="HO116" s="204"/>
      <c r="HP116" s="203">
        <f t="shared" si="1326"/>
        <v>0</v>
      </c>
      <c r="HQ116" s="202">
        <f t="shared" si="1327"/>
        <v>0</v>
      </c>
      <c r="HR116" s="202">
        <f t="shared" si="1328"/>
        <v>0</v>
      </c>
      <c r="HS116" s="203">
        <f t="shared" si="1329"/>
        <v>0</v>
      </c>
      <c r="HT116" s="202">
        <f t="shared" si="1330"/>
        <v>0</v>
      </c>
      <c r="HU116" s="202">
        <f t="shared" si="1331"/>
        <v>0</v>
      </c>
      <c r="HV116" s="203">
        <f t="shared" si="1332"/>
        <v>0</v>
      </c>
      <c r="HW116" s="202">
        <f t="shared" si="1333"/>
        <v>0</v>
      </c>
      <c r="HX116" s="202">
        <f t="shared" si="1334"/>
        <v>0</v>
      </c>
      <c r="HY116" s="203">
        <f t="shared" si="1335"/>
        <v>0</v>
      </c>
      <c r="HZ116" s="202">
        <f t="shared" si="1336"/>
        <v>0</v>
      </c>
      <c r="IA116" s="202">
        <f t="shared" si="1337"/>
        <v>0</v>
      </c>
      <c r="IB116" s="236">
        <f t="shared" si="1338"/>
        <v>0</v>
      </c>
      <c r="IC116" s="188">
        <f t="shared" si="1339"/>
        <v>0</v>
      </c>
      <c r="ID116" s="188">
        <f t="shared" si="1340"/>
        <v>0</v>
      </c>
      <c r="IE116" s="228">
        <f t="shared" si="1341"/>
        <v>0</v>
      </c>
      <c r="IF116" s="188">
        <f t="shared" si="1342"/>
        <v>0</v>
      </c>
      <c r="IG116" s="188">
        <f t="shared" si="1343"/>
        <v>0</v>
      </c>
      <c r="IH116" s="228">
        <f t="shared" si="1344"/>
        <v>0</v>
      </c>
      <c r="II116" s="188">
        <f t="shared" si="1345"/>
        <v>0</v>
      </c>
      <c r="IJ116" s="188">
        <f t="shared" si="1346"/>
        <v>0</v>
      </c>
      <c r="IK116" s="228">
        <f t="shared" si="1347"/>
        <v>0</v>
      </c>
      <c r="IL116" s="188">
        <f t="shared" si="1348"/>
        <v>0</v>
      </c>
      <c r="IM116" s="188">
        <f t="shared" si="1349"/>
        <v>0</v>
      </c>
      <c r="IN116" s="204"/>
      <c r="IO116" s="228">
        <f t="shared" si="1350"/>
        <v>0</v>
      </c>
      <c r="IP116" s="188">
        <f t="shared" si="1351"/>
        <v>0</v>
      </c>
      <c r="IQ116" s="188">
        <f t="shared" si="1352"/>
        <v>0</v>
      </c>
      <c r="IR116" s="204"/>
      <c r="IS116" s="228"/>
      <c r="IT116" s="188">
        <f t="shared" si="1353"/>
        <v>0</v>
      </c>
      <c r="IU116" s="188">
        <f t="shared" si="1354"/>
        <v>0</v>
      </c>
      <c r="IV116" s="204"/>
      <c r="IW116" s="228"/>
      <c r="IX116" s="188">
        <f t="shared" si="1355"/>
        <v>0</v>
      </c>
      <c r="IY116" s="188">
        <f t="shared" si="1356"/>
        <v>0</v>
      </c>
      <c r="IZ116" s="204"/>
      <c r="JA116" s="228"/>
      <c r="JB116" s="188">
        <f t="shared" si="1357"/>
        <v>1</v>
      </c>
      <c r="JC116" s="188">
        <f t="shared" si="1358"/>
        <v>59</v>
      </c>
      <c r="JD116" s="204"/>
      <c r="JE116" s="228"/>
      <c r="JF116" s="188">
        <f t="shared" si="1359"/>
        <v>1</v>
      </c>
      <c r="JG116" s="188">
        <f t="shared" si="1360"/>
        <v>59</v>
      </c>
      <c r="JH116" s="204"/>
      <c r="JI116" s="228"/>
      <c r="JJ116" s="188">
        <f t="shared" si="1361"/>
        <v>0</v>
      </c>
      <c r="JK116" s="188">
        <f t="shared" si="1362"/>
        <v>0</v>
      </c>
      <c r="JM116" s="203">
        <f t="shared" si="1363"/>
        <v>0</v>
      </c>
      <c r="JO116" s="196">
        <f t="shared" si="1364"/>
        <v>0</v>
      </c>
      <c r="JP116" s="189">
        <f t="shared" si="1365"/>
        <v>0</v>
      </c>
      <c r="JQ116" s="189">
        <f t="shared" si="1366"/>
        <v>0</v>
      </c>
      <c r="JR116" s="189">
        <f t="shared" si="1367"/>
        <v>0</v>
      </c>
      <c r="JS116" s="189">
        <f t="shared" si="1368"/>
        <v>0</v>
      </c>
      <c r="JT116" s="189">
        <f t="shared" si="1369"/>
        <v>0</v>
      </c>
      <c r="JU116" s="189">
        <f t="shared" si="1370"/>
        <v>0</v>
      </c>
      <c r="JV116" s="189">
        <f t="shared" si="1371"/>
        <v>0</v>
      </c>
      <c r="JW116" s="189">
        <f t="shared" si="1372"/>
        <v>0</v>
      </c>
      <c r="JX116" s="189">
        <f t="shared" si="1373"/>
        <v>0</v>
      </c>
      <c r="JY116" s="189">
        <f t="shared" si="1374"/>
        <v>0</v>
      </c>
      <c r="JZ116" s="189">
        <f t="shared" si="1375"/>
        <v>0</v>
      </c>
      <c r="KA116" s="189">
        <f t="shared" si="1376"/>
        <v>0</v>
      </c>
      <c r="KB116" s="189">
        <f t="shared" si="1377"/>
        <v>0</v>
      </c>
      <c r="KD116" s="206">
        <f t="shared" si="1378"/>
        <v>0</v>
      </c>
      <c r="KE116" s="206">
        <f t="shared" si="1379"/>
        <v>0</v>
      </c>
      <c r="KF116" s="206">
        <f t="shared" si="1380"/>
        <v>0</v>
      </c>
      <c r="KG116" s="206">
        <f t="shared" si="1381"/>
        <v>0</v>
      </c>
      <c r="KH116" s="206">
        <f t="shared" si="1382"/>
        <v>0</v>
      </c>
      <c r="KI116" s="206">
        <f t="shared" si="1383"/>
        <v>0</v>
      </c>
      <c r="KJ116" s="206">
        <f t="shared" si="1384"/>
        <v>0</v>
      </c>
      <c r="KK116" s="206">
        <f t="shared" si="1385"/>
        <v>0</v>
      </c>
      <c r="KL116" s="206">
        <f t="shared" si="1386"/>
        <v>0</v>
      </c>
      <c r="KM116" s="206">
        <f t="shared" si="1387"/>
        <v>0</v>
      </c>
      <c r="KN116" s="221">
        <f t="shared" si="1388"/>
        <v>0</v>
      </c>
      <c r="KO116" s="221">
        <f t="shared" si="1389"/>
        <v>0</v>
      </c>
      <c r="KP116" s="221">
        <f t="shared" si="1390"/>
        <v>0</v>
      </c>
      <c r="KQ116" s="221">
        <f t="shared" si="1391"/>
        <v>0</v>
      </c>
      <c r="KR116" s="221">
        <f t="shared" si="1392"/>
        <v>0</v>
      </c>
      <c r="KS116" s="195">
        <v>6</v>
      </c>
      <c r="KT116" s="195">
        <f t="shared" si="1393"/>
        <v>1</v>
      </c>
      <c r="KU116" s="221"/>
      <c r="KV116" s="221"/>
      <c r="KW116" s="221"/>
      <c r="KX116" s="221"/>
      <c r="KY116" s="221"/>
      <c r="KZ116" s="221"/>
      <c r="LA116" s="221"/>
      <c r="LB116" s="221"/>
      <c r="LC116" s="221"/>
      <c r="LD116" s="221"/>
      <c r="LE116" s="221"/>
      <c r="LF116" s="221"/>
      <c r="LG116" s="221"/>
      <c r="LH116" s="221"/>
      <c r="LI116" s="221"/>
      <c r="LJ116" s="221"/>
      <c r="LK116" s="221"/>
      <c r="LL116" s="221"/>
      <c r="LM116" s="221"/>
      <c r="LN116" s="221"/>
      <c r="LO116" s="221"/>
      <c r="LP116" s="221"/>
      <c r="LQ116" s="221"/>
      <c r="LR116" s="221"/>
      <c r="LS116" s="221"/>
      <c r="LT116" s="221"/>
      <c r="LU116" s="221"/>
      <c r="LV116" s="221"/>
      <c r="LW116" s="221"/>
      <c r="LX116" s="221"/>
      <c r="LY116" s="221"/>
      <c r="LZ116" s="221"/>
      <c r="MA116" s="221"/>
      <c r="MB116" s="221"/>
      <c r="MC116" s="221"/>
      <c r="MD116" s="221"/>
      <c r="ME116" s="221"/>
      <c r="MF116" s="221"/>
      <c r="MG116" s="221"/>
      <c r="MH116" s="221"/>
      <c r="MI116" s="221"/>
      <c r="MJ116" s="221"/>
      <c r="MK116" s="221"/>
      <c r="ML116" s="221"/>
      <c r="MM116" s="221"/>
      <c r="MN116" s="221"/>
      <c r="MO116" s="221"/>
      <c r="MP116" s="221"/>
      <c r="MQ116" s="221"/>
      <c r="MR116" s="221"/>
      <c r="MS116" s="221"/>
      <c r="MT116" s="221"/>
      <c r="MU116" s="221"/>
      <c r="MV116" s="221"/>
      <c r="MW116" s="221"/>
      <c r="MX116" s="221"/>
      <c r="MY116" s="221"/>
      <c r="MZ116" s="221"/>
      <c r="NA116" s="221"/>
      <c r="NB116" s="221"/>
      <c r="NC116" s="221"/>
      <c r="ND116" s="221"/>
      <c r="NE116" s="221"/>
      <c r="NF116" s="221"/>
      <c r="NG116" s="221"/>
      <c r="NH116" s="221"/>
      <c r="NI116" s="221"/>
      <c r="NJ116" s="221"/>
      <c r="NK116" s="221"/>
      <c r="NM116" s="195">
        <f t="shared" si="1394"/>
        <v>0</v>
      </c>
      <c r="NN116" s="195">
        <f t="shared" si="1395"/>
        <v>0</v>
      </c>
      <c r="NO116" s="195">
        <f t="shared" si="1396"/>
        <v>0</v>
      </c>
      <c r="NP116" s="195">
        <f t="shared" si="1397"/>
        <v>0</v>
      </c>
      <c r="NQ116" s="195">
        <f t="shared" si="1398"/>
        <v>0</v>
      </c>
      <c r="NR116" s="195">
        <f t="shared" si="1399"/>
        <v>1</v>
      </c>
      <c r="NS116" s="195">
        <f t="shared" si="1400"/>
        <v>0</v>
      </c>
      <c r="NT116" s="195">
        <f t="shared" si="1401"/>
        <v>1</v>
      </c>
      <c r="NU116" s="196">
        <f t="shared" si="1402"/>
        <v>0</v>
      </c>
      <c r="NY116" s="215"/>
      <c r="OE116" s="207"/>
      <c r="OF116" s="207"/>
      <c r="OG116" s="207"/>
      <c r="OH116" s="207"/>
      <c r="OI116" s="207"/>
      <c r="OJ116" s="199"/>
      <c r="OK116" s="199"/>
      <c r="OL116" s="199"/>
      <c r="OM116" s="199"/>
      <c r="OO116" s="207"/>
      <c r="OP116" s="207"/>
      <c r="OQ116" s="207"/>
      <c r="OR116" s="207"/>
      <c r="OS116" s="207"/>
      <c r="OT116" s="199"/>
      <c r="OU116" s="199"/>
      <c r="OV116" s="199"/>
      <c r="OW116" s="199"/>
      <c r="OZ116" s="208">
        <f t="shared" si="1403"/>
        <v>1</v>
      </c>
      <c r="PA116" s="209">
        <v>1</v>
      </c>
      <c r="PB116" s="209"/>
      <c r="PC116" s="209"/>
      <c r="PD116" s="210">
        <f t="shared" si="433"/>
        <v>0</v>
      </c>
      <c r="PE116" s="210"/>
      <c r="PF116" s="210">
        <f t="shared" si="434"/>
        <v>0</v>
      </c>
      <c r="PG116" s="210">
        <f t="shared" si="435"/>
        <v>59</v>
      </c>
      <c r="PH116" s="210">
        <f t="shared" si="381"/>
        <v>0</v>
      </c>
      <c r="PI116" s="210">
        <f t="shared" si="382"/>
        <v>0</v>
      </c>
      <c r="PJ116" s="210">
        <f t="shared" si="383"/>
        <v>0</v>
      </c>
      <c r="PK116" s="210">
        <f t="shared" si="384"/>
        <v>0</v>
      </c>
      <c r="PL116" s="210">
        <f t="shared" si="385"/>
        <v>0</v>
      </c>
      <c r="PM116" s="211"/>
      <c r="PN116" s="211"/>
      <c r="PO116" s="212">
        <f t="shared" si="1404"/>
        <v>0</v>
      </c>
      <c r="PP116" s="212">
        <f t="shared" si="1405"/>
        <v>0</v>
      </c>
      <c r="PQ116" s="212">
        <f t="shared" si="1406"/>
        <v>0</v>
      </c>
      <c r="PR116" s="211"/>
      <c r="PS116" s="211"/>
      <c r="PT116" s="211"/>
      <c r="PU116" s="211"/>
    </row>
    <row r="117" spans="1:437 16383:16384" s="195" customFormat="1" ht="16" x14ac:dyDescent="0.2">
      <c r="A117" s="213">
        <f t="shared" si="810"/>
        <v>107</v>
      </c>
      <c r="B117" s="237" t="s">
        <v>646</v>
      </c>
      <c r="C117" s="186">
        <v>7</v>
      </c>
      <c r="D117" s="188">
        <v>1</v>
      </c>
      <c r="E117" s="188">
        <v>88</v>
      </c>
      <c r="F117" s="188">
        <v>1</v>
      </c>
      <c r="G117" s="188">
        <f t="shared" si="812"/>
        <v>88</v>
      </c>
      <c r="H117" s="214">
        <f t="shared" si="1239"/>
        <v>1</v>
      </c>
      <c r="I117" s="214">
        <v>0</v>
      </c>
      <c r="J117" s="188">
        <v>1</v>
      </c>
      <c r="K117" s="188">
        <f t="shared" si="1240"/>
        <v>88</v>
      </c>
      <c r="L117" s="214">
        <f t="shared" si="1241"/>
        <v>1</v>
      </c>
      <c r="M117" s="214">
        <v>0</v>
      </c>
      <c r="N117" s="188">
        <v>1</v>
      </c>
      <c r="O117" s="188">
        <f t="shared" si="1242"/>
        <v>88</v>
      </c>
      <c r="P117" s="214">
        <f t="shared" si="1243"/>
        <v>1</v>
      </c>
      <c r="Q117" s="214">
        <f t="shared" si="1244"/>
        <v>1</v>
      </c>
      <c r="R117" s="188"/>
      <c r="S117" s="188">
        <f t="shared" si="1245"/>
        <v>0</v>
      </c>
      <c r="T117" s="214">
        <f t="shared" si="1246"/>
        <v>0</v>
      </c>
      <c r="U117" s="214">
        <f t="shared" si="1247"/>
        <v>0</v>
      </c>
      <c r="V117" s="215"/>
      <c r="W117" s="188">
        <f t="shared" si="1248"/>
        <v>0</v>
      </c>
      <c r="X117" s="214">
        <f t="shared" si="1249"/>
        <v>0</v>
      </c>
      <c r="Y117" s="214">
        <f t="shared" si="1250"/>
        <v>0</v>
      </c>
      <c r="Z117" s="216"/>
      <c r="AA117" s="188">
        <v>0</v>
      </c>
      <c r="AB117" s="188">
        <v>0</v>
      </c>
      <c r="AC117" s="214">
        <f t="shared" si="1251"/>
        <v>0</v>
      </c>
      <c r="AD117" s="214">
        <f t="shared" si="1252"/>
        <v>0</v>
      </c>
      <c r="AE117" s="188"/>
      <c r="AF117" s="188">
        <f t="shared" si="1253"/>
        <v>0</v>
      </c>
      <c r="AG117" s="188"/>
      <c r="AH117" s="188"/>
      <c r="AI117" s="188"/>
      <c r="AJ117" s="188"/>
      <c r="AK117" s="188"/>
      <c r="AL117" s="188"/>
      <c r="AM117" s="188"/>
      <c r="AN117" s="217">
        <v>1</v>
      </c>
      <c r="AO117" s="188">
        <f t="shared" si="1254"/>
        <v>0</v>
      </c>
      <c r="AP117" s="188">
        <f t="shared" si="1255"/>
        <v>0</v>
      </c>
      <c r="AQ117" s="188">
        <f t="shared" si="1256"/>
        <v>0</v>
      </c>
      <c r="AR117" s="188">
        <f t="shared" si="1257"/>
        <v>0</v>
      </c>
      <c r="AS117" s="188">
        <f t="shared" si="1258"/>
        <v>0</v>
      </c>
      <c r="AT117" s="188">
        <f t="shared" si="1259"/>
        <v>0</v>
      </c>
      <c r="AU117" s="188">
        <f t="shared" si="1260"/>
        <v>0</v>
      </c>
      <c r="AV117" s="188">
        <f t="shared" si="1261"/>
        <v>0</v>
      </c>
      <c r="AW117" s="188">
        <f t="shared" si="1262"/>
        <v>0</v>
      </c>
      <c r="AX117" s="188">
        <f t="shared" si="1263"/>
        <v>0</v>
      </c>
      <c r="AY117" s="188">
        <f t="shared" si="1264"/>
        <v>0</v>
      </c>
      <c r="AZ117" s="188">
        <f t="shared" si="1265"/>
        <v>0</v>
      </c>
      <c r="BA117" s="188">
        <f t="shared" si="1266"/>
        <v>0</v>
      </c>
      <c r="BB117" s="188">
        <f t="shared" si="1267"/>
        <v>88</v>
      </c>
      <c r="BD117" s="196">
        <f t="shared" si="1268"/>
        <v>0</v>
      </c>
      <c r="BE117" s="188">
        <f t="shared" si="1269"/>
        <v>0</v>
      </c>
      <c r="BF117" s="188">
        <f t="shared" si="1270"/>
        <v>0</v>
      </c>
      <c r="BG117" s="188">
        <f t="shared" si="1271"/>
        <v>0</v>
      </c>
      <c r="BH117" s="188">
        <f t="shared" si="1272"/>
        <v>0</v>
      </c>
      <c r="BI117" s="188">
        <f t="shared" si="1273"/>
        <v>0</v>
      </c>
      <c r="BJ117" s="188">
        <f t="shared" si="1274"/>
        <v>0</v>
      </c>
      <c r="BK117" s="188">
        <f t="shared" si="1275"/>
        <v>0</v>
      </c>
      <c r="BN117" s="215"/>
      <c r="BO117" s="188"/>
      <c r="BP117" s="188"/>
      <c r="BQ117" s="188"/>
      <c r="BR117" s="188"/>
      <c r="BS117" s="188"/>
      <c r="BT117" s="188"/>
      <c r="BU117" s="188"/>
      <c r="BV117" s="188"/>
      <c r="BW117" s="188"/>
      <c r="BX117" s="188"/>
      <c r="BY117" s="188"/>
      <c r="BZ117" s="188"/>
      <c r="CB117" s="188"/>
      <c r="CD117" s="188">
        <f t="shared" si="1276"/>
        <v>0</v>
      </c>
      <c r="CE117" s="188">
        <f t="shared" si="1277"/>
        <v>0</v>
      </c>
      <c r="CF117" s="188">
        <f t="shared" si="1278"/>
        <v>0</v>
      </c>
      <c r="CG117" s="188">
        <f t="shared" si="1279"/>
        <v>0</v>
      </c>
      <c r="CH117" s="188">
        <f t="shared" si="1280"/>
        <v>0</v>
      </c>
      <c r="CI117" s="188">
        <f t="shared" si="1281"/>
        <v>0</v>
      </c>
      <c r="CJ117" s="188">
        <f t="shared" si="1282"/>
        <v>0</v>
      </c>
      <c r="CK117" s="188">
        <f t="shared" si="1283"/>
        <v>0</v>
      </c>
      <c r="CL117" s="188">
        <f t="shared" si="1284"/>
        <v>0</v>
      </c>
      <c r="CM117" s="188">
        <f t="shared" si="1285"/>
        <v>0</v>
      </c>
      <c r="CN117" s="188">
        <f t="shared" si="1286"/>
        <v>0</v>
      </c>
      <c r="CO117" s="188">
        <f t="shared" si="1287"/>
        <v>0</v>
      </c>
      <c r="CP117" s="188">
        <f t="shared" si="1288"/>
        <v>0</v>
      </c>
      <c r="DV117" s="188">
        <f t="shared" si="1289"/>
        <v>0</v>
      </c>
      <c r="DW117" s="188">
        <f t="shared" si="1290"/>
        <v>0</v>
      </c>
      <c r="DX117" s="188">
        <f t="shared" si="1291"/>
        <v>0</v>
      </c>
      <c r="DY117" s="188">
        <f t="shared" si="1292"/>
        <v>0</v>
      </c>
      <c r="DZ117" s="188">
        <f t="shared" si="1293"/>
        <v>0</v>
      </c>
      <c r="EA117" s="188">
        <f t="shared" si="1294"/>
        <v>0</v>
      </c>
      <c r="EB117" s="188">
        <f t="shared" si="1295"/>
        <v>0</v>
      </c>
      <c r="EG117" s="220">
        <f t="shared" si="1296"/>
        <v>0</v>
      </c>
      <c r="EH117" s="220">
        <f t="shared" si="1297"/>
        <v>0</v>
      </c>
      <c r="EI117" s="188"/>
      <c r="EJ117" s="188"/>
      <c r="EK117" s="188"/>
      <c r="EL117" s="188"/>
      <c r="EM117" s="188"/>
      <c r="EN117" s="188"/>
      <c r="EO117" s="188"/>
      <c r="EP117" s="188"/>
      <c r="EQ117" s="188"/>
      <c r="ER117" s="188"/>
      <c r="ES117" s="188"/>
      <c r="ET117" s="188"/>
      <c r="EU117" s="188"/>
      <c r="EV117" s="188"/>
      <c r="EW117" s="188"/>
      <c r="EX117" s="188"/>
      <c r="EY117" s="188"/>
      <c r="EZ117" s="188"/>
      <c r="FA117" s="188"/>
      <c r="FB117" s="188"/>
      <c r="FC117" s="188"/>
      <c r="FD117" s="188"/>
      <c r="FE117" s="188"/>
      <c r="FF117" s="188"/>
      <c r="FH117" s="188"/>
      <c r="FI117" s="188"/>
      <c r="FJ117" s="188"/>
      <c r="FK117" s="188"/>
      <c r="FL117" s="188"/>
      <c r="FM117" s="188"/>
      <c r="FN117" s="188"/>
      <c r="FO117" s="188"/>
      <c r="FP117" s="188"/>
      <c r="FQ117" s="188"/>
      <c r="FR117" s="188"/>
      <c r="FS117" s="188"/>
      <c r="FT117" s="188"/>
      <c r="FU117" s="188"/>
      <c r="FV117" s="188"/>
      <c r="FX117" s="188">
        <f t="shared" si="1298"/>
        <v>0</v>
      </c>
      <c r="FY117" s="188">
        <f t="shared" si="1299"/>
        <v>0</v>
      </c>
      <c r="FZ117" s="188">
        <f t="shared" si="1300"/>
        <v>0</v>
      </c>
      <c r="GA117" s="188">
        <f t="shared" si="1301"/>
        <v>0</v>
      </c>
      <c r="GB117" s="188">
        <f t="shared" si="1302"/>
        <v>0</v>
      </c>
      <c r="GC117" s="188">
        <f t="shared" si="1303"/>
        <v>0</v>
      </c>
      <c r="GD117" s="234">
        <f t="shared" si="1304"/>
        <v>0</v>
      </c>
      <c r="GE117" s="188">
        <f t="shared" si="1305"/>
        <v>0</v>
      </c>
      <c r="GF117" s="235"/>
      <c r="GG117" s="188">
        <v>0</v>
      </c>
      <c r="GH117" s="188">
        <v>0</v>
      </c>
      <c r="GI117" s="235"/>
      <c r="GJ117" s="224">
        <f t="shared" si="1306"/>
        <v>0</v>
      </c>
      <c r="GK117" s="224">
        <f t="shared" si="1307"/>
        <v>0</v>
      </c>
      <c r="GO117" s="188"/>
      <c r="GP117" s="188">
        <f t="shared" si="1308"/>
        <v>0</v>
      </c>
      <c r="GQ117" s="188">
        <f t="shared" si="1309"/>
        <v>0</v>
      </c>
      <c r="GR117" s="188">
        <f t="shared" si="1310"/>
        <v>1</v>
      </c>
      <c r="GS117" s="188">
        <f t="shared" si="1311"/>
        <v>1</v>
      </c>
      <c r="GT117" s="188">
        <f t="shared" si="1312"/>
        <v>0</v>
      </c>
      <c r="GU117" s="232">
        <f t="shared" si="388"/>
        <v>43243</v>
      </c>
      <c r="GV117" s="188" t="str">
        <f t="shared" si="1313"/>
        <v>Musyawarah</v>
      </c>
      <c r="GW117" s="188">
        <f t="shared" si="1314"/>
        <v>1</v>
      </c>
      <c r="GX117" s="188" t="str">
        <f t="shared" si="1315"/>
        <v>Musyawarah</v>
      </c>
      <c r="GY117" s="188">
        <f t="shared" si="1316"/>
        <v>24</v>
      </c>
      <c r="GZ117" s="228">
        <f t="shared" si="1317"/>
        <v>43267</v>
      </c>
      <c r="HA117" s="204"/>
      <c r="HB117" s="204"/>
      <c r="HC117" s="188">
        <f t="shared" si="1318"/>
        <v>0</v>
      </c>
      <c r="HD117" s="188">
        <f t="shared" si="1319"/>
        <v>0</v>
      </c>
      <c r="HE117" s="188">
        <f t="shared" si="1320"/>
        <v>0</v>
      </c>
      <c r="HF117" s="188">
        <f t="shared" si="1321"/>
        <v>0</v>
      </c>
      <c r="HG117" s="188">
        <f t="shared" si="1322"/>
        <v>0</v>
      </c>
      <c r="HH117" s="228" t="str">
        <f t="shared" si="1323"/>
        <v>TIDAK KONSINYASI</v>
      </c>
      <c r="HI117" s="228">
        <f t="shared" si="1324"/>
        <v>43312</v>
      </c>
      <c r="HK117" s="228">
        <f t="shared" si="1325"/>
        <v>43312</v>
      </c>
      <c r="HL117" s="204"/>
      <c r="HM117" s="204"/>
      <c r="HN117" s="204"/>
      <c r="HO117" s="204"/>
      <c r="HP117" s="203">
        <f t="shared" si="1326"/>
        <v>0</v>
      </c>
      <c r="HQ117" s="202">
        <f t="shared" si="1327"/>
        <v>0</v>
      </c>
      <c r="HR117" s="202">
        <f t="shared" si="1328"/>
        <v>0</v>
      </c>
      <c r="HS117" s="203">
        <f t="shared" si="1329"/>
        <v>0</v>
      </c>
      <c r="HT117" s="202">
        <f t="shared" si="1330"/>
        <v>0</v>
      </c>
      <c r="HU117" s="202">
        <f t="shared" si="1331"/>
        <v>0</v>
      </c>
      <c r="HV117" s="203">
        <f t="shared" si="1332"/>
        <v>0</v>
      </c>
      <c r="HW117" s="202">
        <f t="shared" si="1333"/>
        <v>0</v>
      </c>
      <c r="HX117" s="202">
        <f t="shared" si="1334"/>
        <v>0</v>
      </c>
      <c r="HY117" s="203">
        <f t="shared" si="1335"/>
        <v>0</v>
      </c>
      <c r="HZ117" s="202">
        <f t="shared" si="1336"/>
        <v>0</v>
      </c>
      <c r="IA117" s="202">
        <f t="shared" si="1337"/>
        <v>0</v>
      </c>
      <c r="IB117" s="236">
        <f t="shared" si="1338"/>
        <v>0</v>
      </c>
      <c r="IC117" s="188">
        <f t="shared" si="1339"/>
        <v>0</v>
      </c>
      <c r="ID117" s="188">
        <f t="shared" si="1340"/>
        <v>0</v>
      </c>
      <c r="IE117" s="228">
        <f t="shared" si="1341"/>
        <v>0</v>
      </c>
      <c r="IF117" s="188">
        <f t="shared" si="1342"/>
        <v>0</v>
      </c>
      <c r="IG117" s="188">
        <f t="shared" si="1343"/>
        <v>0</v>
      </c>
      <c r="IH117" s="228">
        <f t="shared" si="1344"/>
        <v>0</v>
      </c>
      <c r="II117" s="188">
        <f t="shared" si="1345"/>
        <v>0</v>
      </c>
      <c r="IJ117" s="188">
        <f t="shared" si="1346"/>
        <v>0</v>
      </c>
      <c r="IK117" s="228">
        <f t="shared" si="1347"/>
        <v>0</v>
      </c>
      <c r="IL117" s="188">
        <f t="shared" si="1348"/>
        <v>0</v>
      </c>
      <c r="IM117" s="188">
        <f t="shared" si="1349"/>
        <v>0</v>
      </c>
      <c r="IN117" s="204"/>
      <c r="IO117" s="228">
        <f t="shared" si="1350"/>
        <v>0</v>
      </c>
      <c r="IP117" s="188">
        <f t="shared" si="1351"/>
        <v>0</v>
      </c>
      <c r="IQ117" s="188">
        <f t="shared" si="1352"/>
        <v>0</v>
      </c>
      <c r="IR117" s="204"/>
      <c r="IS117" s="228"/>
      <c r="IT117" s="188">
        <f t="shared" si="1353"/>
        <v>0</v>
      </c>
      <c r="IU117" s="188">
        <f t="shared" si="1354"/>
        <v>0</v>
      </c>
      <c r="IV117" s="204"/>
      <c r="IW117" s="228"/>
      <c r="IX117" s="188">
        <f t="shared" si="1355"/>
        <v>0</v>
      </c>
      <c r="IY117" s="188">
        <f t="shared" si="1356"/>
        <v>0</v>
      </c>
      <c r="IZ117" s="204"/>
      <c r="JA117" s="228"/>
      <c r="JB117" s="188">
        <f t="shared" si="1357"/>
        <v>1</v>
      </c>
      <c r="JC117" s="188">
        <f t="shared" si="1358"/>
        <v>88</v>
      </c>
      <c r="JD117" s="204"/>
      <c r="JE117" s="228"/>
      <c r="JF117" s="188">
        <f t="shared" si="1359"/>
        <v>1</v>
      </c>
      <c r="JG117" s="188">
        <f t="shared" si="1360"/>
        <v>88</v>
      </c>
      <c r="JH117" s="204"/>
      <c r="JI117" s="228"/>
      <c r="JJ117" s="188">
        <f t="shared" si="1361"/>
        <v>0</v>
      </c>
      <c r="JK117" s="188">
        <f t="shared" si="1362"/>
        <v>0</v>
      </c>
      <c r="JM117" s="203">
        <f t="shared" si="1363"/>
        <v>0</v>
      </c>
      <c r="JO117" s="196">
        <f t="shared" si="1364"/>
        <v>0</v>
      </c>
      <c r="JP117" s="189">
        <f t="shared" si="1365"/>
        <v>0</v>
      </c>
      <c r="JQ117" s="189">
        <f t="shared" si="1366"/>
        <v>0</v>
      </c>
      <c r="JR117" s="189">
        <f t="shared" si="1367"/>
        <v>0</v>
      </c>
      <c r="JS117" s="189">
        <f t="shared" si="1368"/>
        <v>0</v>
      </c>
      <c r="JT117" s="189">
        <f t="shared" si="1369"/>
        <v>0</v>
      </c>
      <c r="JU117" s="189">
        <f t="shared" si="1370"/>
        <v>0</v>
      </c>
      <c r="JV117" s="189">
        <f t="shared" si="1371"/>
        <v>0</v>
      </c>
      <c r="JW117" s="189">
        <f t="shared" si="1372"/>
        <v>0</v>
      </c>
      <c r="JX117" s="189">
        <f t="shared" si="1373"/>
        <v>0</v>
      </c>
      <c r="JY117" s="189">
        <f t="shared" si="1374"/>
        <v>0</v>
      </c>
      <c r="JZ117" s="189">
        <f t="shared" si="1375"/>
        <v>0</v>
      </c>
      <c r="KA117" s="189">
        <f t="shared" si="1376"/>
        <v>0</v>
      </c>
      <c r="KB117" s="189">
        <f t="shared" si="1377"/>
        <v>0</v>
      </c>
      <c r="KD117" s="206">
        <f t="shared" si="1378"/>
        <v>0</v>
      </c>
      <c r="KE117" s="206">
        <f t="shared" si="1379"/>
        <v>0</v>
      </c>
      <c r="KF117" s="206">
        <f t="shared" si="1380"/>
        <v>0</v>
      </c>
      <c r="KG117" s="206">
        <f t="shared" si="1381"/>
        <v>0</v>
      </c>
      <c r="KH117" s="206">
        <f t="shared" si="1382"/>
        <v>0</v>
      </c>
      <c r="KI117" s="206">
        <f t="shared" si="1383"/>
        <v>0</v>
      </c>
      <c r="KJ117" s="206">
        <f t="shared" si="1384"/>
        <v>0</v>
      </c>
      <c r="KK117" s="206">
        <f t="shared" si="1385"/>
        <v>0</v>
      </c>
      <c r="KL117" s="206">
        <f t="shared" si="1386"/>
        <v>0</v>
      </c>
      <c r="KM117" s="206">
        <f t="shared" si="1387"/>
        <v>0</v>
      </c>
      <c r="KN117" s="221">
        <f t="shared" si="1388"/>
        <v>0</v>
      </c>
      <c r="KO117" s="221">
        <f t="shared" si="1389"/>
        <v>0</v>
      </c>
      <c r="KP117" s="221">
        <f t="shared" si="1390"/>
        <v>0</v>
      </c>
      <c r="KQ117" s="221">
        <f t="shared" si="1391"/>
        <v>0</v>
      </c>
      <c r="KR117" s="221">
        <f t="shared" si="1392"/>
        <v>0</v>
      </c>
      <c r="KS117" s="195">
        <v>6</v>
      </c>
      <c r="KT117" s="195">
        <f t="shared" si="1393"/>
        <v>1</v>
      </c>
      <c r="KU117" s="221"/>
      <c r="KV117" s="221"/>
      <c r="KW117" s="221"/>
      <c r="KX117" s="221"/>
      <c r="KY117" s="221"/>
      <c r="KZ117" s="221"/>
      <c r="LA117" s="221"/>
      <c r="LB117" s="221"/>
      <c r="LC117" s="221"/>
      <c r="LD117" s="221"/>
      <c r="LE117" s="221"/>
      <c r="LF117" s="221"/>
      <c r="LG117" s="221"/>
      <c r="LH117" s="221"/>
      <c r="LI117" s="221"/>
      <c r="LJ117" s="221"/>
      <c r="LK117" s="221"/>
      <c r="LL117" s="221"/>
      <c r="LM117" s="221"/>
      <c r="LN117" s="221"/>
      <c r="LO117" s="221"/>
      <c r="LP117" s="221"/>
      <c r="LQ117" s="221"/>
      <c r="LR117" s="221"/>
      <c r="LS117" s="221"/>
      <c r="LT117" s="221"/>
      <c r="LU117" s="221"/>
      <c r="LV117" s="221"/>
      <c r="LW117" s="221"/>
      <c r="LX117" s="221"/>
      <c r="LY117" s="221"/>
      <c r="LZ117" s="221"/>
      <c r="MA117" s="221"/>
      <c r="MB117" s="221"/>
      <c r="MC117" s="221"/>
      <c r="MD117" s="221"/>
      <c r="ME117" s="221"/>
      <c r="MF117" s="221"/>
      <c r="MG117" s="221"/>
      <c r="MH117" s="221"/>
      <c r="MI117" s="221"/>
      <c r="MJ117" s="221"/>
      <c r="MK117" s="221"/>
      <c r="ML117" s="221"/>
      <c r="MM117" s="221"/>
      <c r="MN117" s="221"/>
      <c r="MO117" s="221"/>
      <c r="MP117" s="221"/>
      <c r="MQ117" s="221"/>
      <c r="MR117" s="221"/>
      <c r="MS117" s="221"/>
      <c r="MT117" s="221"/>
      <c r="MU117" s="221"/>
      <c r="MV117" s="221"/>
      <c r="MW117" s="221"/>
      <c r="MX117" s="221"/>
      <c r="MY117" s="221"/>
      <c r="MZ117" s="221"/>
      <c r="NA117" s="221"/>
      <c r="NB117" s="221"/>
      <c r="NC117" s="221"/>
      <c r="ND117" s="221"/>
      <c r="NE117" s="221"/>
      <c r="NF117" s="221"/>
      <c r="NG117" s="221"/>
      <c r="NH117" s="221"/>
      <c r="NI117" s="221"/>
      <c r="NJ117" s="221"/>
      <c r="NK117" s="221"/>
      <c r="NM117" s="195">
        <f t="shared" si="1394"/>
        <v>0</v>
      </c>
      <c r="NN117" s="195">
        <f t="shared" si="1395"/>
        <v>0</v>
      </c>
      <c r="NO117" s="195">
        <f t="shared" si="1396"/>
        <v>0</v>
      </c>
      <c r="NP117" s="195">
        <f t="shared" si="1397"/>
        <v>0</v>
      </c>
      <c r="NQ117" s="195">
        <f t="shared" si="1398"/>
        <v>0</v>
      </c>
      <c r="NR117" s="195">
        <f t="shared" si="1399"/>
        <v>1</v>
      </c>
      <c r="NS117" s="195">
        <f t="shared" si="1400"/>
        <v>0</v>
      </c>
      <c r="NT117" s="195">
        <f t="shared" si="1401"/>
        <v>1</v>
      </c>
      <c r="NU117" s="196">
        <f t="shared" si="1402"/>
        <v>0</v>
      </c>
      <c r="NY117" s="215"/>
      <c r="OE117" s="207"/>
      <c r="OF117" s="207"/>
      <c r="OG117" s="207"/>
      <c r="OH117" s="207"/>
      <c r="OI117" s="207"/>
      <c r="OJ117" s="199"/>
      <c r="OK117" s="199"/>
      <c r="OL117" s="199"/>
      <c r="OM117" s="199"/>
      <c r="OO117" s="207"/>
      <c r="OP117" s="207"/>
      <c r="OQ117" s="207"/>
      <c r="OR117" s="207"/>
      <c r="OS117" s="207"/>
      <c r="OT117" s="199"/>
      <c r="OU117" s="199"/>
      <c r="OV117" s="199"/>
      <c r="OW117" s="199"/>
      <c r="OZ117" s="208">
        <f t="shared" si="1403"/>
        <v>1</v>
      </c>
      <c r="PA117" s="209">
        <v>1</v>
      </c>
      <c r="PB117" s="209"/>
      <c r="PC117" s="209"/>
      <c r="PD117" s="210">
        <f t="shared" si="433"/>
        <v>0</v>
      </c>
      <c r="PE117" s="210"/>
      <c r="PF117" s="210">
        <f t="shared" si="434"/>
        <v>0</v>
      </c>
      <c r="PG117" s="210">
        <f t="shared" si="435"/>
        <v>88</v>
      </c>
      <c r="PH117" s="210">
        <f t="shared" si="381"/>
        <v>0</v>
      </c>
      <c r="PI117" s="210">
        <f t="shared" si="382"/>
        <v>0</v>
      </c>
      <c r="PJ117" s="210">
        <f t="shared" si="383"/>
        <v>0</v>
      </c>
      <c r="PK117" s="210">
        <f t="shared" si="384"/>
        <v>0</v>
      </c>
      <c r="PL117" s="210">
        <f t="shared" si="385"/>
        <v>0</v>
      </c>
      <c r="PM117" s="211"/>
      <c r="PN117" s="211"/>
      <c r="PO117" s="212">
        <f t="shared" si="1404"/>
        <v>0</v>
      </c>
      <c r="PP117" s="212">
        <f t="shared" si="1405"/>
        <v>0</v>
      </c>
      <c r="PQ117" s="212">
        <f t="shared" si="1406"/>
        <v>0</v>
      </c>
      <c r="PR117" s="211"/>
      <c r="PS117" s="211"/>
      <c r="PT117" s="211"/>
      <c r="PU117" s="211"/>
    </row>
    <row r="118" spans="1:437 16383:16384" s="195" customFormat="1" ht="16" x14ac:dyDescent="0.2">
      <c r="A118" s="213">
        <f t="shared" si="810"/>
        <v>108</v>
      </c>
      <c r="B118" s="237" t="s">
        <v>647</v>
      </c>
      <c r="C118" s="186">
        <v>9</v>
      </c>
      <c r="D118" s="188">
        <v>1</v>
      </c>
      <c r="E118" s="188">
        <v>30</v>
      </c>
      <c r="F118" s="188">
        <v>1</v>
      </c>
      <c r="G118" s="188">
        <f t="shared" si="812"/>
        <v>30</v>
      </c>
      <c r="H118" s="214">
        <f t="shared" si="1239"/>
        <v>1</v>
      </c>
      <c r="I118" s="214">
        <v>0</v>
      </c>
      <c r="J118" s="188">
        <v>1</v>
      </c>
      <c r="K118" s="188">
        <f t="shared" si="1240"/>
        <v>30</v>
      </c>
      <c r="L118" s="214">
        <f t="shared" si="1241"/>
        <v>1</v>
      </c>
      <c r="M118" s="214">
        <v>0</v>
      </c>
      <c r="N118" s="188">
        <v>1</v>
      </c>
      <c r="O118" s="188">
        <f t="shared" si="1242"/>
        <v>30</v>
      </c>
      <c r="P118" s="214">
        <f t="shared" si="1243"/>
        <v>1</v>
      </c>
      <c r="Q118" s="214">
        <f t="shared" si="1244"/>
        <v>1</v>
      </c>
      <c r="R118" s="188"/>
      <c r="S118" s="188">
        <f t="shared" si="1245"/>
        <v>0</v>
      </c>
      <c r="T118" s="214">
        <f t="shared" si="1246"/>
        <v>0</v>
      </c>
      <c r="U118" s="214">
        <f t="shared" si="1247"/>
        <v>0</v>
      </c>
      <c r="V118" s="215"/>
      <c r="W118" s="188">
        <f t="shared" si="1248"/>
        <v>0</v>
      </c>
      <c r="X118" s="214">
        <f t="shared" si="1249"/>
        <v>0</v>
      </c>
      <c r="Y118" s="214">
        <f t="shared" si="1250"/>
        <v>0</v>
      </c>
      <c r="Z118" s="216"/>
      <c r="AA118" s="188">
        <v>0</v>
      </c>
      <c r="AB118" s="188">
        <v>0</v>
      </c>
      <c r="AC118" s="214">
        <f t="shared" si="1251"/>
        <v>0</v>
      </c>
      <c r="AD118" s="214">
        <f t="shared" si="1252"/>
        <v>0</v>
      </c>
      <c r="AE118" s="188"/>
      <c r="AF118" s="188">
        <f t="shared" si="1253"/>
        <v>0</v>
      </c>
      <c r="AG118" s="188"/>
      <c r="AH118" s="188"/>
      <c r="AI118" s="188"/>
      <c r="AJ118" s="188"/>
      <c r="AK118" s="188"/>
      <c r="AL118" s="188"/>
      <c r="AM118" s="188"/>
      <c r="AN118" s="217">
        <v>1</v>
      </c>
      <c r="AO118" s="188">
        <f t="shared" si="1254"/>
        <v>0</v>
      </c>
      <c r="AP118" s="188">
        <f t="shared" si="1255"/>
        <v>0</v>
      </c>
      <c r="AQ118" s="188">
        <f t="shared" si="1256"/>
        <v>0</v>
      </c>
      <c r="AR118" s="188">
        <f t="shared" si="1257"/>
        <v>0</v>
      </c>
      <c r="AS118" s="188">
        <f t="shared" si="1258"/>
        <v>0</v>
      </c>
      <c r="AT118" s="188">
        <f t="shared" si="1259"/>
        <v>0</v>
      </c>
      <c r="AU118" s="188">
        <f t="shared" si="1260"/>
        <v>0</v>
      </c>
      <c r="AV118" s="188">
        <f t="shared" si="1261"/>
        <v>0</v>
      </c>
      <c r="AW118" s="188">
        <f t="shared" si="1262"/>
        <v>0</v>
      </c>
      <c r="AX118" s="188">
        <f t="shared" si="1263"/>
        <v>0</v>
      </c>
      <c r="AY118" s="188">
        <f t="shared" si="1264"/>
        <v>0</v>
      </c>
      <c r="AZ118" s="188">
        <f t="shared" si="1265"/>
        <v>0</v>
      </c>
      <c r="BA118" s="188">
        <f t="shared" si="1266"/>
        <v>0</v>
      </c>
      <c r="BB118" s="188">
        <f t="shared" si="1267"/>
        <v>30</v>
      </c>
      <c r="BD118" s="196">
        <f t="shared" si="1268"/>
        <v>0</v>
      </c>
      <c r="BE118" s="188">
        <f t="shared" si="1269"/>
        <v>0</v>
      </c>
      <c r="BF118" s="188">
        <f t="shared" si="1270"/>
        <v>0</v>
      </c>
      <c r="BG118" s="188">
        <f t="shared" si="1271"/>
        <v>0</v>
      </c>
      <c r="BH118" s="188">
        <f t="shared" si="1272"/>
        <v>0</v>
      </c>
      <c r="BI118" s="188">
        <f t="shared" si="1273"/>
        <v>0</v>
      </c>
      <c r="BJ118" s="188">
        <f t="shared" si="1274"/>
        <v>0</v>
      </c>
      <c r="BK118" s="188">
        <f t="shared" si="1275"/>
        <v>0</v>
      </c>
      <c r="BN118" s="215"/>
      <c r="BO118" s="188"/>
      <c r="BP118" s="188"/>
      <c r="BQ118" s="188"/>
      <c r="BR118" s="188"/>
      <c r="BS118" s="188"/>
      <c r="BT118" s="188"/>
      <c r="BU118" s="188"/>
      <c r="BV118" s="188"/>
      <c r="BW118" s="188"/>
      <c r="BX118" s="188"/>
      <c r="BY118" s="188"/>
      <c r="BZ118" s="188"/>
      <c r="CB118" s="188"/>
      <c r="CD118" s="188">
        <f t="shared" si="1276"/>
        <v>0</v>
      </c>
      <c r="CE118" s="188">
        <f t="shared" si="1277"/>
        <v>0</v>
      </c>
      <c r="CF118" s="188">
        <f t="shared" si="1278"/>
        <v>0</v>
      </c>
      <c r="CG118" s="188">
        <f t="shared" si="1279"/>
        <v>0</v>
      </c>
      <c r="CH118" s="188">
        <f t="shared" si="1280"/>
        <v>0</v>
      </c>
      <c r="CI118" s="188">
        <f t="shared" si="1281"/>
        <v>0</v>
      </c>
      <c r="CJ118" s="188">
        <f t="shared" si="1282"/>
        <v>0</v>
      </c>
      <c r="CK118" s="188">
        <f t="shared" si="1283"/>
        <v>0</v>
      </c>
      <c r="CL118" s="188">
        <f t="shared" si="1284"/>
        <v>0</v>
      </c>
      <c r="CM118" s="188">
        <f t="shared" si="1285"/>
        <v>0</v>
      </c>
      <c r="CN118" s="188">
        <f t="shared" si="1286"/>
        <v>0</v>
      </c>
      <c r="CO118" s="188">
        <f t="shared" si="1287"/>
        <v>0</v>
      </c>
      <c r="CP118" s="188">
        <f t="shared" si="1288"/>
        <v>0</v>
      </c>
      <c r="DV118" s="188">
        <f t="shared" si="1289"/>
        <v>0</v>
      </c>
      <c r="DW118" s="188">
        <f t="shared" si="1290"/>
        <v>0</v>
      </c>
      <c r="DX118" s="188">
        <f t="shared" si="1291"/>
        <v>0</v>
      </c>
      <c r="DY118" s="188">
        <f t="shared" si="1292"/>
        <v>0</v>
      </c>
      <c r="DZ118" s="188">
        <f t="shared" si="1293"/>
        <v>0</v>
      </c>
      <c r="EA118" s="188">
        <f t="shared" si="1294"/>
        <v>0</v>
      </c>
      <c r="EB118" s="188">
        <f t="shared" si="1295"/>
        <v>0</v>
      </c>
      <c r="EG118" s="220">
        <f t="shared" si="1296"/>
        <v>0</v>
      </c>
      <c r="EH118" s="220">
        <f t="shared" si="1297"/>
        <v>0</v>
      </c>
      <c r="EI118" s="188"/>
      <c r="EJ118" s="188"/>
      <c r="EK118" s="188"/>
      <c r="EL118" s="188"/>
      <c r="EM118" s="188"/>
      <c r="EN118" s="188"/>
      <c r="EO118" s="188"/>
      <c r="EP118" s="188"/>
      <c r="EQ118" s="188"/>
      <c r="ER118" s="188"/>
      <c r="ES118" s="188"/>
      <c r="ET118" s="188"/>
      <c r="EU118" s="188"/>
      <c r="EV118" s="188"/>
      <c r="EW118" s="188"/>
      <c r="EX118" s="188"/>
      <c r="EY118" s="188"/>
      <c r="EZ118" s="188"/>
      <c r="FA118" s="188"/>
      <c r="FB118" s="188"/>
      <c r="FC118" s="188"/>
      <c r="FD118" s="188"/>
      <c r="FE118" s="188"/>
      <c r="FF118" s="188"/>
      <c r="FH118" s="188"/>
      <c r="FI118" s="188"/>
      <c r="FJ118" s="188"/>
      <c r="FK118" s="188"/>
      <c r="FL118" s="188"/>
      <c r="FM118" s="188"/>
      <c r="FN118" s="188"/>
      <c r="FO118" s="188"/>
      <c r="FP118" s="188"/>
      <c r="FQ118" s="188"/>
      <c r="FR118" s="188"/>
      <c r="FS118" s="188"/>
      <c r="FT118" s="188"/>
      <c r="FU118" s="188"/>
      <c r="FV118" s="188"/>
      <c r="FX118" s="188">
        <f t="shared" si="1298"/>
        <v>0</v>
      </c>
      <c r="FY118" s="188">
        <f t="shared" si="1299"/>
        <v>0</v>
      </c>
      <c r="FZ118" s="188">
        <f t="shared" si="1300"/>
        <v>0</v>
      </c>
      <c r="GA118" s="188">
        <f t="shared" si="1301"/>
        <v>0</v>
      </c>
      <c r="GB118" s="188">
        <f t="shared" si="1302"/>
        <v>0</v>
      </c>
      <c r="GC118" s="188">
        <f t="shared" si="1303"/>
        <v>0</v>
      </c>
      <c r="GD118" s="234">
        <f t="shared" si="1304"/>
        <v>0</v>
      </c>
      <c r="GE118" s="188">
        <f t="shared" si="1305"/>
        <v>0</v>
      </c>
      <c r="GF118" s="235"/>
      <c r="GG118" s="188">
        <v>0</v>
      </c>
      <c r="GH118" s="188">
        <v>0</v>
      </c>
      <c r="GI118" s="235"/>
      <c r="GJ118" s="224">
        <f t="shared" si="1306"/>
        <v>0</v>
      </c>
      <c r="GK118" s="224">
        <f t="shared" si="1307"/>
        <v>0</v>
      </c>
      <c r="GO118" s="188"/>
      <c r="GP118" s="188">
        <f t="shared" si="1308"/>
        <v>0</v>
      </c>
      <c r="GQ118" s="188">
        <f t="shared" si="1309"/>
        <v>0</v>
      </c>
      <c r="GR118" s="188">
        <f t="shared" si="1310"/>
        <v>1</v>
      </c>
      <c r="GS118" s="188">
        <f t="shared" si="1311"/>
        <v>1</v>
      </c>
      <c r="GT118" s="188">
        <f t="shared" si="1312"/>
        <v>0</v>
      </c>
      <c r="GU118" s="232">
        <f t="shared" si="388"/>
        <v>43243</v>
      </c>
      <c r="GV118" s="188" t="str">
        <f t="shared" si="1313"/>
        <v>Musyawarah</v>
      </c>
      <c r="GW118" s="188">
        <f t="shared" si="1314"/>
        <v>1</v>
      </c>
      <c r="GX118" s="188" t="str">
        <f t="shared" si="1315"/>
        <v>Musyawarah</v>
      </c>
      <c r="GY118" s="188">
        <f t="shared" si="1316"/>
        <v>24</v>
      </c>
      <c r="GZ118" s="228">
        <f t="shared" si="1317"/>
        <v>43267</v>
      </c>
      <c r="HA118" s="204"/>
      <c r="HB118" s="204"/>
      <c r="HC118" s="188">
        <f t="shared" si="1318"/>
        <v>0</v>
      </c>
      <c r="HD118" s="188">
        <f t="shared" si="1319"/>
        <v>0</v>
      </c>
      <c r="HE118" s="188">
        <f t="shared" si="1320"/>
        <v>0</v>
      </c>
      <c r="HF118" s="188">
        <f t="shared" si="1321"/>
        <v>0</v>
      </c>
      <c r="HG118" s="188">
        <f t="shared" si="1322"/>
        <v>0</v>
      </c>
      <c r="HH118" s="228" t="str">
        <f t="shared" si="1323"/>
        <v>TIDAK KONSINYASI</v>
      </c>
      <c r="HI118" s="228">
        <f t="shared" si="1324"/>
        <v>43312</v>
      </c>
      <c r="HK118" s="228">
        <f t="shared" si="1325"/>
        <v>43312</v>
      </c>
      <c r="HL118" s="204"/>
      <c r="HM118" s="204"/>
      <c r="HN118" s="204"/>
      <c r="HO118" s="204"/>
      <c r="HP118" s="203">
        <f t="shared" si="1326"/>
        <v>0</v>
      </c>
      <c r="HQ118" s="202">
        <f t="shared" si="1327"/>
        <v>0</v>
      </c>
      <c r="HR118" s="202">
        <f t="shared" si="1328"/>
        <v>0</v>
      </c>
      <c r="HS118" s="203">
        <f t="shared" si="1329"/>
        <v>0</v>
      </c>
      <c r="HT118" s="202">
        <f t="shared" si="1330"/>
        <v>0</v>
      </c>
      <c r="HU118" s="202">
        <f t="shared" si="1331"/>
        <v>0</v>
      </c>
      <c r="HV118" s="203">
        <f t="shared" si="1332"/>
        <v>0</v>
      </c>
      <c r="HW118" s="202">
        <f t="shared" si="1333"/>
        <v>0</v>
      </c>
      <c r="HX118" s="202">
        <f t="shared" si="1334"/>
        <v>0</v>
      </c>
      <c r="HY118" s="203">
        <f t="shared" si="1335"/>
        <v>0</v>
      </c>
      <c r="HZ118" s="202">
        <f t="shared" si="1336"/>
        <v>0</v>
      </c>
      <c r="IA118" s="202">
        <f t="shared" si="1337"/>
        <v>0</v>
      </c>
      <c r="IB118" s="236">
        <f t="shared" si="1338"/>
        <v>0</v>
      </c>
      <c r="IC118" s="188">
        <f t="shared" si="1339"/>
        <v>0</v>
      </c>
      <c r="ID118" s="188">
        <f t="shared" si="1340"/>
        <v>0</v>
      </c>
      <c r="IE118" s="228">
        <f t="shared" si="1341"/>
        <v>0</v>
      </c>
      <c r="IF118" s="188">
        <f t="shared" si="1342"/>
        <v>0</v>
      </c>
      <c r="IG118" s="188">
        <f t="shared" si="1343"/>
        <v>0</v>
      </c>
      <c r="IH118" s="228">
        <f t="shared" si="1344"/>
        <v>0</v>
      </c>
      <c r="II118" s="188">
        <f t="shared" si="1345"/>
        <v>0</v>
      </c>
      <c r="IJ118" s="188">
        <f t="shared" si="1346"/>
        <v>0</v>
      </c>
      <c r="IK118" s="228">
        <f t="shared" si="1347"/>
        <v>0</v>
      </c>
      <c r="IL118" s="188">
        <f t="shared" si="1348"/>
        <v>0</v>
      </c>
      <c r="IM118" s="188">
        <f t="shared" si="1349"/>
        <v>0</v>
      </c>
      <c r="IN118" s="204"/>
      <c r="IO118" s="228">
        <f t="shared" si="1350"/>
        <v>0</v>
      </c>
      <c r="IP118" s="188">
        <f t="shared" si="1351"/>
        <v>0</v>
      </c>
      <c r="IQ118" s="188">
        <f t="shared" si="1352"/>
        <v>0</v>
      </c>
      <c r="IR118" s="204"/>
      <c r="IS118" s="228"/>
      <c r="IT118" s="188">
        <f t="shared" si="1353"/>
        <v>0</v>
      </c>
      <c r="IU118" s="188">
        <f t="shared" si="1354"/>
        <v>0</v>
      </c>
      <c r="IV118" s="204"/>
      <c r="IW118" s="228"/>
      <c r="IX118" s="188">
        <f t="shared" si="1355"/>
        <v>0</v>
      </c>
      <c r="IY118" s="188">
        <f t="shared" si="1356"/>
        <v>0</v>
      </c>
      <c r="IZ118" s="204"/>
      <c r="JA118" s="228"/>
      <c r="JB118" s="188">
        <f t="shared" si="1357"/>
        <v>1</v>
      </c>
      <c r="JC118" s="188">
        <f t="shared" si="1358"/>
        <v>30</v>
      </c>
      <c r="JD118" s="204"/>
      <c r="JE118" s="228"/>
      <c r="JF118" s="188">
        <f t="shared" si="1359"/>
        <v>1</v>
      </c>
      <c r="JG118" s="188">
        <f t="shared" si="1360"/>
        <v>30</v>
      </c>
      <c r="JH118" s="204"/>
      <c r="JI118" s="228"/>
      <c r="JJ118" s="188">
        <f t="shared" si="1361"/>
        <v>0</v>
      </c>
      <c r="JK118" s="188">
        <f t="shared" si="1362"/>
        <v>0</v>
      </c>
      <c r="JM118" s="203">
        <f t="shared" si="1363"/>
        <v>0</v>
      </c>
      <c r="JO118" s="196">
        <f t="shared" si="1364"/>
        <v>0</v>
      </c>
      <c r="JP118" s="189">
        <f t="shared" si="1365"/>
        <v>0</v>
      </c>
      <c r="JQ118" s="189">
        <f t="shared" si="1366"/>
        <v>0</v>
      </c>
      <c r="JR118" s="189">
        <f t="shared" si="1367"/>
        <v>0</v>
      </c>
      <c r="JS118" s="189">
        <f t="shared" si="1368"/>
        <v>0</v>
      </c>
      <c r="JT118" s="189">
        <f t="shared" si="1369"/>
        <v>0</v>
      </c>
      <c r="JU118" s="189">
        <f t="shared" si="1370"/>
        <v>0</v>
      </c>
      <c r="JV118" s="189">
        <f t="shared" si="1371"/>
        <v>0</v>
      </c>
      <c r="JW118" s="189">
        <f t="shared" si="1372"/>
        <v>0</v>
      </c>
      <c r="JX118" s="189">
        <f t="shared" si="1373"/>
        <v>0</v>
      </c>
      <c r="JY118" s="189">
        <f t="shared" si="1374"/>
        <v>0</v>
      </c>
      <c r="JZ118" s="189">
        <f t="shared" si="1375"/>
        <v>0</v>
      </c>
      <c r="KA118" s="189">
        <f t="shared" si="1376"/>
        <v>0</v>
      </c>
      <c r="KB118" s="189">
        <f t="shared" si="1377"/>
        <v>0</v>
      </c>
      <c r="KD118" s="206">
        <f t="shared" si="1378"/>
        <v>0</v>
      </c>
      <c r="KE118" s="206">
        <f t="shared" si="1379"/>
        <v>0</v>
      </c>
      <c r="KF118" s="206">
        <f t="shared" si="1380"/>
        <v>0</v>
      </c>
      <c r="KG118" s="206">
        <f t="shared" si="1381"/>
        <v>0</v>
      </c>
      <c r="KH118" s="206">
        <f t="shared" si="1382"/>
        <v>0</v>
      </c>
      <c r="KI118" s="206">
        <f t="shared" si="1383"/>
        <v>0</v>
      </c>
      <c r="KJ118" s="206">
        <f t="shared" si="1384"/>
        <v>0</v>
      </c>
      <c r="KK118" s="206">
        <f t="shared" si="1385"/>
        <v>0</v>
      </c>
      <c r="KL118" s="206">
        <f t="shared" si="1386"/>
        <v>0</v>
      </c>
      <c r="KM118" s="206">
        <f t="shared" si="1387"/>
        <v>0</v>
      </c>
      <c r="KN118" s="221">
        <f t="shared" si="1388"/>
        <v>0</v>
      </c>
      <c r="KO118" s="221">
        <f t="shared" si="1389"/>
        <v>0</v>
      </c>
      <c r="KP118" s="221">
        <f t="shared" si="1390"/>
        <v>0</v>
      </c>
      <c r="KQ118" s="221">
        <f t="shared" si="1391"/>
        <v>0</v>
      </c>
      <c r="KR118" s="221">
        <f t="shared" si="1392"/>
        <v>0</v>
      </c>
      <c r="KS118" s="195">
        <v>6</v>
      </c>
      <c r="KT118" s="195">
        <f t="shared" si="1393"/>
        <v>1</v>
      </c>
      <c r="KU118" s="221"/>
      <c r="KV118" s="221"/>
      <c r="KW118" s="221"/>
      <c r="KX118" s="221"/>
      <c r="KY118" s="221"/>
      <c r="KZ118" s="221"/>
      <c r="LA118" s="221"/>
      <c r="LB118" s="221"/>
      <c r="LC118" s="221"/>
      <c r="LD118" s="221"/>
      <c r="LE118" s="221"/>
      <c r="LF118" s="221"/>
      <c r="LG118" s="221"/>
      <c r="LH118" s="221"/>
      <c r="LI118" s="221"/>
      <c r="LJ118" s="221"/>
      <c r="LK118" s="221"/>
      <c r="LL118" s="221"/>
      <c r="LM118" s="221"/>
      <c r="LN118" s="221"/>
      <c r="LO118" s="221"/>
      <c r="LP118" s="221"/>
      <c r="LQ118" s="221"/>
      <c r="LR118" s="221"/>
      <c r="LS118" s="221"/>
      <c r="LT118" s="221"/>
      <c r="LU118" s="221"/>
      <c r="LV118" s="221"/>
      <c r="LW118" s="221"/>
      <c r="LX118" s="221"/>
      <c r="LY118" s="221"/>
      <c r="LZ118" s="221"/>
      <c r="MA118" s="221"/>
      <c r="MB118" s="221"/>
      <c r="MC118" s="221"/>
      <c r="MD118" s="221"/>
      <c r="ME118" s="221"/>
      <c r="MF118" s="221"/>
      <c r="MG118" s="221"/>
      <c r="MH118" s="221"/>
      <c r="MI118" s="221"/>
      <c r="MJ118" s="221"/>
      <c r="MK118" s="221"/>
      <c r="ML118" s="221"/>
      <c r="MM118" s="221"/>
      <c r="MN118" s="221"/>
      <c r="MO118" s="221"/>
      <c r="MP118" s="221"/>
      <c r="MQ118" s="221"/>
      <c r="MR118" s="221"/>
      <c r="MS118" s="221"/>
      <c r="MT118" s="221"/>
      <c r="MU118" s="221"/>
      <c r="MV118" s="221"/>
      <c r="MW118" s="221"/>
      <c r="MX118" s="221"/>
      <c r="MY118" s="221"/>
      <c r="MZ118" s="221"/>
      <c r="NA118" s="221"/>
      <c r="NB118" s="221"/>
      <c r="NC118" s="221"/>
      <c r="ND118" s="221"/>
      <c r="NE118" s="221"/>
      <c r="NF118" s="221"/>
      <c r="NG118" s="221"/>
      <c r="NH118" s="221"/>
      <c r="NI118" s="221"/>
      <c r="NJ118" s="221"/>
      <c r="NK118" s="221"/>
      <c r="NM118" s="195">
        <f t="shared" si="1394"/>
        <v>0</v>
      </c>
      <c r="NN118" s="195">
        <f t="shared" si="1395"/>
        <v>0</v>
      </c>
      <c r="NO118" s="195">
        <f t="shared" si="1396"/>
        <v>0</v>
      </c>
      <c r="NP118" s="195">
        <f t="shared" si="1397"/>
        <v>0</v>
      </c>
      <c r="NQ118" s="195">
        <f t="shared" si="1398"/>
        <v>0</v>
      </c>
      <c r="NR118" s="195">
        <f t="shared" si="1399"/>
        <v>1</v>
      </c>
      <c r="NS118" s="195">
        <f t="shared" si="1400"/>
        <v>0</v>
      </c>
      <c r="NT118" s="195">
        <f t="shared" si="1401"/>
        <v>1</v>
      </c>
      <c r="NU118" s="196">
        <f t="shared" si="1402"/>
        <v>0</v>
      </c>
      <c r="NY118" s="215"/>
      <c r="OE118" s="207"/>
      <c r="OF118" s="207"/>
      <c r="OG118" s="207"/>
      <c r="OH118" s="207"/>
      <c r="OI118" s="207"/>
      <c r="OJ118" s="199"/>
      <c r="OK118" s="199"/>
      <c r="OL118" s="199"/>
      <c r="OM118" s="199"/>
      <c r="OO118" s="207"/>
      <c r="OP118" s="207"/>
      <c r="OQ118" s="207"/>
      <c r="OR118" s="207"/>
      <c r="OS118" s="207"/>
      <c r="OT118" s="199"/>
      <c r="OU118" s="199"/>
      <c r="OV118" s="199"/>
      <c r="OW118" s="199"/>
      <c r="OZ118" s="208">
        <f t="shared" si="1403"/>
        <v>1</v>
      </c>
      <c r="PA118" s="209">
        <v>1</v>
      </c>
      <c r="PB118" s="209"/>
      <c r="PC118" s="209"/>
      <c r="PD118" s="210">
        <f t="shared" si="433"/>
        <v>0</v>
      </c>
      <c r="PE118" s="210"/>
      <c r="PF118" s="210">
        <f t="shared" si="434"/>
        <v>0</v>
      </c>
      <c r="PG118" s="210">
        <f t="shared" si="435"/>
        <v>30</v>
      </c>
      <c r="PH118" s="210">
        <f t="shared" si="381"/>
        <v>0</v>
      </c>
      <c r="PI118" s="210">
        <f t="shared" si="382"/>
        <v>0</v>
      </c>
      <c r="PJ118" s="210">
        <f t="shared" si="383"/>
        <v>0</v>
      </c>
      <c r="PK118" s="210">
        <f t="shared" si="384"/>
        <v>0</v>
      </c>
      <c r="PL118" s="210">
        <f t="shared" si="385"/>
        <v>0</v>
      </c>
      <c r="PM118" s="211"/>
      <c r="PN118" s="211"/>
      <c r="PO118" s="212">
        <f t="shared" si="1404"/>
        <v>0</v>
      </c>
      <c r="PP118" s="212">
        <f t="shared" si="1405"/>
        <v>0</v>
      </c>
      <c r="PQ118" s="212">
        <f t="shared" si="1406"/>
        <v>0</v>
      </c>
      <c r="PR118" s="211"/>
      <c r="PS118" s="211"/>
      <c r="PT118" s="211"/>
      <c r="PU118" s="211"/>
    </row>
    <row r="119" spans="1:437 16383:16384" s="195" customFormat="1" ht="16" x14ac:dyDescent="0.2">
      <c r="A119" s="213">
        <f t="shared" si="810"/>
        <v>109</v>
      </c>
      <c r="B119" s="237" t="s">
        <v>648</v>
      </c>
      <c r="C119" s="186">
        <v>10</v>
      </c>
      <c r="D119" s="188">
        <v>1</v>
      </c>
      <c r="E119" s="188">
        <v>43</v>
      </c>
      <c r="F119" s="188">
        <v>1</v>
      </c>
      <c r="G119" s="188">
        <f t="shared" si="812"/>
        <v>43</v>
      </c>
      <c r="H119" s="214">
        <f t="shared" si="1239"/>
        <v>1</v>
      </c>
      <c r="I119" s="214">
        <v>0</v>
      </c>
      <c r="J119" s="188">
        <v>1</v>
      </c>
      <c r="K119" s="188">
        <f t="shared" si="1240"/>
        <v>43</v>
      </c>
      <c r="L119" s="214">
        <f t="shared" si="1241"/>
        <v>1</v>
      </c>
      <c r="M119" s="214">
        <v>0</v>
      </c>
      <c r="N119" s="188">
        <v>1</v>
      </c>
      <c r="O119" s="188">
        <f t="shared" si="1242"/>
        <v>43</v>
      </c>
      <c r="P119" s="214">
        <f t="shared" si="1243"/>
        <v>1</v>
      </c>
      <c r="Q119" s="214">
        <f t="shared" si="1244"/>
        <v>1</v>
      </c>
      <c r="R119" s="188"/>
      <c r="S119" s="188">
        <f t="shared" si="1245"/>
        <v>0</v>
      </c>
      <c r="T119" s="214">
        <f t="shared" si="1246"/>
        <v>0</v>
      </c>
      <c r="U119" s="214">
        <f t="shared" si="1247"/>
        <v>0</v>
      </c>
      <c r="V119" s="215"/>
      <c r="W119" s="188">
        <f t="shared" si="1248"/>
        <v>0</v>
      </c>
      <c r="X119" s="214">
        <f t="shared" si="1249"/>
        <v>0</v>
      </c>
      <c r="Y119" s="214">
        <f t="shared" si="1250"/>
        <v>0</v>
      </c>
      <c r="Z119" s="216"/>
      <c r="AA119" s="188">
        <v>0</v>
      </c>
      <c r="AB119" s="188">
        <v>0</v>
      </c>
      <c r="AC119" s="214">
        <f t="shared" si="1251"/>
        <v>0</v>
      </c>
      <c r="AD119" s="214">
        <f t="shared" si="1252"/>
        <v>0</v>
      </c>
      <c r="AE119" s="188"/>
      <c r="AF119" s="188">
        <f t="shared" si="1253"/>
        <v>0</v>
      </c>
      <c r="AG119" s="188"/>
      <c r="AH119" s="188"/>
      <c r="AI119" s="188"/>
      <c r="AJ119" s="188"/>
      <c r="AK119" s="188"/>
      <c r="AL119" s="188"/>
      <c r="AM119" s="188"/>
      <c r="AN119" s="217">
        <v>1</v>
      </c>
      <c r="AO119" s="188">
        <f t="shared" si="1254"/>
        <v>0</v>
      </c>
      <c r="AP119" s="188">
        <f t="shared" si="1255"/>
        <v>0</v>
      </c>
      <c r="AQ119" s="188">
        <f t="shared" si="1256"/>
        <v>0</v>
      </c>
      <c r="AR119" s="188">
        <f t="shared" si="1257"/>
        <v>0</v>
      </c>
      <c r="AS119" s="188">
        <f t="shared" si="1258"/>
        <v>0</v>
      </c>
      <c r="AT119" s="188">
        <f t="shared" si="1259"/>
        <v>0</v>
      </c>
      <c r="AU119" s="188">
        <f t="shared" si="1260"/>
        <v>0</v>
      </c>
      <c r="AV119" s="188">
        <f t="shared" si="1261"/>
        <v>0</v>
      </c>
      <c r="AW119" s="188">
        <f t="shared" si="1262"/>
        <v>0</v>
      </c>
      <c r="AX119" s="188">
        <f t="shared" si="1263"/>
        <v>0</v>
      </c>
      <c r="AY119" s="188">
        <f t="shared" si="1264"/>
        <v>0</v>
      </c>
      <c r="AZ119" s="188">
        <f t="shared" si="1265"/>
        <v>0</v>
      </c>
      <c r="BA119" s="188">
        <f t="shared" si="1266"/>
        <v>0</v>
      </c>
      <c r="BB119" s="188">
        <f t="shared" si="1267"/>
        <v>43</v>
      </c>
      <c r="BD119" s="196">
        <f t="shared" si="1268"/>
        <v>0</v>
      </c>
      <c r="BE119" s="188">
        <f t="shared" si="1269"/>
        <v>0</v>
      </c>
      <c r="BF119" s="188">
        <f t="shared" si="1270"/>
        <v>0</v>
      </c>
      <c r="BG119" s="188">
        <f t="shared" si="1271"/>
        <v>0</v>
      </c>
      <c r="BH119" s="188">
        <f t="shared" si="1272"/>
        <v>0</v>
      </c>
      <c r="BI119" s="188">
        <f t="shared" si="1273"/>
        <v>0</v>
      </c>
      <c r="BJ119" s="188">
        <f t="shared" si="1274"/>
        <v>0</v>
      </c>
      <c r="BK119" s="188">
        <f t="shared" si="1275"/>
        <v>0</v>
      </c>
      <c r="BN119" s="215"/>
      <c r="BO119" s="188"/>
      <c r="BP119" s="188"/>
      <c r="BQ119" s="188"/>
      <c r="BR119" s="188"/>
      <c r="BS119" s="188"/>
      <c r="BT119" s="188"/>
      <c r="BU119" s="188"/>
      <c r="BV119" s="188"/>
      <c r="BW119" s="188"/>
      <c r="BX119" s="188"/>
      <c r="BY119" s="188"/>
      <c r="BZ119" s="188"/>
      <c r="CB119" s="188"/>
      <c r="CD119" s="188">
        <f t="shared" si="1276"/>
        <v>0</v>
      </c>
      <c r="CE119" s="188">
        <f t="shared" si="1277"/>
        <v>0</v>
      </c>
      <c r="CF119" s="188">
        <f t="shared" si="1278"/>
        <v>0</v>
      </c>
      <c r="CG119" s="188">
        <f t="shared" si="1279"/>
        <v>0</v>
      </c>
      <c r="CH119" s="188">
        <f t="shared" si="1280"/>
        <v>0</v>
      </c>
      <c r="CI119" s="188">
        <f t="shared" si="1281"/>
        <v>0</v>
      </c>
      <c r="CJ119" s="188">
        <f t="shared" si="1282"/>
        <v>0</v>
      </c>
      <c r="CK119" s="188">
        <f t="shared" si="1283"/>
        <v>0</v>
      </c>
      <c r="CL119" s="188">
        <f t="shared" si="1284"/>
        <v>0</v>
      </c>
      <c r="CM119" s="188">
        <f t="shared" si="1285"/>
        <v>0</v>
      </c>
      <c r="CN119" s="188">
        <f t="shared" si="1286"/>
        <v>0</v>
      </c>
      <c r="CO119" s="188">
        <f t="shared" si="1287"/>
        <v>0</v>
      </c>
      <c r="CP119" s="188">
        <f t="shared" si="1288"/>
        <v>0</v>
      </c>
      <c r="DV119" s="188">
        <f t="shared" si="1289"/>
        <v>0</v>
      </c>
      <c r="DW119" s="188">
        <f t="shared" si="1290"/>
        <v>0</v>
      </c>
      <c r="DX119" s="188">
        <f t="shared" si="1291"/>
        <v>0</v>
      </c>
      <c r="DY119" s="188">
        <f t="shared" si="1292"/>
        <v>0</v>
      </c>
      <c r="DZ119" s="188">
        <f t="shared" si="1293"/>
        <v>0</v>
      </c>
      <c r="EA119" s="188">
        <f t="shared" si="1294"/>
        <v>0</v>
      </c>
      <c r="EB119" s="188">
        <f t="shared" si="1295"/>
        <v>0</v>
      </c>
      <c r="EG119" s="220">
        <f t="shared" si="1296"/>
        <v>0</v>
      </c>
      <c r="EH119" s="220">
        <f t="shared" si="1297"/>
        <v>0</v>
      </c>
      <c r="EI119" s="188"/>
      <c r="EJ119" s="188"/>
      <c r="EK119" s="188"/>
      <c r="EL119" s="188"/>
      <c r="EM119" s="188"/>
      <c r="EN119" s="188"/>
      <c r="EO119" s="188"/>
      <c r="EP119" s="188"/>
      <c r="EQ119" s="188"/>
      <c r="ER119" s="188"/>
      <c r="ES119" s="188"/>
      <c r="ET119" s="188"/>
      <c r="EU119" s="188"/>
      <c r="EV119" s="188"/>
      <c r="EW119" s="188"/>
      <c r="EX119" s="188"/>
      <c r="EY119" s="188"/>
      <c r="EZ119" s="188"/>
      <c r="FA119" s="188"/>
      <c r="FB119" s="188"/>
      <c r="FC119" s="188"/>
      <c r="FD119" s="188"/>
      <c r="FE119" s="188"/>
      <c r="FF119" s="188"/>
      <c r="FH119" s="188"/>
      <c r="FI119" s="188"/>
      <c r="FJ119" s="188"/>
      <c r="FK119" s="188"/>
      <c r="FL119" s="188"/>
      <c r="FM119" s="188"/>
      <c r="FN119" s="188"/>
      <c r="FO119" s="188"/>
      <c r="FP119" s="188"/>
      <c r="FQ119" s="188"/>
      <c r="FR119" s="188"/>
      <c r="FS119" s="188"/>
      <c r="FT119" s="188"/>
      <c r="FU119" s="188"/>
      <c r="FV119" s="188"/>
      <c r="FX119" s="188">
        <f t="shared" si="1298"/>
        <v>0</v>
      </c>
      <c r="FY119" s="188">
        <f t="shared" si="1299"/>
        <v>0</v>
      </c>
      <c r="FZ119" s="188">
        <f t="shared" si="1300"/>
        <v>0</v>
      </c>
      <c r="GA119" s="188">
        <f t="shared" si="1301"/>
        <v>0</v>
      </c>
      <c r="GB119" s="188">
        <f t="shared" si="1302"/>
        <v>0</v>
      </c>
      <c r="GC119" s="188">
        <f t="shared" si="1303"/>
        <v>0</v>
      </c>
      <c r="GD119" s="234">
        <f t="shared" si="1304"/>
        <v>0</v>
      </c>
      <c r="GE119" s="188">
        <f t="shared" si="1305"/>
        <v>0</v>
      </c>
      <c r="GF119" s="235"/>
      <c r="GG119" s="188">
        <v>0</v>
      </c>
      <c r="GH119" s="188">
        <v>0</v>
      </c>
      <c r="GI119" s="235"/>
      <c r="GJ119" s="224">
        <f t="shared" si="1306"/>
        <v>0</v>
      </c>
      <c r="GK119" s="224">
        <f t="shared" si="1307"/>
        <v>0</v>
      </c>
      <c r="GO119" s="188"/>
      <c r="GP119" s="188">
        <f t="shared" si="1308"/>
        <v>0</v>
      </c>
      <c r="GQ119" s="188">
        <f t="shared" si="1309"/>
        <v>0</v>
      </c>
      <c r="GR119" s="188">
        <f t="shared" si="1310"/>
        <v>1</v>
      </c>
      <c r="GS119" s="188">
        <f t="shared" si="1311"/>
        <v>1</v>
      </c>
      <c r="GT119" s="188">
        <f t="shared" si="1312"/>
        <v>0</v>
      </c>
      <c r="GU119" s="232">
        <f t="shared" si="388"/>
        <v>43243</v>
      </c>
      <c r="GV119" s="188" t="str">
        <f t="shared" si="1313"/>
        <v>Musyawarah</v>
      </c>
      <c r="GW119" s="188">
        <f t="shared" si="1314"/>
        <v>1</v>
      </c>
      <c r="GX119" s="188" t="str">
        <f t="shared" si="1315"/>
        <v>Musyawarah</v>
      </c>
      <c r="GY119" s="188">
        <f t="shared" si="1316"/>
        <v>24</v>
      </c>
      <c r="GZ119" s="228">
        <f t="shared" si="1317"/>
        <v>43267</v>
      </c>
      <c r="HA119" s="204"/>
      <c r="HB119" s="204"/>
      <c r="HC119" s="188">
        <f t="shared" si="1318"/>
        <v>0</v>
      </c>
      <c r="HD119" s="188">
        <f t="shared" si="1319"/>
        <v>0</v>
      </c>
      <c r="HE119" s="188">
        <f t="shared" si="1320"/>
        <v>0</v>
      </c>
      <c r="HF119" s="188">
        <f t="shared" si="1321"/>
        <v>0</v>
      </c>
      <c r="HG119" s="188">
        <f t="shared" si="1322"/>
        <v>0</v>
      </c>
      <c r="HH119" s="228" t="str">
        <f t="shared" si="1323"/>
        <v>TIDAK KONSINYASI</v>
      </c>
      <c r="HI119" s="228">
        <f t="shared" si="1324"/>
        <v>43312</v>
      </c>
      <c r="HK119" s="228">
        <f t="shared" si="1325"/>
        <v>43312</v>
      </c>
      <c r="HL119" s="204"/>
      <c r="HM119" s="204"/>
      <c r="HN119" s="204"/>
      <c r="HO119" s="204"/>
      <c r="HP119" s="203">
        <f t="shared" si="1326"/>
        <v>0</v>
      </c>
      <c r="HQ119" s="202">
        <f t="shared" si="1327"/>
        <v>0</v>
      </c>
      <c r="HR119" s="202">
        <f t="shared" si="1328"/>
        <v>0</v>
      </c>
      <c r="HS119" s="203">
        <f t="shared" si="1329"/>
        <v>0</v>
      </c>
      <c r="HT119" s="202">
        <f t="shared" si="1330"/>
        <v>0</v>
      </c>
      <c r="HU119" s="202">
        <f t="shared" si="1331"/>
        <v>0</v>
      </c>
      <c r="HV119" s="203">
        <f t="shared" si="1332"/>
        <v>0</v>
      </c>
      <c r="HW119" s="202">
        <f t="shared" si="1333"/>
        <v>0</v>
      </c>
      <c r="HX119" s="202">
        <f t="shared" si="1334"/>
        <v>0</v>
      </c>
      <c r="HY119" s="203">
        <f t="shared" si="1335"/>
        <v>0</v>
      </c>
      <c r="HZ119" s="202">
        <f t="shared" si="1336"/>
        <v>0</v>
      </c>
      <c r="IA119" s="202">
        <f t="shared" si="1337"/>
        <v>0</v>
      </c>
      <c r="IB119" s="236">
        <f t="shared" si="1338"/>
        <v>0</v>
      </c>
      <c r="IC119" s="188">
        <f t="shared" si="1339"/>
        <v>0</v>
      </c>
      <c r="ID119" s="188">
        <f t="shared" si="1340"/>
        <v>0</v>
      </c>
      <c r="IE119" s="228">
        <f t="shared" si="1341"/>
        <v>0</v>
      </c>
      <c r="IF119" s="188">
        <f t="shared" si="1342"/>
        <v>0</v>
      </c>
      <c r="IG119" s="188">
        <f t="shared" si="1343"/>
        <v>0</v>
      </c>
      <c r="IH119" s="228">
        <f t="shared" si="1344"/>
        <v>0</v>
      </c>
      <c r="II119" s="188">
        <f t="shared" si="1345"/>
        <v>0</v>
      </c>
      <c r="IJ119" s="188">
        <f t="shared" si="1346"/>
        <v>0</v>
      </c>
      <c r="IK119" s="228">
        <f t="shared" si="1347"/>
        <v>0</v>
      </c>
      <c r="IL119" s="188">
        <f t="shared" si="1348"/>
        <v>0</v>
      </c>
      <c r="IM119" s="188">
        <f t="shared" si="1349"/>
        <v>0</v>
      </c>
      <c r="IN119" s="204"/>
      <c r="IO119" s="228">
        <f t="shared" si="1350"/>
        <v>0</v>
      </c>
      <c r="IP119" s="188">
        <f t="shared" si="1351"/>
        <v>0</v>
      </c>
      <c r="IQ119" s="188">
        <f t="shared" si="1352"/>
        <v>0</v>
      </c>
      <c r="IR119" s="204"/>
      <c r="IS119" s="228"/>
      <c r="IT119" s="188">
        <f t="shared" si="1353"/>
        <v>0</v>
      </c>
      <c r="IU119" s="188">
        <f t="shared" si="1354"/>
        <v>0</v>
      </c>
      <c r="IV119" s="204"/>
      <c r="IW119" s="228"/>
      <c r="IX119" s="188">
        <f t="shared" si="1355"/>
        <v>0</v>
      </c>
      <c r="IY119" s="188">
        <f t="shared" si="1356"/>
        <v>0</v>
      </c>
      <c r="IZ119" s="204"/>
      <c r="JA119" s="228"/>
      <c r="JB119" s="188">
        <f t="shared" si="1357"/>
        <v>1</v>
      </c>
      <c r="JC119" s="188">
        <f t="shared" si="1358"/>
        <v>43</v>
      </c>
      <c r="JD119" s="204"/>
      <c r="JE119" s="228"/>
      <c r="JF119" s="188">
        <f t="shared" si="1359"/>
        <v>1</v>
      </c>
      <c r="JG119" s="188">
        <f t="shared" si="1360"/>
        <v>43</v>
      </c>
      <c r="JH119" s="204"/>
      <c r="JI119" s="228"/>
      <c r="JJ119" s="188">
        <f t="shared" si="1361"/>
        <v>0</v>
      </c>
      <c r="JK119" s="188">
        <f t="shared" si="1362"/>
        <v>0</v>
      </c>
      <c r="JM119" s="203">
        <f t="shared" si="1363"/>
        <v>0</v>
      </c>
      <c r="JO119" s="196">
        <f t="shared" si="1364"/>
        <v>0</v>
      </c>
      <c r="JP119" s="189">
        <f t="shared" si="1365"/>
        <v>0</v>
      </c>
      <c r="JQ119" s="189">
        <f t="shared" si="1366"/>
        <v>0</v>
      </c>
      <c r="JR119" s="189">
        <f t="shared" si="1367"/>
        <v>0</v>
      </c>
      <c r="JS119" s="189">
        <f t="shared" si="1368"/>
        <v>0</v>
      </c>
      <c r="JT119" s="189">
        <f t="shared" si="1369"/>
        <v>0</v>
      </c>
      <c r="JU119" s="189">
        <f t="shared" si="1370"/>
        <v>0</v>
      </c>
      <c r="JV119" s="189">
        <f t="shared" si="1371"/>
        <v>0</v>
      </c>
      <c r="JW119" s="189">
        <f t="shared" si="1372"/>
        <v>0</v>
      </c>
      <c r="JX119" s="189">
        <f t="shared" si="1373"/>
        <v>0</v>
      </c>
      <c r="JY119" s="189">
        <f t="shared" si="1374"/>
        <v>0</v>
      </c>
      <c r="JZ119" s="189">
        <f t="shared" si="1375"/>
        <v>0</v>
      </c>
      <c r="KA119" s="189">
        <f t="shared" si="1376"/>
        <v>0</v>
      </c>
      <c r="KB119" s="189">
        <f t="shared" si="1377"/>
        <v>0</v>
      </c>
      <c r="KD119" s="206">
        <f t="shared" si="1378"/>
        <v>0</v>
      </c>
      <c r="KE119" s="206">
        <f t="shared" si="1379"/>
        <v>0</v>
      </c>
      <c r="KF119" s="206">
        <f t="shared" si="1380"/>
        <v>0</v>
      </c>
      <c r="KG119" s="206">
        <f t="shared" si="1381"/>
        <v>0</v>
      </c>
      <c r="KH119" s="206">
        <f t="shared" si="1382"/>
        <v>0</v>
      </c>
      <c r="KI119" s="206">
        <f t="shared" si="1383"/>
        <v>0</v>
      </c>
      <c r="KJ119" s="206">
        <f t="shared" si="1384"/>
        <v>0</v>
      </c>
      <c r="KK119" s="206">
        <f t="shared" si="1385"/>
        <v>0</v>
      </c>
      <c r="KL119" s="206">
        <f t="shared" si="1386"/>
        <v>0</v>
      </c>
      <c r="KM119" s="206">
        <f t="shared" si="1387"/>
        <v>0</v>
      </c>
      <c r="KN119" s="221">
        <f t="shared" si="1388"/>
        <v>0</v>
      </c>
      <c r="KO119" s="221">
        <f t="shared" si="1389"/>
        <v>0</v>
      </c>
      <c r="KP119" s="221">
        <f t="shared" si="1390"/>
        <v>0</v>
      </c>
      <c r="KQ119" s="221">
        <f t="shared" si="1391"/>
        <v>0</v>
      </c>
      <c r="KR119" s="221">
        <f t="shared" si="1392"/>
        <v>0</v>
      </c>
      <c r="KS119" s="195">
        <v>6</v>
      </c>
      <c r="KT119" s="195">
        <f t="shared" si="1393"/>
        <v>1</v>
      </c>
      <c r="KU119" s="221"/>
      <c r="KV119" s="221"/>
      <c r="KW119" s="221"/>
      <c r="KX119" s="221"/>
      <c r="KY119" s="221"/>
      <c r="KZ119" s="221"/>
      <c r="LA119" s="221"/>
      <c r="LB119" s="221"/>
      <c r="LC119" s="221"/>
      <c r="LD119" s="221"/>
      <c r="LE119" s="221"/>
      <c r="LF119" s="221"/>
      <c r="LG119" s="221"/>
      <c r="LH119" s="221"/>
      <c r="LI119" s="221"/>
      <c r="LJ119" s="221"/>
      <c r="LK119" s="221"/>
      <c r="LL119" s="221"/>
      <c r="LM119" s="221"/>
      <c r="LN119" s="221"/>
      <c r="LO119" s="221"/>
      <c r="LP119" s="221"/>
      <c r="LQ119" s="221"/>
      <c r="LR119" s="221"/>
      <c r="LS119" s="221"/>
      <c r="LT119" s="221"/>
      <c r="LU119" s="221"/>
      <c r="LV119" s="221"/>
      <c r="LW119" s="221"/>
      <c r="LX119" s="221"/>
      <c r="LY119" s="221"/>
      <c r="LZ119" s="221"/>
      <c r="MA119" s="221"/>
      <c r="MB119" s="221"/>
      <c r="MC119" s="221"/>
      <c r="MD119" s="221"/>
      <c r="ME119" s="221"/>
      <c r="MF119" s="221"/>
      <c r="MG119" s="221"/>
      <c r="MH119" s="221"/>
      <c r="MI119" s="221"/>
      <c r="MJ119" s="221"/>
      <c r="MK119" s="221"/>
      <c r="ML119" s="221"/>
      <c r="MM119" s="221"/>
      <c r="MN119" s="221"/>
      <c r="MO119" s="221"/>
      <c r="MP119" s="221"/>
      <c r="MQ119" s="221"/>
      <c r="MR119" s="221"/>
      <c r="MS119" s="221"/>
      <c r="MT119" s="221"/>
      <c r="MU119" s="221"/>
      <c r="MV119" s="221"/>
      <c r="MW119" s="221"/>
      <c r="MX119" s="221"/>
      <c r="MY119" s="221"/>
      <c r="MZ119" s="221"/>
      <c r="NA119" s="221"/>
      <c r="NB119" s="221"/>
      <c r="NC119" s="221"/>
      <c r="ND119" s="221"/>
      <c r="NE119" s="221"/>
      <c r="NF119" s="221"/>
      <c r="NG119" s="221"/>
      <c r="NH119" s="221"/>
      <c r="NI119" s="221"/>
      <c r="NJ119" s="221"/>
      <c r="NK119" s="221"/>
      <c r="NM119" s="195">
        <f t="shared" si="1394"/>
        <v>0</v>
      </c>
      <c r="NN119" s="195">
        <f t="shared" si="1395"/>
        <v>0</v>
      </c>
      <c r="NO119" s="195">
        <f t="shared" si="1396"/>
        <v>0</v>
      </c>
      <c r="NP119" s="195">
        <f t="shared" si="1397"/>
        <v>0</v>
      </c>
      <c r="NQ119" s="195">
        <f t="shared" si="1398"/>
        <v>0</v>
      </c>
      <c r="NR119" s="195">
        <f t="shared" si="1399"/>
        <v>1</v>
      </c>
      <c r="NS119" s="195">
        <f t="shared" si="1400"/>
        <v>0</v>
      </c>
      <c r="NT119" s="195">
        <f t="shared" si="1401"/>
        <v>1</v>
      </c>
      <c r="NU119" s="196">
        <f t="shared" si="1402"/>
        <v>0</v>
      </c>
      <c r="NY119" s="215"/>
      <c r="OE119" s="207"/>
      <c r="OF119" s="207"/>
      <c r="OG119" s="207"/>
      <c r="OH119" s="207"/>
      <c r="OI119" s="207"/>
      <c r="OJ119" s="199"/>
      <c r="OK119" s="199"/>
      <c r="OL119" s="199"/>
      <c r="OM119" s="199"/>
      <c r="OO119" s="207"/>
      <c r="OP119" s="207"/>
      <c r="OQ119" s="207"/>
      <c r="OR119" s="207"/>
      <c r="OS119" s="207"/>
      <c r="OT119" s="199"/>
      <c r="OU119" s="199"/>
      <c r="OV119" s="199"/>
      <c r="OW119" s="199"/>
      <c r="OZ119" s="208">
        <f t="shared" si="1403"/>
        <v>1</v>
      </c>
      <c r="PA119" s="209">
        <v>1</v>
      </c>
      <c r="PB119" s="209"/>
      <c r="PC119" s="209"/>
      <c r="PD119" s="210">
        <f t="shared" si="433"/>
        <v>0</v>
      </c>
      <c r="PE119" s="210"/>
      <c r="PF119" s="210">
        <f t="shared" si="434"/>
        <v>0</v>
      </c>
      <c r="PG119" s="210">
        <f t="shared" si="435"/>
        <v>43</v>
      </c>
      <c r="PH119" s="210">
        <f t="shared" si="381"/>
        <v>0</v>
      </c>
      <c r="PI119" s="210">
        <f t="shared" si="382"/>
        <v>0</v>
      </c>
      <c r="PJ119" s="210">
        <f t="shared" si="383"/>
        <v>0</v>
      </c>
      <c r="PK119" s="210">
        <f t="shared" si="384"/>
        <v>0</v>
      </c>
      <c r="PL119" s="210">
        <f t="shared" si="385"/>
        <v>0</v>
      </c>
      <c r="PM119" s="211"/>
      <c r="PN119" s="211"/>
      <c r="PO119" s="212">
        <f t="shared" si="1404"/>
        <v>0</v>
      </c>
      <c r="PP119" s="212">
        <f t="shared" si="1405"/>
        <v>0</v>
      </c>
      <c r="PQ119" s="212">
        <f t="shared" si="1406"/>
        <v>0</v>
      </c>
      <c r="PR119" s="211"/>
      <c r="PS119" s="211"/>
      <c r="PT119" s="211"/>
      <c r="PU119" s="211"/>
    </row>
    <row r="120" spans="1:437 16383:16384" s="195" customFormat="1" ht="16" x14ac:dyDescent="0.2">
      <c r="A120" s="213">
        <f t="shared" si="810"/>
        <v>110</v>
      </c>
      <c r="B120" s="237" t="s">
        <v>649</v>
      </c>
      <c r="C120" s="186">
        <v>11</v>
      </c>
      <c r="D120" s="188">
        <v>1</v>
      </c>
      <c r="E120" s="188">
        <v>24</v>
      </c>
      <c r="F120" s="188">
        <v>1</v>
      </c>
      <c r="G120" s="188">
        <f t="shared" si="812"/>
        <v>24</v>
      </c>
      <c r="H120" s="214">
        <f t="shared" si="1239"/>
        <v>1</v>
      </c>
      <c r="I120" s="214">
        <v>0</v>
      </c>
      <c r="J120" s="188">
        <v>1</v>
      </c>
      <c r="K120" s="188">
        <f t="shared" si="1240"/>
        <v>24</v>
      </c>
      <c r="L120" s="214">
        <f t="shared" si="1241"/>
        <v>1</v>
      </c>
      <c r="M120" s="214">
        <v>0</v>
      </c>
      <c r="N120" s="188">
        <v>1</v>
      </c>
      <c r="O120" s="188">
        <f t="shared" si="1242"/>
        <v>24</v>
      </c>
      <c r="P120" s="214">
        <f t="shared" si="1243"/>
        <v>1</v>
      </c>
      <c r="Q120" s="214">
        <f t="shared" si="1244"/>
        <v>1</v>
      </c>
      <c r="R120" s="188"/>
      <c r="S120" s="188">
        <f t="shared" si="1245"/>
        <v>0</v>
      </c>
      <c r="T120" s="214">
        <f t="shared" si="1246"/>
        <v>0</v>
      </c>
      <c r="U120" s="214">
        <f t="shared" si="1247"/>
        <v>0</v>
      </c>
      <c r="V120" s="215"/>
      <c r="W120" s="188">
        <f t="shared" si="1248"/>
        <v>0</v>
      </c>
      <c r="X120" s="214">
        <f t="shared" si="1249"/>
        <v>0</v>
      </c>
      <c r="Y120" s="214">
        <f t="shared" si="1250"/>
        <v>0</v>
      </c>
      <c r="Z120" s="216"/>
      <c r="AA120" s="188">
        <v>0</v>
      </c>
      <c r="AB120" s="188">
        <v>0</v>
      </c>
      <c r="AC120" s="214">
        <f t="shared" si="1251"/>
        <v>0</v>
      </c>
      <c r="AD120" s="214">
        <f t="shared" si="1252"/>
        <v>0</v>
      </c>
      <c r="AE120" s="188"/>
      <c r="AF120" s="188">
        <f t="shared" si="1253"/>
        <v>0</v>
      </c>
      <c r="AG120" s="188"/>
      <c r="AH120" s="188"/>
      <c r="AI120" s="188"/>
      <c r="AJ120" s="188"/>
      <c r="AK120" s="188"/>
      <c r="AL120" s="188"/>
      <c r="AM120" s="188"/>
      <c r="AN120" s="217">
        <v>1</v>
      </c>
      <c r="AO120" s="188">
        <f t="shared" si="1254"/>
        <v>0</v>
      </c>
      <c r="AP120" s="188">
        <f t="shared" si="1255"/>
        <v>0</v>
      </c>
      <c r="AQ120" s="188">
        <f t="shared" si="1256"/>
        <v>0</v>
      </c>
      <c r="AR120" s="188">
        <f t="shared" si="1257"/>
        <v>0</v>
      </c>
      <c r="AS120" s="188">
        <f t="shared" si="1258"/>
        <v>0</v>
      </c>
      <c r="AT120" s="188">
        <f t="shared" si="1259"/>
        <v>0</v>
      </c>
      <c r="AU120" s="188">
        <f t="shared" si="1260"/>
        <v>0</v>
      </c>
      <c r="AV120" s="188">
        <f t="shared" si="1261"/>
        <v>0</v>
      </c>
      <c r="AW120" s="188">
        <f t="shared" si="1262"/>
        <v>0</v>
      </c>
      <c r="AX120" s="188">
        <f t="shared" si="1263"/>
        <v>0</v>
      </c>
      <c r="AY120" s="188">
        <f t="shared" si="1264"/>
        <v>0</v>
      </c>
      <c r="AZ120" s="188">
        <f t="shared" si="1265"/>
        <v>0</v>
      </c>
      <c r="BA120" s="188">
        <f t="shared" si="1266"/>
        <v>0</v>
      </c>
      <c r="BB120" s="188">
        <f t="shared" si="1267"/>
        <v>24</v>
      </c>
      <c r="BD120" s="196">
        <f t="shared" si="1268"/>
        <v>0</v>
      </c>
      <c r="BE120" s="188">
        <f t="shared" si="1269"/>
        <v>0</v>
      </c>
      <c r="BF120" s="188">
        <f t="shared" si="1270"/>
        <v>0</v>
      </c>
      <c r="BG120" s="188">
        <f t="shared" si="1271"/>
        <v>0</v>
      </c>
      <c r="BH120" s="188">
        <f t="shared" si="1272"/>
        <v>0</v>
      </c>
      <c r="BI120" s="188">
        <f t="shared" si="1273"/>
        <v>0</v>
      </c>
      <c r="BJ120" s="188">
        <f t="shared" si="1274"/>
        <v>0</v>
      </c>
      <c r="BK120" s="188">
        <f t="shared" si="1275"/>
        <v>0</v>
      </c>
      <c r="BN120" s="215"/>
      <c r="BO120" s="188"/>
      <c r="BP120" s="188"/>
      <c r="BQ120" s="188"/>
      <c r="BR120" s="188"/>
      <c r="BS120" s="188"/>
      <c r="BT120" s="188"/>
      <c r="BU120" s="188"/>
      <c r="BV120" s="188"/>
      <c r="BW120" s="188"/>
      <c r="BX120" s="188"/>
      <c r="BY120" s="188"/>
      <c r="BZ120" s="188"/>
      <c r="CB120" s="188"/>
      <c r="CD120" s="188">
        <f t="shared" si="1276"/>
        <v>0</v>
      </c>
      <c r="CE120" s="188">
        <f t="shared" si="1277"/>
        <v>0</v>
      </c>
      <c r="CF120" s="188">
        <f t="shared" si="1278"/>
        <v>0</v>
      </c>
      <c r="CG120" s="188">
        <f t="shared" si="1279"/>
        <v>0</v>
      </c>
      <c r="CH120" s="188">
        <f t="shared" si="1280"/>
        <v>0</v>
      </c>
      <c r="CI120" s="188">
        <f t="shared" si="1281"/>
        <v>0</v>
      </c>
      <c r="CJ120" s="188">
        <f t="shared" si="1282"/>
        <v>0</v>
      </c>
      <c r="CK120" s="188">
        <f t="shared" si="1283"/>
        <v>0</v>
      </c>
      <c r="CL120" s="188">
        <f t="shared" si="1284"/>
        <v>0</v>
      </c>
      <c r="CM120" s="188">
        <f t="shared" si="1285"/>
        <v>0</v>
      </c>
      <c r="CN120" s="188">
        <f t="shared" si="1286"/>
        <v>0</v>
      </c>
      <c r="CO120" s="188">
        <f t="shared" si="1287"/>
        <v>0</v>
      </c>
      <c r="CP120" s="188">
        <f t="shared" si="1288"/>
        <v>0</v>
      </c>
      <c r="DV120" s="188">
        <f t="shared" si="1289"/>
        <v>0</v>
      </c>
      <c r="DW120" s="188">
        <f t="shared" si="1290"/>
        <v>0</v>
      </c>
      <c r="DX120" s="188">
        <f t="shared" si="1291"/>
        <v>0</v>
      </c>
      <c r="DY120" s="188">
        <f t="shared" si="1292"/>
        <v>0</v>
      </c>
      <c r="DZ120" s="188">
        <f t="shared" si="1293"/>
        <v>0</v>
      </c>
      <c r="EA120" s="188">
        <f t="shared" si="1294"/>
        <v>0</v>
      </c>
      <c r="EB120" s="188">
        <f t="shared" si="1295"/>
        <v>0</v>
      </c>
      <c r="EG120" s="220">
        <f t="shared" si="1296"/>
        <v>0</v>
      </c>
      <c r="EH120" s="220">
        <f t="shared" si="1297"/>
        <v>0</v>
      </c>
      <c r="EI120" s="188"/>
      <c r="EJ120" s="188"/>
      <c r="EK120" s="188"/>
      <c r="EL120" s="188"/>
      <c r="EM120" s="188"/>
      <c r="EN120" s="188"/>
      <c r="EO120" s="188"/>
      <c r="EP120" s="188"/>
      <c r="EQ120" s="188"/>
      <c r="ER120" s="188"/>
      <c r="ES120" s="188"/>
      <c r="ET120" s="188"/>
      <c r="EU120" s="188"/>
      <c r="EV120" s="188"/>
      <c r="EW120" s="188"/>
      <c r="EX120" s="188"/>
      <c r="EY120" s="188"/>
      <c r="EZ120" s="188"/>
      <c r="FA120" s="188"/>
      <c r="FB120" s="188"/>
      <c r="FC120" s="188"/>
      <c r="FD120" s="188"/>
      <c r="FE120" s="188"/>
      <c r="FF120" s="188"/>
      <c r="FH120" s="188"/>
      <c r="FI120" s="188"/>
      <c r="FJ120" s="188"/>
      <c r="FK120" s="188"/>
      <c r="FL120" s="188"/>
      <c r="FM120" s="188"/>
      <c r="FN120" s="188"/>
      <c r="FO120" s="188"/>
      <c r="FP120" s="188"/>
      <c r="FQ120" s="188"/>
      <c r="FR120" s="188"/>
      <c r="FS120" s="188"/>
      <c r="FT120" s="188"/>
      <c r="FU120" s="188"/>
      <c r="FV120" s="188"/>
      <c r="FX120" s="188">
        <f t="shared" si="1298"/>
        <v>0</v>
      </c>
      <c r="FY120" s="188">
        <f t="shared" si="1299"/>
        <v>0</v>
      </c>
      <c r="FZ120" s="188">
        <f t="shared" si="1300"/>
        <v>0</v>
      </c>
      <c r="GA120" s="188">
        <f t="shared" si="1301"/>
        <v>0</v>
      </c>
      <c r="GB120" s="188">
        <f t="shared" si="1302"/>
        <v>0</v>
      </c>
      <c r="GC120" s="188">
        <f t="shared" si="1303"/>
        <v>0</v>
      </c>
      <c r="GD120" s="234">
        <f t="shared" si="1304"/>
        <v>0</v>
      </c>
      <c r="GE120" s="188">
        <f t="shared" si="1305"/>
        <v>0</v>
      </c>
      <c r="GF120" s="235"/>
      <c r="GG120" s="188">
        <v>0</v>
      </c>
      <c r="GH120" s="188">
        <v>0</v>
      </c>
      <c r="GI120" s="235"/>
      <c r="GJ120" s="224">
        <f t="shared" si="1306"/>
        <v>0</v>
      </c>
      <c r="GK120" s="224">
        <f t="shared" si="1307"/>
        <v>0</v>
      </c>
      <c r="GO120" s="188"/>
      <c r="GP120" s="188">
        <f t="shared" si="1308"/>
        <v>0</v>
      </c>
      <c r="GQ120" s="188">
        <f t="shared" si="1309"/>
        <v>0</v>
      </c>
      <c r="GR120" s="188">
        <f t="shared" si="1310"/>
        <v>1</v>
      </c>
      <c r="GS120" s="188">
        <f t="shared" si="1311"/>
        <v>1</v>
      </c>
      <c r="GT120" s="188">
        <f t="shared" si="1312"/>
        <v>0</v>
      </c>
      <c r="GU120" s="232">
        <f t="shared" si="388"/>
        <v>43243</v>
      </c>
      <c r="GV120" s="188" t="str">
        <f t="shared" si="1313"/>
        <v>Musyawarah</v>
      </c>
      <c r="GW120" s="188">
        <f t="shared" si="1314"/>
        <v>1</v>
      </c>
      <c r="GX120" s="188" t="str">
        <f t="shared" si="1315"/>
        <v>Musyawarah</v>
      </c>
      <c r="GY120" s="188">
        <f t="shared" si="1316"/>
        <v>24</v>
      </c>
      <c r="GZ120" s="228">
        <f t="shared" si="1317"/>
        <v>43267</v>
      </c>
      <c r="HA120" s="204"/>
      <c r="HB120" s="204"/>
      <c r="HC120" s="188">
        <f t="shared" si="1318"/>
        <v>0</v>
      </c>
      <c r="HD120" s="188">
        <f t="shared" si="1319"/>
        <v>0</v>
      </c>
      <c r="HE120" s="188">
        <f t="shared" si="1320"/>
        <v>0</v>
      </c>
      <c r="HF120" s="188">
        <f t="shared" si="1321"/>
        <v>0</v>
      </c>
      <c r="HG120" s="188">
        <f t="shared" si="1322"/>
        <v>0</v>
      </c>
      <c r="HH120" s="228" t="str">
        <f t="shared" si="1323"/>
        <v>TIDAK KONSINYASI</v>
      </c>
      <c r="HI120" s="228">
        <f t="shared" si="1324"/>
        <v>43312</v>
      </c>
      <c r="HK120" s="228">
        <f t="shared" si="1325"/>
        <v>43312</v>
      </c>
      <c r="HL120" s="204"/>
      <c r="HM120" s="204"/>
      <c r="HN120" s="204"/>
      <c r="HO120" s="204"/>
      <c r="HP120" s="203">
        <f t="shared" si="1326"/>
        <v>0</v>
      </c>
      <c r="HQ120" s="202">
        <f t="shared" si="1327"/>
        <v>0</v>
      </c>
      <c r="HR120" s="202">
        <f t="shared" si="1328"/>
        <v>0</v>
      </c>
      <c r="HS120" s="203">
        <f t="shared" si="1329"/>
        <v>0</v>
      </c>
      <c r="HT120" s="202">
        <f t="shared" si="1330"/>
        <v>0</v>
      </c>
      <c r="HU120" s="202">
        <f t="shared" si="1331"/>
        <v>0</v>
      </c>
      <c r="HV120" s="203">
        <f t="shared" si="1332"/>
        <v>0</v>
      </c>
      <c r="HW120" s="202">
        <f t="shared" si="1333"/>
        <v>0</v>
      </c>
      <c r="HX120" s="202">
        <f t="shared" si="1334"/>
        <v>0</v>
      </c>
      <c r="HY120" s="203">
        <f t="shared" si="1335"/>
        <v>0</v>
      </c>
      <c r="HZ120" s="202">
        <f t="shared" si="1336"/>
        <v>0</v>
      </c>
      <c r="IA120" s="202">
        <f t="shared" si="1337"/>
        <v>0</v>
      </c>
      <c r="IB120" s="236">
        <f t="shared" si="1338"/>
        <v>0</v>
      </c>
      <c r="IC120" s="188">
        <f t="shared" si="1339"/>
        <v>0</v>
      </c>
      <c r="ID120" s="188">
        <f t="shared" si="1340"/>
        <v>0</v>
      </c>
      <c r="IE120" s="228">
        <f t="shared" si="1341"/>
        <v>0</v>
      </c>
      <c r="IF120" s="188">
        <f t="shared" si="1342"/>
        <v>0</v>
      </c>
      <c r="IG120" s="188">
        <f t="shared" si="1343"/>
        <v>0</v>
      </c>
      <c r="IH120" s="228">
        <f t="shared" si="1344"/>
        <v>0</v>
      </c>
      <c r="II120" s="188">
        <f t="shared" si="1345"/>
        <v>0</v>
      </c>
      <c r="IJ120" s="188">
        <f t="shared" si="1346"/>
        <v>0</v>
      </c>
      <c r="IK120" s="228">
        <f t="shared" si="1347"/>
        <v>0</v>
      </c>
      <c r="IL120" s="188">
        <f t="shared" si="1348"/>
        <v>0</v>
      </c>
      <c r="IM120" s="188">
        <f t="shared" si="1349"/>
        <v>0</v>
      </c>
      <c r="IN120" s="204"/>
      <c r="IO120" s="228">
        <f t="shared" si="1350"/>
        <v>0</v>
      </c>
      <c r="IP120" s="188">
        <f t="shared" si="1351"/>
        <v>0</v>
      </c>
      <c r="IQ120" s="188">
        <f t="shared" si="1352"/>
        <v>0</v>
      </c>
      <c r="IR120" s="204"/>
      <c r="IS120" s="228"/>
      <c r="IT120" s="188">
        <f t="shared" si="1353"/>
        <v>0</v>
      </c>
      <c r="IU120" s="188">
        <f t="shared" si="1354"/>
        <v>0</v>
      </c>
      <c r="IV120" s="204"/>
      <c r="IW120" s="228"/>
      <c r="IX120" s="188">
        <f t="shared" si="1355"/>
        <v>0</v>
      </c>
      <c r="IY120" s="188">
        <f t="shared" si="1356"/>
        <v>0</v>
      </c>
      <c r="IZ120" s="204"/>
      <c r="JA120" s="228"/>
      <c r="JB120" s="188">
        <f t="shared" si="1357"/>
        <v>1</v>
      </c>
      <c r="JC120" s="188">
        <f t="shared" si="1358"/>
        <v>24</v>
      </c>
      <c r="JD120" s="204"/>
      <c r="JE120" s="228"/>
      <c r="JF120" s="188">
        <f t="shared" si="1359"/>
        <v>1</v>
      </c>
      <c r="JG120" s="188">
        <f t="shared" si="1360"/>
        <v>24</v>
      </c>
      <c r="JH120" s="204"/>
      <c r="JI120" s="228"/>
      <c r="JJ120" s="188">
        <f t="shared" si="1361"/>
        <v>0</v>
      </c>
      <c r="JK120" s="188">
        <f t="shared" si="1362"/>
        <v>0</v>
      </c>
      <c r="JM120" s="203">
        <f t="shared" si="1363"/>
        <v>0</v>
      </c>
      <c r="JO120" s="196">
        <f t="shared" si="1364"/>
        <v>0</v>
      </c>
      <c r="JP120" s="189">
        <f t="shared" si="1365"/>
        <v>0</v>
      </c>
      <c r="JQ120" s="189">
        <f t="shared" si="1366"/>
        <v>0</v>
      </c>
      <c r="JR120" s="189">
        <f t="shared" si="1367"/>
        <v>0</v>
      </c>
      <c r="JS120" s="189">
        <f t="shared" si="1368"/>
        <v>0</v>
      </c>
      <c r="JT120" s="189">
        <f t="shared" si="1369"/>
        <v>0</v>
      </c>
      <c r="JU120" s="189">
        <f t="shared" si="1370"/>
        <v>0</v>
      </c>
      <c r="JV120" s="189">
        <f t="shared" si="1371"/>
        <v>0</v>
      </c>
      <c r="JW120" s="189">
        <f t="shared" si="1372"/>
        <v>0</v>
      </c>
      <c r="JX120" s="189">
        <f t="shared" si="1373"/>
        <v>0</v>
      </c>
      <c r="JY120" s="189">
        <f t="shared" si="1374"/>
        <v>0</v>
      </c>
      <c r="JZ120" s="189">
        <f t="shared" si="1375"/>
        <v>0</v>
      </c>
      <c r="KA120" s="189">
        <f t="shared" si="1376"/>
        <v>0</v>
      </c>
      <c r="KB120" s="189">
        <f t="shared" si="1377"/>
        <v>0</v>
      </c>
      <c r="KD120" s="206">
        <f t="shared" si="1378"/>
        <v>0</v>
      </c>
      <c r="KE120" s="206">
        <f t="shared" si="1379"/>
        <v>0</v>
      </c>
      <c r="KF120" s="206">
        <f t="shared" si="1380"/>
        <v>0</v>
      </c>
      <c r="KG120" s="206">
        <f t="shared" si="1381"/>
        <v>0</v>
      </c>
      <c r="KH120" s="206">
        <f t="shared" si="1382"/>
        <v>0</v>
      </c>
      <c r="KI120" s="206">
        <f t="shared" si="1383"/>
        <v>0</v>
      </c>
      <c r="KJ120" s="206">
        <f t="shared" si="1384"/>
        <v>0</v>
      </c>
      <c r="KK120" s="206">
        <f t="shared" si="1385"/>
        <v>0</v>
      </c>
      <c r="KL120" s="206">
        <f t="shared" si="1386"/>
        <v>0</v>
      </c>
      <c r="KM120" s="206">
        <f t="shared" si="1387"/>
        <v>0</v>
      </c>
      <c r="KN120" s="221">
        <f t="shared" si="1388"/>
        <v>0</v>
      </c>
      <c r="KO120" s="221">
        <f t="shared" si="1389"/>
        <v>0</v>
      </c>
      <c r="KP120" s="221">
        <f t="shared" si="1390"/>
        <v>0</v>
      </c>
      <c r="KQ120" s="221">
        <f t="shared" si="1391"/>
        <v>0</v>
      </c>
      <c r="KR120" s="221">
        <f t="shared" si="1392"/>
        <v>0</v>
      </c>
      <c r="KS120" s="195">
        <v>6</v>
      </c>
      <c r="KT120" s="195">
        <f t="shared" si="1393"/>
        <v>1</v>
      </c>
      <c r="KU120" s="221"/>
      <c r="KV120" s="221"/>
      <c r="KW120" s="221"/>
      <c r="KX120" s="221"/>
      <c r="KY120" s="221"/>
      <c r="KZ120" s="221"/>
      <c r="LA120" s="221"/>
      <c r="LB120" s="221"/>
      <c r="LC120" s="221"/>
      <c r="LD120" s="221"/>
      <c r="LE120" s="221"/>
      <c r="LF120" s="221"/>
      <c r="LG120" s="221"/>
      <c r="LH120" s="221"/>
      <c r="LI120" s="221"/>
      <c r="LJ120" s="221"/>
      <c r="LK120" s="221"/>
      <c r="LL120" s="221"/>
      <c r="LM120" s="221"/>
      <c r="LN120" s="221"/>
      <c r="LO120" s="221"/>
      <c r="LP120" s="221"/>
      <c r="LQ120" s="221"/>
      <c r="LR120" s="221"/>
      <c r="LS120" s="221"/>
      <c r="LT120" s="221"/>
      <c r="LU120" s="221"/>
      <c r="LV120" s="221"/>
      <c r="LW120" s="221"/>
      <c r="LX120" s="221"/>
      <c r="LY120" s="221"/>
      <c r="LZ120" s="221"/>
      <c r="MA120" s="221"/>
      <c r="MB120" s="221"/>
      <c r="MC120" s="221"/>
      <c r="MD120" s="221"/>
      <c r="ME120" s="221"/>
      <c r="MF120" s="221"/>
      <c r="MG120" s="221"/>
      <c r="MH120" s="221"/>
      <c r="MI120" s="221"/>
      <c r="MJ120" s="221"/>
      <c r="MK120" s="221"/>
      <c r="ML120" s="221"/>
      <c r="MM120" s="221"/>
      <c r="MN120" s="221"/>
      <c r="MO120" s="221"/>
      <c r="MP120" s="221"/>
      <c r="MQ120" s="221"/>
      <c r="MR120" s="221"/>
      <c r="MS120" s="221"/>
      <c r="MT120" s="221"/>
      <c r="MU120" s="221"/>
      <c r="MV120" s="221"/>
      <c r="MW120" s="221"/>
      <c r="MX120" s="221"/>
      <c r="MY120" s="221"/>
      <c r="MZ120" s="221"/>
      <c r="NA120" s="221"/>
      <c r="NB120" s="221"/>
      <c r="NC120" s="221"/>
      <c r="ND120" s="221"/>
      <c r="NE120" s="221"/>
      <c r="NF120" s="221"/>
      <c r="NG120" s="221"/>
      <c r="NH120" s="221"/>
      <c r="NI120" s="221"/>
      <c r="NJ120" s="221"/>
      <c r="NK120" s="221"/>
      <c r="NM120" s="195">
        <f t="shared" si="1394"/>
        <v>0</v>
      </c>
      <c r="NN120" s="195">
        <f t="shared" si="1395"/>
        <v>0</v>
      </c>
      <c r="NO120" s="195">
        <f t="shared" si="1396"/>
        <v>0</v>
      </c>
      <c r="NP120" s="195">
        <f t="shared" si="1397"/>
        <v>0</v>
      </c>
      <c r="NQ120" s="195">
        <f t="shared" si="1398"/>
        <v>0</v>
      </c>
      <c r="NR120" s="195">
        <f t="shared" si="1399"/>
        <v>1</v>
      </c>
      <c r="NS120" s="195">
        <f t="shared" si="1400"/>
        <v>0</v>
      </c>
      <c r="NT120" s="195">
        <f t="shared" si="1401"/>
        <v>1</v>
      </c>
      <c r="NU120" s="196">
        <f t="shared" si="1402"/>
        <v>0</v>
      </c>
      <c r="NY120" s="215"/>
      <c r="OE120" s="207"/>
      <c r="OF120" s="207"/>
      <c r="OG120" s="207"/>
      <c r="OH120" s="207"/>
      <c r="OI120" s="207"/>
      <c r="OJ120" s="199"/>
      <c r="OK120" s="199"/>
      <c r="OL120" s="199"/>
      <c r="OM120" s="199"/>
      <c r="OO120" s="207"/>
      <c r="OP120" s="207"/>
      <c r="OQ120" s="207"/>
      <c r="OR120" s="207"/>
      <c r="OS120" s="207"/>
      <c r="OT120" s="199"/>
      <c r="OU120" s="199"/>
      <c r="OV120" s="199"/>
      <c r="OW120" s="199"/>
      <c r="OZ120" s="208">
        <f t="shared" si="1403"/>
        <v>1</v>
      </c>
      <c r="PA120" s="209">
        <v>1</v>
      </c>
      <c r="PB120" s="209"/>
      <c r="PC120" s="209"/>
      <c r="PD120" s="210">
        <f t="shared" si="433"/>
        <v>0</v>
      </c>
      <c r="PE120" s="210"/>
      <c r="PF120" s="210">
        <f t="shared" si="434"/>
        <v>0</v>
      </c>
      <c r="PG120" s="210">
        <f t="shared" si="435"/>
        <v>24</v>
      </c>
      <c r="PH120" s="210">
        <f t="shared" si="381"/>
        <v>0</v>
      </c>
      <c r="PI120" s="210">
        <f t="shared" si="382"/>
        <v>0</v>
      </c>
      <c r="PJ120" s="210">
        <f t="shared" si="383"/>
        <v>0</v>
      </c>
      <c r="PK120" s="210">
        <f t="shared" si="384"/>
        <v>0</v>
      </c>
      <c r="PL120" s="210">
        <f t="shared" si="385"/>
        <v>0</v>
      </c>
      <c r="PM120" s="211"/>
      <c r="PN120" s="211"/>
      <c r="PO120" s="212">
        <f t="shared" si="1404"/>
        <v>0</v>
      </c>
      <c r="PP120" s="212">
        <f t="shared" si="1405"/>
        <v>0</v>
      </c>
      <c r="PQ120" s="212">
        <f t="shared" si="1406"/>
        <v>0</v>
      </c>
      <c r="PR120" s="211"/>
      <c r="PS120" s="211"/>
      <c r="PT120" s="211"/>
      <c r="PU120" s="211"/>
    </row>
    <row r="121" spans="1:437 16383:16384" s="195" customFormat="1" ht="16" x14ac:dyDescent="0.2">
      <c r="A121" s="213">
        <f t="shared" si="810"/>
        <v>111</v>
      </c>
      <c r="B121" s="237" t="s">
        <v>650</v>
      </c>
      <c r="C121" s="186">
        <v>12</v>
      </c>
      <c r="D121" s="188">
        <v>1</v>
      </c>
      <c r="E121" s="188">
        <v>35</v>
      </c>
      <c r="F121" s="188">
        <v>1</v>
      </c>
      <c r="G121" s="188">
        <f t="shared" si="812"/>
        <v>35</v>
      </c>
      <c r="H121" s="214">
        <f t="shared" si="1239"/>
        <v>1</v>
      </c>
      <c r="I121" s="214">
        <v>0</v>
      </c>
      <c r="J121" s="188">
        <v>1</v>
      </c>
      <c r="K121" s="188">
        <f t="shared" si="1240"/>
        <v>35</v>
      </c>
      <c r="L121" s="214">
        <f t="shared" si="1241"/>
        <v>1</v>
      </c>
      <c r="M121" s="214">
        <v>0</v>
      </c>
      <c r="N121" s="188">
        <v>1</v>
      </c>
      <c r="O121" s="188">
        <f t="shared" si="1242"/>
        <v>35</v>
      </c>
      <c r="P121" s="214">
        <f t="shared" si="1243"/>
        <v>1</v>
      </c>
      <c r="Q121" s="214">
        <f t="shared" si="1244"/>
        <v>1</v>
      </c>
      <c r="R121" s="188"/>
      <c r="S121" s="188">
        <f t="shared" si="1245"/>
        <v>0</v>
      </c>
      <c r="T121" s="214">
        <f t="shared" si="1246"/>
        <v>0</v>
      </c>
      <c r="U121" s="214">
        <f t="shared" si="1247"/>
        <v>0</v>
      </c>
      <c r="V121" s="215"/>
      <c r="W121" s="188">
        <f t="shared" si="1248"/>
        <v>0</v>
      </c>
      <c r="X121" s="214">
        <f t="shared" si="1249"/>
        <v>0</v>
      </c>
      <c r="Y121" s="214">
        <f t="shared" si="1250"/>
        <v>0</v>
      </c>
      <c r="Z121" s="216"/>
      <c r="AA121" s="188">
        <v>0</v>
      </c>
      <c r="AB121" s="188">
        <v>0</v>
      </c>
      <c r="AC121" s="214">
        <f t="shared" si="1251"/>
        <v>0</v>
      </c>
      <c r="AD121" s="214">
        <f t="shared" si="1252"/>
        <v>0</v>
      </c>
      <c r="AE121" s="188"/>
      <c r="AF121" s="188">
        <f t="shared" si="1253"/>
        <v>0</v>
      </c>
      <c r="AG121" s="188"/>
      <c r="AH121" s="188"/>
      <c r="AI121" s="188"/>
      <c r="AJ121" s="188"/>
      <c r="AK121" s="188"/>
      <c r="AL121" s="188"/>
      <c r="AM121" s="188"/>
      <c r="AN121" s="217">
        <v>1</v>
      </c>
      <c r="AO121" s="188">
        <f t="shared" si="1254"/>
        <v>0</v>
      </c>
      <c r="AP121" s="188">
        <f t="shared" si="1255"/>
        <v>0</v>
      </c>
      <c r="AQ121" s="188">
        <f t="shared" si="1256"/>
        <v>0</v>
      </c>
      <c r="AR121" s="188">
        <f t="shared" si="1257"/>
        <v>0</v>
      </c>
      <c r="AS121" s="188">
        <f t="shared" si="1258"/>
        <v>0</v>
      </c>
      <c r="AT121" s="188">
        <f t="shared" si="1259"/>
        <v>0</v>
      </c>
      <c r="AU121" s="188">
        <f t="shared" si="1260"/>
        <v>0</v>
      </c>
      <c r="AV121" s="188">
        <f t="shared" si="1261"/>
        <v>0</v>
      </c>
      <c r="AW121" s="188">
        <f t="shared" si="1262"/>
        <v>0</v>
      </c>
      <c r="AX121" s="188">
        <f t="shared" si="1263"/>
        <v>0</v>
      </c>
      <c r="AY121" s="188">
        <f t="shared" si="1264"/>
        <v>0</v>
      </c>
      <c r="AZ121" s="188">
        <f t="shared" si="1265"/>
        <v>0</v>
      </c>
      <c r="BA121" s="188">
        <f t="shared" si="1266"/>
        <v>0</v>
      </c>
      <c r="BB121" s="188">
        <f t="shared" si="1267"/>
        <v>35</v>
      </c>
      <c r="BD121" s="196">
        <f t="shared" si="1268"/>
        <v>0</v>
      </c>
      <c r="BE121" s="188">
        <f t="shared" si="1269"/>
        <v>0</v>
      </c>
      <c r="BF121" s="188">
        <f t="shared" si="1270"/>
        <v>0</v>
      </c>
      <c r="BG121" s="188">
        <f t="shared" si="1271"/>
        <v>0</v>
      </c>
      <c r="BH121" s="188">
        <f t="shared" si="1272"/>
        <v>0</v>
      </c>
      <c r="BI121" s="188">
        <f t="shared" si="1273"/>
        <v>0</v>
      </c>
      <c r="BJ121" s="188">
        <f t="shared" si="1274"/>
        <v>0</v>
      </c>
      <c r="BK121" s="188">
        <f t="shared" si="1275"/>
        <v>0</v>
      </c>
      <c r="BN121" s="215"/>
      <c r="BO121" s="188"/>
      <c r="BP121" s="188"/>
      <c r="BQ121" s="188"/>
      <c r="BR121" s="188"/>
      <c r="BS121" s="188"/>
      <c r="BT121" s="188"/>
      <c r="BU121" s="188"/>
      <c r="BV121" s="188"/>
      <c r="BW121" s="188"/>
      <c r="BX121" s="188"/>
      <c r="BY121" s="188"/>
      <c r="BZ121" s="188"/>
      <c r="CB121" s="188"/>
      <c r="CD121" s="188">
        <f t="shared" si="1276"/>
        <v>0</v>
      </c>
      <c r="CE121" s="188">
        <f t="shared" si="1277"/>
        <v>0</v>
      </c>
      <c r="CF121" s="188">
        <f t="shared" si="1278"/>
        <v>0</v>
      </c>
      <c r="CG121" s="188">
        <f t="shared" si="1279"/>
        <v>0</v>
      </c>
      <c r="CH121" s="188">
        <f t="shared" si="1280"/>
        <v>0</v>
      </c>
      <c r="CI121" s="188">
        <f t="shared" si="1281"/>
        <v>0</v>
      </c>
      <c r="CJ121" s="188">
        <f t="shared" si="1282"/>
        <v>0</v>
      </c>
      <c r="CK121" s="188">
        <f t="shared" si="1283"/>
        <v>0</v>
      </c>
      <c r="CL121" s="188">
        <f t="shared" si="1284"/>
        <v>0</v>
      </c>
      <c r="CM121" s="188">
        <f t="shared" si="1285"/>
        <v>0</v>
      </c>
      <c r="CN121" s="188">
        <f t="shared" si="1286"/>
        <v>0</v>
      </c>
      <c r="CO121" s="188">
        <f t="shared" si="1287"/>
        <v>0</v>
      </c>
      <c r="CP121" s="188">
        <f t="shared" si="1288"/>
        <v>0</v>
      </c>
      <c r="DV121" s="188">
        <f t="shared" si="1289"/>
        <v>0</v>
      </c>
      <c r="DW121" s="188">
        <f t="shared" si="1290"/>
        <v>0</v>
      </c>
      <c r="DX121" s="188">
        <f t="shared" si="1291"/>
        <v>0</v>
      </c>
      <c r="DY121" s="188">
        <f t="shared" si="1292"/>
        <v>0</v>
      </c>
      <c r="DZ121" s="188">
        <f t="shared" si="1293"/>
        <v>0</v>
      </c>
      <c r="EA121" s="188">
        <f t="shared" si="1294"/>
        <v>0</v>
      </c>
      <c r="EB121" s="188">
        <f t="shared" si="1295"/>
        <v>0</v>
      </c>
      <c r="EG121" s="220">
        <f t="shared" si="1296"/>
        <v>0</v>
      </c>
      <c r="EH121" s="220">
        <f t="shared" si="1297"/>
        <v>0</v>
      </c>
      <c r="EI121" s="188"/>
      <c r="EJ121" s="188"/>
      <c r="EK121" s="188"/>
      <c r="EL121" s="188"/>
      <c r="EM121" s="188"/>
      <c r="EN121" s="188"/>
      <c r="EO121" s="188"/>
      <c r="EP121" s="188"/>
      <c r="EQ121" s="188"/>
      <c r="ER121" s="188"/>
      <c r="ES121" s="188"/>
      <c r="ET121" s="188"/>
      <c r="EU121" s="188"/>
      <c r="EV121" s="188"/>
      <c r="EW121" s="188"/>
      <c r="EX121" s="188"/>
      <c r="EY121" s="188"/>
      <c r="EZ121" s="188"/>
      <c r="FA121" s="188"/>
      <c r="FB121" s="188"/>
      <c r="FC121" s="188"/>
      <c r="FD121" s="188"/>
      <c r="FE121" s="188"/>
      <c r="FF121" s="188"/>
      <c r="FH121" s="188"/>
      <c r="FI121" s="188"/>
      <c r="FJ121" s="188"/>
      <c r="FK121" s="188"/>
      <c r="FL121" s="188"/>
      <c r="FM121" s="188"/>
      <c r="FN121" s="188"/>
      <c r="FO121" s="188"/>
      <c r="FP121" s="188"/>
      <c r="FQ121" s="188"/>
      <c r="FR121" s="188"/>
      <c r="FS121" s="188"/>
      <c r="FT121" s="188"/>
      <c r="FU121" s="188"/>
      <c r="FV121" s="188"/>
      <c r="FX121" s="188">
        <f t="shared" si="1298"/>
        <v>0</v>
      </c>
      <c r="FY121" s="188">
        <f t="shared" si="1299"/>
        <v>0</v>
      </c>
      <c r="FZ121" s="188">
        <f t="shared" si="1300"/>
        <v>0</v>
      </c>
      <c r="GA121" s="188">
        <f t="shared" si="1301"/>
        <v>0</v>
      </c>
      <c r="GB121" s="188">
        <f t="shared" si="1302"/>
        <v>0</v>
      </c>
      <c r="GC121" s="188">
        <f t="shared" si="1303"/>
        <v>0</v>
      </c>
      <c r="GD121" s="234">
        <f t="shared" si="1304"/>
        <v>0</v>
      </c>
      <c r="GE121" s="188">
        <f t="shared" si="1305"/>
        <v>0</v>
      </c>
      <c r="GF121" s="235"/>
      <c r="GG121" s="188">
        <v>0</v>
      </c>
      <c r="GH121" s="188">
        <v>0</v>
      </c>
      <c r="GI121" s="235"/>
      <c r="GJ121" s="224">
        <f t="shared" si="1306"/>
        <v>0</v>
      </c>
      <c r="GK121" s="224">
        <f t="shared" si="1307"/>
        <v>0</v>
      </c>
      <c r="GO121" s="188"/>
      <c r="GP121" s="188">
        <f t="shared" si="1308"/>
        <v>0</v>
      </c>
      <c r="GQ121" s="188">
        <f t="shared" si="1309"/>
        <v>0</v>
      </c>
      <c r="GR121" s="188">
        <f t="shared" si="1310"/>
        <v>1</v>
      </c>
      <c r="GS121" s="188">
        <f t="shared" si="1311"/>
        <v>1</v>
      </c>
      <c r="GT121" s="188">
        <f t="shared" si="1312"/>
        <v>0</v>
      </c>
      <c r="GU121" s="232">
        <f t="shared" si="388"/>
        <v>43243</v>
      </c>
      <c r="GV121" s="188" t="str">
        <f t="shared" si="1313"/>
        <v>Musyawarah</v>
      </c>
      <c r="GW121" s="188">
        <f t="shared" si="1314"/>
        <v>1</v>
      </c>
      <c r="GX121" s="188" t="str">
        <f t="shared" si="1315"/>
        <v>Musyawarah</v>
      </c>
      <c r="GY121" s="188">
        <f t="shared" si="1316"/>
        <v>24</v>
      </c>
      <c r="GZ121" s="228">
        <f t="shared" si="1317"/>
        <v>43267</v>
      </c>
      <c r="HA121" s="204"/>
      <c r="HB121" s="204"/>
      <c r="HC121" s="188">
        <f t="shared" si="1318"/>
        <v>0</v>
      </c>
      <c r="HD121" s="188">
        <f t="shared" si="1319"/>
        <v>0</v>
      </c>
      <c r="HE121" s="188">
        <f t="shared" si="1320"/>
        <v>0</v>
      </c>
      <c r="HF121" s="188">
        <f t="shared" si="1321"/>
        <v>0</v>
      </c>
      <c r="HG121" s="188">
        <f t="shared" si="1322"/>
        <v>0</v>
      </c>
      <c r="HH121" s="228" t="str">
        <f t="shared" si="1323"/>
        <v>TIDAK KONSINYASI</v>
      </c>
      <c r="HI121" s="228">
        <f t="shared" si="1324"/>
        <v>43312</v>
      </c>
      <c r="HK121" s="228">
        <f t="shared" si="1325"/>
        <v>43312</v>
      </c>
      <c r="HL121" s="204"/>
      <c r="HM121" s="204"/>
      <c r="HN121" s="204"/>
      <c r="HO121" s="204"/>
      <c r="HP121" s="203">
        <f t="shared" si="1326"/>
        <v>0</v>
      </c>
      <c r="HQ121" s="202">
        <f t="shared" si="1327"/>
        <v>0</v>
      </c>
      <c r="HR121" s="202">
        <f t="shared" si="1328"/>
        <v>0</v>
      </c>
      <c r="HS121" s="203">
        <f t="shared" si="1329"/>
        <v>0</v>
      </c>
      <c r="HT121" s="202">
        <f t="shared" si="1330"/>
        <v>0</v>
      </c>
      <c r="HU121" s="202">
        <f t="shared" si="1331"/>
        <v>0</v>
      </c>
      <c r="HV121" s="203">
        <f t="shared" si="1332"/>
        <v>0</v>
      </c>
      <c r="HW121" s="202">
        <f t="shared" si="1333"/>
        <v>0</v>
      </c>
      <c r="HX121" s="202">
        <f t="shared" si="1334"/>
        <v>0</v>
      </c>
      <c r="HY121" s="203">
        <f t="shared" si="1335"/>
        <v>0</v>
      </c>
      <c r="HZ121" s="202">
        <f t="shared" si="1336"/>
        <v>0</v>
      </c>
      <c r="IA121" s="202">
        <f t="shared" si="1337"/>
        <v>0</v>
      </c>
      <c r="IB121" s="236">
        <f t="shared" si="1338"/>
        <v>0</v>
      </c>
      <c r="IC121" s="188">
        <f t="shared" si="1339"/>
        <v>0</v>
      </c>
      <c r="ID121" s="188">
        <f t="shared" si="1340"/>
        <v>0</v>
      </c>
      <c r="IE121" s="228">
        <f t="shared" si="1341"/>
        <v>0</v>
      </c>
      <c r="IF121" s="188">
        <f t="shared" si="1342"/>
        <v>0</v>
      </c>
      <c r="IG121" s="188">
        <f t="shared" si="1343"/>
        <v>0</v>
      </c>
      <c r="IH121" s="228">
        <f t="shared" si="1344"/>
        <v>0</v>
      </c>
      <c r="II121" s="188">
        <f t="shared" si="1345"/>
        <v>0</v>
      </c>
      <c r="IJ121" s="188">
        <f t="shared" si="1346"/>
        <v>0</v>
      </c>
      <c r="IK121" s="228">
        <f t="shared" si="1347"/>
        <v>0</v>
      </c>
      <c r="IL121" s="188">
        <f t="shared" si="1348"/>
        <v>0</v>
      </c>
      <c r="IM121" s="188">
        <f t="shared" si="1349"/>
        <v>0</v>
      </c>
      <c r="IN121" s="204"/>
      <c r="IO121" s="228">
        <f t="shared" si="1350"/>
        <v>0</v>
      </c>
      <c r="IP121" s="188">
        <f t="shared" si="1351"/>
        <v>0</v>
      </c>
      <c r="IQ121" s="188">
        <f t="shared" si="1352"/>
        <v>0</v>
      </c>
      <c r="IR121" s="204"/>
      <c r="IS121" s="228"/>
      <c r="IT121" s="188">
        <f t="shared" si="1353"/>
        <v>0</v>
      </c>
      <c r="IU121" s="188">
        <f t="shared" si="1354"/>
        <v>0</v>
      </c>
      <c r="IV121" s="204"/>
      <c r="IW121" s="228"/>
      <c r="IX121" s="188">
        <f t="shared" si="1355"/>
        <v>0</v>
      </c>
      <c r="IY121" s="188">
        <f t="shared" si="1356"/>
        <v>0</v>
      </c>
      <c r="IZ121" s="204"/>
      <c r="JA121" s="228"/>
      <c r="JB121" s="188">
        <f t="shared" si="1357"/>
        <v>1</v>
      </c>
      <c r="JC121" s="188">
        <f t="shared" si="1358"/>
        <v>35</v>
      </c>
      <c r="JD121" s="204"/>
      <c r="JE121" s="228"/>
      <c r="JF121" s="188">
        <f t="shared" si="1359"/>
        <v>1</v>
      </c>
      <c r="JG121" s="188">
        <f t="shared" si="1360"/>
        <v>35</v>
      </c>
      <c r="JH121" s="204"/>
      <c r="JI121" s="228"/>
      <c r="JJ121" s="188">
        <f t="shared" si="1361"/>
        <v>0</v>
      </c>
      <c r="JK121" s="188">
        <f t="shared" si="1362"/>
        <v>0</v>
      </c>
      <c r="JM121" s="203">
        <f t="shared" si="1363"/>
        <v>0</v>
      </c>
      <c r="JO121" s="196">
        <f t="shared" si="1364"/>
        <v>0</v>
      </c>
      <c r="JP121" s="189">
        <f t="shared" si="1365"/>
        <v>0</v>
      </c>
      <c r="JQ121" s="189">
        <f t="shared" si="1366"/>
        <v>0</v>
      </c>
      <c r="JR121" s="189">
        <f t="shared" si="1367"/>
        <v>0</v>
      </c>
      <c r="JS121" s="189">
        <f t="shared" si="1368"/>
        <v>0</v>
      </c>
      <c r="JT121" s="189">
        <f t="shared" si="1369"/>
        <v>0</v>
      </c>
      <c r="JU121" s="189">
        <f t="shared" si="1370"/>
        <v>0</v>
      </c>
      <c r="JV121" s="189">
        <f t="shared" si="1371"/>
        <v>0</v>
      </c>
      <c r="JW121" s="189">
        <f t="shared" si="1372"/>
        <v>0</v>
      </c>
      <c r="JX121" s="189">
        <f t="shared" si="1373"/>
        <v>0</v>
      </c>
      <c r="JY121" s="189">
        <f t="shared" si="1374"/>
        <v>0</v>
      </c>
      <c r="JZ121" s="189">
        <f t="shared" si="1375"/>
        <v>0</v>
      </c>
      <c r="KA121" s="189">
        <f t="shared" si="1376"/>
        <v>0</v>
      </c>
      <c r="KB121" s="189">
        <f t="shared" si="1377"/>
        <v>0</v>
      </c>
      <c r="KD121" s="206">
        <f t="shared" si="1378"/>
        <v>0</v>
      </c>
      <c r="KE121" s="206">
        <f t="shared" si="1379"/>
        <v>0</v>
      </c>
      <c r="KF121" s="206">
        <f t="shared" si="1380"/>
        <v>0</v>
      </c>
      <c r="KG121" s="206">
        <f t="shared" si="1381"/>
        <v>0</v>
      </c>
      <c r="KH121" s="206">
        <f t="shared" si="1382"/>
        <v>0</v>
      </c>
      <c r="KI121" s="206">
        <f t="shared" si="1383"/>
        <v>0</v>
      </c>
      <c r="KJ121" s="206">
        <f t="shared" si="1384"/>
        <v>0</v>
      </c>
      <c r="KK121" s="206">
        <f t="shared" si="1385"/>
        <v>0</v>
      </c>
      <c r="KL121" s="206">
        <f t="shared" si="1386"/>
        <v>0</v>
      </c>
      <c r="KM121" s="206">
        <f t="shared" si="1387"/>
        <v>0</v>
      </c>
      <c r="KN121" s="221">
        <f t="shared" si="1388"/>
        <v>0</v>
      </c>
      <c r="KO121" s="221">
        <f t="shared" si="1389"/>
        <v>0</v>
      </c>
      <c r="KP121" s="221">
        <f t="shared" si="1390"/>
        <v>0</v>
      </c>
      <c r="KQ121" s="221">
        <f t="shared" si="1391"/>
        <v>0</v>
      </c>
      <c r="KR121" s="221">
        <f t="shared" si="1392"/>
        <v>0</v>
      </c>
      <c r="KS121" s="195">
        <v>6</v>
      </c>
      <c r="KT121" s="195">
        <f t="shared" si="1393"/>
        <v>1</v>
      </c>
      <c r="KU121" s="221"/>
      <c r="KV121" s="221"/>
      <c r="KW121" s="221"/>
      <c r="KX121" s="221"/>
      <c r="KY121" s="221"/>
      <c r="KZ121" s="221"/>
      <c r="LA121" s="221"/>
      <c r="LB121" s="221"/>
      <c r="LC121" s="221"/>
      <c r="LD121" s="221"/>
      <c r="LE121" s="221"/>
      <c r="LF121" s="221"/>
      <c r="LG121" s="221"/>
      <c r="LH121" s="221"/>
      <c r="LI121" s="221"/>
      <c r="LJ121" s="221"/>
      <c r="LK121" s="221"/>
      <c r="LL121" s="221"/>
      <c r="LM121" s="221"/>
      <c r="LN121" s="221"/>
      <c r="LO121" s="221"/>
      <c r="LP121" s="221"/>
      <c r="LQ121" s="221"/>
      <c r="LR121" s="221"/>
      <c r="LS121" s="221"/>
      <c r="LT121" s="221"/>
      <c r="LU121" s="221"/>
      <c r="LV121" s="221"/>
      <c r="LW121" s="221"/>
      <c r="LX121" s="221"/>
      <c r="LY121" s="221"/>
      <c r="LZ121" s="221"/>
      <c r="MA121" s="221"/>
      <c r="MB121" s="221"/>
      <c r="MC121" s="221"/>
      <c r="MD121" s="221"/>
      <c r="ME121" s="221"/>
      <c r="MF121" s="221"/>
      <c r="MG121" s="221"/>
      <c r="MH121" s="221"/>
      <c r="MI121" s="221"/>
      <c r="MJ121" s="221"/>
      <c r="MK121" s="221"/>
      <c r="ML121" s="221"/>
      <c r="MM121" s="221"/>
      <c r="MN121" s="221"/>
      <c r="MO121" s="221"/>
      <c r="MP121" s="221"/>
      <c r="MQ121" s="221"/>
      <c r="MR121" s="221"/>
      <c r="MS121" s="221"/>
      <c r="MT121" s="221"/>
      <c r="MU121" s="221"/>
      <c r="MV121" s="221"/>
      <c r="MW121" s="221"/>
      <c r="MX121" s="221"/>
      <c r="MY121" s="221"/>
      <c r="MZ121" s="221"/>
      <c r="NA121" s="221"/>
      <c r="NB121" s="221"/>
      <c r="NC121" s="221"/>
      <c r="ND121" s="221"/>
      <c r="NE121" s="221"/>
      <c r="NF121" s="221"/>
      <c r="NG121" s="221"/>
      <c r="NH121" s="221"/>
      <c r="NI121" s="221"/>
      <c r="NJ121" s="221"/>
      <c r="NK121" s="221"/>
      <c r="NM121" s="195">
        <f t="shared" si="1394"/>
        <v>0</v>
      </c>
      <c r="NN121" s="195">
        <f t="shared" si="1395"/>
        <v>0</v>
      </c>
      <c r="NO121" s="195">
        <f t="shared" si="1396"/>
        <v>0</v>
      </c>
      <c r="NP121" s="195">
        <f t="shared" si="1397"/>
        <v>0</v>
      </c>
      <c r="NQ121" s="195">
        <f t="shared" si="1398"/>
        <v>0</v>
      </c>
      <c r="NR121" s="195">
        <f t="shared" si="1399"/>
        <v>1</v>
      </c>
      <c r="NS121" s="195">
        <f t="shared" si="1400"/>
        <v>0</v>
      </c>
      <c r="NT121" s="195">
        <f t="shared" si="1401"/>
        <v>1</v>
      </c>
      <c r="NU121" s="196">
        <f t="shared" si="1402"/>
        <v>0</v>
      </c>
      <c r="NY121" s="215"/>
      <c r="OE121" s="207"/>
      <c r="OF121" s="207"/>
      <c r="OG121" s="207"/>
      <c r="OH121" s="207"/>
      <c r="OI121" s="207"/>
      <c r="OJ121" s="199"/>
      <c r="OK121" s="199"/>
      <c r="OL121" s="199"/>
      <c r="OM121" s="199"/>
      <c r="OO121" s="207"/>
      <c r="OP121" s="207"/>
      <c r="OQ121" s="207"/>
      <c r="OR121" s="207"/>
      <c r="OS121" s="207"/>
      <c r="OT121" s="199"/>
      <c r="OU121" s="199"/>
      <c r="OV121" s="199"/>
      <c r="OW121" s="199"/>
      <c r="OZ121" s="208">
        <f t="shared" si="1403"/>
        <v>1</v>
      </c>
      <c r="PA121" s="209">
        <v>1</v>
      </c>
      <c r="PB121" s="209"/>
      <c r="PC121" s="209"/>
      <c r="PD121" s="210">
        <f t="shared" si="433"/>
        <v>0</v>
      </c>
      <c r="PE121" s="210"/>
      <c r="PF121" s="210">
        <f t="shared" si="434"/>
        <v>0</v>
      </c>
      <c r="PG121" s="210">
        <f t="shared" si="435"/>
        <v>35</v>
      </c>
      <c r="PH121" s="210">
        <f t="shared" si="381"/>
        <v>0</v>
      </c>
      <c r="PI121" s="210">
        <f t="shared" si="382"/>
        <v>0</v>
      </c>
      <c r="PJ121" s="210">
        <f t="shared" si="383"/>
        <v>0</v>
      </c>
      <c r="PK121" s="210">
        <f t="shared" si="384"/>
        <v>0</v>
      </c>
      <c r="PL121" s="210">
        <f t="shared" si="385"/>
        <v>0</v>
      </c>
      <c r="PM121" s="211"/>
      <c r="PN121" s="211"/>
      <c r="PO121" s="212">
        <f t="shared" si="1404"/>
        <v>0</v>
      </c>
      <c r="PP121" s="212">
        <f t="shared" si="1405"/>
        <v>0</v>
      </c>
      <c r="PQ121" s="212">
        <f t="shared" si="1406"/>
        <v>0</v>
      </c>
      <c r="PR121" s="211"/>
      <c r="PS121" s="211"/>
      <c r="PT121" s="211"/>
      <c r="PU121" s="211"/>
    </row>
    <row r="122" spans="1:437 16383:16384" s="195" customFormat="1" ht="16" x14ac:dyDescent="0.2">
      <c r="A122" s="213">
        <f t="shared" si="810"/>
        <v>112</v>
      </c>
      <c r="B122" s="237" t="s">
        <v>651</v>
      </c>
      <c r="C122" s="186">
        <v>13</v>
      </c>
      <c r="D122" s="188">
        <v>1</v>
      </c>
      <c r="E122" s="188">
        <v>39</v>
      </c>
      <c r="F122" s="188">
        <v>1</v>
      </c>
      <c r="G122" s="188">
        <f t="shared" si="812"/>
        <v>39</v>
      </c>
      <c r="H122" s="214">
        <f t="shared" si="1239"/>
        <v>1</v>
      </c>
      <c r="I122" s="214">
        <v>0</v>
      </c>
      <c r="J122" s="188">
        <v>1</v>
      </c>
      <c r="K122" s="188">
        <f t="shared" si="1240"/>
        <v>39</v>
      </c>
      <c r="L122" s="214">
        <f t="shared" si="1241"/>
        <v>1</v>
      </c>
      <c r="M122" s="214">
        <v>0</v>
      </c>
      <c r="N122" s="188">
        <v>1</v>
      </c>
      <c r="O122" s="188">
        <f t="shared" si="1242"/>
        <v>39</v>
      </c>
      <c r="P122" s="214">
        <f t="shared" si="1243"/>
        <v>1</v>
      </c>
      <c r="Q122" s="214">
        <f t="shared" si="1244"/>
        <v>1</v>
      </c>
      <c r="R122" s="188"/>
      <c r="S122" s="188">
        <f t="shared" si="1245"/>
        <v>0</v>
      </c>
      <c r="T122" s="214">
        <f t="shared" si="1246"/>
        <v>0</v>
      </c>
      <c r="U122" s="214">
        <f t="shared" si="1247"/>
        <v>0</v>
      </c>
      <c r="V122" s="215"/>
      <c r="W122" s="188">
        <f t="shared" si="1248"/>
        <v>0</v>
      </c>
      <c r="X122" s="214">
        <f t="shared" si="1249"/>
        <v>0</v>
      </c>
      <c r="Y122" s="214">
        <f t="shared" si="1250"/>
        <v>0</v>
      </c>
      <c r="Z122" s="216"/>
      <c r="AA122" s="188">
        <v>0</v>
      </c>
      <c r="AB122" s="188">
        <v>0</v>
      </c>
      <c r="AC122" s="214">
        <f t="shared" si="1251"/>
        <v>0</v>
      </c>
      <c r="AD122" s="214">
        <f t="shared" si="1252"/>
        <v>0</v>
      </c>
      <c r="AE122" s="188"/>
      <c r="AF122" s="188">
        <f t="shared" si="1253"/>
        <v>0</v>
      </c>
      <c r="AG122" s="188"/>
      <c r="AH122" s="188"/>
      <c r="AI122" s="188"/>
      <c r="AJ122" s="188"/>
      <c r="AK122" s="188"/>
      <c r="AL122" s="188"/>
      <c r="AM122" s="188"/>
      <c r="AN122" s="217">
        <v>1</v>
      </c>
      <c r="AO122" s="188">
        <f t="shared" si="1254"/>
        <v>0</v>
      </c>
      <c r="AP122" s="188">
        <f t="shared" si="1255"/>
        <v>0</v>
      </c>
      <c r="AQ122" s="188">
        <f t="shared" si="1256"/>
        <v>0</v>
      </c>
      <c r="AR122" s="188">
        <f t="shared" si="1257"/>
        <v>0</v>
      </c>
      <c r="AS122" s="188">
        <f t="shared" si="1258"/>
        <v>0</v>
      </c>
      <c r="AT122" s="188">
        <f t="shared" si="1259"/>
        <v>0</v>
      </c>
      <c r="AU122" s="188">
        <f t="shared" si="1260"/>
        <v>0</v>
      </c>
      <c r="AV122" s="188">
        <f t="shared" si="1261"/>
        <v>0</v>
      </c>
      <c r="AW122" s="188">
        <f t="shared" si="1262"/>
        <v>0</v>
      </c>
      <c r="AX122" s="188">
        <f t="shared" si="1263"/>
        <v>0</v>
      </c>
      <c r="AY122" s="188">
        <f t="shared" si="1264"/>
        <v>0</v>
      </c>
      <c r="AZ122" s="188">
        <f t="shared" si="1265"/>
        <v>0</v>
      </c>
      <c r="BA122" s="188">
        <f t="shared" si="1266"/>
        <v>0</v>
      </c>
      <c r="BB122" s="188">
        <f t="shared" si="1267"/>
        <v>39</v>
      </c>
      <c r="BD122" s="196">
        <f t="shared" si="1268"/>
        <v>0</v>
      </c>
      <c r="BE122" s="188">
        <f t="shared" si="1269"/>
        <v>0</v>
      </c>
      <c r="BF122" s="188">
        <f t="shared" si="1270"/>
        <v>0</v>
      </c>
      <c r="BG122" s="188">
        <f t="shared" si="1271"/>
        <v>0</v>
      </c>
      <c r="BH122" s="188">
        <f t="shared" si="1272"/>
        <v>0</v>
      </c>
      <c r="BI122" s="188">
        <f t="shared" si="1273"/>
        <v>0</v>
      </c>
      <c r="BJ122" s="188">
        <f t="shared" si="1274"/>
        <v>0</v>
      </c>
      <c r="BK122" s="188">
        <f t="shared" si="1275"/>
        <v>0</v>
      </c>
      <c r="BN122" s="215"/>
      <c r="BO122" s="188"/>
      <c r="BP122" s="188"/>
      <c r="BQ122" s="188"/>
      <c r="BR122" s="188"/>
      <c r="BS122" s="188"/>
      <c r="BT122" s="188"/>
      <c r="BU122" s="188"/>
      <c r="BV122" s="188"/>
      <c r="BW122" s="188"/>
      <c r="BX122" s="188"/>
      <c r="BY122" s="188"/>
      <c r="BZ122" s="188"/>
      <c r="CB122" s="188"/>
      <c r="CD122" s="188">
        <f t="shared" si="1276"/>
        <v>0</v>
      </c>
      <c r="CE122" s="188">
        <f t="shared" si="1277"/>
        <v>0</v>
      </c>
      <c r="CF122" s="188">
        <f t="shared" si="1278"/>
        <v>0</v>
      </c>
      <c r="CG122" s="188">
        <f t="shared" si="1279"/>
        <v>0</v>
      </c>
      <c r="CH122" s="188">
        <f t="shared" si="1280"/>
        <v>0</v>
      </c>
      <c r="CI122" s="188">
        <f t="shared" si="1281"/>
        <v>0</v>
      </c>
      <c r="CJ122" s="188">
        <f t="shared" si="1282"/>
        <v>0</v>
      </c>
      <c r="CK122" s="188">
        <f t="shared" si="1283"/>
        <v>0</v>
      </c>
      <c r="CL122" s="188">
        <f t="shared" si="1284"/>
        <v>0</v>
      </c>
      <c r="CM122" s="188">
        <f t="shared" si="1285"/>
        <v>0</v>
      </c>
      <c r="CN122" s="188">
        <f t="shared" si="1286"/>
        <v>0</v>
      </c>
      <c r="CO122" s="188">
        <f t="shared" si="1287"/>
        <v>0</v>
      </c>
      <c r="CP122" s="188">
        <f t="shared" si="1288"/>
        <v>0</v>
      </c>
      <c r="DV122" s="188">
        <f t="shared" si="1289"/>
        <v>0</v>
      </c>
      <c r="DW122" s="188">
        <f t="shared" si="1290"/>
        <v>0</v>
      </c>
      <c r="DX122" s="188">
        <f t="shared" si="1291"/>
        <v>0</v>
      </c>
      <c r="DY122" s="188">
        <f t="shared" si="1292"/>
        <v>0</v>
      </c>
      <c r="DZ122" s="188">
        <f t="shared" si="1293"/>
        <v>0</v>
      </c>
      <c r="EA122" s="188">
        <f t="shared" si="1294"/>
        <v>0</v>
      </c>
      <c r="EB122" s="188">
        <f t="shared" si="1295"/>
        <v>0</v>
      </c>
      <c r="EG122" s="220">
        <f t="shared" si="1296"/>
        <v>0</v>
      </c>
      <c r="EH122" s="220">
        <f t="shared" si="1297"/>
        <v>0</v>
      </c>
      <c r="EI122" s="188"/>
      <c r="EJ122" s="188"/>
      <c r="EK122" s="188"/>
      <c r="EL122" s="188"/>
      <c r="EM122" s="188"/>
      <c r="EN122" s="188"/>
      <c r="EO122" s="188"/>
      <c r="EP122" s="188"/>
      <c r="EQ122" s="188"/>
      <c r="ER122" s="188"/>
      <c r="ES122" s="188"/>
      <c r="ET122" s="188"/>
      <c r="EU122" s="188"/>
      <c r="EV122" s="188"/>
      <c r="EW122" s="188"/>
      <c r="EX122" s="188"/>
      <c r="EY122" s="188"/>
      <c r="EZ122" s="188"/>
      <c r="FA122" s="188"/>
      <c r="FB122" s="188"/>
      <c r="FC122" s="188"/>
      <c r="FD122" s="188"/>
      <c r="FE122" s="188"/>
      <c r="FF122" s="188"/>
      <c r="FH122" s="188"/>
      <c r="FI122" s="188"/>
      <c r="FJ122" s="188"/>
      <c r="FK122" s="188"/>
      <c r="FL122" s="188"/>
      <c r="FM122" s="188"/>
      <c r="FN122" s="188"/>
      <c r="FO122" s="188"/>
      <c r="FP122" s="188"/>
      <c r="FQ122" s="188"/>
      <c r="FR122" s="188"/>
      <c r="FS122" s="188"/>
      <c r="FT122" s="188"/>
      <c r="FU122" s="188"/>
      <c r="FV122" s="188"/>
      <c r="FX122" s="188">
        <f t="shared" si="1298"/>
        <v>0</v>
      </c>
      <c r="FY122" s="188">
        <f t="shared" si="1299"/>
        <v>0</v>
      </c>
      <c r="FZ122" s="188">
        <f t="shared" si="1300"/>
        <v>0</v>
      </c>
      <c r="GA122" s="188">
        <f t="shared" si="1301"/>
        <v>0</v>
      </c>
      <c r="GB122" s="188">
        <f t="shared" si="1302"/>
        <v>0</v>
      </c>
      <c r="GC122" s="188">
        <f t="shared" si="1303"/>
        <v>0</v>
      </c>
      <c r="GD122" s="234">
        <f t="shared" si="1304"/>
        <v>0</v>
      </c>
      <c r="GE122" s="188">
        <f t="shared" si="1305"/>
        <v>0</v>
      </c>
      <c r="GF122" s="235"/>
      <c r="GG122" s="188">
        <v>0</v>
      </c>
      <c r="GH122" s="188">
        <v>0</v>
      </c>
      <c r="GI122" s="235"/>
      <c r="GJ122" s="224">
        <f t="shared" si="1306"/>
        <v>0</v>
      </c>
      <c r="GK122" s="224">
        <f t="shared" si="1307"/>
        <v>0</v>
      </c>
      <c r="GO122" s="188"/>
      <c r="GP122" s="188">
        <f t="shared" si="1308"/>
        <v>0</v>
      </c>
      <c r="GQ122" s="188">
        <f t="shared" si="1309"/>
        <v>0</v>
      </c>
      <c r="GR122" s="188">
        <f t="shared" si="1310"/>
        <v>1</v>
      </c>
      <c r="GS122" s="188">
        <f t="shared" si="1311"/>
        <v>1</v>
      </c>
      <c r="GT122" s="188">
        <f t="shared" si="1312"/>
        <v>0</v>
      </c>
      <c r="GU122" s="232">
        <f t="shared" si="388"/>
        <v>43243</v>
      </c>
      <c r="GV122" s="188" t="str">
        <f t="shared" si="1313"/>
        <v>Musyawarah</v>
      </c>
      <c r="GW122" s="188">
        <f t="shared" si="1314"/>
        <v>1</v>
      </c>
      <c r="GX122" s="188" t="str">
        <f t="shared" si="1315"/>
        <v>Musyawarah</v>
      </c>
      <c r="GY122" s="188">
        <f t="shared" si="1316"/>
        <v>24</v>
      </c>
      <c r="GZ122" s="228">
        <f t="shared" si="1317"/>
        <v>43267</v>
      </c>
      <c r="HA122" s="204"/>
      <c r="HB122" s="204"/>
      <c r="HC122" s="188">
        <f t="shared" si="1318"/>
        <v>0</v>
      </c>
      <c r="HD122" s="188">
        <f t="shared" si="1319"/>
        <v>0</v>
      </c>
      <c r="HE122" s="188">
        <f t="shared" si="1320"/>
        <v>0</v>
      </c>
      <c r="HF122" s="188">
        <f t="shared" si="1321"/>
        <v>0</v>
      </c>
      <c r="HG122" s="188">
        <f t="shared" si="1322"/>
        <v>0</v>
      </c>
      <c r="HH122" s="228" t="str">
        <f t="shared" si="1323"/>
        <v>TIDAK KONSINYASI</v>
      </c>
      <c r="HI122" s="228">
        <f t="shared" si="1324"/>
        <v>43312</v>
      </c>
      <c r="HK122" s="228">
        <f t="shared" si="1325"/>
        <v>43312</v>
      </c>
      <c r="HL122" s="204"/>
      <c r="HM122" s="204"/>
      <c r="HN122" s="204"/>
      <c r="HO122" s="204"/>
      <c r="HP122" s="203">
        <f t="shared" si="1326"/>
        <v>0</v>
      </c>
      <c r="HQ122" s="202">
        <f t="shared" si="1327"/>
        <v>0</v>
      </c>
      <c r="HR122" s="202">
        <f t="shared" si="1328"/>
        <v>0</v>
      </c>
      <c r="HS122" s="203">
        <f t="shared" si="1329"/>
        <v>0</v>
      </c>
      <c r="HT122" s="202">
        <f t="shared" si="1330"/>
        <v>0</v>
      </c>
      <c r="HU122" s="202">
        <f t="shared" si="1331"/>
        <v>0</v>
      </c>
      <c r="HV122" s="203">
        <f t="shared" si="1332"/>
        <v>0</v>
      </c>
      <c r="HW122" s="202">
        <f t="shared" si="1333"/>
        <v>0</v>
      </c>
      <c r="HX122" s="202">
        <f t="shared" si="1334"/>
        <v>0</v>
      </c>
      <c r="HY122" s="203">
        <f t="shared" si="1335"/>
        <v>0</v>
      </c>
      <c r="HZ122" s="202">
        <f t="shared" si="1336"/>
        <v>0</v>
      </c>
      <c r="IA122" s="202">
        <f t="shared" si="1337"/>
        <v>0</v>
      </c>
      <c r="IB122" s="236">
        <f t="shared" si="1338"/>
        <v>0</v>
      </c>
      <c r="IC122" s="188">
        <f t="shared" si="1339"/>
        <v>0</v>
      </c>
      <c r="ID122" s="188">
        <f t="shared" si="1340"/>
        <v>0</v>
      </c>
      <c r="IE122" s="228">
        <f t="shared" si="1341"/>
        <v>0</v>
      </c>
      <c r="IF122" s="188">
        <f t="shared" si="1342"/>
        <v>0</v>
      </c>
      <c r="IG122" s="188">
        <f t="shared" si="1343"/>
        <v>0</v>
      </c>
      <c r="IH122" s="228">
        <f t="shared" si="1344"/>
        <v>0</v>
      </c>
      <c r="II122" s="188">
        <f t="shared" si="1345"/>
        <v>0</v>
      </c>
      <c r="IJ122" s="188">
        <f t="shared" si="1346"/>
        <v>0</v>
      </c>
      <c r="IK122" s="228">
        <f t="shared" si="1347"/>
        <v>0</v>
      </c>
      <c r="IL122" s="188">
        <f t="shared" si="1348"/>
        <v>0</v>
      </c>
      <c r="IM122" s="188">
        <f t="shared" si="1349"/>
        <v>0</v>
      </c>
      <c r="IN122" s="204"/>
      <c r="IO122" s="228">
        <f t="shared" si="1350"/>
        <v>0</v>
      </c>
      <c r="IP122" s="188">
        <f t="shared" si="1351"/>
        <v>0</v>
      </c>
      <c r="IQ122" s="188">
        <f t="shared" si="1352"/>
        <v>0</v>
      </c>
      <c r="IR122" s="204"/>
      <c r="IS122" s="228"/>
      <c r="IT122" s="188">
        <f t="shared" si="1353"/>
        <v>0</v>
      </c>
      <c r="IU122" s="188">
        <f t="shared" si="1354"/>
        <v>0</v>
      </c>
      <c r="IV122" s="204"/>
      <c r="IW122" s="228"/>
      <c r="IX122" s="188">
        <f t="shared" si="1355"/>
        <v>0</v>
      </c>
      <c r="IY122" s="188">
        <f t="shared" si="1356"/>
        <v>0</v>
      </c>
      <c r="IZ122" s="204"/>
      <c r="JA122" s="228"/>
      <c r="JB122" s="188">
        <f t="shared" si="1357"/>
        <v>1</v>
      </c>
      <c r="JC122" s="188">
        <f t="shared" si="1358"/>
        <v>39</v>
      </c>
      <c r="JD122" s="204"/>
      <c r="JE122" s="228"/>
      <c r="JF122" s="188">
        <f t="shared" si="1359"/>
        <v>1</v>
      </c>
      <c r="JG122" s="188">
        <f t="shared" si="1360"/>
        <v>39</v>
      </c>
      <c r="JH122" s="204"/>
      <c r="JI122" s="228"/>
      <c r="JJ122" s="188">
        <f t="shared" si="1361"/>
        <v>0</v>
      </c>
      <c r="JK122" s="188">
        <f t="shared" si="1362"/>
        <v>0</v>
      </c>
      <c r="JM122" s="203">
        <f t="shared" si="1363"/>
        <v>0</v>
      </c>
      <c r="JO122" s="196">
        <f t="shared" si="1364"/>
        <v>0</v>
      </c>
      <c r="JP122" s="189">
        <f t="shared" si="1365"/>
        <v>0</v>
      </c>
      <c r="JQ122" s="189">
        <f t="shared" si="1366"/>
        <v>0</v>
      </c>
      <c r="JR122" s="189">
        <f t="shared" si="1367"/>
        <v>0</v>
      </c>
      <c r="JS122" s="189">
        <f t="shared" si="1368"/>
        <v>0</v>
      </c>
      <c r="JT122" s="189">
        <f t="shared" si="1369"/>
        <v>0</v>
      </c>
      <c r="JU122" s="189">
        <f t="shared" si="1370"/>
        <v>0</v>
      </c>
      <c r="JV122" s="189">
        <f t="shared" si="1371"/>
        <v>0</v>
      </c>
      <c r="JW122" s="189">
        <f t="shared" si="1372"/>
        <v>0</v>
      </c>
      <c r="JX122" s="189">
        <f t="shared" si="1373"/>
        <v>0</v>
      </c>
      <c r="JY122" s="189">
        <f t="shared" si="1374"/>
        <v>0</v>
      </c>
      <c r="JZ122" s="189">
        <f t="shared" si="1375"/>
        <v>0</v>
      </c>
      <c r="KA122" s="189">
        <f t="shared" si="1376"/>
        <v>0</v>
      </c>
      <c r="KB122" s="189">
        <f t="shared" si="1377"/>
        <v>0</v>
      </c>
      <c r="KD122" s="206">
        <f t="shared" si="1378"/>
        <v>0</v>
      </c>
      <c r="KE122" s="206">
        <f t="shared" si="1379"/>
        <v>0</v>
      </c>
      <c r="KF122" s="206">
        <f t="shared" si="1380"/>
        <v>0</v>
      </c>
      <c r="KG122" s="206">
        <f t="shared" si="1381"/>
        <v>0</v>
      </c>
      <c r="KH122" s="206">
        <f t="shared" si="1382"/>
        <v>0</v>
      </c>
      <c r="KI122" s="206">
        <f t="shared" si="1383"/>
        <v>0</v>
      </c>
      <c r="KJ122" s="206">
        <f t="shared" si="1384"/>
        <v>0</v>
      </c>
      <c r="KK122" s="206">
        <f t="shared" si="1385"/>
        <v>0</v>
      </c>
      <c r="KL122" s="206">
        <f t="shared" si="1386"/>
        <v>0</v>
      </c>
      <c r="KM122" s="206">
        <f t="shared" si="1387"/>
        <v>0</v>
      </c>
      <c r="KN122" s="221">
        <f t="shared" si="1388"/>
        <v>0</v>
      </c>
      <c r="KO122" s="221">
        <f t="shared" si="1389"/>
        <v>0</v>
      </c>
      <c r="KP122" s="221">
        <f t="shared" si="1390"/>
        <v>0</v>
      </c>
      <c r="KQ122" s="221">
        <f t="shared" si="1391"/>
        <v>0</v>
      </c>
      <c r="KR122" s="221">
        <f t="shared" si="1392"/>
        <v>0</v>
      </c>
      <c r="KS122" s="195">
        <v>6</v>
      </c>
      <c r="KT122" s="195">
        <f t="shared" si="1393"/>
        <v>1</v>
      </c>
      <c r="KU122" s="221"/>
      <c r="KV122" s="221"/>
      <c r="KW122" s="221"/>
      <c r="KX122" s="221"/>
      <c r="KY122" s="221"/>
      <c r="KZ122" s="221"/>
      <c r="LA122" s="221"/>
      <c r="LB122" s="221"/>
      <c r="LC122" s="221"/>
      <c r="LD122" s="221"/>
      <c r="LE122" s="221"/>
      <c r="LF122" s="221"/>
      <c r="LG122" s="221"/>
      <c r="LH122" s="221"/>
      <c r="LI122" s="221"/>
      <c r="LJ122" s="221"/>
      <c r="LK122" s="221"/>
      <c r="LL122" s="221"/>
      <c r="LM122" s="221"/>
      <c r="LN122" s="221"/>
      <c r="LO122" s="221"/>
      <c r="LP122" s="221"/>
      <c r="LQ122" s="221"/>
      <c r="LR122" s="221"/>
      <c r="LS122" s="221"/>
      <c r="LT122" s="221"/>
      <c r="LU122" s="221"/>
      <c r="LV122" s="221"/>
      <c r="LW122" s="221"/>
      <c r="LX122" s="221"/>
      <c r="LY122" s="221"/>
      <c r="LZ122" s="221"/>
      <c r="MA122" s="221"/>
      <c r="MB122" s="221"/>
      <c r="MC122" s="221"/>
      <c r="MD122" s="221"/>
      <c r="ME122" s="221"/>
      <c r="MF122" s="221"/>
      <c r="MG122" s="221"/>
      <c r="MH122" s="221"/>
      <c r="MI122" s="221"/>
      <c r="MJ122" s="221"/>
      <c r="MK122" s="221"/>
      <c r="ML122" s="221"/>
      <c r="MM122" s="221"/>
      <c r="MN122" s="221"/>
      <c r="MO122" s="221"/>
      <c r="MP122" s="221"/>
      <c r="MQ122" s="221"/>
      <c r="MR122" s="221"/>
      <c r="MS122" s="221"/>
      <c r="MT122" s="221"/>
      <c r="MU122" s="221"/>
      <c r="MV122" s="221"/>
      <c r="MW122" s="221"/>
      <c r="MX122" s="221"/>
      <c r="MY122" s="221"/>
      <c r="MZ122" s="221"/>
      <c r="NA122" s="221"/>
      <c r="NB122" s="221"/>
      <c r="NC122" s="221"/>
      <c r="ND122" s="221"/>
      <c r="NE122" s="221"/>
      <c r="NF122" s="221"/>
      <c r="NG122" s="221"/>
      <c r="NH122" s="221"/>
      <c r="NI122" s="221"/>
      <c r="NJ122" s="221"/>
      <c r="NK122" s="221"/>
      <c r="NM122" s="195">
        <f t="shared" si="1394"/>
        <v>0</v>
      </c>
      <c r="NN122" s="195">
        <f t="shared" si="1395"/>
        <v>0</v>
      </c>
      <c r="NO122" s="195">
        <f t="shared" si="1396"/>
        <v>0</v>
      </c>
      <c r="NP122" s="195">
        <f t="shared" si="1397"/>
        <v>0</v>
      </c>
      <c r="NQ122" s="195">
        <f t="shared" si="1398"/>
        <v>0</v>
      </c>
      <c r="NR122" s="195">
        <f t="shared" si="1399"/>
        <v>1</v>
      </c>
      <c r="NS122" s="195">
        <f t="shared" si="1400"/>
        <v>0</v>
      </c>
      <c r="NT122" s="195">
        <f t="shared" si="1401"/>
        <v>1</v>
      </c>
      <c r="NU122" s="196">
        <f t="shared" si="1402"/>
        <v>0</v>
      </c>
      <c r="NY122" s="215"/>
      <c r="OE122" s="207"/>
      <c r="OF122" s="207"/>
      <c r="OG122" s="207"/>
      <c r="OH122" s="207"/>
      <c r="OI122" s="207"/>
      <c r="OJ122" s="199"/>
      <c r="OK122" s="199"/>
      <c r="OL122" s="199"/>
      <c r="OM122" s="199"/>
      <c r="OO122" s="207"/>
      <c r="OP122" s="207"/>
      <c r="OQ122" s="207"/>
      <c r="OR122" s="207"/>
      <c r="OS122" s="207"/>
      <c r="OT122" s="199"/>
      <c r="OU122" s="199"/>
      <c r="OV122" s="199"/>
      <c r="OW122" s="199"/>
      <c r="OZ122" s="208">
        <f t="shared" si="1403"/>
        <v>1</v>
      </c>
      <c r="PA122" s="209">
        <v>1</v>
      </c>
      <c r="PB122" s="209"/>
      <c r="PC122" s="209"/>
      <c r="PD122" s="210">
        <f t="shared" si="433"/>
        <v>0</v>
      </c>
      <c r="PE122" s="210"/>
      <c r="PF122" s="210">
        <f t="shared" si="434"/>
        <v>0</v>
      </c>
      <c r="PG122" s="210">
        <f t="shared" si="435"/>
        <v>39</v>
      </c>
      <c r="PH122" s="210">
        <f t="shared" si="381"/>
        <v>0</v>
      </c>
      <c r="PI122" s="210">
        <f t="shared" si="382"/>
        <v>0</v>
      </c>
      <c r="PJ122" s="210">
        <f t="shared" si="383"/>
        <v>0</v>
      </c>
      <c r="PK122" s="210">
        <f t="shared" si="384"/>
        <v>0</v>
      </c>
      <c r="PL122" s="210">
        <f t="shared" si="385"/>
        <v>0</v>
      </c>
      <c r="PM122" s="211"/>
      <c r="PN122" s="211"/>
      <c r="PO122" s="212">
        <f t="shared" si="1404"/>
        <v>0</v>
      </c>
      <c r="PP122" s="212">
        <f t="shared" si="1405"/>
        <v>0</v>
      </c>
      <c r="PQ122" s="212">
        <f t="shared" si="1406"/>
        <v>0</v>
      </c>
      <c r="PR122" s="211"/>
      <c r="PS122" s="211"/>
      <c r="PT122" s="211"/>
      <c r="PU122" s="211"/>
    </row>
    <row r="123" spans="1:437 16383:16384" s="195" customFormat="1" ht="16" x14ac:dyDescent="0.2">
      <c r="A123" s="213">
        <f t="shared" si="810"/>
        <v>113</v>
      </c>
      <c r="B123" s="238" t="s">
        <v>652</v>
      </c>
      <c r="C123" s="239">
        <v>14</v>
      </c>
      <c r="D123" s="240">
        <v>1</v>
      </c>
      <c r="E123" s="240">
        <v>63</v>
      </c>
      <c r="F123" s="240">
        <v>1</v>
      </c>
      <c r="G123" s="188">
        <f t="shared" si="812"/>
        <v>63</v>
      </c>
      <c r="H123" s="241">
        <f t="shared" si="969"/>
        <v>1</v>
      </c>
      <c r="I123" s="241">
        <v>0</v>
      </c>
      <c r="J123" s="240">
        <v>1</v>
      </c>
      <c r="K123" s="240">
        <f t="shared" si="970"/>
        <v>63</v>
      </c>
      <c r="L123" s="241">
        <f t="shared" si="971"/>
        <v>1</v>
      </c>
      <c r="M123" s="241">
        <v>0</v>
      </c>
      <c r="N123" s="240">
        <v>1</v>
      </c>
      <c r="O123" s="240">
        <f t="shared" si="972"/>
        <v>63</v>
      </c>
      <c r="P123" s="241">
        <f t="shared" si="973"/>
        <v>1</v>
      </c>
      <c r="Q123" s="241">
        <f t="shared" si="974"/>
        <v>1</v>
      </c>
      <c r="R123" s="240"/>
      <c r="S123" s="240">
        <f t="shared" si="975"/>
        <v>0</v>
      </c>
      <c r="T123" s="241">
        <f t="shared" si="976"/>
        <v>0</v>
      </c>
      <c r="U123" s="241">
        <f t="shared" si="977"/>
        <v>0</v>
      </c>
      <c r="V123" s="242"/>
      <c r="W123" s="240">
        <f t="shared" si="978"/>
        <v>0</v>
      </c>
      <c r="X123" s="241">
        <f t="shared" si="979"/>
        <v>0</v>
      </c>
      <c r="Y123" s="241">
        <f t="shared" si="980"/>
        <v>0</v>
      </c>
      <c r="Z123" s="243"/>
      <c r="AA123" s="240">
        <v>0</v>
      </c>
      <c r="AB123" s="240">
        <v>0</v>
      </c>
      <c r="AC123" s="241">
        <f t="shared" si="981"/>
        <v>0</v>
      </c>
      <c r="AD123" s="214">
        <f t="shared" si="650"/>
        <v>0</v>
      </c>
      <c r="AE123" s="240"/>
      <c r="AF123" s="240">
        <f t="shared" si="982"/>
        <v>0</v>
      </c>
      <c r="AG123" s="240"/>
      <c r="AH123" s="240"/>
      <c r="AI123" s="240"/>
      <c r="AJ123" s="240"/>
      <c r="AK123" s="240"/>
      <c r="AL123" s="240"/>
      <c r="AM123" s="240"/>
      <c r="AN123" s="244">
        <v>1</v>
      </c>
      <c r="AO123" s="240">
        <f t="shared" si="983"/>
        <v>0</v>
      </c>
      <c r="AP123" s="240">
        <f t="shared" si="984"/>
        <v>0</v>
      </c>
      <c r="AQ123" s="240">
        <f t="shared" si="985"/>
        <v>0</v>
      </c>
      <c r="AR123" s="240">
        <f t="shared" si="986"/>
        <v>0</v>
      </c>
      <c r="AS123" s="240">
        <f t="shared" si="987"/>
        <v>0</v>
      </c>
      <c r="AT123" s="240">
        <f t="shared" si="988"/>
        <v>0</v>
      </c>
      <c r="AU123" s="240">
        <f t="shared" si="989"/>
        <v>0</v>
      </c>
      <c r="AV123" s="240">
        <f t="shared" si="990"/>
        <v>0</v>
      </c>
      <c r="AW123" s="240">
        <f t="shared" si="991"/>
        <v>0</v>
      </c>
      <c r="AX123" s="240">
        <f t="shared" si="992"/>
        <v>0</v>
      </c>
      <c r="AY123" s="240">
        <f t="shared" si="993"/>
        <v>0</v>
      </c>
      <c r="AZ123" s="240">
        <f t="shared" si="994"/>
        <v>0</v>
      </c>
      <c r="BA123" s="240">
        <f t="shared" si="995"/>
        <v>0</v>
      </c>
      <c r="BB123" s="240">
        <f>IF(AN123=1,E123,0)</f>
        <v>63</v>
      </c>
      <c r="BD123" s="196">
        <f t="shared" si="996"/>
        <v>0</v>
      </c>
      <c r="BE123" s="240">
        <f t="shared" si="997"/>
        <v>0</v>
      </c>
      <c r="BF123" s="240">
        <f t="shared" si="998"/>
        <v>0</v>
      </c>
      <c r="BG123" s="240">
        <f t="shared" si="999"/>
        <v>0</v>
      </c>
      <c r="BH123" s="240">
        <f t="shared" si="1000"/>
        <v>0</v>
      </c>
      <c r="BI123" s="240">
        <f t="shared" si="1001"/>
        <v>0</v>
      </c>
      <c r="BJ123" s="240">
        <f t="shared" si="1002"/>
        <v>0</v>
      </c>
      <c r="BK123" s="240">
        <f t="shared" si="1003"/>
        <v>0</v>
      </c>
      <c r="BN123" s="242"/>
      <c r="BO123" s="240"/>
      <c r="BP123" s="240"/>
      <c r="BQ123" s="240"/>
      <c r="BR123" s="240"/>
      <c r="BS123" s="240"/>
      <c r="BT123" s="240"/>
      <c r="BU123" s="240"/>
      <c r="BV123" s="240"/>
      <c r="BW123" s="240"/>
      <c r="BX123" s="240"/>
      <c r="BY123" s="240"/>
      <c r="BZ123" s="240"/>
      <c r="CB123" s="240"/>
      <c r="CD123" s="240">
        <f t="shared" si="1004"/>
        <v>0</v>
      </c>
      <c r="CE123" s="240">
        <f t="shared" si="1005"/>
        <v>0</v>
      </c>
      <c r="CF123" s="240">
        <f t="shared" si="1006"/>
        <v>0</v>
      </c>
      <c r="CG123" s="240">
        <f t="shared" si="1007"/>
        <v>0</v>
      </c>
      <c r="CH123" s="240">
        <f t="shared" si="1008"/>
        <v>0</v>
      </c>
      <c r="CI123" s="240">
        <f t="shared" si="1009"/>
        <v>0</v>
      </c>
      <c r="CJ123" s="240">
        <f t="shared" si="1010"/>
        <v>0</v>
      </c>
      <c r="CK123" s="240">
        <f t="shared" si="1011"/>
        <v>0</v>
      </c>
      <c r="CL123" s="240">
        <f t="shared" si="1012"/>
        <v>0</v>
      </c>
      <c r="CM123" s="240">
        <f t="shared" si="1013"/>
        <v>0</v>
      </c>
      <c r="CN123" s="240">
        <f t="shared" si="1014"/>
        <v>0</v>
      </c>
      <c r="CO123" s="240">
        <f t="shared" si="1015"/>
        <v>0</v>
      </c>
      <c r="CP123" s="240">
        <f t="shared" si="1016"/>
        <v>0</v>
      </c>
      <c r="DV123" s="240">
        <f t="shared" si="1017"/>
        <v>0</v>
      </c>
      <c r="DW123" s="240">
        <f t="shared" si="1018"/>
        <v>0</v>
      </c>
      <c r="DX123" s="240">
        <f t="shared" si="1019"/>
        <v>0</v>
      </c>
      <c r="DY123" s="240">
        <f t="shared" si="1020"/>
        <v>0</v>
      </c>
      <c r="DZ123" s="240">
        <f t="shared" si="1021"/>
        <v>0</v>
      </c>
      <c r="EA123" s="240">
        <f t="shared" si="1022"/>
        <v>0</v>
      </c>
      <c r="EB123" s="240">
        <f t="shared" si="1023"/>
        <v>0</v>
      </c>
      <c r="EG123" s="245">
        <f t="shared" si="1024"/>
        <v>0</v>
      </c>
      <c r="EH123" s="245">
        <f t="shared" si="1025"/>
        <v>0</v>
      </c>
      <c r="EI123" s="240"/>
      <c r="EJ123" s="240"/>
      <c r="EK123" s="240"/>
      <c r="EL123" s="240"/>
      <c r="EM123" s="240"/>
      <c r="EN123" s="240"/>
      <c r="EO123" s="240"/>
      <c r="EP123" s="240"/>
      <c r="EQ123" s="240"/>
      <c r="ER123" s="240"/>
      <c r="ES123" s="240"/>
      <c r="ET123" s="240"/>
      <c r="EU123" s="240"/>
      <c r="EV123" s="240"/>
      <c r="EW123" s="240"/>
      <c r="EX123" s="240"/>
      <c r="EY123" s="240"/>
      <c r="EZ123" s="240"/>
      <c r="FA123" s="240"/>
      <c r="FB123" s="240"/>
      <c r="FC123" s="240"/>
      <c r="FD123" s="240"/>
      <c r="FE123" s="240"/>
      <c r="FF123" s="240"/>
      <c r="FH123" s="240"/>
      <c r="FI123" s="240"/>
      <c r="FJ123" s="240"/>
      <c r="FK123" s="240"/>
      <c r="FL123" s="240"/>
      <c r="FM123" s="240"/>
      <c r="FN123" s="240"/>
      <c r="FO123" s="240"/>
      <c r="FP123" s="240"/>
      <c r="FQ123" s="240"/>
      <c r="FR123" s="240"/>
      <c r="FS123" s="240"/>
      <c r="FT123" s="240"/>
      <c r="FU123" s="240"/>
      <c r="FV123" s="240"/>
      <c r="FX123" s="240">
        <f t="shared" si="1026"/>
        <v>0</v>
      </c>
      <c r="FY123" s="240">
        <f t="shared" si="1027"/>
        <v>0</v>
      </c>
      <c r="FZ123" s="240">
        <f t="shared" si="439"/>
        <v>0</v>
      </c>
      <c r="GA123" s="240">
        <f t="shared" si="440"/>
        <v>0</v>
      </c>
      <c r="GB123" s="240">
        <f t="shared" si="441"/>
        <v>0</v>
      </c>
      <c r="GC123" s="240">
        <f t="shared" si="442"/>
        <v>0</v>
      </c>
      <c r="GD123" s="246">
        <f t="shared" si="443"/>
        <v>0</v>
      </c>
      <c r="GE123" s="240">
        <f t="shared" si="444"/>
        <v>0</v>
      </c>
      <c r="GF123" s="235"/>
      <c r="GG123" s="240">
        <v>0</v>
      </c>
      <c r="GH123" s="240">
        <v>0</v>
      </c>
      <c r="GI123" s="235"/>
      <c r="GJ123" s="247">
        <f t="shared" si="1028"/>
        <v>0</v>
      </c>
      <c r="GK123" s="247">
        <f t="shared" si="1029"/>
        <v>0</v>
      </c>
      <c r="GO123" s="240"/>
      <c r="GP123" s="240">
        <f t="shared" si="446"/>
        <v>0</v>
      </c>
      <c r="GQ123" s="240">
        <f t="shared" si="447"/>
        <v>0</v>
      </c>
      <c r="GR123" s="240">
        <f t="shared" si="448"/>
        <v>1</v>
      </c>
      <c r="GS123" s="240">
        <f t="shared" si="449"/>
        <v>1</v>
      </c>
      <c r="GT123" s="240">
        <f t="shared" si="1030"/>
        <v>0</v>
      </c>
      <c r="GU123" s="232">
        <f t="shared" si="388"/>
        <v>43243</v>
      </c>
      <c r="GV123" s="240" t="str">
        <f t="shared" si="1031"/>
        <v>Musyawarah</v>
      </c>
      <c r="GW123" s="240">
        <f t="shared" si="1032"/>
        <v>1</v>
      </c>
      <c r="GX123" s="240" t="str">
        <f t="shared" si="1033"/>
        <v>Musyawarah</v>
      </c>
      <c r="GY123" s="240">
        <f t="shared" si="1034"/>
        <v>24</v>
      </c>
      <c r="GZ123" s="248">
        <f t="shared" si="1035"/>
        <v>43267</v>
      </c>
      <c r="HA123" s="204"/>
      <c r="HB123" s="204"/>
      <c r="HC123" s="240">
        <f t="shared" si="450"/>
        <v>0</v>
      </c>
      <c r="HD123" s="240">
        <f t="shared" si="451"/>
        <v>0</v>
      </c>
      <c r="HE123" s="240">
        <f t="shared" si="1036"/>
        <v>0</v>
      </c>
      <c r="HF123" s="240">
        <f t="shared" si="1037"/>
        <v>0</v>
      </c>
      <c r="HG123" s="240">
        <f t="shared" si="1038"/>
        <v>0</v>
      </c>
      <c r="HH123" s="248" t="str">
        <f t="shared" si="1039"/>
        <v>TIDAK KONSINYASI</v>
      </c>
      <c r="HI123" s="248">
        <f t="shared" si="1040"/>
        <v>43312</v>
      </c>
      <c r="HK123" s="248">
        <f t="shared" si="1041"/>
        <v>43312</v>
      </c>
      <c r="HL123" s="204"/>
      <c r="HM123" s="204"/>
      <c r="HN123" s="204"/>
      <c r="HO123" s="204"/>
      <c r="HP123" s="203">
        <f t="shared" si="1042"/>
        <v>0</v>
      </c>
      <c r="HQ123" s="202">
        <f t="shared" si="1043"/>
        <v>0</v>
      </c>
      <c r="HR123" s="202">
        <f t="shared" si="639"/>
        <v>0</v>
      </c>
      <c r="HS123" s="203">
        <f t="shared" si="1044"/>
        <v>0</v>
      </c>
      <c r="HT123" s="202">
        <f t="shared" si="1045"/>
        <v>0</v>
      </c>
      <c r="HU123" s="202">
        <f t="shared" si="640"/>
        <v>0</v>
      </c>
      <c r="HV123" s="203">
        <f t="shared" si="1046"/>
        <v>0</v>
      </c>
      <c r="HW123" s="202">
        <f t="shared" si="1047"/>
        <v>0</v>
      </c>
      <c r="HX123" s="202">
        <f t="shared" si="641"/>
        <v>0</v>
      </c>
      <c r="HY123" s="203">
        <f t="shared" si="1048"/>
        <v>0</v>
      </c>
      <c r="HZ123" s="202">
        <f t="shared" si="1049"/>
        <v>0</v>
      </c>
      <c r="IA123" s="202">
        <f t="shared" si="642"/>
        <v>0</v>
      </c>
      <c r="IB123" s="236">
        <f t="shared" si="1050"/>
        <v>0</v>
      </c>
      <c r="IC123" s="240">
        <f t="shared" si="1051"/>
        <v>0</v>
      </c>
      <c r="ID123" s="240">
        <f t="shared" si="643"/>
        <v>0</v>
      </c>
      <c r="IE123" s="248">
        <f t="shared" si="1052"/>
        <v>0</v>
      </c>
      <c r="IF123" s="240">
        <f t="shared" si="1053"/>
        <v>0</v>
      </c>
      <c r="IG123" s="240">
        <f t="shared" si="644"/>
        <v>0</v>
      </c>
      <c r="IH123" s="248">
        <f t="shared" si="1054"/>
        <v>0</v>
      </c>
      <c r="II123" s="240">
        <f t="shared" si="1055"/>
        <v>0</v>
      </c>
      <c r="IJ123" s="240">
        <f t="shared" si="645"/>
        <v>0</v>
      </c>
      <c r="IK123" s="248">
        <f t="shared" si="1056"/>
        <v>0</v>
      </c>
      <c r="IL123" s="240">
        <f t="shared" si="1057"/>
        <v>0</v>
      </c>
      <c r="IM123" s="240">
        <f t="shared" si="646"/>
        <v>0</v>
      </c>
      <c r="IN123" s="204"/>
      <c r="IO123" s="248">
        <f t="shared" si="1058"/>
        <v>0</v>
      </c>
      <c r="IP123" s="240">
        <f t="shared" si="460"/>
        <v>0</v>
      </c>
      <c r="IQ123" s="240">
        <f t="shared" si="647"/>
        <v>0</v>
      </c>
      <c r="IR123" s="204"/>
      <c r="IS123" s="248"/>
      <c r="IT123" s="240">
        <f t="shared" si="462"/>
        <v>0</v>
      </c>
      <c r="IU123" s="240">
        <f t="shared" si="463"/>
        <v>0</v>
      </c>
      <c r="IV123" s="204"/>
      <c r="IW123" s="248"/>
      <c r="IX123" s="240">
        <f t="shared" si="464"/>
        <v>0</v>
      </c>
      <c r="IY123" s="240">
        <f t="shared" si="465"/>
        <v>0</v>
      </c>
      <c r="IZ123" s="204"/>
      <c r="JA123" s="248"/>
      <c r="JB123" s="240">
        <f t="shared" si="466"/>
        <v>1</v>
      </c>
      <c r="JC123" s="240">
        <f t="shared" si="467"/>
        <v>63</v>
      </c>
      <c r="JD123" s="204"/>
      <c r="JE123" s="248"/>
      <c r="JF123" s="240">
        <f t="shared" si="1059"/>
        <v>1</v>
      </c>
      <c r="JG123" s="240">
        <f t="shared" si="1060"/>
        <v>63</v>
      </c>
      <c r="JH123" s="204"/>
      <c r="JI123" s="248"/>
      <c r="JJ123" s="240">
        <f t="shared" si="468"/>
        <v>0</v>
      </c>
      <c r="JK123" s="240">
        <f t="shared" si="469"/>
        <v>0</v>
      </c>
      <c r="JM123" s="203">
        <f t="shared" si="1061"/>
        <v>0</v>
      </c>
      <c r="JO123" s="196">
        <f t="shared" si="1062"/>
        <v>0</v>
      </c>
      <c r="JP123" s="189">
        <f t="shared" si="470"/>
        <v>0</v>
      </c>
      <c r="JQ123" s="189">
        <f t="shared" si="471"/>
        <v>0</v>
      </c>
      <c r="JR123" s="189">
        <f t="shared" si="472"/>
        <v>0</v>
      </c>
      <c r="JS123" s="189">
        <f t="shared" si="473"/>
        <v>0</v>
      </c>
      <c r="JT123" s="189">
        <f t="shared" si="474"/>
        <v>0</v>
      </c>
      <c r="JU123" s="189">
        <f t="shared" si="475"/>
        <v>0</v>
      </c>
      <c r="JV123" s="189">
        <f t="shared" si="476"/>
        <v>0</v>
      </c>
      <c r="JW123" s="189">
        <f t="shared" si="477"/>
        <v>0</v>
      </c>
      <c r="JX123" s="189">
        <f t="shared" si="478"/>
        <v>0</v>
      </c>
      <c r="JY123" s="189">
        <f t="shared" si="479"/>
        <v>0</v>
      </c>
      <c r="JZ123" s="189">
        <f t="shared" si="480"/>
        <v>0</v>
      </c>
      <c r="KA123" s="189">
        <f t="shared" si="481"/>
        <v>0</v>
      </c>
      <c r="KB123" s="189">
        <f t="shared" si="482"/>
        <v>0</v>
      </c>
      <c r="KD123" s="206">
        <f t="shared" si="410"/>
        <v>0</v>
      </c>
      <c r="KE123" s="206">
        <f t="shared" si="373"/>
        <v>0</v>
      </c>
      <c r="KF123" s="206">
        <f t="shared" si="483"/>
        <v>0</v>
      </c>
      <c r="KG123" s="206">
        <f t="shared" si="484"/>
        <v>0</v>
      </c>
      <c r="KH123" s="206">
        <f t="shared" si="485"/>
        <v>0</v>
      </c>
      <c r="KI123" s="206">
        <f t="shared" si="486"/>
        <v>0</v>
      </c>
      <c r="KJ123" s="206">
        <f t="shared" si="487"/>
        <v>0</v>
      </c>
      <c r="KK123" s="206">
        <f t="shared" si="488"/>
        <v>0</v>
      </c>
      <c r="KL123" s="206">
        <f t="shared" si="489"/>
        <v>0</v>
      </c>
      <c r="KM123" s="206">
        <f t="shared" si="490"/>
        <v>0</v>
      </c>
      <c r="KN123" s="221">
        <f t="shared" si="491"/>
        <v>0</v>
      </c>
      <c r="KO123" s="221">
        <f t="shared" si="492"/>
        <v>0</v>
      </c>
      <c r="KP123" s="221">
        <f t="shared" si="493"/>
        <v>0</v>
      </c>
      <c r="KQ123" s="221">
        <f t="shared" si="494"/>
        <v>0</v>
      </c>
      <c r="KR123" s="221">
        <f t="shared" si="495"/>
        <v>0</v>
      </c>
      <c r="KS123" s="195">
        <v>6</v>
      </c>
      <c r="KT123" s="195">
        <f t="shared" si="496"/>
        <v>1</v>
      </c>
      <c r="KU123" s="221"/>
      <c r="KV123" s="221"/>
      <c r="KW123" s="221"/>
      <c r="KX123" s="221"/>
      <c r="KY123" s="221"/>
      <c r="KZ123" s="221"/>
      <c r="LA123" s="221"/>
      <c r="LB123" s="221"/>
      <c r="LC123" s="221"/>
      <c r="LD123" s="221"/>
      <c r="LE123" s="221"/>
      <c r="LF123" s="221"/>
      <c r="LG123" s="221"/>
      <c r="LH123" s="221"/>
      <c r="LI123" s="221"/>
      <c r="LJ123" s="221"/>
      <c r="LK123" s="221"/>
      <c r="LL123" s="221"/>
      <c r="LM123" s="221"/>
      <c r="LN123" s="221"/>
      <c r="LO123" s="221"/>
      <c r="LP123" s="221"/>
      <c r="LQ123" s="221"/>
      <c r="LR123" s="221"/>
      <c r="LS123" s="221"/>
      <c r="LT123" s="221"/>
      <c r="LU123" s="221"/>
      <c r="LV123" s="221"/>
      <c r="LW123" s="221"/>
      <c r="LX123" s="221"/>
      <c r="LY123" s="221"/>
      <c r="LZ123" s="221"/>
      <c r="MA123" s="221"/>
      <c r="MB123" s="221"/>
      <c r="MC123" s="221"/>
      <c r="MD123" s="221"/>
      <c r="ME123" s="221"/>
      <c r="MF123" s="221"/>
      <c r="MG123" s="221"/>
      <c r="MH123" s="221"/>
      <c r="MI123" s="221"/>
      <c r="MJ123" s="221"/>
      <c r="MK123" s="221"/>
      <c r="ML123" s="221"/>
      <c r="MM123" s="221"/>
      <c r="MN123" s="221"/>
      <c r="MO123" s="221"/>
      <c r="MP123" s="221"/>
      <c r="MQ123" s="221"/>
      <c r="MR123" s="221"/>
      <c r="MS123" s="221"/>
      <c r="MT123" s="221"/>
      <c r="MU123" s="221"/>
      <c r="MV123" s="221"/>
      <c r="MW123" s="221"/>
      <c r="MX123" s="221"/>
      <c r="MY123" s="221"/>
      <c r="MZ123" s="221"/>
      <c r="NA123" s="221"/>
      <c r="NB123" s="221"/>
      <c r="NC123" s="221"/>
      <c r="ND123" s="221"/>
      <c r="NE123" s="221"/>
      <c r="NF123" s="221"/>
      <c r="NG123" s="221"/>
      <c r="NH123" s="221"/>
      <c r="NI123" s="221"/>
      <c r="NJ123" s="221"/>
      <c r="NK123" s="221"/>
      <c r="NM123" s="195">
        <f t="shared" si="1063"/>
        <v>0</v>
      </c>
      <c r="NN123" s="195">
        <f t="shared" si="1064"/>
        <v>0</v>
      </c>
      <c r="NO123" s="195">
        <f t="shared" si="1065"/>
        <v>0</v>
      </c>
      <c r="NP123" s="195">
        <f t="shared" si="1066"/>
        <v>0</v>
      </c>
      <c r="NQ123" s="195">
        <f t="shared" si="1067"/>
        <v>0</v>
      </c>
      <c r="NR123" s="195">
        <f t="shared" si="1068"/>
        <v>1</v>
      </c>
      <c r="NS123" s="195">
        <f t="shared" si="1069"/>
        <v>0</v>
      </c>
      <c r="NT123" s="195">
        <f t="shared" si="1070"/>
        <v>1</v>
      </c>
      <c r="NU123" s="196">
        <f t="shared" si="1071"/>
        <v>0</v>
      </c>
      <c r="NY123" s="215"/>
      <c r="OE123" s="207"/>
      <c r="OF123" s="207"/>
      <c r="OG123" s="207"/>
      <c r="OH123" s="207"/>
      <c r="OI123" s="207"/>
      <c r="OJ123" s="199"/>
      <c r="OK123" s="199"/>
      <c r="OL123" s="199"/>
      <c r="OM123" s="199"/>
      <c r="OO123" s="207"/>
      <c r="OP123" s="207"/>
      <c r="OQ123" s="207"/>
      <c r="OR123" s="207"/>
      <c r="OS123" s="207"/>
      <c r="OT123" s="199"/>
      <c r="OU123" s="199"/>
      <c r="OV123" s="199"/>
      <c r="OW123" s="199"/>
      <c r="OZ123" s="208">
        <f t="shared" si="380"/>
        <v>1</v>
      </c>
      <c r="PA123" s="209">
        <v>1</v>
      </c>
      <c r="PB123" s="209"/>
      <c r="PC123" s="209"/>
      <c r="PD123" s="210">
        <f t="shared" si="433"/>
        <v>0</v>
      </c>
      <c r="PE123" s="210"/>
      <c r="PF123" s="210">
        <f t="shared" si="434"/>
        <v>0</v>
      </c>
      <c r="PG123" s="210">
        <f t="shared" si="435"/>
        <v>63</v>
      </c>
      <c r="PH123" s="210">
        <f t="shared" si="381"/>
        <v>0</v>
      </c>
      <c r="PI123" s="210">
        <f t="shared" si="382"/>
        <v>0</v>
      </c>
      <c r="PJ123" s="210">
        <f t="shared" si="383"/>
        <v>0</v>
      </c>
      <c r="PK123" s="210">
        <f t="shared" si="384"/>
        <v>0</v>
      </c>
      <c r="PL123" s="210">
        <f t="shared" si="385"/>
        <v>0</v>
      </c>
      <c r="PM123" s="211"/>
      <c r="PN123" s="211"/>
      <c r="PO123" s="212">
        <f t="shared" si="436"/>
        <v>0</v>
      </c>
      <c r="PP123" s="212">
        <f t="shared" si="437"/>
        <v>0</v>
      </c>
      <c r="PQ123" s="212">
        <f t="shared" si="438"/>
        <v>0</v>
      </c>
      <c r="PR123" s="211"/>
      <c r="PS123" s="211"/>
      <c r="PT123" s="211"/>
      <c r="PU123" s="211"/>
    </row>
    <row r="124" spans="1:437 16383:16384" s="195" customFormat="1" ht="16" x14ac:dyDescent="0.2">
      <c r="A124" s="213">
        <f t="shared" si="810"/>
        <v>114</v>
      </c>
      <c r="B124" s="186" t="s">
        <v>705</v>
      </c>
      <c r="C124" s="186">
        <v>1</v>
      </c>
      <c r="D124" s="188">
        <v>1</v>
      </c>
      <c r="E124" s="188">
        <v>32</v>
      </c>
      <c r="F124" s="188">
        <v>1</v>
      </c>
      <c r="G124" s="188">
        <f t="shared" si="812"/>
        <v>32</v>
      </c>
      <c r="H124" s="214">
        <f t="shared" si="969"/>
        <v>1</v>
      </c>
      <c r="I124" s="214">
        <v>0</v>
      </c>
      <c r="J124" s="188">
        <v>1</v>
      </c>
      <c r="K124" s="188">
        <f>IF(J124=D124,E124,0)</f>
        <v>32</v>
      </c>
      <c r="L124" s="214">
        <f>J124/$D124</f>
        <v>1</v>
      </c>
      <c r="M124" s="214">
        <f>K124/$E124</f>
        <v>1</v>
      </c>
      <c r="N124" s="188">
        <v>1</v>
      </c>
      <c r="O124" s="188">
        <f>IF(N124=D124,E124,0)</f>
        <v>32</v>
      </c>
      <c r="P124" s="214">
        <f>N124/$D124</f>
        <v>1</v>
      </c>
      <c r="Q124" s="214">
        <f>O124/$E124</f>
        <v>1</v>
      </c>
      <c r="R124" s="188">
        <v>1</v>
      </c>
      <c r="S124" s="188">
        <f>IF(R124=D124,E124,0)</f>
        <v>32</v>
      </c>
      <c r="T124" s="214">
        <f>R124/$D124</f>
        <v>1</v>
      </c>
      <c r="U124" s="214">
        <f>S124/$E124</f>
        <v>1</v>
      </c>
      <c r="V124" s="215">
        <v>1</v>
      </c>
      <c r="W124" s="188">
        <f>IF(V124=D124,E124,0)</f>
        <v>32</v>
      </c>
      <c r="X124" s="214">
        <f>V124/$D124</f>
        <v>1</v>
      </c>
      <c r="Y124" s="214">
        <f>W124/$E124</f>
        <v>1</v>
      </c>
      <c r="Z124" s="216">
        <f>570185000/1000000000</f>
        <v>0.57018500000000005</v>
      </c>
      <c r="AA124" s="188">
        <v>0</v>
      </c>
      <c r="AB124" s="188">
        <v>0</v>
      </c>
      <c r="AC124" s="214">
        <f t="shared" si="981"/>
        <v>0</v>
      </c>
      <c r="AD124" s="214">
        <f t="shared" ref="AD124:AD125" si="1407">AB124/$E124</f>
        <v>0</v>
      </c>
      <c r="AE124" s="188"/>
      <c r="AF124" s="188">
        <f t="shared" si="982"/>
        <v>0</v>
      </c>
      <c r="AG124" s="188"/>
      <c r="AH124" s="188"/>
      <c r="AI124" s="188"/>
      <c r="AJ124" s="188"/>
      <c r="AK124" s="188"/>
      <c r="AL124" s="188"/>
      <c r="AM124" s="188"/>
      <c r="AN124" s="217"/>
      <c r="AO124" s="188">
        <f t="shared" si="983"/>
        <v>0</v>
      </c>
      <c r="AP124" s="188">
        <f t="shared" si="984"/>
        <v>0</v>
      </c>
      <c r="AQ124" s="188">
        <f t="shared" si="985"/>
        <v>0</v>
      </c>
      <c r="AR124" s="188">
        <f t="shared" si="986"/>
        <v>0</v>
      </c>
      <c r="AS124" s="188">
        <f t="shared" si="987"/>
        <v>0</v>
      </c>
      <c r="AT124" s="188">
        <f t="shared" si="988"/>
        <v>0</v>
      </c>
      <c r="AU124" s="188">
        <f t="shared" si="989"/>
        <v>0</v>
      </c>
      <c r="AV124" s="188">
        <f t="shared" si="990"/>
        <v>0</v>
      </c>
      <c r="AW124" s="188">
        <f t="shared" si="991"/>
        <v>0</v>
      </c>
      <c r="AX124" s="188">
        <f t="shared" si="992"/>
        <v>0</v>
      </c>
      <c r="AY124" s="188">
        <f t="shared" si="993"/>
        <v>0</v>
      </c>
      <c r="AZ124" s="188">
        <f t="shared" si="994"/>
        <v>0</v>
      </c>
      <c r="BA124" s="188">
        <f t="shared" si="995"/>
        <v>0</v>
      </c>
      <c r="BB124" s="188">
        <f t="shared" ref="BB124:BB125" si="1408">IF(AN124=1,E124,0)</f>
        <v>0</v>
      </c>
      <c r="BD124" s="196">
        <f t="shared" si="996"/>
        <v>0</v>
      </c>
      <c r="BE124" s="188">
        <f t="shared" si="997"/>
        <v>0</v>
      </c>
      <c r="BF124" s="188">
        <f t="shared" si="998"/>
        <v>0</v>
      </c>
      <c r="BG124" s="188">
        <f t="shared" si="999"/>
        <v>0</v>
      </c>
      <c r="BH124" s="188">
        <f t="shared" si="1000"/>
        <v>0</v>
      </c>
      <c r="BI124" s="188">
        <f t="shared" si="1001"/>
        <v>0</v>
      </c>
      <c r="BJ124" s="188">
        <f t="shared" si="1002"/>
        <v>0</v>
      </c>
      <c r="BK124" s="188">
        <f t="shared" si="1003"/>
        <v>0</v>
      </c>
      <c r="BN124" s="267">
        <v>32</v>
      </c>
      <c r="BO124" s="188"/>
      <c r="BP124" s="188"/>
      <c r="BQ124" s="188"/>
      <c r="BR124" s="188"/>
      <c r="BS124" s="188"/>
      <c r="BT124" s="188"/>
      <c r="BU124" s="188"/>
      <c r="BV124" s="188"/>
      <c r="BW124" s="188"/>
      <c r="BX124" s="188"/>
      <c r="BY124" s="188"/>
      <c r="BZ124" s="188">
        <v>1</v>
      </c>
      <c r="CB124" s="188"/>
      <c r="CD124" s="188">
        <f t="shared" si="1004"/>
        <v>32</v>
      </c>
      <c r="CE124" s="188">
        <f t="shared" si="1005"/>
        <v>0</v>
      </c>
      <c r="CF124" s="188">
        <f t="shared" si="1006"/>
        <v>0</v>
      </c>
      <c r="CG124" s="188">
        <f t="shared" si="1007"/>
        <v>0</v>
      </c>
      <c r="CH124" s="188">
        <f t="shared" si="1008"/>
        <v>0</v>
      </c>
      <c r="CI124" s="188">
        <f t="shared" si="1009"/>
        <v>0</v>
      </c>
      <c r="CJ124" s="188">
        <f t="shared" si="1010"/>
        <v>0</v>
      </c>
      <c r="CK124" s="188">
        <f t="shared" si="1011"/>
        <v>0</v>
      </c>
      <c r="CL124" s="188">
        <f t="shared" si="1012"/>
        <v>0</v>
      </c>
      <c r="CM124" s="188">
        <f t="shared" si="1013"/>
        <v>0</v>
      </c>
      <c r="CN124" s="188">
        <f t="shared" si="1014"/>
        <v>0</v>
      </c>
      <c r="CO124" s="188">
        <f t="shared" si="1015"/>
        <v>0</v>
      </c>
      <c r="CP124" s="188">
        <f t="shared" si="1016"/>
        <v>32</v>
      </c>
      <c r="DV124" s="188">
        <f t="shared" si="1017"/>
        <v>0</v>
      </c>
      <c r="DW124" s="188">
        <f t="shared" si="1018"/>
        <v>0</v>
      </c>
      <c r="DX124" s="188">
        <f t="shared" si="1019"/>
        <v>0</v>
      </c>
      <c r="DY124" s="188">
        <f t="shared" si="1020"/>
        <v>0</v>
      </c>
      <c r="DZ124" s="188">
        <f t="shared" si="1021"/>
        <v>0</v>
      </c>
      <c r="EA124" s="188">
        <f t="shared" si="1022"/>
        <v>0</v>
      </c>
      <c r="EB124" s="188">
        <f t="shared" si="1023"/>
        <v>0</v>
      </c>
      <c r="EG124" s="220">
        <f t="shared" si="1024"/>
        <v>0</v>
      </c>
      <c r="EH124" s="220">
        <f t="shared" si="1025"/>
        <v>0</v>
      </c>
      <c r="EI124" s="188"/>
      <c r="EJ124" s="188"/>
      <c r="EK124" s="188"/>
      <c r="EL124" s="188"/>
      <c r="EM124" s="188"/>
      <c r="EN124" s="188"/>
      <c r="EO124" s="188"/>
      <c r="EP124" s="188"/>
      <c r="EQ124" s="188"/>
      <c r="ER124" s="188"/>
      <c r="ES124" s="188"/>
      <c r="ET124" s="188"/>
      <c r="EU124" s="188"/>
      <c r="EV124" s="188"/>
      <c r="EW124" s="188"/>
      <c r="EX124" s="188"/>
      <c r="EY124" s="188"/>
      <c r="EZ124" s="188"/>
      <c r="FA124" s="188"/>
      <c r="FB124" s="188"/>
      <c r="FC124" s="188"/>
      <c r="FD124" s="188"/>
      <c r="FE124" s="188"/>
      <c r="FF124" s="188"/>
      <c r="FH124" s="188"/>
      <c r="FI124" s="188"/>
      <c r="FJ124" s="188"/>
      <c r="FK124" s="188"/>
      <c r="FL124" s="188"/>
      <c r="FM124" s="188"/>
      <c r="FN124" s="188"/>
      <c r="FO124" s="188"/>
      <c r="FP124" s="188"/>
      <c r="FQ124" s="188"/>
      <c r="FR124" s="188"/>
      <c r="FS124" s="188"/>
      <c r="FT124" s="188"/>
      <c r="FU124" s="188"/>
      <c r="FV124" s="188"/>
      <c r="FX124" s="188">
        <v>1</v>
      </c>
      <c r="FY124" s="188">
        <f t="shared" si="1027"/>
        <v>32</v>
      </c>
      <c r="FZ124" s="188">
        <f t="shared" si="439"/>
        <v>0</v>
      </c>
      <c r="GA124" s="188">
        <f t="shared" si="440"/>
        <v>0</v>
      </c>
      <c r="GB124" s="188">
        <f t="shared" si="441"/>
        <v>0</v>
      </c>
      <c r="GC124" s="188">
        <f t="shared" si="442"/>
        <v>0</v>
      </c>
      <c r="GD124" s="234">
        <f t="shared" si="443"/>
        <v>0</v>
      </c>
      <c r="GE124" s="188">
        <f t="shared" si="444"/>
        <v>32</v>
      </c>
      <c r="GF124" s="235"/>
      <c r="GG124" s="188">
        <v>0</v>
      </c>
      <c r="GH124" s="188">
        <v>0</v>
      </c>
      <c r="GI124" s="235"/>
      <c r="GJ124" s="224">
        <f t="shared" si="1028"/>
        <v>0</v>
      </c>
      <c r="GK124" s="224">
        <f t="shared" si="1029"/>
        <v>0</v>
      </c>
      <c r="GO124" s="188"/>
      <c r="GP124" s="188">
        <f t="shared" si="446"/>
        <v>0</v>
      </c>
      <c r="GQ124" s="188">
        <f t="shared" si="447"/>
        <v>0</v>
      </c>
      <c r="GR124" s="188">
        <f t="shared" si="448"/>
        <v>0</v>
      </c>
      <c r="GS124" s="188">
        <f t="shared" si="449"/>
        <v>0</v>
      </c>
      <c r="GT124" s="188">
        <f t="shared" si="1030"/>
        <v>1</v>
      </c>
      <c r="GU124" s="232">
        <f t="shared" si="388"/>
        <v>43243</v>
      </c>
      <c r="GV124" s="188" t="str">
        <f t="shared" si="1031"/>
        <v>SELESAI</v>
      </c>
      <c r="GW124" s="188">
        <f t="shared" si="1032"/>
        <v>0</v>
      </c>
      <c r="GX124" s="188" t="str">
        <f t="shared" si="1033"/>
        <v>SELESAI</v>
      </c>
      <c r="GY124" s="188">
        <f t="shared" si="1034"/>
        <v>0</v>
      </c>
      <c r="GZ124" s="228" t="str">
        <f t="shared" si="1035"/>
        <v>SELESAI</v>
      </c>
      <c r="HA124" s="204"/>
      <c r="HB124" s="204"/>
      <c r="HC124" s="188">
        <f t="shared" si="450"/>
        <v>0</v>
      </c>
      <c r="HD124" s="188">
        <f t="shared" si="451"/>
        <v>0</v>
      </c>
      <c r="HE124" s="188">
        <f t="shared" si="1036"/>
        <v>0</v>
      </c>
      <c r="HF124" s="188">
        <f t="shared" si="1037"/>
        <v>0</v>
      </c>
      <c r="HG124" s="188">
        <f t="shared" si="1038"/>
        <v>0</v>
      </c>
      <c r="HH124" s="228" t="str">
        <f t="shared" si="1039"/>
        <v>TIDAK KONSINYASI</v>
      </c>
      <c r="HI124" s="228" t="str">
        <f t="shared" si="1040"/>
        <v>SELESAI</v>
      </c>
      <c r="HK124" s="228">
        <f t="shared" si="1041"/>
        <v>0</v>
      </c>
      <c r="HL124" s="204"/>
      <c r="HM124" s="204"/>
      <c r="HN124" s="204"/>
      <c r="HO124" s="204"/>
      <c r="HP124" s="203">
        <f t="shared" si="1042"/>
        <v>0</v>
      </c>
      <c r="HQ124" s="202">
        <f t="shared" si="1043"/>
        <v>0</v>
      </c>
      <c r="HR124" s="202">
        <f t="shared" si="639"/>
        <v>0</v>
      </c>
      <c r="HS124" s="203">
        <f t="shared" si="1044"/>
        <v>0</v>
      </c>
      <c r="HT124" s="202">
        <f t="shared" si="1045"/>
        <v>0</v>
      </c>
      <c r="HU124" s="202">
        <f t="shared" si="640"/>
        <v>0</v>
      </c>
      <c r="HV124" s="203">
        <f t="shared" si="1046"/>
        <v>0</v>
      </c>
      <c r="HW124" s="202">
        <f t="shared" si="1047"/>
        <v>0</v>
      </c>
      <c r="HX124" s="202">
        <f t="shared" si="641"/>
        <v>0</v>
      </c>
      <c r="HY124" s="203">
        <f t="shared" si="1048"/>
        <v>0</v>
      </c>
      <c r="HZ124" s="202">
        <f t="shared" si="1049"/>
        <v>0</v>
      </c>
      <c r="IA124" s="202">
        <f t="shared" si="642"/>
        <v>0</v>
      </c>
      <c r="IB124" s="236">
        <f t="shared" si="1050"/>
        <v>0</v>
      </c>
      <c r="IC124" s="188">
        <f t="shared" si="1051"/>
        <v>0</v>
      </c>
      <c r="ID124" s="188">
        <f t="shared" si="643"/>
        <v>0</v>
      </c>
      <c r="IE124" s="228">
        <f t="shared" si="1052"/>
        <v>0</v>
      </c>
      <c r="IF124" s="188">
        <f t="shared" si="1053"/>
        <v>0</v>
      </c>
      <c r="IG124" s="188">
        <f t="shared" si="644"/>
        <v>0</v>
      </c>
      <c r="IH124" s="228">
        <f t="shared" si="1054"/>
        <v>0</v>
      </c>
      <c r="II124" s="188">
        <f t="shared" si="1055"/>
        <v>0</v>
      </c>
      <c r="IJ124" s="188">
        <f t="shared" si="645"/>
        <v>0</v>
      </c>
      <c r="IK124" s="228">
        <f t="shared" si="1056"/>
        <v>0</v>
      </c>
      <c r="IL124" s="188">
        <f t="shared" si="1057"/>
        <v>0</v>
      </c>
      <c r="IM124" s="188">
        <f t="shared" si="646"/>
        <v>0</v>
      </c>
      <c r="IN124" s="204"/>
      <c r="IO124" s="228">
        <f t="shared" si="1058"/>
        <v>0</v>
      </c>
      <c r="IP124" s="188">
        <f t="shared" si="460"/>
        <v>0</v>
      </c>
      <c r="IQ124" s="188">
        <f t="shared" si="647"/>
        <v>0</v>
      </c>
      <c r="IR124" s="204"/>
      <c r="IS124" s="228"/>
      <c r="IT124" s="188">
        <f t="shared" si="462"/>
        <v>1</v>
      </c>
      <c r="IU124" s="188">
        <f t="shared" si="463"/>
        <v>32</v>
      </c>
      <c r="IV124" s="204"/>
      <c r="IW124" s="228"/>
      <c r="IX124" s="188">
        <f t="shared" si="464"/>
        <v>0</v>
      </c>
      <c r="IY124" s="188">
        <f t="shared" si="465"/>
        <v>0</v>
      </c>
      <c r="IZ124" s="204"/>
      <c r="JA124" s="228"/>
      <c r="JB124" s="188">
        <f t="shared" si="466"/>
        <v>0</v>
      </c>
      <c r="JC124" s="188">
        <f t="shared" si="467"/>
        <v>0</v>
      </c>
      <c r="JD124" s="204"/>
      <c r="JE124" s="228"/>
      <c r="JF124" s="188">
        <f t="shared" si="1059"/>
        <v>1</v>
      </c>
      <c r="JG124" s="188">
        <f t="shared" si="1060"/>
        <v>32</v>
      </c>
      <c r="JH124" s="204"/>
      <c r="JI124" s="228"/>
      <c r="JJ124" s="188">
        <f t="shared" si="468"/>
        <v>0</v>
      </c>
      <c r="JK124" s="188">
        <f t="shared" si="469"/>
        <v>0</v>
      </c>
      <c r="JM124" s="203">
        <f t="shared" si="1061"/>
        <v>0</v>
      </c>
      <c r="JO124" s="196">
        <f t="shared" si="1062"/>
        <v>1</v>
      </c>
      <c r="JP124" s="189">
        <f t="shared" si="470"/>
        <v>32</v>
      </c>
      <c r="JQ124" s="189">
        <f t="shared" si="471"/>
        <v>0</v>
      </c>
      <c r="JR124" s="189">
        <f t="shared" si="472"/>
        <v>0</v>
      </c>
      <c r="JS124" s="189">
        <f t="shared" si="473"/>
        <v>0</v>
      </c>
      <c r="JT124" s="189">
        <f t="shared" si="474"/>
        <v>0</v>
      </c>
      <c r="JU124" s="189">
        <f t="shared" si="475"/>
        <v>0</v>
      </c>
      <c r="JV124" s="189">
        <f t="shared" si="476"/>
        <v>0</v>
      </c>
      <c r="JW124" s="189">
        <f t="shared" si="477"/>
        <v>0</v>
      </c>
      <c r="JX124" s="189">
        <f t="shared" si="478"/>
        <v>0</v>
      </c>
      <c r="JY124" s="189">
        <f t="shared" si="479"/>
        <v>0</v>
      </c>
      <c r="JZ124" s="189">
        <f t="shared" si="480"/>
        <v>0</v>
      </c>
      <c r="KA124" s="189">
        <f t="shared" si="481"/>
        <v>0</v>
      </c>
      <c r="KB124" s="189">
        <f t="shared" si="482"/>
        <v>1</v>
      </c>
      <c r="KD124" s="206">
        <f t="shared" si="410"/>
        <v>0</v>
      </c>
      <c r="KE124" s="206">
        <f t="shared" si="373"/>
        <v>0</v>
      </c>
      <c r="KF124" s="206">
        <f t="shared" si="483"/>
        <v>32</v>
      </c>
      <c r="KG124" s="206">
        <f t="shared" si="484"/>
        <v>0</v>
      </c>
      <c r="KH124" s="206">
        <f t="shared" si="485"/>
        <v>0</v>
      </c>
      <c r="KI124" s="206">
        <f t="shared" si="486"/>
        <v>0</v>
      </c>
      <c r="KJ124" s="206">
        <f t="shared" si="487"/>
        <v>0</v>
      </c>
      <c r="KK124" s="206">
        <f t="shared" si="488"/>
        <v>0</v>
      </c>
      <c r="KL124" s="206">
        <f t="shared" si="489"/>
        <v>0</v>
      </c>
      <c r="KM124" s="206">
        <f t="shared" si="490"/>
        <v>0</v>
      </c>
      <c r="KN124" s="221">
        <f t="shared" si="491"/>
        <v>0</v>
      </c>
      <c r="KO124" s="221">
        <f t="shared" si="492"/>
        <v>0</v>
      </c>
      <c r="KP124" s="221">
        <f t="shared" si="493"/>
        <v>0</v>
      </c>
      <c r="KQ124" s="221">
        <f t="shared" si="494"/>
        <v>0</v>
      </c>
      <c r="KR124" s="221">
        <f t="shared" si="495"/>
        <v>32</v>
      </c>
      <c r="KT124" s="195">
        <f t="shared" si="496"/>
        <v>0</v>
      </c>
      <c r="KU124" s="221"/>
      <c r="KV124" s="221"/>
      <c r="KW124" s="221"/>
      <c r="KX124" s="221"/>
      <c r="KY124" s="221"/>
      <c r="KZ124" s="221"/>
      <c r="LA124" s="221"/>
      <c r="LB124" s="221"/>
      <c r="LC124" s="221"/>
      <c r="LD124" s="221"/>
      <c r="LE124" s="221"/>
      <c r="LF124" s="221"/>
      <c r="LG124" s="221"/>
      <c r="LH124" s="221"/>
      <c r="LI124" s="221"/>
      <c r="LJ124" s="221"/>
      <c r="LK124" s="221"/>
      <c r="LL124" s="221"/>
      <c r="LM124" s="221"/>
      <c r="LN124" s="221"/>
      <c r="LO124" s="221"/>
      <c r="LP124" s="221"/>
      <c r="LQ124" s="221"/>
      <c r="LR124" s="221"/>
      <c r="LS124" s="221"/>
      <c r="LT124" s="221"/>
      <c r="LU124" s="221"/>
      <c r="LV124" s="221"/>
      <c r="LW124" s="221"/>
      <c r="LX124" s="221"/>
      <c r="LY124" s="221"/>
      <c r="LZ124" s="221"/>
      <c r="MA124" s="221"/>
      <c r="MB124" s="221"/>
      <c r="MC124" s="221"/>
      <c r="MD124" s="221"/>
      <c r="ME124" s="221"/>
      <c r="MF124" s="221"/>
      <c r="MG124" s="221"/>
      <c r="MH124" s="221"/>
      <c r="MI124" s="221"/>
      <c r="MJ124" s="221"/>
      <c r="MK124" s="221"/>
      <c r="ML124" s="221"/>
      <c r="MM124" s="221"/>
      <c r="MN124" s="221"/>
      <c r="MO124" s="221"/>
      <c r="MP124" s="221"/>
      <c r="MQ124" s="221"/>
      <c r="MR124" s="221"/>
      <c r="MS124" s="221"/>
      <c r="MT124" s="221"/>
      <c r="MU124" s="221"/>
      <c r="MV124" s="221"/>
      <c r="MW124" s="221"/>
      <c r="MX124" s="221"/>
      <c r="MY124" s="221"/>
      <c r="MZ124" s="221"/>
      <c r="NA124" s="221"/>
      <c r="NB124" s="221"/>
      <c r="NC124" s="221"/>
      <c r="ND124" s="221"/>
      <c r="NE124" s="221"/>
      <c r="NF124" s="221"/>
      <c r="NG124" s="221"/>
      <c r="NH124" s="221"/>
      <c r="NI124" s="221"/>
      <c r="NJ124" s="221"/>
      <c r="NK124" s="221"/>
      <c r="NM124" s="195">
        <f t="shared" si="1063"/>
        <v>0</v>
      </c>
      <c r="NN124" s="195">
        <f t="shared" si="1064"/>
        <v>0</v>
      </c>
      <c r="NO124" s="195">
        <f t="shared" si="1065"/>
        <v>0</v>
      </c>
      <c r="NP124" s="195">
        <f t="shared" si="1066"/>
        <v>0</v>
      </c>
      <c r="NQ124" s="195">
        <f t="shared" si="1067"/>
        <v>0</v>
      </c>
      <c r="NR124" s="195">
        <f t="shared" si="1068"/>
        <v>0</v>
      </c>
      <c r="NS124" s="195">
        <f t="shared" si="1069"/>
        <v>0</v>
      </c>
      <c r="NT124" s="195">
        <f t="shared" si="1070"/>
        <v>0</v>
      </c>
      <c r="NU124" s="196">
        <f t="shared" si="1071"/>
        <v>0</v>
      </c>
      <c r="NY124" s="215">
        <f t="shared" ref="NY124:NY125" si="1409">V124</f>
        <v>1</v>
      </c>
      <c r="NZ124" s="222">
        <f>352000000/32</f>
        <v>11000000</v>
      </c>
      <c r="OE124" s="207">
        <f t="shared" ref="OE124:OE125" si="1410">D124-J124</f>
        <v>0</v>
      </c>
      <c r="OF124" s="207">
        <f t="shared" ref="OF124:OF125" si="1411">D124-N124</f>
        <v>0</v>
      </c>
      <c r="OG124" s="207">
        <f t="shared" ref="OG124:OG125" si="1412">AN124</f>
        <v>0</v>
      </c>
      <c r="OH124" s="207">
        <f t="shared" ref="OH124:OH125" si="1413">HE124</f>
        <v>0</v>
      </c>
      <c r="OI124" s="207">
        <f t="shared" ref="OI124:OI125" si="1414">D124-R124</f>
        <v>0</v>
      </c>
      <c r="OJ124" s="199">
        <f t="shared" ref="OJ124:OJ125" si="1415">IF(OG124=1,OF124,0)</f>
        <v>0</v>
      </c>
      <c r="OK124" s="199">
        <f t="shared" ref="OK124:OK125" si="1416">IF(OH124=1,OF124,0)</f>
        <v>0</v>
      </c>
      <c r="OL124" s="199">
        <f t="shared" ref="OL124:OL125" si="1417">IF((OG124+OH124)=0,OF124,0)</f>
        <v>0</v>
      </c>
      <c r="OM124" s="199">
        <f t="shared" ref="OM124:OM125" si="1418">SUM(OJ124:OL124)</f>
        <v>0</v>
      </c>
      <c r="OO124" s="207">
        <f t="shared" ref="OO124:OO125" si="1419">E124-K124</f>
        <v>0</v>
      </c>
      <c r="OP124" s="207">
        <f t="shared" ref="OP124:OP125" si="1420">E124-O124</f>
        <v>0</v>
      </c>
      <c r="OQ124" s="207">
        <f t="shared" ref="OQ124:OQ125" si="1421">OG124</f>
        <v>0</v>
      </c>
      <c r="OR124" s="207">
        <f t="shared" ref="OR124:OR125" si="1422">OH124</f>
        <v>0</v>
      </c>
      <c r="OS124" s="207">
        <f t="shared" ref="OS124:OS125" si="1423">OI124</f>
        <v>0</v>
      </c>
      <c r="OT124" s="199">
        <f t="shared" ref="OT124:OT125" si="1424">IF(OQ124=1,OP124,0)</f>
        <v>0</v>
      </c>
      <c r="OU124" s="199">
        <f t="shared" ref="OU124:OU125" si="1425">IF(OR124=1,OP124,0)</f>
        <v>0</v>
      </c>
      <c r="OV124" s="199">
        <f t="shared" ref="OV124:OV125" si="1426">IF((OQ124+OR124)=0,OP124,0)</f>
        <v>0</v>
      </c>
      <c r="OW124" s="199">
        <f t="shared" ref="OW124:OW125" si="1427">SUM(OT124:OV124)</f>
        <v>0</v>
      </c>
      <c r="OZ124" s="208">
        <f t="shared" ref="OZ124:OZ125" si="1428">AN124</f>
        <v>0</v>
      </c>
      <c r="PA124" s="209"/>
      <c r="PB124" s="209"/>
      <c r="PC124" s="209"/>
      <c r="PD124" s="210">
        <f t="shared" ref="PD124:PD125" si="1429">PB124-PC124</f>
        <v>0</v>
      </c>
      <c r="PE124" s="210"/>
      <c r="PF124" s="210">
        <f t="shared" ref="PF124:PF125" si="1430">PD124-PE124</f>
        <v>0</v>
      </c>
      <c r="PG124" s="210">
        <f t="shared" ref="PG124:PG125" si="1431">IF(PA124=1,$BB124,0)</f>
        <v>0</v>
      </c>
      <c r="PH124" s="210">
        <f t="shared" ref="PH124:PH125" si="1432">IF(PB124=1,$BB124,0)</f>
        <v>0</v>
      </c>
      <c r="PI124" s="210">
        <f t="shared" ref="PI124:PI125" si="1433">IF(PC124=1,$BB124,0)</f>
        <v>0</v>
      </c>
      <c r="PJ124" s="210">
        <f t="shared" ref="PJ124:PJ125" si="1434">IF(PD124=1,$BB124,0)</f>
        <v>0</v>
      </c>
      <c r="PK124" s="210">
        <f t="shared" ref="PK124:PK125" si="1435">IF(PE124=1,$BB124,0)</f>
        <v>0</v>
      </c>
      <c r="PL124" s="210">
        <f t="shared" ref="PL124:PL125" si="1436">IF(PF124=1,$BB124,0)</f>
        <v>0</v>
      </c>
      <c r="PM124" s="211"/>
      <c r="PN124" s="211"/>
      <c r="PO124" s="212">
        <f t="shared" si="436"/>
        <v>0</v>
      </c>
      <c r="PP124" s="212">
        <f t="shared" si="437"/>
        <v>0</v>
      </c>
      <c r="PQ124" s="212">
        <f t="shared" si="438"/>
        <v>0</v>
      </c>
      <c r="PR124" s="211"/>
      <c r="PS124" s="211"/>
      <c r="PT124" s="211"/>
      <c r="PU124" s="211"/>
    </row>
    <row r="125" spans="1:437 16383:16384" s="195" customFormat="1" ht="16" x14ac:dyDescent="0.2">
      <c r="A125" s="213">
        <f t="shared" si="810"/>
        <v>115</v>
      </c>
      <c r="B125" s="186" t="s">
        <v>45</v>
      </c>
      <c r="C125" s="186">
        <v>2</v>
      </c>
      <c r="D125" s="188">
        <v>1</v>
      </c>
      <c r="E125" s="188">
        <v>33</v>
      </c>
      <c r="F125" s="188">
        <v>1</v>
      </c>
      <c r="G125" s="188">
        <f t="shared" ref="G125" si="1437">E125</f>
        <v>33</v>
      </c>
      <c r="H125" s="214">
        <f t="shared" si="969"/>
        <v>1</v>
      </c>
      <c r="I125" s="214">
        <v>0</v>
      </c>
      <c r="J125" s="188">
        <v>1</v>
      </c>
      <c r="K125" s="188">
        <f>IF(J125=D125,E125,0)</f>
        <v>33</v>
      </c>
      <c r="L125" s="214">
        <f>J125/$D125</f>
        <v>1</v>
      </c>
      <c r="M125" s="214">
        <f>K125/$E125</f>
        <v>1</v>
      </c>
      <c r="N125" s="188">
        <v>1</v>
      </c>
      <c r="O125" s="188">
        <f>IF(N125=D125,E125,0)</f>
        <v>33</v>
      </c>
      <c r="P125" s="214">
        <f>N125/$D125</f>
        <v>1</v>
      </c>
      <c r="Q125" s="214">
        <f>O125/$E125</f>
        <v>1</v>
      </c>
      <c r="R125" s="188">
        <v>1</v>
      </c>
      <c r="S125" s="188">
        <f>IF(R125=D125,E125,0)</f>
        <v>33</v>
      </c>
      <c r="T125" s="214">
        <f>R125/$D125</f>
        <v>1</v>
      </c>
      <c r="U125" s="214">
        <f>S125/$E125</f>
        <v>1</v>
      </c>
      <c r="V125" s="215">
        <v>1</v>
      </c>
      <c r="W125" s="188">
        <f>IF(V125=D125,E125,0)</f>
        <v>33</v>
      </c>
      <c r="X125" s="214">
        <f>V125/$D125</f>
        <v>1</v>
      </c>
      <c r="Y125" s="214">
        <f>W125/$E125</f>
        <v>1</v>
      </c>
      <c r="Z125" s="216">
        <f>613907000/1000000000</f>
        <v>0.61390699999999998</v>
      </c>
      <c r="AA125" s="188">
        <v>0</v>
      </c>
      <c r="AB125" s="188">
        <v>0</v>
      </c>
      <c r="AC125" s="214">
        <f t="shared" si="981"/>
        <v>0</v>
      </c>
      <c r="AD125" s="214">
        <f t="shared" si="1407"/>
        <v>0</v>
      </c>
      <c r="AE125" s="188"/>
      <c r="AF125" s="188">
        <f t="shared" si="982"/>
        <v>0</v>
      </c>
      <c r="AG125" s="188"/>
      <c r="AH125" s="188"/>
      <c r="AI125" s="188"/>
      <c r="AJ125" s="188"/>
      <c r="AK125" s="188"/>
      <c r="AL125" s="188"/>
      <c r="AM125" s="188"/>
      <c r="AN125" s="217"/>
      <c r="AO125" s="188">
        <f t="shared" si="983"/>
        <v>0</v>
      </c>
      <c r="AP125" s="188">
        <f t="shared" si="984"/>
        <v>0</v>
      </c>
      <c r="AQ125" s="188">
        <f t="shared" si="985"/>
        <v>0</v>
      </c>
      <c r="AR125" s="188">
        <f t="shared" si="986"/>
        <v>0</v>
      </c>
      <c r="AS125" s="188">
        <f t="shared" si="987"/>
        <v>0</v>
      </c>
      <c r="AT125" s="188">
        <f t="shared" si="988"/>
        <v>0</v>
      </c>
      <c r="AU125" s="188">
        <f t="shared" si="989"/>
        <v>0</v>
      </c>
      <c r="AV125" s="188">
        <f t="shared" si="990"/>
        <v>0</v>
      </c>
      <c r="AW125" s="188">
        <f t="shared" si="991"/>
        <v>0</v>
      </c>
      <c r="AX125" s="188">
        <f t="shared" si="992"/>
        <v>0</v>
      </c>
      <c r="AY125" s="188">
        <f t="shared" si="993"/>
        <v>0</v>
      </c>
      <c r="AZ125" s="188">
        <f t="shared" si="994"/>
        <v>0</v>
      </c>
      <c r="BA125" s="188">
        <f t="shared" si="995"/>
        <v>0</v>
      </c>
      <c r="BB125" s="188">
        <f t="shared" si="1408"/>
        <v>0</v>
      </c>
      <c r="BD125" s="196">
        <f t="shared" si="996"/>
        <v>0</v>
      </c>
      <c r="BE125" s="188">
        <f t="shared" si="997"/>
        <v>0</v>
      </c>
      <c r="BF125" s="188">
        <f t="shared" si="998"/>
        <v>0</v>
      </c>
      <c r="BG125" s="188">
        <f t="shared" si="999"/>
        <v>0</v>
      </c>
      <c r="BH125" s="188">
        <f t="shared" si="1000"/>
        <v>0</v>
      </c>
      <c r="BI125" s="188">
        <f t="shared" si="1001"/>
        <v>0</v>
      </c>
      <c r="BJ125" s="188">
        <f t="shared" si="1002"/>
        <v>0</v>
      </c>
      <c r="BK125" s="188">
        <f t="shared" si="1003"/>
        <v>0</v>
      </c>
      <c r="BN125" s="267">
        <v>33</v>
      </c>
      <c r="BO125" s="188"/>
      <c r="BP125" s="188"/>
      <c r="BQ125" s="188"/>
      <c r="BR125" s="188"/>
      <c r="BS125" s="188"/>
      <c r="BT125" s="188"/>
      <c r="BU125" s="188"/>
      <c r="BV125" s="188"/>
      <c r="BW125" s="188"/>
      <c r="BX125" s="188"/>
      <c r="BY125" s="188"/>
      <c r="BZ125" s="188">
        <v>1</v>
      </c>
      <c r="CB125" s="188"/>
      <c r="CD125" s="188">
        <f t="shared" si="1004"/>
        <v>33</v>
      </c>
      <c r="CE125" s="188">
        <f t="shared" si="1005"/>
        <v>0</v>
      </c>
      <c r="CF125" s="188">
        <f t="shared" si="1006"/>
        <v>0</v>
      </c>
      <c r="CG125" s="188">
        <f t="shared" si="1007"/>
        <v>0</v>
      </c>
      <c r="CH125" s="188">
        <f t="shared" si="1008"/>
        <v>0</v>
      </c>
      <c r="CI125" s="188">
        <f t="shared" si="1009"/>
        <v>0</v>
      </c>
      <c r="CJ125" s="188">
        <f t="shared" si="1010"/>
        <v>0</v>
      </c>
      <c r="CK125" s="188">
        <f t="shared" si="1011"/>
        <v>0</v>
      </c>
      <c r="CL125" s="188">
        <f t="shared" si="1012"/>
        <v>0</v>
      </c>
      <c r="CM125" s="188">
        <f t="shared" si="1013"/>
        <v>0</v>
      </c>
      <c r="CN125" s="188">
        <f t="shared" si="1014"/>
        <v>0</v>
      </c>
      <c r="CO125" s="188">
        <f t="shared" si="1015"/>
        <v>0</v>
      </c>
      <c r="CP125" s="188">
        <f t="shared" si="1016"/>
        <v>33</v>
      </c>
      <c r="DV125" s="188">
        <f t="shared" si="1017"/>
        <v>0</v>
      </c>
      <c r="DW125" s="188">
        <f t="shared" si="1018"/>
        <v>0</v>
      </c>
      <c r="DX125" s="188">
        <f t="shared" si="1019"/>
        <v>0</v>
      </c>
      <c r="DY125" s="188">
        <f t="shared" si="1020"/>
        <v>0</v>
      </c>
      <c r="DZ125" s="188">
        <f t="shared" si="1021"/>
        <v>0</v>
      </c>
      <c r="EA125" s="188">
        <f t="shared" si="1022"/>
        <v>0</v>
      </c>
      <c r="EB125" s="188">
        <f t="shared" si="1023"/>
        <v>0</v>
      </c>
      <c r="EG125" s="220">
        <f t="shared" si="1024"/>
        <v>0</v>
      </c>
      <c r="EH125" s="220">
        <f t="shared" si="1025"/>
        <v>0</v>
      </c>
      <c r="EI125" s="188"/>
      <c r="EJ125" s="188"/>
      <c r="EK125" s="188"/>
      <c r="EL125" s="188"/>
      <c r="EM125" s="188"/>
      <c r="EN125" s="188"/>
      <c r="EO125" s="188"/>
      <c r="EP125" s="188"/>
      <c r="EQ125" s="188"/>
      <c r="ER125" s="188"/>
      <c r="ES125" s="188"/>
      <c r="ET125" s="188"/>
      <c r="EU125" s="188"/>
      <c r="EV125" s="188"/>
      <c r="EW125" s="188"/>
      <c r="EX125" s="188"/>
      <c r="EY125" s="188"/>
      <c r="EZ125" s="188"/>
      <c r="FA125" s="188"/>
      <c r="FB125" s="188"/>
      <c r="FC125" s="188"/>
      <c r="FD125" s="188"/>
      <c r="FE125" s="188"/>
      <c r="FF125" s="188"/>
      <c r="FH125" s="188"/>
      <c r="FI125" s="188"/>
      <c r="FJ125" s="188"/>
      <c r="FK125" s="188"/>
      <c r="FL125" s="188"/>
      <c r="FM125" s="188"/>
      <c r="FN125" s="188"/>
      <c r="FO125" s="188"/>
      <c r="FP125" s="188"/>
      <c r="FQ125" s="188"/>
      <c r="FR125" s="188"/>
      <c r="FS125" s="188"/>
      <c r="FT125" s="188"/>
      <c r="FU125" s="188"/>
      <c r="FV125" s="188"/>
      <c r="FX125" s="188">
        <v>1</v>
      </c>
      <c r="FY125" s="188">
        <f t="shared" si="1027"/>
        <v>33</v>
      </c>
      <c r="FZ125" s="188">
        <f t="shared" si="439"/>
        <v>0</v>
      </c>
      <c r="GA125" s="188">
        <f t="shared" si="440"/>
        <v>0</v>
      </c>
      <c r="GB125" s="188">
        <f t="shared" si="441"/>
        <v>0</v>
      </c>
      <c r="GC125" s="188">
        <f t="shared" si="442"/>
        <v>0</v>
      </c>
      <c r="GD125" s="234">
        <f t="shared" si="443"/>
        <v>0</v>
      </c>
      <c r="GE125" s="188">
        <f t="shared" si="444"/>
        <v>33</v>
      </c>
      <c r="GF125" s="235"/>
      <c r="GG125" s="188">
        <v>0</v>
      </c>
      <c r="GH125" s="188">
        <v>0</v>
      </c>
      <c r="GI125" s="235"/>
      <c r="GJ125" s="224">
        <f t="shared" si="1028"/>
        <v>0</v>
      </c>
      <c r="GK125" s="224">
        <f t="shared" si="1029"/>
        <v>0</v>
      </c>
      <c r="GO125" s="188"/>
      <c r="GP125" s="188">
        <f t="shared" si="446"/>
        <v>0</v>
      </c>
      <c r="GQ125" s="188">
        <f t="shared" si="447"/>
        <v>0</v>
      </c>
      <c r="GR125" s="188">
        <f t="shared" si="448"/>
        <v>0</v>
      </c>
      <c r="GS125" s="188">
        <f t="shared" si="449"/>
        <v>0</v>
      </c>
      <c r="GT125" s="188">
        <f t="shared" si="1030"/>
        <v>1</v>
      </c>
      <c r="GU125" s="232">
        <f t="shared" si="388"/>
        <v>43243</v>
      </c>
      <c r="GV125" s="188" t="str">
        <f t="shared" si="1031"/>
        <v>SELESAI</v>
      </c>
      <c r="GW125" s="188">
        <f t="shared" si="1032"/>
        <v>0</v>
      </c>
      <c r="GX125" s="188" t="str">
        <f t="shared" si="1033"/>
        <v>SELESAI</v>
      </c>
      <c r="GY125" s="188">
        <f t="shared" si="1034"/>
        <v>0</v>
      </c>
      <c r="GZ125" s="228" t="str">
        <f t="shared" si="1035"/>
        <v>SELESAI</v>
      </c>
      <c r="HA125" s="204"/>
      <c r="HB125" s="204"/>
      <c r="HC125" s="188">
        <f t="shared" si="450"/>
        <v>0</v>
      </c>
      <c r="HD125" s="188">
        <f t="shared" si="451"/>
        <v>0</v>
      </c>
      <c r="HE125" s="188">
        <f t="shared" si="1036"/>
        <v>0</v>
      </c>
      <c r="HF125" s="188">
        <f t="shared" si="1037"/>
        <v>0</v>
      </c>
      <c r="HG125" s="188">
        <f t="shared" si="1038"/>
        <v>0</v>
      </c>
      <c r="HH125" s="228" t="str">
        <f t="shared" si="1039"/>
        <v>TIDAK KONSINYASI</v>
      </c>
      <c r="HI125" s="228" t="str">
        <f t="shared" si="1040"/>
        <v>SELESAI</v>
      </c>
      <c r="HK125" s="228">
        <f t="shared" si="1041"/>
        <v>0</v>
      </c>
      <c r="HL125" s="204"/>
      <c r="HM125" s="204"/>
      <c r="HN125" s="204"/>
      <c r="HO125" s="204"/>
      <c r="HP125" s="203">
        <f t="shared" si="1042"/>
        <v>0</v>
      </c>
      <c r="HQ125" s="202">
        <f t="shared" si="1043"/>
        <v>0</v>
      </c>
      <c r="HR125" s="202">
        <f t="shared" si="639"/>
        <v>0</v>
      </c>
      <c r="HS125" s="203">
        <f t="shared" si="1044"/>
        <v>0</v>
      </c>
      <c r="HT125" s="202">
        <f t="shared" si="1045"/>
        <v>0</v>
      </c>
      <c r="HU125" s="202">
        <f t="shared" si="640"/>
        <v>0</v>
      </c>
      <c r="HV125" s="203">
        <f t="shared" si="1046"/>
        <v>0</v>
      </c>
      <c r="HW125" s="202">
        <f t="shared" si="1047"/>
        <v>0</v>
      </c>
      <c r="HX125" s="202">
        <f t="shared" si="641"/>
        <v>0</v>
      </c>
      <c r="HY125" s="203">
        <f t="shared" si="1048"/>
        <v>0</v>
      </c>
      <c r="HZ125" s="202">
        <f t="shared" si="1049"/>
        <v>0</v>
      </c>
      <c r="IA125" s="202">
        <f t="shared" si="642"/>
        <v>0</v>
      </c>
      <c r="IB125" s="236">
        <f t="shared" si="1050"/>
        <v>0</v>
      </c>
      <c r="IC125" s="188">
        <f t="shared" si="1051"/>
        <v>0</v>
      </c>
      <c r="ID125" s="188">
        <f t="shared" si="643"/>
        <v>0</v>
      </c>
      <c r="IE125" s="228">
        <f t="shared" si="1052"/>
        <v>0</v>
      </c>
      <c r="IF125" s="188">
        <f t="shared" si="1053"/>
        <v>0</v>
      </c>
      <c r="IG125" s="188">
        <f t="shared" si="644"/>
        <v>0</v>
      </c>
      <c r="IH125" s="228">
        <f t="shared" si="1054"/>
        <v>0</v>
      </c>
      <c r="II125" s="188">
        <f t="shared" si="1055"/>
        <v>0</v>
      </c>
      <c r="IJ125" s="188">
        <f t="shared" si="645"/>
        <v>0</v>
      </c>
      <c r="IK125" s="228">
        <f t="shared" si="1056"/>
        <v>0</v>
      </c>
      <c r="IL125" s="188">
        <f t="shared" si="1057"/>
        <v>0</v>
      </c>
      <c r="IM125" s="188">
        <f t="shared" si="646"/>
        <v>0</v>
      </c>
      <c r="IN125" s="204"/>
      <c r="IO125" s="228">
        <f t="shared" si="1058"/>
        <v>0</v>
      </c>
      <c r="IP125" s="188">
        <f t="shared" si="460"/>
        <v>0</v>
      </c>
      <c r="IQ125" s="188">
        <f t="shared" si="647"/>
        <v>0</v>
      </c>
      <c r="IR125" s="204"/>
      <c r="IS125" s="228"/>
      <c r="IT125" s="188">
        <f t="shared" si="462"/>
        <v>1</v>
      </c>
      <c r="IU125" s="188">
        <f t="shared" si="463"/>
        <v>33</v>
      </c>
      <c r="IV125" s="204"/>
      <c r="IW125" s="228"/>
      <c r="IX125" s="188">
        <f t="shared" si="464"/>
        <v>0</v>
      </c>
      <c r="IY125" s="188">
        <f t="shared" si="465"/>
        <v>0</v>
      </c>
      <c r="IZ125" s="204"/>
      <c r="JA125" s="228"/>
      <c r="JB125" s="188">
        <f t="shared" si="466"/>
        <v>0</v>
      </c>
      <c r="JC125" s="188">
        <f t="shared" si="467"/>
        <v>0</v>
      </c>
      <c r="JD125" s="204"/>
      <c r="JE125" s="228"/>
      <c r="JF125" s="188">
        <f t="shared" si="1059"/>
        <v>1</v>
      </c>
      <c r="JG125" s="188">
        <f t="shared" si="1060"/>
        <v>33</v>
      </c>
      <c r="JH125" s="204"/>
      <c r="JI125" s="228"/>
      <c r="JJ125" s="188">
        <f t="shared" si="468"/>
        <v>0</v>
      </c>
      <c r="JK125" s="188">
        <f t="shared" si="469"/>
        <v>0</v>
      </c>
      <c r="JM125" s="203">
        <f t="shared" si="1061"/>
        <v>0</v>
      </c>
      <c r="JO125" s="196">
        <f t="shared" si="1062"/>
        <v>1</v>
      </c>
      <c r="JP125" s="189">
        <f t="shared" si="470"/>
        <v>33</v>
      </c>
      <c r="JQ125" s="189">
        <f t="shared" si="471"/>
        <v>0</v>
      </c>
      <c r="JR125" s="189">
        <f t="shared" si="472"/>
        <v>0</v>
      </c>
      <c r="JS125" s="189">
        <f t="shared" si="473"/>
        <v>0</v>
      </c>
      <c r="JT125" s="189">
        <f t="shared" si="474"/>
        <v>0</v>
      </c>
      <c r="JU125" s="189">
        <f t="shared" si="475"/>
        <v>0</v>
      </c>
      <c r="JV125" s="189">
        <f t="shared" si="476"/>
        <v>0</v>
      </c>
      <c r="JW125" s="189">
        <f t="shared" si="477"/>
        <v>0</v>
      </c>
      <c r="JX125" s="189">
        <f t="shared" si="478"/>
        <v>0</v>
      </c>
      <c r="JY125" s="189">
        <f t="shared" si="479"/>
        <v>0</v>
      </c>
      <c r="JZ125" s="189">
        <f t="shared" si="480"/>
        <v>0</v>
      </c>
      <c r="KA125" s="189">
        <f t="shared" si="481"/>
        <v>0</v>
      </c>
      <c r="KB125" s="189">
        <f t="shared" si="482"/>
        <v>1</v>
      </c>
      <c r="KD125" s="206">
        <f t="shared" si="410"/>
        <v>0</v>
      </c>
      <c r="KE125" s="206">
        <f t="shared" si="373"/>
        <v>0</v>
      </c>
      <c r="KF125" s="206">
        <f t="shared" si="483"/>
        <v>33</v>
      </c>
      <c r="KG125" s="206">
        <f t="shared" si="484"/>
        <v>0</v>
      </c>
      <c r="KH125" s="206">
        <f t="shared" si="485"/>
        <v>0</v>
      </c>
      <c r="KI125" s="206">
        <f t="shared" si="486"/>
        <v>0</v>
      </c>
      <c r="KJ125" s="206">
        <f t="shared" si="487"/>
        <v>0</v>
      </c>
      <c r="KK125" s="206">
        <f t="shared" si="488"/>
        <v>0</v>
      </c>
      <c r="KL125" s="206">
        <f t="shared" si="489"/>
        <v>0</v>
      </c>
      <c r="KM125" s="206">
        <f t="shared" si="490"/>
        <v>0</v>
      </c>
      <c r="KN125" s="221">
        <f t="shared" si="491"/>
        <v>0</v>
      </c>
      <c r="KO125" s="221">
        <f t="shared" si="492"/>
        <v>0</v>
      </c>
      <c r="KP125" s="221">
        <f t="shared" si="493"/>
        <v>0</v>
      </c>
      <c r="KQ125" s="221">
        <f t="shared" si="494"/>
        <v>0</v>
      </c>
      <c r="KR125" s="221">
        <f t="shared" si="495"/>
        <v>33</v>
      </c>
      <c r="KT125" s="195">
        <f t="shared" si="496"/>
        <v>0</v>
      </c>
      <c r="KU125" s="221"/>
      <c r="KV125" s="221"/>
      <c r="KW125" s="221"/>
      <c r="KX125" s="221"/>
      <c r="KY125" s="221"/>
      <c r="KZ125" s="221"/>
      <c r="LA125" s="221"/>
      <c r="LB125" s="221"/>
      <c r="LC125" s="221"/>
      <c r="LD125" s="221"/>
      <c r="LE125" s="221"/>
      <c r="LF125" s="221"/>
      <c r="LG125" s="221"/>
      <c r="LH125" s="221"/>
      <c r="LI125" s="221"/>
      <c r="LJ125" s="221"/>
      <c r="LK125" s="221"/>
      <c r="LL125" s="221"/>
      <c r="LM125" s="221"/>
      <c r="LN125" s="221"/>
      <c r="LO125" s="221"/>
      <c r="LP125" s="221"/>
      <c r="LQ125" s="221"/>
      <c r="LR125" s="221"/>
      <c r="LS125" s="221"/>
      <c r="LT125" s="221"/>
      <c r="LU125" s="221"/>
      <c r="LV125" s="221"/>
      <c r="LW125" s="221"/>
      <c r="LX125" s="221"/>
      <c r="LY125" s="221"/>
      <c r="LZ125" s="221"/>
      <c r="MA125" s="221"/>
      <c r="MB125" s="221"/>
      <c r="MC125" s="221"/>
      <c r="MD125" s="221"/>
      <c r="ME125" s="221"/>
      <c r="MF125" s="221"/>
      <c r="MG125" s="221"/>
      <c r="MH125" s="221"/>
      <c r="MI125" s="221"/>
      <c r="MJ125" s="221"/>
      <c r="MK125" s="221"/>
      <c r="ML125" s="221"/>
      <c r="MM125" s="221"/>
      <c r="MN125" s="221"/>
      <c r="MO125" s="221"/>
      <c r="MP125" s="221"/>
      <c r="MQ125" s="221"/>
      <c r="MR125" s="221"/>
      <c r="MS125" s="221"/>
      <c r="MT125" s="221"/>
      <c r="MU125" s="221"/>
      <c r="MV125" s="221"/>
      <c r="MW125" s="221"/>
      <c r="MX125" s="221"/>
      <c r="MY125" s="221"/>
      <c r="MZ125" s="221"/>
      <c r="NA125" s="221"/>
      <c r="NB125" s="221"/>
      <c r="NC125" s="221"/>
      <c r="ND125" s="221"/>
      <c r="NE125" s="221"/>
      <c r="NF125" s="221"/>
      <c r="NG125" s="221"/>
      <c r="NH125" s="221"/>
      <c r="NI125" s="221"/>
      <c r="NJ125" s="221"/>
      <c r="NK125" s="221"/>
      <c r="NM125" s="195">
        <f t="shared" si="1063"/>
        <v>0</v>
      </c>
      <c r="NN125" s="195">
        <f t="shared" si="1064"/>
        <v>0</v>
      </c>
      <c r="NO125" s="195">
        <f t="shared" si="1065"/>
        <v>0</v>
      </c>
      <c r="NP125" s="195">
        <f t="shared" si="1066"/>
        <v>0</v>
      </c>
      <c r="NQ125" s="195">
        <f t="shared" si="1067"/>
        <v>0</v>
      </c>
      <c r="NR125" s="195">
        <f t="shared" si="1068"/>
        <v>0</v>
      </c>
      <c r="NS125" s="195">
        <f t="shared" si="1069"/>
        <v>0</v>
      </c>
      <c r="NT125" s="195">
        <f t="shared" si="1070"/>
        <v>0</v>
      </c>
      <c r="NU125" s="196">
        <f t="shared" si="1071"/>
        <v>0</v>
      </c>
      <c r="NY125" s="215">
        <f t="shared" si="1409"/>
        <v>1</v>
      </c>
      <c r="NZ125" s="222">
        <f>363000000/33</f>
        <v>11000000</v>
      </c>
      <c r="OE125" s="207">
        <f t="shared" si="1410"/>
        <v>0</v>
      </c>
      <c r="OF125" s="207">
        <f t="shared" si="1411"/>
        <v>0</v>
      </c>
      <c r="OG125" s="207">
        <f t="shared" si="1412"/>
        <v>0</v>
      </c>
      <c r="OH125" s="207">
        <f t="shared" si="1413"/>
        <v>0</v>
      </c>
      <c r="OI125" s="207">
        <f t="shared" si="1414"/>
        <v>0</v>
      </c>
      <c r="OJ125" s="199">
        <f t="shared" si="1415"/>
        <v>0</v>
      </c>
      <c r="OK125" s="199">
        <f t="shared" si="1416"/>
        <v>0</v>
      </c>
      <c r="OL125" s="199">
        <f t="shared" si="1417"/>
        <v>0</v>
      </c>
      <c r="OM125" s="199">
        <f t="shared" si="1418"/>
        <v>0</v>
      </c>
      <c r="OO125" s="207">
        <f t="shared" si="1419"/>
        <v>0</v>
      </c>
      <c r="OP125" s="207">
        <f t="shared" si="1420"/>
        <v>0</v>
      </c>
      <c r="OQ125" s="207">
        <f t="shared" si="1421"/>
        <v>0</v>
      </c>
      <c r="OR125" s="207">
        <f t="shared" si="1422"/>
        <v>0</v>
      </c>
      <c r="OS125" s="207">
        <f t="shared" si="1423"/>
        <v>0</v>
      </c>
      <c r="OT125" s="199">
        <f t="shared" si="1424"/>
        <v>0</v>
      </c>
      <c r="OU125" s="199">
        <f t="shared" si="1425"/>
        <v>0</v>
      </c>
      <c r="OV125" s="199">
        <f t="shared" si="1426"/>
        <v>0</v>
      </c>
      <c r="OW125" s="199">
        <f t="shared" si="1427"/>
        <v>0</v>
      </c>
      <c r="OZ125" s="208">
        <f t="shared" si="1428"/>
        <v>0</v>
      </c>
      <c r="PA125" s="209"/>
      <c r="PB125" s="209"/>
      <c r="PC125" s="209"/>
      <c r="PD125" s="210">
        <f t="shared" si="1429"/>
        <v>0</v>
      </c>
      <c r="PE125" s="210"/>
      <c r="PF125" s="210">
        <f t="shared" si="1430"/>
        <v>0</v>
      </c>
      <c r="PG125" s="210">
        <f t="shared" si="1431"/>
        <v>0</v>
      </c>
      <c r="PH125" s="210">
        <f t="shared" si="1432"/>
        <v>0</v>
      </c>
      <c r="PI125" s="210">
        <f t="shared" si="1433"/>
        <v>0</v>
      </c>
      <c r="PJ125" s="210">
        <f t="shared" si="1434"/>
        <v>0</v>
      </c>
      <c r="PK125" s="210">
        <f t="shared" si="1435"/>
        <v>0</v>
      </c>
      <c r="PL125" s="210">
        <f t="shared" si="1436"/>
        <v>0</v>
      </c>
      <c r="PM125" s="211"/>
      <c r="PN125" s="211"/>
      <c r="PO125" s="212">
        <f t="shared" si="436"/>
        <v>0</v>
      </c>
      <c r="PP125" s="212">
        <f t="shared" si="437"/>
        <v>0</v>
      </c>
      <c r="PQ125" s="212">
        <f t="shared" si="438"/>
        <v>0</v>
      </c>
      <c r="PR125" s="211"/>
      <c r="PS125" s="211"/>
      <c r="PT125" s="211"/>
      <c r="PU125" s="211"/>
      <c r="XFD125" s="195">
        <v>14264731000</v>
      </c>
    </row>
    <row r="126" spans="1:437 16383:16384" ht="16" x14ac:dyDescent="0.2">
      <c r="A126" s="178"/>
      <c r="B126" s="178" t="s">
        <v>18</v>
      </c>
      <c r="C126" s="270"/>
      <c r="D126" s="81">
        <f>SUM(D9:D125)</f>
        <v>115</v>
      </c>
      <c r="E126" s="81">
        <f>SUM(E9:E125)</f>
        <v>19099</v>
      </c>
      <c r="F126" s="309">
        <f>SUM(F9:F125)</f>
        <v>115</v>
      </c>
      <c r="G126" s="81">
        <f>SUM(G9:G125)</f>
        <v>19099</v>
      </c>
      <c r="H126" s="179">
        <f t="shared" si="565"/>
        <v>1</v>
      </c>
      <c r="I126" s="179">
        <f t="shared" si="537"/>
        <v>1</v>
      </c>
      <c r="J126" s="81">
        <f>SUM(J9:J125)</f>
        <v>115</v>
      </c>
      <c r="K126" s="81">
        <f>SUM(K9:K125)</f>
        <v>19099</v>
      </c>
      <c r="L126" s="179">
        <f t="shared" ref="L126" si="1438">J126/$D126</f>
        <v>1</v>
      </c>
      <c r="M126" s="179">
        <f t="shared" ref="M126" si="1439">K126/$E126</f>
        <v>1</v>
      </c>
      <c r="N126" s="81">
        <f>SUM(N9:N125)</f>
        <v>115</v>
      </c>
      <c r="O126" s="81">
        <f>SUM(O9:O125)</f>
        <v>19099</v>
      </c>
      <c r="P126" s="179">
        <f t="shared" ref="P126" si="1440">N126/$D126</f>
        <v>1</v>
      </c>
      <c r="Q126" s="179">
        <f t="shared" ref="Q126" si="1441">O126/$E126</f>
        <v>1</v>
      </c>
      <c r="R126" s="81">
        <f>SUM(R9:R125)</f>
        <v>102</v>
      </c>
      <c r="S126" s="81">
        <f>SUM(S9:S125)</f>
        <v>13467</v>
      </c>
      <c r="T126" s="179">
        <f t="shared" ref="T126" si="1442">R126/$D126</f>
        <v>0.88695652173913042</v>
      </c>
      <c r="U126" s="179">
        <f t="shared" ref="U126" si="1443">S126/$E126</f>
        <v>0.7051154510707367</v>
      </c>
      <c r="V126" s="81">
        <f>SUM(V9:V125)</f>
        <v>100</v>
      </c>
      <c r="W126" s="81">
        <f>SUM(W9:W125)</f>
        <v>13117</v>
      </c>
      <c r="X126" s="179">
        <f t="shared" ref="X126" si="1444">V126/$D126</f>
        <v>0.86956521739130432</v>
      </c>
      <c r="Y126" s="179">
        <f t="shared" ref="Y126" si="1445">W126/$E126</f>
        <v>0.6867898842871355</v>
      </c>
      <c r="Z126" s="151">
        <f>SUM(Z9:Z125)</f>
        <v>259.52198499999997</v>
      </c>
      <c r="AA126" s="81">
        <f>SUM(AA9:AA125)</f>
        <v>2</v>
      </c>
      <c r="AB126" s="81">
        <f>SUM(AB9:AB125)</f>
        <v>350</v>
      </c>
      <c r="AC126" s="179">
        <f t="shared" ref="AC126" si="1446">AA126/$D126</f>
        <v>1.7391304347826087E-2</v>
      </c>
      <c r="AD126" s="179">
        <f t="shared" ref="AD126" si="1447">AB126/$E126</f>
        <v>1.8325566783601234E-2</v>
      </c>
      <c r="AE126" s="81">
        <f t="shared" ref="AE126:BB126" si="1448">SUM(AE9:AE125)</f>
        <v>3.6330030000000004</v>
      </c>
      <c r="AF126" s="81">
        <f t="shared" si="1448"/>
        <v>2</v>
      </c>
      <c r="AG126" s="81">
        <f t="shared" si="1448"/>
        <v>0</v>
      </c>
      <c r="AH126" s="81">
        <f t="shared" si="1448"/>
        <v>0</v>
      </c>
      <c r="AI126" s="81">
        <f t="shared" si="1448"/>
        <v>61</v>
      </c>
      <c r="AJ126" s="81">
        <f t="shared" si="1448"/>
        <v>7350</v>
      </c>
      <c r="AK126" s="81">
        <f t="shared" si="1448"/>
        <v>0</v>
      </c>
      <c r="AL126" s="81">
        <f t="shared" si="1448"/>
        <v>0</v>
      </c>
      <c r="AM126" s="81">
        <f t="shared" si="1448"/>
        <v>0</v>
      </c>
      <c r="AN126" s="81">
        <f t="shared" si="1448"/>
        <v>13</v>
      </c>
      <c r="AO126" s="81">
        <f t="shared" si="1448"/>
        <v>60</v>
      </c>
      <c r="AP126" s="81">
        <f t="shared" si="1448"/>
        <v>7350</v>
      </c>
      <c r="AQ126" s="81">
        <f t="shared" si="1448"/>
        <v>60</v>
      </c>
      <c r="AR126" s="81">
        <f t="shared" si="1448"/>
        <v>7350</v>
      </c>
      <c r="AS126" s="81">
        <f t="shared" si="1448"/>
        <v>60</v>
      </c>
      <c r="AT126" s="81">
        <f t="shared" si="1448"/>
        <v>7350</v>
      </c>
      <c r="AU126" s="81">
        <f t="shared" si="1448"/>
        <v>60</v>
      </c>
      <c r="AV126" s="81">
        <f t="shared" si="1448"/>
        <v>7350</v>
      </c>
      <c r="AW126" s="81">
        <f t="shared" si="1448"/>
        <v>58</v>
      </c>
      <c r="AX126" s="81">
        <f t="shared" si="1448"/>
        <v>7000</v>
      </c>
      <c r="AY126" s="81">
        <f t="shared" si="1448"/>
        <v>2</v>
      </c>
      <c r="AZ126" s="81">
        <f t="shared" si="1448"/>
        <v>350</v>
      </c>
      <c r="BA126" s="81">
        <f t="shared" si="1448"/>
        <v>148.40525299999993</v>
      </c>
      <c r="BB126" s="81">
        <f t="shared" si="1448"/>
        <v>5632</v>
      </c>
      <c r="BD126" s="29">
        <f t="shared" si="386"/>
        <v>0</v>
      </c>
      <c r="BE126" s="116">
        <f t="shared" ref="BE126:BK126" si="1449">SUM(BE9:BE125)</f>
        <v>350</v>
      </c>
      <c r="BF126" s="116">
        <f t="shared" si="1449"/>
        <v>0</v>
      </c>
      <c r="BG126" s="116">
        <f t="shared" si="1449"/>
        <v>0</v>
      </c>
      <c r="BH126" s="116">
        <f t="shared" si="1449"/>
        <v>0</v>
      </c>
      <c r="BI126" s="116">
        <f t="shared" si="1449"/>
        <v>350</v>
      </c>
      <c r="BJ126" s="116">
        <f t="shared" si="1449"/>
        <v>0</v>
      </c>
      <c r="BK126" s="116">
        <f t="shared" si="1449"/>
        <v>350</v>
      </c>
      <c r="BN126" s="116">
        <f t="shared" ref="BN126:BZ126" si="1450">SUM(BN9:BN125)</f>
        <v>2681</v>
      </c>
      <c r="BO126" s="116">
        <f t="shared" si="1450"/>
        <v>34</v>
      </c>
      <c r="BP126" s="116">
        <f t="shared" si="1450"/>
        <v>0</v>
      </c>
      <c r="BQ126" s="116">
        <f t="shared" si="1450"/>
        <v>7</v>
      </c>
      <c r="BR126" s="116">
        <f t="shared" si="1450"/>
        <v>0</v>
      </c>
      <c r="BS126" s="116">
        <f t="shared" si="1450"/>
        <v>0</v>
      </c>
      <c r="BT126" s="116">
        <f t="shared" si="1450"/>
        <v>0</v>
      </c>
      <c r="BU126" s="116">
        <f t="shared" si="1450"/>
        <v>0</v>
      </c>
      <c r="BV126" s="116">
        <f t="shared" si="1450"/>
        <v>0</v>
      </c>
      <c r="BW126" s="116">
        <f t="shared" si="1450"/>
        <v>0</v>
      </c>
      <c r="BX126" s="116">
        <f t="shared" si="1450"/>
        <v>0</v>
      </c>
      <c r="BY126" s="116">
        <f t="shared" si="1450"/>
        <v>0</v>
      </c>
      <c r="BZ126" s="116">
        <f t="shared" si="1450"/>
        <v>2</v>
      </c>
      <c r="CB126" s="116">
        <f>SUM(CB9:CB125)</f>
        <v>0</v>
      </c>
      <c r="CD126" s="116">
        <f t="shared" ref="CD126:CP126" si="1451">SUM(CD9:CD125)</f>
        <v>2681</v>
      </c>
      <c r="CE126" s="116">
        <f t="shared" si="1451"/>
        <v>1276</v>
      </c>
      <c r="CF126" s="116">
        <f t="shared" si="1451"/>
        <v>0</v>
      </c>
      <c r="CG126" s="116">
        <f t="shared" si="1451"/>
        <v>1340</v>
      </c>
      <c r="CH126" s="116">
        <f t="shared" si="1451"/>
        <v>0</v>
      </c>
      <c r="CI126" s="116">
        <f t="shared" si="1451"/>
        <v>0</v>
      </c>
      <c r="CJ126" s="116">
        <f t="shared" si="1451"/>
        <v>0</v>
      </c>
      <c r="CK126" s="116">
        <f t="shared" si="1451"/>
        <v>0</v>
      </c>
      <c r="CL126" s="116">
        <f t="shared" si="1451"/>
        <v>0</v>
      </c>
      <c r="CM126" s="116">
        <f t="shared" si="1451"/>
        <v>0</v>
      </c>
      <c r="CN126" s="116">
        <f t="shared" si="1451"/>
        <v>0</v>
      </c>
      <c r="CO126" s="116">
        <f t="shared" si="1451"/>
        <v>0</v>
      </c>
      <c r="CP126" s="116">
        <f t="shared" si="1451"/>
        <v>65</v>
      </c>
      <c r="DV126" s="116">
        <f t="shared" ref="DV126:EB126" si="1452">SUM(DV9:DV125)</f>
        <v>0</v>
      </c>
      <c r="DW126" s="116">
        <f t="shared" si="1452"/>
        <v>0</v>
      </c>
      <c r="DX126" s="116">
        <f t="shared" si="1452"/>
        <v>0</v>
      </c>
      <c r="DY126" s="116">
        <f t="shared" si="1452"/>
        <v>0</v>
      </c>
      <c r="DZ126" s="116">
        <f t="shared" si="1452"/>
        <v>0</v>
      </c>
      <c r="EA126" s="116">
        <f t="shared" si="1452"/>
        <v>0</v>
      </c>
      <c r="EB126" s="116">
        <f t="shared" si="1452"/>
        <v>0</v>
      </c>
      <c r="EG126" s="117">
        <f>COUNTIF(EG9:EG125,"&gt;&lt;0")</f>
        <v>2</v>
      </c>
      <c r="EH126" s="117">
        <f>COUNTIF(EH9:EH125,"&gt;&lt;0")</f>
        <v>0</v>
      </c>
      <c r="EI126" s="116">
        <f t="shared" ref="EI126:FF126" si="1453">SUM(EI9:EI125)</f>
        <v>9</v>
      </c>
      <c r="EJ126" s="116">
        <f t="shared" si="1453"/>
        <v>4</v>
      </c>
      <c r="EK126" s="116">
        <f t="shared" si="1453"/>
        <v>0</v>
      </c>
      <c r="EL126" s="116">
        <f t="shared" si="1453"/>
        <v>1</v>
      </c>
      <c r="EM126" s="116">
        <f t="shared" si="1453"/>
        <v>0</v>
      </c>
      <c r="EN126" s="116">
        <f t="shared" si="1453"/>
        <v>0</v>
      </c>
      <c r="EO126" s="116">
        <f t="shared" si="1453"/>
        <v>0</v>
      </c>
      <c r="EP126" s="116">
        <f t="shared" si="1453"/>
        <v>0</v>
      </c>
      <c r="EQ126" s="116">
        <f t="shared" si="1453"/>
        <v>2</v>
      </c>
      <c r="ER126" s="116">
        <f t="shared" si="1453"/>
        <v>2</v>
      </c>
      <c r="ES126" s="116">
        <f t="shared" si="1453"/>
        <v>2</v>
      </c>
      <c r="ET126" s="116">
        <f t="shared" si="1453"/>
        <v>0</v>
      </c>
      <c r="EU126" s="116">
        <f t="shared" si="1453"/>
        <v>0</v>
      </c>
      <c r="EV126" s="116">
        <f t="shared" si="1453"/>
        <v>2</v>
      </c>
      <c r="EW126" s="116">
        <f t="shared" si="1453"/>
        <v>0</v>
      </c>
      <c r="EX126" s="116">
        <f t="shared" si="1453"/>
        <v>0</v>
      </c>
      <c r="EY126" s="116">
        <f t="shared" si="1453"/>
        <v>0</v>
      </c>
      <c r="EZ126" s="116">
        <f t="shared" si="1453"/>
        <v>2</v>
      </c>
      <c r="FA126" s="116">
        <f t="shared" si="1453"/>
        <v>2</v>
      </c>
      <c r="FB126" s="116">
        <f t="shared" si="1453"/>
        <v>2</v>
      </c>
      <c r="FC126" s="116">
        <f t="shared" si="1453"/>
        <v>2</v>
      </c>
      <c r="FD126" s="116">
        <f t="shared" si="1453"/>
        <v>0</v>
      </c>
      <c r="FE126" s="116">
        <f t="shared" si="1453"/>
        <v>0</v>
      </c>
      <c r="FF126" s="116">
        <f t="shared" si="1453"/>
        <v>0</v>
      </c>
      <c r="FH126" s="116">
        <f t="shared" ref="FH126:FV126" si="1454">SUM(FH9:FH125)</f>
        <v>0</v>
      </c>
      <c r="FI126" s="116">
        <f t="shared" si="1454"/>
        <v>0</v>
      </c>
      <c r="FJ126" s="116">
        <f t="shared" si="1454"/>
        <v>0</v>
      </c>
      <c r="FK126" s="116">
        <f t="shared" si="1454"/>
        <v>0</v>
      </c>
      <c r="FL126" s="116">
        <f t="shared" si="1454"/>
        <v>0</v>
      </c>
      <c r="FM126" s="116">
        <f t="shared" si="1454"/>
        <v>0</v>
      </c>
      <c r="FN126" s="116">
        <f t="shared" si="1454"/>
        <v>0</v>
      </c>
      <c r="FO126" s="116">
        <f t="shared" si="1454"/>
        <v>0</v>
      </c>
      <c r="FP126" s="116">
        <f t="shared" si="1454"/>
        <v>0</v>
      </c>
      <c r="FQ126" s="116">
        <f t="shared" si="1454"/>
        <v>0</v>
      </c>
      <c r="FR126" s="116">
        <f t="shared" si="1454"/>
        <v>0</v>
      </c>
      <c r="FS126" s="116">
        <f t="shared" si="1454"/>
        <v>0</v>
      </c>
      <c r="FT126" s="116">
        <f t="shared" si="1454"/>
        <v>0</v>
      </c>
      <c r="FU126" s="116">
        <f t="shared" si="1454"/>
        <v>0</v>
      </c>
      <c r="FV126" s="116">
        <f t="shared" si="1454"/>
        <v>0</v>
      </c>
      <c r="FX126" s="116">
        <f t="shared" ref="FX126:GE126" si="1455">SUM(FX9:FX125)</f>
        <v>43</v>
      </c>
      <c r="FY126" s="116">
        <f t="shared" si="1455"/>
        <v>2681</v>
      </c>
      <c r="FZ126" s="116">
        <f t="shared" si="1455"/>
        <v>1276</v>
      </c>
      <c r="GA126" s="116">
        <f t="shared" si="1455"/>
        <v>0</v>
      </c>
      <c r="GB126" s="116">
        <f t="shared" si="1455"/>
        <v>1340</v>
      </c>
      <c r="GC126" s="116">
        <f t="shared" si="1455"/>
        <v>0</v>
      </c>
      <c r="GD126" s="180">
        <f t="shared" si="1455"/>
        <v>0</v>
      </c>
      <c r="GE126" s="116">
        <f t="shared" si="1455"/>
        <v>65</v>
      </c>
      <c r="GG126" s="182">
        <f>SUM(GG9:GG125)</f>
        <v>0</v>
      </c>
      <c r="GH126" s="183">
        <f>SUM(GH9:GH125)</f>
        <v>0</v>
      </c>
      <c r="GJ126" s="184">
        <f>SUM(GJ9:GJ125)</f>
        <v>0</v>
      </c>
      <c r="GK126" s="185">
        <f>SUM(GK9:GK125)</f>
        <v>0</v>
      </c>
      <c r="GO126" s="119">
        <f>SUM(GO9:GO125)</f>
        <v>0</v>
      </c>
      <c r="GP126" s="181">
        <f>SUM(GP9:GP125)</f>
        <v>0</v>
      </c>
      <c r="GQ126" s="119">
        <f>SUM(GQ9:GQ125)</f>
        <v>0</v>
      </c>
      <c r="GR126" s="119">
        <f>SUM(GR9:GR125)</f>
        <v>13</v>
      </c>
      <c r="GS126" s="119">
        <f>SUM(GS9:GS125)</f>
        <v>15</v>
      </c>
      <c r="GT126" s="119">
        <f>SUM(GT9:GT101)</f>
        <v>89</v>
      </c>
      <c r="GU126" s="119">
        <f>COUNTA(GU9:GU100)</f>
        <v>90</v>
      </c>
      <c r="GV126" s="119">
        <f>COUNTA(GV9:GV101)</f>
        <v>91</v>
      </c>
      <c r="GW126" s="119">
        <f>SUM(GW9:GW125)</f>
        <v>15</v>
      </c>
      <c r="GX126" s="119">
        <f>COUNTA(GX9:GX125)</f>
        <v>115</v>
      </c>
      <c r="GY126" s="119"/>
      <c r="GZ126" s="119">
        <f>COUNTA(GZ9:GZ125)</f>
        <v>115</v>
      </c>
      <c r="HA126" s="83"/>
      <c r="HB126" s="83"/>
      <c r="HC126" s="119">
        <f>SUM(HC9:HC125)</f>
        <v>2</v>
      </c>
      <c r="HD126" s="119">
        <f>SUM(HD9:HD125)</f>
        <v>0</v>
      </c>
      <c r="HE126" s="119">
        <f>SUM(HE9:HE125)</f>
        <v>2</v>
      </c>
      <c r="HF126" s="119">
        <f>SUM(HF9:HF125)</f>
        <v>0</v>
      </c>
      <c r="HG126" s="119">
        <f>SUM(HG9:HG125)</f>
        <v>2</v>
      </c>
      <c r="HH126" s="119">
        <f>COUNTA(HH9:HH125)</f>
        <v>115</v>
      </c>
      <c r="HI126" s="119">
        <f>COUNTA(HI9:HI125)</f>
        <v>115</v>
      </c>
      <c r="HJ126" s="83"/>
      <c r="HK126" s="119">
        <f>COUNTA(HK9:HK125)</f>
        <v>115</v>
      </c>
      <c r="HL126" s="83"/>
      <c r="HM126" s="83"/>
      <c r="HN126" s="83"/>
      <c r="HO126" s="83"/>
      <c r="HP126" s="120">
        <f>HP128</f>
        <v>43257</v>
      </c>
      <c r="HQ126" s="119">
        <f>SUM(HQ9:HQ125)</f>
        <v>0</v>
      </c>
      <c r="HR126" s="119">
        <f>SUM(HR9:HR125)</f>
        <v>0</v>
      </c>
      <c r="HS126" s="120">
        <f>HS128</f>
        <v>43288</v>
      </c>
      <c r="HT126" s="119">
        <f>SUM(HT9:HT125)</f>
        <v>2</v>
      </c>
      <c r="HU126" s="119">
        <f>SUM(HU9:HU125)</f>
        <v>350</v>
      </c>
      <c r="HV126" s="120">
        <f>HV128</f>
        <v>43267</v>
      </c>
      <c r="HW126" s="119">
        <f>SUM(HW9:HW125)</f>
        <v>0</v>
      </c>
      <c r="HX126" s="119">
        <f>SUM(HX9:HX125)</f>
        <v>0</v>
      </c>
      <c r="HY126" s="120">
        <f>HY128</f>
        <v>43312</v>
      </c>
      <c r="HZ126" s="119">
        <f>SUM(HZ9:HZ125)</f>
        <v>0</v>
      </c>
      <c r="IA126" s="119">
        <f>SUM(IA9:IA125)</f>
        <v>0</v>
      </c>
      <c r="IB126" s="120">
        <f>IB128</f>
        <v>43277</v>
      </c>
      <c r="IC126" s="119">
        <f>SUM(IC9:IC125)</f>
        <v>0</v>
      </c>
      <c r="ID126" s="119">
        <f>SUM(ID9:ID125)</f>
        <v>0</v>
      </c>
      <c r="IE126" s="120">
        <f>IE128</f>
        <v>43322</v>
      </c>
      <c r="IF126" s="119">
        <f>SUM(IF9:IF125)</f>
        <v>0</v>
      </c>
      <c r="IG126" s="119">
        <f>SUM(IG9:IG125)</f>
        <v>0</v>
      </c>
      <c r="IH126" s="120">
        <f>IH128</f>
        <v>43297</v>
      </c>
      <c r="II126" s="119">
        <f>SUM(II9:II125)</f>
        <v>0</v>
      </c>
      <c r="IJ126" s="119">
        <f>SUM(IJ9:IJ125)</f>
        <v>0</v>
      </c>
      <c r="IK126" s="120">
        <f>IK128</f>
        <v>43342</v>
      </c>
      <c r="IL126" s="119">
        <f>SUM(IL9:IL125)</f>
        <v>0</v>
      </c>
      <c r="IM126" s="119">
        <f>SUM(IM9:IM125)</f>
        <v>0</v>
      </c>
      <c r="IN126" s="83"/>
      <c r="IO126" s="120">
        <f>IO128</f>
        <v>43288</v>
      </c>
      <c r="IP126" s="119">
        <f>SUM(IP9:IP125)</f>
        <v>0</v>
      </c>
      <c r="IQ126" s="119">
        <f>SUM(IQ9:IQ125)</f>
        <v>0</v>
      </c>
      <c r="IR126" s="83"/>
      <c r="IS126" s="120">
        <f>$D$3</f>
        <v>44201</v>
      </c>
      <c r="IT126" s="119">
        <f>SUM(IT9:IT125)</f>
        <v>100</v>
      </c>
      <c r="IU126" s="119">
        <f>SUM(IU9:IU125)</f>
        <v>13117</v>
      </c>
      <c r="IV126" s="83"/>
      <c r="IW126" s="120">
        <f>$D$3</f>
        <v>44201</v>
      </c>
      <c r="IX126" s="119">
        <f>SUM(IX9:IX125)</f>
        <v>2</v>
      </c>
      <c r="IY126" s="119">
        <f>SUM(IY9:IY125)</f>
        <v>350</v>
      </c>
      <c r="IZ126" s="83"/>
      <c r="JA126" s="119"/>
      <c r="JB126" s="119">
        <f>SUM(JB9:JB125)</f>
        <v>13</v>
      </c>
      <c r="JC126" s="119">
        <f>SUM(JC9:JC125)</f>
        <v>5632</v>
      </c>
      <c r="JD126" s="83"/>
      <c r="JE126" s="119"/>
      <c r="JF126" s="119">
        <f>SUM(JF9:JF125)</f>
        <v>117</v>
      </c>
      <c r="JG126" s="119">
        <f>SUM(JG9:JG125)</f>
        <v>19449</v>
      </c>
      <c r="JH126" s="83"/>
      <c r="JI126" s="119"/>
      <c r="JJ126" s="119">
        <f>SUM(JJ9:JJ125)</f>
        <v>2</v>
      </c>
      <c r="JK126" s="119">
        <f>SUM(JK9:JK125)</f>
        <v>350</v>
      </c>
      <c r="JM126" s="120">
        <f>MAX(JM9:JM125)</f>
        <v>43288</v>
      </c>
      <c r="JO126" s="29">
        <f>MAX(JO9:JO125)</f>
        <v>1</v>
      </c>
      <c r="JP126" s="119">
        <f t="shared" ref="JP126:KB126" si="1456">SUM(JP9:JP125)</f>
        <v>2681</v>
      </c>
      <c r="JQ126" s="119">
        <f t="shared" si="1456"/>
        <v>34</v>
      </c>
      <c r="JR126" s="119">
        <f t="shared" si="1456"/>
        <v>0</v>
      </c>
      <c r="JS126" s="119">
        <f t="shared" si="1456"/>
        <v>7</v>
      </c>
      <c r="JT126" s="119">
        <f t="shared" si="1456"/>
        <v>0</v>
      </c>
      <c r="JU126" s="119">
        <f t="shared" si="1456"/>
        <v>0</v>
      </c>
      <c r="JV126" s="119">
        <f t="shared" si="1456"/>
        <v>0</v>
      </c>
      <c r="JW126" s="119">
        <f t="shared" si="1456"/>
        <v>0</v>
      </c>
      <c r="JX126" s="119">
        <f t="shared" si="1456"/>
        <v>0</v>
      </c>
      <c r="JY126" s="119">
        <f t="shared" si="1456"/>
        <v>0</v>
      </c>
      <c r="JZ126" s="119">
        <f t="shared" si="1456"/>
        <v>0</v>
      </c>
      <c r="KA126" s="119">
        <f t="shared" si="1456"/>
        <v>0</v>
      </c>
      <c r="KB126" s="119">
        <f t="shared" si="1456"/>
        <v>2</v>
      </c>
      <c r="KD126" s="119">
        <f t="shared" ref="KD126:KR126" si="1457">SUM(KD9:KD125)</f>
        <v>7</v>
      </c>
      <c r="KE126" s="119">
        <f t="shared" si="1457"/>
        <v>1340</v>
      </c>
      <c r="KF126" s="119">
        <f t="shared" si="1457"/>
        <v>2681</v>
      </c>
      <c r="KG126" s="119">
        <f t="shared" si="1457"/>
        <v>1276</v>
      </c>
      <c r="KH126" s="119">
        <f t="shared" si="1457"/>
        <v>0</v>
      </c>
      <c r="KI126" s="119">
        <f t="shared" si="1457"/>
        <v>1340</v>
      </c>
      <c r="KJ126" s="119">
        <f t="shared" si="1457"/>
        <v>0</v>
      </c>
      <c r="KK126" s="119">
        <f t="shared" si="1457"/>
        <v>0</v>
      </c>
      <c r="KL126" s="119">
        <f t="shared" si="1457"/>
        <v>0</v>
      </c>
      <c r="KM126" s="119">
        <f t="shared" si="1457"/>
        <v>0</v>
      </c>
      <c r="KN126" s="119">
        <f t="shared" si="1457"/>
        <v>0</v>
      </c>
      <c r="KO126" s="119">
        <f t="shared" si="1457"/>
        <v>0</v>
      </c>
      <c r="KP126" s="119">
        <f t="shared" si="1457"/>
        <v>0</v>
      </c>
      <c r="KQ126" s="119">
        <f t="shared" si="1457"/>
        <v>0</v>
      </c>
      <c r="KR126" s="119">
        <f t="shared" si="1457"/>
        <v>65</v>
      </c>
      <c r="KT126" s="119">
        <f t="shared" ref="KT126:LY126" si="1458">SUM(KT9:KT125)</f>
        <v>13</v>
      </c>
      <c r="KU126" s="119">
        <f t="shared" si="1458"/>
        <v>0</v>
      </c>
      <c r="KV126" s="119">
        <f t="shared" si="1458"/>
        <v>0</v>
      </c>
      <c r="KW126" s="119">
        <f t="shared" si="1458"/>
        <v>0</v>
      </c>
      <c r="KX126" s="119">
        <f t="shared" si="1458"/>
        <v>0</v>
      </c>
      <c r="KY126" s="119">
        <f t="shared" si="1458"/>
        <v>0</v>
      </c>
      <c r="KZ126" s="119">
        <f t="shared" si="1458"/>
        <v>0</v>
      </c>
      <c r="LA126" s="119">
        <f t="shared" si="1458"/>
        <v>0</v>
      </c>
      <c r="LB126" s="119">
        <f t="shared" si="1458"/>
        <v>0</v>
      </c>
      <c r="LC126" s="119">
        <f t="shared" si="1458"/>
        <v>0</v>
      </c>
      <c r="LD126" s="119">
        <f t="shared" si="1458"/>
        <v>0</v>
      </c>
      <c r="LE126" s="119">
        <f t="shared" si="1458"/>
        <v>0</v>
      </c>
      <c r="LF126" s="119">
        <f t="shared" si="1458"/>
        <v>0</v>
      </c>
      <c r="LG126" s="119">
        <f t="shared" si="1458"/>
        <v>0</v>
      </c>
      <c r="LH126" s="119">
        <f t="shared" si="1458"/>
        <v>0</v>
      </c>
      <c r="LI126" s="119">
        <f t="shared" si="1458"/>
        <v>0</v>
      </c>
      <c r="LJ126" s="119">
        <f t="shared" si="1458"/>
        <v>0</v>
      </c>
      <c r="LK126" s="119">
        <f t="shared" si="1458"/>
        <v>0</v>
      </c>
      <c r="LL126" s="119">
        <f t="shared" si="1458"/>
        <v>0</v>
      </c>
      <c r="LM126" s="119">
        <f t="shared" si="1458"/>
        <v>3</v>
      </c>
      <c r="LN126" s="119">
        <f t="shared" si="1458"/>
        <v>3</v>
      </c>
      <c r="LO126" s="119">
        <f t="shared" si="1458"/>
        <v>0</v>
      </c>
      <c r="LP126" s="119">
        <f t="shared" si="1458"/>
        <v>0</v>
      </c>
      <c r="LQ126" s="119">
        <f t="shared" si="1458"/>
        <v>0</v>
      </c>
      <c r="LR126" s="119">
        <f t="shared" si="1458"/>
        <v>0</v>
      </c>
      <c r="LS126" s="119">
        <f t="shared" si="1458"/>
        <v>0</v>
      </c>
      <c r="LT126" s="119">
        <f t="shared" si="1458"/>
        <v>0</v>
      </c>
      <c r="LU126" s="119">
        <f t="shared" si="1458"/>
        <v>0</v>
      </c>
      <c r="LV126" s="119">
        <f t="shared" si="1458"/>
        <v>0</v>
      </c>
      <c r="LW126" s="119">
        <f t="shared" si="1458"/>
        <v>0</v>
      </c>
      <c r="LX126" s="119">
        <f t="shared" si="1458"/>
        <v>0</v>
      </c>
      <c r="LY126" s="119">
        <f t="shared" si="1458"/>
        <v>0</v>
      </c>
      <c r="LZ126" s="119">
        <f t="shared" ref="LZ126:NE126" si="1459">SUM(LZ9:LZ125)</f>
        <v>0</v>
      </c>
      <c r="MA126" s="119">
        <f t="shared" si="1459"/>
        <v>0</v>
      </c>
      <c r="MB126" s="119">
        <f t="shared" si="1459"/>
        <v>0</v>
      </c>
      <c r="MC126" s="119">
        <f t="shared" si="1459"/>
        <v>0</v>
      </c>
      <c r="MD126" s="119">
        <f t="shared" si="1459"/>
        <v>0</v>
      </c>
      <c r="ME126" s="119">
        <f t="shared" si="1459"/>
        <v>0</v>
      </c>
      <c r="MF126" s="119">
        <f t="shared" si="1459"/>
        <v>0</v>
      </c>
      <c r="MG126" s="119">
        <f t="shared" si="1459"/>
        <v>0</v>
      </c>
      <c r="MH126" s="119">
        <f t="shared" si="1459"/>
        <v>0</v>
      </c>
      <c r="MI126" s="119">
        <f t="shared" si="1459"/>
        <v>0</v>
      </c>
      <c r="MJ126" s="119">
        <f t="shared" si="1459"/>
        <v>0</v>
      </c>
      <c r="MK126" s="119">
        <f t="shared" si="1459"/>
        <v>0</v>
      </c>
      <c r="ML126" s="119">
        <f t="shared" si="1459"/>
        <v>0</v>
      </c>
      <c r="MM126" s="119">
        <f t="shared" si="1459"/>
        <v>0</v>
      </c>
      <c r="MN126" s="119">
        <f t="shared" si="1459"/>
        <v>0</v>
      </c>
      <c r="MO126" s="119">
        <f t="shared" si="1459"/>
        <v>0</v>
      </c>
      <c r="MP126" s="119">
        <f t="shared" si="1459"/>
        <v>0</v>
      </c>
      <c r="MQ126" s="119">
        <f t="shared" si="1459"/>
        <v>0</v>
      </c>
      <c r="MR126" s="119">
        <f t="shared" si="1459"/>
        <v>0</v>
      </c>
      <c r="MS126" s="119">
        <f t="shared" si="1459"/>
        <v>0</v>
      </c>
      <c r="MT126" s="119">
        <f t="shared" si="1459"/>
        <v>0</v>
      </c>
      <c r="MU126" s="119">
        <f t="shared" si="1459"/>
        <v>0</v>
      </c>
      <c r="MV126" s="119">
        <f t="shared" si="1459"/>
        <v>0</v>
      </c>
      <c r="MW126" s="119">
        <f t="shared" si="1459"/>
        <v>0</v>
      </c>
      <c r="MX126" s="119">
        <f t="shared" si="1459"/>
        <v>0</v>
      </c>
      <c r="MY126" s="119">
        <f t="shared" si="1459"/>
        <v>0</v>
      </c>
      <c r="MZ126" s="119">
        <f t="shared" si="1459"/>
        <v>0</v>
      </c>
      <c r="NA126" s="119">
        <f t="shared" si="1459"/>
        <v>0</v>
      </c>
      <c r="NB126" s="119">
        <f t="shared" si="1459"/>
        <v>0</v>
      </c>
      <c r="NC126" s="119">
        <f t="shared" si="1459"/>
        <v>0</v>
      </c>
      <c r="ND126" s="119">
        <f t="shared" si="1459"/>
        <v>0</v>
      </c>
      <c r="NE126" s="119">
        <f t="shared" si="1459"/>
        <v>0</v>
      </c>
      <c r="NF126" s="119">
        <f t="shared" ref="NF126:NK126" si="1460">SUM(NF9:NF125)</f>
        <v>0</v>
      </c>
      <c r="NG126" s="119">
        <f t="shared" si="1460"/>
        <v>0</v>
      </c>
      <c r="NH126" s="119">
        <f t="shared" si="1460"/>
        <v>0</v>
      </c>
      <c r="NI126" s="119">
        <f t="shared" si="1460"/>
        <v>0</v>
      </c>
      <c r="NJ126" s="119">
        <f t="shared" si="1460"/>
        <v>0</v>
      </c>
      <c r="NK126" s="119">
        <f t="shared" si="1460"/>
        <v>0</v>
      </c>
      <c r="NM126" s="119">
        <f t="shared" ref="NM126:NU126" si="1461">SUM(NM9:NM125)</f>
        <v>0</v>
      </c>
      <c r="NN126" s="119">
        <f t="shared" si="1461"/>
        <v>4</v>
      </c>
      <c r="NO126" s="119">
        <f t="shared" si="1461"/>
        <v>0</v>
      </c>
      <c r="NP126" s="119">
        <f t="shared" si="1461"/>
        <v>0</v>
      </c>
      <c r="NQ126" s="119">
        <f t="shared" si="1461"/>
        <v>0</v>
      </c>
      <c r="NR126" s="119">
        <f t="shared" si="1461"/>
        <v>9</v>
      </c>
      <c r="NS126" s="119">
        <f t="shared" si="1461"/>
        <v>0</v>
      </c>
      <c r="NT126" s="119">
        <f t="shared" si="1461"/>
        <v>13</v>
      </c>
      <c r="NU126" s="119">
        <f t="shared" si="1461"/>
        <v>0</v>
      </c>
      <c r="NZ126">
        <f>MAX(NZ9:NZ125)</f>
        <v>16000000</v>
      </c>
      <c r="OA126">
        <f>MIN(NZ9:NZ125)</f>
        <v>6800000</v>
      </c>
      <c r="OB126">
        <f>AVERAGE(NZ9:NZ125)</f>
        <v>12054210.784313725</v>
      </c>
      <c r="OE126" s="125">
        <f t="shared" ref="OE126:OM126" si="1462">SUM(OE32:OE125)</f>
        <v>0</v>
      </c>
      <c r="OF126" s="125">
        <f t="shared" si="1462"/>
        <v>0</v>
      </c>
      <c r="OG126" s="125">
        <f t="shared" si="1462"/>
        <v>0</v>
      </c>
      <c r="OH126" s="125">
        <f t="shared" si="1462"/>
        <v>2</v>
      </c>
      <c r="OI126" s="125">
        <f t="shared" si="1462"/>
        <v>0</v>
      </c>
      <c r="OJ126" s="125">
        <f t="shared" si="1462"/>
        <v>0</v>
      </c>
      <c r="OK126" s="125">
        <f t="shared" si="1462"/>
        <v>0</v>
      </c>
      <c r="OL126" s="125">
        <f t="shared" si="1462"/>
        <v>0</v>
      </c>
      <c r="OM126" s="125">
        <f t="shared" si="1462"/>
        <v>0</v>
      </c>
      <c r="OO126" s="125">
        <f t="shared" ref="OO126:OW126" si="1463">SUM(OO32:OO125)</f>
        <v>0</v>
      </c>
      <c r="OP126" s="125">
        <f t="shared" si="1463"/>
        <v>0</v>
      </c>
      <c r="OQ126" s="125">
        <f t="shared" si="1463"/>
        <v>0</v>
      </c>
      <c r="OR126" s="125">
        <f t="shared" si="1463"/>
        <v>2</v>
      </c>
      <c r="OS126" s="125">
        <f t="shared" si="1463"/>
        <v>0</v>
      </c>
      <c r="OT126" s="125">
        <f t="shared" si="1463"/>
        <v>0</v>
      </c>
      <c r="OU126" s="125">
        <f t="shared" si="1463"/>
        <v>0</v>
      </c>
      <c r="OV126" s="125">
        <f t="shared" si="1463"/>
        <v>0</v>
      </c>
      <c r="OW126" s="125">
        <f t="shared" si="1463"/>
        <v>0</v>
      </c>
      <c r="OZ126" s="125">
        <f t="shared" ref="OZ126:PL126" si="1464">SUM(OZ32:OZ125)</f>
        <v>13</v>
      </c>
      <c r="PA126" s="125">
        <f t="shared" si="1464"/>
        <v>11</v>
      </c>
      <c r="PB126" s="125">
        <f t="shared" si="1464"/>
        <v>2</v>
      </c>
      <c r="PC126" s="125">
        <f t="shared" si="1464"/>
        <v>1</v>
      </c>
      <c r="PD126" s="125">
        <f t="shared" si="1464"/>
        <v>1</v>
      </c>
      <c r="PE126" s="125">
        <f t="shared" si="1464"/>
        <v>1</v>
      </c>
      <c r="PF126" s="125">
        <f t="shared" si="1464"/>
        <v>0</v>
      </c>
      <c r="PG126" s="125">
        <f t="shared" si="1464"/>
        <v>842</v>
      </c>
      <c r="PH126" s="125">
        <f t="shared" si="1464"/>
        <v>4790</v>
      </c>
      <c r="PI126" s="125">
        <f t="shared" si="1464"/>
        <v>4739</v>
      </c>
      <c r="PJ126" s="125">
        <f t="shared" si="1464"/>
        <v>51</v>
      </c>
      <c r="PK126" s="125">
        <f t="shared" si="1464"/>
        <v>51</v>
      </c>
      <c r="PL126" s="125">
        <f t="shared" si="1464"/>
        <v>0</v>
      </c>
      <c r="PO126" s="125">
        <f>SUM(PO32:PO125)</f>
        <v>350</v>
      </c>
      <c r="PP126" s="125">
        <f>SUM(PP32:PP125)</f>
        <v>0</v>
      </c>
      <c r="PQ126" s="125">
        <f>SUM(PQ32:PQ125)</f>
        <v>0</v>
      </c>
      <c r="XFC126" s="81">
        <f>SUM(XFC9:XFC125)</f>
        <v>9255663000</v>
      </c>
      <c r="XFD126" s="81">
        <f>SUM(XFD9:XFD125)</f>
        <v>28529462000</v>
      </c>
    </row>
    <row r="127" spans="1:437 16383:16384" ht="16" x14ac:dyDescent="0.2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6"/>
      <c r="AG127" s="27"/>
      <c r="EJ127" s="136">
        <f>EG126-EJ126</f>
        <v>-2</v>
      </c>
      <c r="GO127" s="83"/>
      <c r="GP127" s="83"/>
      <c r="GQ127" s="83"/>
      <c r="GR127" s="83"/>
      <c r="GS127" s="83"/>
      <c r="GT127" s="83"/>
      <c r="GU127" s="83"/>
      <c r="GV127" s="83"/>
      <c r="GW127" s="83"/>
      <c r="GX127" s="83"/>
      <c r="GY127" s="83"/>
      <c r="GZ127" s="83"/>
      <c r="HA127" s="83"/>
      <c r="HB127" s="83"/>
      <c r="HC127" s="83"/>
      <c r="HD127" s="83"/>
      <c r="HE127" s="83"/>
      <c r="HF127" s="83"/>
      <c r="HG127" s="83"/>
      <c r="HH127" s="83"/>
      <c r="HI127" s="83"/>
      <c r="HJ127" s="83"/>
      <c r="HK127" s="83"/>
      <c r="HL127" s="83"/>
      <c r="HM127" s="83"/>
      <c r="HN127" s="83"/>
      <c r="HO127" s="83"/>
      <c r="HP127" s="83"/>
      <c r="HQ127" s="83"/>
      <c r="HR127" s="83"/>
      <c r="HS127" s="83"/>
      <c r="HT127" s="83"/>
      <c r="HU127" s="83"/>
      <c r="HV127" s="83"/>
      <c r="HW127" s="83"/>
      <c r="HX127" s="83"/>
      <c r="HY127" s="105"/>
      <c r="HZ127" s="83"/>
      <c r="IA127" s="83"/>
      <c r="IB127" s="83"/>
      <c r="IC127" s="83"/>
      <c r="ID127" s="83"/>
      <c r="IE127" s="83"/>
      <c r="IF127" s="83"/>
      <c r="IG127" s="83"/>
      <c r="IH127" s="83"/>
      <c r="II127" s="83"/>
      <c r="IJ127" s="83"/>
      <c r="IK127" s="83"/>
      <c r="IL127" s="83"/>
      <c r="IM127" s="83"/>
      <c r="IN127" s="83"/>
      <c r="IO127" s="83"/>
      <c r="IP127" s="83"/>
      <c r="IQ127" s="83"/>
      <c r="IR127" s="83"/>
      <c r="IS127" s="83"/>
      <c r="IT127" s="83"/>
      <c r="IU127" s="83"/>
      <c r="IV127" s="83"/>
      <c r="IW127" s="83"/>
      <c r="IX127" s="83"/>
      <c r="IY127" s="83"/>
      <c r="IZ127" s="83"/>
      <c r="JA127" s="83"/>
      <c r="JB127" s="83"/>
      <c r="JC127" s="83"/>
      <c r="JD127" s="83"/>
      <c r="JE127" s="83"/>
      <c r="JF127" s="83"/>
      <c r="JG127" s="83"/>
      <c r="JH127" s="83"/>
      <c r="JI127" s="83"/>
      <c r="JJ127" s="83"/>
      <c r="JK127" s="83"/>
      <c r="JP127" s="124">
        <f>SUM(JQ126:KB126)</f>
        <v>43</v>
      </c>
      <c r="KF127" s="124">
        <f>SUM(KG126:KR126)</f>
        <v>2681</v>
      </c>
      <c r="NZ127" t="s">
        <v>593</v>
      </c>
      <c r="OA127" t="s">
        <v>594</v>
      </c>
      <c r="OB127" t="s">
        <v>595</v>
      </c>
    </row>
    <row r="128" spans="1:437 16383:16384" ht="16" x14ac:dyDescent="0.2"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R128" s="29"/>
      <c r="S128" s="29"/>
      <c r="T128" s="29"/>
      <c r="U128" s="29"/>
      <c r="V128" s="29"/>
      <c r="W128" s="29"/>
      <c r="X128" s="29"/>
      <c r="Y128" t="s">
        <v>18</v>
      </c>
      <c r="Z128" t="s">
        <v>294</v>
      </c>
      <c r="AG128" s="29">
        <f>COUNTIF(AG9:AG123,"A")</f>
        <v>0</v>
      </c>
      <c r="BW128" t="s">
        <v>344</v>
      </c>
      <c r="CC128" s="29">
        <f>COUNTIF(CC9:CC98,"A")</f>
        <v>0</v>
      </c>
      <c r="GO128" s="106">
        <f>GO126</f>
        <v>0</v>
      </c>
      <c r="GP128" s="106">
        <f>GP126-GO126</f>
        <v>0</v>
      </c>
      <c r="GQ128" s="106">
        <f>GQ126-GP126</f>
        <v>0</v>
      </c>
      <c r="GR128" s="106">
        <f>GR126-GQ126</f>
        <v>13</v>
      </c>
      <c r="GS128" s="106">
        <f>GS126-GR126</f>
        <v>2</v>
      </c>
      <c r="GT128" s="106">
        <f>GT126</f>
        <v>89</v>
      </c>
      <c r="GU128" s="83"/>
      <c r="GV128" s="83"/>
      <c r="GW128" s="83"/>
      <c r="GX128" s="83"/>
      <c r="GY128" s="107" t="s">
        <v>464</v>
      </c>
      <c r="GZ128" s="105">
        <f>MAX(GZ9:GZ100)</f>
        <v>43257</v>
      </c>
      <c r="HA128" s="83"/>
      <c r="HB128" s="83"/>
      <c r="HC128" s="83"/>
      <c r="HD128" s="83"/>
      <c r="HE128" s="83"/>
      <c r="HF128" s="83"/>
      <c r="HG128" s="83"/>
      <c r="HH128" s="105">
        <f>MAX(HH9:HH100)</f>
        <v>43288</v>
      </c>
      <c r="HI128" s="83"/>
      <c r="HJ128" s="83"/>
      <c r="HK128" s="83"/>
      <c r="HL128" s="83"/>
      <c r="HM128" s="83"/>
      <c r="HN128" s="83"/>
      <c r="HO128" s="83"/>
      <c r="HP128" s="102">
        <f>+$GU$3+$GY$8</f>
        <v>43257</v>
      </c>
      <c r="HQ128" s="106">
        <f>HQ126</f>
        <v>0</v>
      </c>
      <c r="HR128" s="106">
        <f>HR126</f>
        <v>0</v>
      </c>
      <c r="HS128" s="102">
        <f>+$GU$3+$HH$8</f>
        <v>43288</v>
      </c>
      <c r="HT128" s="106">
        <f>HT126</f>
        <v>2</v>
      </c>
      <c r="HU128" s="106">
        <f>HU126</f>
        <v>350</v>
      </c>
      <c r="HV128" s="102">
        <f>+$GU$3+SUM($GY$7:$GY$8)</f>
        <v>43267</v>
      </c>
      <c r="HW128" s="106">
        <f>HW126</f>
        <v>0</v>
      </c>
      <c r="HX128" s="106">
        <f>HX126</f>
        <v>0</v>
      </c>
      <c r="HY128" s="102">
        <f>+$GU$3+SUM($GY$7:$GY$8)+$HI$8</f>
        <v>43312</v>
      </c>
      <c r="HZ128" s="106">
        <f>HZ126</f>
        <v>0</v>
      </c>
      <c r="IA128" s="106">
        <f>IA126</f>
        <v>0</v>
      </c>
      <c r="IB128" s="102">
        <f>+$GU$3+SUM($GY$6:$GY$8)</f>
        <v>43277</v>
      </c>
      <c r="IC128" s="106">
        <f>IC126</f>
        <v>0</v>
      </c>
      <c r="ID128" s="106">
        <f>ID126</f>
        <v>0</v>
      </c>
      <c r="IE128" s="102">
        <f>+$GU$3+SUM($GY$6:$GY$8)+$HI$8</f>
        <v>43322</v>
      </c>
      <c r="IF128" s="106">
        <f>IF126</f>
        <v>0</v>
      </c>
      <c r="IG128" s="106">
        <f>IG126</f>
        <v>0</v>
      </c>
      <c r="IH128" s="102">
        <f>+$GU$3+SUM($GY$5:$GY$8)</f>
        <v>43297</v>
      </c>
      <c r="II128" s="106">
        <f>II126</f>
        <v>0</v>
      </c>
      <c r="IJ128" s="106">
        <f>IJ126</f>
        <v>0</v>
      </c>
      <c r="IK128" s="102">
        <f>+$GU$3+SUM($GY$5:$GY$8)+$HI$8</f>
        <v>43342</v>
      </c>
      <c r="IL128" s="106">
        <f>IL126</f>
        <v>0</v>
      </c>
      <c r="IM128" s="106">
        <f>IM126</f>
        <v>0</v>
      </c>
      <c r="IN128" s="83"/>
      <c r="IO128" s="102">
        <f>+$GU$3+$HH$8</f>
        <v>43288</v>
      </c>
      <c r="IP128" s="106">
        <f>IP126</f>
        <v>0</v>
      </c>
      <c r="IQ128" s="106">
        <f>IQ126</f>
        <v>0</v>
      </c>
      <c r="IR128" s="83"/>
      <c r="IS128" s="102"/>
      <c r="IT128" s="106">
        <f>IT126</f>
        <v>100</v>
      </c>
      <c r="IU128" s="106">
        <f>IU126</f>
        <v>13117</v>
      </c>
      <c r="IV128" s="83"/>
      <c r="IW128" s="102"/>
      <c r="IX128" s="106">
        <f>IX126</f>
        <v>2</v>
      </c>
      <c r="IY128" s="106">
        <f>IY126</f>
        <v>350</v>
      </c>
      <c r="IZ128" s="83"/>
      <c r="JA128" s="102"/>
      <c r="JB128" s="106">
        <f>JB126</f>
        <v>13</v>
      </c>
      <c r="JC128" s="106">
        <f>JC126</f>
        <v>5632</v>
      </c>
      <c r="JD128" s="83"/>
      <c r="JE128" s="102"/>
      <c r="JF128" s="106">
        <f>JF126</f>
        <v>117</v>
      </c>
      <c r="JG128" s="106">
        <f>JG126</f>
        <v>19449</v>
      </c>
      <c r="JH128" s="83"/>
      <c r="JI128" s="102"/>
      <c r="JJ128" s="66">
        <f>JJ126</f>
        <v>2</v>
      </c>
      <c r="JK128" s="66">
        <f>JK126</f>
        <v>350</v>
      </c>
    </row>
    <row r="129" spans="18:271" x14ac:dyDescent="0.2">
      <c r="Y129" t="s">
        <v>18</v>
      </c>
      <c r="Z129" t="s">
        <v>295</v>
      </c>
      <c r="AA129" s="154"/>
      <c r="AG129" s="29">
        <f>COUNTIF(AG9:AG123,"b")</f>
        <v>0</v>
      </c>
      <c r="BW129" t="s">
        <v>345</v>
      </c>
      <c r="CC129" s="29">
        <f>COUNTIF(CC9:CC98,"b")</f>
        <v>0</v>
      </c>
      <c r="GO129" s="83"/>
      <c r="GP129" s="83"/>
      <c r="GQ129" s="83"/>
      <c r="GR129" s="83"/>
      <c r="GS129" s="83"/>
      <c r="GT129" s="106">
        <f>SUM(GO128:GT128)</f>
        <v>104</v>
      </c>
      <c r="GU129" s="83"/>
      <c r="GV129" s="83"/>
      <c r="GW129" s="83"/>
      <c r="GX129" s="83"/>
      <c r="GY129" s="107" t="s">
        <v>465</v>
      </c>
      <c r="GZ129" s="105">
        <f>MIN(GZ9:GZ100)</f>
        <v>43257</v>
      </c>
      <c r="HA129" s="83"/>
      <c r="HB129" s="83"/>
      <c r="HC129" s="83"/>
      <c r="HD129" s="83"/>
      <c r="HE129" s="83"/>
      <c r="HF129" s="83"/>
      <c r="HG129" s="83"/>
      <c r="HH129" s="105">
        <f>MIN(HH9:HH100)</f>
        <v>43288</v>
      </c>
      <c r="HI129" s="83"/>
      <c r="HJ129" s="83"/>
      <c r="HK129" s="83"/>
      <c r="HL129" s="83"/>
      <c r="HM129" s="83"/>
      <c r="HN129" s="83"/>
      <c r="HO129" s="83"/>
      <c r="HP129" s="83"/>
      <c r="HQ129" s="83"/>
      <c r="HR129" s="83"/>
      <c r="HS129" s="83"/>
      <c r="HT129" s="83"/>
      <c r="HU129" s="83"/>
      <c r="HV129" s="83"/>
      <c r="HW129" s="83"/>
      <c r="HX129" s="83"/>
      <c r="HY129" s="83"/>
      <c r="HZ129" s="83"/>
      <c r="IA129" s="83"/>
      <c r="IB129" s="83"/>
      <c r="IC129" s="83"/>
      <c r="ID129" s="83"/>
      <c r="IE129" s="83"/>
      <c r="IF129" s="83"/>
      <c r="IG129" s="83"/>
      <c r="IH129" s="83"/>
      <c r="II129" s="83"/>
      <c r="IJ129" s="83"/>
      <c r="IK129" s="83"/>
      <c r="IL129" s="83"/>
      <c r="IM129" s="83"/>
      <c r="IN129" s="83"/>
      <c r="IO129" s="83"/>
      <c r="IP129" s="83"/>
      <c r="IQ129" s="83"/>
      <c r="IR129" s="83"/>
      <c r="IS129" s="83"/>
      <c r="IT129" s="83"/>
      <c r="IU129" s="83"/>
      <c r="IV129" s="83"/>
      <c r="IW129" s="83"/>
      <c r="IX129" s="83"/>
      <c r="IY129" s="83"/>
      <c r="IZ129" s="83"/>
      <c r="JA129" s="83"/>
      <c r="JB129" s="83"/>
      <c r="JC129" s="83"/>
      <c r="JD129" s="83"/>
      <c r="JE129" s="83"/>
      <c r="JF129" s="83"/>
      <c r="JG129" s="83"/>
      <c r="JH129" s="83"/>
      <c r="JI129" s="83"/>
      <c r="JJ129" s="83"/>
      <c r="JK129" s="83"/>
    </row>
    <row r="130" spans="18:271" x14ac:dyDescent="0.2">
      <c r="R130" t="s">
        <v>413</v>
      </c>
      <c r="Y130" t="s">
        <v>18</v>
      </c>
      <c r="Z130" t="s">
        <v>296</v>
      </c>
      <c r="AG130" s="29">
        <f>COUNTIF(AG9:AG123,"c")</f>
        <v>0</v>
      </c>
      <c r="BW130" t="s">
        <v>346</v>
      </c>
      <c r="CC130" s="29">
        <f>COUNTIF(CC9:CC98,"c")</f>
        <v>0</v>
      </c>
      <c r="GO130" s="83"/>
      <c r="GP130" s="83"/>
      <c r="GQ130" s="83"/>
      <c r="GR130" s="83"/>
      <c r="GS130" s="83"/>
      <c r="GT130" s="83"/>
      <c r="GU130" s="83"/>
      <c r="GV130" s="83"/>
      <c r="GW130" s="83"/>
      <c r="GX130" s="83"/>
      <c r="GY130" s="83"/>
      <c r="GZ130" s="83"/>
      <c r="HA130" s="83"/>
      <c r="HB130" s="83"/>
      <c r="HC130" s="83"/>
      <c r="HD130" s="83"/>
      <c r="HE130" s="83"/>
      <c r="HF130" s="83"/>
      <c r="HG130" s="83"/>
      <c r="HH130" s="83"/>
      <c r="HI130" s="83"/>
      <c r="HJ130" s="83"/>
      <c r="HK130" s="83"/>
      <c r="HL130" s="83"/>
      <c r="HM130" s="83"/>
      <c r="HN130" s="83"/>
      <c r="HO130" s="83"/>
      <c r="HP130" s="83"/>
      <c r="HQ130" s="83"/>
      <c r="HR130" s="83"/>
      <c r="HS130" s="83"/>
      <c r="HT130" s="83"/>
      <c r="HU130" s="83"/>
      <c r="HV130" s="83"/>
      <c r="HW130" s="83"/>
      <c r="HX130" s="83"/>
      <c r="HY130" s="83"/>
      <c r="HZ130" s="83"/>
      <c r="IA130" s="83"/>
      <c r="IB130" s="83"/>
      <c r="IC130" s="83"/>
      <c r="ID130" s="83"/>
      <c r="IE130" s="83"/>
      <c r="IF130" s="83"/>
      <c r="IG130" s="83"/>
      <c r="IH130" s="83"/>
      <c r="II130" s="83"/>
      <c r="IJ130" s="83"/>
      <c r="IK130" s="83"/>
      <c r="IL130" s="83"/>
      <c r="IM130" s="83"/>
      <c r="IN130" s="83"/>
      <c r="IO130" s="83"/>
      <c r="IP130" s="83"/>
      <c r="IQ130" s="83"/>
      <c r="IR130" s="83"/>
      <c r="IS130" s="83"/>
      <c r="IT130" s="83"/>
      <c r="IU130" s="83"/>
      <c r="IV130" s="83"/>
      <c r="IW130" s="83"/>
      <c r="IX130" s="83"/>
      <c r="IY130" s="83"/>
      <c r="IZ130" s="83"/>
      <c r="JA130" s="83"/>
      <c r="JB130" s="83"/>
      <c r="JC130" s="83"/>
      <c r="JD130" s="83"/>
      <c r="JE130" s="83"/>
      <c r="JF130" s="83"/>
      <c r="JG130" s="83"/>
      <c r="JH130" s="83"/>
      <c r="JI130" s="83"/>
      <c r="JJ130" s="83"/>
      <c r="JK130" s="83"/>
    </row>
    <row r="131" spans="18:271" x14ac:dyDescent="0.2">
      <c r="Y131" t="s">
        <v>18</v>
      </c>
      <c r="Z131" t="s">
        <v>297</v>
      </c>
      <c r="AG131" s="29">
        <f>COUNTIF(AG9:AG123,"D")</f>
        <v>2</v>
      </c>
      <c r="BW131" t="s">
        <v>347</v>
      </c>
      <c r="CC131" s="29">
        <f>COUNTIF(CC9:CC98,"D")</f>
        <v>0</v>
      </c>
      <c r="GO131" s="83"/>
      <c r="GP131" s="83"/>
      <c r="GQ131" s="83"/>
      <c r="GR131" s="83"/>
      <c r="GS131" s="83"/>
      <c r="GT131" s="83"/>
      <c r="GU131" s="83"/>
      <c r="GV131" s="83"/>
      <c r="GW131" s="83"/>
      <c r="GX131" s="107" t="s">
        <v>434</v>
      </c>
      <c r="GY131" s="105">
        <f>$GU$3+SUM($GY$4:$GY$8)</f>
        <v>43317</v>
      </c>
      <c r="GZ131" s="83">
        <f t="shared" ref="GZ131:GZ136" si="1465">COUNTIF($GZ$9:$GZ$100,GY131)</f>
        <v>0</v>
      </c>
      <c r="HA131" s="83"/>
      <c r="HB131" s="83"/>
      <c r="HC131" s="83"/>
      <c r="HD131" s="83"/>
      <c r="HE131" s="83"/>
      <c r="HF131" s="107"/>
      <c r="HG131" s="105"/>
      <c r="HH131" s="83"/>
      <c r="HI131" s="83">
        <f t="shared" ref="HI131:HI136" si="1466">COUNTIF($HI$9:$HI$100,HK131)</f>
        <v>0</v>
      </c>
      <c r="HJ131" s="83"/>
      <c r="HK131" s="105">
        <f>GY131+$HI$8</f>
        <v>43362</v>
      </c>
      <c r="HL131" s="83"/>
      <c r="HM131" s="83"/>
      <c r="HN131" s="83"/>
      <c r="HO131" s="83"/>
      <c r="HP131" s="83"/>
      <c r="HQ131" s="83"/>
      <c r="HR131" s="83"/>
      <c r="HS131" s="83"/>
      <c r="HT131" s="83"/>
      <c r="HU131" s="83"/>
      <c r="HV131" s="83"/>
      <c r="HW131" s="83"/>
      <c r="HX131" s="83"/>
      <c r="HY131" s="83"/>
      <c r="HZ131" s="83"/>
      <c r="IA131" s="83"/>
      <c r="IB131" s="83"/>
      <c r="IC131" s="83"/>
      <c r="ID131" s="83"/>
      <c r="IE131" s="83"/>
      <c r="IF131" s="83"/>
      <c r="IG131" s="83"/>
      <c r="IH131" s="83"/>
      <c r="II131" s="83"/>
      <c r="IJ131" s="83"/>
      <c r="IK131" s="83"/>
      <c r="IL131" s="83"/>
      <c r="IM131" s="83"/>
      <c r="IN131" s="83"/>
      <c r="IO131" s="83"/>
      <c r="IP131" s="83"/>
      <c r="IQ131" s="83"/>
      <c r="IR131" s="83"/>
      <c r="IS131" s="83"/>
      <c r="IT131" s="83"/>
      <c r="IU131" s="83"/>
      <c r="IV131" s="83"/>
      <c r="IW131" s="83"/>
      <c r="IX131" s="83"/>
      <c r="IY131" s="83"/>
      <c r="IZ131" s="83"/>
      <c r="JA131" s="83"/>
      <c r="JB131" s="83"/>
      <c r="JC131" s="83"/>
      <c r="JD131" s="83"/>
      <c r="JE131" s="83"/>
      <c r="JF131" s="83"/>
      <c r="JG131" s="83"/>
      <c r="JH131" s="83"/>
      <c r="JI131" s="83"/>
      <c r="JJ131" s="83"/>
      <c r="JK131" s="83"/>
    </row>
    <row r="132" spans="18:271" x14ac:dyDescent="0.2">
      <c r="AG132" s="29"/>
      <c r="BW132" t="s">
        <v>348</v>
      </c>
      <c r="CC132" s="29">
        <f>COUNTIF(CC9:CC98,"E")</f>
        <v>0</v>
      </c>
      <c r="GO132" s="83"/>
      <c r="GP132" s="83"/>
      <c r="GQ132" s="83"/>
      <c r="GR132" s="83"/>
      <c r="GS132" s="83"/>
      <c r="GT132" s="83"/>
      <c r="GU132" s="83"/>
      <c r="GV132" s="83"/>
      <c r="GW132" s="83"/>
      <c r="GX132" s="83" t="s">
        <v>440</v>
      </c>
      <c r="GY132" s="105">
        <f>+$GU$3+SUM($GY$5:$GY$8)</f>
        <v>43297</v>
      </c>
      <c r="GZ132" s="83">
        <f t="shared" si="1465"/>
        <v>0</v>
      </c>
      <c r="HA132" s="83"/>
      <c r="HB132" s="83"/>
      <c r="HC132" s="83"/>
      <c r="HD132" s="83"/>
      <c r="HE132" s="83"/>
      <c r="HF132" s="83"/>
      <c r="HG132" s="105"/>
      <c r="HH132" s="83"/>
      <c r="HI132" s="83">
        <f t="shared" si="1466"/>
        <v>0</v>
      </c>
      <c r="HJ132" s="83"/>
      <c r="HK132" s="105">
        <f t="shared" ref="HK132:HK135" si="1467">GY132+$HI$8</f>
        <v>43342</v>
      </c>
      <c r="HL132" s="83"/>
      <c r="HM132" s="83"/>
      <c r="HN132" s="83"/>
      <c r="HO132" s="83"/>
      <c r="HP132" s="83"/>
      <c r="HQ132" s="83"/>
      <c r="HR132" s="83"/>
      <c r="HS132" s="83"/>
      <c r="HT132" s="83"/>
      <c r="HU132" s="83"/>
      <c r="HV132" s="83"/>
      <c r="HW132" s="83"/>
      <c r="HX132" s="83"/>
      <c r="HY132" s="83"/>
      <c r="HZ132" s="83"/>
      <c r="IA132" s="83"/>
      <c r="IB132" s="83"/>
      <c r="IC132" s="83"/>
      <c r="ID132" s="83"/>
      <c r="IE132" s="83"/>
      <c r="IF132" s="83"/>
      <c r="IG132" s="83"/>
      <c r="IH132" s="83"/>
      <c r="II132" s="83"/>
      <c r="IJ132" s="83"/>
      <c r="IK132" s="83"/>
      <c r="IL132" s="83"/>
      <c r="IM132" s="83"/>
      <c r="IN132" s="83"/>
      <c r="IO132" s="83"/>
      <c r="IP132" s="83"/>
      <c r="IQ132" s="83"/>
      <c r="IR132" s="83"/>
      <c r="IS132" s="83"/>
      <c r="IT132" s="83"/>
      <c r="IU132" s="83"/>
      <c r="IV132" s="83"/>
      <c r="IW132" s="83"/>
      <c r="IX132" s="83"/>
      <c r="IY132" s="83"/>
      <c r="IZ132" s="83"/>
      <c r="JA132" s="83"/>
      <c r="JB132" s="83"/>
      <c r="JC132" s="83"/>
      <c r="JD132" s="83"/>
      <c r="JE132" s="83"/>
      <c r="JF132" s="83"/>
      <c r="JG132" s="83"/>
      <c r="JH132" s="83"/>
      <c r="JI132" s="83"/>
      <c r="JJ132" s="83"/>
      <c r="JK132" s="83"/>
    </row>
    <row r="133" spans="18:271" x14ac:dyDescent="0.2">
      <c r="Y133" t="s">
        <v>18</v>
      </c>
      <c r="Z133" t="s">
        <v>299</v>
      </c>
      <c r="AG133" s="29">
        <f>SUM(AG128:AG132)</f>
        <v>2</v>
      </c>
      <c r="BW133" t="s">
        <v>299</v>
      </c>
      <c r="CC133" s="29">
        <f>SUM(CC128:CC132)</f>
        <v>0</v>
      </c>
      <c r="GO133" s="83"/>
      <c r="GP133" s="83"/>
      <c r="GQ133" s="83"/>
      <c r="GR133" s="83"/>
      <c r="GS133" s="83"/>
      <c r="GT133" s="83"/>
      <c r="GU133" s="83"/>
      <c r="GV133" s="83"/>
      <c r="GW133" s="83"/>
      <c r="GX133" s="83" t="s">
        <v>7</v>
      </c>
      <c r="GY133" s="105">
        <f>$GU$3+SUM($GY$6:$GY$8)</f>
        <v>43277</v>
      </c>
      <c r="GZ133" s="83">
        <f t="shared" si="1465"/>
        <v>0</v>
      </c>
      <c r="HA133" s="83"/>
      <c r="HB133" s="83"/>
      <c r="HC133" s="83"/>
      <c r="HD133" s="83"/>
      <c r="HE133" s="83"/>
      <c r="HF133" s="83"/>
      <c r="HG133" s="105"/>
      <c r="HH133" s="83"/>
      <c r="HI133" s="83">
        <f t="shared" si="1466"/>
        <v>0</v>
      </c>
      <c r="HJ133" s="83"/>
      <c r="HK133" s="105">
        <f t="shared" si="1467"/>
        <v>43322</v>
      </c>
      <c r="HL133" s="83"/>
      <c r="HM133" s="83"/>
      <c r="HN133" s="83"/>
      <c r="HO133" s="83"/>
      <c r="HP133" s="83"/>
      <c r="HQ133" s="83"/>
      <c r="HR133" s="83"/>
      <c r="HS133" s="83"/>
      <c r="HT133" s="83"/>
      <c r="HU133" s="83"/>
      <c r="HV133" s="83"/>
      <c r="HW133" s="83"/>
      <c r="HX133" s="83"/>
      <c r="HY133" s="83"/>
      <c r="HZ133" s="83"/>
      <c r="IA133" s="83"/>
      <c r="IB133" s="83"/>
      <c r="IC133" s="83"/>
      <c r="ID133" s="83"/>
      <c r="IE133" s="83"/>
      <c r="IF133" s="83"/>
      <c r="IG133" s="83"/>
      <c r="IH133" s="83"/>
      <c r="II133" s="83"/>
      <c r="IJ133" s="83"/>
      <c r="IK133" s="83"/>
      <c r="IL133" s="83"/>
      <c r="IM133" s="83"/>
      <c r="IN133" s="83"/>
      <c r="IO133" s="83"/>
      <c r="IP133" s="83"/>
      <c r="IQ133" s="83"/>
      <c r="IR133" s="83"/>
      <c r="IS133" s="83"/>
      <c r="IT133" s="83"/>
      <c r="IU133" s="83"/>
      <c r="IV133" s="83"/>
      <c r="IW133" s="83"/>
      <c r="IX133" s="83"/>
      <c r="IY133" s="83"/>
      <c r="IZ133" s="83"/>
      <c r="JA133" s="83"/>
      <c r="JB133" s="83"/>
      <c r="JC133" s="83"/>
      <c r="JD133" s="83"/>
      <c r="JE133" s="83"/>
      <c r="JF133" s="83"/>
      <c r="JG133" s="83"/>
      <c r="JH133" s="83"/>
      <c r="JI133" s="83"/>
      <c r="JJ133" s="83"/>
      <c r="JK133" s="83"/>
    </row>
    <row r="134" spans="18:271" x14ac:dyDescent="0.2">
      <c r="AG134" t="s">
        <v>413</v>
      </c>
      <c r="GO134" s="83"/>
      <c r="GP134" s="83"/>
      <c r="GQ134" s="83"/>
      <c r="GR134" s="83"/>
      <c r="GS134" s="83"/>
      <c r="GT134" s="83"/>
      <c r="GU134" s="83"/>
      <c r="GV134" s="83"/>
      <c r="GW134" s="83"/>
      <c r="GX134" s="83" t="s">
        <v>265</v>
      </c>
      <c r="GY134" s="105">
        <f>$GU$3+SUM($GY$7:$GY$8)</f>
        <v>43267</v>
      </c>
      <c r="GZ134" s="83">
        <f t="shared" si="1465"/>
        <v>0</v>
      </c>
      <c r="HA134" s="83"/>
      <c r="HB134" s="83"/>
      <c r="HC134" s="83"/>
      <c r="HD134" s="83"/>
      <c r="HE134" s="83"/>
      <c r="HF134" s="83"/>
      <c r="HG134" s="105"/>
      <c r="HH134" s="83"/>
      <c r="HI134" s="83">
        <f t="shared" si="1466"/>
        <v>0</v>
      </c>
      <c r="HJ134" s="83"/>
      <c r="HK134" s="105">
        <f t="shared" si="1467"/>
        <v>43312</v>
      </c>
      <c r="HL134" s="83"/>
      <c r="HM134" s="83"/>
      <c r="HN134" s="83"/>
      <c r="HO134" s="83"/>
      <c r="HP134" s="83"/>
      <c r="HQ134" s="83"/>
      <c r="HR134" s="83"/>
      <c r="HS134" s="83"/>
      <c r="HT134" s="83"/>
      <c r="HU134" s="83"/>
      <c r="HV134" s="83"/>
      <c r="HW134" s="83"/>
      <c r="HX134" s="83"/>
      <c r="HY134" s="83"/>
      <c r="HZ134" s="83"/>
      <c r="IA134" s="83"/>
      <c r="IB134" s="83"/>
      <c r="IC134" s="83"/>
      <c r="ID134" s="83"/>
      <c r="IE134" s="83"/>
      <c r="IF134" s="83"/>
      <c r="IG134" s="83"/>
      <c r="IH134" s="83"/>
      <c r="II134" s="83"/>
      <c r="IJ134" s="83"/>
      <c r="IK134" s="83"/>
      <c r="IL134" s="83"/>
      <c r="IM134" s="83"/>
      <c r="IN134" s="83"/>
      <c r="IO134" s="83"/>
      <c r="IP134" s="83"/>
      <c r="IQ134" s="83"/>
      <c r="IR134" s="83"/>
      <c r="IS134" s="83"/>
      <c r="IT134" s="83"/>
      <c r="IU134" s="83"/>
      <c r="IV134" s="83"/>
      <c r="IW134" s="83"/>
      <c r="IX134" s="83"/>
      <c r="IY134" s="83"/>
      <c r="IZ134" s="83"/>
      <c r="JA134" s="83"/>
      <c r="JB134" s="83"/>
      <c r="JC134" s="83"/>
      <c r="JD134" s="83"/>
      <c r="JE134" s="83"/>
      <c r="JF134" s="83"/>
      <c r="JG134" s="83"/>
      <c r="JH134" s="83"/>
      <c r="JI134" s="83"/>
      <c r="JJ134" s="83"/>
      <c r="JK134" s="83"/>
    </row>
    <row r="135" spans="18:271" x14ac:dyDescent="0.2">
      <c r="GO135" s="83"/>
      <c r="GP135" s="83"/>
      <c r="GQ135" s="83"/>
      <c r="GR135" s="83"/>
      <c r="GS135" s="83"/>
      <c r="GT135" s="83"/>
      <c r="GU135" s="83"/>
      <c r="GV135" s="83"/>
      <c r="GW135" s="83"/>
      <c r="GX135" s="83" t="s">
        <v>447</v>
      </c>
      <c r="GY135" s="105">
        <f>$GU$3+$GY$8</f>
        <v>43257</v>
      </c>
      <c r="GZ135" s="83">
        <f t="shared" si="1465"/>
        <v>2</v>
      </c>
      <c r="HA135" s="83"/>
      <c r="HB135" s="83"/>
      <c r="HC135" s="83"/>
      <c r="HD135" s="105">
        <f>$GU$3+$HH$8</f>
        <v>43288</v>
      </c>
      <c r="HE135" s="83"/>
      <c r="HF135" s="83"/>
      <c r="HG135" s="83"/>
      <c r="HH135" s="83">
        <f>COUNTIF($HH$9:$HH$100,HD135)</f>
        <v>2</v>
      </c>
      <c r="HI135" s="83">
        <f t="shared" si="1466"/>
        <v>2</v>
      </c>
      <c r="HJ135" s="83"/>
      <c r="HK135" s="105">
        <f t="shared" si="1467"/>
        <v>43302</v>
      </c>
      <c r="HL135" s="83"/>
      <c r="HM135" s="83"/>
      <c r="HN135" s="83"/>
      <c r="HO135" s="83"/>
      <c r="HP135" s="83"/>
      <c r="HQ135" s="83"/>
      <c r="HR135" s="83"/>
      <c r="HS135" s="83"/>
      <c r="HT135" s="83"/>
      <c r="HU135" s="83"/>
      <c r="HV135" s="83"/>
      <c r="HW135" s="83"/>
      <c r="HX135" s="83"/>
      <c r="HY135" s="83"/>
      <c r="HZ135" s="83"/>
      <c r="IA135" s="83"/>
      <c r="IB135" s="83"/>
      <c r="IC135" s="83"/>
      <c r="ID135" s="83"/>
      <c r="IE135" s="83"/>
      <c r="IF135" s="83"/>
      <c r="IG135" s="83"/>
      <c r="IH135" s="83"/>
      <c r="II135" s="83"/>
      <c r="IJ135" s="83"/>
      <c r="IK135" s="83"/>
      <c r="IL135" s="83"/>
      <c r="IM135" s="83"/>
      <c r="IN135" s="83"/>
      <c r="IO135" s="83"/>
      <c r="IP135" s="83"/>
      <c r="IQ135" s="83"/>
      <c r="IR135" s="83"/>
      <c r="IS135" s="83"/>
      <c r="IT135" s="83"/>
      <c r="IU135" s="83"/>
      <c r="IV135" s="83"/>
      <c r="IW135" s="83"/>
      <c r="IX135" s="83"/>
      <c r="IY135" s="83"/>
      <c r="IZ135" s="83"/>
      <c r="JA135" s="83"/>
      <c r="JB135" s="83"/>
      <c r="JC135" s="83"/>
      <c r="JD135" s="83"/>
      <c r="JE135" s="83"/>
      <c r="JF135" s="83"/>
      <c r="JG135" s="83"/>
      <c r="JH135" s="83"/>
      <c r="JI135" s="83"/>
      <c r="JJ135" s="83"/>
      <c r="JK135" s="83"/>
    </row>
    <row r="136" spans="18:271" x14ac:dyDescent="0.2">
      <c r="GO136" s="83"/>
      <c r="GP136" s="83"/>
      <c r="GQ136" s="83"/>
      <c r="GR136" s="83"/>
      <c r="GS136" s="83"/>
      <c r="GT136" s="83"/>
      <c r="GU136" s="83"/>
      <c r="GV136" s="83"/>
      <c r="GW136" s="83"/>
      <c r="GX136" s="107" t="s">
        <v>448</v>
      </c>
      <c r="GY136" s="107" t="s">
        <v>448</v>
      </c>
      <c r="GZ136" s="83">
        <f t="shared" si="1465"/>
        <v>88</v>
      </c>
      <c r="HA136" s="83"/>
      <c r="HB136" s="83"/>
      <c r="HC136" s="83"/>
      <c r="HD136" s="107" t="s">
        <v>466</v>
      </c>
      <c r="HE136" s="83"/>
      <c r="HF136" s="83"/>
      <c r="HG136" s="83"/>
      <c r="HH136" s="83">
        <f>COUNTIF($HH$9:$HH$100,HD136)</f>
        <v>88</v>
      </c>
      <c r="HI136" s="83">
        <f t="shared" si="1466"/>
        <v>88</v>
      </c>
      <c r="HJ136" s="83"/>
      <c r="HK136" s="108" t="s">
        <v>448</v>
      </c>
      <c r="HL136" s="83"/>
      <c r="HM136" s="83"/>
      <c r="HN136" s="83"/>
      <c r="HO136" s="83"/>
      <c r="HP136" s="83"/>
      <c r="HQ136" s="83"/>
      <c r="HR136" s="83"/>
      <c r="HS136" s="83"/>
      <c r="HT136" s="83"/>
      <c r="HU136" s="83"/>
      <c r="HV136" s="83"/>
      <c r="HW136" s="83"/>
      <c r="HX136" s="83"/>
      <c r="HY136" s="83"/>
      <c r="HZ136" s="83"/>
      <c r="IA136" s="83"/>
      <c r="IB136" s="83"/>
      <c r="IC136" s="83"/>
      <c r="ID136" s="83"/>
      <c r="IE136" s="83"/>
      <c r="IF136" s="83"/>
      <c r="IG136" s="83"/>
      <c r="IH136" s="83"/>
      <c r="II136" s="83"/>
      <c r="IJ136" s="83"/>
      <c r="IK136" s="83"/>
      <c r="IL136" s="83"/>
      <c r="IM136" s="83"/>
      <c r="IN136" s="83"/>
      <c r="IO136" s="83"/>
      <c r="IP136" s="83"/>
      <c r="IQ136" s="83"/>
      <c r="IR136" s="83"/>
      <c r="IS136" s="83"/>
      <c r="IT136" s="83"/>
      <c r="IU136" s="83"/>
      <c r="IV136" s="83"/>
      <c r="IW136" s="83"/>
      <c r="IX136" s="83"/>
      <c r="IY136" s="83"/>
      <c r="IZ136" s="83"/>
      <c r="JA136" s="83"/>
      <c r="JB136" s="83"/>
      <c r="JC136" s="83"/>
      <c r="JD136" s="83"/>
      <c r="JE136" s="83"/>
      <c r="JF136" s="83"/>
      <c r="JG136" s="83"/>
      <c r="JH136" s="83"/>
      <c r="JI136" s="83"/>
      <c r="JJ136" s="83"/>
      <c r="JK136" s="83"/>
    </row>
    <row r="137" spans="18:271" x14ac:dyDescent="0.2">
      <c r="GO137" s="83"/>
      <c r="GP137" s="83"/>
      <c r="GQ137" s="83"/>
      <c r="GR137" s="83"/>
      <c r="GS137" s="83"/>
      <c r="GT137" s="83"/>
      <c r="GU137" s="83"/>
      <c r="GV137" s="83"/>
      <c r="GW137" s="83"/>
      <c r="GX137" s="83"/>
      <c r="GY137" s="83"/>
      <c r="GZ137" s="83">
        <f>SUM(GZ131:GZ136)</f>
        <v>90</v>
      </c>
      <c r="HA137" s="83"/>
      <c r="HB137" s="83"/>
      <c r="HC137" s="83"/>
      <c r="HD137" s="83"/>
      <c r="HE137" s="83"/>
      <c r="HF137" s="83"/>
      <c r="HG137" s="83"/>
      <c r="HH137" s="83">
        <f>SUM(HH131:HH136)</f>
        <v>90</v>
      </c>
      <c r="HI137" s="83">
        <f>SUM(HI131:HI136)</f>
        <v>90</v>
      </c>
      <c r="HJ137" s="83"/>
      <c r="HK137" s="105"/>
      <c r="HL137" s="83"/>
      <c r="HM137" s="83"/>
      <c r="HN137" s="83"/>
      <c r="HO137" s="83"/>
      <c r="HP137" s="83"/>
      <c r="HQ137" s="83"/>
      <c r="HR137" s="83"/>
      <c r="HS137" s="83"/>
      <c r="HT137" s="83"/>
      <c r="HU137" s="83"/>
      <c r="HV137" s="83"/>
      <c r="HW137" s="83"/>
      <c r="HX137" s="83"/>
      <c r="HY137" s="83"/>
      <c r="HZ137" s="83"/>
      <c r="IA137" s="83"/>
      <c r="IB137" s="83"/>
      <c r="IC137" s="83"/>
      <c r="ID137" s="83"/>
      <c r="IE137" s="83"/>
      <c r="IF137" s="83"/>
      <c r="IG137" s="83"/>
      <c r="IH137" s="83"/>
      <c r="II137" s="83"/>
      <c r="IJ137" s="83"/>
      <c r="IK137" s="83"/>
      <c r="IL137" s="83"/>
      <c r="IM137" s="83"/>
      <c r="IN137" s="83"/>
      <c r="IO137" s="83"/>
      <c r="IP137" s="83"/>
      <c r="IQ137" s="83"/>
      <c r="IR137" s="83"/>
      <c r="IS137" s="83"/>
      <c r="IT137" s="83"/>
      <c r="IU137" s="83"/>
      <c r="IV137" s="83"/>
      <c r="IW137" s="83"/>
      <c r="IX137" s="83"/>
      <c r="IY137" s="83"/>
      <c r="IZ137" s="83"/>
      <c r="JA137" s="83"/>
      <c r="JB137" s="83"/>
      <c r="JC137" s="83"/>
      <c r="JD137" s="83"/>
      <c r="JE137" s="83"/>
      <c r="JF137" s="83"/>
      <c r="JG137" s="83"/>
      <c r="JH137" s="83"/>
      <c r="JI137" s="83"/>
      <c r="JJ137" s="83"/>
      <c r="JK137" s="83"/>
    </row>
  </sheetData>
  <sortState xmlns:xlrd2="http://schemas.microsoft.com/office/spreadsheetml/2017/richdata2" ref="B9:AG97">
    <sortCondition ref="C9:C97"/>
  </sortState>
  <mergeCells count="331">
    <mergeCell ref="PA6:PF6"/>
    <mergeCell ref="PG6:PL6"/>
    <mergeCell ref="PD7:PD8"/>
    <mergeCell ref="PE7:PE8"/>
    <mergeCell ref="PF7:PF8"/>
    <mergeCell ref="PJ7:PJ8"/>
    <mergeCell ref="PK7:PK8"/>
    <mergeCell ref="PL7:PL8"/>
    <mergeCell ref="PA5:PL5"/>
    <mergeCell ref="PG7:PG8"/>
    <mergeCell ref="PH7:PH8"/>
    <mergeCell ref="PI7:PI8"/>
    <mergeCell ref="PO1:PQ1"/>
    <mergeCell ref="PO2:PO7"/>
    <mergeCell ref="PP2:PP7"/>
    <mergeCell ref="PQ2:PQ7"/>
    <mergeCell ref="JQ3:KB3"/>
    <mergeCell ref="KG3:KR3"/>
    <mergeCell ref="JP4:JP8"/>
    <mergeCell ref="JQ4:JQ8"/>
    <mergeCell ref="JR4:KB4"/>
    <mergeCell ref="KF4:KF8"/>
    <mergeCell ref="KG4:KG8"/>
    <mergeCell ref="KH4:KR4"/>
    <mergeCell ref="JR5:JX5"/>
    <mergeCell ref="JY5:KB5"/>
    <mergeCell ref="KH5:KN5"/>
    <mergeCell ref="KO5:KR5"/>
    <mergeCell ref="JR6:JV6"/>
    <mergeCell ref="JW6:JX6"/>
    <mergeCell ref="JY6:JY8"/>
    <mergeCell ref="JZ6:KB6"/>
    <mergeCell ref="KH6:KL6"/>
    <mergeCell ref="KM6:KN6"/>
    <mergeCell ref="KO6:KO8"/>
    <mergeCell ref="KP6:KR6"/>
    <mergeCell ref="LM5:LS5"/>
    <mergeCell ref="LT5:LZ5"/>
    <mergeCell ref="MA5:MJ5"/>
    <mergeCell ref="MK5:MO5"/>
    <mergeCell ref="LO6:LO8"/>
    <mergeCell ref="LP6:LP8"/>
    <mergeCell ref="LQ6:LQ8"/>
    <mergeCell ref="ND7:ND8"/>
    <mergeCell ref="MD6:MD8"/>
    <mergeCell ref="ME6:ME8"/>
    <mergeCell ref="MF6:MF8"/>
    <mergeCell ref="MG6:MG8"/>
    <mergeCell ref="LY6:LY8"/>
    <mergeCell ref="LZ6:LZ8"/>
    <mergeCell ref="MA6:MA8"/>
    <mergeCell ref="MB6:MB8"/>
    <mergeCell ref="MP6:MP8"/>
    <mergeCell ref="MQ6:MQ8"/>
    <mergeCell ref="MK6:MK8"/>
    <mergeCell ref="ML6:ML8"/>
    <mergeCell ref="MM6:MM8"/>
    <mergeCell ref="MN6:MN8"/>
    <mergeCell ref="MU6:MU8"/>
    <mergeCell ref="MV6:MV8"/>
    <mergeCell ref="KU5:KU7"/>
    <mergeCell ref="KV5:KV7"/>
    <mergeCell ref="KW5:KW8"/>
    <mergeCell ref="KX5:KX8"/>
    <mergeCell ref="KY5:KY8"/>
    <mergeCell ref="KZ5:LA7"/>
    <mergeCell ref="LB5:LC7"/>
    <mergeCell ref="LD5:LE7"/>
    <mergeCell ref="LF5:LL5"/>
    <mergeCell ref="LF6:LF8"/>
    <mergeCell ref="LG6:LG8"/>
    <mergeCell ref="LH6:LH8"/>
    <mergeCell ref="LI6:LI8"/>
    <mergeCell ref="LJ6:LJ8"/>
    <mergeCell ref="LK6:LK8"/>
    <mergeCell ref="LL6:LL8"/>
    <mergeCell ref="JS7:JT7"/>
    <mergeCell ref="JU7:JV7"/>
    <mergeCell ref="JW7:JW8"/>
    <mergeCell ref="KQ7:KQ8"/>
    <mergeCell ref="KR7:KR8"/>
    <mergeCell ref="JX7:JX8"/>
    <mergeCell ref="JZ7:JZ8"/>
    <mergeCell ref="KA7:KA8"/>
    <mergeCell ref="KB7:KB8"/>
    <mergeCell ref="KH7:KH8"/>
    <mergeCell ref="KI7:KJ7"/>
    <mergeCell ref="KK7:KL7"/>
    <mergeCell ref="KM7:KM8"/>
    <mergeCell ref="KN7:KN8"/>
    <mergeCell ref="BO3:BZ3"/>
    <mergeCell ref="CF6:CJ6"/>
    <mergeCell ref="GV7:GV8"/>
    <mergeCell ref="GW7:GW8"/>
    <mergeCell ref="FC2:FC7"/>
    <mergeCell ref="CE3:CP3"/>
    <mergeCell ref="DV6:DV8"/>
    <mergeCell ref="FR2:FR7"/>
    <mergeCell ref="FK2:FK7"/>
    <mergeCell ref="DW6:DW8"/>
    <mergeCell ref="EG2:EG8"/>
    <mergeCell ref="EH2:EH8"/>
    <mergeCell ref="EI2:EI7"/>
    <mergeCell ref="EJ2:EJ7"/>
    <mergeCell ref="EK2:EP2"/>
    <mergeCell ref="EQ2:EQ7"/>
    <mergeCell ref="ER2:ER7"/>
    <mergeCell ref="ES2:ES7"/>
    <mergeCell ref="CF4:CP4"/>
    <mergeCell ref="CF5:CL5"/>
    <mergeCell ref="CM5:CP5"/>
    <mergeCell ref="CO7:CO8"/>
    <mergeCell ref="CF7:CF8"/>
    <mergeCell ref="CG7:CH7"/>
    <mergeCell ref="GX3:GY3"/>
    <mergeCell ref="GO4:GT5"/>
    <mergeCell ref="GV4:GW6"/>
    <mergeCell ref="GO6:GO8"/>
    <mergeCell ref="GP6:GP8"/>
    <mergeCell ref="GQ6:GQ8"/>
    <mergeCell ref="GR6:GR8"/>
    <mergeCell ref="GS6:GS8"/>
    <mergeCell ref="GT6:GT8"/>
    <mergeCell ref="D3:E3"/>
    <mergeCell ref="ET2:ET7"/>
    <mergeCell ref="EU2:EU7"/>
    <mergeCell ref="EV2:EV7"/>
    <mergeCell ref="EW2:EY2"/>
    <mergeCell ref="EK3:EK7"/>
    <mergeCell ref="EL3:EL7"/>
    <mergeCell ref="EM3:EM7"/>
    <mergeCell ref="EN3:EN7"/>
    <mergeCell ref="EO3:EO7"/>
    <mergeCell ref="EP3:EP7"/>
    <mergeCell ref="EW3:EW7"/>
    <mergeCell ref="EX3:EX7"/>
    <mergeCell ref="EY3:EY7"/>
    <mergeCell ref="CN6:CP6"/>
    <mergeCell ref="BX6:BZ6"/>
    <mergeCell ref="CP7:CP8"/>
    <mergeCell ref="CK6:CL6"/>
    <mergeCell ref="CM6:CM8"/>
    <mergeCell ref="DV4:EB5"/>
    <mergeCell ref="DY6:DY8"/>
    <mergeCell ref="DZ6:DZ8"/>
    <mergeCell ref="EA6:EA8"/>
    <mergeCell ref="EB6:EB8"/>
    <mergeCell ref="CI7:CJ7"/>
    <mergeCell ref="CK7:CK8"/>
    <mergeCell ref="CL7:CL8"/>
    <mergeCell ref="CN7:CN8"/>
    <mergeCell ref="DX6:DX8"/>
    <mergeCell ref="A4:A8"/>
    <mergeCell ref="B4:B8"/>
    <mergeCell ref="C4:C8"/>
    <mergeCell ref="D4:E6"/>
    <mergeCell ref="AH6:AH8"/>
    <mergeCell ref="N6:Q7"/>
    <mergeCell ref="J6:M7"/>
    <mergeCell ref="AF4:AH5"/>
    <mergeCell ref="AF6:AF8"/>
    <mergeCell ref="AG6:AG8"/>
    <mergeCell ref="F5:I7"/>
    <mergeCell ref="J5:Q5"/>
    <mergeCell ref="R5:U7"/>
    <mergeCell ref="V5:Z7"/>
    <mergeCell ref="D7:E7"/>
    <mergeCell ref="F4:AE4"/>
    <mergeCell ref="AA5:AE7"/>
    <mergeCell ref="BN4:BN8"/>
    <mergeCell ref="BO4:BO8"/>
    <mergeCell ref="BP4:BZ4"/>
    <mergeCell ref="CB4:CB8"/>
    <mergeCell ref="CD4:CD8"/>
    <mergeCell ref="CE4:CE8"/>
    <mergeCell ref="BU7:BU8"/>
    <mergeCell ref="BJ6:BJ8"/>
    <mergeCell ref="BK6:BK8"/>
    <mergeCell ref="BP5:BV5"/>
    <mergeCell ref="BW5:BZ5"/>
    <mergeCell ref="BP6:BT6"/>
    <mergeCell ref="BU6:BV6"/>
    <mergeCell ref="BZ7:BZ8"/>
    <mergeCell ref="BP7:BP8"/>
    <mergeCell ref="BQ7:BR7"/>
    <mergeCell ref="BS7:BT7"/>
    <mergeCell ref="BV7:BV8"/>
    <mergeCell ref="BX7:BX8"/>
    <mergeCell ref="BY7:BY8"/>
    <mergeCell ref="BW6:BW8"/>
    <mergeCell ref="AN4:AN8"/>
    <mergeCell ref="BE4:BK5"/>
    <mergeCell ref="AI4:AK4"/>
    <mergeCell ref="AI5:AK7"/>
    <mergeCell ref="AO4:AZ4"/>
    <mergeCell ref="AO5:AP6"/>
    <mergeCell ref="AS5:AT6"/>
    <mergeCell ref="AQ5:AR6"/>
    <mergeCell ref="AU5:AV6"/>
    <mergeCell ref="AW5:AX6"/>
    <mergeCell ref="AY5:AZ6"/>
    <mergeCell ref="BA4:BA8"/>
    <mergeCell ref="BB4:BB8"/>
    <mergeCell ref="BE6:BE8"/>
    <mergeCell ref="BF6:BF8"/>
    <mergeCell ref="BG6:BG8"/>
    <mergeCell ref="BH6:BH8"/>
    <mergeCell ref="BI6:BI8"/>
    <mergeCell ref="AL4:AM5"/>
    <mergeCell ref="AL6:AL8"/>
    <mergeCell ref="AM6:AM8"/>
    <mergeCell ref="EZ2:EZ7"/>
    <mergeCell ref="FA2:FA7"/>
    <mergeCell ref="FB2:FB7"/>
    <mergeCell ref="FD2:FD7"/>
    <mergeCell ref="FE2:FE7"/>
    <mergeCell ref="FH2:FH7"/>
    <mergeCell ref="FI2:FI7"/>
    <mergeCell ref="FU2:FU7"/>
    <mergeCell ref="FV2:FV7"/>
    <mergeCell ref="FJ2:FJ7"/>
    <mergeCell ref="FM2:FM7"/>
    <mergeCell ref="FQ2:FQ7"/>
    <mergeCell ref="FO2:FO7"/>
    <mergeCell ref="FP2:FP7"/>
    <mergeCell ref="FN2:FN7"/>
    <mergeCell ref="FF2:FF7"/>
    <mergeCell ref="FS2:FS7"/>
    <mergeCell ref="FT2:FT7"/>
    <mergeCell ref="FL2:FL7"/>
    <mergeCell ref="FY4:FY8"/>
    <mergeCell ref="MI6:MI8"/>
    <mergeCell ref="MJ6:MJ8"/>
    <mergeCell ref="FZ4:FZ8"/>
    <mergeCell ref="GA4:GA8"/>
    <mergeCell ref="GB4:GB8"/>
    <mergeCell ref="GC4:GC8"/>
    <mergeCell ref="JE6:JG7"/>
    <mergeCell ref="JI6:JK7"/>
    <mergeCell ref="HV7:HX7"/>
    <mergeCell ref="HY7:IA7"/>
    <mergeCell ref="IB7:ID7"/>
    <mergeCell ref="IE7:IG7"/>
    <mergeCell ref="IH7:IJ7"/>
    <mergeCell ref="IK7:IM7"/>
    <mergeCell ref="HP6:HR7"/>
    <mergeCell ref="HS6:HU7"/>
    <mergeCell ref="HV6:IA6"/>
    <mergeCell ref="GK4:GK8"/>
    <mergeCell ref="GZ4:GZ8"/>
    <mergeCell ref="HC4:HI4"/>
    <mergeCell ref="HK4:HK8"/>
    <mergeCell ref="HC5:HC8"/>
    <mergeCell ref="HD5:HD8"/>
    <mergeCell ref="LW6:LW8"/>
    <mergeCell ref="LM6:LM8"/>
    <mergeCell ref="LN6:LN8"/>
    <mergeCell ref="MC6:MC8"/>
    <mergeCell ref="GD4:GD8"/>
    <mergeCell ref="GE4:GE8"/>
    <mergeCell ref="GG4:GG8"/>
    <mergeCell ref="GH4:GH8"/>
    <mergeCell ref="HI5:HI7"/>
    <mergeCell ref="GJ4:GJ8"/>
    <mergeCell ref="HH5:HH7"/>
    <mergeCell ref="KD4:KD8"/>
    <mergeCell ref="KE4:KE8"/>
    <mergeCell ref="KP7:KP8"/>
    <mergeCell ref="HE5:HE8"/>
    <mergeCell ref="HF5:HF8"/>
    <mergeCell ref="HG5:HG8"/>
    <mergeCell ref="IB6:IG6"/>
    <mergeCell ref="IH6:IM6"/>
    <mergeCell ref="IO6:IQ7"/>
    <mergeCell ref="IS6:IU7"/>
    <mergeCell ref="IW6:IY7"/>
    <mergeCell ref="JA6:JC7"/>
    <mergeCell ref="JR7:JR8"/>
    <mergeCell ref="FX4:FX8"/>
    <mergeCell ref="PA7:PA8"/>
    <mergeCell ref="PB7:PB8"/>
    <mergeCell ref="PC7:PC8"/>
    <mergeCell ref="NK5:NK8"/>
    <mergeCell ref="MP5:MW5"/>
    <mergeCell ref="MX5:NB5"/>
    <mergeCell ref="NC5:NE6"/>
    <mergeCell ref="NF5:NI6"/>
    <mergeCell ref="OT5:OT8"/>
    <mergeCell ref="OU5:OU8"/>
    <mergeCell ref="OV5:OV8"/>
    <mergeCell ref="OS5:OS8"/>
    <mergeCell ref="NE7:NE8"/>
    <mergeCell ref="NF7:NF8"/>
    <mergeCell ref="NG7:NG8"/>
    <mergeCell ref="NH7:NH8"/>
    <mergeCell ref="OW5:OW8"/>
    <mergeCell ref="OE5:OE8"/>
    <mergeCell ref="LR6:LR8"/>
    <mergeCell ref="LS6:LS8"/>
    <mergeCell ref="LT6:LT8"/>
    <mergeCell ref="LU6:LU8"/>
    <mergeCell ref="LV6:LV8"/>
    <mergeCell ref="LX6:LX8"/>
    <mergeCell ref="MZ6:MZ8"/>
    <mergeCell ref="NA6:NA8"/>
    <mergeCell ref="MR6:MR8"/>
    <mergeCell ref="MW6:MW8"/>
    <mergeCell ref="MX6:MX8"/>
    <mergeCell ref="MS6:MS8"/>
    <mergeCell ref="MT6:MT8"/>
    <mergeCell ref="NB6:NB8"/>
    <mergeCell ref="MY6:MY8"/>
    <mergeCell ref="OH5:OH8"/>
    <mergeCell ref="OM5:OM8"/>
    <mergeCell ref="OO5:OO8"/>
    <mergeCell ref="OP5:OP8"/>
    <mergeCell ref="OQ5:OQ8"/>
    <mergeCell ref="OR5:OR8"/>
    <mergeCell ref="NZ4:NZ8"/>
    <mergeCell ref="MO6:MO8"/>
    <mergeCell ref="MH6:MH8"/>
    <mergeCell ref="NC7:NC8"/>
    <mergeCell ref="NJ5:NJ8"/>
    <mergeCell ref="OI5:OI8"/>
    <mergeCell ref="OJ5:OJ8"/>
    <mergeCell ref="OK5:OK8"/>
    <mergeCell ref="OL5:OL8"/>
    <mergeCell ref="NI7:NI8"/>
    <mergeCell ref="NM7:NT7"/>
    <mergeCell ref="OF5:OF8"/>
    <mergeCell ref="OG5:OG8"/>
  </mergeCells>
  <conditionalFormatting sqref="FY9:GE107 FY111:GE112 FY123:GE123">
    <cfRule type="cellIs" dxfId="422" priority="59" operator="greaterThan">
      <formula>0</formula>
    </cfRule>
  </conditionalFormatting>
  <conditionalFormatting sqref="JJ9:JK107 JJ111:JK112 JJ123:JK123">
    <cfRule type="cellIs" dxfId="421" priority="57" operator="notEqual">
      <formula>0</formula>
    </cfRule>
  </conditionalFormatting>
  <conditionalFormatting sqref="JJ128:JK128">
    <cfRule type="cellIs" dxfId="420" priority="56" operator="notEqual">
      <formula>0</formula>
    </cfRule>
  </conditionalFormatting>
  <conditionalFormatting sqref="KT9:KT107 KT111:KT112 KT123">
    <cfRule type="cellIs" dxfId="419" priority="55" operator="notEqual">
      <formula>0</formula>
    </cfRule>
  </conditionalFormatting>
  <conditionalFormatting sqref="PA9:PF107 PA111:PF112 PA123:PF123">
    <cfRule type="cellIs" dxfId="418" priority="54" operator="equal">
      <formula>0</formula>
    </cfRule>
  </conditionalFormatting>
  <conditionalFormatting sqref="PA9:PF107 PA111:PF112 PA123:PF123">
    <cfRule type="cellIs" dxfId="417" priority="53" operator="equal">
      <formula>0</formula>
    </cfRule>
  </conditionalFormatting>
  <conditionalFormatting sqref="PA9:PF107 PA111:PF112 PA123:PF123">
    <cfRule type="cellIs" dxfId="416" priority="51" operator="equal">
      <formula>0</formula>
    </cfRule>
  </conditionalFormatting>
  <conditionalFormatting sqref="PC9:PF107 PC111:PF112 PC123:PF123">
    <cfRule type="cellIs" dxfId="415" priority="50" operator="equal">
      <formula>0</formula>
    </cfRule>
  </conditionalFormatting>
  <conditionalFormatting sqref="FY108:GE109">
    <cfRule type="cellIs" dxfId="414" priority="49" operator="greaterThan">
      <formula>0</formula>
    </cfRule>
  </conditionalFormatting>
  <conditionalFormatting sqref="JJ108:JK109">
    <cfRule type="cellIs" dxfId="413" priority="48" operator="notEqual">
      <formula>0</formula>
    </cfRule>
  </conditionalFormatting>
  <conditionalFormatting sqref="KT108:KT109">
    <cfRule type="cellIs" dxfId="412" priority="47" operator="notEqual">
      <formula>0</formula>
    </cfRule>
  </conditionalFormatting>
  <conditionalFormatting sqref="PA108:PF109">
    <cfRule type="cellIs" dxfId="411" priority="46" operator="equal">
      <formula>0</formula>
    </cfRule>
  </conditionalFormatting>
  <conditionalFormatting sqref="PA108:PF109">
    <cfRule type="cellIs" dxfId="410" priority="45" operator="equal">
      <formula>0</formula>
    </cfRule>
  </conditionalFormatting>
  <conditionalFormatting sqref="PA108:PF109">
    <cfRule type="cellIs" dxfId="409" priority="43" operator="equal">
      <formula>0</formula>
    </cfRule>
  </conditionalFormatting>
  <conditionalFormatting sqref="PC108:PF109">
    <cfRule type="cellIs" dxfId="408" priority="42" operator="equal">
      <formula>0</formula>
    </cfRule>
  </conditionalFormatting>
  <conditionalFormatting sqref="OZ9:OZ109 OZ111:OZ112 OZ123">
    <cfRule type="cellIs" dxfId="407" priority="41" operator="notEqual">
      <formula>0</formula>
    </cfRule>
  </conditionalFormatting>
  <conditionalFormatting sqref="FY110:GE110">
    <cfRule type="cellIs" dxfId="406" priority="40" operator="greaterThan">
      <formula>0</formula>
    </cfRule>
  </conditionalFormatting>
  <conditionalFormatting sqref="JJ110:JK110">
    <cfRule type="cellIs" dxfId="405" priority="39" operator="notEqual">
      <formula>0</formula>
    </cfRule>
  </conditionalFormatting>
  <conditionalFormatting sqref="KT110">
    <cfRule type="cellIs" dxfId="404" priority="38" operator="notEqual">
      <formula>0</formula>
    </cfRule>
  </conditionalFormatting>
  <conditionalFormatting sqref="PA110:PF110">
    <cfRule type="cellIs" dxfId="403" priority="37" operator="equal">
      <formula>0</formula>
    </cfRule>
  </conditionalFormatting>
  <conditionalFormatting sqref="PA110:PF110">
    <cfRule type="cellIs" dxfId="402" priority="36" operator="equal">
      <formula>0</formula>
    </cfRule>
  </conditionalFormatting>
  <conditionalFormatting sqref="PA110:PF110">
    <cfRule type="cellIs" dxfId="401" priority="35" operator="equal">
      <formula>0</formula>
    </cfRule>
  </conditionalFormatting>
  <conditionalFormatting sqref="PC110:PF110">
    <cfRule type="cellIs" dxfId="400" priority="34" operator="equal">
      <formula>0</formula>
    </cfRule>
  </conditionalFormatting>
  <conditionalFormatting sqref="OZ110">
    <cfRule type="cellIs" dxfId="399" priority="33" operator="notEqual">
      <formula>0</formula>
    </cfRule>
  </conditionalFormatting>
  <conditionalFormatting sqref="FY114:GE122">
    <cfRule type="cellIs" dxfId="398" priority="32" operator="greaterThan">
      <formula>0</formula>
    </cfRule>
  </conditionalFormatting>
  <conditionalFormatting sqref="JJ114:JK122">
    <cfRule type="cellIs" dxfId="397" priority="31" operator="notEqual">
      <formula>0</formula>
    </cfRule>
  </conditionalFormatting>
  <conditionalFormatting sqref="KT114:KT122">
    <cfRule type="cellIs" dxfId="396" priority="30" operator="notEqual">
      <formula>0</formula>
    </cfRule>
  </conditionalFormatting>
  <conditionalFormatting sqref="PA114:PF122">
    <cfRule type="cellIs" dxfId="395" priority="29" operator="equal">
      <formula>0</formula>
    </cfRule>
  </conditionalFormatting>
  <conditionalFormatting sqref="PA114:PF122">
    <cfRule type="cellIs" dxfId="394" priority="28" operator="equal">
      <formula>0</formula>
    </cfRule>
  </conditionalFormatting>
  <conditionalFormatting sqref="PA114:PF122">
    <cfRule type="cellIs" dxfId="393" priority="27" operator="equal">
      <formula>0</formula>
    </cfRule>
  </conditionalFormatting>
  <conditionalFormatting sqref="PC114:PF122">
    <cfRule type="cellIs" dxfId="392" priority="26" operator="equal">
      <formula>0</formula>
    </cfRule>
  </conditionalFormatting>
  <conditionalFormatting sqref="OZ114:OZ122">
    <cfRule type="cellIs" dxfId="391" priority="25" operator="notEqual">
      <formula>0</formula>
    </cfRule>
  </conditionalFormatting>
  <conditionalFormatting sqref="OZ113">
    <cfRule type="cellIs" dxfId="390" priority="17" operator="notEqual">
      <formula>0</formula>
    </cfRule>
  </conditionalFormatting>
  <conditionalFormatting sqref="FY113:GE113">
    <cfRule type="cellIs" dxfId="389" priority="24" operator="greaterThan">
      <formula>0</formula>
    </cfRule>
  </conditionalFormatting>
  <conditionalFormatting sqref="JJ113:JK113">
    <cfRule type="cellIs" dxfId="388" priority="23" operator="notEqual">
      <formula>0</formula>
    </cfRule>
  </conditionalFormatting>
  <conditionalFormatting sqref="KT113">
    <cfRule type="cellIs" dxfId="387" priority="22" operator="notEqual">
      <formula>0</formula>
    </cfRule>
  </conditionalFormatting>
  <conditionalFormatting sqref="PA113:PF113">
    <cfRule type="cellIs" dxfId="386" priority="21" operator="equal">
      <formula>0</formula>
    </cfRule>
  </conditionalFormatting>
  <conditionalFormatting sqref="PA113:PF113">
    <cfRule type="cellIs" dxfId="385" priority="20" operator="equal">
      <formula>0</formula>
    </cfRule>
  </conditionalFormatting>
  <conditionalFormatting sqref="PA113:PF113">
    <cfRule type="cellIs" dxfId="384" priority="19" operator="equal">
      <formula>0</formula>
    </cfRule>
  </conditionalFormatting>
  <conditionalFormatting sqref="PC113:PF113">
    <cfRule type="cellIs" dxfId="383" priority="18" operator="equal">
      <formula>0</formula>
    </cfRule>
  </conditionalFormatting>
  <conditionalFormatting sqref="FY124:GE124">
    <cfRule type="cellIs" dxfId="382" priority="16" operator="greaterThan">
      <formula>0</formula>
    </cfRule>
  </conditionalFormatting>
  <conditionalFormatting sqref="JJ124:JK124">
    <cfRule type="cellIs" dxfId="381" priority="15" operator="notEqual">
      <formula>0</formula>
    </cfRule>
  </conditionalFormatting>
  <conditionalFormatting sqref="KT124">
    <cfRule type="cellIs" dxfId="380" priority="14" operator="notEqual">
      <formula>0</formula>
    </cfRule>
  </conditionalFormatting>
  <conditionalFormatting sqref="PA124:PF124">
    <cfRule type="cellIs" dxfId="379" priority="13" operator="equal">
      <formula>0</formula>
    </cfRule>
  </conditionalFormatting>
  <conditionalFormatting sqref="PA124:PF124">
    <cfRule type="cellIs" dxfId="378" priority="12" operator="equal">
      <formula>0</formula>
    </cfRule>
  </conditionalFormatting>
  <conditionalFormatting sqref="PA124:PF124">
    <cfRule type="cellIs" dxfId="377" priority="11" operator="equal">
      <formula>0</formula>
    </cfRule>
  </conditionalFormatting>
  <conditionalFormatting sqref="PC124:PF124">
    <cfRule type="cellIs" dxfId="376" priority="10" operator="equal">
      <formula>0</formula>
    </cfRule>
  </conditionalFormatting>
  <conditionalFormatting sqref="OZ124">
    <cfRule type="cellIs" dxfId="375" priority="9" operator="notEqual">
      <formula>0</formula>
    </cfRule>
  </conditionalFormatting>
  <conditionalFormatting sqref="FY125:GE125">
    <cfRule type="cellIs" dxfId="374" priority="8" operator="greaterThan">
      <formula>0</formula>
    </cfRule>
  </conditionalFormatting>
  <conditionalFormatting sqref="JJ125:JK125">
    <cfRule type="cellIs" dxfId="373" priority="7" operator="notEqual">
      <formula>0</formula>
    </cfRule>
  </conditionalFormatting>
  <conditionalFormatting sqref="KT125">
    <cfRule type="cellIs" dxfId="372" priority="6" operator="notEqual">
      <formula>0</formula>
    </cfRule>
  </conditionalFormatting>
  <conditionalFormatting sqref="PA125:PF125">
    <cfRule type="cellIs" dxfId="371" priority="5" operator="equal">
      <formula>0</formula>
    </cfRule>
  </conditionalFormatting>
  <conditionalFormatting sqref="PA125:PF125">
    <cfRule type="cellIs" dxfId="370" priority="4" operator="equal">
      <formula>0</formula>
    </cfRule>
  </conditionalFormatting>
  <conditionalFormatting sqref="PA125:PF125">
    <cfRule type="cellIs" dxfId="369" priority="3" operator="equal">
      <formula>0</formula>
    </cfRule>
  </conditionalFormatting>
  <conditionalFormatting sqref="PC125:PF125">
    <cfRule type="cellIs" dxfId="368" priority="2" operator="equal">
      <formula>0</formula>
    </cfRule>
  </conditionalFormatting>
  <conditionalFormatting sqref="OZ125">
    <cfRule type="cellIs" dxfId="367" priority="1" operator="notEqual">
      <formula>0</formula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130"/>
  <sheetViews>
    <sheetView showGridLines="0" zoomScaleNormal="70" workbookViewId="0">
      <pane xSplit="5" ySplit="8" topLeftCell="J9" activePane="bottomRight" state="frozen"/>
      <selection activeCell="NZ67" sqref="NZ67"/>
      <selection pane="topRight" activeCell="NZ67" sqref="NZ67"/>
      <selection pane="bottomLeft" activeCell="NZ67" sqref="NZ67"/>
      <selection pane="bottomRight" activeCell="AE18" sqref="AE18"/>
    </sheetView>
  </sheetViews>
  <sheetFormatPr baseColWidth="10" defaultColWidth="8.5" defaultRowHeight="15" x14ac:dyDescent="0.2"/>
  <cols>
    <col min="1" max="1" width="9.5" customWidth="1"/>
    <col min="2" max="2" width="31.5" bestFit="1" customWidth="1"/>
    <col min="3" max="3" width="10.5" bestFit="1" customWidth="1"/>
    <col min="4" max="4" width="7.5" bestFit="1" customWidth="1"/>
    <col min="5" max="5" width="10" bestFit="1" customWidth="1"/>
    <col min="6" max="6" width="7.5" bestFit="1" customWidth="1"/>
    <col min="7" max="7" width="8.5" bestFit="1" customWidth="1"/>
    <col min="8" max="8" width="10.5" bestFit="1" customWidth="1"/>
    <col min="9" max="9" width="8.5" bestFit="1" customWidth="1"/>
    <col min="10" max="10" width="7.5" bestFit="1" customWidth="1"/>
    <col min="11" max="11" width="8.5" bestFit="1" customWidth="1"/>
    <col min="12" max="12" width="10.5" bestFit="1" customWidth="1"/>
    <col min="13" max="13" width="8.5" bestFit="1" customWidth="1"/>
    <col min="14" max="14" width="7.5" bestFit="1" customWidth="1"/>
    <col min="15" max="15" width="8.5" bestFit="1" customWidth="1"/>
    <col min="16" max="16" width="10.5" bestFit="1" customWidth="1"/>
    <col min="17" max="17" width="9.5" customWidth="1"/>
    <col min="18" max="18" width="7.5" bestFit="1" customWidth="1"/>
    <col min="19" max="19" width="8.5" bestFit="1" customWidth="1"/>
    <col min="20" max="20" width="10.5" bestFit="1" customWidth="1"/>
    <col min="21" max="21" width="8.5" bestFit="1" customWidth="1"/>
    <col min="22" max="23" width="7.5" bestFit="1" customWidth="1"/>
    <col min="24" max="24" width="10.5" bestFit="1" customWidth="1"/>
    <col min="25" max="25" width="8.5" bestFit="1" customWidth="1"/>
    <col min="26" max="26" width="12.5" bestFit="1" customWidth="1"/>
    <col min="27" max="31" width="9.5" customWidth="1"/>
    <col min="32" max="32" width="13.5" customWidth="1"/>
    <col min="33" max="33" width="17.5" customWidth="1"/>
    <col min="34" max="34" width="25.5" customWidth="1"/>
    <col min="37" max="37" width="21.5" bestFit="1" customWidth="1"/>
    <col min="38" max="38" width="14" customWidth="1"/>
    <col min="39" max="39" width="14.5" customWidth="1"/>
    <col min="40" max="40" width="23.5" customWidth="1"/>
    <col min="66" max="66" width="30" bestFit="1" customWidth="1"/>
    <col min="67" max="67" width="12.5" bestFit="1" customWidth="1"/>
    <col min="68" max="70" width="17.5" bestFit="1" customWidth="1"/>
    <col min="71" max="71" width="13" bestFit="1" customWidth="1"/>
    <col min="72" max="72" width="13.5" bestFit="1" customWidth="1"/>
    <col min="73" max="73" width="11" bestFit="1" customWidth="1"/>
    <col min="74" max="74" width="11.5" bestFit="1" customWidth="1"/>
    <col min="76" max="76" width="20.5" bestFit="1" customWidth="1"/>
    <col min="77" max="77" width="34.5" bestFit="1" customWidth="1"/>
    <col min="78" max="78" width="8.5" bestFit="1" customWidth="1"/>
    <col min="80" max="80" width="27.5" customWidth="1"/>
    <col min="82" max="82" width="30" bestFit="1" customWidth="1"/>
    <col min="83" max="83" width="12.5" bestFit="1" customWidth="1"/>
    <col min="84" max="86" width="17.5" bestFit="1" customWidth="1"/>
    <col min="87" max="87" width="13" bestFit="1" customWidth="1"/>
    <col min="88" max="88" width="13.5" bestFit="1" customWidth="1"/>
    <col min="89" max="89" width="11" bestFit="1" customWidth="1"/>
    <col min="90" max="90" width="11.5" bestFit="1" customWidth="1"/>
    <col min="92" max="92" width="20.5" bestFit="1" customWidth="1"/>
    <col min="93" max="93" width="34.5" bestFit="1" customWidth="1"/>
    <col min="94" max="94" width="8.5" bestFit="1" customWidth="1"/>
    <col min="135" max="135" width="83.5" bestFit="1" customWidth="1"/>
    <col min="137" max="138" width="12.5" customWidth="1"/>
    <col min="139" max="177" width="15.5" customWidth="1"/>
    <col min="181" max="181" width="10.5" customWidth="1"/>
    <col min="207" max="207" width="16.5" bestFit="1" customWidth="1"/>
    <col min="216" max="217" width="15.5" bestFit="1" customWidth="1"/>
    <col min="224" max="224" width="12.5" customWidth="1"/>
    <col min="273" max="273" width="11.5" bestFit="1" customWidth="1"/>
    <col min="277" max="277" width="8.5" customWidth="1"/>
    <col min="292" max="292" width="14.5" customWidth="1"/>
    <col min="390" max="390" width="11.5" customWidth="1"/>
    <col min="391" max="391" width="11.5" bestFit="1" customWidth="1"/>
    <col min="392" max="392" width="11.1640625" bestFit="1" customWidth="1"/>
    <col min="417" max="420" width="8.5" style="195"/>
    <col min="421" max="421" width="16.5" style="195" customWidth="1"/>
    <col min="422" max="422" width="8.5" style="195"/>
  </cols>
  <sheetData>
    <row r="1" spans="1:433 16383:16383" ht="24" x14ac:dyDescent="0.2">
      <c r="A1" s="1" t="s">
        <v>0</v>
      </c>
      <c r="B1" s="2"/>
      <c r="C1" s="2"/>
      <c r="D1" s="2"/>
      <c r="E1" s="2"/>
      <c r="F1" s="2"/>
      <c r="G1" s="3"/>
      <c r="H1" s="3"/>
      <c r="I1" s="4"/>
      <c r="J1" s="4"/>
      <c r="K1" s="4"/>
      <c r="L1" s="4"/>
      <c r="M1" s="4"/>
      <c r="N1" s="4"/>
      <c r="O1" s="4"/>
      <c r="P1" s="4"/>
      <c r="Q1" s="4"/>
      <c r="R1" s="2"/>
      <c r="S1" s="2"/>
      <c r="T1" s="2"/>
      <c r="U1" s="2"/>
      <c r="V1" s="5"/>
      <c r="W1" s="5"/>
      <c r="X1" s="5"/>
      <c r="Y1" s="5"/>
      <c r="Z1" s="2"/>
      <c r="AA1" s="7"/>
      <c r="AB1" s="7"/>
      <c r="AC1" s="7"/>
      <c r="AD1" s="7"/>
      <c r="AE1" s="7"/>
      <c r="AF1" s="34" t="s">
        <v>294</v>
      </c>
      <c r="AG1" s="34" t="s">
        <v>296</v>
      </c>
      <c r="BF1" s="34" t="s">
        <v>294</v>
      </c>
      <c r="BG1" s="34"/>
      <c r="BH1" s="34" t="s">
        <v>296</v>
      </c>
      <c r="EI1" s="47">
        <v>1</v>
      </c>
      <c r="EJ1" s="47">
        <f>EI1+1</f>
        <v>2</v>
      </c>
      <c r="EK1" s="47">
        <f t="shared" ref="EK1:FF1" si="0">EJ1+1</f>
        <v>3</v>
      </c>
      <c r="EL1" s="47">
        <f t="shared" si="0"/>
        <v>4</v>
      </c>
      <c r="EM1" s="47">
        <f t="shared" si="0"/>
        <v>5</v>
      </c>
      <c r="EN1" s="47">
        <f t="shared" si="0"/>
        <v>6</v>
      </c>
      <c r="EO1" s="47">
        <f t="shared" si="0"/>
        <v>7</v>
      </c>
      <c r="EP1" s="47">
        <f t="shared" si="0"/>
        <v>8</v>
      </c>
      <c r="EQ1" s="47">
        <f t="shared" si="0"/>
        <v>9</v>
      </c>
      <c r="ER1" s="47">
        <f t="shared" si="0"/>
        <v>10</v>
      </c>
      <c r="ES1" s="47">
        <f t="shared" si="0"/>
        <v>11</v>
      </c>
      <c r="ET1" s="47">
        <f t="shared" si="0"/>
        <v>12</v>
      </c>
      <c r="EU1" s="47">
        <f t="shared" si="0"/>
        <v>13</v>
      </c>
      <c r="EV1" s="47">
        <f t="shared" si="0"/>
        <v>14</v>
      </c>
      <c r="EW1" s="47">
        <f t="shared" si="0"/>
        <v>15</v>
      </c>
      <c r="EX1" s="47">
        <f t="shared" si="0"/>
        <v>16</v>
      </c>
      <c r="EY1" s="47">
        <f t="shared" si="0"/>
        <v>17</v>
      </c>
      <c r="EZ1" s="47">
        <f t="shared" si="0"/>
        <v>18</v>
      </c>
      <c r="FA1" s="47">
        <f t="shared" si="0"/>
        <v>19</v>
      </c>
      <c r="FB1" s="47">
        <f t="shared" si="0"/>
        <v>20</v>
      </c>
      <c r="FC1" s="47">
        <f t="shared" si="0"/>
        <v>21</v>
      </c>
      <c r="FD1" s="47">
        <f t="shared" si="0"/>
        <v>22</v>
      </c>
      <c r="FE1" s="47">
        <f t="shared" si="0"/>
        <v>23</v>
      </c>
      <c r="FF1" s="47">
        <f t="shared" si="0"/>
        <v>24</v>
      </c>
      <c r="FH1" s="47">
        <f t="shared" ref="FH1:FV1" si="1">FG1+1</f>
        <v>1</v>
      </c>
      <c r="FI1" s="47">
        <f t="shared" si="1"/>
        <v>2</v>
      </c>
      <c r="FJ1" s="47">
        <f t="shared" si="1"/>
        <v>3</v>
      </c>
      <c r="FK1" s="47">
        <f t="shared" si="1"/>
        <v>4</v>
      </c>
      <c r="FL1" s="47">
        <f t="shared" si="1"/>
        <v>5</v>
      </c>
      <c r="FM1" s="47">
        <f t="shared" si="1"/>
        <v>6</v>
      </c>
      <c r="FN1" s="47">
        <f t="shared" si="1"/>
        <v>7</v>
      </c>
      <c r="FO1" s="47">
        <f t="shared" si="1"/>
        <v>8</v>
      </c>
      <c r="FP1" s="47">
        <f t="shared" si="1"/>
        <v>9</v>
      </c>
      <c r="FQ1" s="47">
        <f t="shared" si="1"/>
        <v>10</v>
      </c>
      <c r="FR1" s="47">
        <f t="shared" si="1"/>
        <v>11</v>
      </c>
      <c r="FS1" s="47">
        <f t="shared" si="1"/>
        <v>12</v>
      </c>
      <c r="FT1" s="47">
        <f t="shared" si="1"/>
        <v>13</v>
      </c>
      <c r="FU1" s="47">
        <f t="shared" si="1"/>
        <v>14</v>
      </c>
      <c r="FV1" s="47">
        <f t="shared" si="1"/>
        <v>15</v>
      </c>
      <c r="GO1" s="83"/>
      <c r="GP1" s="83"/>
      <c r="GQ1" s="83"/>
      <c r="GR1" s="83"/>
      <c r="GS1" s="83"/>
      <c r="GT1" s="83"/>
      <c r="GU1" s="83"/>
      <c r="GV1" s="83"/>
      <c r="GW1" s="83"/>
      <c r="GX1" s="83"/>
      <c r="GY1" s="83"/>
      <c r="GZ1" s="83"/>
      <c r="HA1" s="83"/>
      <c r="HB1" s="83"/>
      <c r="HC1" s="83"/>
      <c r="HD1" s="83"/>
      <c r="HE1" s="83"/>
      <c r="HF1" s="83"/>
      <c r="HG1" s="83"/>
      <c r="HH1" s="83"/>
      <c r="HI1" s="83"/>
      <c r="HJ1" s="83"/>
      <c r="HK1" s="83"/>
      <c r="HL1" s="83"/>
      <c r="HM1" s="83"/>
      <c r="HN1" s="83"/>
      <c r="HO1" s="83"/>
      <c r="HP1" s="84"/>
      <c r="HQ1" s="84"/>
      <c r="HR1" s="84"/>
      <c r="HS1" s="84" t="s">
        <v>425</v>
      </c>
      <c r="HT1" s="84"/>
      <c r="HU1" s="84"/>
      <c r="HV1" s="84"/>
      <c r="HW1" s="84"/>
      <c r="HX1" s="84"/>
      <c r="HY1" s="84"/>
      <c r="HZ1" s="84"/>
      <c r="IA1" s="84"/>
      <c r="IB1" s="84"/>
      <c r="IC1" s="84"/>
      <c r="ID1" s="84"/>
      <c r="IE1" s="84"/>
      <c r="IF1" s="84"/>
      <c r="IG1" s="84"/>
      <c r="IH1" s="84"/>
      <c r="II1" s="84"/>
      <c r="IJ1" s="84"/>
      <c r="IK1" s="84"/>
      <c r="IL1" s="84"/>
      <c r="IM1" s="83"/>
      <c r="IN1" s="83"/>
      <c r="IO1" s="83"/>
      <c r="IP1" s="83"/>
      <c r="IQ1" s="83"/>
      <c r="IR1" s="83"/>
      <c r="IS1" s="83"/>
      <c r="IT1" s="83"/>
      <c r="IU1" s="83"/>
      <c r="IV1" s="83"/>
      <c r="IW1" s="83"/>
      <c r="IX1" s="83"/>
      <c r="IY1" s="83"/>
      <c r="IZ1" s="83"/>
      <c r="JA1" s="83"/>
      <c r="JB1" s="83"/>
      <c r="JC1" s="83"/>
      <c r="JD1" s="83"/>
      <c r="JE1" s="83"/>
      <c r="JF1" s="83"/>
      <c r="JG1" s="83"/>
      <c r="JH1" s="83"/>
      <c r="JI1" s="83"/>
      <c r="JJ1" s="83"/>
      <c r="JK1" s="83"/>
      <c r="KS1">
        <v>1</v>
      </c>
      <c r="KT1" t="s">
        <v>580</v>
      </c>
      <c r="PO1" s="557" t="s">
        <v>630</v>
      </c>
      <c r="PP1" s="558"/>
      <c r="PQ1" s="559"/>
    </row>
    <row r="2" spans="1:433 16383:16383" ht="23.75" customHeight="1" x14ac:dyDescent="0.2">
      <c r="A2" s="6" t="s">
        <v>21</v>
      </c>
      <c r="B2" s="7"/>
      <c r="C2" s="7"/>
      <c r="D2" s="7"/>
      <c r="E2" s="7"/>
      <c r="F2" s="7"/>
      <c r="G2" s="8"/>
      <c r="H2" s="8"/>
      <c r="I2" s="9"/>
      <c r="J2" s="9"/>
      <c r="K2" s="9"/>
      <c r="L2" s="9"/>
      <c r="M2" s="9"/>
      <c r="N2" s="9"/>
      <c r="O2" s="9"/>
      <c r="P2" s="9"/>
      <c r="Q2" s="9"/>
      <c r="R2" s="7"/>
      <c r="S2" s="7"/>
      <c r="T2" s="7"/>
      <c r="U2" s="7"/>
      <c r="V2" s="10"/>
      <c r="W2" s="10"/>
      <c r="X2" s="10"/>
      <c r="Y2" s="10"/>
      <c r="Z2" s="7"/>
      <c r="AA2" s="7"/>
      <c r="AB2" s="7"/>
      <c r="AC2" s="7"/>
      <c r="AD2" s="7"/>
      <c r="AE2" s="7"/>
      <c r="AF2" s="34" t="s">
        <v>295</v>
      </c>
      <c r="AG2" s="35" t="s">
        <v>297</v>
      </c>
      <c r="BF2" s="34" t="s">
        <v>295</v>
      </c>
      <c r="BG2" s="34"/>
      <c r="BH2" s="35" t="s">
        <v>297</v>
      </c>
      <c r="BN2" s="30" t="s">
        <v>338</v>
      </c>
      <c r="CD2" s="30" t="s">
        <v>338</v>
      </c>
      <c r="ED2" s="48"/>
      <c r="EE2" s="49"/>
      <c r="EG2" s="533" t="s">
        <v>388</v>
      </c>
      <c r="EH2" s="533" t="s">
        <v>352</v>
      </c>
      <c r="EI2" s="429" t="s">
        <v>387</v>
      </c>
      <c r="EJ2" s="429" t="s">
        <v>482</v>
      </c>
      <c r="EK2" s="507" t="s">
        <v>483</v>
      </c>
      <c r="EL2" s="508"/>
      <c r="EM2" s="508"/>
      <c r="EN2" s="508"/>
      <c r="EO2" s="508"/>
      <c r="EP2" s="509"/>
      <c r="EQ2" s="429" t="s">
        <v>353</v>
      </c>
      <c r="ER2" s="429" t="s">
        <v>484</v>
      </c>
      <c r="ES2" s="429" t="s">
        <v>354</v>
      </c>
      <c r="ET2" s="429" t="s">
        <v>397</v>
      </c>
      <c r="EU2" s="429" t="s">
        <v>485</v>
      </c>
      <c r="EV2" s="429" t="s">
        <v>355</v>
      </c>
      <c r="EW2" s="507" t="s">
        <v>486</v>
      </c>
      <c r="EX2" s="508"/>
      <c r="EY2" s="509"/>
      <c r="EZ2" s="429" t="s">
        <v>356</v>
      </c>
      <c r="FA2" s="429" t="s">
        <v>357</v>
      </c>
      <c r="FB2" s="429" t="s">
        <v>358</v>
      </c>
      <c r="FC2" s="429" t="s">
        <v>623</v>
      </c>
      <c r="FD2" s="429" t="s">
        <v>359</v>
      </c>
      <c r="FE2" s="429" t="s">
        <v>360</v>
      </c>
      <c r="FF2" s="429" t="s">
        <v>629</v>
      </c>
      <c r="FH2" s="429" t="s">
        <v>11</v>
      </c>
      <c r="FI2" s="429" t="s">
        <v>487</v>
      </c>
      <c r="FJ2" s="429" t="s">
        <v>488</v>
      </c>
      <c r="FK2" s="429" t="s">
        <v>489</v>
      </c>
      <c r="FL2" s="429" t="s">
        <v>490</v>
      </c>
      <c r="FM2" s="429" t="s">
        <v>491</v>
      </c>
      <c r="FN2" s="429" t="s">
        <v>492</v>
      </c>
      <c r="FO2" s="429" t="s">
        <v>493</v>
      </c>
      <c r="FP2" s="429" t="s">
        <v>494</v>
      </c>
      <c r="FQ2" s="429" t="s">
        <v>495</v>
      </c>
      <c r="FR2" s="429" t="s">
        <v>496</v>
      </c>
      <c r="FS2" s="429" t="s">
        <v>497</v>
      </c>
      <c r="FT2" s="429" t="s">
        <v>498</v>
      </c>
      <c r="FU2" s="429" t="s">
        <v>499</v>
      </c>
      <c r="FV2" s="429" t="s">
        <v>500</v>
      </c>
      <c r="GO2" s="83"/>
      <c r="GP2" s="83"/>
      <c r="GQ2" s="83"/>
      <c r="GR2" s="83"/>
      <c r="GS2" s="83"/>
      <c r="GT2" s="83"/>
      <c r="GU2" s="83" t="s">
        <v>467</v>
      </c>
      <c r="GV2" s="83"/>
      <c r="GW2" s="83"/>
      <c r="GX2" s="83"/>
      <c r="GY2" s="83"/>
      <c r="GZ2" s="83"/>
      <c r="HA2" s="83"/>
      <c r="HB2" s="83"/>
      <c r="HC2" s="83"/>
      <c r="HD2" s="83"/>
      <c r="HE2" s="83"/>
      <c r="HF2" s="83"/>
      <c r="HG2" s="83"/>
      <c r="HH2" s="83"/>
      <c r="HI2" s="83"/>
      <c r="HJ2" s="83"/>
      <c r="HK2" s="83"/>
      <c r="HL2" s="83"/>
      <c r="HM2" s="83"/>
      <c r="HN2" s="83"/>
      <c r="HO2" s="83"/>
      <c r="HP2" s="82"/>
      <c r="HQ2" s="82"/>
      <c r="HR2" s="82"/>
      <c r="HS2" t="s">
        <v>426</v>
      </c>
      <c r="HT2" s="82"/>
      <c r="HU2" s="82"/>
      <c r="HV2" s="82"/>
      <c r="HW2" s="82"/>
      <c r="HX2" s="82"/>
      <c r="HY2" s="82"/>
      <c r="HZ2" s="82"/>
      <c r="IA2" s="82"/>
      <c r="IB2" s="82"/>
      <c r="IC2" s="82"/>
      <c r="ID2" s="82"/>
      <c r="IE2" s="82"/>
      <c r="IF2" s="82"/>
      <c r="IG2" s="82"/>
      <c r="IH2" s="82"/>
      <c r="II2" s="82"/>
      <c r="IJ2" s="82"/>
      <c r="IK2" s="82"/>
      <c r="IL2" s="82"/>
      <c r="IM2" s="83"/>
      <c r="IN2" s="83"/>
      <c r="IO2" s="83"/>
      <c r="IP2" s="83"/>
      <c r="IQ2" s="83"/>
      <c r="IR2" s="83"/>
      <c r="IS2" s="83"/>
      <c r="IT2" s="83"/>
      <c r="IU2" s="83"/>
      <c r="IV2" s="83"/>
      <c r="IW2" s="83"/>
      <c r="IX2" s="83"/>
      <c r="IY2" s="83"/>
      <c r="IZ2" s="83"/>
      <c r="JA2" s="83"/>
      <c r="JB2" s="83"/>
      <c r="JC2" s="83"/>
      <c r="JD2" s="83"/>
      <c r="JE2" s="83"/>
      <c r="JF2" s="83"/>
      <c r="JG2" s="83"/>
      <c r="JH2" s="83"/>
      <c r="JI2" s="83"/>
      <c r="JJ2" s="83"/>
      <c r="JK2" s="83"/>
      <c r="JP2" s="30" t="s">
        <v>338</v>
      </c>
      <c r="KB2" s="121" t="s">
        <v>477</v>
      </c>
      <c r="KF2" s="30" t="s">
        <v>338</v>
      </c>
      <c r="KR2" s="121" t="s">
        <v>477</v>
      </c>
      <c r="KS2">
        <v>2</v>
      </c>
      <c r="KT2" t="s">
        <v>581</v>
      </c>
      <c r="PO2" s="560" t="s">
        <v>623</v>
      </c>
      <c r="PP2" s="563" t="s">
        <v>629</v>
      </c>
      <c r="PQ2" s="563" t="s">
        <v>631</v>
      </c>
    </row>
    <row r="3" spans="1:433 16383:16383" ht="23.75" customHeight="1" x14ac:dyDescent="0.2">
      <c r="A3" s="6" t="s">
        <v>424</v>
      </c>
      <c r="B3" s="82"/>
      <c r="C3" s="6"/>
      <c r="D3" s="584">
        <f>Jaticempaka!D3</f>
        <v>44201</v>
      </c>
      <c r="E3" s="585"/>
      <c r="F3" s="7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7"/>
      <c r="S3" s="7"/>
      <c r="T3" s="7"/>
      <c r="U3" s="7"/>
      <c r="V3" s="10"/>
      <c r="W3" s="10"/>
      <c r="X3" s="10"/>
      <c r="Y3" s="10"/>
      <c r="Z3" s="7"/>
      <c r="AA3" s="7"/>
      <c r="AB3" s="7"/>
      <c r="AC3" s="7"/>
      <c r="AD3" s="7"/>
      <c r="AE3" s="7"/>
      <c r="AF3" s="33"/>
      <c r="AG3" s="33"/>
      <c r="BF3" s="33"/>
      <c r="BG3" s="36"/>
      <c r="BH3" s="36"/>
      <c r="BN3" s="46" t="s">
        <v>336</v>
      </c>
      <c r="BO3" s="529" t="s">
        <v>337</v>
      </c>
      <c r="BP3" s="529"/>
      <c r="BQ3" s="529"/>
      <c r="BR3" s="529"/>
      <c r="BS3" s="529"/>
      <c r="BT3" s="529"/>
      <c r="BU3" s="529"/>
      <c r="BV3" s="529"/>
      <c r="BW3" s="529"/>
      <c r="BX3" s="529"/>
      <c r="BY3" s="529"/>
      <c r="BZ3" s="529"/>
      <c r="CB3" s="30" t="s">
        <v>340</v>
      </c>
      <c r="CD3" s="46"/>
      <c r="CE3" s="529"/>
      <c r="CF3" s="529"/>
      <c r="CG3" s="529"/>
      <c r="CH3" s="529"/>
      <c r="CI3" s="529"/>
      <c r="CJ3" s="529"/>
      <c r="CK3" s="529"/>
      <c r="CL3" s="529"/>
      <c r="CM3" s="529"/>
      <c r="CN3" s="529"/>
      <c r="CO3" s="529"/>
      <c r="CP3" s="529"/>
      <c r="ED3" s="50"/>
      <c r="EE3" s="51"/>
      <c r="EG3" s="533"/>
      <c r="EH3" s="533"/>
      <c r="EI3" s="429"/>
      <c r="EJ3" s="429"/>
      <c r="EK3" s="510" t="s">
        <v>308</v>
      </c>
      <c r="EL3" s="510" t="s">
        <v>501</v>
      </c>
      <c r="EM3" s="510" t="s">
        <v>502</v>
      </c>
      <c r="EN3" s="510" t="s">
        <v>503</v>
      </c>
      <c r="EO3" s="510"/>
      <c r="EP3" s="510"/>
      <c r="EQ3" s="429"/>
      <c r="ER3" s="429"/>
      <c r="ES3" s="429"/>
      <c r="ET3" s="429"/>
      <c r="EU3" s="429"/>
      <c r="EV3" s="429"/>
      <c r="EW3" s="510" t="s">
        <v>504</v>
      </c>
      <c r="EX3" s="510" t="s">
        <v>309</v>
      </c>
      <c r="EY3" s="510" t="s">
        <v>505</v>
      </c>
      <c r="EZ3" s="429"/>
      <c r="FA3" s="429"/>
      <c r="FB3" s="429"/>
      <c r="FC3" s="429"/>
      <c r="FD3" s="429"/>
      <c r="FE3" s="429"/>
      <c r="FF3" s="429"/>
      <c r="FH3" s="429"/>
      <c r="FI3" s="429"/>
      <c r="FJ3" s="429"/>
      <c r="FK3" s="429"/>
      <c r="FL3" s="429"/>
      <c r="FM3" s="429"/>
      <c r="FN3" s="429"/>
      <c r="FO3" s="429"/>
      <c r="FP3" s="429"/>
      <c r="FQ3" s="429"/>
      <c r="FR3" s="429"/>
      <c r="FS3" s="429"/>
      <c r="FT3" s="429"/>
      <c r="FU3" s="429"/>
      <c r="FV3" s="429"/>
      <c r="GU3" s="85">
        <v>43243</v>
      </c>
      <c r="GX3" s="519" t="s">
        <v>427</v>
      </c>
      <c r="GY3" s="520"/>
      <c r="GZ3" s="86"/>
      <c r="HA3" s="83"/>
      <c r="HB3" s="83"/>
      <c r="HC3" s="86"/>
      <c r="HD3" s="86"/>
      <c r="HE3" s="86"/>
      <c r="HF3" s="82"/>
      <c r="HG3" s="82"/>
      <c r="HH3" s="82" t="s">
        <v>428</v>
      </c>
      <c r="HI3" s="82"/>
      <c r="HJ3" s="86"/>
      <c r="HK3" s="82"/>
      <c r="HL3" s="83"/>
      <c r="HM3" s="83"/>
      <c r="HN3" s="83"/>
      <c r="HO3" s="83"/>
      <c r="HP3" s="86"/>
      <c r="HQ3" s="86"/>
      <c r="HR3" s="86"/>
      <c r="HS3" t="s">
        <v>429</v>
      </c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 t="s">
        <v>430</v>
      </c>
      <c r="II3" s="86"/>
      <c r="IJ3" s="86"/>
      <c r="IK3" s="86"/>
      <c r="IL3" s="86"/>
      <c r="IM3" s="83"/>
      <c r="IN3" s="83"/>
      <c r="IO3" s="83"/>
      <c r="IP3" s="83"/>
      <c r="IQ3" s="83"/>
      <c r="IR3" s="83"/>
      <c r="IS3" s="83"/>
      <c r="IT3" s="83"/>
      <c r="IU3" s="83"/>
      <c r="IV3" s="83"/>
      <c r="IW3" s="83"/>
      <c r="IX3" s="83"/>
      <c r="IY3" s="83"/>
      <c r="IZ3" s="83"/>
      <c r="JA3" s="83"/>
      <c r="JB3" s="83"/>
      <c r="JC3" s="83"/>
      <c r="JD3" s="83"/>
      <c r="JE3" s="83"/>
      <c r="JF3" s="83"/>
      <c r="JG3" s="83"/>
      <c r="JH3" s="83"/>
      <c r="JI3" s="83"/>
      <c r="JJ3" s="83"/>
      <c r="JK3" s="83"/>
      <c r="JP3" s="46" t="s">
        <v>336</v>
      </c>
      <c r="JQ3" s="529" t="s">
        <v>337</v>
      </c>
      <c r="JR3" s="529"/>
      <c r="JS3" s="529"/>
      <c r="JT3" s="529"/>
      <c r="JU3" s="529"/>
      <c r="JV3" s="529"/>
      <c r="JW3" s="529"/>
      <c r="JX3" s="529"/>
      <c r="JY3" s="529"/>
      <c r="JZ3" s="529"/>
      <c r="KA3" s="529"/>
      <c r="KB3" s="529"/>
      <c r="KF3" s="46"/>
      <c r="KG3" s="529"/>
      <c r="KH3" s="529"/>
      <c r="KI3" s="529"/>
      <c r="KJ3" s="529"/>
      <c r="KK3" s="529"/>
      <c r="KL3" s="529"/>
      <c r="KM3" s="529"/>
      <c r="KN3" s="529"/>
      <c r="KO3" s="529"/>
      <c r="KP3" s="529"/>
      <c r="KQ3" s="529"/>
      <c r="KR3" s="529"/>
      <c r="KS3">
        <v>3</v>
      </c>
      <c r="KT3" t="s">
        <v>582</v>
      </c>
      <c r="KU3" s="30" t="s">
        <v>508</v>
      </c>
      <c r="PO3" s="561"/>
      <c r="PP3" s="563"/>
      <c r="PQ3" s="563"/>
    </row>
    <row r="4" spans="1:433 16383:16383" ht="18" customHeight="1" thickBot="1" x14ac:dyDescent="0.25">
      <c r="A4" s="479" t="s">
        <v>1</v>
      </c>
      <c r="B4" s="479" t="s">
        <v>2</v>
      </c>
      <c r="C4" s="479" t="s">
        <v>3</v>
      </c>
      <c r="D4" s="482" t="s">
        <v>4</v>
      </c>
      <c r="E4" s="483"/>
      <c r="F4" s="499" t="s">
        <v>5</v>
      </c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0"/>
      <c r="AA4" s="500"/>
      <c r="AB4" s="500"/>
      <c r="AC4" s="500"/>
      <c r="AD4" s="500"/>
      <c r="AE4" s="501"/>
      <c r="AF4" s="431" t="s">
        <v>298</v>
      </c>
      <c r="AG4" s="432"/>
      <c r="AH4" s="433"/>
      <c r="AI4" s="496" t="s">
        <v>261</v>
      </c>
      <c r="AJ4" s="497"/>
      <c r="AK4" s="498"/>
      <c r="AL4" s="573" t="s">
        <v>292</v>
      </c>
      <c r="AM4" s="574"/>
      <c r="AN4" s="566" t="s">
        <v>312</v>
      </c>
      <c r="BB4" s="570" t="s">
        <v>349</v>
      </c>
      <c r="BE4" s="431" t="s">
        <v>298</v>
      </c>
      <c r="BF4" s="432"/>
      <c r="BG4" s="432"/>
      <c r="BH4" s="432"/>
      <c r="BI4" s="432"/>
      <c r="BJ4" s="432"/>
      <c r="BK4" s="433"/>
      <c r="BN4" s="400" t="s">
        <v>319</v>
      </c>
      <c r="BO4" s="397" t="s">
        <v>320</v>
      </c>
      <c r="BP4" s="468" t="s">
        <v>321</v>
      </c>
      <c r="BQ4" s="468"/>
      <c r="BR4" s="468"/>
      <c r="BS4" s="468"/>
      <c r="BT4" s="468"/>
      <c r="BU4" s="468"/>
      <c r="BV4" s="468"/>
      <c r="BW4" s="468"/>
      <c r="BX4" s="468"/>
      <c r="BY4" s="468"/>
      <c r="BZ4" s="468"/>
      <c r="CB4" s="469" t="s">
        <v>339</v>
      </c>
      <c r="CD4" s="400" t="s">
        <v>319</v>
      </c>
      <c r="CE4" s="397" t="s">
        <v>320</v>
      </c>
      <c r="CF4" s="468" t="s">
        <v>321</v>
      </c>
      <c r="CG4" s="468"/>
      <c r="CH4" s="468"/>
      <c r="CI4" s="468"/>
      <c r="CJ4" s="468"/>
      <c r="CK4" s="468"/>
      <c r="CL4" s="468"/>
      <c r="CM4" s="468"/>
      <c r="CN4" s="468"/>
      <c r="CO4" s="468"/>
      <c r="CP4" s="468"/>
      <c r="DV4" s="513" t="s">
        <v>350</v>
      </c>
      <c r="DW4" s="514"/>
      <c r="DX4" s="514"/>
      <c r="DY4" s="514"/>
      <c r="DZ4" s="514"/>
      <c r="EA4" s="514"/>
      <c r="EB4" s="515"/>
      <c r="ED4" s="50"/>
      <c r="EE4" s="51"/>
      <c r="EG4" s="533"/>
      <c r="EH4" s="533"/>
      <c r="EI4" s="429"/>
      <c r="EJ4" s="429"/>
      <c r="EK4" s="511"/>
      <c r="EL4" s="511"/>
      <c r="EM4" s="511"/>
      <c r="EN4" s="511"/>
      <c r="EO4" s="511"/>
      <c r="EP4" s="511"/>
      <c r="EQ4" s="429"/>
      <c r="ER4" s="429"/>
      <c r="ES4" s="429"/>
      <c r="ET4" s="429"/>
      <c r="EU4" s="429"/>
      <c r="EV4" s="429"/>
      <c r="EW4" s="511"/>
      <c r="EX4" s="511"/>
      <c r="EY4" s="511"/>
      <c r="EZ4" s="429"/>
      <c r="FA4" s="429"/>
      <c r="FB4" s="429"/>
      <c r="FC4" s="429"/>
      <c r="FD4" s="429"/>
      <c r="FE4" s="429"/>
      <c r="FF4" s="429"/>
      <c r="FH4" s="429"/>
      <c r="FI4" s="429"/>
      <c r="FJ4" s="429"/>
      <c r="FK4" s="429"/>
      <c r="FL4" s="429"/>
      <c r="FM4" s="429"/>
      <c r="FN4" s="429"/>
      <c r="FO4" s="429"/>
      <c r="FP4" s="429"/>
      <c r="FQ4" s="429"/>
      <c r="FR4" s="429"/>
      <c r="FS4" s="429"/>
      <c r="FT4" s="429"/>
      <c r="FU4" s="429"/>
      <c r="FV4" s="429"/>
      <c r="FX4" s="365" t="s">
        <v>624</v>
      </c>
      <c r="FY4" s="412" t="s">
        <v>319</v>
      </c>
      <c r="FZ4" s="397" t="s">
        <v>320</v>
      </c>
      <c r="GA4" s="397" t="s">
        <v>378</v>
      </c>
      <c r="GB4" s="397" t="s">
        <v>379</v>
      </c>
      <c r="GC4" s="397" t="s">
        <v>380</v>
      </c>
      <c r="GD4" s="397" t="s">
        <v>381</v>
      </c>
      <c r="GE4" s="397" t="s">
        <v>382</v>
      </c>
      <c r="GF4" s="27"/>
      <c r="GG4" s="397" t="s">
        <v>383</v>
      </c>
      <c r="GH4" s="397" t="s">
        <v>384</v>
      </c>
      <c r="GI4" s="27"/>
      <c r="GJ4" s="397" t="s">
        <v>385</v>
      </c>
      <c r="GK4" s="397" t="s">
        <v>386</v>
      </c>
      <c r="GO4" s="521" t="s">
        <v>431</v>
      </c>
      <c r="GP4" s="522"/>
      <c r="GQ4" s="522"/>
      <c r="GR4" s="522"/>
      <c r="GS4" s="522"/>
      <c r="GT4" s="523"/>
      <c r="GU4" s="87" t="s">
        <v>432</v>
      </c>
      <c r="GV4" s="521" t="s">
        <v>433</v>
      </c>
      <c r="GW4" s="523"/>
      <c r="GX4" s="88" t="s">
        <v>434</v>
      </c>
      <c r="GY4" s="89">
        <f>Jaticempaka!GY4</f>
        <v>20</v>
      </c>
      <c r="GZ4" s="423"/>
      <c r="HA4" s="83"/>
      <c r="HB4" s="83"/>
      <c r="HC4" s="426" t="s">
        <v>436</v>
      </c>
      <c r="HD4" s="427"/>
      <c r="HE4" s="427"/>
      <c r="HF4" s="427"/>
      <c r="HG4" s="427"/>
      <c r="HH4" s="427"/>
      <c r="HI4" s="428"/>
      <c r="HJ4" s="90"/>
      <c r="HK4" s="398" t="s">
        <v>437</v>
      </c>
      <c r="HL4" s="83"/>
      <c r="HM4" s="83"/>
      <c r="HN4" s="83"/>
      <c r="HO4" s="83"/>
      <c r="HS4" t="s">
        <v>438</v>
      </c>
      <c r="IM4" s="83"/>
      <c r="IN4" s="83"/>
      <c r="IO4" s="83"/>
      <c r="IP4" s="83"/>
      <c r="IQ4" s="83"/>
      <c r="IR4" s="83"/>
      <c r="IS4" s="83"/>
      <c r="IT4" s="83"/>
      <c r="IU4" s="83"/>
      <c r="IV4" s="83"/>
      <c r="IW4" s="83"/>
      <c r="IX4" s="83"/>
      <c r="IY4" s="83"/>
      <c r="IZ4" s="83"/>
      <c r="JA4" s="83"/>
      <c r="JB4" s="83"/>
      <c r="JC4" s="83"/>
      <c r="JD4" s="83"/>
      <c r="JE4" s="83"/>
      <c r="JF4" s="83"/>
      <c r="JG4" s="83"/>
      <c r="JH4" s="83"/>
      <c r="JI4" s="83"/>
      <c r="JJ4" s="83"/>
      <c r="JK4" s="83"/>
      <c r="JP4" s="400" t="s">
        <v>319</v>
      </c>
      <c r="JQ4" s="397" t="s">
        <v>320</v>
      </c>
      <c r="JR4" s="468" t="s">
        <v>321</v>
      </c>
      <c r="JS4" s="468"/>
      <c r="JT4" s="468"/>
      <c r="JU4" s="468"/>
      <c r="JV4" s="468"/>
      <c r="JW4" s="468"/>
      <c r="JX4" s="468"/>
      <c r="JY4" s="468"/>
      <c r="JZ4" s="468"/>
      <c r="KA4" s="468"/>
      <c r="KB4" s="468"/>
      <c r="KD4" s="400" t="s">
        <v>626</v>
      </c>
      <c r="KE4" s="400" t="s">
        <v>627</v>
      </c>
      <c r="KF4" s="400" t="s">
        <v>319</v>
      </c>
      <c r="KG4" s="397" t="s">
        <v>320</v>
      </c>
      <c r="KH4" s="468" t="s">
        <v>321</v>
      </c>
      <c r="KI4" s="468"/>
      <c r="KJ4" s="468"/>
      <c r="KK4" s="468"/>
      <c r="KL4" s="468"/>
      <c r="KM4" s="468"/>
      <c r="KN4" s="468"/>
      <c r="KO4" s="468"/>
      <c r="KP4" s="468"/>
      <c r="KQ4" s="468"/>
      <c r="KR4" s="468"/>
      <c r="KS4">
        <v>4</v>
      </c>
      <c r="KT4" t="s">
        <v>583</v>
      </c>
      <c r="LF4">
        <v>1</v>
      </c>
      <c r="LM4">
        <v>2</v>
      </c>
      <c r="LT4">
        <v>3</v>
      </c>
      <c r="MA4">
        <v>4</v>
      </c>
      <c r="MK4">
        <v>5</v>
      </c>
      <c r="MP4">
        <v>6</v>
      </c>
      <c r="MX4">
        <v>7</v>
      </c>
      <c r="NZ4" s="341" t="s">
        <v>592</v>
      </c>
      <c r="PO4" s="561"/>
      <c r="PP4" s="563"/>
      <c r="PQ4" s="563"/>
    </row>
    <row r="5" spans="1:433 16383:16383" ht="18" customHeight="1" x14ac:dyDescent="0.2">
      <c r="A5" s="480"/>
      <c r="B5" s="480"/>
      <c r="C5" s="480"/>
      <c r="D5" s="484"/>
      <c r="E5" s="485"/>
      <c r="F5" s="493" t="s">
        <v>6</v>
      </c>
      <c r="G5" s="493"/>
      <c r="H5" s="493"/>
      <c r="I5" s="493"/>
      <c r="J5" s="496" t="s">
        <v>283</v>
      </c>
      <c r="K5" s="497" t="s">
        <v>283</v>
      </c>
      <c r="L5" s="497" t="s">
        <v>283</v>
      </c>
      <c r="M5" s="497" t="s">
        <v>283</v>
      </c>
      <c r="N5" s="497" t="s">
        <v>283</v>
      </c>
      <c r="O5" s="497" t="s">
        <v>283</v>
      </c>
      <c r="P5" s="497" t="s">
        <v>283</v>
      </c>
      <c r="Q5" s="498" t="s">
        <v>283</v>
      </c>
      <c r="R5" s="493" t="s">
        <v>8</v>
      </c>
      <c r="S5" s="493"/>
      <c r="T5" s="493"/>
      <c r="U5" s="493"/>
      <c r="V5" s="493" t="s">
        <v>9</v>
      </c>
      <c r="W5" s="493"/>
      <c r="X5" s="493"/>
      <c r="Y5" s="493"/>
      <c r="Z5" s="493"/>
      <c r="AA5" s="502" t="s">
        <v>396</v>
      </c>
      <c r="AB5" s="502"/>
      <c r="AC5" s="502"/>
      <c r="AD5" s="502"/>
      <c r="AE5" s="502"/>
      <c r="AF5" s="434"/>
      <c r="AG5" s="435"/>
      <c r="AH5" s="436"/>
      <c r="AI5" s="489" t="s">
        <v>262</v>
      </c>
      <c r="AJ5" s="482"/>
      <c r="AK5" s="483"/>
      <c r="AL5" s="575"/>
      <c r="AM5" s="576"/>
      <c r="AN5" s="567"/>
      <c r="BB5" s="571"/>
      <c r="BE5" s="434"/>
      <c r="BF5" s="435"/>
      <c r="BG5" s="435"/>
      <c r="BH5" s="435"/>
      <c r="BI5" s="435"/>
      <c r="BJ5" s="435"/>
      <c r="BK5" s="436"/>
      <c r="BN5" s="400"/>
      <c r="BO5" s="397"/>
      <c r="BP5" s="472" t="s">
        <v>315</v>
      </c>
      <c r="BQ5" s="472"/>
      <c r="BR5" s="472"/>
      <c r="BS5" s="472"/>
      <c r="BT5" s="472"/>
      <c r="BU5" s="472"/>
      <c r="BV5" s="472"/>
      <c r="BW5" s="472" t="s">
        <v>330</v>
      </c>
      <c r="BX5" s="472"/>
      <c r="BY5" s="472"/>
      <c r="BZ5" s="472"/>
      <c r="CB5" s="470"/>
      <c r="CD5" s="400"/>
      <c r="CE5" s="397"/>
      <c r="CF5" s="472" t="s">
        <v>315</v>
      </c>
      <c r="CG5" s="472"/>
      <c r="CH5" s="472"/>
      <c r="CI5" s="472"/>
      <c r="CJ5" s="472"/>
      <c r="CK5" s="472"/>
      <c r="CL5" s="472"/>
      <c r="CM5" s="472" t="s">
        <v>330</v>
      </c>
      <c r="CN5" s="472"/>
      <c r="CO5" s="472"/>
      <c r="CP5" s="472"/>
      <c r="DV5" s="516"/>
      <c r="DW5" s="517"/>
      <c r="DX5" s="517"/>
      <c r="DY5" s="517"/>
      <c r="DZ5" s="517"/>
      <c r="EA5" s="517"/>
      <c r="EB5" s="518"/>
      <c r="ED5" s="52" t="s">
        <v>361</v>
      </c>
      <c r="EE5" s="51"/>
      <c r="EG5" s="533"/>
      <c r="EH5" s="533"/>
      <c r="EI5" s="429"/>
      <c r="EJ5" s="429"/>
      <c r="EK5" s="511"/>
      <c r="EL5" s="511"/>
      <c r="EM5" s="511"/>
      <c r="EN5" s="511"/>
      <c r="EO5" s="511"/>
      <c r="EP5" s="511"/>
      <c r="EQ5" s="429"/>
      <c r="ER5" s="429"/>
      <c r="ES5" s="429"/>
      <c r="ET5" s="429"/>
      <c r="EU5" s="429"/>
      <c r="EV5" s="429"/>
      <c r="EW5" s="511"/>
      <c r="EX5" s="511"/>
      <c r="EY5" s="511"/>
      <c r="EZ5" s="429"/>
      <c r="FA5" s="429"/>
      <c r="FB5" s="429"/>
      <c r="FC5" s="429"/>
      <c r="FD5" s="429"/>
      <c r="FE5" s="429"/>
      <c r="FF5" s="429"/>
      <c r="FH5" s="429"/>
      <c r="FI5" s="429"/>
      <c r="FJ5" s="429"/>
      <c r="FK5" s="429"/>
      <c r="FL5" s="429"/>
      <c r="FM5" s="429"/>
      <c r="FN5" s="429"/>
      <c r="FO5" s="429"/>
      <c r="FP5" s="429"/>
      <c r="FQ5" s="429"/>
      <c r="FR5" s="429"/>
      <c r="FS5" s="429"/>
      <c r="FT5" s="429"/>
      <c r="FU5" s="429"/>
      <c r="FV5" s="429"/>
      <c r="FX5" s="366"/>
      <c r="FY5" s="413"/>
      <c r="FZ5" s="397"/>
      <c r="GA5" s="397"/>
      <c r="GB5" s="397"/>
      <c r="GC5" s="397"/>
      <c r="GD5" s="397"/>
      <c r="GE5" s="397"/>
      <c r="GF5" s="27"/>
      <c r="GG5" s="397"/>
      <c r="GH5" s="397"/>
      <c r="GI5" s="27"/>
      <c r="GJ5" s="397"/>
      <c r="GK5" s="397"/>
      <c r="GO5" s="524"/>
      <c r="GP5" s="525"/>
      <c r="GQ5" s="525"/>
      <c r="GR5" s="525"/>
      <c r="GS5" s="525"/>
      <c r="GT5" s="526"/>
      <c r="GU5" s="91" t="s">
        <v>439</v>
      </c>
      <c r="GV5" s="524"/>
      <c r="GW5" s="526"/>
      <c r="GX5" s="92" t="s">
        <v>440</v>
      </c>
      <c r="GY5" s="93">
        <f>Jaticempaka!GY5</f>
        <v>20</v>
      </c>
      <c r="GZ5" s="424"/>
      <c r="HA5" s="83"/>
      <c r="HB5" s="83"/>
      <c r="HC5" s="399" t="s">
        <v>441</v>
      </c>
      <c r="HD5" s="399" t="s">
        <v>442</v>
      </c>
      <c r="HE5" s="399" t="s">
        <v>18</v>
      </c>
      <c r="HF5" s="399" t="s">
        <v>443</v>
      </c>
      <c r="HG5" s="399" t="s">
        <v>444</v>
      </c>
      <c r="HH5" s="398" t="s">
        <v>445</v>
      </c>
      <c r="HI5" s="398" t="s">
        <v>446</v>
      </c>
      <c r="HJ5" s="90"/>
      <c r="HK5" s="399"/>
      <c r="HL5" s="83"/>
      <c r="HM5" s="83"/>
      <c r="HN5" s="83"/>
      <c r="HO5" s="83"/>
      <c r="HP5">
        <v>1</v>
      </c>
      <c r="HS5" s="94">
        <v>2</v>
      </c>
      <c r="HV5">
        <v>3</v>
      </c>
      <c r="HY5">
        <v>4</v>
      </c>
      <c r="IB5">
        <v>5</v>
      </c>
      <c r="IE5">
        <v>6</v>
      </c>
      <c r="IH5">
        <v>7</v>
      </c>
      <c r="IK5">
        <v>8</v>
      </c>
      <c r="IM5" s="83"/>
      <c r="IN5" s="83"/>
      <c r="IO5" s="83"/>
      <c r="IP5" s="83"/>
      <c r="IQ5" s="83"/>
      <c r="IR5" s="83"/>
      <c r="IS5" s="83"/>
      <c r="IT5" s="83"/>
      <c r="IU5" s="83"/>
      <c r="IV5" s="83"/>
      <c r="IW5" s="83"/>
      <c r="IX5" s="83"/>
      <c r="IY5" s="83"/>
      <c r="IZ5" s="83"/>
      <c r="JA5" s="83"/>
      <c r="JB5" s="83"/>
      <c r="JC5" s="83"/>
      <c r="JD5" s="83"/>
      <c r="JE5" s="83"/>
      <c r="JF5" s="83"/>
      <c r="JG5" s="83"/>
      <c r="JH5" s="83"/>
      <c r="JI5" s="83"/>
      <c r="JJ5" s="83"/>
      <c r="JK5" s="83"/>
      <c r="JP5" s="400"/>
      <c r="JQ5" s="397"/>
      <c r="JR5" s="472" t="s">
        <v>315</v>
      </c>
      <c r="JS5" s="472"/>
      <c r="JT5" s="472"/>
      <c r="JU5" s="472"/>
      <c r="JV5" s="472"/>
      <c r="JW5" s="472"/>
      <c r="JX5" s="472"/>
      <c r="JY5" s="472" t="s">
        <v>330</v>
      </c>
      <c r="JZ5" s="472"/>
      <c r="KA5" s="472"/>
      <c r="KB5" s="472"/>
      <c r="KD5" s="400"/>
      <c r="KE5" s="400"/>
      <c r="KF5" s="400"/>
      <c r="KG5" s="397"/>
      <c r="KH5" s="472" t="s">
        <v>315</v>
      </c>
      <c r="KI5" s="472"/>
      <c r="KJ5" s="472"/>
      <c r="KK5" s="472"/>
      <c r="KL5" s="472"/>
      <c r="KM5" s="472"/>
      <c r="KN5" s="472"/>
      <c r="KO5" s="472" t="s">
        <v>330</v>
      </c>
      <c r="KP5" s="472"/>
      <c r="KQ5" s="472"/>
      <c r="KR5" s="472"/>
      <c r="KS5">
        <v>5</v>
      </c>
      <c r="KT5" t="s">
        <v>519</v>
      </c>
      <c r="KU5" s="534" t="s">
        <v>509</v>
      </c>
      <c r="KV5" s="534" t="s">
        <v>510</v>
      </c>
      <c r="KW5" s="536" t="s">
        <v>11</v>
      </c>
      <c r="KX5" s="537" t="s">
        <v>511</v>
      </c>
      <c r="KY5" s="537" t="s">
        <v>434</v>
      </c>
      <c r="KZ5" s="540" t="s">
        <v>512</v>
      </c>
      <c r="LA5" s="540"/>
      <c r="LB5" s="540" t="s">
        <v>513</v>
      </c>
      <c r="LC5" s="540"/>
      <c r="LD5" s="541" t="s">
        <v>514</v>
      </c>
      <c r="LE5" s="541"/>
      <c r="LF5" s="544" t="s">
        <v>515</v>
      </c>
      <c r="LG5" s="544"/>
      <c r="LH5" s="544"/>
      <c r="LI5" s="544"/>
      <c r="LJ5" s="544"/>
      <c r="LK5" s="544"/>
      <c r="LL5" s="544"/>
      <c r="LM5" s="547" t="s">
        <v>516</v>
      </c>
      <c r="LN5" s="547"/>
      <c r="LO5" s="547"/>
      <c r="LP5" s="547"/>
      <c r="LQ5" s="547"/>
      <c r="LR5" s="547"/>
      <c r="LS5" s="547"/>
      <c r="LT5" s="548" t="s">
        <v>517</v>
      </c>
      <c r="LU5" s="548"/>
      <c r="LV5" s="548"/>
      <c r="LW5" s="548"/>
      <c r="LX5" s="548"/>
      <c r="LY5" s="548"/>
      <c r="LZ5" s="548"/>
      <c r="MA5" s="549" t="s">
        <v>518</v>
      </c>
      <c r="MB5" s="549"/>
      <c r="MC5" s="549"/>
      <c r="MD5" s="549"/>
      <c r="ME5" s="549"/>
      <c r="MF5" s="549"/>
      <c r="MG5" s="549"/>
      <c r="MH5" s="549"/>
      <c r="MI5" s="549"/>
      <c r="MJ5" s="549"/>
      <c r="MK5" s="550" t="s">
        <v>519</v>
      </c>
      <c r="ML5" s="551"/>
      <c r="MM5" s="551"/>
      <c r="MN5" s="551"/>
      <c r="MO5" s="552"/>
      <c r="MP5" s="372" t="s">
        <v>520</v>
      </c>
      <c r="MQ5" s="373"/>
      <c r="MR5" s="373"/>
      <c r="MS5" s="373"/>
      <c r="MT5" s="373"/>
      <c r="MU5" s="373"/>
      <c r="MV5" s="373"/>
      <c r="MW5" s="374"/>
      <c r="MX5" s="375" t="s">
        <v>575</v>
      </c>
      <c r="MY5" s="376"/>
      <c r="MZ5" s="376"/>
      <c r="NA5" s="376"/>
      <c r="NB5" s="377"/>
      <c r="NC5" s="378" t="s">
        <v>521</v>
      </c>
      <c r="ND5" s="379"/>
      <c r="NE5" s="380"/>
      <c r="NF5" s="384" t="s">
        <v>522</v>
      </c>
      <c r="NG5" s="385"/>
      <c r="NH5" s="385"/>
      <c r="NI5" s="386"/>
      <c r="NJ5" s="350" t="s">
        <v>523</v>
      </c>
      <c r="NK5" s="370" t="s">
        <v>524</v>
      </c>
      <c r="NZ5" s="341"/>
      <c r="OE5" s="340" t="s">
        <v>596</v>
      </c>
      <c r="OF5" s="340" t="s">
        <v>597</v>
      </c>
      <c r="OG5" s="340" t="s">
        <v>457</v>
      </c>
      <c r="OH5" s="340" t="s">
        <v>303</v>
      </c>
      <c r="OI5" s="340" t="s">
        <v>598</v>
      </c>
      <c r="OJ5" s="340" t="s">
        <v>599</v>
      </c>
      <c r="OK5" s="340" t="s">
        <v>600</v>
      </c>
      <c r="OL5" s="340" t="s">
        <v>601</v>
      </c>
      <c r="OM5" s="340" t="s">
        <v>602</v>
      </c>
      <c r="OO5" s="340" t="s">
        <v>596</v>
      </c>
      <c r="OP5" s="340" t="s">
        <v>597</v>
      </c>
      <c r="OQ5" s="340" t="s">
        <v>457</v>
      </c>
      <c r="OR5" s="340" t="s">
        <v>303</v>
      </c>
      <c r="OS5" s="340" t="s">
        <v>598</v>
      </c>
      <c r="OT5" s="340" t="s">
        <v>599</v>
      </c>
      <c r="OU5" s="340" t="s">
        <v>600</v>
      </c>
      <c r="OV5" s="340" t="s">
        <v>601</v>
      </c>
      <c r="OW5" s="340" t="s">
        <v>602</v>
      </c>
      <c r="PA5" s="529" t="s">
        <v>617</v>
      </c>
      <c r="PB5" s="529"/>
      <c r="PC5" s="529"/>
      <c r="PD5" s="529"/>
      <c r="PE5" s="529"/>
      <c r="PF5" s="529"/>
      <c r="PG5" s="529"/>
      <c r="PH5" s="529"/>
      <c r="PI5" s="529"/>
      <c r="PJ5" s="529"/>
      <c r="PK5" s="529"/>
      <c r="PL5" s="529"/>
      <c r="PO5" s="561"/>
      <c r="PP5" s="563"/>
      <c r="PQ5" s="563"/>
    </row>
    <row r="6" spans="1:433 16383:16383" ht="14.75" customHeight="1" x14ac:dyDescent="0.2">
      <c r="A6" s="480"/>
      <c r="B6" s="480"/>
      <c r="C6" s="480"/>
      <c r="D6" s="484"/>
      <c r="E6" s="485"/>
      <c r="F6" s="494"/>
      <c r="G6" s="494"/>
      <c r="H6" s="494"/>
      <c r="I6" s="494"/>
      <c r="J6" s="489" t="s">
        <v>284</v>
      </c>
      <c r="K6" s="482" t="s">
        <v>284</v>
      </c>
      <c r="L6" s="482" t="s">
        <v>284</v>
      </c>
      <c r="M6" s="483" t="s">
        <v>284</v>
      </c>
      <c r="N6" s="489" t="s">
        <v>7</v>
      </c>
      <c r="O6" s="482" t="s">
        <v>285</v>
      </c>
      <c r="P6" s="482" t="s">
        <v>285</v>
      </c>
      <c r="Q6" s="483" t="s">
        <v>285</v>
      </c>
      <c r="R6" s="494"/>
      <c r="S6" s="494"/>
      <c r="T6" s="494"/>
      <c r="U6" s="494"/>
      <c r="V6" s="494"/>
      <c r="W6" s="494"/>
      <c r="X6" s="494"/>
      <c r="Y6" s="494"/>
      <c r="Z6" s="494"/>
      <c r="AA6" s="503"/>
      <c r="AB6" s="503"/>
      <c r="AC6" s="503"/>
      <c r="AD6" s="503"/>
      <c r="AE6" s="503"/>
      <c r="AF6" s="454" t="s">
        <v>11</v>
      </c>
      <c r="AG6" s="457" t="s">
        <v>311</v>
      </c>
      <c r="AH6" s="486" t="s">
        <v>293</v>
      </c>
      <c r="AI6" s="569"/>
      <c r="AJ6" s="484"/>
      <c r="AK6" s="485"/>
      <c r="AL6" s="577" t="s">
        <v>265</v>
      </c>
      <c r="AM6" s="580" t="s">
        <v>9</v>
      </c>
      <c r="AN6" s="567"/>
      <c r="BB6" s="571"/>
      <c r="BE6" s="454" t="s">
        <v>11</v>
      </c>
      <c r="BF6" s="457" t="s">
        <v>306</v>
      </c>
      <c r="BG6" s="457" t="s">
        <v>307</v>
      </c>
      <c r="BH6" s="457" t="s">
        <v>308</v>
      </c>
      <c r="BI6" s="457" t="s">
        <v>309</v>
      </c>
      <c r="BJ6" s="457"/>
      <c r="BK6" s="457" t="s">
        <v>310</v>
      </c>
      <c r="BN6" s="400"/>
      <c r="BO6" s="397"/>
      <c r="BP6" s="472" t="s">
        <v>316</v>
      </c>
      <c r="BQ6" s="472"/>
      <c r="BR6" s="472"/>
      <c r="BS6" s="472"/>
      <c r="BT6" s="472"/>
      <c r="BU6" s="473" t="s">
        <v>325</v>
      </c>
      <c r="BV6" s="474"/>
      <c r="BW6" s="475" t="s">
        <v>331</v>
      </c>
      <c r="BX6" s="472" t="s">
        <v>332</v>
      </c>
      <c r="BY6" s="472"/>
      <c r="BZ6" s="472"/>
      <c r="CB6" s="470"/>
      <c r="CD6" s="400"/>
      <c r="CE6" s="397"/>
      <c r="CF6" s="472" t="s">
        <v>316</v>
      </c>
      <c r="CG6" s="472"/>
      <c r="CH6" s="472"/>
      <c r="CI6" s="472"/>
      <c r="CJ6" s="472"/>
      <c r="CK6" s="473" t="s">
        <v>325</v>
      </c>
      <c r="CL6" s="474"/>
      <c r="CM6" s="475" t="s">
        <v>331</v>
      </c>
      <c r="CN6" s="472" t="s">
        <v>332</v>
      </c>
      <c r="CO6" s="472"/>
      <c r="CP6" s="472"/>
      <c r="DV6" s="530" t="s">
        <v>11</v>
      </c>
      <c r="DW6" s="476" t="s">
        <v>300</v>
      </c>
      <c r="DX6" s="476" t="s">
        <v>301</v>
      </c>
      <c r="DY6" s="476" t="s">
        <v>343</v>
      </c>
      <c r="DZ6" s="476" t="s">
        <v>302</v>
      </c>
      <c r="EA6" s="476" t="s">
        <v>351</v>
      </c>
      <c r="EB6" s="476" t="s">
        <v>18</v>
      </c>
      <c r="ED6" s="50"/>
      <c r="EE6" s="51"/>
      <c r="EG6" s="533"/>
      <c r="EH6" s="533"/>
      <c r="EI6" s="429"/>
      <c r="EJ6" s="429"/>
      <c r="EK6" s="511"/>
      <c r="EL6" s="511"/>
      <c r="EM6" s="511"/>
      <c r="EN6" s="511"/>
      <c r="EO6" s="511"/>
      <c r="EP6" s="511"/>
      <c r="EQ6" s="429"/>
      <c r="ER6" s="429"/>
      <c r="ES6" s="429"/>
      <c r="ET6" s="429"/>
      <c r="EU6" s="429"/>
      <c r="EV6" s="429"/>
      <c r="EW6" s="511"/>
      <c r="EX6" s="511"/>
      <c r="EY6" s="511"/>
      <c r="EZ6" s="429"/>
      <c r="FA6" s="429"/>
      <c r="FB6" s="429"/>
      <c r="FC6" s="429"/>
      <c r="FD6" s="429"/>
      <c r="FE6" s="429"/>
      <c r="FF6" s="429"/>
      <c r="FH6" s="429"/>
      <c r="FI6" s="429"/>
      <c r="FJ6" s="429"/>
      <c r="FK6" s="429"/>
      <c r="FL6" s="429"/>
      <c r="FM6" s="429"/>
      <c r="FN6" s="429"/>
      <c r="FO6" s="429"/>
      <c r="FP6" s="429"/>
      <c r="FQ6" s="429"/>
      <c r="FR6" s="429"/>
      <c r="FS6" s="429"/>
      <c r="FT6" s="429"/>
      <c r="FU6" s="429"/>
      <c r="FV6" s="429"/>
      <c r="FX6" s="366"/>
      <c r="FY6" s="413"/>
      <c r="FZ6" s="397"/>
      <c r="GA6" s="397"/>
      <c r="GB6" s="397"/>
      <c r="GC6" s="397"/>
      <c r="GD6" s="397"/>
      <c r="GE6" s="397"/>
      <c r="GF6" s="27"/>
      <c r="GG6" s="397"/>
      <c r="GH6" s="397"/>
      <c r="GI6" s="27"/>
      <c r="GJ6" s="397"/>
      <c r="GK6" s="397"/>
      <c r="GO6" s="423" t="s">
        <v>434</v>
      </c>
      <c r="GP6" s="423" t="s">
        <v>440</v>
      </c>
      <c r="GQ6" s="423" t="s">
        <v>7</v>
      </c>
      <c r="GR6" s="423" t="s">
        <v>265</v>
      </c>
      <c r="GS6" s="423" t="s">
        <v>447</v>
      </c>
      <c r="GT6" s="423" t="s">
        <v>448</v>
      </c>
      <c r="GU6" s="91"/>
      <c r="GV6" s="527"/>
      <c r="GW6" s="528"/>
      <c r="GX6" s="92" t="s">
        <v>7</v>
      </c>
      <c r="GY6" s="93">
        <f>Jaticempaka!GY6</f>
        <v>10</v>
      </c>
      <c r="GZ6" s="424"/>
      <c r="HA6" s="83"/>
      <c r="HB6" s="83"/>
      <c r="HC6" s="399"/>
      <c r="HD6" s="399"/>
      <c r="HE6" s="399"/>
      <c r="HF6" s="399"/>
      <c r="HG6" s="399"/>
      <c r="HH6" s="399"/>
      <c r="HI6" s="399"/>
      <c r="HJ6" s="90"/>
      <c r="HK6" s="399"/>
      <c r="HL6" s="83"/>
      <c r="HM6" s="83"/>
      <c r="HN6" s="83"/>
      <c r="HO6" s="83"/>
      <c r="HP6" s="418" t="s">
        <v>449</v>
      </c>
      <c r="HQ6" s="419"/>
      <c r="HR6" s="420"/>
      <c r="HS6" s="406" t="s">
        <v>450</v>
      </c>
      <c r="HT6" s="407"/>
      <c r="HU6" s="408"/>
      <c r="HV6" s="415" t="s">
        <v>451</v>
      </c>
      <c r="HW6" s="416"/>
      <c r="HX6" s="416"/>
      <c r="HY6" s="416"/>
      <c r="HZ6" s="416"/>
      <c r="IA6" s="417"/>
      <c r="IB6" s="403" t="s">
        <v>452</v>
      </c>
      <c r="IC6" s="404"/>
      <c r="ID6" s="404"/>
      <c r="IE6" s="404"/>
      <c r="IF6" s="404"/>
      <c r="IG6" s="405"/>
      <c r="IH6" s="403" t="s">
        <v>453</v>
      </c>
      <c r="II6" s="404"/>
      <c r="IJ6" s="404"/>
      <c r="IK6" s="404"/>
      <c r="IL6" s="404"/>
      <c r="IM6" s="405"/>
      <c r="IN6" s="83"/>
      <c r="IO6" s="406" t="s">
        <v>454</v>
      </c>
      <c r="IP6" s="407"/>
      <c r="IQ6" s="408"/>
      <c r="IR6" s="83"/>
      <c r="IS6" s="406" t="s">
        <v>455</v>
      </c>
      <c r="IT6" s="407"/>
      <c r="IU6" s="408"/>
      <c r="IV6" s="83"/>
      <c r="IW6" s="406" t="s">
        <v>456</v>
      </c>
      <c r="IX6" s="407"/>
      <c r="IY6" s="408"/>
      <c r="IZ6" s="83"/>
      <c r="JA6" s="406" t="s">
        <v>457</v>
      </c>
      <c r="JB6" s="407"/>
      <c r="JC6" s="408"/>
      <c r="JD6" s="83"/>
      <c r="JE6" s="406" t="s">
        <v>18</v>
      </c>
      <c r="JF6" s="407"/>
      <c r="JG6" s="408"/>
      <c r="JH6" s="83"/>
      <c r="JI6" s="406" t="s">
        <v>458</v>
      </c>
      <c r="JJ6" s="407"/>
      <c r="JK6" s="408"/>
      <c r="JP6" s="400"/>
      <c r="JQ6" s="397"/>
      <c r="JR6" s="472" t="s">
        <v>316</v>
      </c>
      <c r="JS6" s="472"/>
      <c r="JT6" s="472"/>
      <c r="JU6" s="472"/>
      <c r="JV6" s="472"/>
      <c r="JW6" s="473" t="s">
        <v>325</v>
      </c>
      <c r="JX6" s="474"/>
      <c r="JY6" s="475" t="s">
        <v>331</v>
      </c>
      <c r="JZ6" s="472" t="s">
        <v>332</v>
      </c>
      <c r="KA6" s="472"/>
      <c r="KB6" s="472"/>
      <c r="KD6" s="400"/>
      <c r="KE6" s="400"/>
      <c r="KF6" s="400"/>
      <c r="KG6" s="397"/>
      <c r="KH6" s="472" t="s">
        <v>316</v>
      </c>
      <c r="KI6" s="472"/>
      <c r="KJ6" s="472"/>
      <c r="KK6" s="472"/>
      <c r="KL6" s="472"/>
      <c r="KM6" s="473" t="s">
        <v>325</v>
      </c>
      <c r="KN6" s="474"/>
      <c r="KO6" s="475" t="s">
        <v>331</v>
      </c>
      <c r="KP6" s="472" t="s">
        <v>332</v>
      </c>
      <c r="KQ6" s="472"/>
      <c r="KR6" s="472"/>
      <c r="KS6">
        <v>6</v>
      </c>
      <c r="KT6" t="s">
        <v>584</v>
      </c>
      <c r="KU6" s="535"/>
      <c r="KV6" s="535"/>
      <c r="KW6" s="536"/>
      <c r="KX6" s="538"/>
      <c r="KY6" s="538"/>
      <c r="KZ6" s="540"/>
      <c r="LA6" s="540"/>
      <c r="LB6" s="540"/>
      <c r="LC6" s="540"/>
      <c r="LD6" s="542"/>
      <c r="LE6" s="542"/>
      <c r="LF6" s="545" t="s">
        <v>525</v>
      </c>
      <c r="LG6" s="545" t="s">
        <v>526</v>
      </c>
      <c r="LH6" s="546" t="s">
        <v>527</v>
      </c>
      <c r="LI6" s="545" t="s">
        <v>528</v>
      </c>
      <c r="LJ6" s="545" t="s">
        <v>529</v>
      </c>
      <c r="LK6" s="545" t="s">
        <v>530</v>
      </c>
      <c r="LL6" s="545" t="s">
        <v>531</v>
      </c>
      <c r="LM6" s="396" t="s">
        <v>532</v>
      </c>
      <c r="LN6" s="396" t="s">
        <v>533</v>
      </c>
      <c r="LO6" s="553" t="s">
        <v>534</v>
      </c>
      <c r="LP6" s="554" t="s">
        <v>535</v>
      </c>
      <c r="LQ6" s="396" t="s">
        <v>529</v>
      </c>
      <c r="LR6" s="396" t="s">
        <v>536</v>
      </c>
      <c r="LS6" s="396" t="s">
        <v>531</v>
      </c>
      <c r="LT6" s="356" t="s">
        <v>537</v>
      </c>
      <c r="LU6" s="356" t="s">
        <v>538</v>
      </c>
      <c r="LV6" s="356" t="s">
        <v>539</v>
      </c>
      <c r="LW6" s="356" t="s">
        <v>540</v>
      </c>
      <c r="LX6" s="356" t="s">
        <v>541</v>
      </c>
      <c r="LY6" s="356" t="s">
        <v>542</v>
      </c>
      <c r="LZ6" s="356" t="s">
        <v>531</v>
      </c>
      <c r="MA6" s="345" t="s">
        <v>543</v>
      </c>
      <c r="MB6" s="345" t="s">
        <v>544</v>
      </c>
      <c r="MC6" s="345" t="s">
        <v>545</v>
      </c>
      <c r="MD6" s="345" t="s">
        <v>546</v>
      </c>
      <c r="ME6" s="345" t="s">
        <v>547</v>
      </c>
      <c r="MF6" s="345" t="s">
        <v>548</v>
      </c>
      <c r="MG6" s="345" t="s">
        <v>549</v>
      </c>
      <c r="MH6" s="345" t="s">
        <v>550</v>
      </c>
      <c r="MI6" s="345" t="s">
        <v>529</v>
      </c>
      <c r="MJ6" s="345" t="s">
        <v>531</v>
      </c>
      <c r="MK6" s="342" t="s">
        <v>551</v>
      </c>
      <c r="ML6" s="342" t="s">
        <v>552</v>
      </c>
      <c r="MM6" s="342" t="s">
        <v>553</v>
      </c>
      <c r="MN6" s="342" t="s">
        <v>529</v>
      </c>
      <c r="MO6" s="342" t="s">
        <v>531</v>
      </c>
      <c r="MP6" s="362" t="s">
        <v>554</v>
      </c>
      <c r="MQ6" s="362" t="s">
        <v>555</v>
      </c>
      <c r="MR6" s="362" t="s">
        <v>556</v>
      </c>
      <c r="MS6" s="362" t="s">
        <v>557</v>
      </c>
      <c r="MT6" s="362" t="s">
        <v>558</v>
      </c>
      <c r="MU6" s="362" t="s">
        <v>529</v>
      </c>
      <c r="MV6" s="362" t="s">
        <v>559</v>
      </c>
      <c r="MW6" s="362" t="s">
        <v>531</v>
      </c>
      <c r="MX6" s="359" t="s">
        <v>576</v>
      </c>
      <c r="MY6" s="359" t="s">
        <v>577</v>
      </c>
      <c r="MZ6" s="359" t="s">
        <v>578</v>
      </c>
      <c r="NA6" s="359" t="s">
        <v>579</v>
      </c>
      <c r="NB6" s="359" t="s">
        <v>522</v>
      </c>
      <c r="NC6" s="381"/>
      <c r="ND6" s="382"/>
      <c r="NE6" s="383"/>
      <c r="NF6" s="387"/>
      <c r="NG6" s="388"/>
      <c r="NH6" s="388"/>
      <c r="NI6" s="389"/>
      <c r="NJ6" s="351"/>
      <c r="NK6" s="371"/>
      <c r="NZ6" s="341"/>
      <c r="OE6" s="340"/>
      <c r="OF6" s="340"/>
      <c r="OG6" s="340"/>
      <c r="OH6" s="340"/>
      <c r="OI6" s="340"/>
      <c r="OJ6" s="340"/>
      <c r="OK6" s="340"/>
      <c r="OL6" s="340"/>
      <c r="OM6" s="340"/>
      <c r="OO6" s="340"/>
      <c r="OP6" s="340"/>
      <c r="OQ6" s="340"/>
      <c r="OR6" s="340"/>
      <c r="OS6" s="340"/>
      <c r="OT6" s="340"/>
      <c r="OU6" s="340"/>
      <c r="OV6" s="340"/>
      <c r="OW6" s="340"/>
      <c r="PA6" s="415" t="s">
        <v>11</v>
      </c>
      <c r="PB6" s="416"/>
      <c r="PC6" s="416"/>
      <c r="PD6" s="416"/>
      <c r="PE6" s="416"/>
      <c r="PF6" s="417"/>
      <c r="PG6" s="355" t="s">
        <v>13</v>
      </c>
      <c r="PH6" s="355"/>
      <c r="PI6" s="355"/>
      <c r="PJ6" s="355"/>
      <c r="PK6" s="355"/>
      <c r="PL6" s="355"/>
      <c r="PO6" s="561"/>
      <c r="PP6" s="563"/>
      <c r="PQ6" s="563"/>
    </row>
    <row r="7" spans="1:433 16383:16383" ht="15.5" customHeight="1" x14ac:dyDescent="0.2">
      <c r="A7" s="480"/>
      <c r="B7" s="480"/>
      <c r="C7" s="480"/>
      <c r="D7" s="496" t="s">
        <v>10</v>
      </c>
      <c r="E7" s="498"/>
      <c r="F7" s="495"/>
      <c r="G7" s="495"/>
      <c r="H7" s="495"/>
      <c r="I7" s="495"/>
      <c r="J7" s="490" t="s">
        <v>284</v>
      </c>
      <c r="K7" s="491" t="s">
        <v>284</v>
      </c>
      <c r="L7" s="491" t="s">
        <v>284</v>
      </c>
      <c r="M7" s="492" t="s">
        <v>284</v>
      </c>
      <c r="N7" s="490" t="s">
        <v>285</v>
      </c>
      <c r="O7" s="491" t="s">
        <v>285</v>
      </c>
      <c r="P7" s="491" t="s">
        <v>285</v>
      </c>
      <c r="Q7" s="492" t="s">
        <v>285</v>
      </c>
      <c r="R7" s="495"/>
      <c r="S7" s="495"/>
      <c r="T7" s="495"/>
      <c r="U7" s="495"/>
      <c r="V7" s="495"/>
      <c r="W7" s="495"/>
      <c r="X7" s="495"/>
      <c r="Y7" s="495"/>
      <c r="Z7" s="495"/>
      <c r="AA7" s="504"/>
      <c r="AB7" s="504"/>
      <c r="AC7" s="504"/>
      <c r="AD7" s="504"/>
      <c r="AE7" s="504"/>
      <c r="AF7" s="455"/>
      <c r="AG7" s="458"/>
      <c r="AH7" s="487"/>
      <c r="AI7" s="490"/>
      <c r="AJ7" s="491"/>
      <c r="AK7" s="492"/>
      <c r="AL7" s="578"/>
      <c r="AM7" s="581"/>
      <c r="AN7" s="567"/>
      <c r="BB7" s="571"/>
      <c r="BE7" s="455"/>
      <c r="BF7" s="458"/>
      <c r="BG7" s="458"/>
      <c r="BH7" s="458"/>
      <c r="BI7" s="458"/>
      <c r="BJ7" s="458"/>
      <c r="BK7" s="458"/>
      <c r="BN7" s="400"/>
      <c r="BO7" s="397"/>
      <c r="BP7" s="397" t="s">
        <v>317</v>
      </c>
      <c r="BQ7" s="472" t="s">
        <v>318</v>
      </c>
      <c r="BR7" s="472"/>
      <c r="BS7" s="472" t="s">
        <v>322</v>
      </c>
      <c r="BT7" s="472"/>
      <c r="BU7" s="397" t="s">
        <v>327</v>
      </c>
      <c r="BV7" s="401" t="s">
        <v>326</v>
      </c>
      <c r="BW7" s="475"/>
      <c r="BX7" s="401" t="s">
        <v>333</v>
      </c>
      <c r="BY7" s="401" t="s">
        <v>334</v>
      </c>
      <c r="BZ7" s="397" t="s">
        <v>335</v>
      </c>
      <c r="CB7" s="470"/>
      <c r="CD7" s="400"/>
      <c r="CE7" s="397"/>
      <c r="CF7" s="397" t="s">
        <v>317</v>
      </c>
      <c r="CG7" s="472" t="s">
        <v>318</v>
      </c>
      <c r="CH7" s="472"/>
      <c r="CI7" s="472" t="s">
        <v>322</v>
      </c>
      <c r="CJ7" s="472"/>
      <c r="CK7" s="397" t="s">
        <v>327</v>
      </c>
      <c r="CL7" s="401" t="s">
        <v>326</v>
      </c>
      <c r="CM7" s="475"/>
      <c r="CN7" s="401" t="s">
        <v>333</v>
      </c>
      <c r="CO7" s="401" t="s">
        <v>334</v>
      </c>
      <c r="CP7" s="397" t="s">
        <v>335</v>
      </c>
      <c r="DV7" s="531"/>
      <c r="DW7" s="477"/>
      <c r="DX7" s="477"/>
      <c r="DY7" s="477"/>
      <c r="DZ7" s="477"/>
      <c r="EA7" s="477"/>
      <c r="EB7" s="477"/>
      <c r="ED7" s="50"/>
      <c r="EE7" s="51"/>
      <c r="EG7" s="533"/>
      <c r="EH7" s="533"/>
      <c r="EI7" s="429"/>
      <c r="EJ7" s="429"/>
      <c r="EK7" s="512"/>
      <c r="EL7" s="512"/>
      <c r="EM7" s="512"/>
      <c r="EN7" s="512"/>
      <c r="EO7" s="512"/>
      <c r="EP7" s="512"/>
      <c r="EQ7" s="429"/>
      <c r="ER7" s="429"/>
      <c r="ES7" s="429"/>
      <c r="ET7" s="429"/>
      <c r="EU7" s="429"/>
      <c r="EV7" s="429"/>
      <c r="EW7" s="512"/>
      <c r="EX7" s="512"/>
      <c r="EY7" s="512"/>
      <c r="EZ7" s="429"/>
      <c r="FA7" s="429"/>
      <c r="FB7" s="429"/>
      <c r="FC7" s="429"/>
      <c r="FD7" s="429"/>
      <c r="FE7" s="429"/>
      <c r="FF7" s="429"/>
      <c r="FH7" s="429"/>
      <c r="FI7" s="429"/>
      <c r="FJ7" s="429"/>
      <c r="FK7" s="429"/>
      <c r="FL7" s="429"/>
      <c r="FM7" s="429"/>
      <c r="FN7" s="429"/>
      <c r="FO7" s="429"/>
      <c r="FP7" s="429"/>
      <c r="FQ7" s="429"/>
      <c r="FR7" s="429"/>
      <c r="FS7" s="429"/>
      <c r="FT7" s="429"/>
      <c r="FU7" s="429"/>
      <c r="FV7" s="429"/>
      <c r="FX7" s="366"/>
      <c r="FY7" s="413"/>
      <c r="FZ7" s="397"/>
      <c r="GA7" s="397"/>
      <c r="GB7" s="397"/>
      <c r="GC7" s="397"/>
      <c r="GD7" s="397"/>
      <c r="GE7" s="397"/>
      <c r="GF7" s="27"/>
      <c r="GG7" s="397"/>
      <c r="GH7" s="397"/>
      <c r="GI7" s="27"/>
      <c r="GJ7" s="397"/>
      <c r="GK7" s="397"/>
      <c r="GO7" s="424"/>
      <c r="GP7" s="424"/>
      <c r="GQ7" s="424"/>
      <c r="GR7" s="424"/>
      <c r="GS7" s="424"/>
      <c r="GT7" s="424"/>
      <c r="GU7" s="91"/>
      <c r="GV7" s="423" t="s">
        <v>459</v>
      </c>
      <c r="GW7" s="423" t="s">
        <v>460</v>
      </c>
      <c r="GX7" s="92" t="s">
        <v>265</v>
      </c>
      <c r="GY7" s="93">
        <f>Jaticempaka!GY7</f>
        <v>10</v>
      </c>
      <c r="GZ7" s="424"/>
      <c r="HA7" s="83"/>
      <c r="HB7" s="83"/>
      <c r="HC7" s="399"/>
      <c r="HD7" s="399"/>
      <c r="HE7" s="399"/>
      <c r="HF7" s="399"/>
      <c r="HG7" s="399"/>
      <c r="HH7" s="399"/>
      <c r="HI7" s="399"/>
      <c r="HJ7" s="90"/>
      <c r="HK7" s="399"/>
      <c r="HL7" s="83"/>
      <c r="HM7" s="83"/>
      <c r="HN7" s="83"/>
      <c r="HO7" s="83"/>
      <c r="HP7" s="421"/>
      <c r="HQ7" s="388"/>
      <c r="HR7" s="422"/>
      <c r="HS7" s="409"/>
      <c r="HT7" s="410"/>
      <c r="HU7" s="411"/>
      <c r="HV7" s="415" t="s">
        <v>461</v>
      </c>
      <c r="HW7" s="416"/>
      <c r="HX7" s="417"/>
      <c r="HY7" s="415" t="s">
        <v>462</v>
      </c>
      <c r="HZ7" s="416"/>
      <c r="IA7" s="417"/>
      <c r="IB7" s="415" t="s">
        <v>461</v>
      </c>
      <c r="IC7" s="416"/>
      <c r="ID7" s="417"/>
      <c r="IE7" s="415" t="s">
        <v>462</v>
      </c>
      <c r="IF7" s="416"/>
      <c r="IG7" s="417"/>
      <c r="IH7" s="415" t="s">
        <v>461</v>
      </c>
      <c r="II7" s="416"/>
      <c r="IJ7" s="417"/>
      <c r="IK7" s="415" t="s">
        <v>462</v>
      </c>
      <c r="IL7" s="416"/>
      <c r="IM7" s="417"/>
      <c r="IN7" s="83"/>
      <c r="IO7" s="409"/>
      <c r="IP7" s="410"/>
      <c r="IQ7" s="411"/>
      <c r="IR7" s="83"/>
      <c r="IS7" s="409"/>
      <c r="IT7" s="410"/>
      <c r="IU7" s="411"/>
      <c r="IV7" s="83"/>
      <c r="IW7" s="409"/>
      <c r="IX7" s="410"/>
      <c r="IY7" s="411"/>
      <c r="IZ7" s="83"/>
      <c r="JA7" s="409"/>
      <c r="JB7" s="410"/>
      <c r="JC7" s="411"/>
      <c r="JD7" s="83"/>
      <c r="JE7" s="409"/>
      <c r="JF7" s="410"/>
      <c r="JG7" s="411"/>
      <c r="JH7" s="83"/>
      <c r="JI7" s="409"/>
      <c r="JJ7" s="410"/>
      <c r="JK7" s="411"/>
      <c r="JP7" s="400"/>
      <c r="JQ7" s="397"/>
      <c r="JR7" s="397" t="s">
        <v>317</v>
      </c>
      <c r="JS7" s="472" t="s">
        <v>318</v>
      </c>
      <c r="JT7" s="472"/>
      <c r="JU7" s="472" t="s">
        <v>322</v>
      </c>
      <c r="JV7" s="472"/>
      <c r="JW7" s="397" t="s">
        <v>327</v>
      </c>
      <c r="JX7" s="401" t="s">
        <v>478</v>
      </c>
      <c r="JY7" s="475"/>
      <c r="JZ7" s="401" t="s">
        <v>333</v>
      </c>
      <c r="KA7" s="401" t="s">
        <v>334</v>
      </c>
      <c r="KB7" s="397" t="s">
        <v>335</v>
      </c>
      <c r="KD7" s="400"/>
      <c r="KE7" s="400"/>
      <c r="KF7" s="400"/>
      <c r="KG7" s="397"/>
      <c r="KH7" s="397" t="s">
        <v>317</v>
      </c>
      <c r="KI7" s="472" t="s">
        <v>318</v>
      </c>
      <c r="KJ7" s="472"/>
      <c r="KK7" s="472" t="s">
        <v>322</v>
      </c>
      <c r="KL7" s="472"/>
      <c r="KM7" s="397" t="s">
        <v>327</v>
      </c>
      <c r="KN7" s="401" t="s">
        <v>478</v>
      </c>
      <c r="KO7" s="475"/>
      <c r="KP7" s="401" t="s">
        <v>333</v>
      </c>
      <c r="KQ7" s="401" t="s">
        <v>334</v>
      </c>
      <c r="KR7" s="397" t="s">
        <v>335</v>
      </c>
      <c r="KS7">
        <v>7</v>
      </c>
      <c r="KT7" t="s">
        <v>585</v>
      </c>
      <c r="KU7" s="535"/>
      <c r="KV7" s="535"/>
      <c r="KW7" s="536"/>
      <c r="KX7" s="538"/>
      <c r="KY7" s="538"/>
      <c r="KZ7" s="540"/>
      <c r="LA7" s="540"/>
      <c r="LB7" s="540"/>
      <c r="LC7" s="540"/>
      <c r="LD7" s="543"/>
      <c r="LE7" s="543"/>
      <c r="LF7" s="545"/>
      <c r="LG7" s="545"/>
      <c r="LH7" s="546"/>
      <c r="LI7" s="545"/>
      <c r="LJ7" s="545"/>
      <c r="LK7" s="545"/>
      <c r="LL7" s="545"/>
      <c r="LM7" s="396"/>
      <c r="LN7" s="396"/>
      <c r="LO7" s="553"/>
      <c r="LP7" s="554"/>
      <c r="LQ7" s="396"/>
      <c r="LR7" s="396"/>
      <c r="LS7" s="396"/>
      <c r="LT7" s="357"/>
      <c r="LU7" s="357"/>
      <c r="LV7" s="357"/>
      <c r="LW7" s="357"/>
      <c r="LX7" s="357"/>
      <c r="LY7" s="357"/>
      <c r="LZ7" s="357"/>
      <c r="MA7" s="346"/>
      <c r="MB7" s="346"/>
      <c r="MC7" s="346"/>
      <c r="MD7" s="346"/>
      <c r="ME7" s="346"/>
      <c r="MF7" s="346"/>
      <c r="MG7" s="346"/>
      <c r="MH7" s="346"/>
      <c r="MI7" s="346"/>
      <c r="MJ7" s="346"/>
      <c r="MK7" s="343"/>
      <c r="ML7" s="343"/>
      <c r="MM7" s="343"/>
      <c r="MN7" s="343"/>
      <c r="MO7" s="343"/>
      <c r="MP7" s="363"/>
      <c r="MQ7" s="363"/>
      <c r="MR7" s="363"/>
      <c r="MS7" s="363"/>
      <c r="MT7" s="363"/>
      <c r="MU7" s="363"/>
      <c r="MV7" s="363"/>
      <c r="MW7" s="363"/>
      <c r="MX7" s="360"/>
      <c r="MY7" s="360"/>
      <c r="MZ7" s="360"/>
      <c r="NA7" s="360"/>
      <c r="NB7" s="360"/>
      <c r="NC7" s="348" t="s">
        <v>542</v>
      </c>
      <c r="ND7" s="555" t="s">
        <v>560</v>
      </c>
      <c r="NE7" s="390" t="s">
        <v>531</v>
      </c>
      <c r="NF7" s="392" t="s">
        <v>561</v>
      </c>
      <c r="NG7" s="394" t="s">
        <v>562</v>
      </c>
      <c r="NH7" s="394" t="s">
        <v>563</v>
      </c>
      <c r="NI7" s="353" t="s">
        <v>564</v>
      </c>
      <c r="NJ7" s="351"/>
      <c r="NK7" s="371"/>
      <c r="NM7" s="355" t="s">
        <v>586</v>
      </c>
      <c r="NN7" s="355"/>
      <c r="NO7" s="355"/>
      <c r="NP7" s="355"/>
      <c r="NQ7" s="355"/>
      <c r="NR7" s="355"/>
      <c r="NS7" s="355"/>
      <c r="NT7" s="355"/>
      <c r="NU7" t="s">
        <v>588</v>
      </c>
      <c r="NZ7" s="341"/>
      <c r="OE7" s="340"/>
      <c r="OF7" s="340"/>
      <c r="OG7" s="340"/>
      <c r="OH7" s="340"/>
      <c r="OI7" s="340"/>
      <c r="OJ7" s="340"/>
      <c r="OK7" s="340"/>
      <c r="OL7" s="340"/>
      <c r="OM7" s="340"/>
      <c r="OO7" s="340"/>
      <c r="OP7" s="340"/>
      <c r="OQ7" s="340"/>
      <c r="OR7" s="340"/>
      <c r="OS7" s="340"/>
      <c r="OT7" s="340"/>
      <c r="OU7" s="340"/>
      <c r="OV7" s="340"/>
      <c r="OW7" s="340"/>
      <c r="PA7" s="368" t="s">
        <v>618</v>
      </c>
      <c r="PB7" s="368" t="s">
        <v>619</v>
      </c>
      <c r="PC7" s="368" t="s">
        <v>620</v>
      </c>
      <c r="PD7" s="368" t="s">
        <v>698</v>
      </c>
      <c r="PE7" s="368" t="s">
        <v>699</v>
      </c>
      <c r="PF7" s="368" t="s">
        <v>700</v>
      </c>
      <c r="PG7" s="368" t="s">
        <v>618</v>
      </c>
      <c r="PH7" s="368" t="s">
        <v>619</v>
      </c>
      <c r="PI7" s="368" t="s">
        <v>620</v>
      </c>
      <c r="PJ7" s="368" t="s">
        <v>698</v>
      </c>
      <c r="PK7" s="368" t="s">
        <v>699</v>
      </c>
      <c r="PL7" s="368" t="s">
        <v>700</v>
      </c>
      <c r="PO7" s="562"/>
      <c r="PP7" s="563"/>
      <c r="PQ7" s="563"/>
    </row>
    <row r="8" spans="1:433 16383:16383" ht="49" thickBot="1" x14ac:dyDescent="0.25">
      <c r="A8" s="481"/>
      <c r="B8" s="481"/>
      <c r="C8" s="481"/>
      <c r="D8" s="11" t="s">
        <v>11</v>
      </c>
      <c r="E8" s="11" t="s">
        <v>12</v>
      </c>
      <c r="F8" s="11" t="s">
        <v>11</v>
      </c>
      <c r="G8" s="12" t="s">
        <v>13</v>
      </c>
      <c r="H8" s="12" t="s">
        <v>14</v>
      </c>
      <c r="I8" s="13" t="s">
        <v>15</v>
      </c>
      <c r="J8" s="11" t="s">
        <v>11</v>
      </c>
      <c r="K8" s="12" t="s">
        <v>13</v>
      </c>
      <c r="L8" s="12" t="s">
        <v>14</v>
      </c>
      <c r="M8" s="12" t="s">
        <v>16</v>
      </c>
      <c r="N8" s="11" t="s">
        <v>11</v>
      </c>
      <c r="O8" s="12" t="s">
        <v>13</v>
      </c>
      <c r="P8" s="12" t="s">
        <v>14</v>
      </c>
      <c r="Q8" s="12" t="s">
        <v>16</v>
      </c>
      <c r="R8" s="11" t="s">
        <v>11</v>
      </c>
      <c r="S8" s="12" t="s">
        <v>13</v>
      </c>
      <c r="T8" s="12" t="s">
        <v>14</v>
      </c>
      <c r="U8" s="12" t="s">
        <v>16</v>
      </c>
      <c r="V8" s="11" t="s">
        <v>11</v>
      </c>
      <c r="W8" s="12" t="s">
        <v>13</v>
      </c>
      <c r="X8" s="12" t="s">
        <v>14</v>
      </c>
      <c r="Y8" s="12" t="s">
        <v>16</v>
      </c>
      <c r="Z8" s="12" t="s">
        <v>17</v>
      </c>
      <c r="AA8" s="63" t="s">
        <v>11</v>
      </c>
      <c r="AB8" s="64" t="s">
        <v>13</v>
      </c>
      <c r="AC8" s="64" t="s">
        <v>14</v>
      </c>
      <c r="AD8" s="64" t="s">
        <v>16</v>
      </c>
      <c r="AE8" s="64" t="s">
        <v>17</v>
      </c>
      <c r="AF8" s="456"/>
      <c r="AG8" s="459"/>
      <c r="AH8" s="488"/>
      <c r="AI8" s="11" t="s">
        <v>11</v>
      </c>
      <c r="AJ8" s="12" t="s">
        <v>13</v>
      </c>
      <c r="AK8" s="12" t="s">
        <v>263</v>
      </c>
      <c r="AL8" s="579"/>
      <c r="AM8" s="582"/>
      <c r="AN8" s="568"/>
      <c r="BB8" s="572"/>
      <c r="BE8" s="456"/>
      <c r="BF8" s="459"/>
      <c r="BG8" s="459"/>
      <c r="BH8" s="459"/>
      <c r="BI8" s="459"/>
      <c r="BJ8" s="459"/>
      <c r="BK8" s="459"/>
      <c r="BN8" s="412"/>
      <c r="BO8" s="583"/>
      <c r="BP8" s="583"/>
      <c r="BQ8" s="175" t="s">
        <v>328</v>
      </c>
      <c r="BR8" s="176" t="s">
        <v>329</v>
      </c>
      <c r="BS8" s="175" t="s">
        <v>323</v>
      </c>
      <c r="BT8" s="176" t="s">
        <v>324</v>
      </c>
      <c r="BU8" s="583"/>
      <c r="BV8" s="564"/>
      <c r="BW8" s="565"/>
      <c r="BX8" s="564"/>
      <c r="BY8" s="564"/>
      <c r="BZ8" s="583"/>
      <c r="CB8" s="471"/>
      <c r="CD8" s="400"/>
      <c r="CE8" s="397"/>
      <c r="CF8" s="397"/>
      <c r="CG8" s="44" t="s">
        <v>328</v>
      </c>
      <c r="CH8" s="45" t="s">
        <v>329</v>
      </c>
      <c r="CI8" s="44" t="s">
        <v>323</v>
      </c>
      <c r="CJ8" s="45" t="s">
        <v>324</v>
      </c>
      <c r="CK8" s="397"/>
      <c r="CL8" s="401"/>
      <c r="CM8" s="475"/>
      <c r="CN8" s="401"/>
      <c r="CO8" s="401"/>
      <c r="CP8" s="397"/>
      <c r="DV8" s="532"/>
      <c r="DW8" s="478"/>
      <c r="DX8" s="478"/>
      <c r="DY8" s="478"/>
      <c r="DZ8" s="478"/>
      <c r="EA8" s="478"/>
      <c r="EB8" s="478"/>
      <c r="ED8" s="53"/>
      <c r="EE8" s="54"/>
      <c r="EG8" s="533"/>
      <c r="EH8" s="533"/>
      <c r="EI8" s="47" t="s">
        <v>363</v>
      </c>
      <c r="EJ8" s="47" t="s">
        <v>506</v>
      </c>
      <c r="EK8" s="47"/>
      <c r="EL8" s="47"/>
      <c r="EM8" s="47"/>
      <c r="EN8" s="47"/>
      <c r="EO8" s="47"/>
      <c r="EP8" s="47"/>
      <c r="EQ8" s="47" t="s">
        <v>362</v>
      </c>
      <c r="ER8" s="47" t="s">
        <v>507</v>
      </c>
      <c r="ES8" s="47" t="s">
        <v>364</v>
      </c>
      <c r="ET8" s="47" t="s">
        <v>363</v>
      </c>
      <c r="EU8" s="47" t="s">
        <v>364</v>
      </c>
      <c r="EV8" s="47" t="s">
        <v>364</v>
      </c>
      <c r="EW8" s="47" t="s">
        <v>364</v>
      </c>
      <c r="EX8" s="47" t="s">
        <v>364</v>
      </c>
      <c r="EY8" s="47" t="s">
        <v>364</v>
      </c>
      <c r="EZ8" s="47" t="s">
        <v>365</v>
      </c>
      <c r="FA8" s="47" t="s">
        <v>364</v>
      </c>
      <c r="FB8" s="47" t="s">
        <v>362</v>
      </c>
      <c r="FC8" s="47" t="s">
        <v>364</v>
      </c>
      <c r="FD8" s="47" t="s">
        <v>363</v>
      </c>
      <c r="FE8" s="47" t="s">
        <v>364</v>
      </c>
      <c r="FF8" s="47" t="s">
        <v>364</v>
      </c>
      <c r="FH8" s="47"/>
      <c r="FI8" s="47"/>
      <c r="FJ8" s="47"/>
      <c r="FK8" s="47"/>
      <c r="FL8" s="47"/>
      <c r="FM8" s="47"/>
      <c r="FN8" s="47"/>
      <c r="FO8" s="47"/>
      <c r="FP8" s="47"/>
      <c r="FQ8" s="47"/>
      <c r="FR8" s="47"/>
      <c r="FS8" s="47"/>
      <c r="FT8" s="47"/>
      <c r="FU8" s="47"/>
      <c r="FV8" s="47"/>
      <c r="FX8" s="367"/>
      <c r="FY8" s="414"/>
      <c r="FZ8" s="397"/>
      <c r="GA8" s="397"/>
      <c r="GB8" s="397"/>
      <c r="GC8" s="397"/>
      <c r="GD8" s="397"/>
      <c r="GE8" s="397"/>
      <c r="GF8" s="27"/>
      <c r="GG8" s="397"/>
      <c r="GH8" s="397"/>
      <c r="GI8" s="27"/>
      <c r="GJ8" s="397"/>
      <c r="GK8" s="397"/>
      <c r="GO8" s="425"/>
      <c r="GP8" s="425"/>
      <c r="GQ8" s="425"/>
      <c r="GR8" s="425"/>
      <c r="GS8" s="425"/>
      <c r="GT8" s="425"/>
      <c r="GU8" s="95"/>
      <c r="GV8" s="425"/>
      <c r="GW8" s="425"/>
      <c r="GX8" s="96" t="s">
        <v>447</v>
      </c>
      <c r="GY8" s="97">
        <f>Jaticempaka!GY8</f>
        <v>14</v>
      </c>
      <c r="GZ8" s="425"/>
      <c r="HA8" s="83"/>
      <c r="HB8" s="83"/>
      <c r="HC8" s="402"/>
      <c r="HD8" s="402"/>
      <c r="HE8" s="402"/>
      <c r="HF8" s="402"/>
      <c r="HG8" s="402"/>
      <c r="HH8" s="98">
        <f>Jaticempaka!HH8</f>
        <v>45</v>
      </c>
      <c r="HI8" s="98">
        <f>Jaticempaka!HI8</f>
        <v>45</v>
      </c>
      <c r="HJ8" s="90"/>
      <c r="HK8" s="402"/>
      <c r="HL8" s="83"/>
      <c r="HM8" s="83"/>
      <c r="HN8" s="83"/>
      <c r="HO8" s="83"/>
      <c r="HP8" s="99" t="s">
        <v>463</v>
      </c>
      <c r="HQ8" s="99" t="s">
        <v>11</v>
      </c>
      <c r="HR8" s="100" t="s">
        <v>13</v>
      </c>
      <c r="HS8" s="99" t="s">
        <v>463</v>
      </c>
      <c r="HT8" s="99" t="s">
        <v>11</v>
      </c>
      <c r="HU8" s="100" t="s">
        <v>13</v>
      </c>
      <c r="HV8" s="99" t="s">
        <v>463</v>
      </c>
      <c r="HW8" s="99" t="s">
        <v>11</v>
      </c>
      <c r="HX8" s="100" t="s">
        <v>13</v>
      </c>
      <c r="HY8" s="99" t="s">
        <v>463</v>
      </c>
      <c r="HZ8" s="99" t="s">
        <v>11</v>
      </c>
      <c r="IA8" s="100" t="s">
        <v>13</v>
      </c>
      <c r="IB8" s="99" t="s">
        <v>463</v>
      </c>
      <c r="IC8" s="99" t="s">
        <v>11</v>
      </c>
      <c r="ID8" s="100" t="s">
        <v>13</v>
      </c>
      <c r="IE8" s="99" t="s">
        <v>463</v>
      </c>
      <c r="IF8" s="99" t="s">
        <v>11</v>
      </c>
      <c r="IG8" s="100" t="s">
        <v>13</v>
      </c>
      <c r="IH8" s="99" t="s">
        <v>463</v>
      </c>
      <c r="II8" s="99" t="s">
        <v>11</v>
      </c>
      <c r="IJ8" s="100" t="s">
        <v>13</v>
      </c>
      <c r="IK8" s="99" t="s">
        <v>463</v>
      </c>
      <c r="IL8" s="99" t="s">
        <v>11</v>
      </c>
      <c r="IM8" s="100" t="s">
        <v>13</v>
      </c>
      <c r="IN8" s="83"/>
      <c r="IO8" s="99" t="s">
        <v>463</v>
      </c>
      <c r="IP8" s="99" t="s">
        <v>11</v>
      </c>
      <c r="IQ8" s="100" t="s">
        <v>13</v>
      </c>
      <c r="IR8" s="83"/>
      <c r="IS8" s="99" t="s">
        <v>463</v>
      </c>
      <c r="IT8" s="99" t="s">
        <v>11</v>
      </c>
      <c r="IU8" s="100" t="s">
        <v>13</v>
      </c>
      <c r="IV8" s="83"/>
      <c r="IW8" s="99" t="s">
        <v>463</v>
      </c>
      <c r="IX8" s="99" t="s">
        <v>11</v>
      </c>
      <c r="IY8" s="100" t="s">
        <v>13</v>
      </c>
      <c r="IZ8" s="83"/>
      <c r="JA8" s="99" t="s">
        <v>463</v>
      </c>
      <c r="JB8" s="99" t="s">
        <v>11</v>
      </c>
      <c r="JC8" s="100" t="s">
        <v>13</v>
      </c>
      <c r="JD8" s="83"/>
      <c r="JE8" s="99" t="s">
        <v>463</v>
      </c>
      <c r="JF8" s="99" t="s">
        <v>11</v>
      </c>
      <c r="JG8" s="100" t="s">
        <v>13</v>
      </c>
      <c r="JH8" s="83"/>
      <c r="JI8" s="99" t="s">
        <v>463</v>
      </c>
      <c r="JJ8" s="99" t="s">
        <v>11</v>
      </c>
      <c r="JK8" s="100" t="s">
        <v>13</v>
      </c>
      <c r="JM8" t="s">
        <v>468</v>
      </c>
      <c r="JP8" s="400"/>
      <c r="JQ8" s="397"/>
      <c r="JR8" s="397"/>
      <c r="JS8" s="44" t="s">
        <v>328</v>
      </c>
      <c r="JT8" s="45" t="s">
        <v>479</v>
      </c>
      <c r="JU8" s="44" t="s">
        <v>323</v>
      </c>
      <c r="JV8" s="45" t="s">
        <v>324</v>
      </c>
      <c r="JW8" s="397"/>
      <c r="JX8" s="401"/>
      <c r="JY8" s="475"/>
      <c r="JZ8" s="401"/>
      <c r="KA8" s="401"/>
      <c r="KB8" s="397"/>
      <c r="KD8" s="400"/>
      <c r="KE8" s="400"/>
      <c r="KF8" s="400"/>
      <c r="KG8" s="397"/>
      <c r="KH8" s="397"/>
      <c r="KI8" s="44" t="s">
        <v>328</v>
      </c>
      <c r="KJ8" s="45" t="s">
        <v>479</v>
      </c>
      <c r="KK8" s="44" t="s">
        <v>323</v>
      </c>
      <c r="KL8" s="45" t="s">
        <v>324</v>
      </c>
      <c r="KM8" s="397"/>
      <c r="KN8" s="401"/>
      <c r="KO8" s="475"/>
      <c r="KP8" s="401"/>
      <c r="KQ8" s="401"/>
      <c r="KR8" s="397"/>
      <c r="KU8" s="130" t="s">
        <v>565</v>
      </c>
      <c r="KV8" s="130" t="s">
        <v>565</v>
      </c>
      <c r="KW8" s="536"/>
      <c r="KX8" s="539"/>
      <c r="KY8" s="539"/>
      <c r="KZ8" s="129" t="s">
        <v>12</v>
      </c>
      <c r="LA8" s="131" t="s">
        <v>566</v>
      </c>
      <c r="LB8" s="129" t="s">
        <v>12</v>
      </c>
      <c r="LC8" s="131" t="s">
        <v>566</v>
      </c>
      <c r="LD8" s="132" t="s">
        <v>567</v>
      </c>
      <c r="LE8" s="133" t="s">
        <v>568</v>
      </c>
      <c r="LF8" s="545"/>
      <c r="LG8" s="545"/>
      <c r="LH8" s="546"/>
      <c r="LI8" s="545"/>
      <c r="LJ8" s="545"/>
      <c r="LK8" s="545"/>
      <c r="LL8" s="545"/>
      <c r="LM8" s="396"/>
      <c r="LN8" s="396"/>
      <c r="LO8" s="553"/>
      <c r="LP8" s="554"/>
      <c r="LQ8" s="396"/>
      <c r="LR8" s="396"/>
      <c r="LS8" s="396"/>
      <c r="LT8" s="358"/>
      <c r="LU8" s="358"/>
      <c r="LV8" s="358"/>
      <c r="LW8" s="358"/>
      <c r="LX8" s="358"/>
      <c r="LY8" s="358"/>
      <c r="LZ8" s="358"/>
      <c r="MA8" s="347"/>
      <c r="MB8" s="347"/>
      <c r="MC8" s="347"/>
      <c r="MD8" s="347"/>
      <c r="ME8" s="347"/>
      <c r="MF8" s="347"/>
      <c r="MG8" s="347"/>
      <c r="MH8" s="347"/>
      <c r="MI8" s="347"/>
      <c r="MJ8" s="347"/>
      <c r="MK8" s="344"/>
      <c r="ML8" s="344"/>
      <c r="MM8" s="344"/>
      <c r="MN8" s="344"/>
      <c r="MO8" s="344"/>
      <c r="MP8" s="364"/>
      <c r="MQ8" s="364"/>
      <c r="MR8" s="364"/>
      <c r="MS8" s="364"/>
      <c r="MT8" s="364"/>
      <c r="MU8" s="364"/>
      <c r="MV8" s="364"/>
      <c r="MW8" s="364"/>
      <c r="MX8" s="361"/>
      <c r="MY8" s="361"/>
      <c r="MZ8" s="361"/>
      <c r="NA8" s="361"/>
      <c r="NB8" s="361"/>
      <c r="NC8" s="349"/>
      <c r="ND8" s="556"/>
      <c r="NE8" s="391"/>
      <c r="NF8" s="393"/>
      <c r="NG8" s="395"/>
      <c r="NH8" s="395"/>
      <c r="NI8" s="354"/>
      <c r="NJ8" s="352"/>
      <c r="NK8" s="371"/>
      <c r="NM8" s="80">
        <v>1</v>
      </c>
      <c r="NN8" s="80">
        <v>2</v>
      </c>
      <c r="NO8" s="80">
        <v>3</v>
      </c>
      <c r="NP8" s="80">
        <v>4</v>
      </c>
      <c r="NQ8" s="80">
        <v>5</v>
      </c>
      <c r="NR8" s="80">
        <v>6</v>
      </c>
      <c r="NS8" s="80">
        <v>7</v>
      </c>
      <c r="NT8" s="80" t="s">
        <v>587</v>
      </c>
      <c r="NU8" t="s">
        <v>589</v>
      </c>
      <c r="NZ8" s="341"/>
      <c r="OE8" s="340"/>
      <c r="OF8" s="340"/>
      <c r="OG8" s="340"/>
      <c r="OH8" s="340"/>
      <c r="OI8" s="340"/>
      <c r="OJ8" s="340"/>
      <c r="OK8" s="340"/>
      <c r="OL8" s="340"/>
      <c r="OM8" s="340"/>
      <c r="OO8" s="340"/>
      <c r="OP8" s="340"/>
      <c r="OQ8" s="340"/>
      <c r="OR8" s="340"/>
      <c r="OS8" s="340"/>
      <c r="OT8" s="340"/>
      <c r="OU8" s="340"/>
      <c r="OV8" s="340"/>
      <c r="OW8" s="340"/>
      <c r="PA8" s="369"/>
      <c r="PB8" s="369"/>
      <c r="PC8" s="369"/>
      <c r="PD8" s="369"/>
      <c r="PE8" s="369"/>
      <c r="PF8" s="369"/>
      <c r="PG8" s="369"/>
      <c r="PH8" s="369"/>
      <c r="PI8" s="369"/>
      <c r="PJ8" s="369"/>
      <c r="PK8" s="369"/>
      <c r="PL8" s="369"/>
      <c r="PO8" s="47" t="s">
        <v>364</v>
      </c>
      <c r="PP8" s="47" t="s">
        <v>364</v>
      </c>
      <c r="PQ8" s="47" t="s">
        <v>364</v>
      </c>
    </row>
    <row r="9" spans="1:433 16383:16383" ht="16" x14ac:dyDescent="0.2">
      <c r="A9" s="190">
        <v>1</v>
      </c>
      <c r="B9" s="191" t="s">
        <v>671</v>
      </c>
      <c r="C9" s="249">
        <v>1</v>
      </c>
      <c r="D9" s="189">
        <v>1</v>
      </c>
      <c r="E9" s="168">
        <v>233</v>
      </c>
      <c r="F9" s="189">
        <v>1</v>
      </c>
      <c r="G9" s="189">
        <f>E9</f>
        <v>233</v>
      </c>
      <c r="H9" s="250">
        <f t="shared" ref="H9:H39" si="2">F9/$D9</f>
        <v>1</v>
      </c>
      <c r="I9" s="250">
        <f t="shared" ref="I9:I39" si="3">G9/$E9</f>
        <v>1</v>
      </c>
      <c r="J9" s="189">
        <v>1</v>
      </c>
      <c r="K9" s="189">
        <f t="shared" ref="K9:K39" si="4">IF(J9=D9,E9,0)</f>
        <v>233</v>
      </c>
      <c r="L9" s="250">
        <f t="shared" ref="L9:L39" si="5">J9/$D9</f>
        <v>1</v>
      </c>
      <c r="M9" s="250">
        <f t="shared" ref="M9:M39" si="6">K9/$E9</f>
        <v>1</v>
      </c>
      <c r="N9" s="189">
        <v>1</v>
      </c>
      <c r="O9" s="189">
        <f t="shared" ref="O9:O39" si="7">IF(N9=D9,E9,0)</f>
        <v>233</v>
      </c>
      <c r="P9" s="250">
        <f t="shared" ref="P9:P39" si="8">N9/$D9</f>
        <v>1</v>
      </c>
      <c r="Q9" s="250">
        <f t="shared" ref="Q9:Q39" si="9">O9/$E9</f>
        <v>1</v>
      </c>
      <c r="R9" s="226"/>
      <c r="S9" s="226">
        <f>IF(R9=D9,E9,0)</f>
        <v>0</v>
      </c>
      <c r="T9" s="251">
        <f>R9/$D9</f>
        <v>0</v>
      </c>
      <c r="U9" s="251">
        <f>S9/$E9</f>
        <v>0</v>
      </c>
      <c r="V9" s="189"/>
      <c r="W9" s="189">
        <f t="shared" ref="W9:W39" si="10">IF(V9=D9,E9,0)</f>
        <v>0</v>
      </c>
      <c r="X9" s="250">
        <f t="shared" ref="X9:X39" si="11">V9/$D9</f>
        <v>0</v>
      </c>
      <c r="Y9" s="250">
        <f t="shared" ref="Y9:Y39" si="12">W9/$E9</f>
        <v>0</v>
      </c>
      <c r="Z9" s="200"/>
      <c r="AA9" s="189"/>
      <c r="AB9" s="189">
        <f>IF(AA9=D9,E9,0)</f>
        <v>0</v>
      </c>
      <c r="AC9" s="250">
        <f t="shared" ref="AC9" si="13">AA9/$D9</f>
        <v>0</v>
      </c>
      <c r="AD9" s="250">
        <f t="shared" ref="AD9" si="14">AB9/$E9</f>
        <v>0</v>
      </c>
      <c r="AE9" s="200"/>
      <c r="AF9" s="189">
        <f t="shared" ref="AF9:AF39" si="15">R9-V9</f>
        <v>0</v>
      </c>
      <c r="AG9" s="189"/>
      <c r="AH9" s="188"/>
      <c r="AI9" s="189">
        <v>0</v>
      </c>
      <c r="AJ9" s="189">
        <f t="shared" ref="AJ9:AJ39" si="16">IF(AI9=D9,E9,0)</f>
        <v>0</v>
      </c>
      <c r="AK9" s="189"/>
      <c r="AL9" s="189">
        <v>0</v>
      </c>
      <c r="AM9" s="189">
        <v>0</v>
      </c>
      <c r="AN9" s="295">
        <v>1</v>
      </c>
      <c r="AO9" s="196">
        <f>D9-R9-AN9-CB9</f>
        <v>0</v>
      </c>
      <c r="AP9" s="195"/>
      <c r="AQ9" s="195"/>
      <c r="AR9" s="195"/>
      <c r="AS9" s="195"/>
      <c r="AT9" s="195"/>
      <c r="AU9" s="195"/>
      <c r="AV9" s="195"/>
      <c r="AW9" s="195"/>
      <c r="AX9" s="195"/>
      <c r="AY9" s="195"/>
      <c r="AZ9" s="195"/>
      <c r="BA9" s="195"/>
      <c r="BB9" s="189">
        <f t="shared" ref="BB9:BB39" si="17">IF(AN9=1,G9,0)</f>
        <v>233</v>
      </c>
      <c r="BC9" s="195"/>
      <c r="BD9" s="196"/>
      <c r="BE9" s="189">
        <f t="shared" ref="BE9:BE39" si="18">IF(AF9=1,S9,0)</f>
        <v>0</v>
      </c>
      <c r="BF9" s="189">
        <f t="shared" ref="BF9:BF39" si="19">IF(AG9="A",S9,0)</f>
        <v>0</v>
      </c>
      <c r="BG9" s="189">
        <f t="shared" ref="BG9:BG39" si="20">IF(AG9="B",S9,0)</f>
        <v>0</v>
      </c>
      <c r="BH9" s="189">
        <f t="shared" ref="BH9:BH39" si="21">IF(AG9="C",S9,0)</f>
        <v>0</v>
      </c>
      <c r="BI9" s="189">
        <f t="shared" ref="BI9:BI39" si="22">IF(AG9="D",S9,0)</f>
        <v>0</v>
      </c>
      <c r="BJ9" s="189">
        <f t="shared" ref="BJ9:BJ39" si="23">IF(AG9="E",S9,0)</f>
        <v>0</v>
      </c>
      <c r="BK9" s="189">
        <f t="shared" ref="BK9" si="24">SUM(BF9:BJ9)</f>
        <v>0</v>
      </c>
      <c r="BL9" s="195"/>
      <c r="BM9" s="195"/>
      <c r="BN9" s="143"/>
      <c r="BO9" s="277"/>
      <c r="BP9" s="188"/>
      <c r="BQ9" s="188"/>
      <c r="BR9" s="188"/>
      <c r="BS9" s="188"/>
      <c r="BT9" s="188"/>
      <c r="BU9" s="188"/>
      <c r="BV9" s="188"/>
      <c r="BW9" s="188"/>
      <c r="BX9" s="188"/>
      <c r="BY9" s="188"/>
      <c r="BZ9" s="188"/>
      <c r="CA9" s="195"/>
      <c r="CB9" s="189">
        <v>0</v>
      </c>
      <c r="CC9" s="195"/>
      <c r="CD9" s="189">
        <v>0</v>
      </c>
      <c r="CE9" s="189">
        <v>0</v>
      </c>
      <c r="CF9" s="189">
        <f t="shared" ref="CF9:CP9" si="25">IF(BP9=1,$CD9,0)</f>
        <v>0</v>
      </c>
      <c r="CG9" s="189">
        <f t="shared" si="25"/>
        <v>0</v>
      </c>
      <c r="CH9" s="189">
        <f t="shared" si="25"/>
        <v>0</v>
      </c>
      <c r="CI9" s="189">
        <f t="shared" si="25"/>
        <v>0</v>
      </c>
      <c r="CJ9" s="189">
        <f t="shared" si="25"/>
        <v>0</v>
      </c>
      <c r="CK9" s="189">
        <f t="shared" si="25"/>
        <v>0</v>
      </c>
      <c r="CL9" s="189">
        <f t="shared" si="25"/>
        <v>0</v>
      </c>
      <c r="CM9" s="189">
        <f t="shared" si="25"/>
        <v>0</v>
      </c>
      <c r="CN9" s="189">
        <f t="shared" si="25"/>
        <v>0</v>
      </c>
      <c r="CO9" s="189">
        <f t="shared" si="25"/>
        <v>0</v>
      </c>
      <c r="CP9" s="189">
        <f t="shared" si="25"/>
        <v>0</v>
      </c>
      <c r="CQ9" s="195"/>
      <c r="CR9" s="195"/>
      <c r="CS9" s="195"/>
      <c r="CT9" s="195"/>
      <c r="CU9" s="195"/>
      <c r="CV9" s="195"/>
      <c r="CW9" s="195"/>
      <c r="CX9" s="195"/>
      <c r="CY9" s="195"/>
      <c r="CZ9" s="195"/>
      <c r="DA9" s="195"/>
      <c r="DB9" s="195"/>
      <c r="DC9" s="195"/>
      <c r="DD9" s="195"/>
      <c r="DE9" s="195"/>
      <c r="DF9" s="195"/>
      <c r="DG9" s="195"/>
      <c r="DH9" s="195"/>
      <c r="DI9" s="195"/>
      <c r="DJ9" s="195"/>
      <c r="DK9" s="195"/>
      <c r="DL9" s="195"/>
      <c r="DM9" s="195"/>
      <c r="DN9" s="195"/>
      <c r="DO9" s="195"/>
      <c r="DP9" s="195"/>
      <c r="DQ9" s="195"/>
      <c r="DR9" s="195"/>
      <c r="DS9" s="195"/>
      <c r="DT9" s="195"/>
      <c r="DU9" s="195"/>
      <c r="DV9" s="189">
        <f t="shared" ref="DV9:DV39" si="26">IF(CB9=1,G9,0)</f>
        <v>0</v>
      </c>
      <c r="DW9" s="189">
        <f t="shared" ref="DW9:DW39" si="27">IF(CC9="A",G9,0)</f>
        <v>0</v>
      </c>
      <c r="DX9" s="189">
        <f t="shared" ref="DX9:DX39" si="28">IF(CC9="B",G9,0)</f>
        <v>0</v>
      </c>
      <c r="DY9" s="189">
        <f t="shared" ref="DY9:DY39" si="29">IF(CC9="C",G9,0)</f>
        <v>0</v>
      </c>
      <c r="DZ9" s="189">
        <f t="shared" ref="DZ9:DZ39" si="30">IF(CC9="D",G9,0)</f>
        <v>0</v>
      </c>
      <c r="EA9" s="189">
        <f t="shared" ref="EA9:EA39" si="31">IF(CC9="E",G9,0)</f>
        <v>0</v>
      </c>
      <c r="EB9" s="189">
        <f t="shared" ref="EB9" si="32">SUM(DW9:EA9)</f>
        <v>0</v>
      </c>
      <c r="EC9" s="195"/>
      <c r="ED9" s="197" t="s">
        <v>366</v>
      </c>
      <c r="EE9" s="197" t="s">
        <v>367</v>
      </c>
      <c r="EF9" s="195"/>
      <c r="EG9" s="252">
        <f>IF(AG9="C","C",IF(AG9="D","D",0))</f>
        <v>0</v>
      </c>
      <c r="EH9" s="252">
        <f>CC9</f>
        <v>0</v>
      </c>
      <c r="EI9" s="189">
        <v>1</v>
      </c>
      <c r="EJ9" s="189">
        <v>1</v>
      </c>
      <c r="EK9" s="189"/>
      <c r="EL9" s="189"/>
      <c r="EM9" s="189"/>
      <c r="EN9" s="189"/>
      <c r="EO9" s="189"/>
      <c r="EP9" s="189"/>
      <c r="EQ9" s="189"/>
      <c r="ER9" s="189"/>
      <c r="ES9" s="189"/>
      <c r="ET9" s="189"/>
      <c r="EU9" s="189"/>
      <c r="EV9" s="189"/>
      <c r="EW9" s="189"/>
      <c r="EX9" s="189"/>
      <c r="EY9" s="189"/>
      <c r="EZ9" s="189"/>
      <c r="FA9" s="189"/>
      <c r="FB9" s="189"/>
      <c r="FC9" s="189"/>
      <c r="FD9" s="189"/>
      <c r="FE9" s="189"/>
      <c r="FF9" s="189"/>
      <c r="FG9" s="195"/>
      <c r="FH9" s="189"/>
      <c r="FI9" s="189"/>
      <c r="FJ9" s="189"/>
      <c r="FK9" s="189"/>
      <c r="FL9" s="189"/>
      <c r="FM9" s="189"/>
      <c r="FN9" s="189"/>
      <c r="FO9" s="189"/>
      <c r="FP9" s="189"/>
      <c r="FQ9" s="189"/>
      <c r="FR9" s="189"/>
      <c r="FS9" s="189"/>
      <c r="FT9" s="189"/>
      <c r="FU9" s="189"/>
      <c r="FV9" s="189"/>
      <c r="FW9" s="195"/>
      <c r="FX9" s="253"/>
      <c r="FY9" s="189">
        <f>SUM(FZ9:GE9)</f>
        <v>0</v>
      </c>
      <c r="FZ9" s="189">
        <f t="shared" ref="FZ9:FZ42" si="33">DI9+CE9</f>
        <v>0</v>
      </c>
      <c r="GA9" s="189">
        <f t="shared" ref="GA9:GA42" si="34">DJ9+CF9</f>
        <v>0</v>
      </c>
      <c r="GB9" s="189">
        <f t="shared" ref="GB9:GB42" si="35">DK9+CG9</f>
        <v>0</v>
      </c>
      <c r="GC9" s="189">
        <f t="shared" ref="GC9:GC42" si="36">DM9+CI9</f>
        <v>0</v>
      </c>
      <c r="GD9" s="189">
        <f t="shared" ref="GD9:GD42" si="37">DO9+CK9</f>
        <v>0</v>
      </c>
      <c r="GE9" s="189">
        <f t="shared" ref="GE9:GE42" si="38">DT9+CP9</f>
        <v>0</v>
      </c>
      <c r="GF9" s="199"/>
      <c r="GG9" s="189">
        <v>0</v>
      </c>
      <c r="GH9" s="189">
        <v>0</v>
      </c>
      <c r="GI9" s="199"/>
      <c r="GJ9" s="200">
        <f>FY9*GG9/1000000000</f>
        <v>0</v>
      </c>
      <c r="GK9" s="200">
        <f>FY9*GH9/1000000000</f>
        <v>0</v>
      </c>
      <c r="GL9" s="195"/>
      <c r="GM9" s="195"/>
      <c r="GN9" s="195"/>
      <c r="GO9" s="189">
        <f t="shared" ref="GO9:GO42" si="39">D9-F9</f>
        <v>0</v>
      </c>
      <c r="GP9" s="189">
        <f t="shared" ref="GP9:GP42" si="40">D9-J9</f>
        <v>0</v>
      </c>
      <c r="GQ9" s="189">
        <f t="shared" ref="GQ9:GQ42" si="41">D9-N9</f>
        <v>0</v>
      </c>
      <c r="GR9" s="189">
        <f t="shared" ref="GR9:GR42" si="42">D9-R9</f>
        <v>1</v>
      </c>
      <c r="GS9" s="189">
        <f t="shared" ref="GS9:GS42" si="43">D9-V9</f>
        <v>1</v>
      </c>
      <c r="GT9" s="189">
        <f>IF(SUM(GO9:GS9)=0,1,0)</f>
        <v>0</v>
      </c>
      <c r="GU9" s="201">
        <f>$GU$3</f>
        <v>43243</v>
      </c>
      <c r="GV9" s="189" t="str">
        <f>IF(GO9&gt;0,$GO$6,IF(GP9&gt;0,$GP$6,IF(GQ9&gt;0,$GQ$6,IF(GR9&gt;0,$GR$6,IF(GS9&gt;0,$GS$6,IF(GT9&gt;0,$GT$6,0))))))</f>
        <v>Musyawarah</v>
      </c>
      <c r="GW9" s="189">
        <f>IF(GV9=$GO$6,GO9,IF(GV9=$GP$6,GP9,IF(GV9=$GQ$6,GQ9,IF(GV9=$GR$6,GR9,IF(GV9=$GS$6,GS9,0)))))</f>
        <v>1</v>
      </c>
      <c r="GX9" s="202" t="str">
        <f>GV9</f>
        <v>Musyawarah</v>
      </c>
      <c r="GY9" s="202">
        <f>IF(GX9="DNP",SUM($GY$4:$GY$8),IF(GX9="Survey KJPP",SUM($GY$5:$GY$8),IF(GX9="Hasil Valuasi",SUM($GY$6:$GY$8),IF(GX9="Musyawarah",SUM($GY$7:$GY$8),IF(GX9="UGR",$GY$8,0)))))</f>
        <v>24</v>
      </c>
      <c r="GZ9" s="203">
        <f>IF(GW9=0,"SELESAI",GU9+GY9)</f>
        <v>43267</v>
      </c>
      <c r="HA9" s="204"/>
      <c r="HB9" s="204"/>
      <c r="HC9" s="189">
        <f t="shared" ref="HC9:HC42" si="44">IF(BH9&gt;0,1,IF(BI9&gt;0,1,0))</f>
        <v>0</v>
      </c>
      <c r="HD9" s="189">
        <f t="shared" ref="HD9:HD42" si="45">IF(CB9&gt;0,1,0)</f>
        <v>0</v>
      </c>
      <c r="HE9" s="189">
        <f>HC9+HD9</f>
        <v>0</v>
      </c>
      <c r="HF9" s="189">
        <f>FQ9</f>
        <v>0</v>
      </c>
      <c r="HG9" s="189">
        <f>HE9-HF9</f>
        <v>0</v>
      </c>
      <c r="HH9" s="201" t="str">
        <f t="shared" ref="HH9:HH72" si="46">IF(HG9=1,GU9+$HH$8,"TIDAK KONSINYASI")</f>
        <v>TIDAK KONSINYASI</v>
      </c>
      <c r="HI9" s="201">
        <f>IF(GW9=0,"SELESAI",GZ9+$HI$8)</f>
        <v>43312</v>
      </c>
      <c r="HJ9" s="205"/>
      <c r="HK9" s="201">
        <f t="shared" ref="HK9:HK72" si="47">MAX(GZ9,HH9,HI9)</f>
        <v>43312</v>
      </c>
      <c r="HL9" s="204"/>
      <c r="HM9" s="204"/>
      <c r="HN9" s="204"/>
      <c r="HO9" s="204"/>
      <c r="HP9" s="203">
        <f>IF(HQ9=1,GZ9,0)</f>
        <v>0</v>
      </c>
      <c r="HQ9" s="202">
        <f>IF(IX9=0,IF(HT9=0,IF(IP9=0,IF(GV9="UGR",GS9,0),0),0),0)</f>
        <v>0</v>
      </c>
      <c r="HR9" s="202">
        <f t="shared" ref="HR9:HR42" si="48">IF(HQ9=1,E9,0)</f>
        <v>0</v>
      </c>
      <c r="HS9" s="203">
        <f>IF(HT9=1,HH9,0)</f>
        <v>0</v>
      </c>
      <c r="HT9" s="202">
        <f>HG9</f>
        <v>0</v>
      </c>
      <c r="HU9" s="202">
        <f t="shared" ref="HU9:HU42" si="49">IF(HT9=1,E9,0)</f>
        <v>0</v>
      </c>
      <c r="HV9" s="203">
        <f>IF(HW9=1,GZ9,0)</f>
        <v>0</v>
      </c>
      <c r="HW9" s="202">
        <f t="shared" ref="HW9:HW72" si="50">IF(JB9=0,IF(IX9=0,IF(HT9=0,IF(GV9="MUSYAWARAH",GR9,0),0),0),0)</f>
        <v>0</v>
      </c>
      <c r="HX9" s="202">
        <f t="shared" ref="HX9:HX42" si="51">IF(HW9=1,E9,0)</f>
        <v>0</v>
      </c>
      <c r="HY9" s="203">
        <f t="shared" ref="HY9:HY72" si="52">IF(HZ9=1,HV9+$HI$8,0)</f>
        <v>0</v>
      </c>
      <c r="HZ9" s="202">
        <f>HW9</f>
        <v>0</v>
      </c>
      <c r="IA9" s="202">
        <f t="shared" ref="IA9:IA42" si="53">IF(HZ9=1,E9,0)</f>
        <v>0</v>
      </c>
      <c r="IB9" s="203">
        <f>IF(IC9=1,$GU$3+SUM($GY$6:$GY$8),0)</f>
        <v>0</v>
      </c>
      <c r="IC9" s="202">
        <f t="shared" ref="IC9:IC72" si="54">IF(GV9="Hasil Valuasi",GQ9,0)</f>
        <v>0</v>
      </c>
      <c r="ID9" s="202">
        <f t="shared" ref="ID9:ID42" si="55">IF(IC9=1,E9,0)</f>
        <v>0</v>
      </c>
      <c r="IE9" s="203">
        <f t="shared" ref="IE9:IE72" si="56">IF(IF9=1,IB9+$HI$8,0)</f>
        <v>0</v>
      </c>
      <c r="IF9" s="202">
        <f t="shared" ref="IF9:IF72" si="57">IC9</f>
        <v>0</v>
      </c>
      <c r="IG9" s="202">
        <f t="shared" ref="IG9:IG42" si="58">IF(IF9=1,E9,0)</f>
        <v>0</v>
      </c>
      <c r="IH9" s="203">
        <f>IF(II9=1,$GU$3+SUM($GY$5:$GY$8),0)</f>
        <v>0</v>
      </c>
      <c r="II9" s="202">
        <f>IF(GV9="Survey KJPP",GP9,0)</f>
        <v>0</v>
      </c>
      <c r="IJ9" s="202">
        <f t="shared" ref="IJ9:IJ42" si="59">IF(II9=1,E9,0)</f>
        <v>0</v>
      </c>
      <c r="IK9" s="203">
        <f t="shared" ref="IK9:IK72" si="60">IF(IL9=1,IH9+$HI$8,0)</f>
        <v>0</v>
      </c>
      <c r="IL9" s="202">
        <f t="shared" ref="IL9:IL72" si="61">II9</f>
        <v>0</v>
      </c>
      <c r="IM9" s="202">
        <f t="shared" ref="IM9:IM42" si="62">IF(IL9=1,E9,0)</f>
        <v>0</v>
      </c>
      <c r="IN9" s="204"/>
      <c r="IO9" s="203">
        <f t="shared" ref="IO9:IO72" si="63">IF(IP9=1,+$GU$3+$HH$8,0)</f>
        <v>0</v>
      </c>
      <c r="IP9" s="202">
        <f t="shared" ref="IP9:IP42" si="64">IF(BG9&gt;0,1,0)</f>
        <v>0</v>
      </c>
      <c r="IQ9" s="202">
        <f t="shared" ref="IQ9:IQ42" si="65">IF(IP9=1,E9,0)</f>
        <v>0</v>
      </c>
      <c r="IR9" s="204"/>
      <c r="IS9" s="203"/>
      <c r="IT9" s="202">
        <f t="shared" ref="IT9:IT42" si="66">V9</f>
        <v>0</v>
      </c>
      <c r="IU9" s="202">
        <f t="shared" ref="IU9:IU42" si="67">W9</f>
        <v>0</v>
      </c>
      <c r="IV9" s="204"/>
      <c r="IW9" s="203"/>
      <c r="IX9" s="202">
        <f t="shared" ref="IX9:IX42" si="68">AA9</f>
        <v>0</v>
      </c>
      <c r="IY9" s="202">
        <f t="shared" ref="IY9:IY42" si="69">AB9</f>
        <v>0</v>
      </c>
      <c r="IZ9" s="204"/>
      <c r="JA9" s="203"/>
      <c r="JB9" s="202">
        <f t="shared" ref="JB9:JB42" si="70">AN9</f>
        <v>1</v>
      </c>
      <c r="JC9" s="202">
        <f t="shared" ref="JC9:JC42" si="71">BB9</f>
        <v>233</v>
      </c>
      <c r="JD9" s="204"/>
      <c r="JE9" s="203"/>
      <c r="JF9" s="202">
        <f>IT9+HQ9+HT9+HZ9+IF9+IL9+IP9+IX9+JB9</f>
        <v>1</v>
      </c>
      <c r="JG9" s="202">
        <f t="shared" ref="JG9:JG72" si="72">IU9+HR9+HU9+IA9+IG9+IM9+IQ9+IY9+JC9</f>
        <v>233</v>
      </c>
      <c r="JH9" s="204"/>
      <c r="JI9" s="203"/>
      <c r="JJ9" s="202">
        <f t="shared" ref="JJ9:JJ42" si="73">JF9-D9</f>
        <v>0</v>
      </c>
      <c r="JK9" s="202">
        <f t="shared" ref="JK9:JK42" si="74">JG9-E9</f>
        <v>0</v>
      </c>
      <c r="JL9" s="195"/>
      <c r="JM9" s="203">
        <f>MAX(IW9,IS9,IO9,IK9,IE9,HY9,HS9,HP9)</f>
        <v>0</v>
      </c>
      <c r="JN9" s="203"/>
      <c r="JO9" s="196">
        <f t="shared" ref="JO9:JO72" si="75">SUM(JQ9:KB9)</f>
        <v>0</v>
      </c>
      <c r="JP9" s="206">
        <f t="shared" ref="JP9:JP42" si="76">BN9+CR9</f>
        <v>0</v>
      </c>
      <c r="JQ9" s="206">
        <f t="shared" ref="JQ9:JQ42" si="77">IF(BO9+CS9=2,1,IF(BO9+CS9=1,1,0))</f>
        <v>0</v>
      </c>
      <c r="JR9" s="206">
        <f t="shared" ref="JR9:JR42" si="78">IF(BP9+CT9=2,1,IF(BP9+CT9=1,1,0))</f>
        <v>0</v>
      </c>
      <c r="JS9" s="206">
        <f t="shared" ref="JS9:JS42" si="79">IF(BQ9+CU9=2,1,IF(BQ9+CU9=1,1,0))</f>
        <v>0</v>
      </c>
      <c r="JT9" s="206">
        <f t="shared" ref="JT9:JT42" si="80">IF(BR9+CV9=2,1,IF(BR9+CV9=1,1,0))</f>
        <v>0</v>
      </c>
      <c r="JU9" s="206">
        <f t="shared" ref="JU9:JU42" si="81">IF(BS9+CW9=2,1,IF(BS9+CW9=1,1,0))</f>
        <v>0</v>
      </c>
      <c r="JV9" s="206">
        <f t="shared" ref="JV9:JV42" si="82">IF(BT9+CX9=2,1,IF(BT9+CX9=1,1,0))</f>
        <v>0</v>
      </c>
      <c r="JW9" s="206">
        <f t="shared" ref="JW9:JW42" si="83">IF(BU9+CY9=2,1,IF(BU9+CY9=1,1,0))</f>
        <v>0</v>
      </c>
      <c r="JX9" s="206">
        <f t="shared" ref="JX9:JX42" si="84">IF(BV9+CZ9=2,1,IF(BV9+CZ9=1,1,0))</f>
        <v>0</v>
      </c>
      <c r="JY9" s="206">
        <f t="shared" ref="JY9:JY42" si="85">IF(BW9+DA9=2,1,IF(BW9+DA9=1,1,0))</f>
        <v>0</v>
      </c>
      <c r="JZ9" s="206">
        <f t="shared" ref="JZ9:JZ42" si="86">IF(BX9+DB9=2,1,IF(BX9+DB9=1,1,0))</f>
        <v>0</v>
      </c>
      <c r="KA9" s="206">
        <f t="shared" ref="KA9:KA42" si="87">IF(BY9+DC9=2,1,IF(BY9+DC9=1,1,0))</f>
        <v>0</v>
      </c>
      <c r="KB9" s="206">
        <f t="shared" ref="KB9:KB42" si="88">IF(BZ9+DD9=2,1,IF(BZ9+DD9=1,1,0))</f>
        <v>0</v>
      </c>
      <c r="KC9" s="195"/>
      <c r="KD9" s="206">
        <f t="shared" ref="KD9" si="89">IF(IF(SUM(GA9:GE9)&gt;100,1,0)+IF(FX9=1,1,0)=2,1,0)</f>
        <v>0</v>
      </c>
      <c r="KE9" s="206">
        <f t="shared" ref="KE9:KE72" si="90">IF(KD9=1,KF9,0)</f>
        <v>0</v>
      </c>
      <c r="KF9" s="206">
        <f t="shared" ref="KF9:KF42" si="91">CD9+DH9</f>
        <v>0</v>
      </c>
      <c r="KG9" s="206">
        <f t="shared" ref="KG9:KG42" si="92">CE9+DI9</f>
        <v>0</v>
      </c>
      <c r="KH9" s="206">
        <f t="shared" ref="KH9:KH42" si="93">CF9+DJ9</f>
        <v>0</v>
      </c>
      <c r="KI9" s="206">
        <f t="shared" ref="KI9:KI42" si="94">CG9+DK9</f>
        <v>0</v>
      </c>
      <c r="KJ9" s="206">
        <f t="shared" ref="KJ9:KJ42" si="95">CH9+DL9</f>
        <v>0</v>
      </c>
      <c r="KK9" s="206">
        <f t="shared" ref="KK9:KK42" si="96">CI9+DM9</f>
        <v>0</v>
      </c>
      <c r="KL9" s="206">
        <f t="shared" ref="KL9:KL42" si="97">CJ9+DN9</f>
        <v>0</v>
      </c>
      <c r="KM9" s="206">
        <f t="shared" ref="KM9:KM42" si="98">CK9+DO9</f>
        <v>0</v>
      </c>
      <c r="KN9" s="206">
        <f t="shared" ref="KN9:KN42" si="99">CL9+DP9</f>
        <v>0</v>
      </c>
      <c r="KO9" s="206">
        <f t="shared" ref="KO9:KO42" si="100">CM9+DQ9</f>
        <v>0</v>
      </c>
      <c r="KP9" s="206">
        <f t="shared" ref="KP9:KP42" si="101">CN9+DR9</f>
        <v>0</v>
      </c>
      <c r="KQ9" s="206">
        <f t="shared" ref="KQ9:KQ42" si="102">CO9+DS9</f>
        <v>0</v>
      </c>
      <c r="KR9" s="206">
        <f t="shared" ref="KR9:KR42" si="103">CP9+DT9</f>
        <v>0</v>
      </c>
      <c r="KS9" s="195">
        <v>2</v>
      </c>
      <c r="KT9" s="195">
        <f t="shared" ref="KT9:KT42" si="104">AN9</f>
        <v>1</v>
      </c>
      <c r="KU9" s="206"/>
      <c r="KV9" s="206"/>
      <c r="KW9" s="206"/>
      <c r="KX9" s="206"/>
      <c r="KY9" s="206"/>
      <c r="KZ9" s="206"/>
      <c r="LA9" s="206"/>
      <c r="LB9" s="206"/>
      <c r="LC9" s="206"/>
      <c r="LD9" s="206"/>
      <c r="LE9" s="206"/>
      <c r="LF9" s="206"/>
      <c r="LG9" s="206"/>
      <c r="LH9" s="206"/>
      <c r="LI9" s="206"/>
      <c r="LJ9" s="206"/>
      <c r="LK9" s="206"/>
      <c r="LL9" s="206"/>
      <c r="LM9" s="206"/>
      <c r="LN9" s="206"/>
      <c r="LO9" s="206"/>
      <c r="LP9" s="206"/>
      <c r="LQ9" s="206"/>
      <c r="LR9" s="206"/>
      <c r="LS9" s="206"/>
      <c r="LT9" s="206"/>
      <c r="LU9" s="206"/>
      <c r="LV9" s="206"/>
      <c r="LW9" s="206"/>
      <c r="LX9" s="206"/>
      <c r="LY9" s="206"/>
      <c r="LZ9" s="206"/>
      <c r="MA9" s="206"/>
      <c r="MB9" s="206"/>
      <c r="MC9" s="206"/>
      <c r="MD9" s="206"/>
      <c r="ME9" s="206"/>
      <c r="MF9" s="206"/>
      <c r="MG9" s="206"/>
      <c r="MH9" s="206"/>
      <c r="MI9" s="206"/>
      <c r="MJ9" s="206"/>
      <c r="MK9" s="206"/>
      <c r="ML9" s="206"/>
      <c r="MM9" s="206"/>
      <c r="MN9" s="206"/>
      <c r="MO9" s="206"/>
      <c r="MP9" s="206"/>
      <c r="MQ9" s="206"/>
      <c r="MR9" s="206"/>
      <c r="MS9" s="206"/>
      <c r="MT9" s="206"/>
      <c r="MU9" s="206"/>
      <c r="MV9" s="206"/>
      <c r="MW9" s="206"/>
      <c r="MX9" s="206"/>
      <c r="MY9" s="206"/>
      <c r="MZ9" s="206"/>
      <c r="NA9" s="206"/>
      <c r="NB9" s="206"/>
      <c r="NC9" s="206"/>
      <c r="ND9" s="206"/>
      <c r="NE9" s="206"/>
      <c r="NF9" s="206"/>
      <c r="NG9" s="206"/>
      <c r="NH9" s="206"/>
      <c r="NI9" s="206"/>
      <c r="NJ9" s="206"/>
      <c r="NK9" s="206"/>
      <c r="NL9" s="195"/>
      <c r="NM9" s="195">
        <f>IF(KS9=1,1,0)</f>
        <v>0</v>
      </c>
      <c r="NN9" s="195">
        <f>IF(KS9=2,1,0)</f>
        <v>1</v>
      </c>
      <c r="NO9" s="195">
        <f>IF(KS9=3,1,0)</f>
        <v>0</v>
      </c>
      <c r="NP9" s="195">
        <f>IF(KS9=4,1,0)</f>
        <v>0</v>
      </c>
      <c r="NQ9" s="195">
        <f>IF(KS9=5,1,0)</f>
        <v>0</v>
      </c>
      <c r="NR9" s="195">
        <f>IF(KS9=6,1,0)</f>
        <v>0</v>
      </c>
      <c r="NS9" s="195">
        <f>IF(KS9=7,1,0)</f>
        <v>0</v>
      </c>
      <c r="NT9" s="195">
        <f>SUM(NM9:NS9)</f>
        <v>1</v>
      </c>
      <c r="NU9" s="196">
        <f t="shared" ref="NU9" si="105">NT9-KT9</f>
        <v>0</v>
      </c>
      <c r="NV9" s="195"/>
      <c r="NW9" s="195"/>
      <c r="NX9" s="195"/>
      <c r="NY9" s="196">
        <f t="shared" ref="NY9:NY40" si="106">V9</f>
        <v>0</v>
      </c>
      <c r="NZ9" s="222"/>
      <c r="OA9" s="195"/>
      <c r="OB9" s="195"/>
      <c r="OC9" s="195"/>
      <c r="OD9" s="195"/>
      <c r="OE9" s="207">
        <f t="shared" ref="OE9:OE40" si="107">D9-J9</f>
        <v>0</v>
      </c>
      <c r="OF9" s="207">
        <f t="shared" ref="OF9:OF40" si="108">D9-N9</f>
        <v>0</v>
      </c>
      <c r="OG9" s="207">
        <f t="shared" ref="OG9:OG40" si="109">AN9</f>
        <v>1</v>
      </c>
      <c r="OH9" s="207">
        <f>HE9</f>
        <v>0</v>
      </c>
      <c r="OI9" s="207">
        <f t="shared" ref="OI9:OI40" si="110">D9-R9</f>
        <v>1</v>
      </c>
      <c r="OJ9" s="199">
        <f>IF(OG9=1,OF9,0)</f>
        <v>0</v>
      </c>
      <c r="OK9" s="199">
        <f>IF(OH9=1,OF9,0)</f>
        <v>0</v>
      </c>
      <c r="OL9" s="199">
        <f>IF((OG9+OH9)=0,OF9,0)</f>
        <v>0</v>
      </c>
      <c r="OM9" s="199">
        <f>SUM(OJ9:OL9)</f>
        <v>0</v>
      </c>
      <c r="ON9" s="195"/>
      <c r="OO9" s="207">
        <f t="shared" ref="OO9:OO40" si="111">E9-K9</f>
        <v>0</v>
      </c>
      <c r="OP9" s="207">
        <f t="shared" ref="OP9:OP40" si="112">E9-O9</f>
        <v>0</v>
      </c>
      <c r="OQ9" s="207">
        <f>OG9</f>
        <v>1</v>
      </c>
      <c r="OR9" s="207">
        <f>OH9</f>
        <v>0</v>
      </c>
      <c r="OS9" s="207">
        <f>OI9</f>
        <v>1</v>
      </c>
      <c r="OT9" s="199">
        <f>IF(OQ9=1,OP9,0)</f>
        <v>0</v>
      </c>
      <c r="OU9" s="199">
        <f>IF(OR9=1,OP9,0)</f>
        <v>0</v>
      </c>
      <c r="OV9" s="199">
        <f>IF((OQ9+OR9)=0,OP9,0)</f>
        <v>0</v>
      </c>
      <c r="OW9" s="199">
        <f>SUM(OT9:OV9)</f>
        <v>0</v>
      </c>
      <c r="OX9" s="195"/>
      <c r="OY9" s="195"/>
      <c r="OZ9" s="195"/>
      <c r="PA9" s="209">
        <v>1</v>
      </c>
      <c r="PB9" s="209"/>
      <c r="PC9" s="209"/>
      <c r="PD9" s="210">
        <f t="shared" ref="PD9:PD72" si="113">PB9-PC9</f>
        <v>0</v>
      </c>
      <c r="PE9" s="210"/>
      <c r="PF9" s="210">
        <f t="shared" ref="PF9:PF72" si="114">PD9-PE9</f>
        <v>0</v>
      </c>
      <c r="PG9" s="210">
        <f t="shared" ref="PG9:PL51" si="115">IF(PA9=1,$BB9,0)</f>
        <v>233</v>
      </c>
      <c r="PH9" s="210">
        <f t="shared" si="115"/>
        <v>0</v>
      </c>
      <c r="PI9" s="210">
        <f t="shared" si="115"/>
        <v>0</v>
      </c>
      <c r="PJ9" s="210">
        <f t="shared" si="115"/>
        <v>0</v>
      </c>
      <c r="PK9" s="210">
        <f t="shared" si="115"/>
        <v>0</v>
      </c>
      <c r="PL9" s="210">
        <f t="shared" si="115"/>
        <v>0</v>
      </c>
      <c r="PM9" s="195"/>
      <c r="PN9" s="195"/>
      <c r="PO9" s="212">
        <f>IF(FC9=1,AB9,0)</f>
        <v>0</v>
      </c>
      <c r="PP9" s="212">
        <f>IF(FF9=1,AB9,0)</f>
        <v>0</v>
      </c>
      <c r="PQ9" s="212">
        <f>AB9-(PO9+PP9)</f>
        <v>0</v>
      </c>
      <c r="XFC9">
        <v>1614269000</v>
      </c>
    </row>
    <row r="10" spans="1:433 16383:16383" ht="16" x14ac:dyDescent="0.2">
      <c r="A10" s="213">
        <f>A9+1</f>
        <v>2</v>
      </c>
      <c r="B10" s="186" t="s">
        <v>92</v>
      </c>
      <c r="C10" s="186">
        <v>2</v>
      </c>
      <c r="D10" s="188">
        <v>1</v>
      </c>
      <c r="E10" s="188">
        <v>195</v>
      </c>
      <c r="F10" s="188">
        <v>1</v>
      </c>
      <c r="G10" s="188">
        <f t="shared" ref="G10:G42" si="116">E10</f>
        <v>195</v>
      </c>
      <c r="H10" s="214">
        <f t="shared" si="2"/>
        <v>1</v>
      </c>
      <c r="I10" s="214">
        <f t="shared" si="3"/>
        <v>1</v>
      </c>
      <c r="J10" s="188">
        <v>1</v>
      </c>
      <c r="K10" s="188">
        <f t="shared" si="4"/>
        <v>195</v>
      </c>
      <c r="L10" s="214">
        <f t="shared" si="5"/>
        <v>1</v>
      </c>
      <c r="M10" s="214">
        <f t="shared" si="6"/>
        <v>1</v>
      </c>
      <c r="N10" s="188">
        <v>1</v>
      </c>
      <c r="O10" s="188">
        <f t="shared" si="7"/>
        <v>195</v>
      </c>
      <c r="P10" s="214">
        <f t="shared" si="8"/>
        <v>1</v>
      </c>
      <c r="Q10" s="214">
        <f t="shared" si="9"/>
        <v>1</v>
      </c>
      <c r="R10" s="188">
        <v>1</v>
      </c>
      <c r="S10" s="188">
        <f t="shared" ref="S10:S39" si="117">IF(R10=D10,E10,0)</f>
        <v>195</v>
      </c>
      <c r="T10" s="214">
        <f t="shared" ref="T10:T39" si="118">R10/$D10</f>
        <v>1</v>
      </c>
      <c r="U10" s="214">
        <f t="shared" ref="U10:U39" si="119">S10/$E10</f>
        <v>1</v>
      </c>
      <c r="V10" s="188">
        <v>1</v>
      </c>
      <c r="W10" s="188">
        <f t="shared" si="10"/>
        <v>195</v>
      </c>
      <c r="X10" s="214">
        <f t="shared" si="11"/>
        <v>1</v>
      </c>
      <c r="Y10" s="214">
        <f t="shared" si="12"/>
        <v>1</v>
      </c>
      <c r="Z10" s="224">
        <f>2454466000/1000000000</f>
        <v>2.454466</v>
      </c>
      <c r="AA10" s="188"/>
      <c r="AB10" s="189">
        <f t="shared" ref="AB10:AB71" si="120">IF(AA10=D10,E10,0)</f>
        <v>0</v>
      </c>
      <c r="AC10" s="250">
        <f t="shared" ref="AC10:AC71" si="121">AA10/$D10</f>
        <v>0</v>
      </c>
      <c r="AD10" s="250">
        <f t="shared" ref="AD10:AD71" si="122">AB10/$E10</f>
        <v>0</v>
      </c>
      <c r="AE10" s="188"/>
      <c r="AF10" s="188">
        <f t="shared" si="15"/>
        <v>0</v>
      </c>
      <c r="AG10" s="187"/>
      <c r="AH10" s="187"/>
      <c r="AI10" s="188">
        <v>0</v>
      </c>
      <c r="AJ10" s="188">
        <f t="shared" si="16"/>
        <v>0</v>
      </c>
      <c r="AK10" s="188"/>
      <c r="AL10" s="188">
        <v>0</v>
      </c>
      <c r="AM10" s="188">
        <v>0</v>
      </c>
      <c r="AN10" s="217"/>
      <c r="AO10" s="196">
        <f t="shared" ref="AO10:AO73" si="123">D10-R10-AN10-CB10</f>
        <v>0</v>
      </c>
      <c r="AP10" s="195"/>
      <c r="AQ10" s="195"/>
      <c r="AR10" s="195"/>
      <c r="AS10" s="195"/>
      <c r="AT10" s="195"/>
      <c r="AU10" s="195"/>
      <c r="AV10" s="195"/>
      <c r="AW10" s="195"/>
      <c r="AX10" s="195"/>
      <c r="AY10" s="195"/>
      <c r="AZ10" s="195"/>
      <c r="BA10" s="195"/>
      <c r="BB10" s="189">
        <f t="shared" si="17"/>
        <v>0</v>
      </c>
      <c r="BC10" s="195"/>
      <c r="BD10" s="196"/>
      <c r="BE10" s="188">
        <f t="shared" si="18"/>
        <v>0</v>
      </c>
      <c r="BF10" s="188">
        <f t="shared" si="19"/>
        <v>0</v>
      </c>
      <c r="BG10" s="188">
        <f t="shared" si="20"/>
        <v>0</v>
      </c>
      <c r="BH10" s="188">
        <f t="shared" si="21"/>
        <v>0</v>
      </c>
      <c r="BI10" s="188">
        <f t="shared" si="22"/>
        <v>0</v>
      </c>
      <c r="BJ10" s="188">
        <f t="shared" si="23"/>
        <v>0</v>
      </c>
      <c r="BK10" s="188">
        <f t="shared" ref="BK10:BK71" si="124">SUM(BF10:BJ10)</f>
        <v>0</v>
      </c>
      <c r="BL10" s="195"/>
      <c r="BM10" s="195"/>
      <c r="BN10" s="277">
        <v>18</v>
      </c>
      <c r="BO10" s="283">
        <v>1</v>
      </c>
      <c r="BP10" s="188"/>
      <c r="BQ10" s="188"/>
      <c r="BR10" s="188"/>
      <c r="BS10" s="188"/>
      <c r="BT10" s="188"/>
      <c r="BU10" s="188"/>
      <c r="BV10" s="188"/>
      <c r="BW10" s="188"/>
      <c r="BX10" s="188"/>
      <c r="BY10" s="188"/>
      <c r="BZ10" s="188"/>
      <c r="CA10" s="195"/>
      <c r="CB10" s="189">
        <v>0</v>
      </c>
      <c r="CC10" s="195"/>
      <c r="CD10" s="189">
        <f t="shared" ref="CD10:CD73" si="125">BN10</f>
        <v>18</v>
      </c>
      <c r="CE10" s="189">
        <f>IF(BO10=1,$CD10,0)</f>
        <v>18</v>
      </c>
      <c r="CF10" s="189">
        <f t="shared" ref="CF10:CF71" si="126">IF(BP10=1,$CD10,0)</f>
        <v>0</v>
      </c>
      <c r="CG10" s="189">
        <f t="shared" ref="CG10:CG71" si="127">IF(BQ10=1,$CD10,0)</f>
        <v>0</v>
      </c>
      <c r="CH10" s="189">
        <f t="shared" ref="CH10:CH71" si="128">IF(BR10=1,$CD10,0)</f>
        <v>0</v>
      </c>
      <c r="CI10" s="189">
        <f t="shared" ref="CI10:CI71" si="129">IF(BS10=1,$CD10,0)</f>
        <v>0</v>
      </c>
      <c r="CJ10" s="189">
        <f t="shared" ref="CJ10:CJ71" si="130">IF(BT10=1,$CD10,0)</f>
        <v>0</v>
      </c>
      <c r="CK10" s="189">
        <f t="shared" ref="CK10:CK71" si="131">IF(BU10=1,$CD10,0)</f>
        <v>0</v>
      </c>
      <c r="CL10" s="189">
        <f t="shared" ref="CL10:CL71" si="132">IF(BV10=1,$CD10,0)</f>
        <v>0</v>
      </c>
      <c r="CM10" s="189">
        <f t="shared" ref="CM10:CM71" si="133">IF(BW10=1,$CD10,0)</f>
        <v>0</v>
      </c>
      <c r="CN10" s="189">
        <f t="shared" ref="CN10:CN71" si="134">IF(BX10=1,$CD10,0)</f>
        <v>0</v>
      </c>
      <c r="CO10" s="189">
        <f t="shared" ref="CO10:CO71" si="135">IF(BY10=1,$CD10,0)</f>
        <v>0</v>
      </c>
      <c r="CP10" s="189">
        <f t="shared" ref="CP10:CP71" si="136">IF(BZ10=1,$CD10,0)</f>
        <v>0</v>
      </c>
      <c r="CQ10" s="195"/>
      <c r="CR10" s="195"/>
      <c r="CS10" s="195"/>
      <c r="CT10" s="195"/>
      <c r="CU10" s="195"/>
      <c r="CV10" s="195"/>
      <c r="CW10" s="195"/>
      <c r="CX10" s="195"/>
      <c r="CY10" s="195"/>
      <c r="CZ10" s="195"/>
      <c r="DA10" s="195"/>
      <c r="DB10" s="195"/>
      <c r="DC10" s="195"/>
      <c r="DD10" s="195"/>
      <c r="DE10" s="195"/>
      <c r="DF10" s="195"/>
      <c r="DG10" s="195"/>
      <c r="DH10" s="195"/>
      <c r="DI10" s="195"/>
      <c r="DJ10" s="195"/>
      <c r="DK10" s="195"/>
      <c r="DL10" s="195"/>
      <c r="DM10" s="195"/>
      <c r="DN10" s="195"/>
      <c r="DO10" s="195"/>
      <c r="DP10" s="195"/>
      <c r="DQ10" s="195"/>
      <c r="DR10" s="195"/>
      <c r="DS10" s="195"/>
      <c r="DT10" s="195"/>
      <c r="DU10" s="195"/>
      <c r="DV10" s="189">
        <f t="shared" si="26"/>
        <v>0</v>
      </c>
      <c r="DW10" s="189">
        <f t="shared" si="27"/>
        <v>0</v>
      </c>
      <c r="DX10" s="189">
        <f t="shared" si="28"/>
        <v>0</v>
      </c>
      <c r="DY10" s="189">
        <f t="shared" si="29"/>
        <v>0</v>
      </c>
      <c r="DZ10" s="189">
        <f t="shared" si="30"/>
        <v>0</v>
      </c>
      <c r="EA10" s="189">
        <f t="shared" si="31"/>
        <v>0</v>
      </c>
      <c r="EB10" s="189">
        <f t="shared" ref="EB10:EB71" si="137">SUM(DW10:EA10)</f>
        <v>0</v>
      </c>
      <c r="EC10" s="195"/>
      <c r="ED10" s="197" t="s">
        <v>368</v>
      </c>
      <c r="EE10" s="197" t="s">
        <v>369</v>
      </c>
      <c r="EF10" s="195"/>
      <c r="EG10" s="252">
        <f t="shared" ref="EG10:EG71" si="138">IF(AG10="C","C",IF(AG10="D","D",0))</f>
        <v>0</v>
      </c>
      <c r="EH10" s="252">
        <f t="shared" ref="EH10:EH71" si="139">CC10</f>
        <v>0</v>
      </c>
      <c r="EI10" s="189"/>
      <c r="EJ10" s="189"/>
      <c r="EK10" s="189"/>
      <c r="EL10" s="189"/>
      <c r="EM10" s="189"/>
      <c r="EN10" s="189"/>
      <c r="EO10" s="189"/>
      <c r="EP10" s="189"/>
      <c r="EQ10" s="189"/>
      <c r="ER10" s="189"/>
      <c r="ES10" s="189"/>
      <c r="ET10" s="189"/>
      <c r="EU10" s="189"/>
      <c r="EV10" s="189"/>
      <c r="EW10" s="189"/>
      <c r="EX10" s="189"/>
      <c r="EY10" s="189"/>
      <c r="EZ10" s="189"/>
      <c r="FA10" s="189"/>
      <c r="FB10" s="189"/>
      <c r="FC10" s="189"/>
      <c r="FD10" s="189"/>
      <c r="FE10" s="189"/>
      <c r="FF10" s="189"/>
      <c r="FG10" s="195"/>
      <c r="FH10" s="189"/>
      <c r="FI10" s="189"/>
      <c r="FJ10" s="189"/>
      <c r="FK10" s="189"/>
      <c r="FL10" s="189"/>
      <c r="FM10" s="189"/>
      <c r="FN10" s="189"/>
      <c r="FO10" s="189"/>
      <c r="FP10" s="189"/>
      <c r="FQ10" s="189"/>
      <c r="FR10" s="189"/>
      <c r="FS10" s="189"/>
      <c r="FT10" s="189"/>
      <c r="FU10" s="189"/>
      <c r="FV10" s="189"/>
      <c r="FW10" s="195"/>
      <c r="FX10" s="253">
        <v>1</v>
      </c>
      <c r="FY10" s="189">
        <f t="shared" ref="FY10:FY71" si="140">SUM(FZ10:GE10)</f>
        <v>18</v>
      </c>
      <c r="FZ10" s="189">
        <f t="shared" si="33"/>
        <v>18</v>
      </c>
      <c r="GA10" s="189">
        <f t="shared" si="34"/>
        <v>0</v>
      </c>
      <c r="GB10" s="189">
        <f t="shared" si="35"/>
        <v>0</v>
      </c>
      <c r="GC10" s="189">
        <f t="shared" si="36"/>
        <v>0</v>
      </c>
      <c r="GD10" s="189">
        <f t="shared" si="37"/>
        <v>0</v>
      </c>
      <c r="GE10" s="189">
        <f t="shared" si="38"/>
        <v>0</v>
      </c>
      <c r="GF10" s="199"/>
      <c r="GG10" s="189">
        <v>0</v>
      </c>
      <c r="GH10" s="189">
        <v>0</v>
      </c>
      <c r="GI10" s="199"/>
      <c r="GJ10" s="200">
        <f t="shared" ref="GJ10:GJ71" si="141">FY10*GG10/1000000000</f>
        <v>0</v>
      </c>
      <c r="GK10" s="200">
        <f t="shared" ref="GK10:GK71" si="142">FY10*GH10/1000000000</f>
        <v>0</v>
      </c>
      <c r="GL10" s="195"/>
      <c r="GM10" s="195"/>
      <c r="GN10" s="195"/>
      <c r="GO10" s="189">
        <f t="shared" si="39"/>
        <v>0</v>
      </c>
      <c r="GP10" s="189">
        <f t="shared" si="40"/>
        <v>0</v>
      </c>
      <c r="GQ10" s="189">
        <f t="shared" si="41"/>
        <v>0</v>
      </c>
      <c r="GR10" s="189">
        <f t="shared" si="42"/>
        <v>0</v>
      </c>
      <c r="GS10" s="189">
        <f t="shared" si="43"/>
        <v>0</v>
      </c>
      <c r="GT10" s="189">
        <f t="shared" ref="GT10:GT73" si="143">IF(SUM(GO10:GS10)=0,1,0)</f>
        <v>1</v>
      </c>
      <c r="GU10" s="201">
        <f t="shared" ref="GU10:GU73" si="144">$GU$3</f>
        <v>43243</v>
      </c>
      <c r="GV10" s="189" t="str">
        <f t="shared" ref="GV10:GV73" si="145">IF(GO10&gt;0,$GO$6,IF(GP10&gt;0,$GP$6,IF(GQ10&gt;0,$GQ$6,IF(GR10&gt;0,$GR$6,IF(GS10&gt;0,$GS$6,IF(GT10&gt;0,$GT$6,0))))))</f>
        <v>SELESAI</v>
      </c>
      <c r="GW10" s="189">
        <f t="shared" ref="GW10:GW73" si="146">IF(GV10=$GO$6,GO10,IF(GV10=$GP$6,GP10,IF(GV10=$GQ$6,GQ10,IF(GV10=$GR$6,GR10,IF(GV10=$GS$6,GS10,0)))))</f>
        <v>0</v>
      </c>
      <c r="GX10" s="202" t="str">
        <f t="shared" ref="GX10:GX73" si="147">GV10</f>
        <v>SELESAI</v>
      </c>
      <c r="GY10" s="202">
        <f t="shared" ref="GY10:GY73" si="148">IF(GX10="DNP",SUM($GY$4:$GY$8),IF(GX10="Survey KJPP",SUM($GY$5:$GY$8),IF(GX10="Hasil Valuasi",SUM($GY$6:$GY$8),IF(GX10="Musyawarah",SUM($GY$7:$GY$8),IF(GX10="UGR",$GY$8,0)))))</f>
        <v>0</v>
      </c>
      <c r="GZ10" s="203" t="str">
        <f t="shared" ref="GZ10:GZ73" si="149">IF(GW10=0,"SELESAI",GU10+GY10)</f>
        <v>SELESAI</v>
      </c>
      <c r="HA10" s="204"/>
      <c r="HB10" s="204"/>
      <c r="HC10" s="189">
        <f t="shared" si="44"/>
        <v>0</v>
      </c>
      <c r="HD10" s="189">
        <f t="shared" si="45"/>
        <v>0</v>
      </c>
      <c r="HE10" s="189">
        <f t="shared" ref="HE10:HE73" si="150">HC10+HD10</f>
        <v>0</v>
      </c>
      <c r="HF10" s="189">
        <f t="shared" ref="HF10:HF73" si="151">FQ10</f>
        <v>0</v>
      </c>
      <c r="HG10" s="189">
        <f t="shared" ref="HG10:HG73" si="152">HE10-HF10</f>
        <v>0</v>
      </c>
      <c r="HH10" s="201" t="str">
        <f t="shared" si="46"/>
        <v>TIDAK KONSINYASI</v>
      </c>
      <c r="HI10" s="201" t="str">
        <f t="shared" ref="HI10:HI73" si="153">IF(GW10=0,"SELESAI",GZ10+$HI$8)</f>
        <v>SELESAI</v>
      </c>
      <c r="HJ10" s="205"/>
      <c r="HK10" s="201">
        <f t="shared" si="47"/>
        <v>0</v>
      </c>
      <c r="HL10" s="204"/>
      <c r="HM10" s="204"/>
      <c r="HN10" s="204"/>
      <c r="HO10" s="204"/>
      <c r="HP10" s="203">
        <f t="shared" ref="HP10:HP73" si="154">IF(HQ10=1,GZ10,0)</f>
        <v>0</v>
      </c>
      <c r="HQ10" s="202">
        <f t="shared" ref="HQ10:HQ73" si="155">IF(IX10=0,IF(HT10=0,IF(IP10=0,IF(GV10="UGR",GS10,0),0),0),0)</f>
        <v>0</v>
      </c>
      <c r="HR10" s="202">
        <f t="shared" si="48"/>
        <v>0</v>
      </c>
      <c r="HS10" s="203">
        <f t="shared" ref="HS10:HS73" si="156">IF(HT10=1,HH10,0)</f>
        <v>0</v>
      </c>
      <c r="HT10" s="202">
        <f t="shared" ref="HT10:HT73" si="157">HG10</f>
        <v>0</v>
      </c>
      <c r="HU10" s="202">
        <f t="shared" si="49"/>
        <v>0</v>
      </c>
      <c r="HV10" s="203">
        <f t="shared" ref="HV10:HV73" si="158">IF(HW10=1,GZ10,0)</f>
        <v>0</v>
      </c>
      <c r="HW10" s="202">
        <f t="shared" si="50"/>
        <v>0</v>
      </c>
      <c r="HX10" s="202">
        <f t="shared" si="51"/>
        <v>0</v>
      </c>
      <c r="HY10" s="203">
        <f t="shared" si="52"/>
        <v>0</v>
      </c>
      <c r="HZ10" s="202">
        <f t="shared" ref="HZ10:HZ73" si="159">HW10</f>
        <v>0</v>
      </c>
      <c r="IA10" s="202">
        <f t="shared" si="53"/>
        <v>0</v>
      </c>
      <c r="IB10" s="203">
        <f t="shared" ref="IB10:IB73" si="160">IF(IC10=1,$GU$3+SUM($GY$6:$GY$8),0)</f>
        <v>0</v>
      </c>
      <c r="IC10" s="202">
        <f t="shared" si="54"/>
        <v>0</v>
      </c>
      <c r="ID10" s="202">
        <f t="shared" si="55"/>
        <v>0</v>
      </c>
      <c r="IE10" s="203">
        <f t="shared" si="56"/>
        <v>0</v>
      </c>
      <c r="IF10" s="202">
        <f t="shared" si="57"/>
        <v>0</v>
      </c>
      <c r="IG10" s="202">
        <f t="shared" si="58"/>
        <v>0</v>
      </c>
      <c r="IH10" s="203">
        <f t="shared" ref="IH10:IH73" si="161">IF(II10=1,$GU$3+SUM($GY$5:$GY$8),0)</f>
        <v>0</v>
      </c>
      <c r="II10" s="202">
        <f t="shared" ref="II10:II73" si="162">IF(GV10="Survey KJPP",GP10,0)</f>
        <v>0</v>
      </c>
      <c r="IJ10" s="202">
        <f t="shared" si="59"/>
        <v>0</v>
      </c>
      <c r="IK10" s="203">
        <f t="shared" si="60"/>
        <v>0</v>
      </c>
      <c r="IL10" s="202">
        <f t="shared" si="61"/>
        <v>0</v>
      </c>
      <c r="IM10" s="202">
        <f t="shared" si="62"/>
        <v>0</v>
      </c>
      <c r="IN10" s="204"/>
      <c r="IO10" s="203">
        <f t="shared" si="63"/>
        <v>0</v>
      </c>
      <c r="IP10" s="202">
        <f t="shared" si="64"/>
        <v>0</v>
      </c>
      <c r="IQ10" s="202">
        <f t="shared" si="65"/>
        <v>0</v>
      </c>
      <c r="IR10" s="204"/>
      <c r="IS10" s="203"/>
      <c r="IT10" s="202">
        <f t="shared" si="66"/>
        <v>1</v>
      </c>
      <c r="IU10" s="202">
        <f t="shared" si="67"/>
        <v>195</v>
      </c>
      <c r="IV10" s="204"/>
      <c r="IW10" s="203"/>
      <c r="IX10" s="202">
        <f t="shared" si="68"/>
        <v>0</v>
      </c>
      <c r="IY10" s="202">
        <f t="shared" si="69"/>
        <v>0</v>
      </c>
      <c r="IZ10" s="204"/>
      <c r="JA10" s="203"/>
      <c r="JB10" s="202">
        <f t="shared" si="70"/>
        <v>0</v>
      </c>
      <c r="JC10" s="202">
        <f t="shared" si="71"/>
        <v>0</v>
      </c>
      <c r="JD10" s="204"/>
      <c r="JE10" s="203"/>
      <c r="JF10" s="202">
        <f t="shared" ref="JF10:JG73" si="163">IT10+HQ10+HT10+HZ10+IF10+IL10+IP10+IX10+JB10</f>
        <v>1</v>
      </c>
      <c r="JG10" s="202">
        <f t="shared" si="72"/>
        <v>195</v>
      </c>
      <c r="JH10" s="204"/>
      <c r="JI10" s="203"/>
      <c r="JJ10" s="202">
        <f t="shared" si="73"/>
        <v>0</v>
      </c>
      <c r="JK10" s="202">
        <f t="shared" si="74"/>
        <v>0</v>
      </c>
      <c r="JL10" s="195"/>
      <c r="JM10" s="203">
        <f t="shared" ref="JM10:JM73" si="164">MAX(IW10,IS10,IO10,IK10,IE10,HY10,HS10,HP10)</f>
        <v>0</v>
      </c>
      <c r="JN10" s="195"/>
      <c r="JO10" s="196">
        <f t="shared" si="75"/>
        <v>1</v>
      </c>
      <c r="JP10" s="206">
        <f t="shared" si="76"/>
        <v>18</v>
      </c>
      <c r="JQ10" s="206">
        <f t="shared" si="77"/>
        <v>1</v>
      </c>
      <c r="JR10" s="206">
        <f t="shared" si="78"/>
        <v>0</v>
      </c>
      <c r="JS10" s="206">
        <f t="shared" si="79"/>
        <v>0</v>
      </c>
      <c r="JT10" s="206">
        <f t="shared" si="80"/>
        <v>0</v>
      </c>
      <c r="JU10" s="206">
        <f t="shared" si="81"/>
        <v>0</v>
      </c>
      <c r="JV10" s="206">
        <f t="shared" si="82"/>
        <v>0</v>
      </c>
      <c r="JW10" s="206">
        <f t="shared" si="83"/>
        <v>0</v>
      </c>
      <c r="JX10" s="206">
        <f t="shared" si="84"/>
        <v>0</v>
      </c>
      <c r="JY10" s="206">
        <f t="shared" si="85"/>
        <v>0</v>
      </c>
      <c r="JZ10" s="206">
        <f t="shared" si="86"/>
        <v>0</v>
      </c>
      <c r="KA10" s="206">
        <f t="shared" si="87"/>
        <v>0</v>
      </c>
      <c r="KB10" s="206">
        <f t="shared" si="88"/>
        <v>0</v>
      </c>
      <c r="KC10" s="195"/>
      <c r="KD10" s="206">
        <f t="shared" ref="KD10:KD73" si="165">IF(IF(SUM(GA10:GE10)&gt;100,1,0)+IF(FX10=1,1,0)=2,1,0)</f>
        <v>0</v>
      </c>
      <c r="KE10" s="206">
        <f t="shared" si="90"/>
        <v>0</v>
      </c>
      <c r="KF10" s="206">
        <f t="shared" si="91"/>
        <v>18</v>
      </c>
      <c r="KG10" s="206">
        <f t="shared" si="92"/>
        <v>18</v>
      </c>
      <c r="KH10" s="206">
        <f t="shared" si="93"/>
        <v>0</v>
      </c>
      <c r="KI10" s="206">
        <f t="shared" si="94"/>
        <v>0</v>
      </c>
      <c r="KJ10" s="206">
        <f t="shared" si="95"/>
        <v>0</v>
      </c>
      <c r="KK10" s="206">
        <f t="shared" si="96"/>
        <v>0</v>
      </c>
      <c r="KL10" s="206">
        <f t="shared" si="97"/>
        <v>0</v>
      </c>
      <c r="KM10" s="206">
        <f t="shared" si="98"/>
        <v>0</v>
      </c>
      <c r="KN10" s="221">
        <f t="shared" si="99"/>
        <v>0</v>
      </c>
      <c r="KO10" s="221">
        <f t="shared" si="100"/>
        <v>0</v>
      </c>
      <c r="KP10" s="221">
        <f t="shared" si="101"/>
        <v>0</v>
      </c>
      <c r="KQ10" s="221">
        <f t="shared" si="102"/>
        <v>0</v>
      </c>
      <c r="KR10" s="221">
        <f t="shared" si="103"/>
        <v>0</v>
      </c>
      <c r="KS10" s="195"/>
      <c r="KT10" s="195">
        <f t="shared" si="104"/>
        <v>0</v>
      </c>
      <c r="KU10" s="221"/>
      <c r="KV10" s="221"/>
      <c r="KW10" s="221"/>
      <c r="KX10" s="221"/>
      <c r="KY10" s="221"/>
      <c r="KZ10" s="221"/>
      <c r="LA10" s="221"/>
      <c r="LB10" s="221"/>
      <c r="LC10" s="221"/>
      <c r="LD10" s="221"/>
      <c r="LE10" s="221"/>
      <c r="LF10" s="221"/>
      <c r="LG10" s="221"/>
      <c r="LH10" s="221"/>
      <c r="LI10" s="221"/>
      <c r="LJ10" s="221"/>
      <c r="LK10" s="221"/>
      <c r="LL10" s="221"/>
      <c r="LM10" s="221"/>
      <c r="LN10" s="221"/>
      <c r="LO10" s="221"/>
      <c r="LP10" s="221"/>
      <c r="LQ10" s="221"/>
      <c r="LR10" s="221"/>
      <c r="LS10" s="221"/>
      <c r="LT10" s="221"/>
      <c r="LU10" s="221"/>
      <c r="LV10" s="221"/>
      <c r="LW10" s="221"/>
      <c r="LX10" s="221"/>
      <c r="LY10" s="221"/>
      <c r="LZ10" s="221"/>
      <c r="MA10" s="221"/>
      <c r="MB10" s="221"/>
      <c r="MC10" s="221"/>
      <c r="MD10" s="221"/>
      <c r="ME10" s="221"/>
      <c r="MF10" s="221"/>
      <c r="MG10" s="221"/>
      <c r="MH10" s="221"/>
      <c r="MI10" s="221"/>
      <c r="MJ10" s="221"/>
      <c r="MK10" s="221"/>
      <c r="ML10" s="221"/>
      <c r="MM10" s="221"/>
      <c r="MN10" s="221"/>
      <c r="MO10" s="221"/>
      <c r="MP10" s="221"/>
      <c r="MQ10" s="221"/>
      <c r="MR10" s="221"/>
      <c r="MS10" s="221"/>
      <c r="MT10" s="221"/>
      <c r="MU10" s="221"/>
      <c r="MV10" s="221"/>
      <c r="MW10" s="221"/>
      <c r="MX10" s="221"/>
      <c r="MY10" s="221"/>
      <c r="MZ10" s="221"/>
      <c r="NA10" s="221"/>
      <c r="NB10" s="221"/>
      <c r="NC10" s="221"/>
      <c r="ND10" s="221"/>
      <c r="NE10" s="221"/>
      <c r="NF10" s="221"/>
      <c r="NG10" s="221"/>
      <c r="NH10" s="221"/>
      <c r="NI10" s="221"/>
      <c r="NJ10" s="221"/>
      <c r="NK10" s="221"/>
      <c r="NL10" s="195"/>
      <c r="NM10" s="195">
        <f t="shared" ref="NM10:NM73" si="166">IF(KS10=1,1,0)</f>
        <v>0</v>
      </c>
      <c r="NN10" s="195">
        <f t="shared" ref="NN10:NN73" si="167">IF(KS10=2,1,0)</f>
        <v>0</v>
      </c>
      <c r="NO10" s="195">
        <f t="shared" ref="NO10:NO73" si="168">IF(KS10=3,1,0)</f>
        <v>0</v>
      </c>
      <c r="NP10" s="195">
        <f t="shared" ref="NP10:NP73" si="169">IF(KS10=4,1,0)</f>
        <v>0</v>
      </c>
      <c r="NQ10" s="195">
        <f t="shared" ref="NQ10:NQ73" si="170">IF(KS10=5,1,0)</f>
        <v>0</v>
      </c>
      <c r="NR10" s="195">
        <f t="shared" ref="NR10:NR73" si="171">IF(KS10=6,1,0)</f>
        <v>0</v>
      </c>
      <c r="NS10" s="195">
        <f t="shared" ref="NS10:NS73" si="172">IF(KS10=7,1,0)</f>
        <v>0</v>
      </c>
      <c r="NT10" s="195">
        <f t="shared" ref="NT10:NT73" si="173">SUM(NM10:NS10)</f>
        <v>0</v>
      </c>
      <c r="NU10" s="196">
        <f t="shared" ref="NU10:NU73" si="174">NT10-KT10</f>
        <v>0</v>
      </c>
      <c r="NV10" s="195"/>
      <c r="NW10" s="195"/>
      <c r="NX10" s="195"/>
      <c r="NY10" s="196">
        <f t="shared" si="106"/>
        <v>1</v>
      </c>
      <c r="NZ10" s="222">
        <v>8500000</v>
      </c>
      <c r="OA10" s="195"/>
      <c r="OB10" s="195"/>
      <c r="OC10" s="195"/>
      <c r="OD10" s="195"/>
      <c r="OE10" s="207">
        <f t="shared" si="107"/>
        <v>0</v>
      </c>
      <c r="OF10" s="207">
        <f t="shared" si="108"/>
        <v>0</v>
      </c>
      <c r="OG10" s="207">
        <f t="shared" si="109"/>
        <v>0</v>
      </c>
      <c r="OH10" s="207">
        <f t="shared" ref="OH10:OH73" si="175">HE10</f>
        <v>0</v>
      </c>
      <c r="OI10" s="207">
        <f t="shared" si="110"/>
        <v>0</v>
      </c>
      <c r="OJ10" s="199">
        <f t="shared" ref="OJ10:OJ73" si="176">IF(OG10=1,OF10,0)</f>
        <v>0</v>
      </c>
      <c r="OK10" s="199">
        <f t="shared" ref="OK10:OK73" si="177">IF(OH10=1,OF10,0)</f>
        <v>0</v>
      </c>
      <c r="OL10" s="199">
        <f t="shared" ref="OL10:OL73" si="178">IF((OG10+OH10)=0,OF10,0)</f>
        <v>0</v>
      </c>
      <c r="OM10" s="199">
        <f t="shared" ref="OM10:OM73" si="179">SUM(OJ10:OL10)</f>
        <v>0</v>
      </c>
      <c r="ON10" s="195"/>
      <c r="OO10" s="207">
        <f t="shared" si="111"/>
        <v>0</v>
      </c>
      <c r="OP10" s="207">
        <f t="shared" si="112"/>
        <v>0</v>
      </c>
      <c r="OQ10" s="207">
        <f t="shared" ref="OQ10:OQ73" si="180">OG10</f>
        <v>0</v>
      </c>
      <c r="OR10" s="207">
        <f t="shared" ref="OR10:OR73" si="181">OH10</f>
        <v>0</v>
      </c>
      <c r="OS10" s="207">
        <f t="shared" ref="OS10:OS73" si="182">OI10</f>
        <v>0</v>
      </c>
      <c r="OT10" s="199">
        <f t="shared" ref="OT10:OT73" si="183">IF(OQ10=1,OP10,0)</f>
        <v>0</v>
      </c>
      <c r="OU10" s="199">
        <f t="shared" ref="OU10:OU73" si="184">IF(OR10=1,OP10,0)</f>
        <v>0</v>
      </c>
      <c r="OV10" s="199">
        <f t="shared" ref="OV10:OV73" si="185">IF((OQ10+OR10)=0,OP10,0)</f>
        <v>0</v>
      </c>
      <c r="OW10" s="199">
        <f t="shared" ref="OW10:OW73" si="186">SUM(OT10:OV10)</f>
        <v>0</v>
      </c>
      <c r="OX10" s="195"/>
      <c r="OY10" s="195"/>
      <c r="OZ10" s="195"/>
      <c r="PA10" s="209"/>
      <c r="PB10" s="209"/>
      <c r="PC10" s="209"/>
      <c r="PD10" s="210">
        <f t="shared" si="113"/>
        <v>0</v>
      </c>
      <c r="PE10" s="210"/>
      <c r="PF10" s="210">
        <f t="shared" si="114"/>
        <v>0</v>
      </c>
      <c r="PG10" s="210">
        <f t="shared" si="115"/>
        <v>0</v>
      </c>
      <c r="PH10" s="210">
        <f t="shared" si="115"/>
        <v>0</v>
      </c>
      <c r="PI10" s="210">
        <f t="shared" si="115"/>
        <v>0</v>
      </c>
      <c r="PJ10" s="210">
        <f t="shared" si="115"/>
        <v>0</v>
      </c>
      <c r="PK10" s="210">
        <f t="shared" si="115"/>
        <v>0</v>
      </c>
      <c r="PL10" s="210">
        <f t="shared" si="115"/>
        <v>0</v>
      </c>
      <c r="PM10" s="195"/>
      <c r="PN10" s="195"/>
      <c r="PO10" s="212">
        <f t="shared" ref="PO10:PO73" si="187">IF(FC10=1,AB10,0)</f>
        <v>0</v>
      </c>
      <c r="PP10" s="212">
        <f t="shared" ref="PP10:PP73" si="188">IF(FF10=1,AB10,0)</f>
        <v>0</v>
      </c>
      <c r="PQ10" s="212">
        <f t="shared" ref="PQ10:PQ73" si="189">AB10-(PO10+PP10)</f>
        <v>0</v>
      </c>
    </row>
    <row r="11" spans="1:433 16383:16383" ht="16" x14ac:dyDescent="0.2">
      <c r="A11" s="213">
        <f t="shared" ref="A11:A75" si="190">A10+1</f>
        <v>3</v>
      </c>
      <c r="B11" s="186" t="s">
        <v>92</v>
      </c>
      <c r="C11" s="186">
        <v>3</v>
      </c>
      <c r="D11" s="188">
        <v>1</v>
      </c>
      <c r="E11" s="188">
        <v>65</v>
      </c>
      <c r="F11" s="188">
        <v>1</v>
      </c>
      <c r="G11" s="188">
        <f t="shared" si="116"/>
        <v>65</v>
      </c>
      <c r="H11" s="214">
        <f t="shared" si="2"/>
        <v>1</v>
      </c>
      <c r="I11" s="214">
        <f t="shared" si="3"/>
        <v>1</v>
      </c>
      <c r="J11" s="188">
        <v>1</v>
      </c>
      <c r="K11" s="188">
        <f t="shared" si="4"/>
        <v>65</v>
      </c>
      <c r="L11" s="214">
        <f t="shared" si="5"/>
        <v>1</v>
      </c>
      <c r="M11" s="214">
        <f t="shared" si="6"/>
        <v>1</v>
      </c>
      <c r="N11" s="188">
        <v>1</v>
      </c>
      <c r="O11" s="188">
        <f t="shared" si="7"/>
        <v>65</v>
      </c>
      <c r="P11" s="214">
        <f t="shared" si="8"/>
        <v>1</v>
      </c>
      <c r="Q11" s="214">
        <f t="shared" si="9"/>
        <v>1</v>
      </c>
      <c r="R11" s="188">
        <v>1</v>
      </c>
      <c r="S11" s="188">
        <f t="shared" si="117"/>
        <v>65</v>
      </c>
      <c r="T11" s="214">
        <f t="shared" si="118"/>
        <v>1</v>
      </c>
      <c r="U11" s="214">
        <f t="shared" si="119"/>
        <v>1</v>
      </c>
      <c r="V11" s="188">
        <v>1</v>
      </c>
      <c r="W11" s="188">
        <f t="shared" si="10"/>
        <v>65</v>
      </c>
      <c r="X11" s="214">
        <f t="shared" si="11"/>
        <v>1</v>
      </c>
      <c r="Y11" s="214">
        <f t="shared" si="12"/>
        <v>1</v>
      </c>
      <c r="Z11" s="224">
        <f>758212000/1000000000</f>
        <v>0.758212</v>
      </c>
      <c r="AA11" s="188"/>
      <c r="AB11" s="189">
        <f t="shared" si="120"/>
        <v>0</v>
      </c>
      <c r="AC11" s="250">
        <f t="shared" si="121"/>
        <v>0</v>
      </c>
      <c r="AD11" s="250">
        <f t="shared" si="122"/>
        <v>0</v>
      </c>
      <c r="AE11" s="188"/>
      <c r="AF11" s="188">
        <f t="shared" si="15"/>
        <v>0</v>
      </c>
      <c r="AG11" s="187"/>
      <c r="AH11" s="187"/>
      <c r="AI11" s="188">
        <v>0</v>
      </c>
      <c r="AJ11" s="188">
        <f t="shared" si="16"/>
        <v>0</v>
      </c>
      <c r="AK11" s="188"/>
      <c r="AL11" s="188">
        <v>0</v>
      </c>
      <c r="AM11" s="188">
        <v>0</v>
      </c>
      <c r="AN11" s="217"/>
      <c r="AO11" s="196">
        <f t="shared" si="123"/>
        <v>0</v>
      </c>
      <c r="AP11" s="195"/>
      <c r="AQ11" s="195"/>
      <c r="AR11" s="195"/>
      <c r="AS11" s="195"/>
      <c r="AT11" s="195"/>
      <c r="AU11" s="195"/>
      <c r="AV11" s="195"/>
      <c r="AW11" s="195"/>
      <c r="AX11" s="195"/>
      <c r="AY11" s="195"/>
      <c r="AZ11" s="195"/>
      <c r="BA11" s="195"/>
      <c r="BB11" s="188">
        <f t="shared" si="17"/>
        <v>0</v>
      </c>
      <c r="BC11" s="195"/>
      <c r="BD11" s="196"/>
      <c r="BE11" s="188">
        <f t="shared" si="18"/>
        <v>0</v>
      </c>
      <c r="BF11" s="188">
        <f t="shared" si="19"/>
        <v>0</v>
      </c>
      <c r="BG11" s="188">
        <f t="shared" si="20"/>
        <v>0</v>
      </c>
      <c r="BH11" s="188">
        <f t="shared" si="21"/>
        <v>0</v>
      </c>
      <c r="BI11" s="188">
        <f t="shared" si="22"/>
        <v>0</v>
      </c>
      <c r="BJ11" s="188">
        <f t="shared" si="23"/>
        <v>0</v>
      </c>
      <c r="BK11" s="188">
        <f t="shared" si="124"/>
        <v>0</v>
      </c>
      <c r="BL11" s="195"/>
      <c r="BM11" s="195"/>
      <c r="BN11" s="143">
        <v>48</v>
      </c>
      <c r="BO11" s="277">
        <v>1</v>
      </c>
      <c r="BP11" s="188"/>
      <c r="BQ11" s="188"/>
      <c r="BR11" s="188"/>
      <c r="BS11" s="188"/>
      <c r="BT11" s="188"/>
      <c r="BU11" s="188"/>
      <c r="BV11" s="188"/>
      <c r="BW11" s="188"/>
      <c r="BX11" s="188"/>
      <c r="BY11" s="188"/>
      <c r="BZ11" s="188"/>
      <c r="CA11" s="195"/>
      <c r="CB11" s="189">
        <v>0</v>
      </c>
      <c r="CC11" s="195"/>
      <c r="CD11" s="189">
        <f t="shared" si="125"/>
        <v>48</v>
      </c>
      <c r="CE11" s="189">
        <f t="shared" ref="CE11:CE74" si="191">IF(BO11=1,$CD11,0)</f>
        <v>48</v>
      </c>
      <c r="CF11" s="189">
        <f t="shared" si="126"/>
        <v>0</v>
      </c>
      <c r="CG11" s="189">
        <f t="shared" si="127"/>
        <v>0</v>
      </c>
      <c r="CH11" s="189">
        <f t="shared" si="128"/>
        <v>0</v>
      </c>
      <c r="CI11" s="189">
        <f t="shared" si="129"/>
        <v>0</v>
      </c>
      <c r="CJ11" s="189">
        <f t="shared" si="130"/>
        <v>0</v>
      </c>
      <c r="CK11" s="189">
        <f t="shared" si="131"/>
        <v>0</v>
      </c>
      <c r="CL11" s="189">
        <f t="shared" si="132"/>
        <v>0</v>
      </c>
      <c r="CM11" s="189">
        <f t="shared" si="133"/>
        <v>0</v>
      </c>
      <c r="CN11" s="189">
        <f t="shared" si="134"/>
        <v>0</v>
      </c>
      <c r="CO11" s="189">
        <f t="shared" si="135"/>
        <v>0</v>
      </c>
      <c r="CP11" s="189">
        <f t="shared" si="136"/>
        <v>0</v>
      </c>
      <c r="CQ11" s="195"/>
      <c r="CR11" s="195"/>
      <c r="CS11" s="195"/>
      <c r="CT11" s="195"/>
      <c r="CU11" s="195"/>
      <c r="CV11" s="195"/>
      <c r="CW11" s="195"/>
      <c r="CX11" s="195"/>
      <c r="CY11" s="195"/>
      <c r="CZ11" s="195"/>
      <c r="DA11" s="195"/>
      <c r="DB11" s="195"/>
      <c r="DC11" s="195"/>
      <c r="DD11" s="195"/>
      <c r="DE11" s="195"/>
      <c r="DF11" s="195"/>
      <c r="DG11" s="195"/>
      <c r="DH11" s="195"/>
      <c r="DI11" s="195"/>
      <c r="DJ11" s="195"/>
      <c r="DK11" s="195"/>
      <c r="DL11" s="195"/>
      <c r="DM11" s="195"/>
      <c r="DN11" s="195"/>
      <c r="DO11" s="195"/>
      <c r="DP11" s="195"/>
      <c r="DQ11" s="195"/>
      <c r="DR11" s="195"/>
      <c r="DS11" s="195"/>
      <c r="DT11" s="195"/>
      <c r="DU11" s="195"/>
      <c r="DV11" s="189">
        <f t="shared" si="26"/>
        <v>0</v>
      </c>
      <c r="DW11" s="189">
        <f t="shared" si="27"/>
        <v>0</v>
      </c>
      <c r="DX11" s="189">
        <f t="shared" si="28"/>
        <v>0</v>
      </c>
      <c r="DY11" s="189">
        <f t="shared" si="29"/>
        <v>0</v>
      </c>
      <c r="DZ11" s="189">
        <f t="shared" si="30"/>
        <v>0</v>
      </c>
      <c r="EA11" s="189">
        <f t="shared" si="31"/>
        <v>0</v>
      </c>
      <c r="EB11" s="189">
        <f t="shared" si="137"/>
        <v>0</v>
      </c>
      <c r="EC11" s="195"/>
      <c r="ED11" s="197" t="s">
        <v>368</v>
      </c>
      <c r="EE11" s="197" t="s">
        <v>370</v>
      </c>
      <c r="EF11" s="219"/>
      <c r="EG11" s="252">
        <f t="shared" si="138"/>
        <v>0</v>
      </c>
      <c r="EH11" s="252">
        <f t="shared" si="139"/>
        <v>0</v>
      </c>
      <c r="EI11" s="189"/>
      <c r="EJ11" s="189"/>
      <c r="EK11" s="189"/>
      <c r="EL11" s="189"/>
      <c r="EM11" s="189"/>
      <c r="EN11" s="189"/>
      <c r="EO11" s="189"/>
      <c r="EP11" s="189"/>
      <c r="EQ11" s="189"/>
      <c r="ER11" s="189"/>
      <c r="ES11" s="189"/>
      <c r="ET11" s="189"/>
      <c r="EU11" s="189"/>
      <c r="EV11" s="189"/>
      <c r="EW11" s="189"/>
      <c r="EX11" s="189"/>
      <c r="EY11" s="189"/>
      <c r="EZ11" s="189"/>
      <c r="FA11" s="189"/>
      <c r="FB11" s="189"/>
      <c r="FC11" s="189"/>
      <c r="FD11" s="189"/>
      <c r="FE11" s="189"/>
      <c r="FF11" s="189"/>
      <c r="FG11" s="195"/>
      <c r="FH11" s="189"/>
      <c r="FI11" s="189"/>
      <c r="FJ11" s="189"/>
      <c r="FK11" s="189"/>
      <c r="FL11" s="189"/>
      <c r="FM11" s="189"/>
      <c r="FN11" s="189"/>
      <c r="FO11" s="189"/>
      <c r="FP11" s="189"/>
      <c r="FQ11" s="189"/>
      <c r="FR11" s="189"/>
      <c r="FS11" s="189"/>
      <c r="FT11" s="189"/>
      <c r="FU11" s="189"/>
      <c r="FV11" s="189"/>
      <c r="FW11" s="195"/>
      <c r="FX11" s="253">
        <v>1</v>
      </c>
      <c r="FY11" s="189">
        <f t="shared" si="140"/>
        <v>48</v>
      </c>
      <c r="FZ11" s="189">
        <f t="shared" si="33"/>
        <v>48</v>
      </c>
      <c r="GA11" s="189">
        <f t="shared" si="34"/>
        <v>0</v>
      </c>
      <c r="GB11" s="189">
        <f t="shared" si="35"/>
        <v>0</v>
      </c>
      <c r="GC11" s="189">
        <f t="shared" si="36"/>
        <v>0</v>
      </c>
      <c r="GD11" s="189">
        <f t="shared" si="37"/>
        <v>0</v>
      </c>
      <c r="GE11" s="189">
        <f t="shared" si="38"/>
        <v>0</v>
      </c>
      <c r="GF11" s="199"/>
      <c r="GG11" s="189">
        <v>0</v>
      </c>
      <c r="GH11" s="189">
        <v>0</v>
      </c>
      <c r="GI11" s="199"/>
      <c r="GJ11" s="200">
        <f t="shared" si="141"/>
        <v>0</v>
      </c>
      <c r="GK11" s="200">
        <f t="shared" si="142"/>
        <v>0</v>
      </c>
      <c r="GL11" s="195"/>
      <c r="GM11" s="195"/>
      <c r="GN11" s="195"/>
      <c r="GO11" s="189">
        <f t="shared" si="39"/>
        <v>0</v>
      </c>
      <c r="GP11" s="189">
        <f t="shared" si="40"/>
        <v>0</v>
      </c>
      <c r="GQ11" s="189">
        <f t="shared" si="41"/>
        <v>0</v>
      </c>
      <c r="GR11" s="189">
        <f t="shared" si="42"/>
        <v>0</v>
      </c>
      <c r="GS11" s="189">
        <f t="shared" si="43"/>
        <v>0</v>
      </c>
      <c r="GT11" s="189">
        <f t="shared" si="143"/>
        <v>1</v>
      </c>
      <c r="GU11" s="201">
        <f t="shared" si="144"/>
        <v>43243</v>
      </c>
      <c r="GV11" s="189" t="str">
        <f t="shared" si="145"/>
        <v>SELESAI</v>
      </c>
      <c r="GW11" s="189">
        <f t="shared" si="146"/>
        <v>0</v>
      </c>
      <c r="GX11" s="202" t="str">
        <f t="shared" si="147"/>
        <v>SELESAI</v>
      </c>
      <c r="GY11" s="202">
        <f t="shared" si="148"/>
        <v>0</v>
      </c>
      <c r="GZ11" s="203" t="str">
        <f t="shared" si="149"/>
        <v>SELESAI</v>
      </c>
      <c r="HA11" s="204"/>
      <c r="HB11" s="204"/>
      <c r="HC11" s="189">
        <f t="shared" si="44"/>
        <v>0</v>
      </c>
      <c r="HD11" s="189">
        <f t="shared" si="45"/>
        <v>0</v>
      </c>
      <c r="HE11" s="189">
        <f t="shared" si="150"/>
        <v>0</v>
      </c>
      <c r="HF11" s="189">
        <f t="shared" si="151"/>
        <v>0</v>
      </c>
      <c r="HG11" s="189">
        <f t="shared" si="152"/>
        <v>0</v>
      </c>
      <c r="HH11" s="201" t="str">
        <f t="shared" si="46"/>
        <v>TIDAK KONSINYASI</v>
      </c>
      <c r="HI11" s="201" t="str">
        <f t="shared" si="153"/>
        <v>SELESAI</v>
      </c>
      <c r="HJ11" s="205"/>
      <c r="HK11" s="201">
        <f t="shared" si="47"/>
        <v>0</v>
      </c>
      <c r="HL11" s="204"/>
      <c r="HM11" s="204"/>
      <c r="HN11" s="204"/>
      <c r="HO11" s="204"/>
      <c r="HP11" s="203">
        <f t="shared" si="154"/>
        <v>0</v>
      </c>
      <c r="HQ11" s="202">
        <f t="shared" si="155"/>
        <v>0</v>
      </c>
      <c r="HR11" s="202">
        <f t="shared" si="48"/>
        <v>0</v>
      </c>
      <c r="HS11" s="203">
        <f t="shared" si="156"/>
        <v>0</v>
      </c>
      <c r="HT11" s="202">
        <f t="shared" si="157"/>
        <v>0</v>
      </c>
      <c r="HU11" s="202">
        <f t="shared" si="49"/>
        <v>0</v>
      </c>
      <c r="HV11" s="203">
        <f t="shared" si="158"/>
        <v>0</v>
      </c>
      <c r="HW11" s="202">
        <f t="shared" si="50"/>
        <v>0</v>
      </c>
      <c r="HX11" s="202">
        <f t="shared" si="51"/>
        <v>0</v>
      </c>
      <c r="HY11" s="203">
        <f t="shared" si="52"/>
        <v>0</v>
      </c>
      <c r="HZ11" s="202">
        <f t="shared" si="159"/>
        <v>0</v>
      </c>
      <c r="IA11" s="202">
        <f t="shared" si="53"/>
        <v>0</v>
      </c>
      <c r="IB11" s="203">
        <f t="shared" si="160"/>
        <v>0</v>
      </c>
      <c r="IC11" s="202">
        <f t="shared" si="54"/>
        <v>0</v>
      </c>
      <c r="ID11" s="202">
        <f t="shared" si="55"/>
        <v>0</v>
      </c>
      <c r="IE11" s="203">
        <f t="shared" si="56"/>
        <v>0</v>
      </c>
      <c r="IF11" s="202">
        <f t="shared" si="57"/>
        <v>0</v>
      </c>
      <c r="IG11" s="202">
        <f t="shared" si="58"/>
        <v>0</v>
      </c>
      <c r="IH11" s="203">
        <f t="shared" si="161"/>
        <v>0</v>
      </c>
      <c r="II11" s="202">
        <f t="shared" si="162"/>
        <v>0</v>
      </c>
      <c r="IJ11" s="202">
        <f t="shared" si="59"/>
        <v>0</v>
      </c>
      <c r="IK11" s="203">
        <f t="shared" si="60"/>
        <v>0</v>
      </c>
      <c r="IL11" s="202">
        <f t="shared" si="61"/>
        <v>0</v>
      </c>
      <c r="IM11" s="202">
        <f t="shared" si="62"/>
        <v>0</v>
      </c>
      <c r="IN11" s="204"/>
      <c r="IO11" s="203">
        <f t="shared" si="63"/>
        <v>0</v>
      </c>
      <c r="IP11" s="202">
        <f t="shared" si="64"/>
        <v>0</v>
      </c>
      <c r="IQ11" s="202">
        <f t="shared" si="65"/>
        <v>0</v>
      </c>
      <c r="IR11" s="204"/>
      <c r="IS11" s="203"/>
      <c r="IT11" s="202">
        <f t="shared" si="66"/>
        <v>1</v>
      </c>
      <c r="IU11" s="202">
        <f t="shared" si="67"/>
        <v>65</v>
      </c>
      <c r="IV11" s="204"/>
      <c r="IW11" s="203"/>
      <c r="IX11" s="202">
        <f t="shared" si="68"/>
        <v>0</v>
      </c>
      <c r="IY11" s="202">
        <f t="shared" si="69"/>
        <v>0</v>
      </c>
      <c r="IZ11" s="204"/>
      <c r="JA11" s="203"/>
      <c r="JB11" s="202">
        <f t="shared" si="70"/>
        <v>0</v>
      </c>
      <c r="JC11" s="202">
        <f t="shared" si="71"/>
        <v>0</v>
      </c>
      <c r="JD11" s="204"/>
      <c r="JE11" s="203"/>
      <c r="JF11" s="202">
        <f t="shared" si="163"/>
        <v>1</v>
      </c>
      <c r="JG11" s="202">
        <f t="shared" si="72"/>
        <v>65</v>
      </c>
      <c r="JH11" s="204"/>
      <c r="JI11" s="203"/>
      <c r="JJ11" s="202">
        <f t="shared" si="73"/>
        <v>0</v>
      </c>
      <c r="JK11" s="202">
        <f t="shared" si="74"/>
        <v>0</v>
      </c>
      <c r="JL11" s="195"/>
      <c r="JM11" s="203">
        <f t="shared" si="164"/>
        <v>0</v>
      </c>
      <c r="JN11" s="195"/>
      <c r="JO11" s="196">
        <f t="shared" si="75"/>
        <v>1</v>
      </c>
      <c r="JP11" s="206">
        <f t="shared" si="76"/>
        <v>48</v>
      </c>
      <c r="JQ11" s="206">
        <f t="shared" si="77"/>
        <v>1</v>
      </c>
      <c r="JR11" s="206">
        <f t="shared" si="78"/>
        <v>0</v>
      </c>
      <c r="JS11" s="206">
        <f t="shared" si="79"/>
        <v>0</v>
      </c>
      <c r="JT11" s="206">
        <f t="shared" si="80"/>
        <v>0</v>
      </c>
      <c r="JU11" s="206">
        <f t="shared" si="81"/>
        <v>0</v>
      </c>
      <c r="JV11" s="206">
        <f t="shared" si="82"/>
        <v>0</v>
      </c>
      <c r="JW11" s="206">
        <f t="shared" si="83"/>
        <v>0</v>
      </c>
      <c r="JX11" s="206">
        <f t="shared" si="84"/>
        <v>0</v>
      </c>
      <c r="JY11" s="206">
        <f t="shared" si="85"/>
        <v>0</v>
      </c>
      <c r="JZ11" s="206">
        <f t="shared" si="86"/>
        <v>0</v>
      </c>
      <c r="KA11" s="206">
        <f t="shared" si="87"/>
        <v>0</v>
      </c>
      <c r="KB11" s="206">
        <f t="shared" si="88"/>
        <v>0</v>
      </c>
      <c r="KC11" s="195"/>
      <c r="KD11" s="206">
        <f t="shared" si="165"/>
        <v>0</v>
      </c>
      <c r="KE11" s="206">
        <f t="shared" si="90"/>
        <v>0</v>
      </c>
      <c r="KF11" s="206">
        <f t="shared" si="91"/>
        <v>48</v>
      </c>
      <c r="KG11" s="206">
        <f t="shared" si="92"/>
        <v>48</v>
      </c>
      <c r="KH11" s="206">
        <f t="shared" si="93"/>
        <v>0</v>
      </c>
      <c r="KI11" s="206">
        <f t="shared" si="94"/>
        <v>0</v>
      </c>
      <c r="KJ11" s="206">
        <f t="shared" si="95"/>
        <v>0</v>
      </c>
      <c r="KK11" s="206">
        <f t="shared" si="96"/>
        <v>0</v>
      </c>
      <c r="KL11" s="206">
        <f t="shared" si="97"/>
        <v>0</v>
      </c>
      <c r="KM11" s="206">
        <f t="shared" si="98"/>
        <v>0</v>
      </c>
      <c r="KN11" s="221">
        <f t="shared" si="99"/>
        <v>0</v>
      </c>
      <c r="KO11" s="221">
        <f t="shared" si="100"/>
        <v>0</v>
      </c>
      <c r="KP11" s="221">
        <f t="shared" si="101"/>
        <v>0</v>
      </c>
      <c r="KQ11" s="221">
        <f t="shared" si="102"/>
        <v>0</v>
      </c>
      <c r="KR11" s="221">
        <f t="shared" si="103"/>
        <v>0</v>
      </c>
      <c r="KS11" s="195"/>
      <c r="KT11" s="195">
        <f t="shared" si="104"/>
        <v>0</v>
      </c>
      <c r="KU11" s="221"/>
      <c r="KV11" s="221"/>
      <c r="KW11" s="221"/>
      <c r="KX11" s="221"/>
      <c r="KY11" s="221"/>
      <c r="KZ11" s="221"/>
      <c r="LA11" s="221"/>
      <c r="LB11" s="221"/>
      <c r="LC11" s="221"/>
      <c r="LD11" s="221"/>
      <c r="LE11" s="221"/>
      <c r="LF11" s="221"/>
      <c r="LG11" s="221"/>
      <c r="LH11" s="221"/>
      <c r="LI11" s="221"/>
      <c r="LJ11" s="221"/>
      <c r="LK11" s="221"/>
      <c r="LL11" s="221"/>
      <c r="LM11" s="221"/>
      <c r="LN11" s="221"/>
      <c r="LO11" s="221"/>
      <c r="LP11" s="221"/>
      <c r="LQ11" s="221"/>
      <c r="LR11" s="221"/>
      <c r="LS11" s="221"/>
      <c r="LT11" s="221"/>
      <c r="LU11" s="221"/>
      <c r="LV11" s="221"/>
      <c r="LW11" s="221"/>
      <c r="LX11" s="221"/>
      <c r="LY11" s="221"/>
      <c r="LZ11" s="221"/>
      <c r="MA11" s="221"/>
      <c r="MB11" s="221"/>
      <c r="MC11" s="221"/>
      <c r="MD11" s="221"/>
      <c r="ME11" s="221"/>
      <c r="MF11" s="221"/>
      <c r="MG11" s="221"/>
      <c r="MH11" s="221"/>
      <c r="MI11" s="221"/>
      <c r="MJ11" s="221"/>
      <c r="MK11" s="221"/>
      <c r="ML11" s="221"/>
      <c r="MM11" s="221"/>
      <c r="MN11" s="221"/>
      <c r="MO11" s="221"/>
      <c r="MP11" s="221"/>
      <c r="MQ11" s="221"/>
      <c r="MR11" s="221"/>
      <c r="MS11" s="221"/>
      <c r="MT11" s="221"/>
      <c r="MU11" s="221"/>
      <c r="MV11" s="221"/>
      <c r="MW11" s="221"/>
      <c r="MX11" s="221"/>
      <c r="MY11" s="221"/>
      <c r="MZ11" s="221"/>
      <c r="NA11" s="221"/>
      <c r="NB11" s="221"/>
      <c r="NC11" s="221"/>
      <c r="ND11" s="221"/>
      <c r="NE11" s="221"/>
      <c r="NF11" s="221"/>
      <c r="NG11" s="221"/>
      <c r="NH11" s="221"/>
      <c r="NI11" s="221"/>
      <c r="NJ11" s="221"/>
      <c r="NK11" s="221"/>
      <c r="NL11" s="195"/>
      <c r="NM11" s="195">
        <f t="shared" si="166"/>
        <v>0</v>
      </c>
      <c r="NN11" s="195">
        <f t="shared" si="167"/>
        <v>0</v>
      </c>
      <c r="NO11" s="195">
        <f t="shared" si="168"/>
        <v>0</v>
      </c>
      <c r="NP11" s="195">
        <f t="shared" si="169"/>
        <v>0</v>
      </c>
      <c r="NQ11" s="195">
        <f t="shared" si="170"/>
        <v>0</v>
      </c>
      <c r="NR11" s="195">
        <f t="shared" si="171"/>
        <v>0</v>
      </c>
      <c r="NS11" s="195">
        <f t="shared" si="172"/>
        <v>0</v>
      </c>
      <c r="NT11" s="195">
        <f t="shared" si="173"/>
        <v>0</v>
      </c>
      <c r="NU11" s="196">
        <f t="shared" si="174"/>
        <v>0</v>
      </c>
      <c r="NV11" s="195"/>
      <c r="NW11" s="195"/>
      <c r="NX11" s="195"/>
      <c r="NY11" s="196">
        <f t="shared" si="106"/>
        <v>1</v>
      </c>
      <c r="NZ11" s="222">
        <v>8075000</v>
      </c>
      <c r="OA11" s="195"/>
      <c r="OB11" s="195"/>
      <c r="OC11" s="195"/>
      <c r="OD11" s="195"/>
      <c r="OE11" s="207">
        <f t="shared" si="107"/>
        <v>0</v>
      </c>
      <c r="OF11" s="207">
        <f t="shared" si="108"/>
        <v>0</v>
      </c>
      <c r="OG11" s="207">
        <f t="shared" si="109"/>
        <v>0</v>
      </c>
      <c r="OH11" s="207">
        <f t="shared" si="175"/>
        <v>0</v>
      </c>
      <c r="OI11" s="207">
        <f t="shared" si="110"/>
        <v>0</v>
      </c>
      <c r="OJ11" s="199">
        <f t="shared" si="176"/>
        <v>0</v>
      </c>
      <c r="OK11" s="199">
        <f t="shared" si="177"/>
        <v>0</v>
      </c>
      <c r="OL11" s="199">
        <f t="shared" si="178"/>
        <v>0</v>
      </c>
      <c r="OM11" s="199">
        <f t="shared" si="179"/>
        <v>0</v>
      </c>
      <c r="ON11" s="195"/>
      <c r="OO11" s="207">
        <f t="shared" si="111"/>
        <v>0</v>
      </c>
      <c r="OP11" s="207">
        <f t="shared" si="112"/>
        <v>0</v>
      </c>
      <c r="OQ11" s="207">
        <f t="shared" si="180"/>
        <v>0</v>
      </c>
      <c r="OR11" s="207">
        <f t="shared" si="181"/>
        <v>0</v>
      </c>
      <c r="OS11" s="207">
        <f t="shared" si="182"/>
        <v>0</v>
      </c>
      <c r="OT11" s="199">
        <f t="shared" si="183"/>
        <v>0</v>
      </c>
      <c r="OU11" s="199">
        <f t="shared" si="184"/>
        <v>0</v>
      </c>
      <c r="OV11" s="199">
        <f t="shared" si="185"/>
        <v>0</v>
      </c>
      <c r="OW11" s="199">
        <f t="shared" si="186"/>
        <v>0</v>
      </c>
      <c r="OX11" s="195"/>
      <c r="OY11" s="195"/>
      <c r="OZ11" s="195"/>
      <c r="PA11" s="209"/>
      <c r="PB11" s="209"/>
      <c r="PC11" s="209"/>
      <c r="PD11" s="210">
        <f t="shared" si="113"/>
        <v>0</v>
      </c>
      <c r="PE11" s="210"/>
      <c r="PF11" s="210">
        <f t="shared" si="114"/>
        <v>0</v>
      </c>
      <c r="PG11" s="210">
        <f t="shared" si="115"/>
        <v>0</v>
      </c>
      <c r="PH11" s="210">
        <f t="shared" si="115"/>
        <v>0</v>
      </c>
      <c r="PI11" s="210">
        <f t="shared" si="115"/>
        <v>0</v>
      </c>
      <c r="PJ11" s="210">
        <f t="shared" si="115"/>
        <v>0</v>
      </c>
      <c r="PK11" s="210">
        <f t="shared" si="115"/>
        <v>0</v>
      </c>
      <c r="PL11" s="210">
        <f t="shared" si="115"/>
        <v>0</v>
      </c>
      <c r="PM11" s="195"/>
      <c r="PN11" s="195"/>
      <c r="PO11" s="212">
        <f t="shared" si="187"/>
        <v>0</v>
      </c>
      <c r="PP11" s="212">
        <f t="shared" si="188"/>
        <v>0</v>
      </c>
      <c r="PQ11" s="212">
        <f t="shared" si="189"/>
        <v>0</v>
      </c>
    </row>
    <row r="12" spans="1:433 16383:16383" ht="16" x14ac:dyDescent="0.2">
      <c r="A12" s="213">
        <f t="shared" si="190"/>
        <v>4</v>
      </c>
      <c r="B12" s="186" t="s">
        <v>93</v>
      </c>
      <c r="C12" s="186">
        <v>4</v>
      </c>
      <c r="D12" s="188">
        <v>1</v>
      </c>
      <c r="E12" s="188">
        <v>185</v>
      </c>
      <c r="F12" s="188">
        <v>1</v>
      </c>
      <c r="G12" s="188">
        <f t="shared" si="116"/>
        <v>185</v>
      </c>
      <c r="H12" s="214">
        <f t="shared" si="2"/>
        <v>1</v>
      </c>
      <c r="I12" s="214">
        <f t="shared" si="3"/>
        <v>1</v>
      </c>
      <c r="J12" s="188">
        <v>1</v>
      </c>
      <c r="K12" s="188">
        <f t="shared" si="4"/>
        <v>185</v>
      </c>
      <c r="L12" s="214">
        <f t="shared" si="5"/>
        <v>1</v>
      </c>
      <c r="M12" s="214">
        <f t="shared" si="6"/>
        <v>1</v>
      </c>
      <c r="N12" s="188">
        <v>1</v>
      </c>
      <c r="O12" s="188">
        <f t="shared" si="7"/>
        <v>185</v>
      </c>
      <c r="P12" s="214">
        <f t="shared" si="8"/>
        <v>1</v>
      </c>
      <c r="Q12" s="214">
        <f t="shared" si="9"/>
        <v>1</v>
      </c>
      <c r="R12" s="188">
        <v>1</v>
      </c>
      <c r="S12" s="188">
        <f t="shared" si="117"/>
        <v>185</v>
      </c>
      <c r="T12" s="214">
        <f t="shared" si="118"/>
        <v>1</v>
      </c>
      <c r="U12" s="214">
        <f t="shared" si="119"/>
        <v>1</v>
      </c>
      <c r="V12" s="188">
        <v>1</v>
      </c>
      <c r="W12" s="188">
        <f t="shared" si="10"/>
        <v>185</v>
      </c>
      <c r="X12" s="214">
        <f t="shared" si="11"/>
        <v>1</v>
      </c>
      <c r="Y12" s="214">
        <f t="shared" si="12"/>
        <v>1</v>
      </c>
      <c r="Z12" s="224">
        <f>2771777000/1000000000</f>
        <v>2.7717770000000002</v>
      </c>
      <c r="AA12" s="188"/>
      <c r="AB12" s="189">
        <f t="shared" si="120"/>
        <v>0</v>
      </c>
      <c r="AC12" s="250">
        <f t="shared" si="121"/>
        <v>0</v>
      </c>
      <c r="AD12" s="250">
        <f t="shared" si="122"/>
        <v>0</v>
      </c>
      <c r="AE12" s="188"/>
      <c r="AF12" s="188">
        <f t="shared" si="15"/>
        <v>0</v>
      </c>
      <c r="AG12" s="188"/>
      <c r="AH12" s="187"/>
      <c r="AI12" s="188">
        <v>0</v>
      </c>
      <c r="AJ12" s="188">
        <f t="shared" si="16"/>
        <v>0</v>
      </c>
      <c r="AK12" s="188"/>
      <c r="AL12" s="188">
        <v>0</v>
      </c>
      <c r="AM12" s="188">
        <v>0</v>
      </c>
      <c r="AN12" s="217"/>
      <c r="AO12" s="196">
        <f t="shared" si="123"/>
        <v>0</v>
      </c>
      <c r="AP12" s="195"/>
      <c r="AQ12" s="195"/>
      <c r="AR12" s="195"/>
      <c r="AS12" s="195"/>
      <c r="AT12" s="195"/>
      <c r="AU12" s="195"/>
      <c r="AV12" s="195"/>
      <c r="AW12" s="195"/>
      <c r="AX12" s="195"/>
      <c r="AY12" s="195"/>
      <c r="AZ12" s="195"/>
      <c r="BA12" s="195"/>
      <c r="BB12" s="188">
        <f t="shared" si="17"/>
        <v>0</v>
      </c>
      <c r="BC12" s="195"/>
      <c r="BD12" s="196"/>
      <c r="BE12" s="188">
        <f t="shared" si="18"/>
        <v>0</v>
      </c>
      <c r="BF12" s="188">
        <f t="shared" si="19"/>
        <v>0</v>
      </c>
      <c r="BG12" s="188">
        <f t="shared" si="20"/>
        <v>0</v>
      </c>
      <c r="BH12" s="188">
        <f t="shared" si="21"/>
        <v>0</v>
      </c>
      <c r="BI12" s="188">
        <f t="shared" si="22"/>
        <v>0</v>
      </c>
      <c r="BJ12" s="188">
        <f t="shared" si="23"/>
        <v>0</v>
      </c>
      <c r="BK12" s="188">
        <f t="shared" si="124"/>
        <v>0</v>
      </c>
      <c r="BL12" s="195"/>
      <c r="BM12" s="195"/>
      <c r="BN12" s="143"/>
      <c r="BO12" s="277"/>
      <c r="BP12" s="188"/>
      <c r="BQ12" s="188"/>
      <c r="BR12" s="188"/>
      <c r="BS12" s="188"/>
      <c r="BT12" s="188"/>
      <c r="BU12" s="188"/>
      <c r="BV12" s="188"/>
      <c r="BW12" s="188"/>
      <c r="BX12" s="188"/>
      <c r="BY12" s="188"/>
      <c r="BZ12" s="188"/>
      <c r="CA12" s="195"/>
      <c r="CB12" s="189">
        <v>0</v>
      </c>
      <c r="CC12" s="195"/>
      <c r="CD12" s="189">
        <f t="shared" si="125"/>
        <v>0</v>
      </c>
      <c r="CE12" s="189">
        <f t="shared" si="191"/>
        <v>0</v>
      </c>
      <c r="CF12" s="189">
        <f t="shared" si="126"/>
        <v>0</v>
      </c>
      <c r="CG12" s="189">
        <f t="shared" si="127"/>
        <v>0</v>
      </c>
      <c r="CH12" s="189">
        <f t="shared" si="128"/>
        <v>0</v>
      </c>
      <c r="CI12" s="189">
        <f t="shared" si="129"/>
        <v>0</v>
      </c>
      <c r="CJ12" s="189">
        <f t="shared" si="130"/>
        <v>0</v>
      </c>
      <c r="CK12" s="189">
        <f t="shared" si="131"/>
        <v>0</v>
      </c>
      <c r="CL12" s="189">
        <f t="shared" si="132"/>
        <v>0</v>
      </c>
      <c r="CM12" s="189">
        <f t="shared" si="133"/>
        <v>0</v>
      </c>
      <c r="CN12" s="189">
        <f t="shared" si="134"/>
        <v>0</v>
      </c>
      <c r="CO12" s="189">
        <f t="shared" si="135"/>
        <v>0</v>
      </c>
      <c r="CP12" s="189">
        <f t="shared" si="136"/>
        <v>0</v>
      </c>
      <c r="CQ12" s="195"/>
      <c r="CR12" s="195"/>
      <c r="CS12" s="195"/>
      <c r="CT12" s="195"/>
      <c r="CU12" s="195"/>
      <c r="CV12" s="195"/>
      <c r="CW12" s="195"/>
      <c r="CX12" s="195"/>
      <c r="CY12" s="195"/>
      <c r="CZ12" s="195"/>
      <c r="DA12" s="195"/>
      <c r="DB12" s="195"/>
      <c r="DC12" s="195"/>
      <c r="DD12" s="195"/>
      <c r="DE12" s="195"/>
      <c r="DF12" s="195"/>
      <c r="DG12" s="195"/>
      <c r="DH12" s="195"/>
      <c r="DI12" s="195"/>
      <c r="DJ12" s="195"/>
      <c r="DK12" s="195"/>
      <c r="DL12" s="195"/>
      <c r="DM12" s="195"/>
      <c r="DN12" s="195"/>
      <c r="DO12" s="195"/>
      <c r="DP12" s="195"/>
      <c r="DQ12" s="195"/>
      <c r="DR12" s="195"/>
      <c r="DS12" s="195"/>
      <c r="DT12" s="195"/>
      <c r="DU12" s="195"/>
      <c r="DV12" s="189">
        <f t="shared" si="26"/>
        <v>0</v>
      </c>
      <c r="DW12" s="189">
        <f t="shared" si="27"/>
        <v>0</v>
      </c>
      <c r="DX12" s="189">
        <f t="shared" si="28"/>
        <v>0</v>
      </c>
      <c r="DY12" s="189">
        <f t="shared" si="29"/>
        <v>0</v>
      </c>
      <c r="DZ12" s="189">
        <f t="shared" si="30"/>
        <v>0</v>
      </c>
      <c r="EA12" s="189">
        <f t="shared" si="31"/>
        <v>0</v>
      </c>
      <c r="EB12" s="189">
        <f t="shared" si="137"/>
        <v>0</v>
      </c>
      <c r="EC12" s="195"/>
      <c r="ED12" s="197" t="s">
        <v>371</v>
      </c>
      <c r="EE12" s="197" t="s">
        <v>372</v>
      </c>
      <c r="EF12" s="219"/>
      <c r="EG12" s="252">
        <f t="shared" si="138"/>
        <v>0</v>
      </c>
      <c r="EH12" s="252">
        <f t="shared" si="139"/>
        <v>0</v>
      </c>
      <c r="EI12" s="189"/>
      <c r="EJ12" s="189"/>
      <c r="EK12" s="189"/>
      <c r="EL12" s="189"/>
      <c r="EM12" s="189"/>
      <c r="EN12" s="189"/>
      <c r="EO12" s="189"/>
      <c r="EP12" s="189"/>
      <c r="EQ12" s="189"/>
      <c r="ER12" s="189"/>
      <c r="ES12" s="189"/>
      <c r="ET12" s="189"/>
      <c r="EU12" s="189"/>
      <c r="EV12" s="189"/>
      <c r="EW12" s="189"/>
      <c r="EX12" s="189"/>
      <c r="EY12" s="189"/>
      <c r="EZ12" s="189"/>
      <c r="FA12" s="189"/>
      <c r="FB12" s="189"/>
      <c r="FC12" s="189"/>
      <c r="FD12" s="189"/>
      <c r="FE12" s="189"/>
      <c r="FF12" s="189"/>
      <c r="FG12" s="195"/>
      <c r="FH12" s="189"/>
      <c r="FI12" s="189"/>
      <c r="FJ12" s="189"/>
      <c r="FK12" s="189"/>
      <c r="FL12" s="189"/>
      <c r="FM12" s="189"/>
      <c r="FN12" s="189"/>
      <c r="FO12" s="189"/>
      <c r="FP12" s="189"/>
      <c r="FQ12" s="189"/>
      <c r="FR12" s="189"/>
      <c r="FS12" s="189"/>
      <c r="FT12" s="189"/>
      <c r="FU12" s="189"/>
      <c r="FV12" s="189"/>
      <c r="FW12" s="195"/>
      <c r="FX12" s="253"/>
      <c r="FY12" s="189">
        <f t="shared" si="140"/>
        <v>0</v>
      </c>
      <c r="FZ12" s="189">
        <f t="shared" si="33"/>
        <v>0</v>
      </c>
      <c r="GA12" s="189">
        <f t="shared" si="34"/>
        <v>0</v>
      </c>
      <c r="GB12" s="189">
        <f t="shared" si="35"/>
        <v>0</v>
      </c>
      <c r="GC12" s="189">
        <f t="shared" si="36"/>
        <v>0</v>
      </c>
      <c r="GD12" s="189">
        <f t="shared" si="37"/>
        <v>0</v>
      </c>
      <c r="GE12" s="189">
        <f t="shared" si="38"/>
        <v>0</v>
      </c>
      <c r="GF12" s="199"/>
      <c r="GG12" s="189">
        <v>0</v>
      </c>
      <c r="GH12" s="189">
        <v>0</v>
      </c>
      <c r="GI12" s="199"/>
      <c r="GJ12" s="200">
        <f t="shared" si="141"/>
        <v>0</v>
      </c>
      <c r="GK12" s="200">
        <f t="shared" si="142"/>
        <v>0</v>
      </c>
      <c r="GL12" s="195"/>
      <c r="GM12" s="195"/>
      <c r="GN12" s="195"/>
      <c r="GO12" s="189">
        <f t="shared" si="39"/>
        <v>0</v>
      </c>
      <c r="GP12" s="189">
        <f t="shared" si="40"/>
        <v>0</v>
      </c>
      <c r="GQ12" s="189">
        <f t="shared" si="41"/>
        <v>0</v>
      </c>
      <c r="GR12" s="189">
        <f t="shared" si="42"/>
        <v>0</v>
      </c>
      <c r="GS12" s="189">
        <f t="shared" si="43"/>
        <v>0</v>
      </c>
      <c r="GT12" s="189">
        <f t="shared" si="143"/>
        <v>1</v>
      </c>
      <c r="GU12" s="201">
        <f t="shared" si="144"/>
        <v>43243</v>
      </c>
      <c r="GV12" s="189" t="str">
        <f t="shared" si="145"/>
        <v>SELESAI</v>
      </c>
      <c r="GW12" s="189">
        <f t="shared" si="146"/>
        <v>0</v>
      </c>
      <c r="GX12" s="202" t="str">
        <f t="shared" si="147"/>
        <v>SELESAI</v>
      </c>
      <c r="GY12" s="202">
        <f t="shared" si="148"/>
        <v>0</v>
      </c>
      <c r="GZ12" s="203" t="str">
        <f t="shared" si="149"/>
        <v>SELESAI</v>
      </c>
      <c r="HA12" s="204"/>
      <c r="HB12" s="204"/>
      <c r="HC12" s="189">
        <f t="shared" si="44"/>
        <v>0</v>
      </c>
      <c r="HD12" s="189">
        <f t="shared" si="45"/>
        <v>0</v>
      </c>
      <c r="HE12" s="189">
        <f t="shared" si="150"/>
        <v>0</v>
      </c>
      <c r="HF12" s="189">
        <f t="shared" si="151"/>
        <v>0</v>
      </c>
      <c r="HG12" s="189">
        <f t="shared" si="152"/>
        <v>0</v>
      </c>
      <c r="HH12" s="201" t="str">
        <f t="shared" si="46"/>
        <v>TIDAK KONSINYASI</v>
      </c>
      <c r="HI12" s="201" t="str">
        <f t="shared" si="153"/>
        <v>SELESAI</v>
      </c>
      <c r="HJ12" s="205"/>
      <c r="HK12" s="201">
        <f t="shared" si="47"/>
        <v>0</v>
      </c>
      <c r="HL12" s="204"/>
      <c r="HM12" s="204"/>
      <c r="HN12" s="204"/>
      <c r="HO12" s="204"/>
      <c r="HP12" s="203">
        <f t="shared" si="154"/>
        <v>0</v>
      </c>
      <c r="HQ12" s="202">
        <f t="shared" si="155"/>
        <v>0</v>
      </c>
      <c r="HR12" s="202">
        <f t="shared" si="48"/>
        <v>0</v>
      </c>
      <c r="HS12" s="203">
        <f t="shared" si="156"/>
        <v>0</v>
      </c>
      <c r="HT12" s="202">
        <f t="shared" si="157"/>
        <v>0</v>
      </c>
      <c r="HU12" s="202">
        <f t="shared" si="49"/>
        <v>0</v>
      </c>
      <c r="HV12" s="203">
        <f t="shared" si="158"/>
        <v>0</v>
      </c>
      <c r="HW12" s="202">
        <f t="shared" si="50"/>
        <v>0</v>
      </c>
      <c r="HX12" s="202">
        <f t="shared" si="51"/>
        <v>0</v>
      </c>
      <c r="HY12" s="203">
        <f t="shared" si="52"/>
        <v>0</v>
      </c>
      <c r="HZ12" s="202">
        <f t="shared" si="159"/>
        <v>0</v>
      </c>
      <c r="IA12" s="202">
        <f t="shared" si="53"/>
        <v>0</v>
      </c>
      <c r="IB12" s="203">
        <f t="shared" si="160"/>
        <v>0</v>
      </c>
      <c r="IC12" s="202">
        <f t="shared" si="54"/>
        <v>0</v>
      </c>
      <c r="ID12" s="202">
        <f t="shared" si="55"/>
        <v>0</v>
      </c>
      <c r="IE12" s="203">
        <f t="shared" si="56"/>
        <v>0</v>
      </c>
      <c r="IF12" s="202">
        <f t="shared" si="57"/>
        <v>0</v>
      </c>
      <c r="IG12" s="202">
        <f t="shared" si="58"/>
        <v>0</v>
      </c>
      <c r="IH12" s="203">
        <f t="shared" si="161"/>
        <v>0</v>
      </c>
      <c r="II12" s="202">
        <f t="shared" si="162"/>
        <v>0</v>
      </c>
      <c r="IJ12" s="202">
        <f t="shared" si="59"/>
        <v>0</v>
      </c>
      <c r="IK12" s="203">
        <f t="shared" si="60"/>
        <v>0</v>
      </c>
      <c r="IL12" s="202">
        <f t="shared" si="61"/>
        <v>0</v>
      </c>
      <c r="IM12" s="202">
        <f t="shared" si="62"/>
        <v>0</v>
      </c>
      <c r="IN12" s="204"/>
      <c r="IO12" s="203">
        <f t="shared" si="63"/>
        <v>0</v>
      </c>
      <c r="IP12" s="202">
        <f t="shared" si="64"/>
        <v>0</v>
      </c>
      <c r="IQ12" s="202">
        <f t="shared" si="65"/>
        <v>0</v>
      </c>
      <c r="IR12" s="204"/>
      <c r="IS12" s="203"/>
      <c r="IT12" s="202">
        <f t="shared" si="66"/>
        <v>1</v>
      </c>
      <c r="IU12" s="202">
        <f t="shared" si="67"/>
        <v>185</v>
      </c>
      <c r="IV12" s="204"/>
      <c r="IW12" s="203"/>
      <c r="IX12" s="202">
        <f t="shared" si="68"/>
        <v>0</v>
      </c>
      <c r="IY12" s="202">
        <f t="shared" si="69"/>
        <v>0</v>
      </c>
      <c r="IZ12" s="204"/>
      <c r="JA12" s="203"/>
      <c r="JB12" s="202">
        <f t="shared" si="70"/>
        <v>0</v>
      </c>
      <c r="JC12" s="202">
        <f t="shared" si="71"/>
        <v>0</v>
      </c>
      <c r="JD12" s="204"/>
      <c r="JE12" s="203"/>
      <c r="JF12" s="202">
        <f t="shared" si="163"/>
        <v>1</v>
      </c>
      <c r="JG12" s="202">
        <f t="shared" si="72"/>
        <v>185</v>
      </c>
      <c r="JH12" s="204"/>
      <c r="JI12" s="203"/>
      <c r="JJ12" s="202">
        <f t="shared" si="73"/>
        <v>0</v>
      </c>
      <c r="JK12" s="202">
        <f t="shared" si="74"/>
        <v>0</v>
      </c>
      <c r="JL12" s="195"/>
      <c r="JM12" s="203">
        <f t="shared" si="164"/>
        <v>0</v>
      </c>
      <c r="JN12" s="195"/>
      <c r="JO12" s="196">
        <f t="shared" si="75"/>
        <v>0</v>
      </c>
      <c r="JP12" s="206">
        <f t="shared" si="76"/>
        <v>0</v>
      </c>
      <c r="JQ12" s="206">
        <f t="shared" si="77"/>
        <v>0</v>
      </c>
      <c r="JR12" s="206">
        <f t="shared" si="78"/>
        <v>0</v>
      </c>
      <c r="JS12" s="206">
        <f t="shared" si="79"/>
        <v>0</v>
      </c>
      <c r="JT12" s="206">
        <f t="shared" si="80"/>
        <v>0</v>
      </c>
      <c r="JU12" s="206">
        <f t="shared" si="81"/>
        <v>0</v>
      </c>
      <c r="JV12" s="206">
        <f t="shared" si="82"/>
        <v>0</v>
      </c>
      <c r="JW12" s="206">
        <f t="shared" si="83"/>
        <v>0</v>
      </c>
      <c r="JX12" s="206">
        <f t="shared" si="84"/>
        <v>0</v>
      </c>
      <c r="JY12" s="206">
        <f t="shared" si="85"/>
        <v>0</v>
      </c>
      <c r="JZ12" s="206">
        <f t="shared" si="86"/>
        <v>0</v>
      </c>
      <c r="KA12" s="206">
        <f t="shared" si="87"/>
        <v>0</v>
      </c>
      <c r="KB12" s="206">
        <f t="shared" si="88"/>
        <v>0</v>
      </c>
      <c r="KC12" s="195"/>
      <c r="KD12" s="206">
        <f t="shared" si="165"/>
        <v>0</v>
      </c>
      <c r="KE12" s="206">
        <f t="shared" si="90"/>
        <v>0</v>
      </c>
      <c r="KF12" s="206">
        <f t="shared" si="91"/>
        <v>0</v>
      </c>
      <c r="KG12" s="206">
        <f t="shared" si="92"/>
        <v>0</v>
      </c>
      <c r="KH12" s="206">
        <f t="shared" si="93"/>
        <v>0</v>
      </c>
      <c r="KI12" s="206">
        <f t="shared" si="94"/>
        <v>0</v>
      </c>
      <c r="KJ12" s="206">
        <f t="shared" si="95"/>
        <v>0</v>
      </c>
      <c r="KK12" s="206">
        <f t="shared" si="96"/>
        <v>0</v>
      </c>
      <c r="KL12" s="206">
        <f t="shared" si="97"/>
        <v>0</v>
      </c>
      <c r="KM12" s="206">
        <f t="shared" si="98"/>
        <v>0</v>
      </c>
      <c r="KN12" s="221">
        <f t="shared" si="99"/>
        <v>0</v>
      </c>
      <c r="KO12" s="221">
        <f t="shared" si="100"/>
        <v>0</v>
      </c>
      <c r="KP12" s="221">
        <f t="shared" si="101"/>
        <v>0</v>
      </c>
      <c r="KQ12" s="221">
        <f t="shared" si="102"/>
        <v>0</v>
      </c>
      <c r="KR12" s="221">
        <f t="shared" si="103"/>
        <v>0</v>
      </c>
      <c r="KS12" s="195"/>
      <c r="KT12" s="195">
        <f t="shared" si="104"/>
        <v>0</v>
      </c>
      <c r="KU12" s="221"/>
      <c r="KV12" s="221"/>
      <c r="KW12" s="221"/>
      <c r="KX12" s="221"/>
      <c r="KY12" s="221"/>
      <c r="KZ12" s="221"/>
      <c r="LA12" s="221"/>
      <c r="LB12" s="221"/>
      <c r="LC12" s="221"/>
      <c r="LD12" s="221"/>
      <c r="LE12" s="221"/>
      <c r="LF12" s="221"/>
      <c r="LG12" s="221"/>
      <c r="LH12" s="221"/>
      <c r="LI12" s="221"/>
      <c r="LJ12" s="221"/>
      <c r="LK12" s="221"/>
      <c r="LL12" s="221"/>
      <c r="LM12" s="221"/>
      <c r="LN12" s="221"/>
      <c r="LO12" s="221"/>
      <c r="LP12" s="221"/>
      <c r="LQ12" s="221"/>
      <c r="LR12" s="221"/>
      <c r="LS12" s="221"/>
      <c r="LT12" s="221"/>
      <c r="LU12" s="221"/>
      <c r="LV12" s="221"/>
      <c r="LW12" s="221"/>
      <c r="LX12" s="221"/>
      <c r="LY12" s="221"/>
      <c r="LZ12" s="221"/>
      <c r="MA12" s="221"/>
      <c r="MB12" s="221"/>
      <c r="MC12" s="221"/>
      <c r="MD12" s="221"/>
      <c r="ME12" s="221"/>
      <c r="MF12" s="221"/>
      <c r="MG12" s="221"/>
      <c r="MH12" s="221"/>
      <c r="MI12" s="221"/>
      <c r="MJ12" s="221"/>
      <c r="MK12" s="221"/>
      <c r="ML12" s="221"/>
      <c r="MM12" s="221"/>
      <c r="MN12" s="221"/>
      <c r="MO12" s="221"/>
      <c r="MP12" s="221"/>
      <c r="MQ12" s="221"/>
      <c r="MR12" s="221"/>
      <c r="MS12" s="221"/>
      <c r="MT12" s="221"/>
      <c r="MU12" s="221"/>
      <c r="MV12" s="221"/>
      <c r="MW12" s="221"/>
      <c r="MX12" s="221"/>
      <c r="MY12" s="221"/>
      <c r="MZ12" s="221"/>
      <c r="NA12" s="221"/>
      <c r="NB12" s="221"/>
      <c r="NC12" s="221"/>
      <c r="ND12" s="221"/>
      <c r="NE12" s="221"/>
      <c r="NF12" s="221"/>
      <c r="NG12" s="221"/>
      <c r="NH12" s="221"/>
      <c r="NI12" s="221"/>
      <c r="NJ12" s="221"/>
      <c r="NK12" s="221"/>
      <c r="NL12" s="195"/>
      <c r="NM12" s="195">
        <f t="shared" si="166"/>
        <v>0</v>
      </c>
      <c r="NN12" s="195">
        <f t="shared" si="167"/>
        <v>0</v>
      </c>
      <c r="NO12" s="195">
        <f t="shared" si="168"/>
        <v>0</v>
      </c>
      <c r="NP12" s="195">
        <f t="shared" si="169"/>
        <v>0</v>
      </c>
      <c r="NQ12" s="195">
        <f t="shared" si="170"/>
        <v>0</v>
      </c>
      <c r="NR12" s="195">
        <f t="shared" si="171"/>
        <v>0</v>
      </c>
      <c r="NS12" s="195">
        <f t="shared" si="172"/>
        <v>0</v>
      </c>
      <c r="NT12" s="195">
        <f t="shared" si="173"/>
        <v>0</v>
      </c>
      <c r="NU12" s="196">
        <f t="shared" si="174"/>
        <v>0</v>
      </c>
      <c r="NV12" s="195"/>
      <c r="NW12" s="195"/>
      <c r="NX12" s="195"/>
      <c r="NY12" s="196">
        <f t="shared" si="106"/>
        <v>1</v>
      </c>
      <c r="NZ12" s="222">
        <v>8500000</v>
      </c>
      <c r="OA12" s="195"/>
      <c r="OB12" s="195"/>
      <c r="OC12" s="195"/>
      <c r="OD12" s="195"/>
      <c r="OE12" s="207">
        <f t="shared" si="107"/>
        <v>0</v>
      </c>
      <c r="OF12" s="207">
        <f t="shared" si="108"/>
        <v>0</v>
      </c>
      <c r="OG12" s="207">
        <f t="shared" si="109"/>
        <v>0</v>
      </c>
      <c r="OH12" s="207">
        <f t="shared" si="175"/>
        <v>0</v>
      </c>
      <c r="OI12" s="207">
        <f t="shared" si="110"/>
        <v>0</v>
      </c>
      <c r="OJ12" s="199">
        <f t="shared" si="176"/>
        <v>0</v>
      </c>
      <c r="OK12" s="199">
        <f t="shared" si="177"/>
        <v>0</v>
      </c>
      <c r="OL12" s="199">
        <f t="shared" si="178"/>
        <v>0</v>
      </c>
      <c r="OM12" s="199">
        <f t="shared" si="179"/>
        <v>0</v>
      </c>
      <c r="ON12" s="195"/>
      <c r="OO12" s="207">
        <f t="shared" si="111"/>
        <v>0</v>
      </c>
      <c r="OP12" s="207">
        <f t="shared" si="112"/>
        <v>0</v>
      </c>
      <c r="OQ12" s="207">
        <f t="shared" si="180"/>
        <v>0</v>
      </c>
      <c r="OR12" s="207">
        <f t="shared" si="181"/>
        <v>0</v>
      </c>
      <c r="OS12" s="207">
        <f t="shared" si="182"/>
        <v>0</v>
      </c>
      <c r="OT12" s="199">
        <f t="shared" si="183"/>
        <v>0</v>
      </c>
      <c r="OU12" s="199">
        <f t="shared" si="184"/>
        <v>0</v>
      </c>
      <c r="OV12" s="199">
        <f t="shared" si="185"/>
        <v>0</v>
      </c>
      <c r="OW12" s="199">
        <f t="shared" si="186"/>
        <v>0</v>
      </c>
      <c r="OX12" s="195"/>
      <c r="OY12" s="195"/>
      <c r="OZ12" s="195"/>
      <c r="PA12" s="209"/>
      <c r="PB12" s="209"/>
      <c r="PC12" s="209"/>
      <c r="PD12" s="210">
        <f t="shared" si="113"/>
        <v>0</v>
      </c>
      <c r="PE12" s="210"/>
      <c r="PF12" s="210">
        <f t="shared" si="114"/>
        <v>0</v>
      </c>
      <c r="PG12" s="210">
        <f t="shared" si="115"/>
        <v>0</v>
      </c>
      <c r="PH12" s="210">
        <f t="shared" si="115"/>
        <v>0</v>
      </c>
      <c r="PI12" s="210">
        <f t="shared" si="115"/>
        <v>0</v>
      </c>
      <c r="PJ12" s="210">
        <f t="shared" si="115"/>
        <v>0</v>
      </c>
      <c r="PK12" s="210">
        <f t="shared" si="115"/>
        <v>0</v>
      </c>
      <c r="PL12" s="210">
        <f t="shared" si="115"/>
        <v>0</v>
      </c>
      <c r="PM12" s="195"/>
      <c r="PN12" s="195"/>
      <c r="PO12" s="212">
        <f t="shared" si="187"/>
        <v>0</v>
      </c>
      <c r="PP12" s="212">
        <f t="shared" si="188"/>
        <v>0</v>
      </c>
      <c r="PQ12" s="212">
        <f t="shared" si="189"/>
        <v>0</v>
      </c>
    </row>
    <row r="13" spans="1:433 16383:16383" ht="16" x14ac:dyDescent="0.2">
      <c r="A13" s="213">
        <f t="shared" ref="A13" si="192">A12+1</f>
        <v>5</v>
      </c>
      <c r="B13" s="186" t="s">
        <v>94</v>
      </c>
      <c r="C13" s="186">
        <v>5</v>
      </c>
      <c r="D13" s="188">
        <v>1</v>
      </c>
      <c r="E13" s="188">
        <v>148</v>
      </c>
      <c r="F13" s="188">
        <v>1</v>
      </c>
      <c r="G13" s="188">
        <f t="shared" si="116"/>
        <v>148</v>
      </c>
      <c r="H13" s="214">
        <f t="shared" si="2"/>
        <v>1</v>
      </c>
      <c r="I13" s="214">
        <f t="shared" si="3"/>
        <v>1</v>
      </c>
      <c r="J13" s="188">
        <v>1</v>
      </c>
      <c r="K13" s="188">
        <f t="shared" si="4"/>
        <v>148</v>
      </c>
      <c r="L13" s="214">
        <f t="shared" si="5"/>
        <v>1</v>
      </c>
      <c r="M13" s="214">
        <f t="shared" si="6"/>
        <v>1</v>
      </c>
      <c r="N13" s="188">
        <v>1</v>
      </c>
      <c r="O13" s="188">
        <f t="shared" si="7"/>
        <v>148</v>
      </c>
      <c r="P13" s="214">
        <f t="shared" si="8"/>
        <v>1</v>
      </c>
      <c r="Q13" s="214">
        <f t="shared" si="9"/>
        <v>1</v>
      </c>
      <c r="R13" s="188">
        <v>1</v>
      </c>
      <c r="S13" s="188">
        <f t="shared" si="117"/>
        <v>148</v>
      </c>
      <c r="T13" s="214">
        <f t="shared" si="118"/>
        <v>1</v>
      </c>
      <c r="U13" s="214">
        <f t="shared" si="119"/>
        <v>1</v>
      </c>
      <c r="V13" s="188"/>
      <c r="W13" s="188">
        <f t="shared" si="10"/>
        <v>0</v>
      </c>
      <c r="X13" s="214">
        <f t="shared" si="11"/>
        <v>0</v>
      </c>
      <c r="Y13" s="214">
        <f t="shared" si="12"/>
        <v>0</v>
      </c>
      <c r="Z13" s="224"/>
      <c r="AA13" s="188">
        <v>1</v>
      </c>
      <c r="AB13" s="189">
        <f t="shared" si="120"/>
        <v>148</v>
      </c>
      <c r="AC13" s="250">
        <f t="shared" si="121"/>
        <v>1</v>
      </c>
      <c r="AD13" s="250">
        <f t="shared" si="122"/>
        <v>1</v>
      </c>
      <c r="AE13" s="224">
        <f>1712820000/1000000000</f>
        <v>1.71282</v>
      </c>
      <c r="AF13" s="188">
        <f t="shared" si="15"/>
        <v>1</v>
      </c>
      <c r="AG13" s="188" t="s">
        <v>343</v>
      </c>
      <c r="AH13" s="188" t="s">
        <v>303</v>
      </c>
      <c r="AI13" s="188">
        <v>0</v>
      </c>
      <c r="AJ13" s="188">
        <f t="shared" si="16"/>
        <v>0</v>
      </c>
      <c r="AK13" s="188"/>
      <c r="AL13" s="188">
        <v>0</v>
      </c>
      <c r="AM13" s="188">
        <v>0</v>
      </c>
      <c r="AN13" s="217"/>
      <c r="AO13" s="196">
        <f t="shared" si="123"/>
        <v>0</v>
      </c>
      <c r="AP13" s="195"/>
      <c r="AQ13" s="195"/>
      <c r="AR13" s="195"/>
      <c r="AS13" s="195"/>
      <c r="AT13" s="195"/>
      <c r="AU13" s="195"/>
      <c r="AV13" s="195"/>
      <c r="AW13" s="195"/>
      <c r="AX13" s="195"/>
      <c r="AY13" s="195"/>
      <c r="AZ13" s="195"/>
      <c r="BA13" s="195"/>
      <c r="BB13" s="188">
        <f t="shared" si="17"/>
        <v>0</v>
      </c>
      <c r="BC13" s="195"/>
      <c r="BD13" s="196"/>
      <c r="BE13" s="188">
        <f t="shared" si="18"/>
        <v>148</v>
      </c>
      <c r="BF13" s="188">
        <f t="shared" si="19"/>
        <v>0</v>
      </c>
      <c r="BG13" s="188">
        <f t="shared" si="20"/>
        <v>0</v>
      </c>
      <c r="BH13" s="188">
        <f t="shared" si="21"/>
        <v>148</v>
      </c>
      <c r="BI13" s="188">
        <f t="shared" si="22"/>
        <v>0</v>
      </c>
      <c r="BJ13" s="188">
        <f t="shared" si="23"/>
        <v>0</v>
      </c>
      <c r="BK13" s="188">
        <f t="shared" si="124"/>
        <v>148</v>
      </c>
      <c r="BL13" s="195"/>
      <c r="BM13" s="195"/>
      <c r="BN13" s="143"/>
      <c r="BO13" s="277"/>
      <c r="BP13" s="188"/>
      <c r="BQ13" s="188"/>
      <c r="BR13" s="188"/>
      <c r="BS13" s="188"/>
      <c r="BT13" s="188"/>
      <c r="BU13" s="188"/>
      <c r="BV13" s="188"/>
      <c r="BW13" s="188"/>
      <c r="BX13" s="188"/>
      <c r="BY13" s="188"/>
      <c r="BZ13" s="188"/>
      <c r="CA13" s="195"/>
      <c r="CB13" s="189">
        <v>0</v>
      </c>
      <c r="CC13" s="195"/>
      <c r="CD13" s="189">
        <f t="shared" si="125"/>
        <v>0</v>
      </c>
      <c r="CE13" s="189">
        <f t="shared" si="191"/>
        <v>0</v>
      </c>
      <c r="CF13" s="189">
        <f t="shared" si="126"/>
        <v>0</v>
      </c>
      <c r="CG13" s="189">
        <f t="shared" si="127"/>
        <v>0</v>
      </c>
      <c r="CH13" s="189">
        <f t="shared" si="128"/>
        <v>0</v>
      </c>
      <c r="CI13" s="189">
        <f t="shared" si="129"/>
        <v>0</v>
      </c>
      <c r="CJ13" s="189">
        <f t="shared" si="130"/>
        <v>0</v>
      </c>
      <c r="CK13" s="189">
        <f t="shared" si="131"/>
        <v>0</v>
      </c>
      <c r="CL13" s="189">
        <f t="shared" si="132"/>
        <v>0</v>
      </c>
      <c r="CM13" s="189">
        <f t="shared" si="133"/>
        <v>0</v>
      </c>
      <c r="CN13" s="189">
        <f t="shared" si="134"/>
        <v>0</v>
      </c>
      <c r="CO13" s="189">
        <f t="shared" si="135"/>
        <v>0</v>
      </c>
      <c r="CP13" s="189">
        <f t="shared" si="136"/>
        <v>0</v>
      </c>
      <c r="CQ13" s="195"/>
      <c r="CR13" s="195"/>
      <c r="CS13" s="195"/>
      <c r="CT13" s="195"/>
      <c r="CU13" s="195"/>
      <c r="CV13" s="195"/>
      <c r="CW13" s="195"/>
      <c r="CX13" s="195"/>
      <c r="CY13" s="195"/>
      <c r="CZ13" s="195"/>
      <c r="DA13" s="195"/>
      <c r="DB13" s="195"/>
      <c r="DC13" s="195"/>
      <c r="DD13" s="195"/>
      <c r="DE13" s="195"/>
      <c r="DF13" s="195"/>
      <c r="DG13" s="195"/>
      <c r="DH13" s="195"/>
      <c r="DI13" s="195"/>
      <c r="DJ13" s="195"/>
      <c r="DK13" s="195"/>
      <c r="DL13" s="195"/>
      <c r="DM13" s="195"/>
      <c r="DN13" s="195"/>
      <c r="DO13" s="195"/>
      <c r="DP13" s="195"/>
      <c r="DQ13" s="195"/>
      <c r="DR13" s="195"/>
      <c r="DS13" s="195"/>
      <c r="DT13" s="195"/>
      <c r="DU13" s="195"/>
      <c r="DV13" s="189">
        <f t="shared" si="26"/>
        <v>0</v>
      </c>
      <c r="DW13" s="189">
        <f t="shared" si="27"/>
        <v>0</v>
      </c>
      <c r="DX13" s="189">
        <f t="shared" si="28"/>
        <v>0</v>
      </c>
      <c r="DY13" s="189">
        <f t="shared" si="29"/>
        <v>0</v>
      </c>
      <c r="DZ13" s="189">
        <f t="shared" si="30"/>
        <v>0</v>
      </c>
      <c r="EA13" s="189">
        <f t="shared" si="31"/>
        <v>0</v>
      </c>
      <c r="EB13" s="189">
        <f t="shared" si="137"/>
        <v>0</v>
      </c>
      <c r="EC13" s="195"/>
      <c r="ED13" s="197" t="s">
        <v>300</v>
      </c>
      <c r="EE13" s="197" t="s">
        <v>373</v>
      </c>
      <c r="EF13" s="219"/>
      <c r="EG13" s="252" t="str">
        <f t="shared" si="138"/>
        <v>C</v>
      </c>
      <c r="EH13" s="252">
        <f t="shared" si="139"/>
        <v>0</v>
      </c>
      <c r="EI13" s="189">
        <v>1</v>
      </c>
      <c r="EJ13" s="189">
        <v>1</v>
      </c>
      <c r="EK13" s="189"/>
      <c r="EL13" s="189"/>
      <c r="EM13" s="189"/>
      <c r="EN13" s="189"/>
      <c r="EO13" s="189"/>
      <c r="EP13" s="189"/>
      <c r="EQ13" s="189">
        <v>1</v>
      </c>
      <c r="ER13" s="189">
        <v>1</v>
      </c>
      <c r="ES13" s="189">
        <v>1</v>
      </c>
      <c r="ET13" s="189"/>
      <c r="EU13" s="189"/>
      <c r="EV13" s="189">
        <v>1</v>
      </c>
      <c r="EW13" s="189"/>
      <c r="EX13" s="189"/>
      <c r="EY13" s="189"/>
      <c r="EZ13" s="189">
        <v>1</v>
      </c>
      <c r="FA13" s="189">
        <v>1</v>
      </c>
      <c r="FB13" s="189">
        <v>1</v>
      </c>
      <c r="FC13" s="189">
        <v>1</v>
      </c>
      <c r="FD13" s="189"/>
      <c r="FE13" s="189"/>
      <c r="FF13" s="189"/>
      <c r="FG13" s="195"/>
      <c r="FH13" s="189"/>
      <c r="FI13" s="189"/>
      <c r="FJ13" s="189"/>
      <c r="FK13" s="189"/>
      <c r="FL13" s="189"/>
      <c r="FM13" s="189"/>
      <c r="FN13" s="189"/>
      <c r="FO13" s="189"/>
      <c r="FP13" s="189"/>
      <c r="FQ13" s="189"/>
      <c r="FR13" s="189"/>
      <c r="FS13" s="189"/>
      <c r="FT13" s="189"/>
      <c r="FU13" s="189"/>
      <c r="FV13" s="189"/>
      <c r="FW13" s="195"/>
      <c r="FX13" s="253"/>
      <c r="FY13" s="189">
        <f t="shared" si="140"/>
        <v>0</v>
      </c>
      <c r="FZ13" s="189">
        <f t="shared" si="33"/>
        <v>0</v>
      </c>
      <c r="GA13" s="189">
        <f t="shared" si="34"/>
        <v>0</v>
      </c>
      <c r="GB13" s="189">
        <f t="shared" si="35"/>
        <v>0</v>
      </c>
      <c r="GC13" s="189">
        <f t="shared" si="36"/>
        <v>0</v>
      </c>
      <c r="GD13" s="189">
        <f t="shared" si="37"/>
        <v>0</v>
      </c>
      <c r="GE13" s="189">
        <f t="shared" si="38"/>
        <v>0</v>
      </c>
      <c r="GF13" s="199"/>
      <c r="GG13" s="189">
        <v>0</v>
      </c>
      <c r="GH13" s="189">
        <v>0</v>
      </c>
      <c r="GI13" s="199"/>
      <c r="GJ13" s="200">
        <f t="shared" si="141"/>
        <v>0</v>
      </c>
      <c r="GK13" s="200">
        <f t="shared" si="142"/>
        <v>0</v>
      </c>
      <c r="GL13" s="195"/>
      <c r="GM13" s="195"/>
      <c r="GN13" s="195"/>
      <c r="GO13" s="189">
        <f t="shared" si="39"/>
        <v>0</v>
      </c>
      <c r="GP13" s="189">
        <f t="shared" si="40"/>
        <v>0</v>
      </c>
      <c r="GQ13" s="189">
        <f t="shared" si="41"/>
        <v>0</v>
      </c>
      <c r="GR13" s="189">
        <f t="shared" si="42"/>
        <v>0</v>
      </c>
      <c r="GS13" s="189">
        <f t="shared" si="43"/>
        <v>1</v>
      </c>
      <c r="GT13" s="189">
        <f t="shared" si="143"/>
        <v>0</v>
      </c>
      <c r="GU13" s="201">
        <f t="shared" si="144"/>
        <v>43243</v>
      </c>
      <c r="GV13" s="189" t="str">
        <f t="shared" si="145"/>
        <v>UGR</v>
      </c>
      <c r="GW13" s="189">
        <f t="shared" si="146"/>
        <v>1</v>
      </c>
      <c r="GX13" s="202" t="str">
        <f t="shared" si="147"/>
        <v>UGR</v>
      </c>
      <c r="GY13" s="202">
        <f t="shared" si="148"/>
        <v>14</v>
      </c>
      <c r="GZ13" s="203">
        <f t="shared" si="149"/>
        <v>43257</v>
      </c>
      <c r="HA13" s="204"/>
      <c r="HB13" s="204"/>
      <c r="HC13" s="189">
        <f t="shared" si="44"/>
        <v>1</v>
      </c>
      <c r="HD13" s="189">
        <f t="shared" si="45"/>
        <v>0</v>
      </c>
      <c r="HE13" s="189">
        <f t="shared" si="150"/>
        <v>1</v>
      </c>
      <c r="HF13" s="189">
        <f t="shared" si="151"/>
        <v>0</v>
      </c>
      <c r="HG13" s="189">
        <f t="shared" si="152"/>
        <v>1</v>
      </c>
      <c r="HH13" s="201">
        <f t="shared" si="46"/>
        <v>43288</v>
      </c>
      <c r="HI13" s="201">
        <f t="shared" si="153"/>
        <v>43302</v>
      </c>
      <c r="HJ13" s="205"/>
      <c r="HK13" s="201">
        <f t="shared" si="47"/>
        <v>43302</v>
      </c>
      <c r="HL13" s="204"/>
      <c r="HM13" s="204"/>
      <c r="HN13" s="204"/>
      <c r="HO13" s="204"/>
      <c r="HP13" s="203">
        <f t="shared" si="154"/>
        <v>0</v>
      </c>
      <c r="HQ13" s="202">
        <f t="shared" si="155"/>
        <v>0</v>
      </c>
      <c r="HR13" s="202">
        <f t="shared" si="48"/>
        <v>0</v>
      </c>
      <c r="HS13" s="203">
        <f t="shared" si="156"/>
        <v>43288</v>
      </c>
      <c r="HT13" s="202">
        <f t="shared" si="157"/>
        <v>1</v>
      </c>
      <c r="HU13" s="202">
        <f t="shared" si="49"/>
        <v>148</v>
      </c>
      <c r="HV13" s="203">
        <f t="shared" si="158"/>
        <v>0</v>
      </c>
      <c r="HW13" s="202">
        <f t="shared" si="50"/>
        <v>0</v>
      </c>
      <c r="HX13" s="202">
        <f t="shared" si="51"/>
        <v>0</v>
      </c>
      <c r="HY13" s="203">
        <f t="shared" si="52"/>
        <v>0</v>
      </c>
      <c r="HZ13" s="202">
        <f t="shared" si="159"/>
        <v>0</v>
      </c>
      <c r="IA13" s="202">
        <f t="shared" si="53"/>
        <v>0</v>
      </c>
      <c r="IB13" s="203">
        <f t="shared" si="160"/>
        <v>0</v>
      </c>
      <c r="IC13" s="202">
        <f t="shared" si="54"/>
        <v>0</v>
      </c>
      <c r="ID13" s="202">
        <f t="shared" si="55"/>
        <v>0</v>
      </c>
      <c r="IE13" s="203">
        <f t="shared" si="56"/>
        <v>0</v>
      </c>
      <c r="IF13" s="202">
        <f t="shared" si="57"/>
        <v>0</v>
      </c>
      <c r="IG13" s="202">
        <f t="shared" si="58"/>
        <v>0</v>
      </c>
      <c r="IH13" s="203">
        <f t="shared" si="161"/>
        <v>0</v>
      </c>
      <c r="II13" s="202">
        <f t="shared" si="162"/>
        <v>0</v>
      </c>
      <c r="IJ13" s="202">
        <f t="shared" si="59"/>
        <v>0</v>
      </c>
      <c r="IK13" s="203">
        <f t="shared" si="60"/>
        <v>0</v>
      </c>
      <c r="IL13" s="202">
        <f t="shared" si="61"/>
        <v>0</v>
      </c>
      <c r="IM13" s="202">
        <f t="shared" si="62"/>
        <v>0</v>
      </c>
      <c r="IN13" s="204"/>
      <c r="IO13" s="203">
        <f t="shared" si="63"/>
        <v>0</v>
      </c>
      <c r="IP13" s="202">
        <f t="shared" si="64"/>
        <v>0</v>
      </c>
      <c r="IQ13" s="202">
        <f t="shared" si="65"/>
        <v>0</v>
      </c>
      <c r="IR13" s="204"/>
      <c r="IS13" s="203"/>
      <c r="IT13" s="202">
        <f t="shared" si="66"/>
        <v>0</v>
      </c>
      <c r="IU13" s="202">
        <f t="shared" si="67"/>
        <v>0</v>
      </c>
      <c r="IV13" s="204"/>
      <c r="IW13" s="203"/>
      <c r="IX13" s="202">
        <f t="shared" si="68"/>
        <v>1</v>
      </c>
      <c r="IY13" s="202">
        <f t="shared" si="69"/>
        <v>148</v>
      </c>
      <c r="IZ13" s="204"/>
      <c r="JA13" s="203"/>
      <c r="JB13" s="202">
        <f t="shared" si="70"/>
        <v>0</v>
      </c>
      <c r="JC13" s="202">
        <f t="shared" si="71"/>
        <v>0</v>
      </c>
      <c r="JD13" s="204"/>
      <c r="JE13" s="203"/>
      <c r="JF13" s="202">
        <f t="shared" si="163"/>
        <v>2</v>
      </c>
      <c r="JG13" s="202">
        <f t="shared" si="72"/>
        <v>296</v>
      </c>
      <c r="JH13" s="204"/>
      <c r="JI13" s="203"/>
      <c r="JJ13" s="202">
        <f t="shared" si="73"/>
        <v>1</v>
      </c>
      <c r="JK13" s="202">
        <f t="shared" si="74"/>
        <v>148</v>
      </c>
      <c r="JL13" s="195"/>
      <c r="JM13" s="203">
        <f t="shared" si="164"/>
        <v>43288</v>
      </c>
      <c r="JN13" s="195"/>
      <c r="JO13" s="196">
        <f t="shared" si="75"/>
        <v>0</v>
      </c>
      <c r="JP13" s="206">
        <f t="shared" si="76"/>
        <v>0</v>
      </c>
      <c r="JQ13" s="206">
        <f t="shared" si="77"/>
        <v>0</v>
      </c>
      <c r="JR13" s="206">
        <f t="shared" si="78"/>
        <v>0</v>
      </c>
      <c r="JS13" s="206">
        <f t="shared" si="79"/>
        <v>0</v>
      </c>
      <c r="JT13" s="206">
        <f t="shared" si="80"/>
        <v>0</v>
      </c>
      <c r="JU13" s="206">
        <f t="shared" si="81"/>
        <v>0</v>
      </c>
      <c r="JV13" s="206">
        <f t="shared" si="82"/>
        <v>0</v>
      </c>
      <c r="JW13" s="206">
        <f t="shared" si="83"/>
        <v>0</v>
      </c>
      <c r="JX13" s="206">
        <f t="shared" si="84"/>
        <v>0</v>
      </c>
      <c r="JY13" s="206">
        <f t="shared" si="85"/>
        <v>0</v>
      </c>
      <c r="JZ13" s="206">
        <f t="shared" si="86"/>
        <v>0</v>
      </c>
      <c r="KA13" s="206">
        <f t="shared" si="87"/>
        <v>0</v>
      </c>
      <c r="KB13" s="206">
        <f t="shared" si="88"/>
        <v>0</v>
      </c>
      <c r="KC13" s="195"/>
      <c r="KD13" s="206">
        <f t="shared" si="165"/>
        <v>0</v>
      </c>
      <c r="KE13" s="206">
        <f t="shared" si="90"/>
        <v>0</v>
      </c>
      <c r="KF13" s="206">
        <f t="shared" si="91"/>
        <v>0</v>
      </c>
      <c r="KG13" s="206">
        <f t="shared" si="92"/>
        <v>0</v>
      </c>
      <c r="KH13" s="206">
        <f t="shared" si="93"/>
        <v>0</v>
      </c>
      <c r="KI13" s="206">
        <f t="shared" si="94"/>
        <v>0</v>
      </c>
      <c r="KJ13" s="206">
        <f t="shared" si="95"/>
        <v>0</v>
      </c>
      <c r="KK13" s="206">
        <f t="shared" si="96"/>
        <v>0</v>
      </c>
      <c r="KL13" s="206">
        <f t="shared" si="97"/>
        <v>0</v>
      </c>
      <c r="KM13" s="206">
        <f t="shared" si="98"/>
        <v>0</v>
      </c>
      <c r="KN13" s="221">
        <f t="shared" si="99"/>
        <v>0</v>
      </c>
      <c r="KO13" s="221">
        <f t="shared" si="100"/>
        <v>0</v>
      </c>
      <c r="KP13" s="221">
        <f t="shared" si="101"/>
        <v>0</v>
      </c>
      <c r="KQ13" s="221">
        <f t="shared" si="102"/>
        <v>0</v>
      </c>
      <c r="KR13" s="221">
        <f t="shared" si="103"/>
        <v>0</v>
      </c>
      <c r="KS13" s="195"/>
      <c r="KT13" s="195">
        <f t="shared" si="104"/>
        <v>0</v>
      </c>
      <c r="KU13" s="221"/>
      <c r="KV13" s="221"/>
      <c r="KW13" s="221"/>
      <c r="KX13" s="221"/>
      <c r="KY13" s="221"/>
      <c r="KZ13" s="221"/>
      <c r="LA13" s="221"/>
      <c r="LB13" s="221"/>
      <c r="LC13" s="221"/>
      <c r="LD13" s="221"/>
      <c r="LE13" s="221"/>
      <c r="LF13" s="221"/>
      <c r="LG13" s="221"/>
      <c r="LH13" s="221"/>
      <c r="LI13" s="221"/>
      <c r="LJ13" s="221"/>
      <c r="LK13" s="221"/>
      <c r="LL13" s="221"/>
      <c r="LM13" s="221"/>
      <c r="LN13" s="221"/>
      <c r="LO13" s="221"/>
      <c r="LP13" s="221"/>
      <c r="LQ13" s="221"/>
      <c r="LR13" s="221"/>
      <c r="LS13" s="221"/>
      <c r="LT13" s="221"/>
      <c r="LU13" s="221"/>
      <c r="LV13" s="221"/>
      <c r="LW13" s="221"/>
      <c r="LX13" s="221"/>
      <c r="LY13" s="221"/>
      <c r="LZ13" s="221"/>
      <c r="MA13" s="221"/>
      <c r="MB13" s="221"/>
      <c r="MC13" s="221"/>
      <c r="MD13" s="221"/>
      <c r="ME13" s="221"/>
      <c r="MF13" s="221"/>
      <c r="MG13" s="221"/>
      <c r="MH13" s="221"/>
      <c r="MI13" s="221"/>
      <c r="MJ13" s="221"/>
      <c r="MK13" s="221"/>
      <c r="ML13" s="221"/>
      <c r="MM13" s="221"/>
      <c r="MN13" s="221"/>
      <c r="MO13" s="221"/>
      <c r="MP13" s="221"/>
      <c r="MQ13" s="221"/>
      <c r="MR13" s="221"/>
      <c r="MS13" s="221"/>
      <c r="MT13" s="221"/>
      <c r="MU13" s="221"/>
      <c r="MV13" s="221"/>
      <c r="MW13" s="221"/>
      <c r="MX13" s="221"/>
      <c r="MY13" s="221"/>
      <c r="MZ13" s="221"/>
      <c r="NA13" s="221"/>
      <c r="NB13" s="221"/>
      <c r="NC13" s="221"/>
      <c r="ND13" s="221"/>
      <c r="NE13" s="221"/>
      <c r="NF13" s="221"/>
      <c r="NG13" s="221"/>
      <c r="NH13" s="221"/>
      <c r="NI13" s="221"/>
      <c r="NJ13" s="221"/>
      <c r="NK13" s="221"/>
      <c r="NL13" s="195"/>
      <c r="NM13" s="195">
        <f t="shared" si="166"/>
        <v>0</v>
      </c>
      <c r="NN13" s="195">
        <f t="shared" si="167"/>
        <v>0</v>
      </c>
      <c r="NO13" s="195">
        <f t="shared" si="168"/>
        <v>0</v>
      </c>
      <c r="NP13" s="195">
        <f t="shared" si="169"/>
        <v>0</v>
      </c>
      <c r="NQ13" s="195">
        <f t="shared" si="170"/>
        <v>0</v>
      </c>
      <c r="NR13" s="195">
        <f t="shared" si="171"/>
        <v>0</v>
      </c>
      <c r="NS13" s="195">
        <f t="shared" si="172"/>
        <v>0</v>
      </c>
      <c r="NT13" s="195">
        <f t="shared" si="173"/>
        <v>0</v>
      </c>
      <c r="NU13" s="196">
        <f t="shared" si="174"/>
        <v>0</v>
      </c>
      <c r="NV13" s="195"/>
      <c r="NW13" s="195"/>
      <c r="NX13" s="195"/>
      <c r="NY13" s="196">
        <f t="shared" si="106"/>
        <v>0</v>
      </c>
      <c r="NZ13" s="222">
        <v>8500000</v>
      </c>
      <c r="OA13" s="195">
        <f>1258/148</f>
        <v>8.5</v>
      </c>
      <c r="OB13" s="195"/>
      <c r="OC13" s="195"/>
      <c r="OD13" s="195"/>
      <c r="OE13" s="207">
        <f t="shared" si="107"/>
        <v>0</v>
      </c>
      <c r="OF13" s="207">
        <f t="shared" si="108"/>
        <v>0</v>
      </c>
      <c r="OG13" s="207">
        <f t="shared" si="109"/>
        <v>0</v>
      </c>
      <c r="OH13" s="207">
        <f t="shared" si="175"/>
        <v>1</v>
      </c>
      <c r="OI13" s="207">
        <f t="shared" si="110"/>
        <v>0</v>
      </c>
      <c r="OJ13" s="199">
        <f t="shared" si="176"/>
        <v>0</v>
      </c>
      <c r="OK13" s="199">
        <f t="shared" si="177"/>
        <v>0</v>
      </c>
      <c r="OL13" s="199">
        <f t="shared" si="178"/>
        <v>0</v>
      </c>
      <c r="OM13" s="199">
        <f t="shared" si="179"/>
        <v>0</v>
      </c>
      <c r="ON13" s="195"/>
      <c r="OO13" s="207">
        <f t="shared" si="111"/>
        <v>0</v>
      </c>
      <c r="OP13" s="207">
        <f t="shared" si="112"/>
        <v>0</v>
      </c>
      <c r="OQ13" s="207">
        <f t="shared" si="180"/>
        <v>0</v>
      </c>
      <c r="OR13" s="207">
        <f t="shared" si="181"/>
        <v>1</v>
      </c>
      <c r="OS13" s="207">
        <f t="shared" si="182"/>
        <v>0</v>
      </c>
      <c r="OT13" s="199">
        <f t="shared" si="183"/>
        <v>0</v>
      </c>
      <c r="OU13" s="199">
        <f t="shared" si="184"/>
        <v>0</v>
      </c>
      <c r="OV13" s="199">
        <f t="shared" si="185"/>
        <v>0</v>
      </c>
      <c r="OW13" s="199">
        <f t="shared" si="186"/>
        <v>0</v>
      </c>
      <c r="OX13" s="195"/>
      <c r="OY13" s="195"/>
      <c r="OZ13" s="195"/>
      <c r="PA13" s="209"/>
      <c r="PB13" s="209"/>
      <c r="PC13" s="209"/>
      <c r="PD13" s="210">
        <f t="shared" si="113"/>
        <v>0</v>
      </c>
      <c r="PE13" s="210"/>
      <c r="PF13" s="210">
        <f t="shared" si="114"/>
        <v>0</v>
      </c>
      <c r="PG13" s="210">
        <f t="shared" si="115"/>
        <v>0</v>
      </c>
      <c r="PH13" s="210">
        <f t="shared" si="115"/>
        <v>0</v>
      </c>
      <c r="PI13" s="210">
        <f t="shared" si="115"/>
        <v>0</v>
      </c>
      <c r="PJ13" s="210">
        <f t="shared" si="115"/>
        <v>0</v>
      </c>
      <c r="PK13" s="210">
        <f t="shared" si="115"/>
        <v>0</v>
      </c>
      <c r="PL13" s="210">
        <f t="shared" si="115"/>
        <v>0</v>
      </c>
      <c r="PM13" s="195"/>
      <c r="PN13" s="195"/>
      <c r="PO13" s="212">
        <f t="shared" si="187"/>
        <v>148</v>
      </c>
      <c r="PP13" s="212">
        <f t="shared" si="188"/>
        <v>0</v>
      </c>
      <c r="PQ13" s="212">
        <f t="shared" si="189"/>
        <v>0</v>
      </c>
    </row>
    <row r="14" spans="1:433 16383:16383" ht="16" x14ac:dyDescent="0.2">
      <c r="A14" s="213">
        <f t="shared" si="190"/>
        <v>6</v>
      </c>
      <c r="B14" s="186" t="s">
        <v>94</v>
      </c>
      <c r="C14" s="186">
        <v>6</v>
      </c>
      <c r="D14" s="188">
        <v>1</v>
      </c>
      <c r="E14" s="188">
        <v>66</v>
      </c>
      <c r="F14" s="188">
        <v>1</v>
      </c>
      <c r="G14" s="188">
        <f t="shared" si="116"/>
        <v>66</v>
      </c>
      <c r="H14" s="214">
        <f t="shared" si="2"/>
        <v>1</v>
      </c>
      <c r="I14" s="214">
        <f t="shared" si="3"/>
        <v>1</v>
      </c>
      <c r="J14" s="188">
        <v>1</v>
      </c>
      <c r="K14" s="188">
        <f t="shared" si="4"/>
        <v>66</v>
      </c>
      <c r="L14" s="214">
        <f t="shared" si="5"/>
        <v>1</v>
      </c>
      <c r="M14" s="214">
        <f t="shared" si="6"/>
        <v>1</v>
      </c>
      <c r="N14" s="188">
        <v>1</v>
      </c>
      <c r="O14" s="188">
        <f t="shared" si="7"/>
        <v>66</v>
      </c>
      <c r="P14" s="214">
        <f t="shared" si="8"/>
        <v>1</v>
      </c>
      <c r="Q14" s="214">
        <f t="shared" si="9"/>
        <v>1</v>
      </c>
      <c r="R14" s="188">
        <v>1</v>
      </c>
      <c r="S14" s="188">
        <f t="shared" si="117"/>
        <v>66</v>
      </c>
      <c r="T14" s="214">
        <f t="shared" si="118"/>
        <v>1</v>
      </c>
      <c r="U14" s="214">
        <f t="shared" si="119"/>
        <v>1</v>
      </c>
      <c r="V14" s="188">
        <v>1</v>
      </c>
      <c r="W14" s="188">
        <f t="shared" si="10"/>
        <v>66</v>
      </c>
      <c r="X14" s="214">
        <f t="shared" si="11"/>
        <v>1</v>
      </c>
      <c r="Y14" s="214">
        <f t="shared" si="12"/>
        <v>1</v>
      </c>
      <c r="Z14" s="224">
        <f>1174853000/1000000000</f>
        <v>1.1748529999999999</v>
      </c>
      <c r="AA14" s="188"/>
      <c r="AB14" s="189">
        <f t="shared" si="120"/>
        <v>0</v>
      </c>
      <c r="AC14" s="250">
        <f t="shared" si="121"/>
        <v>0</v>
      </c>
      <c r="AD14" s="250">
        <f t="shared" si="122"/>
        <v>0</v>
      </c>
      <c r="AE14" s="188"/>
      <c r="AF14" s="188">
        <f t="shared" si="15"/>
        <v>0</v>
      </c>
      <c r="AG14" s="188"/>
      <c r="AH14" s="187"/>
      <c r="AI14" s="188">
        <v>0</v>
      </c>
      <c r="AJ14" s="188">
        <f t="shared" si="16"/>
        <v>0</v>
      </c>
      <c r="AK14" s="188"/>
      <c r="AL14" s="188">
        <v>0</v>
      </c>
      <c r="AM14" s="188">
        <v>0</v>
      </c>
      <c r="AN14" s="217"/>
      <c r="AO14" s="196">
        <f t="shared" si="123"/>
        <v>0</v>
      </c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5"/>
      <c r="BB14" s="188">
        <f t="shared" si="17"/>
        <v>0</v>
      </c>
      <c r="BC14" s="195"/>
      <c r="BD14" s="196"/>
      <c r="BE14" s="188">
        <f t="shared" si="18"/>
        <v>0</v>
      </c>
      <c r="BF14" s="188">
        <f t="shared" si="19"/>
        <v>0</v>
      </c>
      <c r="BG14" s="188">
        <f t="shared" si="20"/>
        <v>0</v>
      </c>
      <c r="BH14" s="188">
        <f t="shared" si="21"/>
        <v>0</v>
      </c>
      <c r="BI14" s="188">
        <f t="shared" si="22"/>
        <v>0</v>
      </c>
      <c r="BJ14" s="188">
        <f t="shared" si="23"/>
        <v>0</v>
      </c>
      <c r="BK14" s="188">
        <f t="shared" si="124"/>
        <v>0</v>
      </c>
      <c r="BL14" s="195"/>
      <c r="BM14" s="195"/>
      <c r="BN14" s="143"/>
      <c r="BO14" s="277"/>
      <c r="BP14" s="188"/>
      <c r="BQ14" s="188"/>
      <c r="BR14" s="188"/>
      <c r="BS14" s="188"/>
      <c r="BT14" s="188"/>
      <c r="BU14" s="188"/>
      <c r="BV14" s="188"/>
      <c r="BW14" s="188"/>
      <c r="BX14" s="188"/>
      <c r="BY14" s="188"/>
      <c r="BZ14" s="188"/>
      <c r="CA14" s="195"/>
      <c r="CB14" s="189">
        <v>0</v>
      </c>
      <c r="CC14" s="195"/>
      <c r="CD14" s="189">
        <f t="shared" si="125"/>
        <v>0</v>
      </c>
      <c r="CE14" s="189">
        <f t="shared" si="191"/>
        <v>0</v>
      </c>
      <c r="CF14" s="189">
        <f t="shared" si="126"/>
        <v>0</v>
      </c>
      <c r="CG14" s="189">
        <f t="shared" si="127"/>
        <v>0</v>
      </c>
      <c r="CH14" s="189">
        <f t="shared" si="128"/>
        <v>0</v>
      </c>
      <c r="CI14" s="189">
        <f t="shared" si="129"/>
        <v>0</v>
      </c>
      <c r="CJ14" s="189">
        <f t="shared" si="130"/>
        <v>0</v>
      </c>
      <c r="CK14" s="189">
        <f t="shared" si="131"/>
        <v>0</v>
      </c>
      <c r="CL14" s="189">
        <f t="shared" si="132"/>
        <v>0</v>
      </c>
      <c r="CM14" s="189">
        <f t="shared" si="133"/>
        <v>0</v>
      </c>
      <c r="CN14" s="189">
        <f t="shared" si="134"/>
        <v>0</v>
      </c>
      <c r="CO14" s="189">
        <f t="shared" si="135"/>
        <v>0</v>
      </c>
      <c r="CP14" s="189">
        <f t="shared" si="136"/>
        <v>0</v>
      </c>
      <c r="CQ14" s="195"/>
      <c r="CR14" s="195"/>
      <c r="CS14" s="195"/>
      <c r="CT14" s="195"/>
      <c r="CU14" s="195"/>
      <c r="CV14" s="195"/>
      <c r="CW14" s="195"/>
      <c r="CX14" s="195"/>
      <c r="CY14" s="195"/>
      <c r="CZ14" s="195"/>
      <c r="DA14" s="195"/>
      <c r="DB14" s="195"/>
      <c r="DC14" s="195"/>
      <c r="DD14" s="195"/>
      <c r="DE14" s="195"/>
      <c r="DF14" s="195"/>
      <c r="DG14" s="195"/>
      <c r="DH14" s="195"/>
      <c r="DI14" s="195"/>
      <c r="DJ14" s="195"/>
      <c r="DK14" s="195"/>
      <c r="DL14" s="195"/>
      <c r="DM14" s="195"/>
      <c r="DN14" s="195"/>
      <c r="DO14" s="195"/>
      <c r="DP14" s="195"/>
      <c r="DQ14" s="195"/>
      <c r="DR14" s="195"/>
      <c r="DS14" s="195"/>
      <c r="DT14" s="195"/>
      <c r="DU14" s="195"/>
      <c r="DV14" s="189">
        <f t="shared" si="26"/>
        <v>0</v>
      </c>
      <c r="DW14" s="189">
        <f t="shared" si="27"/>
        <v>0</v>
      </c>
      <c r="DX14" s="189">
        <f t="shared" si="28"/>
        <v>0</v>
      </c>
      <c r="DY14" s="189">
        <f t="shared" si="29"/>
        <v>0</v>
      </c>
      <c r="DZ14" s="189">
        <f t="shared" si="30"/>
        <v>0</v>
      </c>
      <c r="EA14" s="189">
        <f t="shared" si="31"/>
        <v>0</v>
      </c>
      <c r="EB14" s="189">
        <f t="shared" si="137"/>
        <v>0</v>
      </c>
      <c r="EC14" s="195"/>
      <c r="ED14" s="197" t="s">
        <v>301</v>
      </c>
      <c r="EE14" s="197" t="s">
        <v>374</v>
      </c>
      <c r="EF14" s="219"/>
      <c r="EG14" s="252">
        <f t="shared" si="138"/>
        <v>0</v>
      </c>
      <c r="EH14" s="252">
        <f t="shared" si="139"/>
        <v>0</v>
      </c>
      <c r="EI14" s="189"/>
      <c r="EJ14" s="189"/>
      <c r="EK14" s="189"/>
      <c r="EL14" s="189"/>
      <c r="EM14" s="189"/>
      <c r="EN14" s="189"/>
      <c r="EO14" s="189"/>
      <c r="EP14" s="189"/>
      <c r="EQ14" s="189"/>
      <c r="ER14" s="189"/>
      <c r="ES14" s="189"/>
      <c r="ET14" s="189"/>
      <c r="EU14" s="189"/>
      <c r="EV14" s="189"/>
      <c r="EW14" s="189"/>
      <c r="EX14" s="189"/>
      <c r="EY14" s="189"/>
      <c r="EZ14" s="189"/>
      <c r="FA14" s="189"/>
      <c r="FB14" s="189"/>
      <c r="FC14" s="189"/>
      <c r="FD14" s="189"/>
      <c r="FE14" s="189"/>
      <c r="FF14" s="189"/>
      <c r="FG14" s="195"/>
      <c r="FH14" s="189"/>
      <c r="FI14" s="189"/>
      <c r="FJ14" s="189"/>
      <c r="FK14" s="189"/>
      <c r="FL14" s="189"/>
      <c r="FM14" s="189"/>
      <c r="FN14" s="189"/>
      <c r="FO14" s="189"/>
      <c r="FP14" s="189"/>
      <c r="FQ14" s="189"/>
      <c r="FR14" s="189"/>
      <c r="FS14" s="189"/>
      <c r="FT14" s="189"/>
      <c r="FU14" s="189"/>
      <c r="FV14" s="189"/>
      <c r="FW14" s="195"/>
      <c r="FX14" s="253"/>
      <c r="FY14" s="189">
        <f t="shared" si="140"/>
        <v>0</v>
      </c>
      <c r="FZ14" s="189">
        <f t="shared" si="33"/>
        <v>0</v>
      </c>
      <c r="GA14" s="189">
        <f t="shared" si="34"/>
        <v>0</v>
      </c>
      <c r="GB14" s="189">
        <f t="shared" si="35"/>
        <v>0</v>
      </c>
      <c r="GC14" s="189">
        <f t="shared" si="36"/>
        <v>0</v>
      </c>
      <c r="GD14" s="189">
        <f t="shared" si="37"/>
        <v>0</v>
      </c>
      <c r="GE14" s="189">
        <f t="shared" si="38"/>
        <v>0</v>
      </c>
      <c r="GF14" s="199"/>
      <c r="GG14" s="189">
        <v>0</v>
      </c>
      <c r="GH14" s="189">
        <v>0</v>
      </c>
      <c r="GI14" s="199"/>
      <c r="GJ14" s="200">
        <f t="shared" si="141"/>
        <v>0</v>
      </c>
      <c r="GK14" s="200">
        <f t="shared" si="142"/>
        <v>0</v>
      </c>
      <c r="GL14" s="195"/>
      <c r="GM14" s="195"/>
      <c r="GN14" s="195"/>
      <c r="GO14" s="189">
        <f t="shared" si="39"/>
        <v>0</v>
      </c>
      <c r="GP14" s="189">
        <f t="shared" si="40"/>
        <v>0</v>
      </c>
      <c r="GQ14" s="189">
        <f t="shared" si="41"/>
        <v>0</v>
      </c>
      <c r="GR14" s="189">
        <f t="shared" si="42"/>
        <v>0</v>
      </c>
      <c r="GS14" s="189">
        <f t="shared" si="43"/>
        <v>0</v>
      </c>
      <c r="GT14" s="189">
        <f t="shared" si="143"/>
        <v>1</v>
      </c>
      <c r="GU14" s="201">
        <f t="shared" si="144"/>
        <v>43243</v>
      </c>
      <c r="GV14" s="189" t="str">
        <f t="shared" si="145"/>
        <v>SELESAI</v>
      </c>
      <c r="GW14" s="189">
        <f t="shared" si="146"/>
        <v>0</v>
      </c>
      <c r="GX14" s="202" t="str">
        <f t="shared" si="147"/>
        <v>SELESAI</v>
      </c>
      <c r="GY14" s="202">
        <f t="shared" si="148"/>
        <v>0</v>
      </c>
      <c r="GZ14" s="203" t="str">
        <f t="shared" si="149"/>
        <v>SELESAI</v>
      </c>
      <c r="HA14" s="204"/>
      <c r="HB14" s="204"/>
      <c r="HC14" s="189">
        <f t="shared" si="44"/>
        <v>0</v>
      </c>
      <c r="HD14" s="189">
        <f t="shared" si="45"/>
        <v>0</v>
      </c>
      <c r="HE14" s="189">
        <f t="shared" si="150"/>
        <v>0</v>
      </c>
      <c r="HF14" s="189">
        <f t="shared" si="151"/>
        <v>0</v>
      </c>
      <c r="HG14" s="189">
        <f t="shared" si="152"/>
        <v>0</v>
      </c>
      <c r="HH14" s="201" t="str">
        <f t="shared" si="46"/>
        <v>TIDAK KONSINYASI</v>
      </c>
      <c r="HI14" s="201" t="str">
        <f t="shared" si="153"/>
        <v>SELESAI</v>
      </c>
      <c r="HJ14" s="205"/>
      <c r="HK14" s="201">
        <f t="shared" si="47"/>
        <v>0</v>
      </c>
      <c r="HL14" s="204"/>
      <c r="HM14" s="204"/>
      <c r="HN14" s="204"/>
      <c r="HO14" s="204"/>
      <c r="HP14" s="203">
        <f t="shared" si="154"/>
        <v>0</v>
      </c>
      <c r="HQ14" s="202">
        <f t="shared" si="155"/>
        <v>0</v>
      </c>
      <c r="HR14" s="202">
        <f t="shared" si="48"/>
        <v>0</v>
      </c>
      <c r="HS14" s="203">
        <f t="shared" si="156"/>
        <v>0</v>
      </c>
      <c r="HT14" s="202">
        <f t="shared" si="157"/>
        <v>0</v>
      </c>
      <c r="HU14" s="202">
        <f t="shared" si="49"/>
        <v>0</v>
      </c>
      <c r="HV14" s="203">
        <f t="shared" si="158"/>
        <v>0</v>
      </c>
      <c r="HW14" s="202">
        <f t="shared" si="50"/>
        <v>0</v>
      </c>
      <c r="HX14" s="202">
        <f t="shared" si="51"/>
        <v>0</v>
      </c>
      <c r="HY14" s="203">
        <f t="shared" si="52"/>
        <v>0</v>
      </c>
      <c r="HZ14" s="202">
        <f t="shared" si="159"/>
        <v>0</v>
      </c>
      <c r="IA14" s="202">
        <f t="shared" si="53"/>
        <v>0</v>
      </c>
      <c r="IB14" s="203">
        <f t="shared" si="160"/>
        <v>0</v>
      </c>
      <c r="IC14" s="202">
        <f t="shared" si="54"/>
        <v>0</v>
      </c>
      <c r="ID14" s="202">
        <f t="shared" si="55"/>
        <v>0</v>
      </c>
      <c r="IE14" s="203">
        <f t="shared" si="56"/>
        <v>0</v>
      </c>
      <c r="IF14" s="202">
        <f t="shared" si="57"/>
        <v>0</v>
      </c>
      <c r="IG14" s="202">
        <f t="shared" si="58"/>
        <v>0</v>
      </c>
      <c r="IH14" s="203">
        <f t="shared" si="161"/>
        <v>0</v>
      </c>
      <c r="II14" s="202">
        <f t="shared" si="162"/>
        <v>0</v>
      </c>
      <c r="IJ14" s="202">
        <f t="shared" si="59"/>
        <v>0</v>
      </c>
      <c r="IK14" s="203">
        <f t="shared" si="60"/>
        <v>0</v>
      </c>
      <c r="IL14" s="202">
        <f t="shared" si="61"/>
        <v>0</v>
      </c>
      <c r="IM14" s="202">
        <f t="shared" si="62"/>
        <v>0</v>
      </c>
      <c r="IN14" s="204"/>
      <c r="IO14" s="203">
        <f t="shared" si="63"/>
        <v>0</v>
      </c>
      <c r="IP14" s="202">
        <f t="shared" si="64"/>
        <v>0</v>
      </c>
      <c r="IQ14" s="202">
        <f t="shared" si="65"/>
        <v>0</v>
      </c>
      <c r="IR14" s="204"/>
      <c r="IS14" s="203"/>
      <c r="IT14" s="202">
        <f t="shared" si="66"/>
        <v>1</v>
      </c>
      <c r="IU14" s="202">
        <f t="shared" si="67"/>
        <v>66</v>
      </c>
      <c r="IV14" s="204"/>
      <c r="IW14" s="203"/>
      <c r="IX14" s="202">
        <f t="shared" si="68"/>
        <v>0</v>
      </c>
      <c r="IY14" s="202">
        <f t="shared" si="69"/>
        <v>0</v>
      </c>
      <c r="IZ14" s="204"/>
      <c r="JA14" s="203"/>
      <c r="JB14" s="202">
        <f t="shared" si="70"/>
        <v>0</v>
      </c>
      <c r="JC14" s="202">
        <f t="shared" si="71"/>
        <v>0</v>
      </c>
      <c r="JD14" s="204"/>
      <c r="JE14" s="203"/>
      <c r="JF14" s="202">
        <f t="shared" si="163"/>
        <v>1</v>
      </c>
      <c r="JG14" s="202">
        <f t="shared" si="72"/>
        <v>66</v>
      </c>
      <c r="JH14" s="204"/>
      <c r="JI14" s="203"/>
      <c r="JJ14" s="202">
        <f t="shared" si="73"/>
        <v>0</v>
      </c>
      <c r="JK14" s="202">
        <f t="shared" si="74"/>
        <v>0</v>
      </c>
      <c r="JL14" s="195"/>
      <c r="JM14" s="203">
        <f t="shared" si="164"/>
        <v>0</v>
      </c>
      <c r="JN14" s="195"/>
      <c r="JO14" s="196">
        <f t="shared" si="75"/>
        <v>0</v>
      </c>
      <c r="JP14" s="206">
        <f t="shared" si="76"/>
        <v>0</v>
      </c>
      <c r="JQ14" s="206">
        <f t="shared" si="77"/>
        <v>0</v>
      </c>
      <c r="JR14" s="206">
        <f t="shared" si="78"/>
        <v>0</v>
      </c>
      <c r="JS14" s="206">
        <f t="shared" si="79"/>
        <v>0</v>
      </c>
      <c r="JT14" s="206">
        <f t="shared" si="80"/>
        <v>0</v>
      </c>
      <c r="JU14" s="206">
        <f t="shared" si="81"/>
        <v>0</v>
      </c>
      <c r="JV14" s="206">
        <f t="shared" si="82"/>
        <v>0</v>
      </c>
      <c r="JW14" s="206">
        <f t="shared" si="83"/>
        <v>0</v>
      </c>
      <c r="JX14" s="206">
        <f t="shared" si="84"/>
        <v>0</v>
      </c>
      <c r="JY14" s="206">
        <f t="shared" si="85"/>
        <v>0</v>
      </c>
      <c r="JZ14" s="206">
        <f t="shared" si="86"/>
        <v>0</v>
      </c>
      <c r="KA14" s="206">
        <f t="shared" si="87"/>
        <v>0</v>
      </c>
      <c r="KB14" s="206">
        <f t="shared" si="88"/>
        <v>0</v>
      </c>
      <c r="KC14" s="195"/>
      <c r="KD14" s="206">
        <f t="shared" si="165"/>
        <v>0</v>
      </c>
      <c r="KE14" s="206">
        <f t="shared" si="90"/>
        <v>0</v>
      </c>
      <c r="KF14" s="206">
        <f t="shared" si="91"/>
        <v>0</v>
      </c>
      <c r="KG14" s="206">
        <f t="shared" si="92"/>
        <v>0</v>
      </c>
      <c r="KH14" s="206">
        <f t="shared" si="93"/>
        <v>0</v>
      </c>
      <c r="KI14" s="206">
        <f t="shared" si="94"/>
        <v>0</v>
      </c>
      <c r="KJ14" s="206">
        <f t="shared" si="95"/>
        <v>0</v>
      </c>
      <c r="KK14" s="206">
        <f t="shared" si="96"/>
        <v>0</v>
      </c>
      <c r="KL14" s="206">
        <f t="shared" si="97"/>
        <v>0</v>
      </c>
      <c r="KM14" s="206">
        <f t="shared" si="98"/>
        <v>0</v>
      </c>
      <c r="KN14" s="221">
        <f t="shared" si="99"/>
        <v>0</v>
      </c>
      <c r="KO14" s="221">
        <f t="shared" si="100"/>
        <v>0</v>
      </c>
      <c r="KP14" s="221">
        <f t="shared" si="101"/>
        <v>0</v>
      </c>
      <c r="KQ14" s="221">
        <f t="shared" si="102"/>
        <v>0</v>
      </c>
      <c r="KR14" s="221">
        <f t="shared" si="103"/>
        <v>0</v>
      </c>
      <c r="KS14" s="195"/>
      <c r="KT14" s="195">
        <f t="shared" si="104"/>
        <v>0</v>
      </c>
      <c r="KU14" s="221"/>
      <c r="KV14" s="221"/>
      <c r="KW14" s="221"/>
      <c r="KX14" s="221"/>
      <c r="KY14" s="221"/>
      <c r="KZ14" s="221"/>
      <c r="LA14" s="221"/>
      <c r="LB14" s="221"/>
      <c r="LC14" s="221"/>
      <c r="LD14" s="221"/>
      <c r="LE14" s="221"/>
      <c r="LF14" s="221"/>
      <c r="LG14" s="221"/>
      <c r="LH14" s="221"/>
      <c r="LI14" s="221"/>
      <c r="LJ14" s="221"/>
      <c r="LK14" s="221"/>
      <c r="LL14" s="221"/>
      <c r="LM14" s="221"/>
      <c r="LN14" s="221"/>
      <c r="LO14" s="221"/>
      <c r="LP14" s="221"/>
      <c r="LQ14" s="221"/>
      <c r="LR14" s="221"/>
      <c r="LS14" s="221"/>
      <c r="LT14" s="221"/>
      <c r="LU14" s="221"/>
      <c r="LV14" s="221"/>
      <c r="LW14" s="221"/>
      <c r="LX14" s="221"/>
      <c r="LY14" s="221"/>
      <c r="LZ14" s="221"/>
      <c r="MA14" s="221"/>
      <c r="MB14" s="221"/>
      <c r="MC14" s="221"/>
      <c r="MD14" s="221"/>
      <c r="ME14" s="221"/>
      <c r="MF14" s="221"/>
      <c r="MG14" s="221"/>
      <c r="MH14" s="221"/>
      <c r="MI14" s="221"/>
      <c r="MJ14" s="221"/>
      <c r="MK14" s="221"/>
      <c r="ML14" s="221"/>
      <c r="MM14" s="221"/>
      <c r="MN14" s="221"/>
      <c r="MO14" s="221"/>
      <c r="MP14" s="221"/>
      <c r="MQ14" s="221"/>
      <c r="MR14" s="221"/>
      <c r="MS14" s="221"/>
      <c r="MT14" s="221"/>
      <c r="MU14" s="221"/>
      <c r="MV14" s="221"/>
      <c r="MW14" s="221"/>
      <c r="MX14" s="221"/>
      <c r="MY14" s="221"/>
      <c r="MZ14" s="221"/>
      <c r="NA14" s="221"/>
      <c r="NB14" s="221"/>
      <c r="NC14" s="221"/>
      <c r="ND14" s="221"/>
      <c r="NE14" s="221"/>
      <c r="NF14" s="221"/>
      <c r="NG14" s="221"/>
      <c r="NH14" s="221"/>
      <c r="NI14" s="221"/>
      <c r="NJ14" s="221"/>
      <c r="NK14" s="221"/>
      <c r="NL14" s="195"/>
      <c r="NM14" s="195">
        <f t="shared" si="166"/>
        <v>0</v>
      </c>
      <c r="NN14" s="195">
        <f t="shared" si="167"/>
        <v>0</v>
      </c>
      <c r="NO14" s="195">
        <f t="shared" si="168"/>
        <v>0</v>
      </c>
      <c r="NP14" s="195">
        <f t="shared" si="169"/>
        <v>0</v>
      </c>
      <c r="NQ14" s="195">
        <f t="shared" si="170"/>
        <v>0</v>
      </c>
      <c r="NR14" s="195">
        <f t="shared" si="171"/>
        <v>0</v>
      </c>
      <c r="NS14" s="195">
        <f t="shared" si="172"/>
        <v>0</v>
      </c>
      <c r="NT14" s="195">
        <f t="shared" si="173"/>
        <v>0</v>
      </c>
      <c r="NU14" s="196">
        <f t="shared" si="174"/>
        <v>0</v>
      </c>
      <c r="NV14" s="195"/>
      <c r="NW14" s="195"/>
      <c r="NX14" s="195"/>
      <c r="NY14" s="196">
        <f t="shared" si="106"/>
        <v>1</v>
      </c>
      <c r="NZ14" s="222">
        <f>549780000/66</f>
        <v>8330000</v>
      </c>
      <c r="OA14" s="195"/>
      <c r="OB14" s="195"/>
      <c r="OC14" s="195"/>
      <c r="OD14" s="195"/>
      <c r="OE14" s="207">
        <f t="shared" si="107"/>
        <v>0</v>
      </c>
      <c r="OF14" s="207">
        <f t="shared" si="108"/>
        <v>0</v>
      </c>
      <c r="OG14" s="207">
        <f t="shared" si="109"/>
        <v>0</v>
      </c>
      <c r="OH14" s="207">
        <f t="shared" si="175"/>
        <v>0</v>
      </c>
      <c r="OI14" s="207">
        <f t="shared" si="110"/>
        <v>0</v>
      </c>
      <c r="OJ14" s="199">
        <f t="shared" si="176"/>
        <v>0</v>
      </c>
      <c r="OK14" s="199">
        <f t="shared" si="177"/>
        <v>0</v>
      </c>
      <c r="OL14" s="199">
        <f t="shared" si="178"/>
        <v>0</v>
      </c>
      <c r="OM14" s="199">
        <f t="shared" si="179"/>
        <v>0</v>
      </c>
      <c r="ON14" s="195"/>
      <c r="OO14" s="207">
        <f t="shared" si="111"/>
        <v>0</v>
      </c>
      <c r="OP14" s="207">
        <f t="shared" si="112"/>
        <v>0</v>
      </c>
      <c r="OQ14" s="207">
        <f t="shared" si="180"/>
        <v>0</v>
      </c>
      <c r="OR14" s="207">
        <f t="shared" si="181"/>
        <v>0</v>
      </c>
      <c r="OS14" s="207">
        <f t="shared" si="182"/>
        <v>0</v>
      </c>
      <c r="OT14" s="199">
        <f t="shared" si="183"/>
        <v>0</v>
      </c>
      <c r="OU14" s="199">
        <f t="shared" si="184"/>
        <v>0</v>
      </c>
      <c r="OV14" s="199">
        <f t="shared" si="185"/>
        <v>0</v>
      </c>
      <c r="OW14" s="199">
        <f t="shared" si="186"/>
        <v>0</v>
      </c>
      <c r="OX14" s="195"/>
      <c r="OY14" s="195"/>
      <c r="OZ14" s="195"/>
      <c r="PA14" s="209"/>
      <c r="PB14" s="209"/>
      <c r="PC14" s="209"/>
      <c r="PD14" s="210">
        <f t="shared" si="113"/>
        <v>0</v>
      </c>
      <c r="PE14" s="210"/>
      <c r="PF14" s="210">
        <f t="shared" si="114"/>
        <v>0</v>
      </c>
      <c r="PG14" s="210">
        <f t="shared" si="115"/>
        <v>0</v>
      </c>
      <c r="PH14" s="210">
        <f t="shared" si="115"/>
        <v>0</v>
      </c>
      <c r="PI14" s="210">
        <f t="shared" si="115"/>
        <v>0</v>
      </c>
      <c r="PJ14" s="210">
        <f t="shared" si="115"/>
        <v>0</v>
      </c>
      <c r="PK14" s="210">
        <f t="shared" si="115"/>
        <v>0</v>
      </c>
      <c r="PL14" s="210">
        <f t="shared" si="115"/>
        <v>0</v>
      </c>
      <c r="PM14" s="195"/>
      <c r="PN14" s="195"/>
      <c r="PO14" s="212">
        <f t="shared" si="187"/>
        <v>0</v>
      </c>
      <c r="PP14" s="212">
        <f t="shared" si="188"/>
        <v>0</v>
      </c>
      <c r="PQ14" s="212">
        <f t="shared" si="189"/>
        <v>0</v>
      </c>
    </row>
    <row r="15" spans="1:433 16383:16383" ht="16" x14ac:dyDescent="0.2">
      <c r="A15" s="213">
        <f t="shared" si="190"/>
        <v>7</v>
      </c>
      <c r="B15" s="186" t="s">
        <v>95</v>
      </c>
      <c r="C15" s="186">
        <v>7</v>
      </c>
      <c r="D15" s="188">
        <v>1</v>
      </c>
      <c r="E15" s="188">
        <v>5</v>
      </c>
      <c r="F15" s="188">
        <v>1</v>
      </c>
      <c r="G15" s="188">
        <f t="shared" si="116"/>
        <v>5</v>
      </c>
      <c r="H15" s="214">
        <f t="shared" si="2"/>
        <v>1</v>
      </c>
      <c r="I15" s="214">
        <f t="shared" si="3"/>
        <v>1</v>
      </c>
      <c r="J15" s="188">
        <v>1</v>
      </c>
      <c r="K15" s="188">
        <f t="shared" si="4"/>
        <v>5</v>
      </c>
      <c r="L15" s="214">
        <f t="shared" si="5"/>
        <v>1</v>
      </c>
      <c r="M15" s="214">
        <f t="shared" si="6"/>
        <v>1</v>
      </c>
      <c r="N15" s="188">
        <v>1</v>
      </c>
      <c r="O15" s="188">
        <f t="shared" si="7"/>
        <v>5</v>
      </c>
      <c r="P15" s="214">
        <f t="shared" si="8"/>
        <v>1</v>
      </c>
      <c r="Q15" s="214">
        <f t="shared" si="9"/>
        <v>1</v>
      </c>
      <c r="R15" s="188">
        <v>1</v>
      </c>
      <c r="S15" s="188">
        <f t="shared" si="117"/>
        <v>5</v>
      </c>
      <c r="T15" s="214">
        <f t="shared" si="118"/>
        <v>1</v>
      </c>
      <c r="U15" s="214">
        <f t="shared" si="119"/>
        <v>1</v>
      </c>
      <c r="V15" s="188">
        <v>1</v>
      </c>
      <c r="W15" s="188">
        <f t="shared" si="10"/>
        <v>5</v>
      </c>
      <c r="X15" s="214">
        <f t="shared" si="11"/>
        <v>1</v>
      </c>
      <c r="Y15" s="214">
        <f t="shared" si="12"/>
        <v>1</v>
      </c>
      <c r="Z15" s="224">
        <f>695226000/1000000000</f>
        <v>0.69522600000000001</v>
      </c>
      <c r="AA15" s="188"/>
      <c r="AB15" s="189">
        <f t="shared" si="120"/>
        <v>0</v>
      </c>
      <c r="AC15" s="250">
        <f t="shared" si="121"/>
        <v>0</v>
      </c>
      <c r="AD15" s="250">
        <f t="shared" si="122"/>
        <v>0</v>
      </c>
      <c r="AE15" s="188"/>
      <c r="AF15" s="188">
        <f t="shared" si="15"/>
        <v>0</v>
      </c>
      <c r="AG15" s="187"/>
      <c r="AH15" s="187"/>
      <c r="AI15" s="188">
        <v>0</v>
      </c>
      <c r="AJ15" s="188">
        <f t="shared" si="16"/>
        <v>0</v>
      </c>
      <c r="AK15" s="188"/>
      <c r="AL15" s="188">
        <v>0</v>
      </c>
      <c r="AM15" s="188">
        <v>0</v>
      </c>
      <c r="AN15" s="217"/>
      <c r="AO15" s="196">
        <f t="shared" si="123"/>
        <v>0</v>
      </c>
      <c r="AP15" s="195"/>
      <c r="AQ15" s="195"/>
      <c r="AR15" s="195"/>
      <c r="AS15" s="195"/>
      <c r="AT15" s="195"/>
      <c r="AU15" s="195"/>
      <c r="AV15" s="195"/>
      <c r="AW15" s="195"/>
      <c r="AX15" s="195"/>
      <c r="AY15" s="195"/>
      <c r="AZ15" s="195"/>
      <c r="BA15" s="195"/>
      <c r="BB15" s="188">
        <f t="shared" si="17"/>
        <v>0</v>
      </c>
      <c r="BC15" s="195"/>
      <c r="BD15" s="196"/>
      <c r="BE15" s="188">
        <f t="shared" si="18"/>
        <v>0</v>
      </c>
      <c r="BF15" s="188">
        <f t="shared" si="19"/>
        <v>0</v>
      </c>
      <c r="BG15" s="188">
        <f t="shared" si="20"/>
        <v>0</v>
      </c>
      <c r="BH15" s="188">
        <f t="shared" si="21"/>
        <v>0</v>
      </c>
      <c r="BI15" s="188">
        <f t="shared" si="22"/>
        <v>0</v>
      </c>
      <c r="BJ15" s="188">
        <f t="shared" si="23"/>
        <v>0</v>
      </c>
      <c r="BK15" s="188">
        <f t="shared" si="124"/>
        <v>0</v>
      </c>
      <c r="BL15" s="195"/>
      <c r="BM15" s="195"/>
      <c r="BN15" s="277"/>
      <c r="BO15" s="313"/>
      <c r="BP15" s="188"/>
      <c r="BQ15" s="188"/>
      <c r="BR15" s="188"/>
      <c r="BS15" s="188"/>
      <c r="BT15" s="188"/>
      <c r="BU15" s="188"/>
      <c r="BV15" s="188"/>
      <c r="BW15" s="188"/>
      <c r="BX15" s="188"/>
      <c r="BY15" s="188"/>
      <c r="BZ15" s="188"/>
      <c r="CA15" s="195"/>
      <c r="CB15" s="189">
        <v>0</v>
      </c>
      <c r="CC15" s="195"/>
      <c r="CD15" s="189">
        <f t="shared" si="125"/>
        <v>0</v>
      </c>
      <c r="CE15" s="189">
        <f t="shared" si="191"/>
        <v>0</v>
      </c>
      <c r="CF15" s="189">
        <f t="shared" si="126"/>
        <v>0</v>
      </c>
      <c r="CG15" s="189">
        <f t="shared" si="127"/>
        <v>0</v>
      </c>
      <c r="CH15" s="189">
        <f t="shared" si="128"/>
        <v>0</v>
      </c>
      <c r="CI15" s="189">
        <f t="shared" si="129"/>
        <v>0</v>
      </c>
      <c r="CJ15" s="189">
        <f t="shared" si="130"/>
        <v>0</v>
      </c>
      <c r="CK15" s="189">
        <f t="shared" si="131"/>
        <v>0</v>
      </c>
      <c r="CL15" s="189">
        <f t="shared" si="132"/>
        <v>0</v>
      </c>
      <c r="CM15" s="189">
        <f t="shared" si="133"/>
        <v>0</v>
      </c>
      <c r="CN15" s="189">
        <f t="shared" si="134"/>
        <v>0</v>
      </c>
      <c r="CO15" s="189">
        <f t="shared" si="135"/>
        <v>0</v>
      </c>
      <c r="CP15" s="189">
        <f t="shared" si="136"/>
        <v>0</v>
      </c>
      <c r="CQ15" s="195"/>
      <c r="CR15" s="195"/>
      <c r="CS15" s="195"/>
      <c r="CT15" s="195"/>
      <c r="CU15" s="195"/>
      <c r="CV15" s="195"/>
      <c r="CW15" s="195"/>
      <c r="CX15" s="195"/>
      <c r="CY15" s="195"/>
      <c r="CZ15" s="195"/>
      <c r="DA15" s="195"/>
      <c r="DB15" s="195"/>
      <c r="DC15" s="195"/>
      <c r="DD15" s="195"/>
      <c r="DE15" s="195"/>
      <c r="DF15" s="195"/>
      <c r="DG15" s="195"/>
      <c r="DH15" s="195"/>
      <c r="DI15" s="195"/>
      <c r="DJ15" s="195"/>
      <c r="DK15" s="195"/>
      <c r="DL15" s="195"/>
      <c r="DM15" s="195"/>
      <c r="DN15" s="195"/>
      <c r="DO15" s="195"/>
      <c r="DP15" s="195"/>
      <c r="DQ15" s="195"/>
      <c r="DR15" s="195"/>
      <c r="DS15" s="195"/>
      <c r="DT15" s="195"/>
      <c r="DU15" s="195"/>
      <c r="DV15" s="189">
        <f t="shared" si="26"/>
        <v>0</v>
      </c>
      <c r="DW15" s="189">
        <f t="shared" si="27"/>
        <v>0</v>
      </c>
      <c r="DX15" s="189">
        <f t="shared" si="28"/>
        <v>0</v>
      </c>
      <c r="DY15" s="189">
        <f t="shared" si="29"/>
        <v>0</v>
      </c>
      <c r="DZ15" s="189">
        <f t="shared" si="30"/>
        <v>0</v>
      </c>
      <c r="EA15" s="189">
        <f t="shared" si="31"/>
        <v>0</v>
      </c>
      <c r="EB15" s="189">
        <f t="shared" si="137"/>
        <v>0</v>
      </c>
      <c r="EC15" s="195"/>
      <c r="ED15" s="197" t="s">
        <v>343</v>
      </c>
      <c r="EE15" s="197" t="s">
        <v>375</v>
      </c>
      <c r="EF15" s="219"/>
      <c r="EG15" s="252">
        <f t="shared" si="138"/>
        <v>0</v>
      </c>
      <c r="EH15" s="252">
        <f t="shared" si="139"/>
        <v>0</v>
      </c>
      <c r="EI15" s="189"/>
      <c r="EJ15" s="189"/>
      <c r="EK15" s="189"/>
      <c r="EL15" s="189"/>
      <c r="EM15" s="189"/>
      <c r="EN15" s="189"/>
      <c r="EO15" s="189"/>
      <c r="EP15" s="189"/>
      <c r="EQ15" s="189"/>
      <c r="ER15" s="189"/>
      <c r="ES15" s="189"/>
      <c r="ET15" s="189"/>
      <c r="EU15" s="189"/>
      <c r="EV15" s="189"/>
      <c r="EW15" s="189"/>
      <c r="EX15" s="189"/>
      <c r="EY15" s="189"/>
      <c r="EZ15" s="189"/>
      <c r="FA15" s="189"/>
      <c r="FB15" s="189"/>
      <c r="FC15" s="189"/>
      <c r="FD15" s="189"/>
      <c r="FE15" s="189"/>
      <c r="FF15" s="189"/>
      <c r="FG15" s="195"/>
      <c r="FH15" s="189"/>
      <c r="FI15" s="189"/>
      <c r="FJ15" s="189"/>
      <c r="FK15" s="189"/>
      <c r="FL15" s="189"/>
      <c r="FM15" s="189"/>
      <c r="FN15" s="189"/>
      <c r="FO15" s="189"/>
      <c r="FP15" s="189"/>
      <c r="FQ15" s="189"/>
      <c r="FR15" s="189"/>
      <c r="FS15" s="189"/>
      <c r="FT15" s="189"/>
      <c r="FU15" s="189"/>
      <c r="FV15" s="189"/>
      <c r="FW15" s="195"/>
      <c r="FX15" s="253"/>
      <c r="FY15" s="189">
        <f t="shared" si="140"/>
        <v>0</v>
      </c>
      <c r="FZ15" s="189">
        <f t="shared" si="33"/>
        <v>0</v>
      </c>
      <c r="GA15" s="189">
        <f t="shared" si="34"/>
        <v>0</v>
      </c>
      <c r="GB15" s="189">
        <f t="shared" si="35"/>
        <v>0</v>
      </c>
      <c r="GC15" s="189">
        <f t="shared" si="36"/>
        <v>0</v>
      </c>
      <c r="GD15" s="189">
        <f t="shared" si="37"/>
        <v>0</v>
      </c>
      <c r="GE15" s="189">
        <f t="shared" si="38"/>
        <v>0</v>
      </c>
      <c r="GF15" s="199"/>
      <c r="GG15" s="189">
        <v>0</v>
      </c>
      <c r="GH15" s="189">
        <v>0</v>
      </c>
      <c r="GI15" s="199"/>
      <c r="GJ15" s="200">
        <f t="shared" si="141"/>
        <v>0</v>
      </c>
      <c r="GK15" s="200">
        <f t="shared" si="142"/>
        <v>0</v>
      </c>
      <c r="GL15" s="195"/>
      <c r="GM15" s="195"/>
      <c r="GN15" s="195"/>
      <c r="GO15" s="189">
        <f t="shared" si="39"/>
        <v>0</v>
      </c>
      <c r="GP15" s="189">
        <f t="shared" si="40"/>
        <v>0</v>
      </c>
      <c r="GQ15" s="189">
        <f t="shared" si="41"/>
        <v>0</v>
      </c>
      <c r="GR15" s="189">
        <f t="shared" si="42"/>
        <v>0</v>
      </c>
      <c r="GS15" s="189">
        <f t="shared" si="43"/>
        <v>0</v>
      </c>
      <c r="GT15" s="189">
        <f t="shared" si="143"/>
        <v>1</v>
      </c>
      <c r="GU15" s="201">
        <f t="shared" si="144"/>
        <v>43243</v>
      </c>
      <c r="GV15" s="189" t="str">
        <f t="shared" si="145"/>
        <v>SELESAI</v>
      </c>
      <c r="GW15" s="189">
        <f t="shared" si="146"/>
        <v>0</v>
      </c>
      <c r="GX15" s="202" t="str">
        <f t="shared" si="147"/>
        <v>SELESAI</v>
      </c>
      <c r="GY15" s="202">
        <f t="shared" si="148"/>
        <v>0</v>
      </c>
      <c r="GZ15" s="203" t="str">
        <f t="shared" si="149"/>
        <v>SELESAI</v>
      </c>
      <c r="HA15" s="204"/>
      <c r="HB15" s="204"/>
      <c r="HC15" s="189">
        <f t="shared" si="44"/>
        <v>0</v>
      </c>
      <c r="HD15" s="189">
        <f t="shared" si="45"/>
        <v>0</v>
      </c>
      <c r="HE15" s="189">
        <f t="shared" si="150"/>
        <v>0</v>
      </c>
      <c r="HF15" s="189">
        <f t="shared" si="151"/>
        <v>0</v>
      </c>
      <c r="HG15" s="189">
        <f t="shared" si="152"/>
        <v>0</v>
      </c>
      <c r="HH15" s="201" t="str">
        <f t="shared" si="46"/>
        <v>TIDAK KONSINYASI</v>
      </c>
      <c r="HI15" s="201" t="str">
        <f t="shared" si="153"/>
        <v>SELESAI</v>
      </c>
      <c r="HJ15" s="205"/>
      <c r="HK15" s="201">
        <f t="shared" si="47"/>
        <v>0</v>
      </c>
      <c r="HL15" s="204"/>
      <c r="HM15" s="204"/>
      <c r="HN15" s="204"/>
      <c r="HO15" s="204"/>
      <c r="HP15" s="203">
        <f t="shared" si="154"/>
        <v>0</v>
      </c>
      <c r="HQ15" s="202">
        <f t="shared" si="155"/>
        <v>0</v>
      </c>
      <c r="HR15" s="202">
        <f t="shared" si="48"/>
        <v>0</v>
      </c>
      <c r="HS15" s="203">
        <f t="shared" si="156"/>
        <v>0</v>
      </c>
      <c r="HT15" s="202">
        <f t="shared" si="157"/>
        <v>0</v>
      </c>
      <c r="HU15" s="202">
        <f t="shared" si="49"/>
        <v>0</v>
      </c>
      <c r="HV15" s="203">
        <f t="shared" si="158"/>
        <v>0</v>
      </c>
      <c r="HW15" s="202">
        <f t="shared" si="50"/>
        <v>0</v>
      </c>
      <c r="HX15" s="202">
        <f t="shared" si="51"/>
        <v>0</v>
      </c>
      <c r="HY15" s="203">
        <f t="shared" si="52"/>
        <v>0</v>
      </c>
      <c r="HZ15" s="202">
        <f t="shared" si="159"/>
        <v>0</v>
      </c>
      <c r="IA15" s="202">
        <f t="shared" si="53"/>
        <v>0</v>
      </c>
      <c r="IB15" s="203">
        <f t="shared" si="160"/>
        <v>0</v>
      </c>
      <c r="IC15" s="202">
        <f t="shared" si="54"/>
        <v>0</v>
      </c>
      <c r="ID15" s="202">
        <f t="shared" si="55"/>
        <v>0</v>
      </c>
      <c r="IE15" s="203">
        <f t="shared" si="56"/>
        <v>0</v>
      </c>
      <c r="IF15" s="202">
        <f t="shared" si="57"/>
        <v>0</v>
      </c>
      <c r="IG15" s="202">
        <f t="shared" si="58"/>
        <v>0</v>
      </c>
      <c r="IH15" s="203">
        <f t="shared" si="161"/>
        <v>0</v>
      </c>
      <c r="II15" s="202">
        <f t="shared" si="162"/>
        <v>0</v>
      </c>
      <c r="IJ15" s="202">
        <f t="shared" si="59"/>
        <v>0</v>
      </c>
      <c r="IK15" s="203">
        <f t="shared" si="60"/>
        <v>0</v>
      </c>
      <c r="IL15" s="202">
        <f t="shared" si="61"/>
        <v>0</v>
      </c>
      <c r="IM15" s="202">
        <f t="shared" si="62"/>
        <v>0</v>
      </c>
      <c r="IN15" s="204"/>
      <c r="IO15" s="203">
        <f t="shared" si="63"/>
        <v>0</v>
      </c>
      <c r="IP15" s="202">
        <f t="shared" si="64"/>
        <v>0</v>
      </c>
      <c r="IQ15" s="202">
        <f t="shared" si="65"/>
        <v>0</v>
      </c>
      <c r="IR15" s="204"/>
      <c r="IS15" s="203"/>
      <c r="IT15" s="202">
        <f t="shared" si="66"/>
        <v>1</v>
      </c>
      <c r="IU15" s="202">
        <f t="shared" si="67"/>
        <v>5</v>
      </c>
      <c r="IV15" s="204"/>
      <c r="IW15" s="203"/>
      <c r="IX15" s="202">
        <f t="shared" si="68"/>
        <v>0</v>
      </c>
      <c r="IY15" s="202">
        <f t="shared" si="69"/>
        <v>0</v>
      </c>
      <c r="IZ15" s="204"/>
      <c r="JA15" s="203"/>
      <c r="JB15" s="202">
        <f t="shared" si="70"/>
        <v>0</v>
      </c>
      <c r="JC15" s="202">
        <f t="shared" si="71"/>
        <v>0</v>
      </c>
      <c r="JD15" s="204"/>
      <c r="JE15" s="203"/>
      <c r="JF15" s="202">
        <f t="shared" si="163"/>
        <v>1</v>
      </c>
      <c r="JG15" s="202">
        <f t="shared" si="72"/>
        <v>5</v>
      </c>
      <c r="JH15" s="204"/>
      <c r="JI15" s="203"/>
      <c r="JJ15" s="202">
        <f t="shared" si="73"/>
        <v>0</v>
      </c>
      <c r="JK15" s="202">
        <f t="shared" si="74"/>
        <v>0</v>
      </c>
      <c r="JL15" s="195"/>
      <c r="JM15" s="203">
        <f t="shared" si="164"/>
        <v>0</v>
      </c>
      <c r="JN15" s="195"/>
      <c r="JO15" s="196">
        <f t="shared" si="75"/>
        <v>0</v>
      </c>
      <c r="JP15" s="206">
        <f t="shared" si="76"/>
        <v>0</v>
      </c>
      <c r="JQ15" s="206">
        <f t="shared" si="77"/>
        <v>0</v>
      </c>
      <c r="JR15" s="206">
        <f t="shared" si="78"/>
        <v>0</v>
      </c>
      <c r="JS15" s="206">
        <f t="shared" si="79"/>
        <v>0</v>
      </c>
      <c r="JT15" s="206">
        <f t="shared" si="80"/>
        <v>0</v>
      </c>
      <c r="JU15" s="206">
        <f t="shared" si="81"/>
        <v>0</v>
      </c>
      <c r="JV15" s="206">
        <f t="shared" si="82"/>
        <v>0</v>
      </c>
      <c r="JW15" s="206">
        <f t="shared" si="83"/>
        <v>0</v>
      </c>
      <c r="JX15" s="206">
        <f t="shared" si="84"/>
        <v>0</v>
      </c>
      <c r="JY15" s="206">
        <f t="shared" si="85"/>
        <v>0</v>
      </c>
      <c r="JZ15" s="206">
        <f t="shared" si="86"/>
        <v>0</v>
      </c>
      <c r="KA15" s="206">
        <f t="shared" si="87"/>
        <v>0</v>
      </c>
      <c r="KB15" s="206">
        <f t="shared" si="88"/>
        <v>0</v>
      </c>
      <c r="KC15" s="195"/>
      <c r="KD15" s="206">
        <f t="shared" si="165"/>
        <v>0</v>
      </c>
      <c r="KE15" s="206">
        <f t="shared" si="90"/>
        <v>0</v>
      </c>
      <c r="KF15" s="206">
        <f t="shared" si="91"/>
        <v>0</v>
      </c>
      <c r="KG15" s="206">
        <f t="shared" si="92"/>
        <v>0</v>
      </c>
      <c r="KH15" s="206">
        <f t="shared" si="93"/>
        <v>0</v>
      </c>
      <c r="KI15" s="206">
        <f t="shared" si="94"/>
        <v>0</v>
      </c>
      <c r="KJ15" s="206">
        <f t="shared" si="95"/>
        <v>0</v>
      </c>
      <c r="KK15" s="206">
        <f t="shared" si="96"/>
        <v>0</v>
      </c>
      <c r="KL15" s="206">
        <f t="shared" si="97"/>
        <v>0</v>
      </c>
      <c r="KM15" s="206">
        <f t="shared" si="98"/>
        <v>0</v>
      </c>
      <c r="KN15" s="221">
        <f t="shared" si="99"/>
        <v>0</v>
      </c>
      <c r="KO15" s="221">
        <f t="shared" si="100"/>
        <v>0</v>
      </c>
      <c r="KP15" s="221">
        <f t="shared" si="101"/>
        <v>0</v>
      </c>
      <c r="KQ15" s="221">
        <f t="shared" si="102"/>
        <v>0</v>
      </c>
      <c r="KR15" s="221">
        <f t="shared" si="103"/>
        <v>0</v>
      </c>
      <c r="KS15" s="195"/>
      <c r="KT15" s="195">
        <f t="shared" si="104"/>
        <v>0</v>
      </c>
      <c r="KU15" s="221"/>
      <c r="KV15" s="221"/>
      <c r="KW15" s="221"/>
      <c r="KX15" s="221"/>
      <c r="KY15" s="221"/>
      <c r="KZ15" s="221"/>
      <c r="LA15" s="221"/>
      <c r="LB15" s="221"/>
      <c r="LC15" s="221"/>
      <c r="LD15" s="221"/>
      <c r="LE15" s="221"/>
      <c r="LF15" s="221"/>
      <c r="LG15" s="221"/>
      <c r="LH15" s="221"/>
      <c r="LI15" s="221"/>
      <c r="LJ15" s="221"/>
      <c r="LK15" s="221"/>
      <c r="LL15" s="221"/>
      <c r="LM15" s="221"/>
      <c r="LN15" s="221"/>
      <c r="LO15" s="221"/>
      <c r="LP15" s="221"/>
      <c r="LQ15" s="221"/>
      <c r="LR15" s="221"/>
      <c r="LS15" s="221"/>
      <c r="LT15" s="221"/>
      <c r="LU15" s="221"/>
      <c r="LV15" s="221"/>
      <c r="LW15" s="221"/>
      <c r="LX15" s="221"/>
      <c r="LY15" s="221"/>
      <c r="LZ15" s="221"/>
      <c r="MA15" s="221"/>
      <c r="MB15" s="221"/>
      <c r="MC15" s="221"/>
      <c r="MD15" s="221"/>
      <c r="ME15" s="221"/>
      <c r="MF15" s="221"/>
      <c r="MG15" s="221"/>
      <c r="MH15" s="221"/>
      <c r="MI15" s="221"/>
      <c r="MJ15" s="221"/>
      <c r="MK15" s="221"/>
      <c r="ML15" s="221"/>
      <c r="MM15" s="221"/>
      <c r="MN15" s="221"/>
      <c r="MO15" s="221"/>
      <c r="MP15" s="221"/>
      <c r="MQ15" s="221"/>
      <c r="MR15" s="221"/>
      <c r="MS15" s="221"/>
      <c r="MT15" s="221"/>
      <c r="MU15" s="221"/>
      <c r="MV15" s="221"/>
      <c r="MW15" s="221"/>
      <c r="MX15" s="221"/>
      <c r="MY15" s="221"/>
      <c r="MZ15" s="221"/>
      <c r="NA15" s="221"/>
      <c r="NB15" s="221"/>
      <c r="NC15" s="221"/>
      <c r="ND15" s="221"/>
      <c r="NE15" s="221"/>
      <c r="NF15" s="221"/>
      <c r="NG15" s="221"/>
      <c r="NH15" s="221"/>
      <c r="NI15" s="221"/>
      <c r="NJ15" s="221"/>
      <c r="NK15" s="221"/>
      <c r="NL15" s="195"/>
      <c r="NM15" s="195">
        <f t="shared" si="166"/>
        <v>0</v>
      </c>
      <c r="NN15" s="195">
        <f t="shared" si="167"/>
        <v>0</v>
      </c>
      <c r="NO15" s="195">
        <f t="shared" si="168"/>
        <v>0</v>
      </c>
      <c r="NP15" s="195">
        <f t="shared" si="169"/>
        <v>0</v>
      </c>
      <c r="NQ15" s="195">
        <f t="shared" si="170"/>
        <v>0</v>
      </c>
      <c r="NR15" s="195">
        <f t="shared" si="171"/>
        <v>0</v>
      </c>
      <c r="NS15" s="195">
        <f t="shared" si="172"/>
        <v>0</v>
      </c>
      <c r="NT15" s="195">
        <f t="shared" si="173"/>
        <v>0</v>
      </c>
      <c r="NU15" s="196">
        <f t="shared" si="174"/>
        <v>0</v>
      </c>
      <c r="NV15" s="195"/>
      <c r="NW15" s="195"/>
      <c r="NX15" s="195"/>
      <c r="NY15" s="196">
        <f t="shared" si="106"/>
        <v>1</v>
      </c>
      <c r="NZ15" s="222">
        <v>8500000</v>
      </c>
      <c r="OA15" s="195"/>
      <c r="OB15" s="195"/>
      <c r="OC15" s="195"/>
      <c r="OD15" s="195"/>
      <c r="OE15" s="207">
        <f t="shared" si="107"/>
        <v>0</v>
      </c>
      <c r="OF15" s="207">
        <f t="shared" si="108"/>
        <v>0</v>
      </c>
      <c r="OG15" s="207">
        <f t="shared" si="109"/>
        <v>0</v>
      </c>
      <c r="OH15" s="207">
        <f t="shared" si="175"/>
        <v>0</v>
      </c>
      <c r="OI15" s="207">
        <f t="shared" si="110"/>
        <v>0</v>
      </c>
      <c r="OJ15" s="199">
        <f t="shared" si="176"/>
        <v>0</v>
      </c>
      <c r="OK15" s="199">
        <f t="shared" si="177"/>
        <v>0</v>
      </c>
      <c r="OL15" s="199">
        <f t="shared" si="178"/>
        <v>0</v>
      </c>
      <c r="OM15" s="199">
        <f t="shared" si="179"/>
        <v>0</v>
      </c>
      <c r="ON15" s="195"/>
      <c r="OO15" s="207">
        <f t="shared" si="111"/>
        <v>0</v>
      </c>
      <c r="OP15" s="207">
        <f t="shared" si="112"/>
        <v>0</v>
      </c>
      <c r="OQ15" s="207">
        <f t="shared" si="180"/>
        <v>0</v>
      </c>
      <c r="OR15" s="207">
        <f t="shared" si="181"/>
        <v>0</v>
      </c>
      <c r="OS15" s="207">
        <f t="shared" si="182"/>
        <v>0</v>
      </c>
      <c r="OT15" s="199">
        <f t="shared" si="183"/>
        <v>0</v>
      </c>
      <c r="OU15" s="199">
        <f t="shared" si="184"/>
        <v>0</v>
      </c>
      <c r="OV15" s="199">
        <f t="shared" si="185"/>
        <v>0</v>
      </c>
      <c r="OW15" s="199">
        <f t="shared" si="186"/>
        <v>0</v>
      </c>
      <c r="OX15" s="195"/>
      <c r="OY15" s="195"/>
      <c r="OZ15" s="195"/>
      <c r="PA15" s="209"/>
      <c r="PB15" s="209"/>
      <c r="PC15" s="209"/>
      <c r="PD15" s="210">
        <f t="shared" si="113"/>
        <v>0</v>
      </c>
      <c r="PE15" s="210"/>
      <c r="PF15" s="210">
        <f t="shared" si="114"/>
        <v>0</v>
      </c>
      <c r="PG15" s="210">
        <f t="shared" si="115"/>
        <v>0</v>
      </c>
      <c r="PH15" s="210">
        <f t="shared" si="115"/>
        <v>0</v>
      </c>
      <c r="PI15" s="210">
        <f t="shared" si="115"/>
        <v>0</v>
      </c>
      <c r="PJ15" s="210">
        <f t="shared" si="115"/>
        <v>0</v>
      </c>
      <c r="PK15" s="210">
        <f t="shared" si="115"/>
        <v>0</v>
      </c>
      <c r="PL15" s="210">
        <f t="shared" si="115"/>
        <v>0</v>
      </c>
      <c r="PM15" s="195"/>
      <c r="PN15" s="195"/>
      <c r="PO15" s="212">
        <f t="shared" si="187"/>
        <v>0</v>
      </c>
      <c r="PP15" s="212">
        <f t="shared" si="188"/>
        <v>0</v>
      </c>
      <c r="PQ15" s="212">
        <f t="shared" si="189"/>
        <v>0</v>
      </c>
    </row>
    <row r="16" spans="1:433 16383:16383" ht="16" x14ac:dyDescent="0.2">
      <c r="A16" s="213">
        <f t="shared" ref="A16" si="193">A15+1</f>
        <v>8</v>
      </c>
      <c r="B16" s="186" t="s">
        <v>95</v>
      </c>
      <c r="C16" s="186">
        <v>8</v>
      </c>
      <c r="D16" s="188">
        <v>1</v>
      </c>
      <c r="E16" s="188">
        <v>100</v>
      </c>
      <c r="F16" s="188">
        <v>1</v>
      </c>
      <c r="G16" s="188">
        <f t="shared" si="116"/>
        <v>100</v>
      </c>
      <c r="H16" s="214">
        <f t="shared" si="2"/>
        <v>1</v>
      </c>
      <c r="I16" s="214">
        <f t="shared" si="3"/>
        <v>1</v>
      </c>
      <c r="J16" s="188">
        <v>1</v>
      </c>
      <c r="K16" s="188">
        <f t="shared" si="4"/>
        <v>100</v>
      </c>
      <c r="L16" s="214">
        <f t="shared" si="5"/>
        <v>1</v>
      </c>
      <c r="M16" s="214">
        <f t="shared" si="6"/>
        <v>1</v>
      </c>
      <c r="N16" s="188">
        <v>1</v>
      </c>
      <c r="O16" s="188">
        <f t="shared" si="7"/>
        <v>100</v>
      </c>
      <c r="P16" s="214">
        <f t="shared" si="8"/>
        <v>1</v>
      </c>
      <c r="Q16" s="214">
        <f t="shared" si="9"/>
        <v>1</v>
      </c>
      <c r="R16" s="188">
        <v>1</v>
      </c>
      <c r="S16" s="188">
        <f t="shared" si="117"/>
        <v>100</v>
      </c>
      <c r="T16" s="214">
        <f t="shared" si="118"/>
        <v>1</v>
      </c>
      <c r="U16" s="214">
        <f t="shared" si="119"/>
        <v>1</v>
      </c>
      <c r="V16" s="188">
        <v>1</v>
      </c>
      <c r="W16" s="188">
        <f t="shared" si="10"/>
        <v>100</v>
      </c>
      <c r="X16" s="214">
        <f t="shared" si="11"/>
        <v>1</v>
      </c>
      <c r="Y16" s="214">
        <f t="shared" si="12"/>
        <v>1</v>
      </c>
      <c r="Z16" s="224">
        <f>2214431000/1000000000</f>
        <v>2.2144309999999998</v>
      </c>
      <c r="AA16" s="188"/>
      <c r="AB16" s="189">
        <f t="shared" si="120"/>
        <v>0</v>
      </c>
      <c r="AC16" s="250">
        <f t="shared" si="121"/>
        <v>0</v>
      </c>
      <c r="AD16" s="250">
        <f t="shared" si="122"/>
        <v>0</v>
      </c>
      <c r="AE16" s="188"/>
      <c r="AF16" s="188">
        <f t="shared" si="15"/>
        <v>0</v>
      </c>
      <c r="AG16" s="188"/>
      <c r="AH16" s="188"/>
      <c r="AI16" s="188">
        <v>0</v>
      </c>
      <c r="AJ16" s="188">
        <f t="shared" si="16"/>
        <v>0</v>
      </c>
      <c r="AK16" s="188"/>
      <c r="AL16" s="188">
        <v>0</v>
      </c>
      <c r="AM16" s="188">
        <v>0</v>
      </c>
      <c r="AN16" s="217"/>
      <c r="AO16" s="196">
        <f t="shared" si="123"/>
        <v>0</v>
      </c>
      <c r="AP16" s="195"/>
      <c r="AQ16" s="195"/>
      <c r="AR16" s="195"/>
      <c r="AS16" s="195"/>
      <c r="AT16" s="195"/>
      <c r="AU16" s="195"/>
      <c r="AV16" s="195"/>
      <c r="AW16" s="195"/>
      <c r="AX16" s="195"/>
      <c r="AY16" s="195"/>
      <c r="AZ16" s="195"/>
      <c r="BA16" s="195"/>
      <c r="BB16" s="188">
        <f t="shared" si="17"/>
        <v>0</v>
      </c>
      <c r="BC16" s="195"/>
      <c r="BD16" s="196"/>
      <c r="BE16" s="188">
        <f t="shared" si="18"/>
        <v>0</v>
      </c>
      <c r="BF16" s="188">
        <f t="shared" si="19"/>
        <v>0</v>
      </c>
      <c r="BG16" s="188">
        <f t="shared" si="20"/>
        <v>0</v>
      </c>
      <c r="BH16" s="188">
        <f t="shared" si="21"/>
        <v>0</v>
      </c>
      <c r="BI16" s="188">
        <f t="shared" si="22"/>
        <v>0</v>
      </c>
      <c r="BJ16" s="188">
        <f t="shared" si="23"/>
        <v>0</v>
      </c>
      <c r="BK16" s="188">
        <f t="shared" si="124"/>
        <v>0</v>
      </c>
      <c r="BL16" s="195"/>
      <c r="BM16" s="195"/>
      <c r="BN16" s="143">
        <v>18</v>
      </c>
      <c r="BO16" s="277">
        <v>1</v>
      </c>
      <c r="BP16" s="188"/>
      <c r="BQ16" s="188"/>
      <c r="BR16" s="188"/>
      <c r="BS16" s="188"/>
      <c r="BT16" s="188"/>
      <c r="BU16" s="188"/>
      <c r="BV16" s="188"/>
      <c r="BW16" s="188"/>
      <c r="BX16" s="188"/>
      <c r="BY16" s="188"/>
      <c r="BZ16" s="188"/>
      <c r="CA16" s="195"/>
      <c r="CB16" s="189">
        <v>0</v>
      </c>
      <c r="CC16" s="195"/>
      <c r="CD16" s="189">
        <f t="shared" si="125"/>
        <v>18</v>
      </c>
      <c r="CE16" s="189">
        <f t="shared" si="191"/>
        <v>18</v>
      </c>
      <c r="CF16" s="189">
        <f t="shared" si="126"/>
        <v>0</v>
      </c>
      <c r="CG16" s="189">
        <f t="shared" si="127"/>
        <v>0</v>
      </c>
      <c r="CH16" s="189">
        <f t="shared" si="128"/>
        <v>0</v>
      </c>
      <c r="CI16" s="189">
        <f t="shared" si="129"/>
        <v>0</v>
      </c>
      <c r="CJ16" s="189">
        <f t="shared" si="130"/>
        <v>0</v>
      </c>
      <c r="CK16" s="189">
        <f t="shared" si="131"/>
        <v>0</v>
      </c>
      <c r="CL16" s="189">
        <f t="shared" si="132"/>
        <v>0</v>
      </c>
      <c r="CM16" s="189">
        <f t="shared" si="133"/>
        <v>0</v>
      </c>
      <c r="CN16" s="189">
        <f t="shared" si="134"/>
        <v>0</v>
      </c>
      <c r="CO16" s="189">
        <f t="shared" si="135"/>
        <v>0</v>
      </c>
      <c r="CP16" s="189">
        <f t="shared" si="136"/>
        <v>0</v>
      </c>
      <c r="CQ16" s="195"/>
      <c r="CR16" s="195"/>
      <c r="CS16" s="195"/>
      <c r="CT16" s="195"/>
      <c r="CU16" s="195"/>
      <c r="CV16" s="195"/>
      <c r="CW16" s="195"/>
      <c r="CX16" s="195"/>
      <c r="CY16" s="195"/>
      <c r="CZ16" s="195"/>
      <c r="DA16" s="195"/>
      <c r="DB16" s="195"/>
      <c r="DC16" s="195"/>
      <c r="DD16" s="195"/>
      <c r="DE16" s="195"/>
      <c r="DF16" s="195"/>
      <c r="DG16" s="195"/>
      <c r="DH16" s="195"/>
      <c r="DI16" s="195"/>
      <c r="DJ16" s="195"/>
      <c r="DK16" s="195"/>
      <c r="DL16" s="195"/>
      <c r="DM16" s="195"/>
      <c r="DN16" s="195"/>
      <c r="DO16" s="195"/>
      <c r="DP16" s="195"/>
      <c r="DQ16" s="195"/>
      <c r="DR16" s="195"/>
      <c r="DS16" s="195"/>
      <c r="DT16" s="195"/>
      <c r="DU16" s="195"/>
      <c r="DV16" s="189">
        <f t="shared" si="26"/>
        <v>0</v>
      </c>
      <c r="DW16" s="189">
        <f t="shared" si="27"/>
        <v>0</v>
      </c>
      <c r="DX16" s="189">
        <f t="shared" si="28"/>
        <v>0</v>
      </c>
      <c r="DY16" s="189">
        <f t="shared" si="29"/>
        <v>0</v>
      </c>
      <c r="DZ16" s="189">
        <f t="shared" si="30"/>
        <v>0</v>
      </c>
      <c r="EA16" s="189">
        <f t="shared" si="31"/>
        <v>0</v>
      </c>
      <c r="EB16" s="189">
        <f t="shared" si="137"/>
        <v>0</v>
      </c>
      <c r="EC16" s="195"/>
      <c r="ED16" s="197" t="s">
        <v>302</v>
      </c>
      <c r="EE16" s="197" t="s">
        <v>376</v>
      </c>
      <c r="EF16" s="219"/>
      <c r="EG16" s="252">
        <f t="shared" si="138"/>
        <v>0</v>
      </c>
      <c r="EH16" s="252">
        <f t="shared" si="139"/>
        <v>0</v>
      </c>
      <c r="EI16" s="189"/>
      <c r="EJ16" s="189"/>
      <c r="EK16" s="189"/>
      <c r="EL16" s="189"/>
      <c r="EM16" s="189"/>
      <c r="EN16" s="189"/>
      <c r="EO16" s="189"/>
      <c r="EP16" s="189"/>
      <c r="EQ16" s="189"/>
      <c r="ER16" s="189"/>
      <c r="ES16" s="189"/>
      <c r="ET16" s="189"/>
      <c r="EU16" s="189"/>
      <c r="EV16" s="189"/>
      <c r="EW16" s="189"/>
      <c r="EX16" s="189"/>
      <c r="EY16" s="189"/>
      <c r="EZ16" s="189"/>
      <c r="FA16" s="189"/>
      <c r="FB16" s="189"/>
      <c r="FC16" s="189"/>
      <c r="FD16" s="189"/>
      <c r="FE16" s="189"/>
      <c r="FF16" s="189"/>
      <c r="FG16" s="195"/>
      <c r="FH16" s="189"/>
      <c r="FI16" s="189"/>
      <c r="FJ16" s="189"/>
      <c r="FK16" s="189"/>
      <c r="FL16" s="189"/>
      <c r="FM16" s="189"/>
      <c r="FN16" s="189"/>
      <c r="FO16" s="189"/>
      <c r="FP16" s="189"/>
      <c r="FQ16" s="189"/>
      <c r="FR16" s="189"/>
      <c r="FS16" s="189"/>
      <c r="FT16" s="189"/>
      <c r="FU16" s="189"/>
      <c r="FV16" s="189"/>
      <c r="FW16" s="195"/>
      <c r="FX16" s="253">
        <v>1</v>
      </c>
      <c r="FY16" s="189">
        <f t="shared" si="140"/>
        <v>18</v>
      </c>
      <c r="FZ16" s="189">
        <f t="shared" si="33"/>
        <v>18</v>
      </c>
      <c r="GA16" s="189">
        <f t="shared" si="34"/>
        <v>0</v>
      </c>
      <c r="GB16" s="189">
        <f t="shared" si="35"/>
        <v>0</v>
      </c>
      <c r="GC16" s="189">
        <f t="shared" si="36"/>
        <v>0</v>
      </c>
      <c r="GD16" s="189">
        <f t="shared" si="37"/>
        <v>0</v>
      </c>
      <c r="GE16" s="189">
        <f t="shared" si="38"/>
        <v>0</v>
      </c>
      <c r="GF16" s="199"/>
      <c r="GG16" s="189">
        <v>0</v>
      </c>
      <c r="GH16" s="189">
        <v>0</v>
      </c>
      <c r="GI16" s="199"/>
      <c r="GJ16" s="200">
        <f t="shared" si="141"/>
        <v>0</v>
      </c>
      <c r="GK16" s="200">
        <f t="shared" si="142"/>
        <v>0</v>
      </c>
      <c r="GL16" s="195"/>
      <c r="GM16" s="195"/>
      <c r="GN16" s="195"/>
      <c r="GO16" s="189">
        <f t="shared" si="39"/>
        <v>0</v>
      </c>
      <c r="GP16" s="189">
        <f t="shared" si="40"/>
        <v>0</v>
      </c>
      <c r="GQ16" s="189">
        <f t="shared" si="41"/>
        <v>0</v>
      </c>
      <c r="GR16" s="189">
        <f t="shared" si="42"/>
        <v>0</v>
      </c>
      <c r="GS16" s="189">
        <f t="shared" si="43"/>
        <v>0</v>
      </c>
      <c r="GT16" s="189">
        <f t="shared" si="143"/>
        <v>1</v>
      </c>
      <c r="GU16" s="201">
        <f t="shared" si="144"/>
        <v>43243</v>
      </c>
      <c r="GV16" s="189" t="str">
        <f t="shared" si="145"/>
        <v>SELESAI</v>
      </c>
      <c r="GW16" s="189">
        <f t="shared" si="146"/>
        <v>0</v>
      </c>
      <c r="GX16" s="202" t="str">
        <f t="shared" si="147"/>
        <v>SELESAI</v>
      </c>
      <c r="GY16" s="202">
        <f t="shared" si="148"/>
        <v>0</v>
      </c>
      <c r="GZ16" s="203" t="str">
        <f t="shared" si="149"/>
        <v>SELESAI</v>
      </c>
      <c r="HA16" s="204"/>
      <c r="HB16" s="204"/>
      <c r="HC16" s="189">
        <f t="shared" si="44"/>
        <v>0</v>
      </c>
      <c r="HD16" s="189">
        <f t="shared" si="45"/>
        <v>0</v>
      </c>
      <c r="HE16" s="189">
        <f t="shared" si="150"/>
        <v>0</v>
      </c>
      <c r="HF16" s="189">
        <f t="shared" si="151"/>
        <v>0</v>
      </c>
      <c r="HG16" s="189">
        <f t="shared" si="152"/>
        <v>0</v>
      </c>
      <c r="HH16" s="201" t="str">
        <f t="shared" si="46"/>
        <v>TIDAK KONSINYASI</v>
      </c>
      <c r="HI16" s="201" t="str">
        <f t="shared" si="153"/>
        <v>SELESAI</v>
      </c>
      <c r="HJ16" s="205"/>
      <c r="HK16" s="201">
        <f t="shared" si="47"/>
        <v>0</v>
      </c>
      <c r="HL16" s="204"/>
      <c r="HM16" s="204"/>
      <c r="HN16" s="204"/>
      <c r="HO16" s="204"/>
      <c r="HP16" s="203">
        <f t="shared" si="154"/>
        <v>0</v>
      </c>
      <c r="HQ16" s="202">
        <f t="shared" si="155"/>
        <v>0</v>
      </c>
      <c r="HR16" s="202">
        <f t="shared" si="48"/>
        <v>0</v>
      </c>
      <c r="HS16" s="203">
        <f t="shared" si="156"/>
        <v>0</v>
      </c>
      <c r="HT16" s="202">
        <f t="shared" si="157"/>
        <v>0</v>
      </c>
      <c r="HU16" s="202">
        <f t="shared" si="49"/>
        <v>0</v>
      </c>
      <c r="HV16" s="203">
        <f t="shared" si="158"/>
        <v>0</v>
      </c>
      <c r="HW16" s="202">
        <f t="shared" si="50"/>
        <v>0</v>
      </c>
      <c r="HX16" s="202">
        <f t="shared" si="51"/>
        <v>0</v>
      </c>
      <c r="HY16" s="203">
        <f t="shared" si="52"/>
        <v>0</v>
      </c>
      <c r="HZ16" s="202">
        <f t="shared" si="159"/>
        <v>0</v>
      </c>
      <c r="IA16" s="202">
        <f t="shared" si="53"/>
        <v>0</v>
      </c>
      <c r="IB16" s="203">
        <f t="shared" si="160"/>
        <v>0</v>
      </c>
      <c r="IC16" s="202">
        <f t="shared" si="54"/>
        <v>0</v>
      </c>
      <c r="ID16" s="202">
        <f t="shared" si="55"/>
        <v>0</v>
      </c>
      <c r="IE16" s="203">
        <f t="shared" si="56"/>
        <v>0</v>
      </c>
      <c r="IF16" s="202">
        <f t="shared" si="57"/>
        <v>0</v>
      </c>
      <c r="IG16" s="202">
        <f t="shared" si="58"/>
        <v>0</v>
      </c>
      <c r="IH16" s="203">
        <f t="shared" si="161"/>
        <v>0</v>
      </c>
      <c r="II16" s="202">
        <f t="shared" si="162"/>
        <v>0</v>
      </c>
      <c r="IJ16" s="202">
        <f t="shared" si="59"/>
        <v>0</v>
      </c>
      <c r="IK16" s="203">
        <f t="shared" si="60"/>
        <v>0</v>
      </c>
      <c r="IL16" s="202">
        <f t="shared" si="61"/>
        <v>0</v>
      </c>
      <c r="IM16" s="202">
        <f t="shared" si="62"/>
        <v>0</v>
      </c>
      <c r="IN16" s="204"/>
      <c r="IO16" s="203">
        <f t="shared" si="63"/>
        <v>0</v>
      </c>
      <c r="IP16" s="202">
        <f t="shared" si="64"/>
        <v>0</v>
      </c>
      <c r="IQ16" s="202">
        <f t="shared" si="65"/>
        <v>0</v>
      </c>
      <c r="IR16" s="204"/>
      <c r="IS16" s="203"/>
      <c r="IT16" s="202">
        <f t="shared" si="66"/>
        <v>1</v>
      </c>
      <c r="IU16" s="202">
        <f t="shared" si="67"/>
        <v>100</v>
      </c>
      <c r="IV16" s="204"/>
      <c r="IW16" s="203"/>
      <c r="IX16" s="202">
        <f t="shared" si="68"/>
        <v>0</v>
      </c>
      <c r="IY16" s="202">
        <f t="shared" si="69"/>
        <v>0</v>
      </c>
      <c r="IZ16" s="204"/>
      <c r="JA16" s="203"/>
      <c r="JB16" s="202">
        <f t="shared" si="70"/>
        <v>0</v>
      </c>
      <c r="JC16" s="202">
        <f t="shared" si="71"/>
        <v>0</v>
      </c>
      <c r="JD16" s="204"/>
      <c r="JE16" s="203"/>
      <c r="JF16" s="202">
        <f t="shared" si="163"/>
        <v>1</v>
      </c>
      <c r="JG16" s="202">
        <f t="shared" si="72"/>
        <v>100</v>
      </c>
      <c r="JH16" s="204"/>
      <c r="JI16" s="203"/>
      <c r="JJ16" s="202">
        <f t="shared" si="73"/>
        <v>0</v>
      </c>
      <c r="JK16" s="202">
        <f t="shared" si="74"/>
        <v>0</v>
      </c>
      <c r="JL16" s="195"/>
      <c r="JM16" s="203">
        <f t="shared" si="164"/>
        <v>0</v>
      </c>
      <c r="JN16" s="195"/>
      <c r="JO16" s="196">
        <f t="shared" si="75"/>
        <v>1</v>
      </c>
      <c r="JP16" s="206">
        <f t="shared" si="76"/>
        <v>18</v>
      </c>
      <c r="JQ16" s="206">
        <f t="shared" si="77"/>
        <v>1</v>
      </c>
      <c r="JR16" s="206">
        <f t="shared" si="78"/>
        <v>0</v>
      </c>
      <c r="JS16" s="206">
        <f t="shared" si="79"/>
        <v>0</v>
      </c>
      <c r="JT16" s="206">
        <f t="shared" si="80"/>
        <v>0</v>
      </c>
      <c r="JU16" s="206">
        <f t="shared" si="81"/>
        <v>0</v>
      </c>
      <c r="JV16" s="206">
        <f t="shared" si="82"/>
        <v>0</v>
      </c>
      <c r="JW16" s="206">
        <f t="shared" si="83"/>
        <v>0</v>
      </c>
      <c r="JX16" s="206">
        <f t="shared" si="84"/>
        <v>0</v>
      </c>
      <c r="JY16" s="206">
        <f t="shared" si="85"/>
        <v>0</v>
      </c>
      <c r="JZ16" s="206">
        <f t="shared" si="86"/>
        <v>0</v>
      </c>
      <c r="KA16" s="206">
        <f t="shared" si="87"/>
        <v>0</v>
      </c>
      <c r="KB16" s="206">
        <f t="shared" si="88"/>
        <v>0</v>
      </c>
      <c r="KC16" s="195"/>
      <c r="KD16" s="206">
        <f t="shared" si="165"/>
        <v>0</v>
      </c>
      <c r="KE16" s="206">
        <f t="shared" si="90"/>
        <v>0</v>
      </c>
      <c r="KF16" s="206">
        <f t="shared" si="91"/>
        <v>18</v>
      </c>
      <c r="KG16" s="206">
        <f t="shared" si="92"/>
        <v>18</v>
      </c>
      <c r="KH16" s="206">
        <f t="shared" si="93"/>
        <v>0</v>
      </c>
      <c r="KI16" s="206">
        <f t="shared" si="94"/>
        <v>0</v>
      </c>
      <c r="KJ16" s="206">
        <f t="shared" si="95"/>
        <v>0</v>
      </c>
      <c r="KK16" s="206">
        <f t="shared" si="96"/>
        <v>0</v>
      </c>
      <c r="KL16" s="206">
        <f t="shared" si="97"/>
        <v>0</v>
      </c>
      <c r="KM16" s="206">
        <f t="shared" si="98"/>
        <v>0</v>
      </c>
      <c r="KN16" s="221">
        <f t="shared" si="99"/>
        <v>0</v>
      </c>
      <c r="KO16" s="221">
        <f t="shared" si="100"/>
        <v>0</v>
      </c>
      <c r="KP16" s="221">
        <f t="shared" si="101"/>
        <v>0</v>
      </c>
      <c r="KQ16" s="221">
        <f t="shared" si="102"/>
        <v>0</v>
      </c>
      <c r="KR16" s="221">
        <f t="shared" si="103"/>
        <v>0</v>
      </c>
      <c r="KS16" s="195"/>
      <c r="KT16" s="195">
        <f t="shared" si="104"/>
        <v>0</v>
      </c>
      <c r="KU16" s="221"/>
      <c r="KV16" s="221"/>
      <c r="KW16" s="221"/>
      <c r="KX16" s="221"/>
      <c r="KY16" s="221"/>
      <c r="KZ16" s="221"/>
      <c r="LA16" s="221"/>
      <c r="LB16" s="221"/>
      <c r="LC16" s="221"/>
      <c r="LD16" s="221"/>
      <c r="LE16" s="221"/>
      <c r="LF16" s="221"/>
      <c r="LG16" s="221"/>
      <c r="LH16" s="221"/>
      <c r="LI16" s="221"/>
      <c r="LJ16" s="221"/>
      <c r="LK16" s="221"/>
      <c r="LL16" s="221"/>
      <c r="LM16" s="221"/>
      <c r="LN16" s="221"/>
      <c r="LO16" s="221"/>
      <c r="LP16" s="221"/>
      <c r="LQ16" s="221"/>
      <c r="LR16" s="221"/>
      <c r="LS16" s="221"/>
      <c r="LT16" s="221"/>
      <c r="LU16" s="221"/>
      <c r="LV16" s="221"/>
      <c r="LW16" s="221"/>
      <c r="LX16" s="221"/>
      <c r="LY16" s="221"/>
      <c r="LZ16" s="221"/>
      <c r="MA16" s="221"/>
      <c r="MB16" s="221"/>
      <c r="MC16" s="221"/>
      <c r="MD16" s="221"/>
      <c r="ME16" s="221"/>
      <c r="MF16" s="221"/>
      <c r="MG16" s="221"/>
      <c r="MH16" s="221"/>
      <c r="MI16" s="221"/>
      <c r="MJ16" s="221"/>
      <c r="MK16" s="221"/>
      <c r="ML16" s="221"/>
      <c r="MM16" s="221"/>
      <c r="MN16" s="221"/>
      <c r="MO16" s="221"/>
      <c r="MP16" s="221"/>
      <c r="MQ16" s="221"/>
      <c r="MR16" s="221"/>
      <c r="MS16" s="221"/>
      <c r="MT16" s="221"/>
      <c r="MU16" s="221"/>
      <c r="MV16" s="221"/>
      <c r="MW16" s="221"/>
      <c r="MX16" s="221"/>
      <c r="MY16" s="221"/>
      <c r="MZ16" s="221"/>
      <c r="NA16" s="221"/>
      <c r="NB16" s="221"/>
      <c r="NC16" s="221"/>
      <c r="ND16" s="221"/>
      <c r="NE16" s="221"/>
      <c r="NF16" s="221"/>
      <c r="NG16" s="221"/>
      <c r="NH16" s="221"/>
      <c r="NI16" s="221"/>
      <c r="NJ16" s="221"/>
      <c r="NK16" s="221"/>
      <c r="NL16" s="195"/>
      <c r="NM16" s="195">
        <f t="shared" si="166"/>
        <v>0</v>
      </c>
      <c r="NN16" s="195">
        <f t="shared" si="167"/>
        <v>0</v>
      </c>
      <c r="NO16" s="195">
        <f t="shared" si="168"/>
        <v>0</v>
      </c>
      <c r="NP16" s="195">
        <f t="shared" si="169"/>
        <v>0</v>
      </c>
      <c r="NQ16" s="195">
        <f t="shared" si="170"/>
        <v>0</v>
      </c>
      <c r="NR16" s="195">
        <f t="shared" si="171"/>
        <v>0</v>
      </c>
      <c r="NS16" s="195">
        <f t="shared" si="172"/>
        <v>0</v>
      </c>
      <c r="NT16" s="195">
        <f t="shared" si="173"/>
        <v>0</v>
      </c>
      <c r="NU16" s="196">
        <f t="shared" si="174"/>
        <v>0</v>
      </c>
      <c r="NV16" s="195"/>
      <c r="NW16" s="195"/>
      <c r="NX16" s="195"/>
      <c r="NY16" s="196">
        <f t="shared" si="106"/>
        <v>1</v>
      </c>
      <c r="NZ16" s="222">
        <v>8500000</v>
      </c>
      <c r="OA16" s="195"/>
      <c r="OB16" s="195"/>
      <c r="OC16" s="195"/>
      <c r="OD16" s="195"/>
      <c r="OE16" s="207">
        <f t="shared" si="107"/>
        <v>0</v>
      </c>
      <c r="OF16" s="207">
        <f t="shared" si="108"/>
        <v>0</v>
      </c>
      <c r="OG16" s="207">
        <f t="shared" si="109"/>
        <v>0</v>
      </c>
      <c r="OH16" s="207">
        <f t="shared" si="175"/>
        <v>0</v>
      </c>
      <c r="OI16" s="207">
        <f t="shared" si="110"/>
        <v>0</v>
      </c>
      <c r="OJ16" s="199">
        <f t="shared" si="176"/>
        <v>0</v>
      </c>
      <c r="OK16" s="199">
        <f t="shared" si="177"/>
        <v>0</v>
      </c>
      <c r="OL16" s="199">
        <f t="shared" si="178"/>
        <v>0</v>
      </c>
      <c r="OM16" s="199">
        <f t="shared" si="179"/>
        <v>0</v>
      </c>
      <c r="ON16" s="195"/>
      <c r="OO16" s="207">
        <f t="shared" si="111"/>
        <v>0</v>
      </c>
      <c r="OP16" s="207">
        <f t="shared" si="112"/>
        <v>0</v>
      </c>
      <c r="OQ16" s="207">
        <f t="shared" si="180"/>
        <v>0</v>
      </c>
      <c r="OR16" s="207">
        <f t="shared" si="181"/>
        <v>0</v>
      </c>
      <c r="OS16" s="207">
        <f t="shared" si="182"/>
        <v>0</v>
      </c>
      <c r="OT16" s="199">
        <f t="shared" si="183"/>
        <v>0</v>
      </c>
      <c r="OU16" s="199">
        <f t="shared" si="184"/>
        <v>0</v>
      </c>
      <c r="OV16" s="199">
        <f t="shared" si="185"/>
        <v>0</v>
      </c>
      <c r="OW16" s="199">
        <f t="shared" si="186"/>
        <v>0</v>
      </c>
      <c r="OX16" s="195"/>
      <c r="OY16" s="195"/>
      <c r="OZ16" s="195"/>
      <c r="PA16" s="209"/>
      <c r="PB16" s="209"/>
      <c r="PC16" s="209"/>
      <c r="PD16" s="210">
        <f t="shared" si="113"/>
        <v>0</v>
      </c>
      <c r="PE16" s="210"/>
      <c r="PF16" s="210">
        <f t="shared" si="114"/>
        <v>0</v>
      </c>
      <c r="PG16" s="210">
        <f t="shared" si="115"/>
        <v>0</v>
      </c>
      <c r="PH16" s="210">
        <f t="shared" si="115"/>
        <v>0</v>
      </c>
      <c r="PI16" s="210">
        <f t="shared" si="115"/>
        <v>0</v>
      </c>
      <c r="PJ16" s="210">
        <f t="shared" si="115"/>
        <v>0</v>
      </c>
      <c r="PK16" s="210">
        <f t="shared" si="115"/>
        <v>0</v>
      </c>
      <c r="PL16" s="210">
        <f t="shared" si="115"/>
        <v>0</v>
      </c>
      <c r="PM16" s="195"/>
      <c r="PN16" s="195"/>
      <c r="PO16" s="212">
        <f t="shared" si="187"/>
        <v>0</v>
      </c>
      <c r="PP16" s="212">
        <f t="shared" si="188"/>
        <v>0</v>
      </c>
      <c r="PQ16" s="212">
        <f t="shared" si="189"/>
        <v>0</v>
      </c>
    </row>
    <row r="17" spans="1:433" ht="16" x14ac:dyDescent="0.2">
      <c r="A17" s="213">
        <f t="shared" si="190"/>
        <v>9</v>
      </c>
      <c r="B17" s="186" t="s">
        <v>96</v>
      </c>
      <c r="C17" s="186">
        <v>9</v>
      </c>
      <c r="D17" s="188">
        <v>1</v>
      </c>
      <c r="E17" s="188">
        <v>25</v>
      </c>
      <c r="F17" s="188">
        <v>1</v>
      </c>
      <c r="G17" s="188">
        <f t="shared" si="116"/>
        <v>25</v>
      </c>
      <c r="H17" s="214">
        <f t="shared" si="2"/>
        <v>1</v>
      </c>
      <c r="I17" s="214">
        <f t="shared" si="3"/>
        <v>1</v>
      </c>
      <c r="J17" s="188">
        <v>1</v>
      </c>
      <c r="K17" s="188">
        <f t="shared" si="4"/>
        <v>25</v>
      </c>
      <c r="L17" s="214">
        <f t="shared" si="5"/>
        <v>1</v>
      </c>
      <c r="M17" s="214">
        <f t="shared" si="6"/>
        <v>1</v>
      </c>
      <c r="N17" s="188">
        <v>1</v>
      </c>
      <c r="O17" s="188">
        <f t="shared" si="7"/>
        <v>25</v>
      </c>
      <c r="P17" s="214">
        <f t="shared" si="8"/>
        <v>1</v>
      </c>
      <c r="Q17" s="214">
        <f t="shared" si="9"/>
        <v>1</v>
      </c>
      <c r="R17" s="188">
        <v>1</v>
      </c>
      <c r="S17" s="188">
        <f t="shared" si="117"/>
        <v>25</v>
      </c>
      <c r="T17" s="214">
        <f t="shared" si="118"/>
        <v>1</v>
      </c>
      <c r="U17" s="214">
        <f t="shared" si="119"/>
        <v>1</v>
      </c>
      <c r="V17" s="188">
        <v>1</v>
      </c>
      <c r="W17" s="188">
        <f t="shared" si="10"/>
        <v>25</v>
      </c>
      <c r="X17" s="214">
        <f t="shared" si="11"/>
        <v>1</v>
      </c>
      <c r="Y17" s="214">
        <f t="shared" si="12"/>
        <v>1</v>
      </c>
      <c r="Z17" s="224">
        <f>1424471000/1000000000</f>
        <v>1.424471</v>
      </c>
      <c r="AA17" s="188"/>
      <c r="AB17" s="189">
        <f t="shared" si="120"/>
        <v>0</v>
      </c>
      <c r="AC17" s="250">
        <f t="shared" si="121"/>
        <v>0</v>
      </c>
      <c r="AD17" s="250">
        <f t="shared" si="122"/>
        <v>0</v>
      </c>
      <c r="AE17" s="188"/>
      <c r="AF17" s="188">
        <f t="shared" si="15"/>
        <v>0</v>
      </c>
      <c r="AG17" s="188"/>
      <c r="AH17" s="187"/>
      <c r="AI17" s="188">
        <v>0</v>
      </c>
      <c r="AJ17" s="188">
        <f t="shared" si="16"/>
        <v>0</v>
      </c>
      <c r="AK17" s="188"/>
      <c r="AL17" s="188">
        <v>0</v>
      </c>
      <c r="AM17" s="188">
        <v>0</v>
      </c>
      <c r="AN17" s="217"/>
      <c r="AO17" s="196">
        <f t="shared" si="123"/>
        <v>0</v>
      </c>
      <c r="AP17" s="195"/>
      <c r="AQ17" s="195"/>
      <c r="AR17" s="195"/>
      <c r="AS17" s="195"/>
      <c r="AT17" s="195"/>
      <c r="AU17" s="195"/>
      <c r="AV17" s="195"/>
      <c r="AW17" s="195"/>
      <c r="AX17" s="195"/>
      <c r="AY17" s="195"/>
      <c r="AZ17" s="195"/>
      <c r="BA17" s="195"/>
      <c r="BB17" s="188">
        <f t="shared" si="17"/>
        <v>0</v>
      </c>
      <c r="BC17" s="195"/>
      <c r="BD17" s="196"/>
      <c r="BE17" s="188">
        <f t="shared" si="18"/>
        <v>0</v>
      </c>
      <c r="BF17" s="188">
        <f t="shared" si="19"/>
        <v>0</v>
      </c>
      <c r="BG17" s="188">
        <f t="shared" si="20"/>
        <v>0</v>
      </c>
      <c r="BH17" s="188">
        <f t="shared" si="21"/>
        <v>0</v>
      </c>
      <c r="BI17" s="188">
        <f t="shared" si="22"/>
        <v>0</v>
      </c>
      <c r="BJ17" s="188">
        <f t="shared" si="23"/>
        <v>0</v>
      </c>
      <c r="BK17" s="188">
        <f t="shared" si="124"/>
        <v>0</v>
      </c>
      <c r="BL17" s="195"/>
      <c r="BM17" s="195"/>
      <c r="BN17" s="143"/>
      <c r="BO17" s="277"/>
      <c r="BP17" s="188"/>
      <c r="BQ17" s="188"/>
      <c r="BR17" s="188"/>
      <c r="BS17" s="188"/>
      <c r="BT17" s="188"/>
      <c r="BU17" s="188"/>
      <c r="BV17" s="188"/>
      <c r="BW17" s="188"/>
      <c r="BX17" s="188"/>
      <c r="BY17" s="188"/>
      <c r="BZ17" s="188"/>
      <c r="CA17" s="195"/>
      <c r="CB17" s="189">
        <v>0</v>
      </c>
      <c r="CC17" s="195"/>
      <c r="CD17" s="189">
        <f t="shared" si="125"/>
        <v>0</v>
      </c>
      <c r="CE17" s="189">
        <f t="shared" si="191"/>
        <v>0</v>
      </c>
      <c r="CF17" s="189">
        <f t="shared" si="126"/>
        <v>0</v>
      </c>
      <c r="CG17" s="189">
        <f t="shared" si="127"/>
        <v>0</v>
      </c>
      <c r="CH17" s="189">
        <f t="shared" si="128"/>
        <v>0</v>
      </c>
      <c r="CI17" s="189">
        <f t="shared" si="129"/>
        <v>0</v>
      </c>
      <c r="CJ17" s="189">
        <f t="shared" si="130"/>
        <v>0</v>
      </c>
      <c r="CK17" s="189">
        <f t="shared" si="131"/>
        <v>0</v>
      </c>
      <c r="CL17" s="189">
        <f t="shared" si="132"/>
        <v>0</v>
      </c>
      <c r="CM17" s="189">
        <f t="shared" si="133"/>
        <v>0</v>
      </c>
      <c r="CN17" s="189">
        <f t="shared" si="134"/>
        <v>0</v>
      </c>
      <c r="CO17" s="189">
        <f t="shared" si="135"/>
        <v>0</v>
      </c>
      <c r="CP17" s="189">
        <f t="shared" si="136"/>
        <v>0</v>
      </c>
      <c r="CQ17" s="195"/>
      <c r="CR17" s="195"/>
      <c r="CS17" s="195"/>
      <c r="CT17" s="195"/>
      <c r="CU17" s="195"/>
      <c r="CV17" s="195"/>
      <c r="CW17" s="195"/>
      <c r="CX17" s="195"/>
      <c r="CY17" s="195"/>
      <c r="CZ17" s="195"/>
      <c r="DA17" s="195"/>
      <c r="DB17" s="195"/>
      <c r="DC17" s="195"/>
      <c r="DD17" s="195"/>
      <c r="DE17" s="195"/>
      <c r="DF17" s="195"/>
      <c r="DG17" s="195"/>
      <c r="DH17" s="195"/>
      <c r="DI17" s="195"/>
      <c r="DJ17" s="195"/>
      <c r="DK17" s="195"/>
      <c r="DL17" s="195"/>
      <c r="DM17" s="195"/>
      <c r="DN17" s="195"/>
      <c r="DO17" s="195"/>
      <c r="DP17" s="195"/>
      <c r="DQ17" s="195"/>
      <c r="DR17" s="195"/>
      <c r="DS17" s="195"/>
      <c r="DT17" s="195"/>
      <c r="DU17" s="195"/>
      <c r="DV17" s="189">
        <f t="shared" si="26"/>
        <v>0</v>
      </c>
      <c r="DW17" s="189">
        <f t="shared" si="27"/>
        <v>0</v>
      </c>
      <c r="DX17" s="189">
        <f t="shared" si="28"/>
        <v>0</v>
      </c>
      <c r="DY17" s="189">
        <f t="shared" si="29"/>
        <v>0</v>
      </c>
      <c r="DZ17" s="189">
        <f t="shared" si="30"/>
        <v>0</v>
      </c>
      <c r="EA17" s="189">
        <f t="shared" si="31"/>
        <v>0</v>
      </c>
      <c r="EB17" s="189">
        <f t="shared" si="137"/>
        <v>0</v>
      </c>
      <c r="EC17" s="195"/>
      <c r="ED17" s="197" t="s">
        <v>351</v>
      </c>
      <c r="EE17" s="197" t="s">
        <v>377</v>
      </c>
      <c r="EF17" s="219"/>
      <c r="EG17" s="252">
        <f t="shared" si="138"/>
        <v>0</v>
      </c>
      <c r="EH17" s="252">
        <f t="shared" si="139"/>
        <v>0</v>
      </c>
      <c r="EI17" s="189"/>
      <c r="EJ17" s="189"/>
      <c r="EK17" s="189"/>
      <c r="EL17" s="189"/>
      <c r="EM17" s="189"/>
      <c r="EN17" s="189"/>
      <c r="EO17" s="189"/>
      <c r="EP17" s="189"/>
      <c r="EQ17" s="189"/>
      <c r="ER17" s="189"/>
      <c r="ES17" s="189"/>
      <c r="ET17" s="189"/>
      <c r="EU17" s="189"/>
      <c r="EV17" s="189"/>
      <c r="EW17" s="189"/>
      <c r="EX17" s="189"/>
      <c r="EY17" s="189"/>
      <c r="EZ17" s="189"/>
      <c r="FA17" s="189"/>
      <c r="FB17" s="189"/>
      <c r="FC17" s="189"/>
      <c r="FD17" s="189"/>
      <c r="FE17" s="189"/>
      <c r="FF17" s="189"/>
      <c r="FG17" s="195"/>
      <c r="FH17" s="189"/>
      <c r="FI17" s="189"/>
      <c r="FJ17" s="189"/>
      <c r="FK17" s="189"/>
      <c r="FL17" s="189"/>
      <c r="FM17" s="189"/>
      <c r="FN17" s="189"/>
      <c r="FO17" s="189"/>
      <c r="FP17" s="189"/>
      <c r="FQ17" s="189"/>
      <c r="FR17" s="189"/>
      <c r="FS17" s="189"/>
      <c r="FT17" s="189"/>
      <c r="FU17" s="189"/>
      <c r="FV17" s="189"/>
      <c r="FW17" s="195"/>
      <c r="FX17" s="253"/>
      <c r="FY17" s="189">
        <f t="shared" si="140"/>
        <v>0</v>
      </c>
      <c r="FZ17" s="189">
        <f t="shared" si="33"/>
        <v>0</v>
      </c>
      <c r="GA17" s="189">
        <f t="shared" si="34"/>
        <v>0</v>
      </c>
      <c r="GB17" s="189">
        <f t="shared" si="35"/>
        <v>0</v>
      </c>
      <c r="GC17" s="189">
        <f t="shared" si="36"/>
        <v>0</v>
      </c>
      <c r="GD17" s="189">
        <f t="shared" si="37"/>
        <v>0</v>
      </c>
      <c r="GE17" s="189">
        <f t="shared" si="38"/>
        <v>0</v>
      </c>
      <c r="GF17" s="199"/>
      <c r="GG17" s="189">
        <v>0</v>
      </c>
      <c r="GH17" s="189">
        <v>0</v>
      </c>
      <c r="GI17" s="199"/>
      <c r="GJ17" s="200">
        <f t="shared" si="141"/>
        <v>0</v>
      </c>
      <c r="GK17" s="200">
        <f t="shared" si="142"/>
        <v>0</v>
      </c>
      <c r="GL17" s="195"/>
      <c r="GM17" s="195"/>
      <c r="GN17" s="195"/>
      <c r="GO17" s="189">
        <f t="shared" si="39"/>
        <v>0</v>
      </c>
      <c r="GP17" s="189">
        <f t="shared" si="40"/>
        <v>0</v>
      </c>
      <c r="GQ17" s="189">
        <f t="shared" si="41"/>
        <v>0</v>
      </c>
      <c r="GR17" s="189">
        <f t="shared" si="42"/>
        <v>0</v>
      </c>
      <c r="GS17" s="189">
        <f t="shared" si="43"/>
        <v>0</v>
      </c>
      <c r="GT17" s="189">
        <f t="shared" si="143"/>
        <v>1</v>
      </c>
      <c r="GU17" s="201">
        <f t="shared" si="144"/>
        <v>43243</v>
      </c>
      <c r="GV17" s="189" t="str">
        <f t="shared" si="145"/>
        <v>SELESAI</v>
      </c>
      <c r="GW17" s="189">
        <f t="shared" si="146"/>
        <v>0</v>
      </c>
      <c r="GX17" s="202" t="str">
        <f t="shared" si="147"/>
        <v>SELESAI</v>
      </c>
      <c r="GY17" s="202">
        <f t="shared" si="148"/>
        <v>0</v>
      </c>
      <c r="GZ17" s="203" t="str">
        <f t="shared" si="149"/>
        <v>SELESAI</v>
      </c>
      <c r="HA17" s="204"/>
      <c r="HB17" s="204"/>
      <c r="HC17" s="189">
        <f t="shared" si="44"/>
        <v>0</v>
      </c>
      <c r="HD17" s="189">
        <f t="shared" si="45"/>
        <v>0</v>
      </c>
      <c r="HE17" s="189">
        <f t="shared" si="150"/>
        <v>0</v>
      </c>
      <c r="HF17" s="189">
        <f t="shared" si="151"/>
        <v>0</v>
      </c>
      <c r="HG17" s="189">
        <f t="shared" si="152"/>
        <v>0</v>
      </c>
      <c r="HH17" s="201" t="str">
        <f t="shared" si="46"/>
        <v>TIDAK KONSINYASI</v>
      </c>
      <c r="HI17" s="201" t="str">
        <f t="shared" si="153"/>
        <v>SELESAI</v>
      </c>
      <c r="HJ17" s="205"/>
      <c r="HK17" s="201">
        <f t="shared" si="47"/>
        <v>0</v>
      </c>
      <c r="HL17" s="204"/>
      <c r="HM17" s="204"/>
      <c r="HN17" s="204"/>
      <c r="HO17" s="204"/>
      <c r="HP17" s="203">
        <f t="shared" si="154"/>
        <v>0</v>
      </c>
      <c r="HQ17" s="202">
        <f t="shared" si="155"/>
        <v>0</v>
      </c>
      <c r="HR17" s="202">
        <f t="shared" si="48"/>
        <v>0</v>
      </c>
      <c r="HS17" s="203">
        <f t="shared" si="156"/>
        <v>0</v>
      </c>
      <c r="HT17" s="202">
        <f t="shared" si="157"/>
        <v>0</v>
      </c>
      <c r="HU17" s="202">
        <f t="shared" si="49"/>
        <v>0</v>
      </c>
      <c r="HV17" s="203">
        <f t="shared" si="158"/>
        <v>0</v>
      </c>
      <c r="HW17" s="202">
        <f t="shared" si="50"/>
        <v>0</v>
      </c>
      <c r="HX17" s="202">
        <f t="shared" si="51"/>
        <v>0</v>
      </c>
      <c r="HY17" s="203">
        <f t="shared" si="52"/>
        <v>0</v>
      </c>
      <c r="HZ17" s="202">
        <f t="shared" si="159"/>
        <v>0</v>
      </c>
      <c r="IA17" s="202">
        <f t="shared" si="53"/>
        <v>0</v>
      </c>
      <c r="IB17" s="203">
        <f t="shared" si="160"/>
        <v>0</v>
      </c>
      <c r="IC17" s="202">
        <f t="shared" si="54"/>
        <v>0</v>
      </c>
      <c r="ID17" s="202">
        <f t="shared" si="55"/>
        <v>0</v>
      </c>
      <c r="IE17" s="203">
        <f t="shared" si="56"/>
        <v>0</v>
      </c>
      <c r="IF17" s="202">
        <f t="shared" si="57"/>
        <v>0</v>
      </c>
      <c r="IG17" s="202">
        <f t="shared" si="58"/>
        <v>0</v>
      </c>
      <c r="IH17" s="203">
        <f t="shared" si="161"/>
        <v>0</v>
      </c>
      <c r="II17" s="202">
        <f t="shared" si="162"/>
        <v>0</v>
      </c>
      <c r="IJ17" s="202">
        <f t="shared" si="59"/>
        <v>0</v>
      </c>
      <c r="IK17" s="203">
        <f t="shared" si="60"/>
        <v>0</v>
      </c>
      <c r="IL17" s="202">
        <f t="shared" si="61"/>
        <v>0</v>
      </c>
      <c r="IM17" s="202">
        <f t="shared" si="62"/>
        <v>0</v>
      </c>
      <c r="IN17" s="204"/>
      <c r="IO17" s="203">
        <f t="shared" si="63"/>
        <v>0</v>
      </c>
      <c r="IP17" s="202">
        <f t="shared" si="64"/>
        <v>0</v>
      </c>
      <c r="IQ17" s="202">
        <f t="shared" si="65"/>
        <v>0</v>
      </c>
      <c r="IR17" s="204"/>
      <c r="IS17" s="203"/>
      <c r="IT17" s="202">
        <f t="shared" si="66"/>
        <v>1</v>
      </c>
      <c r="IU17" s="202">
        <f t="shared" si="67"/>
        <v>25</v>
      </c>
      <c r="IV17" s="204"/>
      <c r="IW17" s="203"/>
      <c r="IX17" s="202">
        <f t="shared" si="68"/>
        <v>0</v>
      </c>
      <c r="IY17" s="202">
        <f t="shared" si="69"/>
        <v>0</v>
      </c>
      <c r="IZ17" s="204"/>
      <c r="JA17" s="203"/>
      <c r="JB17" s="202">
        <f t="shared" si="70"/>
        <v>0</v>
      </c>
      <c r="JC17" s="202">
        <f t="shared" si="71"/>
        <v>0</v>
      </c>
      <c r="JD17" s="204"/>
      <c r="JE17" s="203"/>
      <c r="JF17" s="202">
        <f t="shared" si="163"/>
        <v>1</v>
      </c>
      <c r="JG17" s="202">
        <f t="shared" si="72"/>
        <v>25</v>
      </c>
      <c r="JH17" s="204"/>
      <c r="JI17" s="203"/>
      <c r="JJ17" s="202">
        <f t="shared" si="73"/>
        <v>0</v>
      </c>
      <c r="JK17" s="202">
        <f t="shared" si="74"/>
        <v>0</v>
      </c>
      <c r="JL17" s="195"/>
      <c r="JM17" s="203">
        <f t="shared" si="164"/>
        <v>0</v>
      </c>
      <c r="JN17" s="195"/>
      <c r="JO17" s="196">
        <f t="shared" si="75"/>
        <v>0</v>
      </c>
      <c r="JP17" s="206">
        <f t="shared" si="76"/>
        <v>0</v>
      </c>
      <c r="JQ17" s="206">
        <f t="shared" si="77"/>
        <v>0</v>
      </c>
      <c r="JR17" s="206">
        <f t="shared" si="78"/>
        <v>0</v>
      </c>
      <c r="JS17" s="206">
        <f t="shared" si="79"/>
        <v>0</v>
      </c>
      <c r="JT17" s="206">
        <f t="shared" si="80"/>
        <v>0</v>
      </c>
      <c r="JU17" s="206">
        <f t="shared" si="81"/>
        <v>0</v>
      </c>
      <c r="JV17" s="206">
        <f t="shared" si="82"/>
        <v>0</v>
      </c>
      <c r="JW17" s="206">
        <f t="shared" si="83"/>
        <v>0</v>
      </c>
      <c r="JX17" s="206">
        <f t="shared" si="84"/>
        <v>0</v>
      </c>
      <c r="JY17" s="206">
        <f t="shared" si="85"/>
        <v>0</v>
      </c>
      <c r="JZ17" s="206">
        <f t="shared" si="86"/>
        <v>0</v>
      </c>
      <c r="KA17" s="206">
        <f t="shared" si="87"/>
        <v>0</v>
      </c>
      <c r="KB17" s="206">
        <f t="shared" si="88"/>
        <v>0</v>
      </c>
      <c r="KC17" s="195"/>
      <c r="KD17" s="206">
        <f t="shared" si="165"/>
        <v>0</v>
      </c>
      <c r="KE17" s="206">
        <f t="shared" si="90"/>
        <v>0</v>
      </c>
      <c r="KF17" s="206">
        <f t="shared" si="91"/>
        <v>0</v>
      </c>
      <c r="KG17" s="206">
        <f t="shared" si="92"/>
        <v>0</v>
      </c>
      <c r="KH17" s="206">
        <f t="shared" si="93"/>
        <v>0</v>
      </c>
      <c r="KI17" s="206">
        <f t="shared" si="94"/>
        <v>0</v>
      </c>
      <c r="KJ17" s="206">
        <f t="shared" si="95"/>
        <v>0</v>
      </c>
      <c r="KK17" s="206">
        <f t="shared" si="96"/>
        <v>0</v>
      </c>
      <c r="KL17" s="206">
        <f t="shared" si="97"/>
        <v>0</v>
      </c>
      <c r="KM17" s="206">
        <f t="shared" si="98"/>
        <v>0</v>
      </c>
      <c r="KN17" s="221">
        <f t="shared" si="99"/>
        <v>0</v>
      </c>
      <c r="KO17" s="221">
        <f t="shared" si="100"/>
        <v>0</v>
      </c>
      <c r="KP17" s="221">
        <f t="shared" si="101"/>
        <v>0</v>
      </c>
      <c r="KQ17" s="221">
        <f t="shared" si="102"/>
        <v>0</v>
      </c>
      <c r="KR17" s="221">
        <f t="shared" si="103"/>
        <v>0</v>
      </c>
      <c r="KS17" s="195"/>
      <c r="KT17" s="195">
        <f t="shared" si="104"/>
        <v>0</v>
      </c>
      <c r="KU17" s="221"/>
      <c r="KV17" s="221"/>
      <c r="KW17" s="221"/>
      <c r="KX17" s="221"/>
      <c r="KY17" s="221"/>
      <c r="KZ17" s="221"/>
      <c r="LA17" s="221"/>
      <c r="LB17" s="221"/>
      <c r="LC17" s="221"/>
      <c r="LD17" s="221"/>
      <c r="LE17" s="221"/>
      <c r="LF17" s="221"/>
      <c r="LG17" s="221"/>
      <c r="LH17" s="221"/>
      <c r="LI17" s="221"/>
      <c r="LJ17" s="221"/>
      <c r="LK17" s="221"/>
      <c r="LL17" s="221"/>
      <c r="LM17" s="221"/>
      <c r="LN17" s="221"/>
      <c r="LO17" s="221"/>
      <c r="LP17" s="221"/>
      <c r="LQ17" s="221"/>
      <c r="LR17" s="221"/>
      <c r="LS17" s="221"/>
      <c r="LT17" s="221"/>
      <c r="LU17" s="221"/>
      <c r="LV17" s="221"/>
      <c r="LW17" s="221"/>
      <c r="LX17" s="221"/>
      <c r="LY17" s="221"/>
      <c r="LZ17" s="221"/>
      <c r="MA17" s="221"/>
      <c r="MB17" s="221"/>
      <c r="MC17" s="221"/>
      <c r="MD17" s="221"/>
      <c r="ME17" s="221"/>
      <c r="MF17" s="221"/>
      <c r="MG17" s="221"/>
      <c r="MH17" s="221"/>
      <c r="MI17" s="221"/>
      <c r="MJ17" s="221"/>
      <c r="MK17" s="221"/>
      <c r="ML17" s="221"/>
      <c r="MM17" s="221"/>
      <c r="MN17" s="221"/>
      <c r="MO17" s="221"/>
      <c r="MP17" s="221"/>
      <c r="MQ17" s="221"/>
      <c r="MR17" s="221"/>
      <c r="MS17" s="221"/>
      <c r="MT17" s="221"/>
      <c r="MU17" s="221"/>
      <c r="MV17" s="221"/>
      <c r="MW17" s="221"/>
      <c r="MX17" s="221"/>
      <c r="MY17" s="221"/>
      <c r="MZ17" s="221"/>
      <c r="NA17" s="221"/>
      <c r="NB17" s="221"/>
      <c r="NC17" s="221"/>
      <c r="ND17" s="221"/>
      <c r="NE17" s="221"/>
      <c r="NF17" s="221"/>
      <c r="NG17" s="221"/>
      <c r="NH17" s="221"/>
      <c r="NI17" s="221"/>
      <c r="NJ17" s="221"/>
      <c r="NK17" s="221"/>
      <c r="NL17" s="195"/>
      <c r="NM17" s="195">
        <f t="shared" si="166"/>
        <v>0</v>
      </c>
      <c r="NN17" s="195">
        <f t="shared" si="167"/>
        <v>0</v>
      </c>
      <c r="NO17" s="195">
        <f t="shared" si="168"/>
        <v>0</v>
      </c>
      <c r="NP17" s="195">
        <f t="shared" si="169"/>
        <v>0</v>
      </c>
      <c r="NQ17" s="195">
        <f t="shared" si="170"/>
        <v>0</v>
      </c>
      <c r="NR17" s="195">
        <f t="shared" si="171"/>
        <v>0</v>
      </c>
      <c r="NS17" s="195">
        <f t="shared" si="172"/>
        <v>0</v>
      </c>
      <c r="NT17" s="195">
        <f t="shared" si="173"/>
        <v>0</v>
      </c>
      <c r="NU17" s="196">
        <f t="shared" si="174"/>
        <v>0</v>
      </c>
      <c r="NV17" s="195"/>
      <c r="NW17" s="195"/>
      <c r="NX17" s="195"/>
      <c r="NY17" s="196">
        <f t="shared" si="106"/>
        <v>1</v>
      </c>
      <c r="NZ17" s="222">
        <v>8500000</v>
      </c>
      <c r="OA17" s="195"/>
      <c r="OB17" s="195"/>
      <c r="OC17" s="195"/>
      <c r="OD17" s="195"/>
      <c r="OE17" s="207">
        <f t="shared" si="107"/>
        <v>0</v>
      </c>
      <c r="OF17" s="207">
        <f t="shared" si="108"/>
        <v>0</v>
      </c>
      <c r="OG17" s="207">
        <f t="shared" si="109"/>
        <v>0</v>
      </c>
      <c r="OH17" s="207">
        <f t="shared" si="175"/>
        <v>0</v>
      </c>
      <c r="OI17" s="207">
        <f t="shared" si="110"/>
        <v>0</v>
      </c>
      <c r="OJ17" s="199">
        <f t="shared" si="176"/>
        <v>0</v>
      </c>
      <c r="OK17" s="199">
        <f t="shared" si="177"/>
        <v>0</v>
      </c>
      <c r="OL17" s="199">
        <f t="shared" si="178"/>
        <v>0</v>
      </c>
      <c r="OM17" s="199">
        <f t="shared" si="179"/>
        <v>0</v>
      </c>
      <c r="ON17" s="195"/>
      <c r="OO17" s="207">
        <f t="shared" si="111"/>
        <v>0</v>
      </c>
      <c r="OP17" s="207">
        <f t="shared" si="112"/>
        <v>0</v>
      </c>
      <c r="OQ17" s="207">
        <f t="shared" si="180"/>
        <v>0</v>
      </c>
      <c r="OR17" s="207">
        <f t="shared" si="181"/>
        <v>0</v>
      </c>
      <c r="OS17" s="207">
        <f t="shared" si="182"/>
        <v>0</v>
      </c>
      <c r="OT17" s="199">
        <f t="shared" si="183"/>
        <v>0</v>
      </c>
      <c r="OU17" s="199">
        <f t="shared" si="184"/>
        <v>0</v>
      </c>
      <c r="OV17" s="199">
        <f t="shared" si="185"/>
        <v>0</v>
      </c>
      <c r="OW17" s="199">
        <f t="shared" si="186"/>
        <v>0</v>
      </c>
      <c r="OX17" s="195"/>
      <c r="OY17" s="195"/>
      <c r="OZ17" s="195"/>
      <c r="PA17" s="209"/>
      <c r="PB17" s="209"/>
      <c r="PC17" s="209"/>
      <c r="PD17" s="210">
        <f t="shared" si="113"/>
        <v>0</v>
      </c>
      <c r="PE17" s="210"/>
      <c r="PF17" s="210">
        <f t="shared" si="114"/>
        <v>0</v>
      </c>
      <c r="PG17" s="210">
        <f t="shared" si="115"/>
        <v>0</v>
      </c>
      <c r="PH17" s="210">
        <f t="shared" si="115"/>
        <v>0</v>
      </c>
      <c r="PI17" s="210">
        <f t="shared" si="115"/>
        <v>0</v>
      </c>
      <c r="PJ17" s="210">
        <f t="shared" si="115"/>
        <v>0</v>
      </c>
      <c r="PK17" s="210">
        <f t="shared" si="115"/>
        <v>0</v>
      </c>
      <c r="PL17" s="210">
        <f t="shared" si="115"/>
        <v>0</v>
      </c>
      <c r="PM17" s="195"/>
      <c r="PN17" s="195"/>
      <c r="PO17" s="212">
        <f t="shared" si="187"/>
        <v>0</v>
      </c>
      <c r="PP17" s="212">
        <f t="shared" si="188"/>
        <v>0</v>
      </c>
      <c r="PQ17" s="212">
        <f t="shared" si="189"/>
        <v>0</v>
      </c>
    </row>
    <row r="18" spans="1:433" ht="16" x14ac:dyDescent="0.2">
      <c r="A18" s="213">
        <f t="shared" si="190"/>
        <v>10</v>
      </c>
      <c r="B18" s="186" t="s">
        <v>97</v>
      </c>
      <c r="C18" s="186">
        <v>10</v>
      </c>
      <c r="D18" s="188">
        <v>1</v>
      </c>
      <c r="E18" s="188">
        <v>161</v>
      </c>
      <c r="F18" s="188">
        <v>1</v>
      </c>
      <c r="G18" s="188">
        <f t="shared" si="116"/>
        <v>161</v>
      </c>
      <c r="H18" s="214">
        <f t="shared" si="2"/>
        <v>1</v>
      </c>
      <c r="I18" s="214">
        <f t="shared" si="3"/>
        <v>1</v>
      </c>
      <c r="J18" s="188">
        <v>1</v>
      </c>
      <c r="K18" s="188">
        <f t="shared" si="4"/>
        <v>161</v>
      </c>
      <c r="L18" s="214">
        <f t="shared" si="5"/>
        <v>1</v>
      </c>
      <c r="M18" s="214">
        <f t="shared" si="6"/>
        <v>1</v>
      </c>
      <c r="N18" s="188">
        <v>1</v>
      </c>
      <c r="O18" s="188">
        <f t="shared" si="7"/>
        <v>161</v>
      </c>
      <c r="P18" s="214">
        <f t="shared" si="8"/>
        <v>1</v>
      </c>
      <c r="Q18" s="214">
        <f t="shared" si="9"/>
        <v>1</v>
      </c>
      <c r="R18" s="188">
        <v>1</v>
      </c>
      <c r="S18" s="188">
        <f t="shared" si="117"/>
        <v>161</v>
      </c>
      <c r="T18" s="214">
        <f t="shared" si="118"/>
        <v>1</v>
      </c>
      <c r="U18" s="214">
        <f t="shared" si="119"/>
        <v>1</v>
      </c>
      <c r="V18" s="188">
        <v>1</v>
      </c>
      <c r="W18" s="188">
        <f t="shared" si="10"/>
        <v>161</v>
      </c>
      <c r="X18" s="214">
        <f t="shared" si="11"/>
        <v>1</v>
      </c>
      <c r="Y18" s="214">
        <f t="shared" si="12"/>
        <v>1</v>
      </c>
      <c r="Z18" s="224">
        <f>7158533000/1000000000</f>
        <v>7.1585330000000003</v>
      </c>
      <c r="AA18" s="188"/>
      <c r="AB18" s="189">
        <f t="shared" si="120"/>
        <v>0</v>
      </c>
      <c r="AC18" s="250">
        <f t="shared" si="121"/>
        <v>0</v>
      </c>
      <c r="AD18" s="250">
        <f t="shared" si="122"/>
        <v>0</v>
      </c>
      <c r="AE18" s="188"/>
      <c r="AF18" s="188">
        <f t="shared" si="15"/>
        <v>0</v>
      </c>
      <c r="AG18" s="188"/>
      <c r="AH18" s="188"/>
      <c r="AI18" s="188">
        <v>0</v>
      </c>
      <c r="AJ18" s="188">
        <f t="shared" si="16"/>
        <v>0</v>
      </c>
      <c r="AK18" s="188"/>
      <c r="AL18" s="188">
        <v>0</v>
      </c>
      <c r="AM18" s="188">
        <v>0</v>
      </c>
      <c r="AN18" s="217"/>
      <c r="AO18" s="196">
        <f t="shared" si="123"/>
        <v>0</v>
      </c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5"/>
      <c r="BB18" s="188">
        <f t="shared" si="17"/>
        <v>0</v>
      </c>
      <c r="BC18" s="195"/>
      <c r="BD18" s="196"/>
      <c r="BE18" s="188">
        <f t="shared" si="18"/>
        <v>0</v>
      </c>
      <c r="BF18" s="188">
        <f t="shared" si="19"/>
        <v>0</v>
      </c>
      <c r="BG18" s="188">
        <f t="shared" si="20"/>
        <v>0</v>
      </c>
      <c r="BH18" s="188">
        <f t="shared" si="21"/>
        <v>0</v>
      </c>
      <c r="BI18" s="188">
        <f t="shared" si="22"/>
        <v>0</v>
      </c>
      <c r="BJ18" s="188">
        <f t="shared" si="23"/>
        <v>0</v>
      </c>
      <c r="BK18" s="188">
        <f t="shared" si="124"/>
        <v>0</v>
      </c>
      <c r="BL18" s="195"/>
      <c r="BM18" s="195"/>
      <c r="BN18" s="143"/>
      <c r="BO18" s="277"/>
      <c r="BP18" s="188"/>
      <c r="BQ18" s="188"/>
      <c r="BR18" s="188"/>
      <c r="BS18" s="188"/>
      <c r="BT18" s="188"/>
      <c r="BU18" s="188"/>
      <c r="BV18" s="188"/>
      <c r="BW18" s="188"/>
      <c r="BX18" s="188"/>
      <c r="BY18" s="188"/>
      <c r="BZ18" s="188"/>
      <c r="CA18" s="195"/>
      <c r="CB18" s="189">
        <v>0</v>
      </c>
      <c r="CC18" s="195"/>
      <c r="CD18" s="189">
        <f t="shared" si="125"/>
        <v>0</v>
      </c>
      <c r="CE18" s="189">
        <f t="shared" si="191"/>
        <v>0</v>
      </c>
      <c r="CF18" s="189">
        <f t="shared" si="126"/>
        <v>0</v>
      </c>
      <c r="CG18" s="189">
        <f t="shared" si="127"/>
        <v>0</v>
      </c>
      <c r="CH18" s="189">
        <f t="shared" si="128"/>
        <v>0</v>
      </c>
      <c r="CI18" s="189">
        <f t="shared" si="129"/>
        <v>0</v>
      </c>
      <c r="CJ18" s="189">
        <f t="shared" si="130"/>
        <v>0</v>
      </c>
      <c r="CK18" s="189">
        <f t="shared" si="131"/>
        <v>0</v>
      </c>
      <c r="CL18" s="189">
        <f t="shared" si="132"/>
        <v>0</v>
      </c>
      <c r="CM18" s="189">
        <f t="shared" si="133"/>
        <v>0</v>
      </c>
      <c r="CN18" s="189">
        <f t="shared" si="134"/>
        <v>0</v>
      </c>
      <c r="CO18" s="189">
        <f t="shared" si="135"/>
        <v>0</v>
      </c>
      <c r="CP18" s="189">
        <f t="shared" si="136"/>
        <v>0</v>
      </c>
      <c r="CQ18" s="195"/>
      <c r="CR18" s="195"/>
      <c r="CS18" s="195"/>
      <c r="CT18" s="195"/>
      <c r="CU18" s="195"/>
      <c r="CV18" s="195"/>
      <c r="CW18" s="195"/>
      <c r="CX18" s="195"/>
      <c r="CY18" s="195"/>
      <c r="CZ18" s="195"/>
      <c r="DA18" s="195"/>
      <c r="DB18" s="195"/>
      <c r="DC18" s="195"/>
      <c r="DD18" s="195"/>
      <c r="DE18" s="195"/>
      <c r="DF18" s="195"/>
      <c r="DG18" s="195"/>
      <c r="DH18" s="195"/>
      <c r="DI18" s="195"/>
      <c r="DJ18" s="195"/>
      <c r="DK18" s="195"/>
      <c r="DL18" s="195"/>
      <c r="DM18" s="195"/>
      <c r="DN18" s="195"/>
      <c r="DO18" s="195"/>
      <c r="DP18" s="195"/>
      <c r="DQ18" s="195"/>
      <c r="DR18" s="195"/>
      <c r="DS18" s="195"/>
      <c r="DT18" s="195"/>
      <c r="DU18" s="195"/>
      <c r="DV18" s="189">
        <f t="shared" si="26"/>
        <v>0</v>
      </c>
      <c r="DW18" s="189">
        <f t="shared" si="27"/>
        <v>0</v>
      </c>
      <c r="DX18" s="189">
        <f t="shared" si="28"/>
        <v>0</v>
      </c>
      <c r="DY18" s="189">
        <f t="shared" si="29"/>
        <v>0</v>
      </c>
      <c r="DZ18" s="189">
        <f t="shared" si="30"/>
        <v>0</v>
      </c>
      <c r="EA18" s="189">
        <f t="shared" si="31"/>
        <v>0</v>
      </c>
      <c r="EB18" s="189">
        <f t="shared" si="137"/>
        <v>0</v>
      </c>
      <c r="EC18" s="195"/>
      <c r="ED18" s="195"/>
      <c r="EE18" s="195"/>
      <c r="EF18" s="195"/>
      <c r="EG18" s="252">
        <f t="shared" si="138"/>
        <v>0</v>
      </c>
      <c r="EH18" s="252">
        <f t="shared" si="139"/>
        <v>0</v>
      </c>
      <c r="EI18" s="189"/>
      <c r="EJ18" s="189"/>
      <c r="EK18" s="189"/>
      <c r="EL18" s="189"/>
      <c r="EM18" s="189"/>
      <c r="EN18" s="189"/>
      <c r="EO18" s="189"/>
      <c r="EP18" s="189"/>
      <c r="EQ18" s="189"/>
      <c r="ER18" s="189"/>
      <c r="ES18" s="189"/>
      <c r="ET18" s="189"/>
      <c r="EU18" s="189"/>
      <c r="EV18" s="189"/>
      <c r="EW18" s="189"/>
      <c r="EX18" s="189"/>
      <c r="EY18" s="189"/>
      <c r="EZ18" s="189"/>
      <c r="FA18" s="189"/>
      <c r="FB18" s="189"/>
      <c r="FC18" s="189"/>
      <c r="FD18" s="189"/>
      <c r="FE18" s="189"/>
      <c r="FF18" s="189"/>
      <c r="FG18" s="195"/>
      <c r="FH18" s="189"/>
      <c r="FI18" s="189"/>
      <c r="FJ18" s="189"/>
      <c r="FK18" s="189"/>
      <c r="FL18" s="189"/>
      <c r="FM18" s="189"/>
      <c r="FN18" s="189"/>
      <c r="FO18" s="189"/>
      <c r="FP18" s="189"/>
      <c r="FQ18" s="189"/>
      <c r="FR18" s="189"/>
      <c r="FS18" s="189"/>
      <c r="FT18" s="189"/>
      <c r="FU18" s="189"/>
      <c r="FV18" s="189"/>
      <c r="FW18" s="195"/>
      <c r="FX18" s="253"/>
      <c r="FY18" s="189">
        <f t="shared" si="140"/>
        <v>0</v>
      </c>
      <c r="FZ18" s="189">
        <f t="shared" si="33"/>
        <v>0</v>
      </c>
      <c r="GA18" s="189">
        <f t="shared" si="34"/>
        <v>0</v>
      </c>
      <c r="GB18" s="189">
        <f t="shared" si="35"/>
        <v>0</v>
      </c>
      <c r="GC18" s="189">
        <f t="shared" si="36"/>
        <v>0</v>
      </c>
      <c r="GD18" s="189">
        <f t="shared" si="37"/>
        <v>0</v>
      </c>
      <c r="GE18" s="189">
        <f t="shared" si="38"/>
        <v>0</v>
      </c>
      <c r="GF18" s="199"/>
      <c r="GG18" s="189">
        <v>0</v>
      </c>
      <c r="GH18" s="189">
        <v>0</v>
      </c>
      <c r="GI18" s="199"/>
      <c r="GJ18" s="200">
        <f t="shared" si="141"/>
        <v>0</v>
      </c>
      <c r="GK18" s="200">
        <f t="shared" si="142"/>
        <v>0</v>
      </c>
      <c r="GL18" s="195"/>
      <c r="GM18" s="195"/>
      <c r="GN18" s="195"/>
      <c r="GO18" s="189">
        <f t="shared" si="39"/>
        <v>0</v>
      </c>
      <c r="GP18" s="189">
        <f t="shared" si="40"/>
        <v>0</v>
      </c>
      <c r="GQ18" s="189">
        <f t="shared" si="41"/>
        <v>0</v>
      </c>
      <c r="GR18" s="189">
        <f t="shared" si="42"/>
        <v>0</v>
      </c>
      <c r="GS18" s="189">
        <f t="shared" si="43"/>
        <v>0</v>
      </c>
      <c r="GT18" s="189">
        <f t="shared" si="143"/>
        <v>1</v>
      </c>
      <c r="GU18" s="201">
        <f t="shared" si="144"/>
        <v>43243</v>
      </c>
      <c r="GV18" s="189" t="str">
        <f t="shared" si="145"/>
        <v>SELESAI</v>
      </c>
      <c r="GW18" s="189">
        <f t="shared" si="146"/>
        <v>0</v>
      </c>
      <c r="GX18" s="202" t="str">
        <f t="shared" si="147"/>
        <v>SELESAI</v>
      </c>
      <c r="GY18" s="202">
        <f t="shared" si="148"/>
        <v>0</v>
      </c>
      <c r="GZ18" s="203" t="str">
        <f t="shared" si="149"/>
        <v>SELESAI</v>
      </c>
      <c r="HA18" s="204"/>
      <c r="HB18" s="204"/>
      <c r="HC18" s="189">
        <f t="shared" si="44"/>
        <v>0</v>
      </c>
      <c r="HD18" s="189">
        <f t="shared" si="45"/>
        <v>0</v>
      </c>
      <c r="HE18" s="189">
        <f t="shared" si="150"/>
        <v>0</v>
      </c>
      <c r="HF18" s="189">
        <f t="shared" si="151"/>
        <v>0</v>
      </c>
      <c r="HG18" s="189">
        <f t="shared" si="152"/>
        <v>0</v>
      </c>
      <c r="HH18" s="201" t="str">
        <f t="shared" si="46"/>
        <v>TIDAK KONSINYASI</v>
      </c>
      <c r="HI18" s="201" t="str">
        <f t="shared" si="153"/>
        <v>SELESAI</v>
      </c>
      <c r="HJ18" s="205"/>
      <c r="HK18" s="201">
        <f t="shared" si="47"/>
        <v>0</v>
      </c>
      <c r="HL18" s="204"/>
      <c r="HM18" s="204"/>
      <c r="HN18" s="204"/>
      <c r="HO18" s="204"/>
      <c r="HP18" s="203">
        <f t="shared" si="154"/>
        <v>0</v>
      </c>
      <c r="HQ18" s="202">
        <f t="shared" si="155"/>
        <v>0</v>
      </c>
      <c r="HR18" s="202">
        <f t="shared" si="48"/>
        <v>0</v>
      </c>
      <c r="HS18" s="203">
        <f t="shared" si="156"/>
        <v>0</v>
      </c>
      <c r="HT18" s="202">
        <f t="shared" si="157"/>
        <v>0</v>
      </c>
      <c r="HU18" s="202">
        <f t="shared" si="49"/>
        <v>0</v>
      </c>
      <c r="HV18" s="203">
        <f t="shared" si="158"/>
        <v>0</v>
      </c>
      <c r="HW18" s="202">
        <f t="shared" si="50"/>
        <v>0</v>
      </c>
      <c r="HX18" s="202">
        <f t="shared" si="51"/>
        <v>0</v>
      </c>
      <c r="HY18" s="203">
        <f t="shared" si="52"/>
        <v>0</v>
      </c>
      <c r="HZ18" s="202">
        <f t="shared" si="159"/>
        <v>0</v>
      </c>
      <c r="IA18" s="202">
        <f t="shared" si="53"/>
        <v>0</v>
      </c>
      <c r="IB18" s="203">
        <f t="shared" si="160"/>
        <v>0</v>
      </c>
      <c r="IC18" s="202">
        <f t="shared" si="54"/>
        <v>0</v>
      </c>
      <c r="ID18" s="202">
        <f t="shared" si="55"/>
        <v>0</v>
      </c>
      <c r="IE18" s="203">
        <f t="shared" si="56"/>
        <v>0</v>
      </c>
      <c r="IF18" s="202">
        <f t="shared" si="57"/>
        <v>0</v>
      </c>
      <c r="IG18" s="202">
        <f t="shared" si="58"/>
        <v>0</v>
      </c>
      <c r="IH18" s="203">
        <f t="shared" si="161"/>
        <v>0</v>
      </c>
      <c r="II18" s="202">
        <f t="shared" si="162"/>
        <v>0</v>
      </c>
      <c r="IJ18" s="202">
        <f t="shared" si="59"/>
        <v>0</v>
      </c>
      <c r="IK18" s="203">
        <f t="shared" si="60"/>
        <v>0</v>
      </c>
      <c r="IL18" s="202">
        <f t="shared" si="61"/>
        <v>0</v>
      </c>
      <c r="IM18" s="202">
        <f t="shared" si="62"/>
        <v>0</v>
      </c>
      <c r="IN18" s="204"/>
      <c r="IO18" s="203">
        <f t="shared" si="63"/>
        <v>0</v>
      </c>
      <c r="IP18" s="202">
        <f t="shared" si="64"/>
        <v>0</v>
      </c>
      <c r="IQ18" s="202">
        <f t="shared" si="65"/>
        <v>0</v>
      </c>
      <c r="IR18" s="204"/>
      <c r="IS18" s="203"/>
      <c r="IT18" s="202">
        <f t="shared" si="66"/>
        <v>1</v>
      </c>
      <c r="IU18" s="202">
        <f t="shared" si="67"/>
        <v>161</v>
      </c>
      <c r="IV18" s="204"/>
      <c r="IW18" s="203"/>
      <c r="IX18" s="202">
        <f t="shared" si="68"/>
        <v>0</v>
      </c>
      <c r="IY18" s="202">
        <f t="shared" si="69"/>
        <v>0</v>
      </c>
      <c r="IZ18" s="204"/>
      <c r="JA18" s="203"/>
      <c r="JB18" s="202">
        <f t="shared" si="70"/>
        <v>0</v>
      </c>
      <c r="JC18" s="202">
        <f t="shared" si="71"/>
        <v>0</v>
      </c>
      <c r="JD18" s="204"/>
      <c r="JE18" s="203"/>
      <c r="JF18" s="202">
        <f t="shared" si="163"/>
        <v>1</v>
      </c>
      <c r="JG18" s="202">
        <f t="shared" si="72"/>
        <v>161</v>
      </c>
      <c r="JH18" s="204"/>
      <c r="JI18" s="203"/>
      <c r="JJ18" s="202">
        <f t="shared" si="73"/>
        <v>0</v>
      </c>
      <c r="JK18" s="202">
        <f t="shared" si="74"/>
        <v>0</v>
      </c>
      <c r="JL18" s="195"/>
      <c r="JM18" s="203">
        <f t="shared" si="164"/>
        <v>0</v>
      </c>
      <c r="JN18" s="195"/>
      <c r="JO18" s="196">
        <f t="shared" si="75"/>
        <v>0</v>
      </c>
      <c r="JP18" s="206">
        <f t="shared" si="76"/>
        <v>0</v>
      </c>
      <c r="JQ18" s="206">
        <f t="shared" si="77"/>
        <v>0</v>
      </c>
      <c r="JR18" s="206">
        <f t="shared" si="78"/>
        <v>0</v>
      </c>
      <c r="JS18" s="206">
        <f t="shared" si="79"/>
        <v>0</v>
      </c>
      <c r="JT18" s="206">
        <f t="shared" si="80"/>
        <v>0</v>
      </c>
      <c r="JU18" s="206">
        <f t="shared" si="81"/>
        <v>0</v>
      </c>
      <c r="JV18" s="206">
        <f t="shared" si="82"/>
        <v>0</v>
      </c>
      <c r="JW18" s="206">
        <f t="shared" si="83"/>
        <v>0</v>
      </c>
      <c r="JX18" s="206">
        <f t="shared" si="84"/>
        <v>0</v>
      </c>
      <c r="JY18" s="206">
        <f t="shared" si="85"/>
        <v>0</v>
      </c>
      <c r="JZ18" s="206">
        <f t="shared" si="86"/>
        <v>0</v>
      </c>
      <c r="KA18" s="206">
        <f t="shared" si="87"/>
        <v>0</v>
      </c>
      <c r="KB18" s="206">
        <f t="shared" si="88"/>
        <v>0</v>
      </c>
      <c r="KC18" s="195"/>
      <c r="KD18" s="206">
        <f t="shared" si="165"/>
        <v>0</v>
      </c>
      <c r="KE18" s="206">
        <f t="shared" si="90"/>
        <v>0</v>
      </c>
      <c r="KF18" s="206">
        <f t="shared" si="91"/>
        <v>0</v>
      </c>
      <c r="KG18" s="206">
        <f t="shared" si="92"/>
        <v>0</v>
      </c>
      <c r="KH18" s="206">
        <f t="shared" si="93"/>
        <v>0</v>
      </c>
      <c r="KI18" s="206">
        <f t="shared" si="94"/>
        <v>0</v>
      </c>
      <c r="KJ18" s="206">
        <f t="shared" si="95"/>
        <v>0</v>
      </c>
      <c r="KK18" s="206">
        <f t="shared" si="96"/>
        <v>0</v>
      </c>
      <c r="KL18" s="206">
        <f t="shared" si="97"/>
        <v>0</v>
      </c>
      <c r="KM18" s="206">
        <f t="shared" si="98"/>
        <v>0</v>
      </c>
      <c r="KN18" s="221">
        <f t="shared" si="99"/>
        <v>0</v>
      </c>
      <c r="KO18" s="221">
        <f t="shared" si="100"/>
        <v>0</v>
      </c>
      <c r="KP18" s="221">
        <f t="shared" si="101"/>
        <v>0</v>
      </c>
      <c r="KQ18" s="221">
        <f t="shared" si="102"/>
        <v>0</v>
      </c>
      <c r="KR18" s="221">
        <f t="shared" si="103"/>
        <v>0</v>
      </c>
      <c r="KS18" s="195"/>
      <c r="KT18" s="195">
        <f t="shared" si="104"/>
        <v>0</v>
      </c>
      <c r="KU18" s="221"/>
      <c r="KV18" s="221"/>
      <c r="KW18" s="221"/>
      <c r="KX18" s="221"/>
      <c r="KY18" s="221"/>
      <c r="KZ18" s="221"/>
      <c r="LA18" s="221"/>
      <c r="LB18" s="221"/>
      <c r="LC18" s="221"/>
      <c r="LD18" s="221"/>
      <c r="LE18" s="221"/>
      <c r="LF18" s="221"/>
      <c r="LG18" s="221"/>
      <c r="LH18" s="221"/>
      <c r="LI18" s="221"/>
      <c r="LJ18" s="221"/>
      <c r="LK18" s="221"/>
      <c r="LL18" s="221"/>
      <c r="LM18" s="221"/>
      <c r="LN18" s="221"/>
      <c r="LO18" s="221"/>
      <c r="LP18" s="221"/>
      <c r="LQ18" s="221"/>
      <c r="LR18" s="221"/>
      <c r="LS18" s="221"/>
      <c r="LT18" s="221"/>
      <c r="LU18" s="221"/>
      <c r="LV18" s="221"/>
      <c r="LW18" s="221"/>
      <c r="LX18" s="221"/>
      <c r="LY18" s="221"/>
      <c r="LZ18" s="221"/>
      <c r="MA18" s="221"/>
      <c r="MB18" s="221"/>
      <c r="MC18" s="221"/>
      <c r="MD18" s="221"/>
      <c r="ME18" s="221"/>
      <c r="MF18" s="221"/>
      <c r="MG18" s="221"/>
      <c r="MH18" s="221"/>
      <c r="MI18" s="221"/>
      <c r="MJ18" s="221"/>
      <c r="MK18" s="221"/>
      <c r="ML18" s="221"/>
      <c r="MM18" s="221"/>
      <c r="MN18" s="221"/>
      <c r="MO18" s="221"/>
      <c r="MP18" s="221"/>
      <c r="MQ18" s="221"/>
      <c r="MR18" s="221"/>
      <c r="MS18" s="221"/>
      <c r="MT18" s="221"/>
      <c r="MU18" s="221"/>
      <c r="MV18" s="221"/>
      <c r="MW18" s="221"/>
      <c r="MX18" s="221"/>
      <c r="MY18" s="221"/>
      <c r="MZ18" s="221"/>
      <c r="NA18" s="221"/>
      <c r="NB18" s="221"/>
      <c r="NC18" s="221"/>
      <c r="ND18" s="221"/>
      <c r="NE18" s="221"/>
      <c r="NF18" s="221"/>
      <c r="NG18" s="221"/>
      <c r="NH18" s="221"/>
      <c r="NI18" s="221"/>
      <c r="NJ18" s="221"/>
      <c r="NK18" s="221"/>
      <c r="NL18" s="195"/>
      <c r="NM18" s="195">
        <f t="shared" si="166"/>
        <v>0</v>
      </c>
      <c r="NN18" s="195">
        <f t="shared" si="167"/>
        <v>0</v>
      </c>
      <c r="NO18" s="195">
        <f t="shared" si="168"/>
        <v>0</v>
      </c>
      <c r="NP18" s="195">
        <f t="shared" si="169"/>
        <v>0</v>
      </c>
      <c r="NQ18" s="195">
        <f t="shared" si="170"/>
        <v>0</v>
      </c>
      <c r="NR18" s="195">
        <f t="shared" si="171"/>
        <v>0</v>
      </c>
      <c r="NS18" s="195">
        <f t="shared" si="172"/>
        <v>0</v>
      </c>
      <c r="NT18" s="195">
        <f t="shared" si="173"/>
        <v>0</v>
      </c>
      <c r="NU18" s="196">
        <f t="shared" si="174"/>
        <v>0</v>
      </c>
      <c r="NV18" s="195"/>
      <c r="NW18" s="195"/>
      <c r="NX18" s="195"/>
      <c r="NY18" s="196">
        <f t="shared" si="106"/>
        <v>1</v>
      </c>
      <c r="NZ18" s="222">
        <v>8500000</v>
      </c>
      <c r="OA18" s="195"/>
      <c r="OB18" s="195"/>
      <c r="OC18" s="195"/>
      <c r="OD18" s="195"/>
      <c r="OE18" s="207">
        <f t="shared" si="107"/>
        <v>0</v>
      </c>
      <c r="OF18" s="207">
        <f t="shared" si="108"/>
        <v>0</v>
      </c>
      <c r="OG18" s="207">
        <f t="shared" si="109"/>
        <v>0</v>
      </c>
      <c r="OH18" s="207">
        <f t="shared" si="175"/>
        <v>0</v>
      </c>
      <c r="OI18" s="207">
        <f t="shared" si="110"/>
        <v>0</v>
      </c>
      <c r="OJ18" s="199">
        <f t="shared" si="176"/>
        <v>0</v>
      </c>
      <c r="OK18" s="199">
        <f t="shared" si="177"/>
        <v>0</v>
      </c>
      <c r="OL18" s="199">
        <f t="shared" si="178"/>
        <v>0</v>
      </c>
      <c r="OM18" s="199">
        <f t="shared" si="179"/>
        <v>0</v>
      </c>
      <c r="ON18" s="195"/>
      <c r="OO18" s="207">
        <f t="shared" si="111"/>
        <v>0</v>
      </c>
      <c r="OP18" s="207">
        <f t="shared" si="112"/>
        <v>0</v>
      </c>
      <c r="OQ18" s="207">
        <f t="shared" si="180"/>
        <v>0</v>
      </c>
      <c r="OR18" s="207">
        <f t="shared" si="181"/>
        <v>0</v>
      </c>
      <c r="OS18" s="207">
        <f t="shared" si="182"/>
        <v>0</v>
      </c>
      <c r="OT18" s="199">
        <f t="shared" si="183"/>
        <v>0</v>
      </c>
      <c r="OU18" s="199">
        <f t="shared" si="184"/>
        <v>0</v>
      </c>
      <c r="OV18" s="199">
        <f t="shared" si="185"/>
        <v>0</v>
      </c>
      <c r="OW18" s="199">
        <f t="shared" si="186"/>
        <v>0</v>
      </c>
      <c r="OX18" s="195"/>
      <c r="OY18" s="195"/>
      <c r="OZ18" s="195"/>
      <c r="PA18" s="209"/>
      <c r="PB18" s="209"/>
      <c r="PC18" s="209"/>
      <c r="PD18" s="210">
        <f t="shared" si="113"/>
        <v>0</v>
      </c>
      <c r="PE18" s="210"/>
      <c r="PF18" s="210">
        <f t="shared" si="114"/>
        <v>0</v>
      </c>
      <c r="PG18" s="210">
        <f t="shared" si="115"/>
        <v>0</v>
      </c>
      <c r="PH18" s="210">
        <f t="shared" si="115"/>
        <v>0</v>
      </c>
      <c r="PI18" s="210">
        <f t="shared" si="115"/>
        <v>0</v>
      </c>
      <c r="PJ18" s="210">
        <f t="shared" si="115"/>
        <v>0</v>
      </c>
      <c r="PK18" s="210">
        <f t="shared" si="115"/>
        <v>0</v>
      </c>
      <c r="PL18" s="210">
        <f t="shared" si="115"/>
        <v>0</v>
      </c>
      <c r="PM18" s="195"/>
      <c r="PN18" s="195"/>
      <c r="PO18" s="212">
        <f t="shared" si="187"/>
        <v>0</v>
      </c>
      <c r="PP18" s="212">
        <f t="shared" si="188"/>
        <v>0</v>
      </c>
      <c r="PQ18" s="212">
        <f t="shared" si="189"/>
        <v>0</v>
      </c>
    </row>
    <row r="19" spans="1:433" ht="16" x14ac:dyDescent="0.2">
      <c r="A19" s="213">
        <f t="shared" ref="A19" si="194">A18+1</f>
        <v>11</v>
      </c>
      <c r="B19" s="186" t="s">
        <v>98</v>
      </c>
      <c r="C19" s="186">
        <v>11</v>
      </c>
      <c r="D19" s="188">
        <v>1</v>
      </c>
      <c r="E19" s="188">
        <v>71</v>
      </c>
      <c r="F19" s="188">
        <v>1</v>
      </c>
      <c r="G19" s="188">
        <f t="shared" si="116"/>
        <v>71</v>
      </c>
      <c r="H19" s="214">
        <f t="shared" si="2"/>
        <v>1</v>
      </c>
      <c r="I19" s="214">
        <f t="shared" si="3"/>
        <v>1</v>
      </c>
      <c r="J19" s="188">
        <v>1</v>
      </c>
      <c r="K19" s="188">
        <f t="shared" si="4"/>
        <v>71</v>
      </c>
      <c r="L19" s="214">
        <f t="shared" si="5"/>
        <v>1</v>
      </c>
      <c r="M19" s="214">
        <f t="shared" si="6"/>
        <v>1</v>
      </c>
      <c r="N19" s="188">
        <v>1</v>
      </c>
      <c r="O19" s="188">
        <f t="shared" si="7"/>
        <v>71</v>
      </c>
      <c r="P19" s="214">
        <f t="shared" si="8"/>
        <v>1</v>
      </c>
      <c r="Q19" s="214">
        <f t="shared" si="9"/>
        <v>1</v>
      </c>
      <c r="R19" s="188">
        <v>1</v>
      </c>
      <c r="S19" s="188">
        <f t="shared" si="117"/>
        <v>71</v>
      </c>
      <c r="T19" s="214">
        <f t="shared" si="118"/>
        <v>1</v>
      </c>
      <c r="U19" s="214">
        <f t="shared" si="119"/>
        <v>1</v>
      </c>
      <c r="V19" s="188">
        <v>1</v>
      </c>
      <c r="W19" s="188">
        <f t="shared" si="10"/>
        <v>71</v>
      </c>
      <c r="X19" s="214">
        <f t="shared" si="11"/>
        <v>1</v>
      </c>
      <c r="Y19" s="214">
        <f t="shared" si="12"/>
        <v>1</v>
      </c>
      <c r="Z19" s="224">
        <f>1115462000/1000000000</f>
        <v>1.115462</v>
      </c>
      <c r="AA19" s="188"/>
      <c r="AB19" s="189">
        <f t="shared" si="120"/>
        <v>0</v>
      </c>
      <c r="AC19" s="250">
        <f t="shared" si="121"/>
        <v>0</v>
      </c>
      <c r="AD19" s="250">
        <f t="shared" si="122"/>
        <v>0</v>
      </c>
      <c r="AE19" s="188"/>
      <c r="AF19" s="188">
        <f t="shared" si="15"/>
        <v>0</v>
      </c>
      <c r="AG19" s="187"/>
      <c r="AH19" s="187"/>
      <c r="AI19" s="188">
        <v>0</v>
      </c>
      <c r="AJ19" s="188">
        <f t="shared" si="16"/>
        <v>0</v>
      </c>
      <c r="AK19" s="188"/>
      <c r="AL19" s="188">
        <v>0</v>
      </c>
      <c r="AM19" s="188">
        <v>0</v>
      </c>
      <c r="AN19" s="217"/>
      <c r="AO19" s="196">
        <f t="shared" si="123"/>
        <v>0</v>
      </c>
      <c r="AP19" s="195"/>
      <c r="AQ19" s="195"/>
      <c r="AR19" s="195"/>
      <c r="AS19" s="195"/>
      <c r="AT19" s="195"/>
      <c r="AU19" s="195"/>
      <c r="AV19" s="195"/>
      <c r="AW19" s="195"/>
      <c r="AX19" s="195"/>
      <c r="AY19" s="195"/>
      <c r="AZ19" s="195"/>
      <c r="BA19" s="195"/>
      <c r="BB19" s="188">
        <f t="shared" si="17"/>
        <v>0</v>
      </c>
      <c r="BC19" s="195"/>
      <c r="BD19" s="196"/>
      <c r="BE19" s="188">
        <f t="shared" si="18"/>
        <v>0</v>
      </c>
      <c r="BF19" s="188">
        <f t="shared" si="19"/>
        <v>0</v>
      </c>
      <c r="BG19" s="188">
        <f t="shared" si="20"/>
        <v>0</v>
      </c>
      <c r="BH19" s="188">
        <f t="shared" si="21"/>
        <v>0</v>
      </c>
      <c r="BI19" s="188">
        <f t="shared" si="22"/>
        <v>0</v>
      </c>
      <c r="BJ19" s="188">
        <f t="shared" si="23"/>
        <v>0</v>
      </c>
      <c r="BK19" s="188">
        <f t="shared" si="124"/>
        <v>0</v>
      </c>
      <c r="BL19" s="195"/>
      <c r="BM19" s="195"/>
      <c r="BN19" s="143"/>
      <c r="BO19" s="277"/>
      <c r="BP19" s="188"/>
      <c r="BQ19" s="188"/>
      <c r="BR19" s="188"/>
      <c r="BS19" s="188"/>
      <c r="BT19" s="188"/>
      <c r="BU19" s="188"/>
      <c r="BV19" s="188"/>
      <c r="BW19" s="188"/>
      <c r="BX19" s="188"/>
      <c r="BY19" s="188"/>
      <c r="BZ19" s="188"/>
      <c r="CA19" s="195"/>
      <c r="CB19" s="189">
        <v>0</v>
      </c>
      <c r="CC19" s="195"/>
      <c r="CD19" s="189">
        <f t="shared" si="125"/>
        <v>0</v>
      </c>
      <c r="CE19" s="189">
        <f t="shared" si="191"/>
        <v>0</v>
      </c>
      <c r="CF19" s="189">
        <f t="shared" si="126"/>
        <v>0</v>
      </c>
      <c r="CG19" s="189">
        <f t="shared" si="127"/>
        <v>0</v>
      </c>
      <c r="CH19" s="189">
        <f t="shared" si="128"/>
        <v>0</v>
      </c>
      <c r="CI19" s="189">
        <f t="shared" si="129"/>
        <v>0</v>
      </c>
      <c r="CJ19" s="189">
        <f t="shared" si="130"/>
        <v>0</v>
      </c>
      <c r="CK19" s="189">
        <f t="shared" si="131"/>
        <v>0</v>
      </c>
      <c r="CL19" s="189">
        <f t="shared" si="132"/>
        <v>0</v>
      </c>
      <c r="CM19" s="189">
        <f t="shared" si="133"/>
        <v>0</v>
      </c>
      <c r="CN19" s="189">
        <f t="shared" si="134"/>
        <v>0</v>
      </c>
      <c r="CO19" s="189">
        <f t="shared" si="135"/>
        <v>0</v>
      </c>
      <c r="CP19" s="189">
        <f t="shared" si="136"/>
        <v>0</v>
      </c>
      <c r="CQ19" s="195"/>
      <c r="CR19" s="195"/>
      <c r="CS19" s="195"/>
      <c r="CT19" s="195"/>
      <c r="CU19" s="195"/>
      <c r="CV19" s="195"/>
      <c r="CW19" s="195"/>
      <c r="CX19" s="195"/>
      <c r="CY19" s="195"/>
      <c r="CZ19" s="195"/>
      <c r="DA19" s="195"/>
      <c r="DB19" s="195"/>
      <c r="DC19" s="195"/>
      <c r="DD19" s="195"/>
      <c r="DE19" s="195"/>
      <c r="DF19" s="195"/>
      <c r="DG19" s="195"/>
      <c r="DH19" s="195"/>
      <c r="DI19" s="195"/>
      <c r="DJ19" s="195"/>
      <c r="DK19" s="195"/>
      <c r="DL19" s="195"/>
      <c r="DM19" s="195"/>
      <c r="DN19" s="195"/>
      <c r="DO19" s="195"/>
      <c r="DP19" s="195"/>
      <c r="DQ19" s="195"/>
      <c r="DR19" s="195"/>
      <c r="DS19" s="195"/>
      <c r="DT19" s="195"/>
      <c r="DU19" s="195"/>
      <c r="DV19" s="189">
        <f t="shared" si="26"/>
        <v>0</v>
      </c>
      <c r="DW19" s="189">
        <f t="shared" si="27"/>
        <v>0</v>
      </c>
      <c r="DX19" s="189">
        <f t="shared" si="28"/>
        <v>0</v>
      </c>
      <c r="DY19" s="189">
        <f t="shared" si="29"/>
        <v>0</v>
      </c>
      <c r="DZ19" s="189">
        <f t="shared" si="30"/>
        <v>0</v>
      </c>
      <c r="EA19" s="189">
        <f t="shared" si="31"/>
        <v>0</v>
      </c>
      <c r="EB19" s="189">
        <f t="shared" si="137"/>
        <v>0</v>
      </c>
      <c r="EC19" s="195"/>
      <c r="ED19" s="195"/>
      <c r="EE19" s="195"/>
      <c r="EF19" s="195"/>
      <c r="EG19" s="252">
        <f t="shared" si="138"/>
        <v>0</v>
      </c>
      <c r="EH19" s="252">
        <f t="shared" si="139"/>
        <v>0</v>
      </c>
      <c r="EI19" s="189"/>
      <c r="EJ19" s="189"/>
      <c r="EK19" s="189"/>
      <c r="EL19" s="189"/>
      <c r="EM19" s="189"/>
      <c r="EN19" s="189"/>
      <c r="EO19" s="189"/>
      <c r="EP19" s="189"/>
      <c r="EQ19" s="189"/>
      <c r="ER19" s="189"/>
      <c r="ES19" s="189"/>
      <c r="ET19" s="189"/>
      <c r="EU19" s="189"/>
      <c r="EV19" s="189"/>
      <c r="EW19" s="189"/>
      <c r="EX19" s="189"/>
      <c r="EY19" s="189"/>
      <c r="EZ19" s="189"/>
      <c r="FA19" s="189"/>
      <c r="FB19" s="189"/>
      <c r="FC19" s="189"/>
      <c r="FD19" s="189"/>
      <c r="FE19" s="189"/>
      <c r="FF19" s="189"/>
      <c r="FG19" s="195"/>
      <c r="FH19" s="189"/>
      <c r="FI19" s="189"/>
      <c r="FJ19" s="189"/>
      <c r="FK19" s="189"/>
      <c r="FL19" s="189"/>
      <c r="FM19" s="189"/>
      <c r="FN19" s="189"/>
      <c r="FO19" s="189"/>
      <c r="FP19" s="189"/>
      <c r="FQ19" s="189"/>
      <c r="FR19" s="189"/>
      <c r="FS19" s="189"/>
      <c r="FT19" s="189"/>
      <c r="FU19" s="189"/>
      <c r="FV19" s="189"/>
      <c r="FW19" s="195"/>
      <c r="FX19" s="253"/>
      <c r="FY19" s="189">
        <f t="shared" si="140"/>
        <v>0</v>
      </c>
      <c r="FZ19" s="189">
        <f t="shared" si="33"/>
        <v>0</v>
      </c>
      <c r="GA19" s="189">
        <f t="shared" si="34"/>
        <v>0</v>
      </c>
      <c r="GB19" s="189">
        <f t="shared" si="35"/>
        <v>0</v>
      </c>
      <c r="GC19" s="189">
        <f t="shared" si="36"/>
        <v>0</v>
      </c>
      <c r="GD19" s="189">
        <f t="shared" si="37"/>
        <v>0</v>
      </c>
      <c r="GE19" s="189">
        <f t="shared" si="38"/>
        <v>0</v>
      </c>
      <c r="GF19" s="199"/>
      <c r="GG19" s="189">
        <v>0</v>
      </c>
      <c r="GH19" s="189">
        <v>0</v>
      </c>
      <c r="GI19" s="199"/>
      <c r="GJ19" s="200">
        <f t="shared" si="141"/>
        <v>0</v>
      </c>
      <c r="GK19" s="200">
        <f t="shared" si="142"/>
        <v>0</v>
      </c>
      <c r="GL19" s="195"/>
      <c r="GM19" s="195"/>
      <c r="GN19" s="195"/>
      <c r="GO19" s="189">
        <f t="shared" si="39"/>
        <v>0</v>
      </c>
      <c r="GP19" s="189">
        <f t="shared" si="40"/>
        <v>0</v>
      </c>
      <c r="GQ19" s="189">
        <f t="shared" si="41"/>
        <v>0</v>
      </c>
      <c r="GR19" s="189">
        <f t="shared" si="42"/>
        <v>0</v>
      </c>
      <c r="GS19" s="189">
        <f t="shared" si="43"/>
        <v>0</v>
      </c>
      <c r="GT19" s="189">
        <f t="shared" si="143"/>
        <v>1</v>
      </c>
      <c r="GU19" s="201">
        <f t="shared" si="144"/>
        <v>43243</v>
      </c>
      <c r="GV19" s="189" t="str">
        <f t="shared" si="145"/>
        <v>SELESAI</v>
      </c>
      <c r="GW19" s="189">
        <f t="shared" si="146"/>
        <v>0</v>
      </c>
      <c r="GX19" s="202" t="str">
        <f t="shared" si="147"/>
        <v>SELESAI</v>
      </c>
      <c r="GY19" s="202">
        <f t="shared" si="148"/>
        <v>0</v>
      </c>
      <c r="GZ19" s="203" t="str">
        <f t="shared" si="149"/>
        <v>SELESAI</v>
      </c>
      <c r="HA19" s="204"/>
      <c r="HB19" s="204"/>
      <c r="HC19" s="189">
        <f t="shared" si="44"/>
        <v>0</v>
      </c>
      <c r="HD19" s="189">
        <f t="shared" si="45"/>
        <v>0</v>
      </c>
      <c r="HE19" s="189">
        <f t="shared" si="150"/>
        <v>0</v>
      </c>
      <c r="HF19" s="189">
        <f t="shared" si="151"/>
        <v>0</v>
      </c>
      <c r="HG19" s="189">
        <f t="shared" si="152"/>
        <v>0</v>
      </c>
      <c r="HH19" s="201" t="str">
        <f t="shared" si="46"/>
        <v>TIDAK KONSINYASI</v>
      </c>
      <c r="HI19" s="201" t="str">
        <f t="shared" si="153"/>
        <v>SELESAI</v>
      </c>
      <c r="HJ19" s="205"/>
      <c r="HK19" s="201">
        <f t="shared" si="47"/>
        <v>0</v>
      </c>
      <c r="HL19" s="204"/>
      <c r="HM19" s="204"/>
      <c r="HN19" s="204"/>
      <c r="HO19" s="204"/>
      <c r="HP19" s="203">
        <f t="shared" si="154"/>
        <v>0</v>
      </c>
      <c r="HQ19" s="202">
        <f t="shared" si="155"/>
        <v>0</v>
      </c>
      <c r="HR19" s="202">
        <f t="shared" si="48"/>
        <v>0</v>
      </c>
      <c r="HS19" s="203">
        <f t="shared" si="156"/>
        <v>0</v>
      </c>
      <c r="HT19" s="202">
        <f t="shared" si="157"/>
        <v>0</v>
      </c>
      <c r="HU19" s="202">
        <f t="shared" si="49"/>
        <v>0</v>
      </c>
      <c r="HV19" s="203">
        <f t="shared" si="158"/>
        <v>0</v>
      </c>
      <c r="HW19" s="202">
        <f t="shared" si="50"/>
        <v>0</v>
      </c>
      <c r="HX19" s="202">
        <f t="shared" si="51"/>
        <v>0</v>
      </c>
      <c r="HY19" s="203">
        <f t="shared" si="52"/>
        <v>0</v>
      </c>
      <c r="HZ19" s="202">
        <f t="shared" si="159"/>
        <v>0</v>
      </c>
      <c r="IA19" s="202">
        <f t="shared" si="53"/>
        <v>0</v>
      </c>
      <c r="IB19" s="203">
        <f t="shared" si="160"/>
        <v>0</v>
      </c>
      <c r="IC19" s="202">
        <f t="shared" si="54"/>
        <v>0</v>
      </c>
      <c r="ID19" s="202">
        <f t="shared" si="55"/>
        <v>0</v>
      </c>
      <c r="IE19" s="203">
        <f t="shared" si="56"/>
        <v>0</v>
      </c>
      <c r="IF19" s="202">
        <f t="shared" si="57"/>
        <v>0</v>
      </c>
      <c r="IG19" s="202">
        <f t="shared" si="58"/>
        <v>0</v>
      </c>
      <c r="IH19" s="203">
        <f t="shared" si="161"/>
        <v>0</v>
      </c>
      <c r="II19" s="202">
        <f t="shared" si="162"/>
        <v>0</v>
      </c>
      <c r="IJ19" s="202">
        <f t="shared" si="59"/>
        <v>0</v>
      </c>
      <c r="IK19" s="203">
        <f t="shared" si="60"/>
        <v>0</v>
      </c>
      <c r="IL19" s="202">
        <f t="shared" si="61"/>
        <v>0</v>
      </c>
      <c r="IM19" s="202">
        <f t="shared" si="62"/>
        <v>0</v>
      </c>
      <c r="IN19" s="204"/>
      <c r="IO19" s="203">
        <f t="shared" si="63"/>
        <v>0</v>
      </c>
      <c r="IP19" s="202">
        <f t="shared" si="64"/>
        <v>0</v>
      </c>
      <c r="IQ19" s="202">
        <f t="shared" si="65"/>
        <v>0</v>
      </c>
      <c r="IR19" s="204"/>
      <c r="IS19" s="203"/>
      <c r="IT19" s="202">
        <f t="shared" si="66"/>
        <v>1</v>
      </c>
      <c r="IU19" s="202">
        <f t="shared" si="67"/>
        <v>71</v>
      </c>
      <c r="IV19" s="204"/>
      <c r="IW19" s="203"/>
      <c r="IX19" s="202">
        <f t="shared" si="68"/>
        <v>0</v>
      </c>
      <c r="IY19" s="202">
        <f t="shared" si="69"/>
        <v>0</v>
      </c>
      <c r="IZ19" s="204"/>
      <c r="JA19" s="203"/>
      <c r="JB19" s="202">
        <f t="shared" si="70"/>
        <v>0</v>
      </c>
      <c r="JC19" s="202">
        <f t="shared" si="71"/>
        <v>0</v>
      </c>
      <c r="JD19" s="204"/>
      <c r="JE19" s="203"/>
      <c r="JF19" s="202">
        <f t="shared" si="163"/>
        <v>1</v>
      </c>
      <c r="JG19" s="202">
        <f t="shared" si="72"/>
        <v>71</v>
      </c>
      <c r="JH19" s="204"/>
      <c r="JI19" s="203"/>
      <c r="JJ19" s="202">
        <f t="shared" si="73"/>
        <v>0</v>
      </c>
      <c r="JK19" s="202">
        <f t="shared" si="74"/>
        <v>0</v>
      </c>
      <c r="JL19" s="195"/>
      <c r="JM19" s="203">
        <f t="shared" si="164"/>
        <v>0</v>
      </c>
      <c r="JN19" s="195"/>
      <c r="JO19" s="196">
        <f t="shared" si="75"/>
        <v>0</v>
      </c>
      <c r="JP19" s="206">
        <f t="shared" si="76"/>
        <v>0</v>
      </c>
      <c r="JQ19" s="206">
        <f t="shared" si="77"/>
        <v>0</v>
      </c>
      <c r="JR19" s="206">
        <f t="shared" si="78"/>
        <v>0</v>
      </c>
      <c r="JS19" s="206">
        <f t="shared" si="79"/>
        <v>0</v>
      </c>
      <c r="JT19" s="206">
        <f t="shared" si="80"/>
        <v>0</v>
      </c>
      <c r="JU19" s="206">
        <f t="shared" si="81"/>
        <v>0</v>
      </c>
      <c r="JV19" s="206">
        <f t="shared" si="82"/>
        <v>0</v>
      </c>
      <c r="JW19" s="206">
        <f t="shared" si="83"/>
        <v>0</v>
      </c>
      <c r="JX19" s="206">
        <f t="shared" si="84"/>
        <v>0</v>
      </c>
      <c r="JY19" s="206">
        <f t="shared" si="85"/>
        <v>0</v>
      </c>
      <c r="JZ19" s="206">
        <f t="shared" si="86"/>
        <v>0</v>
      </c>
      <c r="KA19" s="206">
        <f t="shared" si="87"/>
        <v>0</v>
      </c>
      <c r="KB19" s="206">
        <f t="shared" si="88"/>
        <v>0</v>
      </c>
      <c r="KC19" s="195"/>
      <c r="KD19" s="206">
        <f t="shared" si="165"/>
        <v>0</v>
      </c>
      <c r="KE19" s="206">
        <f t="shared" si="90"/>
        <v>0</v>
      </c>
      <c r="KF19" s="206">
        <f t="shared" si="91"/>
        <v>0</v>
      </c>
      <c r="KG19" s="206">
        <f t="shared" si="92"/>
        <v>0</v>
      </c>
      <c r="KH19" s="206">
        <f t="shared" si="93"/>
        <v>0</v>
      </c>
      <c r="KI19" s="206">
        <f t="shared" si="94"/>
        <v>0</v>
      </c>
      <c r="KJ19" s="206">
        <f t="shared" si="95"/>
        <v>0</v>
      </c>
      <c r="KK19" s="206">
        <f t="shared" si="96"/>
        <v>0</v>
      </c>
      <c r="KL19" s="206">
        <f t="shared" si="97"/>
        <v>0</v>
      </c>
      <c r="KM19" s="206">
        <f t="shared" si="98"/>
        <v>0</v>
      </c>
      <c r="KN19" s="221">
        <f t="shared" si="99"/>
        <v>0</v>
      </c>
      <c r="KO19" s="221">
        <f t="shared" si="100"/>
        <v>0</v>
      </c>
      <c r="KP19" s="221">
        <f t="shared" si="101"/>
        <v>0</v>
      </c>
      <c r="KQ19" s="221">
        <f t="shared" si="102"/>
        <v>0</v>
      </c>
      <c r="KR19" s="221">
        <f t="shared" si="103"/>
        <v>0</v>
      </c>
      <c r="KS19" s="195"/>
      <c r="KT19" s="195">
        <f t="shared" si="104"/>
        <v>0</v>
      </c>
      <c r="KU19" s="221"/>
      <c r="KV19" s="221"/>
      <c r="KW19" s="221"/>
      <c r="KX19" s="221"/>
      <c r="KY19" s="221"/>
      <c r="KZ19" s="221"/>
      <c r="LA19" s="221"/>
      <c r="LB19" s="221"/>
      <c r="LC19" s="221"/>
      <c r="LD19" s="221"/>
      <c r="LE19" s="221"/>
      <c r="LF19" s="221"/>
      <c r="LG19" s="221"/>
      <c r="LH19" s="221"/>
      <c r="LI19" s="221"/>
      <c r="LJ19" s="221"/>
      <c r="LK19" s="221"/>
      <c r="LL19" s="221"/>
      <c r="LM19" s="221"/>
      <c r="LN19" s="221"/>
      <c r="LO19" s="221"/>
      <c r="LP19" s="221"/>
      <c r="LQ19" s="221"/>
      <c r="LR19" s="221"/>
      <c r="LS19" s="221"/>
      <c r="LT19" s="221"/>
      <c r="LU19" s="221"/>
      <c r="LV19" s="221"/>
      <c r="LW19" s="221"/>
      <c r="LX19" s="221"/>
      <c r="LY19" s="221"/>
      <c r="LZ19" s="221"/>
      <c r="MA19" s="221"/>
      <c r="MB19" s="221"/>
      <c r="MC19" s="221"/>
      <c r="MD19" s="221"/>
      <c r="ME19" s="221"/>
      <c r="MF19" s="221"/>
      <c r="MG19" s="221"/>
      <c r="MH19" s="221"/>
      <c r="MI19" s="221"/>
      <c r="MJ19" s="221"/>
      <c r="MK19" s="221"/>
      <c r="ML19" s="221"/>
      <c r="MM19" s="221"/>
      <c r="MN19" s="221"/>
      <c r="MO19" s="221"/>
      <c r="MP19" s="221"/>
      <c r="MQ19" s="221"/>
      <c r="MR19" s="221"/>
      <c r="MS19" s="221"/>
      <c r="MT19" s="221"/>
      <c r="MU19" s="221"/>
      <c r="MV19" s="221"/>
      <c r="MW19" s="221"/>
      <c r="MX19" s="221"/>
      <c r="MY19" s="221"/>
      <c r="MZ19" s="221"/>
      <c r="NA19" s="221"/>
      <c r="NB19" s="221"/>
      <c r="NC19" s="221"/>
      <c r="ND19" s="221"/>
      <c r="NE19" s="221"/>
      <c r="NF19" s="221"/>
      <c r="NG19" s="221"/>
      <c r="NH19" s="221"/>
      <c r="NI19" s="221"/>
      <c r="NJ19" s="221"/>
      <c r="NK19" s="221"/>
      <c r="NL19" s="195"/>
      <c r="NM19" s="195">
        <f t="shared" si="166"/>
        <v>0</v>
      </c>
      <c r="NN19" s="195">
        <f t="shared" si="167"/>
        <v>0</v>
      </c>
      <c r="NO19" s="195">
        <f t="shared" si="168"/>
        <v>0</v>
      </c>
      <c r="NP19" s="195">
        <f t="shared" si="169"/>
        <v>0</v>
      </c>
      <c r="NQ19" s="195">
        <f t="shared" si="170"/>
        <v>0</v>
      </c>
      <c r="NR19" s="195">
        <f t="shared" si="171"/>
        <v>0</v>
      </c>
      <c r="NS19" s="195">
        <f t="shared" si="172"/>
        <v>0</v>
      </c>
      <c r="NT19" s="195">
        <f t="shared" si="173"/>
        <v>0</v>
      </c>
      <c r="NU19" s="196">
        <f t="shared" si="174"/>
        <v>0</v>
      </c>
      <c r="NV19" s="195"/>
      <c r="NW19" s="195"/>
      <c r="NX19" s="195"/>
      <c r="NY19" s="196">
        <f t="shared" si="106"/>
        <v>1</v>
      </c>
      <c r="NZ19" s="222">
        <v>7996800</v>
      </c>
      <c r="OA19" s="195"/>
      <c r="OB19" s="195"/>
      <c r="OC19" s="195"/>
      <c r="OD19" s="195"/>
      <c r="OE19" s="207">
        <f t="shared" si="107"/>
        <v>0</v>
      </c>
      <c r="OF19" s="207">
        <f t="shared" si="108"/>
        <v>0</v>
      </c>
      <c r="OG19" s="207">
        <f t="shared" si="109"/>
        <v>0</v>
      </c>
      <c r="OH19" s="207">
        <f t="shared" si="175"/>
        <v>0</v>
      </c>
      <c r="OI19" s="207">
        <f t="shared" si="110"/>
        <v>0</v>
      </c>
      <c r="OJ19" s="199">
        <f t="shared" si="176"/>
        <v>0</v>
      </c>
      <c r="OK19" s="199">
        <f t="shared" si="177"/>
        <v>0</v>
      </c>
      <c r="OL19" s="199">
        <f t="shared" si="178"/>
        <v>0</v>
      </c>
      <c r="OM19" s="199">
        <f t="shared" si="179"/>
        <v>0</v>
      </c>
      <c r="ON19" s="195"/>
      <c r="OO19" s="207">
        <f t="shared" si="111"/>
        <v>0</v>
      </c>
      <c r="OP19" s="207">
        <f t="shared" si="112"/>
        <v>0</v>
      </c>
      <c r="OQ19" s="207">
        <f t="shared" si="180"/>
        <v>0</v>
      </c>
      <c r="OR19" s="207">
        <f t="shared" si="181"/>
        <v>0</v>
      </c>
      <c r="OS19" s="207">
        <f t="shared" si="182"/>
        <v>0</v>
      </c>
      <c r="OT19" s="199">
        <f t="shared" si="183"/>
        <v>0</v>
      </c>
      <c r="OU19" s="199">
        <f t="shared" si="184"/>
        <v>0</v>
      </c>
      <c r="OV19" s="199">
        <f t="shared" si="185"/>
        <v>0</v>
      </c>
      <c r="OW19" s="199">
        <f t="shared" si="186"/>
        <v>0</v>
      </c>
      <c r="OX19" s="195"/>
      <c r="OY19" s="195"/>
      <c r="OZ19" s="195"/>
      <c r="PA19" s="209"/>
      <c r="PB19" s="209"/>
      <c r="PC19" s="209"/>
      <c r="PD19" s="210">
        <f t="shared" si="113"/>
        <v>0</v>
      </c>
      <c r="PE19" s="210"/>
      <c r="PF19" s="210">
        <f t="shared" si="114"/>
        <v>0</v>
      </c>
      <c r="PG19" s="210">
        <f t="shared" si="115"/>
        <v>0</v>
      </c>
      <c r="PH19" s="210">
        <f t="shared" si="115"/>
        <v>0</v>
      </c>
      <c r="PI19" s="210">
        <f t="shared" si="115"/>
        <v>0</v>
      </c>
      <c r="PJ19" s="210">
        <f t="shared" si="115"/>
        <v>0</v>
      </c>
      <c r="PK19" s="210">
        <f t="shared" si="115"/>
        <v>0</v>
      </c>
      <c r="PL19" s="210">
        <f t="shared" si="115"/>
        <v>0</v>
      </c>
      <c r="PM19" s="195"/>
      <c r="PN19" s="195"/>
      <c r="PO19" s="212">
        <f t="shared" si="187"/>
        <v>0</v>
      </c>
      <c r="PP19" s="212">
        <f t="shared" si="188"/>
        <v>0</v>
      </c>
      <c r="PQ19" s="212">
        <f t="shared" si="189"/>
        <v>0</v>
      </c>
    </row>
    <row r="20" spans="1:433" ht="16" x14ac:dyDescent="0.2">
      <c r="A20" s="213">
        <f t="shared" si="190"/>
        <v>12</v>
      </c>
      <c r="B20" s="186" t="s">
        <v>99</v>
      </c>
      <c r="C20" s="186">
        <v>12</v>
      </c>
      <c r="D20" s="188">
        <v>1</v>
      </c>
      <c r="E20" s="188">
        <v>14</v>
      </c>
      <c r="F20" s="188">
        <v>1</v>
      </c>
      <c r="G20" s="188">
        <f t="shared" si="116"/>
        <v>14</v>
      </c>
      <c r="H20" s="214">
        <f t="shared" si="2"/>
        <v>1</v>
      </c>
      <c r="I20" s="214">
        <f t="shared" si="3"/>
        <v>1</v>
      </c>
      <c r="J20" s="188">
        <v>1</v>
      </c>
      <c r="K20" s="188">
        <f t="shared" si="4"/>
        <v>14</v>
      </c>
      <c r="L20" s="214">
        <f t="shared" si="5"/>
        <v>1</v>
      </c>
      <c r="M20" s="214">
        <f t="shared" si="6"/>
        <v>1</v>
      </c>
      <c r="N20" s="188">
        <v>1</v>
      </c>
      <c r="O20" s="188">
        <f t="shared" si="7"/>
        <v>14</v>
      </c>
      <c r="P20" s="214">
        <f t="shared" si="8"/>
        <v>1</v>
      </c>
      <c r="Q20" s="214">
        <f t="shared" si="9"/>
        <v>1</v>
      </c>
      <c r="R20" s="188">
        <v>1</v>
      </c>
      <c r="S20" s="188">
        <f t="shared" si="117"/>
        <v>14</v>
      </c>
      <c r="T20" s="214">
        <f t="shared" si="118"/>
        <v>1</v>
      </c>
      <c r="U20" s="214">
        <f t="shared" si="119"/>
        <v>1</v>
      </c>
      <c r="V20" s="188">
        <v>1</v>
      </c>
      <c r="W20" s="188">
        <f t="shared" si="10"/>
        <v>14</v>
      </c>
      <c r="X20" s="214">
        <f t="shared" si="11"/>
        <v>1</v>
      </c>
      <c r="Y20" s="214">
        <f t="shared" si="12"/>
        <v>1</v>
      </c>
      <c r="Z20" s="224">
        <f>134380000/1000000000</f>
        <v>0.13438</v>
      </c>
      <c r="AA20" s="188"/>
      <c r="AB20" s="189">
        <f t="shared" si="120"/>
        <v>0</v>
      </c>
      <c r="AC20" s="250">
        <f t="shared" si="121"/>
        <v>0</v>
      </c>
      <c r="AD20" s="250">
        <f t="shared" si="122"/>
        <v>0</v>
      </c>
      <c r="AE20" s="188"/>
      <c r="AF20" s="188">
        <f t="shared" si="15"/>
        <v>0</v>
      </c>
      <c r="AG20" s="187"/>
      <c r="AH20" s="187"/>
      <c r="AI20" s="188">
        <v>0</v>
      </c>
      <c r="AJ20" s="188">
        <f t="shared" si="16"/>
        <v>0</v>
      </c>
      <c r="AK20" s="188"/>
      <c r="AL20" s="188">
        <v>0</v>
      </c>
      <c r="AM20" s="188">
        <v>0</v>
      </c>
      <c r="AN20" s="217"/>
      <c r="AO20" s="196">
        <f t="shared" si="123"/>
        <v>0</v>
      </c>
      <c r="AP20" s="195"/>
      <c r="AQ20" s="195"/>
      <c r="AR20" s="195"/>
      <c r="AS20" s="195"/>
      <c r="AT20" s="195"/>
      <c r="AU20" s="195"/>
      <c r="AV20" s="195"/>
      <c r="AW20" s="195"/>
      <c r="AX20" s="195"/>
      <c r="AY20" s="195"/>
      <c r="AZ20" s="195"/>
      <c r="BA20" s="195"/>
      <c r="BB20" s="188">
        <f t="shared" si="17"/>
        <v>0</v>
      </c>
      <c r="BC20" s="195"/>
      <c r="BD20" s="196"/>
      <c r="BE20" s="188">
        <f t="shared" si="18"/>
        <v>0</v>
      </c>
      <c r="BF20" s="188">
        <f t="shared" si="19"/>
        <v>0</v>
      </c>
      <c r="BG20" s="188">
        <f t="shared" si="20"/>
        <v>0</v>
      </c>
      <c r="BH20" s="188">
        <f t="shared" si="21"/>
        <v>0</v>
      </c>
      <c r="BI20" s="188">
        <f t="shared" si="22"/>
        <v>0</v>
      </c>
      <c r="BJ20" s="188">
        <f t="shared" si="23"/>
        <v>0</v>
      </c>
      <c r="BK20" s="188">
        <f t="shared" si="124"/>
        <v>0</v>
      </c>
      <c r="BL20" s="195"/>
      <c r="BM20" s="195"/>
      <c r="BN20" s="143"/>
      <c r="BO20" s="277"/>
      <c r="BP20" s="188"/>
      <c r="BQ20" s="188"/>
      <c r="BR20" s="188"/>
      <c r="BS20" s="188"/>
      <c r="BT20" s="188"/>
      <c r="BU20" s="188"/>
      <c r="BV20" s="188"/>
      <c r="BW20" s="188"/>
      <c r="BX20" s="188"/>
      <c r="BY20" s="188"/>
      <c r="BZ20" s="188"/>
      <c r="CA20" s="195"/>
      <c r="CB20" s="189">
        <v>0</v>
      </c>
      <c r="CC20" s="195"/>
      <c r="CD20" s="189">
        <f t="shared" si="125"/>
        <v>0</v>
      </c>
      <c r="CE20" s="189">
        <f t="shared" si="191"/>
        <v>0</v>
      </c>
      <c r="CF20" s="189">
        <f t="shared" si="126"/>
        <v>0</v>
      </c>
      <c r="CG20" s="189">
        <f t="shared" si="127"/>
        <v>0</v>
      </c>
      <c r="CH20" s="189">
        <f t="shared" si="128"/>
        <v>0</v>
      </c>
      <c r="CI20" s="189">
        <f t="shared" si="129"/>
        <v>0</v>
      </c>
      <c r="CJ20" s="189">
        <f t="shared" si="130"/>
        <v>0</v>
      </c>
      <c r="CK20" s="189">
        <f t="shared" si="131"/>
        <v>0</v>
      </c>
      <c r="CL20" s="189">
        <f t="shared" si="132"/>
        <v>0</v>
      </c>
      <c r="CM20" s="189">
        <f t="shared" si="133"/>
        <v>0</v>
      </c>
      <c r="CN20" s="189">
        <f t="shared" si="134"/>
        <v>0</v>
      </c>
      <c r="CO20" s="189">
        <f t="shared" si="135"/>
        <v>0</v>
      </c>
      <c r="CP20" s="189">
        <f t="shared" si="136"/>
        <v>0</v>
      </c>
      <c r="CQ20" s="195"/>
      <c r="CR20" s="195"/>
      <c r="CS20" s="195"/>
      <c r="CT20" s="195"/>
      <c r="CU20" s="195"/>
      <c r="CV20" s="195"/>
      <c r="CW20" s="195"/>
      <c r="CX20" s="195"/>
      <c r="CY20" s="195"/>
      <c r="CZ20" s="195"/>
      <c r="DA20" s="195"/>
      <c r="DB20" s="195"/>
      <c r="DC20" s="195"/>
      <c r="DD20" s="195"/>
      <c r="DE20" s="195"/>
      <c r="DF20" s="195"/>
      <c r="DG20" s="195"/>
      <c r="DH20" s="195"/>
      <c r="DI20" s="195"/>
      <c r="DJ20" s="195"/>
      <c r="DK20" s="195"/>
      <c r="DL20" s="195"/>
      <c r="DM20" s="195"/>
      <c r="DN20" s="195"/>
      <c r="DO20" s="195"/>
      <c r="DP20" s="195"/>
      <c r="DQ20" s="195"/>
      <c r="DR20" s="195"/>
      <c r="DS20" s="195"/>
      <c r="DT20" s="195"/>
      <c r="DU20" s="195"/>
      <c r="DV20" s="189">
        <f t="shared" si="26"/>
        <v>0</v>
      </c>
      <c r="DW20" s="189">
        <f t="shared" si="27"/>
        <v>0</v>
      </c>
      <c r="DX20" s="189">
        <f t="shared" si="28"/>
        <v>0</v>
      </c>
      <c r="DY20" s="189">
        <f t="shared" si="29"/>
        <v>0</v>
      </c>
      <c r="DZ20" s="189">
        <f t="shared" si="30"/>
        <v>0</v>
      </c>
      <c r="EA20" s="189">
        <f t="shared" si="31"/>
        <v>0</v>
      </c>
      <c r="EB20" s="189">
        <f t="shared" si="137"/>
        <v>0</v>
      </c>
      <c r="EC20" s="195"/>
      <c r="ED20" s="195"/>
      <c r="EE20" s="195"/>
      <c r="EF20" s="195"/>
      <c r="EG20" s="252">
        <f t="shared" si="138"/>
        <v>0</v>
      </c>
      <c r="EH20" s="252">
        <f t="shared" si="139"/>
        <v>0</v>
      </c>
      <c r="EI20" s="189"/>
      <c r="EJ20" s="189"/>
      <c r="EK20" s="189"/>
      <c r="EL20" s="189"/>
      <c r="EM20" s="189"/>
      <c r="EN20" s="189"/>
      <c r="EO20" s="189"/>
      <c r="EP20" s="189"/>
      <c r="EQ20" s="189"/>
      <c r="ER20" s="189"/>
      <c r="ES20" s="189"/>
      <c r="ET20" s="189"/>
      <c r="EU20" s="189"/>
      <c r="EV20" s="189"/>
      <c r="EW20" s="189"/>
      <c r="EX20" s="189"/>
      <c r="EY20" s="189"/>
      <c r="EZ20" s="189"/>
      <c r="FA20" s="189"/>
      <c r="FB20" s="189"/>
      <c r="FC20" s="189"/>
      <c r="FD20" s="189"/>
      <c r="FE20" s="189"/>
      <c r="FF20" s="189"/>
      <c r="FG20" s="195"/>
      <c r="FH20" s="189"/>
      <c r="FI20" s="189"/>
      <c r="FJ20" s="189"/>
      <c r="FK20" s="189"/>
      <c r="FL20" s="189"/>
      <c r="FM20" s="189"/>
      <c r="FN20" s="189"/>
      <c r="FO20" s="189"/>
      <c r="FP20" s="189"/>
      <c r="FQ20" s="189"/>
      <c r="FR20" s="189"/>
      <c r="FS20" s="189"/>
      <c r="FT20" s="189"/>
      <c r="FU20" s="189"/>
      <c r="FV20" s="189"/>
      <c r="FW20" s="195"/>
      <c r="FX20" s="253"/>
      <c r="FY20" s="189">
        <f t="shared" si="140"/>
        <v>0</v>
      </c>
      <c r="FZ20" s="189">
        <f t="shared" si="33"/>
        <v>0</v>
      </c>
      <c r="GA20" s="189">
        <f t="shared" si="34"/>
        <v>0</v>
      </c>
      <c r="GB20" s="189">
        <f t="shared" si="35"/>
        <v>0</v>
      </c>
      <c r="GC20" s="189">
        <f t="shared" si="36"/>
        <v>0</v>
      </c>
      <c r="GD20" s="189">
        <f t="shared" si="37"/>
        <v>0</v>
      </c>
      <c r="GE20" s="189">
        <f t="shared" si="38"/>
        <v>0</v>
      </c>
      <c r="GF20" s="199"/>
      <c r="GG20" s="189">
        <v>0</v>
      </c>
      <c r="GH20" s="189">
        <v>0</v>
      </c>
      <c r="GI20" s="199"/>
      <c r="GJ20" s="200">
        <f t="shared" si="141"/>
        <v>0</v>
      </c>
      <c r="GK20" s="200">
        <f t="shared" si="142"/>
        <v>0</v>
      </c>
      <c r="GL20" s="195"/>
      <c r="GM20" s="195"/>
      <c r="GN20" s="195"/>
      <c r="GO20" s="189">
        <f t="shared" si="39"/>
        <v>0</v>
      </c>
      <c r="GP20" s="189">
        <f t="shared" si="40"/>
        <v>0</v>
      </c>
      <c r="GQ20" s="189">
        <f t="shared" si="41"/>
        <v>0</v>
      </c>
      <c r="GR20" s="189">
        <f t="shared" si="42"/>
        <v>0</v>
      </c>
      <c r="GS20" s="189">
        <f t="shared" si="43"/>
        <v>0</v>
      </c>
      <c r="GT20" s="189">
        <f t="shared" si="143"/>
        <v>1</v>
      </c>
      <c r="GU20" s="201">
        <f t="shared" si="144"/>
        <v>43243</v>
      </c>
      <c r="GV20" s="189" t="str">
        <f t="shared" si="145"/>
        <v>SELESAI</v>
      </c>
      <c r="GW20" s="189">
        <f t="shared" si="146"/>
        <v>0</v>
      </c>
      <c r="GX20" s="202" t="str">
        <f t="shared" si="147"/>
        <v>SELESAI</v>
      </c>
      <c r="GY20" s="202">
        <f t="shared" si="148"/>
        <v>0</v>
      </c>
      <c r="GZ20" s="203" t="str">
        <f t="shared" si="149"/>
        <v>SELESAI</v>
      </c>
      <c r="HA20" s="204"/>
      <c r="HB20" s="204"/>
      <c r="HC20" s="189">
        <f t="shared" si="44"/>
        <v>0</v>
      </c>
      <c r="HD20" s="189">
        <f t="shared" si="45"/>
        <v>0</v>
      </c>
      <c r="HE20" s="189">
        <f t="shared" si="150"/>
        <v>0</v>
      </c>
      <c r="HF20" s="189">
        <f t="shared" si="151"/>
        <v>0</v>
      </c>
      <c r="HG20" s="189">
        <f t="shared" si="152"/>
        <v>0</v>
      </c>
      <c r="HH20" s="201" t="str">
        <f t="shared" si="46"/>
        <v>TIDAK KONSINYASI</v>
      </c>
      <c r="HI20" s="201" t="str">
        <f t="shared" si="153"/>
        <v>SELESAI</v>
      </c>
      <c r="HJ20" s="205"/>
      <c r="HK20" s="201">
        <f t="shared" si="47"/>
        <v>0</v>
      </c>
      <c r="HL20" s="204"/>
      <c r="HM20" s="204"/>
      <c r="HN20" s="204"/>
      <c r="HO20" s="204"/>
      <c r="HP20" s="203">
        <f t="shared" si="154"/>
        <v>0</v>
      </c>
      <c r="HQ20" s="202">
        <f t="shared" si="155"/>
        <v>0</v>
      </c>
      <c r="HR20" s="202">
        <f t="shared" si="48"/>
        <v>0</v>
      </c>
      <c r="HS20" s="203">
        <f t="shared" si="156"/>
        <v>0</v>
      </c>
      <c r="HT20" s="202">
        <f t="shared" si="157"/>
        <v>0</v>
      </c>
      <c r="HU20" s="202">
        <f t="shared" si="49"/>
        <v>0</v>
      </c>
      <c r="HV20" s="203">
        <f t="shared" si="158"/>
        <v>0</v>
      </c>
      <c r="HW20" s="202">
        <f t="shared" si="50"/>
        <v>0</v>
      </c>
      <c r="HX20" s="202">
        <f t="shared" si="51"/>
        <v>0</v>
      </c>
      <c r="HY20" s="203">
        <f t="shared" si="52"/>
        <v>0</v>
      </c>
      <c r="HZ20" s="202">
        <f t="shared" si="159"/>
        <v>0</v>
      </c>
      <c r="IA20" s="202">
        <f t="shared" si="53"/>
        <v>0</v>
      </c>
      <c r="IB20" s="203">
        <f t="shared" si="160"/>
        <v>0</v>
      </c>
      <c r="IC20" s="202">
        <f t="shared" si="54"/>
        <v>0</v>
      </c>
      <c r="ID20" s="202">
        <f t="shared" si="55"/>
        <v>0</v>
      </c>
      <c r="IE20" s="203">
        <f t="shared" si="56"/>
        <v>0</v>
      </c>
      <c r="IF20" s="202">
        <f t="shared" si="57"/>
        <v>0</v>
      </c>
      <c r="IG20" s="202">
        <f t="shared" si="58"/>
        <v>0</v>
      </c>
      <c r="IH20" s="203">
        <f t="shared" si="161"/>
        <v>0</v>
      </c>
      <c r="II20" s="202">
        <f t="shared" si="162"/>
        <v>0</v>
      </c>
      <c r="IJ20" s="202">
        <f t="shared" si="59"/>
        <v>0</v>
      </c>
      <c r="IK20" s="203">
        <f t="shared" si="60"/>
        <v>0</v>
      </c>
      <c r="IL20" s="202">
        <f t="shared" si="61"/>
        <v>0</v>
      </c>
      <c r="IM20" s="202">
        <f t="shared" si="62"/>
        <v>0</v>
      </c>
      <c r="IN20" s="204"/>
      <c r="IO20" s="203">
        <f t="shared" si="63"/>
        <v>0</v>
      </c>
      <c r="IP20" s="202">
        <f t="shared" si="64"/>
        <v>0</v>
      </c>
      <c r="IQ20" s="202">
        <f t="shared" si="65"/>
        <v>0</v>
      </c>
      <c r="IR20" s="204"/>
      <c r="IS20" s="203"/>
      <c r="IT20" s="202">
        <f t="shared" si="66"/>
        <v>1</v>
      </c>
      <c r="IU20" s="202">
        <f t="shared" si="67"/>
        <v>14</v>
      </c>
      <c r="IV20" s="204"/>
      <c r="IW20" s="203"/>
      <c r="IX20" s="202">
        <f t="shared" si="68"/>
        <v>0</v>
      </c>
      <c r="IY20" s="202">
        <f t="shared" si="69"/>
        <v>0</v>
      </c>
      <c r="IZ20" s="204"/>
      <c r="JA20" s="203"/>
      <c r="JB20" s="202">
        <f t="shared" si="70"/>
        <v>0</v>
      </c>
      <c r="JC20" s="202">
        <f t="shared" si="71"/>
        <v>0</v>
      </c>
      <c r="JD20" s="204"/>
      <c r="JE20" s="203"/>
      <c r="JF20" s="202">
        <f t="shared" si="163"/>
        <v>1</v>
      </c>
      <c r="JG20" s="202">
        <f t="shared" si="72"/>
        <v>14</v>
      </c>
      <c r="JH20" s="204"/>
      <c r="JI20" s="203"/>
      <c r="JJ20" s="202">
        <f t="shared" si="73"/>
        <v>0</v>
      </c>
      <c r="JK20" s="202">
        <f t="shared" si="74"/>
        <v>0</v>
      </c>
      <c r="JL20" s="195"/>
      <c r="JM20" s="203">
        <f t="shared" si="164"/>
        <v>0</v>
      </c>
      <c r="JN20" s="195"/>
      <c r="JO20" s="196">
        <f t="shared" si="75"/>
        <v>0</v>
      </c>
      <c r="JP20" s="206">
        <f t="shared" si="76"/>
        <v>0</v>
      </c>
      <c r="JQ20" s="206">
        <f t="shared" si="77"/>
        <v>0</v>
      </c>
      <c r="JR20" s="206">
        <f t="shared" si="78"/>
        <v>0</v>
      </c>
      <c r="JS20" s="206">
        <f t="shared" si="79"/>
        <v>0</v>
      </c>
      <c r="JT20" s="206">
        <f t="shared" si="80"/>
        <v>0</v>
      </c>
      <c r="JU20" s="206">
        <f t="shared" si="81"/>
        <v>0</v>
      </c>
      <c r="JV20" s="206">
        <f t="shared" si="82"/>
        <v>0</v>
      </c>
      <c r="JW20" s="206">
        <f t="shared" si="83"/>
        <v>0</v>
      </c>
      <c r="JX20" s="206">
        <f t="shared" si="84"/>
        <v>0</v>
      </c>
      <c r="JY20" s="206">
        <f t="shared" si="85"/>
        <v>0</v>
      </c>
      <c r="JZ20" s="206">
        <f t="shared" si="86"/>
        <v>0</v>
      </c>
      <c r="KA20" s="206">
        <f t="shared" si="87"/>
        <v>0</v>
      </c>
      <c r="KB20" s="206">
        <f t="shared" si="88"/>
        <v>0</v>
      </c>
      <c r="KC20" s="195"/>
      <c r="KD20" s="206">
        <f t="shared" si="165"/>
        <v>0</v>
      </c>
      <c r="KE20" s="206">
        <f t="shared" si="90"/>
        <v>0</v>
      </c>
      <c r="KF20" s="206">
        <f t="shared" si="91"/>
        <v>0</v>
      </c>
      <c r="KG20" s="206">
        <f t="shared" si="92"/>
        <v>0</v>
      </c>
      <c r="KH20" s="206">
        <f t="shared" si="93"/>
        <v>0</v>
      </c>
      <c r="KI20" s="206">
        <f t="shared" si="94"/>
        <v>0</v>
      </c>
      <c r="KJ20" s="206">
        <f t="shared" si="95"/>
        <v>0</v>
      </c>
      <c r="KK20" s="206">
        <f t="shared" si="96"/>
        <v>0</v>
      </c>
      <c r="KL20" s="206">
        <f t="shared" si="97"/>
        <v>0</v>
      </c>
      <c r="KM20" s="206">
        <f t="shared" si="98"/>
        <v>0</v>
      </c>
      <c r="KN20" s="221">
        <f t="shared" si="99"/>
        <v>0</v>
      </c>
      <c r="KO20" s="221">
        <f t="shared" si="100"/>
        <v>0</v>
      </c>
      <c r="KP20" s="221">
        <f t="shared" si="101"/>
        <v>0</v>
      </c>
      <c r="KQ20" s="221">
        <f t="shared" si="102"/>
        <v>0</v>
      </c>
      <c r="KR20" s="221">
        <f t="shared" si="103"/>
        <v>0</v>
      </c>
      <c r="KS20" s="195"/>
      <c r="KT20" s="195">
        <f t="shared" si="104"/>
        <v>0</v>
      </c>
      <c r="KU20" s="221"/>
      <c r="KV20" s="221"/>
      <c r="KW20" s="221"/>
      <c r="KX20" s="221"/>
      <c r="KY20" s="221"/>
      <c r="KZ20" s="221"/>
      <c r="LA20" s="221"/>
      <c r="LB20" s="221"/>
      <c r="LC20" s="221"/>
      <c r="LD20" s="221"/>
      <c r="LE20" s="221"/>
      <c r="LF20" s="221"/>
      <c r="LG20" s="221"/>
      <c r="LH20" s="221"/>
      <c r="LI20" s="221"/>
      <c r="LJ20" s="221"/>
      <c r="LK20" s="221"/>
      <c r="LL20" s="221"/>
      <c r="LM20" s="221"/>
      <c r="LN20" s="221"/>
      <c r="LO20" s="221"/>
      <c r="LP20" s="221"/>
      <c r="LQ20" s="221"/>
      <c r="LR20" s="221"/>
      <c r="LS20" s="221"/>
      <c r="LT20" s="221"/>
      <c r="LU20" s="221"/>
      <c r="LV20" s="221"/>
      <c r="LW20" s="221"/>
      <c r="LX20" s="221"/>
      <c r="LY20" s="221"/>
      <c r="LZ20" s="221"/>
      <c r="MA20" s="221"/>
      <c r="MB20" s="221"/>
      <c r="MC20" s="221"/>
      <c r="MD20" s="221"/>
      <c r="ME20" s="221"/>
      <c r="MF20" s="221"/>
      <c r="MG20" s="221"/>
      <c r="MH20" s="221"/>
      <c r="MI20" s="221"/>
      <c r="MJ20" s="221"/>
      <c r="MK20" s="221"/>
      <c r="ML20" s="221"/>
      <c r="MM20" s="221"/>
      <c r="MN20" s="221"/>
      <c r="MO20" s="221"/>
      <c r="MP20" s="221"/>
      <c r="MQ20" s="221"/>
      <c r="MR20" s="221"/>
      <c r="MS20" s="221"/>
      <c r="MT20" s="221"/>
      <c r="MU20" s="221"/>
      <c r="MV20" s="221"/>
      <c r="MW20" s="221"/>
      <c r="MX20" s="221"/>
      <c r="MY20" s="221"/>
      <c r="MZ20" s="221"/>
      <c r="NA20" s="221"/>
      <c r="NB20" s="221"/>
      <c r="NC20" s="221"/>
      <c r="ND20" s="221"/>
      <c r="NE20" s="221"/>
      <c r="NF20" s="221"/>
      <c r="NG20" s="221"/>
      <c r="NH20" s="221"/>
      <c r="NI20" s="221"/>
      <c r="NJ20" s="221"/>
      <c r="NK20" s="221"/>
      <c r="NL20" s="195"/>
      <c r="NM20" s="195">
        <f t="shared" si="166"/>
        <v>0</v>
      </c>
      <c r="NN20" s="195">
        <f t="shared" si="167"/>
        <v>0</v>
      </c>
      <c r="NO20" s="195">
        <f t="shared" si="168"/>
        <v>0</v>
      </c>
      <c r="NP20" s="195">
        <f t="shared" si="169"/>
        <v>0</v>
      </c>
      <c r="NQ20" s="195">
        <f t="shared" si="170"/>
        <v>0</v>
      </c>
      <c r="NR20" s="195">
        <f t="shared" si="171"/>
        <v>0</v>
      </c>
      <c r="NS20" s="195">
        <f t="shared" si="172"/>
        <v>0</v>
      </c>
      <c r="NT20" s="195">
        <f t="shared" si="173"/>
        <v>0</v>
      </c>
      <c r="NU20" s="196">
        <f t="shared" si="174"/>
        <v>0</v>
      </c>
      <c r="NV20" s="195"/>
      <c r="NW20" s="195"/>
      <c r="NX20" s="195"/>
      <c r="NY20" s="196">
        <f t="shared" si="106"/>
        <v>1</v>
      </c>
      <c r="NZ20" s="222">
        <v>7913500</v>
      </c>
      <c r="OA20" s="195"/>
      <c r="OB20" s="195"/>
      <c r="OC20" s="195"/>
      <c r="OD20" s="195"/>
      <c r="OE20" s="207">
        <f t="shared" si="107"/>
        <v>0</v>
      </c>
      <c r="OF20" s="207">
        <f t="shared" si="108"/>
        <v>0</v>
      </c>
      <c r="OG20" s="207">
        <f t="shared" si="109"/>
        <v>0</v>
      </c>
      <c r="OH20" s="207">
        <f t="shared" si="175"/>
        <v>0</v>
      </c>
      <c r="OI20" s="207">
        <f t="shared" si="110"/>
        <v>0</v>
      </c>
      <c r="OJ20" s="199">
        <f t="shared" si="176"/>
        <v>0</v>
      </c>
      <c r="OK20" s="199">
        <f t="shared" si="177"/>
        <v>0</v>
      </c>
      <c r="OL20" s="199">
        <f t="shared" si="178"/>
        <v>0</v>
      </c>
      <c r="OM20" s="199">
        <f t="shared" si="179"/>
        <v>0</v>
      </c>
      <c r="ON20" s="195"/>
      <c r="OO20" s="207">
        <f t="shared" si="111"/>
        <v>0</v>
      </c>
      <c r="OP20" s="207">
        <f t="shared" si="112"/>
        <v>0</v>
      </c>
      <c r="OQ20" s="207">
        <f t="shared" si="180"/>
        <v>0</v>
      </c>
      <c r="OR20" s="207">
        <f t="shared" si="181"/>
        <v>0</v>
      </c>
      <c r="OS20" s="207">
        <f t="shared" si="182"/>
        <v>0</v>
      </c>
      <c r="OT20" s="199">
        <f t="shared" si="183"/>
        <v>0</v>
      </c>
      <c r="OU20" s="199">
        <f t="shared" si="184"/>
        <v>0</v>
      </c>
      <c r="OV20" s="199">
        <f t="shared" si="185"/>
        <v>0</v>
      </c>
      <c r="OW20" s="199">
        <f t="shared" si="186"/>
        <v>0</v>
      </c>
      <c r="OX20" s="195"/>
      <c r="OY20" s="195"/>
      <c r="OZ20" s="195"/>
      <c r="PA20" s="209"/>
      <c r="PB20" s="209"/>
      <c r="PC20" s="209"/>
      <c r="PD20" s="210">
        <f t="shared" si="113"/>
        <v>0</v>
      </c>
      <c r="PE20" s="210"/>
      <c r="PF20" s="210">
        <f t="shared" si="114"/>
        <v>0</v>
      </c>
      <c r="PG20" s="210">
        <f t="shared" si="115"/>
        <v>0</v>
      </c>
      <c r="PH20" s="210">
        <f t="shared" si="115"/>
        <v>0</v>
      </c>
      <c r="PI20" s="210">
        <f t="shared" si="115"/>
        <v>0</v>
      </c>
      <c r="PJ20" s="210">
        <f t="shared" si="115"/>
        <v>0</v>
      </c>
      <c r="PK20" s="210">
        <f t="shared" si="115"/>
        <v>0</v>
      </c>
      <c r="PL20" s="210">
        <f t="shared" si="115"/>
        <v>0</v>
      </c>
      <c r="PM20" s="195"/>
      <c r="PN20" s="195"/>
      <c r="PO20" s="212">
        <f t="shared" si="187"/>
        <v>0</v>
      </c>
      <c r="PP20" s="212">
        <f t="shared" si="188"/>
        <v>0</v>
      </c>
      <c r="PQ20" s="212">
        <f t="shared" si="189"/>
        <v>0</v>
      </c>
    </row>
    <row r="21" spans="1:433" ht="16" x14ac:dyDescent="0.2">
      <c r="A21" s="213">
        <f t="shared" si="190"/>
        <v>13</v>
      </c>
      <c r="B21" s="186" t="s">
        <v>100</v>
      </c>
      <c r="C21" s="186">
        <v>13</v>
      </c>
      <c r="D21" s="188">
        <v>1</v>
      </c>
      <c r="E21" s="188">
        <v>64</v>
      </c>
      <c r="F21" s="188">
        <v>1</v>
      </c>
      <c r="G21" s="188">
        <f t="shared" si="116"/>
        <v>64</v>
      </c>
      <c r="H21" s="214">
        <f t="shared" si="2"/>
        <v>1</v>
      </c>
      <c r="I21" s="214">
        <f t="shared" si="3"/>
        <v>1</v>
      </c>
      <c r="J21" s="188">
        <v>1</v>
      </c>
      <c r="K21" s="188">
        <f t="shared" si="4"/>
        <v>64</v>
      </c>
      <c r="L21" s="214">
        <f t="shared" si="5"/>
        <v>1</v>
      </c>
      <c r="M21" s="214">
        <f t="shared" si="6"/>
        <v>1</v>
      </c>
      <c r="N21" s="188">
        <v>1</v>
      </c>
      <c r="O21" s="188">
        <f t="shared" si="7"/>
        <v>64</v>
      </c>
      <c r="P21" s="214">
        <f t="shared" si="8"/>
        <v>1</v>
      </c>
      <c r="Q21" s="214">
        <f t="shared" si="9"/>
        <v>1</v>
      </c>
      <c r="R21" s="188">
        <v>1</v>
      </c>
      <c r="S21" s="188">
        <f t="shared" si="117"/>
        <v>64</v>
      </c>
      <c r="T21" s="214">
        <f t="shared" si="118"/>
        <v>1</v>
      </c>
      <c r="U21" s="214">
        <f t="shared" si="119"/>
        <v>1</v>
      </c>
      <c r="V21" s="188">
        <v>1</v>
      </c>
      <c r="W21" s="188">
        <f t="shared" si="10"/>
        <v>64</v>
      </c>
      <c r="X21" s="214">
        <f t="shared" si="11"/>
        <v>1</v>
      </c>
      <c r="Y21" s="214">
        <f t="shared" si="12"/>
        <v>1</v>
      </c>
      <c r="Z21" s="224">
        <f>845032000/1000000000</f>
        <v>0.84503200000000001</v>
      </c>
      <c r="AA21" s="188"/>
      <c r="AB21" s="189">
        <f t="shared" si="120"/>
        <v>0</v>
      </c>
      <c r="AC21" s="250">
        <f t="shared" si="121"/>
        <v>0</v>
      </c>
      <c r="AD21" s="250">
        <f t="shared" si="122"/>
        <v>0</v>
      </c>
      <c r="AE21" s="188"/>
      <c r="AF21" s="188">
        <f t="shared" si="15"/>
        <v>0</v>
      </c>
      <c r="AG21" s="187"/>
      <c r="AH21" s="187"/>
      <c r="AI21" s="188">
        <v>0</v>
      </c>
      <c r="AJ21" s="188">
        <f t="shared" si="16"/>
        <v>0</v>
      </c>
      <c r="AK21" s="188"/>
      <c r="AL21" s="188">
        <v>0</v>
      </c>
      <c r="AM21" s="188">
        <v>0</v>
      </c>
      <c r="AN21" s="217"/>
      <c r="AO21" s="196">
        <f t="shared" si="123"/>
        <v>0</v>
      </c>
      <c r="AP21" s="195"/>
      <c r="AQ21" s="195"/>
      <c r="AR21" s="195"/>
      <c r="AS21" s="195"/>
      <c r="AT21" s="195"/>
      <c r="AU21" s="195"/>
      <c r="AV21" s="195"/>
      <c r="AW21" s="195"/>
      <c r="AX21" s="195"/>
      <c r="AY21" s="195"/>
      <c r="AZ21" s="195"/>
      <c r="BA21" s="195"/>
      <c r="BB21" s="188">
        <f t="shared" si="17"/>
        <v>0</v>
      </c>
      <c r="BC21" s="195"/>
      <c r="BD21" s="196"/>
      <c r="BE21" s="188">
        <f t="shared" si="18"/>
        <v>0</v>
      </c>
      <c r="BF21" s="188">
        <f t="shared" si="19"/>
        <v>0</v>
      </c>
      <c r="BG21" s="188">
        <f t="shared" si="20"/>
        <v>0</v>
      </c>
      <c r="BH21" s="188">
        <f t="shared" si="21"/>
        <v>0</v>
      </c>
      <c r="BI21" s="188">
        <f t="shared" si="22"/>
        <v>0</v>
      </c>
      <c r="BJ21" s="188">
        <f t="shared" si="23"/>
        <v>0</v>
      </c>
      <c r="BK21" s="188">
        <f t="shared" si="124"/>
        <v>0</v>
      </c>
      <c r="BL21" s="195"/>
      <c r="BM21" s="195"/>
      <c r="BN21" s="143"/>
      <c r="BO21" s="277"/>
      <c r="BP21" s="188"/>
      <c r="BQ21" s="188"/>
      <c r="BR21" s="188"/>
      <c r="BS21" s="188"/>
      <c r="BT21" s="188"/>
      <c r="BU21" s="188"/>
      <c r="BV21" s="188"/>
      <c r="BW21" s="188"/>
      <c r="BX21" s="188"/>
      <c r="BY21" s="188"/>
      <c r="BZ21" s="188"/>
      <c r="CA21" s="195"/>
      <c r="CB21" s="189">
        <v>0</v>
      </c>
      <c r="CC21" s="195"/>
      <c r="CD21" s="189">
        <f t="shared" si="125"/>
        <v>0</v>
      </c>
      <c r="CE21" s="189">
        <f t="shared" si="191"/>
        <v>0</v>
      </c>
      <c r="CF21" s="189">
        <f t="shared" si="126"/>
        <v>0</v>
      </c>
      <c r="CG21" s="189">
        <f t="shared" si="127"/>
        <v>0</v>
      </c>
      <c r="CH21" s="189">
        <f t="shared" si="128"/>
        <v>0</v>
      </c>
      <c r="CI21" s="189">
        <f t="shared" si="129"/>
        <v>0</v>
      </c>
      <c r="CJ21" s="189">
        <f t="shared" si="130"/>
        <v>0</v>
      </c>
      <c r="CK21" s="189">
        <f t="shared" si="131"/>
        <v>0</v>
      </c>
      <c r="CL21" s="189">
        <f t="shared" si="132"/>
        <v>0</v>
      </c>
      <c r="CM21" s="189">
        <f t="shared" si="133"/>
        <v>0</v>
      </c>
      <c r="CN21" s="189">
        <f t="shared" si="134"/>
        <v>0</v>
      </c>
      <c r="CO21" s="189">
        <f t="shared" si="135"/>
        <v>0</v>
      </c>
      <c r="CP21" s="189">
        <f t="shared" si="136"/>
        <v>0</v>
      </c>
      <c r="CQ21" s="195"/>
      <c r="CR21" s="195"/>
      <c r="CS21" s="195"/>
      <c r="CT21" s="195"/>
      <c r="CU21" s="195"/>
      <c r="CV21" s="195"/>
      <c r="CW21" s="195"/>
      <c r="CX21" s="195"/>
      <c r="CY21" s="195"/>
      <c r="CZ21" s="195"/>
      <c r="DA21" s="195"/>
      <c r="DB21" s="195"/>
      <c r="DC21" s="195"/>
      <c r="DD21" s="195"/>
      <c r="DE21" s="195"/>
      <c r="DF21" s="195"/>
      <c r="DG21" s="195"/>
      <c r="DH21" s="195"/>
      <c r="DI21" s="195"/>
      <c r="DJ21" s="195"/>
      <c r="DK21" s="195"/>
      <c r="DL21" s="195"/>
      <c r="DM21" s="195"/>
      <c r="DN21" s="195"/>
      <c r="DO21" s="195"/>
      <c r="DP21" s="195"/>
      <c r="DQ21" s="195"/>
      <c r="DR21" s="195"/>
      <c r="DS21" s="195"/>
      <c r="DT21" s="195"/>
      <c r="DU21" s="195"/>
      <c r="DV21" s="189">
        <f t="shared" si="26"/>
        <v>0</v>
      </c>
      <c r="DW21" s="189">
        <f t="shared" si="27"/>
        <v>0</v>
      </c>
      <c r="DX21" s="189">
        <f t="shared" si="28"/>
        <v>0</v>
      </c>
      <c r="DY21" s="189">
        <f t="shared" si="29"/>
        <v>0</v>
      </c>
      <c r="DZ21" s="189">
        <f t="shared" si="30"/>
        <v>0</v>
      </c>
      <c r="EA21" s="189">
        <f t="shared" si="31"/>
        <v>0</v>
      </c>
      <c r="EB21" s="189">
        <f t="shared" si="137"/>
        <v>0</v>
      </c>
      <c r="EC21" s="195"/>
      <c r="ED21" s="195"/>
      <c r="EE21" s="195"/>
      <c r="EF21" s="195"/>
      <c r="EG21" s="252">
        <f t="shared" si="138"/>
        <v>0</v>
      </c>
      <c r="EH21" s="252">
        <f t="shared" si="139"/>
        <v>0</v>
      </c>
      <c r="EI21" s="189"/>
      <c r="EJ21" s="189"/>
      <c r="EK21" s="189"/>
      <c r="EL21" s="189"/>
      <c r="EM21" s="189"/>
      <c r="EN21" s="189"/>
      <c r="EO21" s="189"/>
      <c r="EP21" s="189"/>
      <c r="EQ21" s="189"/>
      <c r="ER21" s="189"/>
      <c r="ES21" s="189"/>
      <c r="ET21" s="189"/>
      <c r="EU21" s="189"/>
      <c r="EV21" s="189"/>
      <c r="EW21" s="189"/>
      <c r="EX21" s="189"/>
      <c r="EY21" s="189"/>
      <c r="EZ21" s="189"/>
      <c r="FA21" s="189"/>
      <c r="FB21" s="189"/>
      <c r="FC21" s="189"/>
      <c r="FD21" s="189"/>
      <c r="FE21" s="189"/>
      <c r="FF21" s="189"/>
      <c r="FG21" s="195"/>
      <c r="FH21" s="189"/>
      <c r="FI21" s="189"/>
      <c r="FJ21" s="189"/>
      <c r="FK21" s="189"/>
      <c r="FL21" s="189"/>
      <c r="FM21" s="189"/>
      <c r="FN21" s="189"/>
      <c r="FO21" s="189"/>
      <c r="FP21" s="189"/>
      <c r="FQ21" s="189"/>
      <c r="FR21" s="189"/>
      <c r="FS21" s="189"/>
      <c r="FT21" s="189"/>
      <c r="FU21" s="189"/>
      <c r="FV21" s="189"/>
      <c r="FW21" s="195"/>
      <c r="FX21" s="253"/>
      <c r="FY21" s="189">
        <f t="shared" si="140"/>
        <v>0</v>
      </c>
      <c r="FZ21" s="189">
        <f t="shared" si="33"/>
        <v>0</v>
      </c>
      <c r="GA21" s="189">
        <f t="shared" si="34"/>
        <v>0</v>
      </c>
      <c r="GB21" s="189">
        <f t="shared" si="35"/>
        <v>0</v>
      </c>
      <c r="GC21" s="189">
        <f t="shared" si="36"/>
        <v>0</v>
      </c>
      <c r="GD21" s="189">
        <f t="shared" si="37"/>
        <v>0</v>
      </c>
      <c r="GE21" s="189">
        <f t="shared" si="38"/>
        <v>0</v>
      </c>
      <c r="GF21" s="199"/>
      <c r="GG21" s="189">
        <v>0</v>
      </c>
      <c r="GH21" s="189">
        <v>0</v>
      </c>
      <c r="GI21" s="199"/>
      <c r="GJ21" s="200">
        <f t="shared" si="141"/>
        <v>0</v>
      </c>
      <c r="GK21" s="200">
        <f t="shared" si="142"/>
        <v>0</v>
      </c>
      <c r="GL21" s="195"/>
      <c r="GM21" s="195"/>
      <c r="GN21" s="195"/>
      <c r="GO21" s="189">
        <f t="shared" si="39"/>
        <v>0</v>
      </c>
      <c r="GP21" s="189">
        <f t="shared" si="40"/>
        <v>0</v>
      </c>
      <c r="GQ21" s="189">
        <f t="shared" si="41"/>
        <v>0</v>
      </c>
      <c r="GR21" s="189">
        <f t="shared" si="42"/>
        <v>0</v>
      </c>
      <c r="GS21" s="189">
        <f t="shared" si="43"/>
        <v>0</v>
      </c>
      <c r="GT21" s="189">
        <f t="shared" si="143"/>
        <v>1</v>
      </c>
      <c r="GU21" s="201">
        <f t="shared" si="144"/>
        <v>43243</v>
      </c>
      <c r="GV21" s="189" t="str">
        <f t="shared" si="145"/>
        <v>SELESAI</v>
      </c>
      <c r="GW21" s="189">
        <f t="shared" si="146"/>
        <v>0</v>
      </c>
      <c r="GX21" s="202" t="str">
        <f t="shared" si="147"/>
        <v>SELESAI</v>
      </c>
      <c r="GY21" s="202">
        <f t="shared" si="148"/>
        <v>0</v>
      </c>
      <c r="GZ21" s="203" t="str">
        <f t="shared" si="149"/>
        <v>SELESAI</v>
      </c>
      <c r="HA21" s="204"/>
      <c r="HB21" s="204"/>
      <c r="HC21" s="189">
        <f t="shared" si="44"/>
        <v>0</v>
      </c>
      <c r="HD21" s="189">
        <f t="shared" si="45"/>
        <v>0</v>
      </c>
      <c r="HE21" s="189">
        <f t="shared" si="150"/>
        <v>0</v>
      </c>
      <c r="HF21" s="189">
        <f t="shared" si="151"/>
        <v>0</v>
      </c>
      <c r="HG21" s="189">
        <f t="shared" si="152"/>
        <v>0</v>
      </c>
      <c r="HH21" s="201" t="str">
        <f t="shared" si="46"/>
        <v>TIDAK KONSINYASI</v>
      </c>
      <c r="HI21" s="201" t="str">
        <f t="shared" si="153"/>
        <v>SELESAI</v>
      </c>
      <c r="HJ21" s="205"/>
      <c r="HK21" s="201">
        <f t="shared" si="47"/>
        <v>0</v>
      </c>
      <c r="HL21" s="204"/>
      <c r="HM21" s="204"/>
      <c r="HN21" s="204"/>
      <c r="HO21" s="204"/>
      <c r="HP21" s="203">
        <f t="shared" si="154"/>
        <v>0</v>
      </c>
      <c r="HQ21" s="202">
        <f t="shared" si="155"/>
        <v>0</v>
      </c>
      <c r="HR21" s="202">
        <f t="shared" si="48"/>
        <v>0</v>
      </c>
      <c r="HS21" s="203">
        <f t="shared" si="156"/>
        <v>0</v>
      </c>
      <c r="HT21" s="202">
        <f t="shared" si="157"/>
        <v>0</v>
      </c>
      <c r="HU21" s="202">
        <f t="shared" si="49"/>
        <v>0</v>
      </c>
      <c r="HV21" s="203">
        <f t="shared" si="158"/>
        <v>0</v>
      </c>
      <c r="HW21" s="202">
        <f t="shared" si="50"/>
        <v>0</v>
      </c>
      <c r="HX21" s="202">
        <f t="shared" si="51"/>
        <v>0</v>
      </c>
      <c r="HY21" s="203">
        <f t="shared" si="52"/>
        <v>0</v>
      </c>
      <c r="HZ21" s="202">
        <f t="shared" si="159"/>
        <v>0</v>
      </c>
      <c r="IA21" s="202">
        <f t="shared" si="53"/>
        <v>0</v>
      </c>
      <c r="IB21" s="203">
        <f t="shared" si="160"/>
        <v>0</v>
      </c>
      <c r="IC21" s="202">
        <f t="shared" si="54"/>
        <v>0</v>
      </c>
      <c r="ID21" s="202">
        <f t="shared" si="55"/>
        <v>0</v>
      </c>
      <c r="IE21" s="203">
        <f t="shared" si="56"/>
        <v>0</v>
      </c>
      <c r="IF21" s="202">
        <f t="shared" si="57"/>
        <v>0</v>
      </c>
      <c r="IG21" s="202">
        <f t="shared" si="58"/>
        <v>0</v>
      </c>
      <c r="IH21" s="203">
        <f t="shared" si="161"/>
        <v>0</v>
      </c>
      <c r="II21" s="202">
        <f t="shared" si="162"/>
        <v>0</v>
      </c>
      <c r="IJ21" s="202">
        <f t="shared" si="59"/>
        <v>0</v>
      </c>
      <c r="IK21" s="203">
        <f t="shared" si="60"/>
        <v>0</v>
      </c>
      <c r="IL21" s="202">
        <f t="shared" si="61"/>
        <v>0</v>
      </c>
      <c r="IM21" s="202">
        <f t="shared" si="62"/>
        <v>0</v>
      </c>
      <c r="IN21" s="204"/>
      <c r="IO21" s="203">
        <f t="shared" si="63"/>
        <v>0</v>
      </c>
      <c r="IP21" s="202">
        <f t="shared" si="64"/>
        <v>0</v>
      </c>
      <c r="IQ21" s="202">
        <f t="shared" si="65"/>
        <v>0</v>
      </c>
      <c r="IR21" s="204"/>
      <c r="IS21" s="203"/>
      <c r="IT21" s="202">
        <f t="shared" si="66"/>
        <v>1</v>
      </c>
      <c r="IU21" s="202">
        <f t="shared" si="67"/>
        <v>64</v>
      </c>
      <c r="IV21" s="204"/>
      <c r="IW21" s="203"/>
      <c r="IX21" s="202">
        <f t="shared" si="68"/>
        <v>0</v>
      </c>
      <c r="IY21" s="202">
        <f t="shared" si="69"/>
        <v>0</v>
      </c>
      <c r="IZ21" s="204"/>
      <c r="JA21" s="203"/>
      <c r="JB21" s="202">
        <f t="shared" si="70"/>
        <v>0</v>
      </c>
      <c r="JC21" s="202">
        <f t="shared" si="71"/>
        <v>0</v>
      </c>
      <c r="JD21" s="204"/>
      <c r="JE21" s="203"/>
      <c r="JF21" s="202">
        <f t="shared" si="163"/>
        <v>1</v>
      </c>
      <c r="JG21" s="202">
        <f t="shared" si="72"/>
        <v>64</v>
      </c>
      <c r="JH21" s="204"/>
      <c r="JI21" s="203"/>
      <c r="JJ21" s="202">
        <f t="shared" si="73"/>
        <v>0</v>
      </c>
      <c r="JK21" s="202">
        <f t="shared" si="74"/>
        <v>0</v>
      </c>
      <c r="JL21" s="195"/>
      <c r="JM21" s="203">
        <f t="shared" si="164"/>
        <v>0</v>
      </c>
      <c r="JN21" s="195"/>
      <c r="JO21" s="196">
        <f t="shared" si="75"/>
        <v>0</v>
      </c>
      <c r="JP21" s="206">
        <f t="shared" si="76"/>
        <v>0</v>
      </c>
      <c r="JQ21" s="206">
        <f t="shared" si="77"/>
        <v>0</v>
      </c>
      <c r="JR21" s="206">
        <f t="shared" si="78"/>
        <v>0</v>
      </c>
      <c r="JS21" s="206">
        <f t="shared" si="79"/>
        <v>0</v>
      </c>
      <c r="JT21" s="206">
        <f t="shared" si="80"/>
        <v>0</v>
      </c>
      <c r="JU21" s="206">
        <f t="shared" si="81"/>
        <v>0</v>
      </c>
      <c r="JV21" s="206">
        <f t="shared" si="82"/>
        <v>0</v>
      </c>
      <c r="JW21" s="206">
        <f t="shared" si="83"/>
        <v>0</v>
      </c>
      <c r="JX21" s="206">
        <f t="shared" si="84"/>
        <v>0</v>
      </c>
      <c r="JY21" s="206">
        <f t="shared" si="85"/>
        <v>0</v>
      </c>
      <c r="JZ21" s="206">
        <f t="shared" si="86"/>
        <v>0</v>
      </c>
      <c r="KA21" s="206">
        <f t="shared" si="87"/>
        <v>0</v>
      </c>
      <c r="KB21" s="206">
        <f t="shared" si="88"/>
        <v>0</v>
      </c>
      <c r="KC21" s="195"/>
      <c r="KD21" s="206">
        <f t="shared" si="165"/>
        <v>0</v>
      </c>
      <c r="KE21" s="206">
        <f t="shared" si="90"/>
        <v>0</v>
      </c>
      <c r="KF21" s="206">
        <f t="shared" si="91"/>
        <v>0</v>
      </c>
      <c r="KG21" s="206">
        <f t="shared" si="92"/>
        <v>0</v>
      </c>
      <c r="KH21" s="206">
        <f t="shared" si="93"/>
        <v>0</v>
      </c>
      <c r="KI21" s="206">
        <f t="shared" si="94"/>
        <v>0</v>
      </c>
      <c r="KJ21" s="206">
        <f t="shared" si="95"/>
        <v>0</v>
      </c>
      <c r="KK21" s="206">
        <f t="shared" si="96"/>
        <v>0</v>
      </c>
      <c r="KL21" s="206">
        <f t="shared" si="97"/>
        <v>0</v>
      </c>
      <c r="KM21" s="206">
        <f t="shared" si="98"/>
        <v>0</v>
      </c>
      <c r="KN21" s="221">
        <f t="shared" si="99"/>
        <v>0</v>
      </c>
      <c r="KO21" s="221">
        <f t="shared" si="100"/>
        <v>0</v>
      </c>
      <c r="KP21" s="221">
        <f t="shared" si="101"/>
        <v>0</v>
      </c>
      <c r="KQ21" s="221">
        <f t="shared" si="102"/>
        <v>0</v>
      </c>
      <c r="KR21" s="221">
        <f t="shared" si="103"/>
        <v>0</v>
      </c>
      <c r="KS21" s="195"/>
      <c r="KT21" s="195">
        <f t="shared" si="104"/>
        <v>0</v>
      </c>
      <c r="KU21" s="221"/>
      <c r="KV21" s="221"/>
      <c r="KW21" s="221"/>
      <c r="KX21" s="221"/>
      <c r="KY21" s="221"/>
      <c r="KZ21" s="221"/>
      <c r="LA21" s="221"/>
      <c r="LB21" s="221"/>
      <c r="LC21" s="221"/>
      <c r="LD21" s="221"/>
      <c r="LE21" s="221"/>
      <c r="LF21" s="221"/>
      <c r="LG21" s="221"/>
      <c r="LH21" s="221"/>
      <c r="LI21" s="221"/>
      <c r="LJ21" s="221"/>
      <c r="LK21" s="221"/>
      <c r="LL21" s="221"/>
      <c r="LM21" s="221"/>
      <c r="LN21" s="221"/>
      <c r="LO21" s="221"/>
      <c r="LP21" s="221"/>
      <c r="LQ21" s="221"/>
      <c r="LR21" s="221"/>
      <c r="LS21" s="221"/>
      <c r="LT21" s="221"/>
      <c r="LU21" s="221"/>
      <c r="LV21" s="221"/>
      <c r="LW21" s="221"/>
      <c r="LX21" s="221"/>
      <c r="LY21" s="221"/>
      <c r="LZ21" s="221"/>
      <c r="MA21" s="221"/>
      <c r="MB21" s="221"/>
      <c r="MC21" s="221"/>
      <c r="MD21" s="221"/>
      <c r="ME21" s="221"/>
      <c r="MF21" s="221"/>
      <c r="MG21" s="221"/>
      <c r="MH21" s="221"/>
      <c r="MI21" s="221"/>
      <c r="MJ21" s="221"/>
      <c r="MK21" s="221"/>
      <c r="ML21" s="221"/>
      <c r="MM21" s="221"/>
      <c r="MN21" s="221"/>
      <c r="MO21" s="221"/>
      <c r="MP21" s="221"/>
      <c r="MQ21" s="221"/>
      <c r="MR21" s="221"/>
      <c r="MS21" s="221"/>
      <c r="MT21" s="221"/>
      <c r="MU21" s="221"/>
      <c r="MV21" s="221"/>
      <c r="MW21" s="221"/>
      <c r="MX21" s="221"/>
      <c r="MY21" s="221"/>
      <c r="MZ21" s="221"/>
      <c r="NA21" s="221"/>
      <c r="NB21" s="221"/>
      <c r="NC21" s="221"/>
      <c r="ND21" s="221"/>
      <c r="NE21" s="221"/>
      <c r="NF21" s="221"/>
      <c r="NG21" s="221"/>
      <c r="NH21" s="221"/>
      <c r="NI21" s="221"/>
      <c r="NJ21" s="221"/>
      <c r="NK21" s="221"/>
      <c r="NL21" s="195"/>
      <c r="NM21" s="195">
        <f t="shared" si="166"/>
        <v>0</v>
      </c>
      <c r="NN21" s="195">
        <f t="shared" si="167"/>
        <v>0</v>
      </c>
      <c r="NO21" s="195">
        <f t="shared" si="168"/>
        <v>0</v>
      </c>
      <c r="NP21" s="195">
        <f t="shared" si="169"/>
        <v>0</v>
      </c>
      <c r="NQ21" s="195">
        <f t="shared" si="170"/>
        <v>0</v>
      </c>
      <c r="NR21" s="195">
        <f t="shared" si="171"/>
        <v>0</v>
      </c>
      <c r="NS21" s="195">
        <f t="shared" si="172"/>
        <v>0</v>
      </c>
      <c r="NT21" s="195">
        <f t="shared" si="173"/>
        <v>0</v>
      </c>
      <c r="NU21" s="196">
        <f t="shared" si="174"/>
        <v>0</v>
      </c>
      <c r="NV21" s="195"/>
      <c r="NW21" s="195"/>
      <c r="NX21" s="195"/>
      <c r="NY21" s="196">
        <f t="shared" si="106"/>
        <v>1</v>
      </c>
      <c r="NZ21" s="222">
        <v>7885900</v>
      </c>
      <c r="OA21" s="195"/>
      <c r="OB21" s="195"/>
      <c r="OC21" s="195"/>
      <c r="OD21" s="195"/>
      <c r="OE21" s="207">
        <f t="shared" si="107"/>
        <v>0</v>
      </c>
      <c r="OF21" s="207">
        <f t="shared" si="108"/>
        <v>0</v>
      </c>
      <c r="OG21" s="207">
        <f t="shared" si="109"/>
        <v>0</v>
      </c>
      <c r="OH21" s="207">
        <f t="shared" si="175"/>
        <v>0</v>
      </c>
      <c r="OI21" s="207">
        <f t="shared" si="110"/>
        <v>0</v>
      </c>
      <c r="OJ21" s="199">
        <f t="shared" si="176"/>
        <v>0</v>
      </c>
      <c r="OK21" s="199">
        <f t="shared" si="177"/>
        <v>0</v>
      </c>
      <c r="OL21" s="199">
        <f t="shared" si="178"/>
        <v>0</v>
      </c>
      <c r="OM21" s="199">
        <f t="shared" si="179"/>
        <v>0</v>
      </c>
      <c r="ON21" s="195"/>
      <c r="OO21" s="207">
        <f t="shared" si="111"/>
        <v>0</v>
      </c>
      <c r="OP21" s="207">
        <f t="shared" si="112"/>
        <v>0</v>
      </c>
      <c r="OQ21" s="207">
        <f t="shared" si="180"/>
        <v>0</v>
      </c>
      <c r="OR21" s="207">
        <f t="shared" si="181"/>
        <v>0</v>
      </c>
      <c r="OS21" s="207">
        <f t="shared" si="182"/>
        <v>0</v>
      </c>
      <c r="OT21" s="199">
        <f t="shared" si="183"/>
        <v>0</v>
      </c>
      <c r="OU21" s="199">
        <f t="shared" si="184"/>
        <v>0</v>
      </c>
      <c r="OV21" s="199">
        <f t="shared" si="185"/>
        <v>0</v>
      </c>
      <c r="OW21" s="199">
        <f t="shared" si="186"/>
        <v>0</v>
      </c>
      <c r="OX21" s="195"/>
      <c r="OY21" s="195"/>
      <c r="OZ21" s="195"/>
      <c r="PA21" s="209"/>
      <c r="PB21" s="209"/>
      <c r="PC21" s="209"/>
      <c r="PD21" s="210">
        <f t="shared" si="113"/>
        <v>0</v>
      </c>
      <c r="PE21" s="210"/>
      <c r="PF21" s="210">
        <f t="shared" si="114"/>
        <v>0</v>
      </c>
      <c r="PG21" s="210">
        <f t="shared" si="115"/>
        <v>0</v>
      </c>
      <c r="PH21" s="210">
        <f t="shared" si="115"/>
        <v>0</v>
      </c>
      <c r="PI21" s="210">
        <f t="shared" si="115"/>
        <v>0</v>
      </c>
      <c r="PJ21" s="210">
        <f t="shared" si="115"/>
        <v>0</v>
      </c>
      <c r="PK21" s="210">
        <f t="shared" si="115"/>
        <v>0</v>
      </c>
      <c r="PL21" s="210">
        <f t="shared" si="115"/>
        <v>0</v>
      </c>
      <c r="PM21" s="195"/>
      <c r="PN21" s="195"/>
      <c r="PO21" s="212">
        <f t="shared" si="187"/>
        <v>0</v>
      </c>
      <c r="PP21" s="212">
        <f t="shared" si="188"/>
        <v>0</v>
      </c>
      <c r="PQ21" s="212">
        <f t="shared" si="189"/>
        <v>0</v>
      </c>
    </row>
    <row r="22" spans="1:433" ht="16" x14ac:dyDescent="0.2">
      <c r="A22" s="213">
        <f t="shared" ref="A22" si="195">A21+1</f>
        <v>14</v>
      </c>
      <c r="B22" s="186" t="s">
        <v>101</v>
      </c>
      <c r="C22" s="186">
        <v>14</v>
      </c>
      <c r="D22" s="188">
        <v>1</v>
      </c>
      <c r="E22" s="188">
        <v>83</v>
      </c>
      <c r="F22" s="188">
        <v>1</v>
      </c>
      <c r="G22" s="188">
        <f t="shared" si="116"/>
        <v>83</v>
      </c>
      <c r="H22" s="214">
        <f t="shared" si="2"/>
        <v>1</v>
      </c>
      <c r="I22" s="214">
        <f t="shared" si="3"/>
        <v>1</v>
      </c>
      <c r="J22" s="188">
        <v>1</v>
      </c>
      <c r="K22" s="188">
        <f t="shared" si="4"/>
        <v>83</v>
      </c>
      <c r="L22" s="214">
        <f t="shared" si="5"/>
        <v>1</v>
      </c>
      <c r="M22" s="214">
        <f t="shared" si="6"/>
        <v>1</v>
      </c>
      <c r="N22" s="188">
        <v>1</v>
      </c>
      <c r="O22" s="188">
        <f t="shared" si="7"/>
        <v>83</v>
      </c>
      <c r="P22" s="214">
        <f t="shared" si="8"/>
        <v>1</v>
      </c>
      <c r="Q22" s="214">
        <f t="shared" si="9"/>
        <v>1</v>
      </c>
      <c r="R22" s="188">
        <v>1</v>
      </c>
      <c r="S22" s="188">
        <f t="shared" si="117"/>
        <v>83</v>
      </c>
      <c r="T22" s="214">
        <f t="shared" si="118"/>
        <v>1</v>
      </c>
      <c r="U22" s="214">
        <f t="shared" si="119"/>
        <v>1</v>
      </c>
      <c r="V22" s="188">
        <v>1</v>
      </c>
      <c r="W22" s="188">
        <f t="shared" si="10"/>
        <v>83</v>
      </c>
      <c r="X22" s="214">
        <f t="shared" si="11"/>
        <v>1</v>
      </c>
      <c r="Y22" s="214">
        <f t="shared" si="12"/>
        <v>1</v>
      </c>
      <c r="Z22" s="224">
        <f>1243274000/1000000000</f>
        <v>1.243274</v>
      </c>
      <c r="AA22" s="188"/>
      <c r="AB22" s="189">
        <f t="shared" si="120"/>
        <v>0</v>
      </c>
      <c r="AC22" s="250">
        <f t="shared" si="121"/>
        <v>0</v>
      </c>
      <c r="AD22" s="250">
        <f t="shared" si="122"/>
        <v>0</v>
      </c>
      <c r="AE22" s="188"/>
      <c r="AF22" s="188">
        <f t="shared" si="15"/>
        <v>0</v>
      </c>
      <c r="AG22" s="187"/>
      <c r="AH22" s="187"/>
      <c r="AI22" s="188">
        <v>0</v>
      </c>
      <c r="AJ22" s="188">
        <f t="shared" si="16"/>
        <v>0</v>
      </c>
      <c r="AK22" s="188"/>
      <c r="AL22" s="188">
        <v>0</v>
      </c>
      <c r="AM22" s="188">
        <v>0</v>
      </c>
      <c r="AN22" s="217"/>
      <c r="AO22" s="196">
        <f t="shared" si="123"/>
        <v>0</v>
      </c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5"/>
      <c r="BB22" s="188">
        <f t="shared" si="17"/>
        <v>0</v>
      </c>
      <c r="BC22" s="195"/>
      <c r="BD22" s="196"/>
      <c r="BE22" s="188">
        <f t="shared" si="18"/>
        <v>0</v>
      </c>
      <c r="BF22" s="188">
        <f t="shared" si="19"/>
        <v>0</v>
      </c>
      <c r="BG22" s="188">
        <f t="shared" si="20"/>
        <v>0</v>
      </c>
      <c r="BH22" s="188">
        <f t="shared" si="21"/>
        <v>0</v>
      </c>
      <c r="BI22" s="188">
        <f t="shared" si="22"/>
        <v>0</v>
      </c>
      <c r="BJ22" s="188">
        <f t="shared" si="23"/>
        <v>0</v>
      </c>
      <c r="BK22" s="188">
        <f t="shared" si="124"/>
        <v>0</v>
      </c>
      <c r="BL22" s="195"/>
      <c r="BM22" s="195"/>
      <c r="BN22" s="277">
        <v>73</v>
      </c>
      <c r="BO22" s="283">
        <v>1</v>
      </c>
      <c r="BP22" s="188"/>
      <c r="BQ22" s="188"/>
      <c r="BR22" s="188"/>
      <c r="BS22" s="188"/>
      <c r="BT22" s="188"/>
      <c r="BU22" s="188"/>
      <c r="BV22" s="188"/>
      <c r="BW22" s="188"/>
      <c r="BX22" s="188"/>
      <c r="BY22" s="188"/>
      <c r="BZ22" s="188"/>
      <c r="CA22" s="195"/>
      <c r="CB22" s="189">
        <v>0</v>
      </c>
      <c r="CC22" s="195"/>
      <c r="CD22" s="189">
        <f t="shared" si="125"/>
        <v>73</v>
      </c>
      <c r="CE22" s="189">
        <f t="shared" si="191"/>
        <v>73</v>
      </c>
      <c r="CF22" s="189">
        <f t="shared" si="126"/>
        <v>0</v>
      </c>
      <c r="CG22" s="189">
        <f t="shared" si="127"/>
        <v>0</v>
      </c>
      <c r="CH22" s="189">
        <f t="shared" si="128"/>
        <v>0</v>
      </c>
      <c r="CI22" s="189">
        <f t="shared" si="129"/>
        <v>0</v>
      </c>
      <c r="CJ22" s="189">
        <f t="shared" si="130"/>
        <v>0</v>
      </c>
      <c r="CK22" s="189">
        <f t="shared" si="131"/>
        <v>0</v>
      </c>
      <c r="CL22" s="189">
        <f t="shared" si="132"/>
        <v>0</v>
      </c>
      <c r="CM22" s="189">
        <f t="shared" si="133"/>
        <v>0</v>
      </c>
      <c r="CN22" s="189">
        <f t="shared" si="134"/>
        <v>0</v>
      </c>
      <c r="CO22" s="189">
        <f t="shared" si="135"/>
        <v>0</v>
      </c>
      <c r="CP22" s="189">
        <f t="shared" si="136"/>
        <v>0</v>
      </c>
      <c r="CQ22" s="195"/>
      <c r="CR22" s="195"/>
      <c r="CS22" s="195"/>
      <c r="CT22" s="195"/>
      <c r="CU22" s="195"/>
      <c r="CV22" s="195"/>
      <c r="CW22" s="195"/>
      <c r="CX22" s="195"/>
      <c r="CY22" s="195"/>
      <c r="CZ22" s="195"/>
      <c r="DA22" s="195"/>
      <c r="DB22" s="195"/>
      <c r="DC22" s="195"/>
      <c r="DD22" s="195"/>
      <c r="DE22" s="195"/>
      <c r="DF22" s="195"/>
      <c r="DG22" s="195"/>
      <c r="DH22" s="195"/>
      <c r="DI22" s="195"/>
      <c r="DJ22" s="195"/>
      <c r="DK22" s="195"/>
      <c r="DL22" s="195"/>
      <c r="DM22" s="195"/>
      <c r="DN22" s="195"/>
      <c r="DO22" s="195"/>
      <c r="DP22" s="195"/>
      <c r="DQ22" s="195"/>
      <c r="DR22" s="195"/>
      <c r="DS22" s="195"/>
      <c r="DT22" s="195"/>
      <c r="DU22" s="195"/>
      <c r="DV22" s="189">
        <f t="shared" si="26"/>
        <v>0</v>
      </c>
      <c r="DW22" s="189">
        <f t="shared" si="27"/>
        <v>0</v>
      </c>
      <c r="DX22" s="189">
        <f t="shared" si="28"/>
        <v>0</v>
      </c>
      <c r="DY22" s="189">
        <f t="shared" si="29"/>
        <v>0</v>
      </c>
      <c r="DZ22" s="189">
        <f t="shared" si="30"/>
        <v>0</v>
      </c>
      <c r="EA22" s="189">
        <f t="shared" si="31"/>
        <v>0</v>
      </c>
      <c r="EB22" s="189">
        <f t="shared" si="137"/>
        <v>0</v>
      </c>
      <c r="EC22" s="195"/>
      <c r="ED22" s="195"/>
      <c r="EE22" s="195"/>
      <c r="EF22" s="195"/>
      <c r="EG22" s="252">
        <f t="shared" si="138"/>
        <v>0</v>
      </c>
      <c r="EH22" s="252">
        <f t="shared" si="139"/>
        <v>0</v>
      </c>
      <c r="EI22" s="189"/>
      <c r="EJ22" s="189"/>
      <c r="EK22" s="189"/>
      <c r="EL22" s="189"/>
      <c r="EM22" s="189"/>
      <c r="EN22" s="189"/>
      <c r="EO22" s="189"/>
      <c r="EP22" s="189"/>
      <c r="EQ22" s="189"/>
      <c r="ER22" s="189"/>
      <c r="ES22" s="189"/>
      <c r="ET22" s="189"/>
      <c r="EU22" s="189"/>
      <c r="EV22" s="189"/>
      <c r="EW22" s="189"/>
      <c r="EX22" s="189"/>
      <c r="EY22" s="189"/>
      <c r="EZ22" s="189"/>
      <c r="FA22" s="189"/>
      <c r="FB22" s="189"/>
      <c r="FC22" s="189"/>
      <c r="FD22" s="189"/>
      <c r="FE22" s="189"/>
      <c r="FF22" s="189"/>
      <c r="FG22" s="195"/>
      <c r="FH22" s="189"/>
      <c r="FI22" s="189"/>
      <c r="FJ22" s="189"/>
      <c r="FK22" s="189"/>
      <c r="FL22" s="189"/>
      <c r="FM22" s="189"/>
      <c r="FN22" s="189"/>
      <c r="FO22" s="189"/>
      <c r="FP22" s="189"/>
      <c r="FQ22" s="189"/>
      <c r="FR22" s="189"/>
      <c r="FS22" s="189"/>
      <c r="FT22" s="189"/>
      <c r="FU22" s="189"/>
      <c r="FV22" s="189"/>
      <c r="FW22" s="195"/>
      <c r="FX22" s="253">
        <v>1</v>
      </c>
      <c r="FY22" s="189">
        <f t="shared" si="140"/>
        <v>73</v>
      </c>
      <c r="FZ22" s="189">
        <f t="shared" si="33"/>
        <v>73</v>
      </c>
      <c r="GA22" s="189">
        <f t="shared" si="34"/>
        <v>0</v>
      </c>
      <c r="GB22" s="189">
        <f t="shared" si="35"/>
        <v>0</v>
      </c>
      <c r="GC22" s="189">
        <f t="shared" si="36"/>
        <v>0</v>
      </c>
      <c r="GD22" s="189">
        <f t="shared" si="37"/>
        <v>0</v>
      </c>
      <c r="GE22" s="189">
        <f t="shared" si="38"/>
        <v>0</v>
      </c>
      <c r="GF22" s="199"/>
      <c r="GG22" s="189">
        <v>0</v>
      </c>
      <c r="GH22" s="189">
        <v>0</v>
      </c>
      <c r="GI22" s="199"/>
      <c r="GJ22" s="200">
        <f t="shared" si="141"/>
        <v>0</v>
      </c>
      <c r="GK22" s="200">
        <f t="shared" si="142"/>
        <v>0</v>
      </c>
      <c r="GL22" s="195"/>
      <c r="GM22" s="195"/>
      <c r="GN22" s="195"/>
      <c r="GO22" s="189">
        <f t="shared" si="39"/>
        <v>0</v>
      </c>
      <c r="GP22" s="189">
        <f t="shared" si="40"/>
        <v>0</v>
      </c>
      <c r="GQ22" s="189">
        <f t="shared" si="41"/>
        <v>0</v>
      </c>
      <c r="GR22" s="189">
        <f t="shared" si="42"/>
        <v>0</v>
      </c>
      <c r="GS22" s="189">
        <f t="shared" si="43"/>
        <v>0</v>
      </c>
      <c r="GT22" s="189">
        <f t="shared" si="143"/>
        <v>1</v>
      </c>
      <c r="GU22" s="201">
        <f t="shared" si="144"/>
        <v>43243</v>
      </c>
      <c r="GV22" s="189" t="str">
        <f t="shared" si="145"/>
        <v>SELESAI</v>
      </c>
      <c r="GW22" s="189">
        <f t="shared" si="146"/>
        <v>0</v>
      </c>
      <c r="GX22" s="202" t="str">
        <f t="shared" si="147"/>
        <v>SELESAI</v>
      </c>
      <c r="GY22" s="202">
        <f t="shared" si="148"/>
        <v>0</v>
      </c>
      <c r="GZ22" s="203" t="str">
        <f t="shared" si="149"/>
        <v>SELESAI</v>
      </c>
      <c r="HA22" s="204"/>
      <c r="HB22" s="204"/>
      <c r="HC22" s="189">
        <f t="shared" si="44"/>
        <v>0</v>
      </c>
      <c r="HD22" s="189">
        <f t="shared" si="45"/>
        <v>0</v>
      </c>
      <c r="HE22" s="189">
        <f t="shared" si="150"/>
        <v>0</v>
      </c>
      <c r="HF22" s="189">
        <f t="shared" si="151"/>
        <v>0</v>
      </c>
      <c r="HG22" s="189">
        <f t="shared" si="152"/>
        <v>0</v>
      </c>
      <c r="HH22" s="201" t="str">
        <f t="shared" si="46"/>
        <v>TIDAK KONSINYASI</v>
      </c>
      <c r="HI22" s="201" t="str">
        <f t="shared" si="153"/>
        <v>SELESAI</v>
      </c>
      <c r="HJ22" s="205"/>
      <c r="HK22" s="201">
        <f t="shared" si="47"/>
        <v>0</v>
      </c>
      <c r="HL22" s="204"/>
      <c r="HM22" s="204"/>
      <c r="HN22" s="204"/>
      <c r="HO22" s="204"/>
      <c r="HP22" s="203">
        <f t="shared" si="154"/>
        <v>0</v>
      </c>
      <c r="HQ22" s="202">
        <f t="shared" si="155"/>
        <v>0</v>
      </c>
      <c r="HR22" s="202">
        <f t="shared" si="48"/>
        <v>0</v>
      </c>
      <c r="HS22" s="203">
        <f t="shared" si="156"/>
        <v>0</v>
      </c>
      <c r="HT22" s="202">
        <f t="shared" si="157"/>
        <v>0</v>
      </c>
      <c r="HU22" s="202">
        <f t="shared" si="49"/>
        <v>0</v>
      </c>
      <c r="HV22" s="203">
        <f t="shared" si="158"/>
        <v>0</v>
      </c>
      <c r="HW22" s="202">
        <f t="shared" si="50"/>
        <v>0</v>
      </c>
      <c r="HX22" s="202">
        <f t="shared" si="51"/>
        <v>0</v>
      </c>
      <c r="HY22" s="203">
        <f t="shared" si="52"/>
        <v>0</v>
      </c>
      <c r="HZ22" s="202">
        <f t="shared" si="159"/>
        <v>0</v>
      </c>
      <c r="IA22" s="202">
        <f t="shared" si="53"/>
        <v>0</v>
      </c>
      <c r="IB22" s="203">
        <f t="shared" si="160"/>
        <v>0</v>
      </c>
      <c r="IC22" s="202">
        <f t="shared" si="54"/>
        <v>0</v>
      </c>
      <c r="ID22" s="202">
        <f t="shared" si="55"/>
        <v>0</v>
      </c>
      <c r="IE22" s="203">
        <f t="shared" si="56"/>
        <v>0</v>
      </c>
      <c r="IF22" s="202">
        <f t="shared" si="57"/>
        <v>0</v>
      </c>
      <c r="IG22" s="202">
        <f t="shared" si="58"/>
        <v>0</v>
      </c>
      <c r="IH22" s="203">
        <f t="shared" si="161"/>
        <v>0</v>
      </c>
      <c r="II22" s="202">
        <f t="shared" si="162"/>
        <v>0</v>
      </c>
      <c r="IJ22" s="202">
        <f t="shared" si="59"/>
        <v>0</v>
      </c>
      <c r="IK22" s="203">
        <f t="shared" si="60"/>
        <v>0</v>
      </c>
      <c r="IL22" s="202">
        <f t="shared" si="61"/>
        <v>0</v>
      </c>
      <c r="IM22" s="202">
        <f t="shared" si="62"/>
        <v>0</v>
      </c>
      <c r="IN22" s="204"/>
      <c r="IO22" s="203">
        <f t="shared" si="63"/>
        <v>0</v>
      </c>
      <c r="IP22" s="202">
        <f t="shared" si="64"/>
        <v>0</v>
      </c>
      <c r="IQ22" s="202">
        <f t="shared" si="65"/>
        <v>0</v>
      </c>
      <c r="IR22" s="204"/>
      <c r="IS22" s="203"/>
      <c r="IT22" s="202">
        <f t="shared" si="66"/>
        <v>1</v>
      </c>
      <c r="IU22" s="202">
        <f t="shared" si="67"/>
        <v>83</v>
      </c>
      <c r="IV22" s="204"/>
      <c r="IW22" s="203"/>
      <c r="IX22" s="202">
        <f t="shared" si="68"/>
        <v>0</v>
      </c>
      <c r="IY22" s="202">
        <f t="shared" si="69"/>
        <v>0</v>
      </c>
      <c r="IZ22" s="204"/>
      <c r="JA22" s="203"/>
      <c r="JB22" s="202">
        <f t="shared" si="70"/>
        <v>0</v>
      </c>
      <c r="JC22" s="202">
        <f t="shared" si="71"/>
        <v>0</v>
      </c>
      <c r="JD22" s="204"/>
      <c r="JE22" s="203"/>
      <c r="JF22" s="202">
        <f t="shared" si="163"/>
        <v>1</v>
      </c>
      <c r="JG22" s="202">
        <f t="shared" si="72"/>
        <v>83</v>
      </c>
      <c r="JH22" s="204"/>
      <c r="JI22" s="203"/>
      <c r="JJ22" s="202">
        <f t="shared" si="73"/>
        <v>0</v>
      </c>
      <c r="JK22" s="202">
        <f t="shared" si="74"/>
        <v>0</v>
      </c>
      <c r="JL22" s="195"/>
      <c r="JM22" s="203">
        <f t="shared" si="164"/>
        <v>0</v>
      </c>
      <c r="JN22" s="195"/>
      <c r="JO22" s="196">
        <f t="shared" si="75"/>
        <v>1</v>
      </c>
      <c r="JP22" s="206">
        <f t="shared" si="76"/>
        <v>73</v>
      </c>
      <c r="JQ22" s="206">
        <f t="shared" si="77"/>
        <v>1</v>
      </c>
      <c r="JR22" s="206">
        <f t="shared" si="78"/>
        <v>0</v>
      </c>
      <c r="JS22" s="206">
        <f t="shared" si="79"/>
        <v>0</v>
      </c>
      <c r="JT22" s="206">
        <f t="shared" si="80"/>
        <v>0</v>
      </c>
      <c r="JU22" s="206">
        <f t="shared" si="81"/>
        <v>0</v>
      </c>
      <c r="JV22" s="206">
        <f t="shared" si="82"/>
        <v>0</v>
      </c>
      <c r="JW22" s="206">
        <f t="shared" si="83"/>
        <v>0</v>
      </c>
      <c r="JX22" s="206">
        <f t="shared" si="84"/>
        <v>0</v>
      </c>
      <c r="JY22" s="206">
        <f t="shared" si="85"/>
        <v>0</v>
      </c>
      <c r="JZ22" s="206">
        <f t="shared" si="86"/>
        <v>0</v>
      </c>
      <c r="KA22" s="206">
        <f t="shared" si="87"/>
        <v>0</v>
      </c>
      <c r="KB22" s="206">
        <f t="shared" si="88"/>
        <v>0</v>
      </c>
      <c r="KC22" s="195"/>
      <c r="KD22" s="206">
        <f t="shared" si="165"/>
        <v>0</v>
      </c>
      <c r="KE22" s="206">
        <f t="shared" si="90"/>
        <v>0</v>
      </c>
      <c r="KF22" s="206">
        <f t="shared" si="91"/>
        <v>73</v>
      </c>
      <c r="KG22" s="206">
        <f t="shared" si="92"/>
        <v>73</v>
      </c>
      <c r="KH22" s="206">
        <f t="shared" si="93"/>
        <v>0</v>
      </c>
      <c r="KI22" s="206">
        <f t="shared" si="94"/>
        <v>0</v>
      </c>
      <c r="KJ22" s="206">
        <f t="shared" si="95"/>
        <v>0</v>
      </c>
      <c r="KK22" s="206">
        <f t="shared" si="96"/>
        <v>0</v>
      </c>
      <c r="KL22" s="206">
        <f t="shared" si="97"/>
        <v>0</v>
      </c>
      <c r="KM22" s="206">
        <f t="shared" si="98"/>
        <v>0</v>
      </c>
      <c r="KN22" s="221">
        <f t="shared" si="99"/>
        <v>0</v>
      </c>
      <c r="KO22" s="221">
        <f t="shared" si="100"/>
        <v>0</v>
      </c>
      <c r="KP22" s="221">
        <f t="shared" si="101"/>
        <v>0</v>
      </c>
      <c r="KQ22" s="221">
        <f t="shared" si="102"/>
        <v>0</v>
      </c>
      <c r="KR22" s="221">
        <f t="shared" si="103"/>
        <v>0</v>
      </c>
      <c r="KS22" s="195"/>
      <c r="KT22" s="195">
        <f t="shared" si="104"/>
        <v>0</v>
      </c>
      <c r="KU22" s="221"/>
      <c r="KV22" s="221"/>
      <c r="KW22" s="221"/>
      <c r="KX22" s="221"/>
      <c r="KY22" s="221"/>
      <c r="KZ22" s="221"/>
      <c r="LA22" s="221"/>
      <c r="LB22" s="221"/>
      <c r="LC22" s="221"/>
      <c r="LD22" s="221"/>
      <c r="LE22" s="221"/>
      <c r="LF22" s="221"/>
      <c r="LG22" s="221"/>
      <c r="LH22" s="221"/>
      <c r="LI22" s="221"/>
      <c r="LJ22" s="221"/>
      <c r="LK22" s="221"/>
      <c r="LL22" s="221"/>
      <c r="LM22" s="221"/>
      <c r="LN22" s="221"/>
      <c r="LO22" s="221"/>
      <c r="LP22" s="221"/>
      <c r="LQ22" s="221"/>
      <c r="LR22" s="221"/>
      <c r="LS22" s="221"/>
      <c r="LT22" s="221"/>
      <c r="LU22" s="221"/>
      <c r="LV22" s="221"/>
      <c r="LW22" s="221"/>
      <c r="LX22" s="221"/>
      <c r="LY22" s="221"/>
      <c r="LZ22" s="221"/>
      <c r="MA22" s="221"/>
      <c r="MB22" s="221"/>
      <c r="MC22" s="221"/>
      <c r="MD22" s="221"/>
      <c r="ME22" s="221"/>
      <c r="MF22" s="221"/>
      <c r="MG22" s="221"/>
      <c r="MH22" s="221"/>
      <c r="MI22" s="221"/>
      <c r="MJ22" s="221"/>
      <c r="MK22" s="221"/>
      <c r="ML22" s="221"/>
      <c r="MM22" s="221"/>
      <c r="MN22" s="221"/>
      <c r="MO22" s="221"/>
      <c r="MP22" s="221"/>
      <c r="MQ22" s="221"/>
      <c r="MR22" s="221"/>
      <c r="MS22" s="221"/>
      <c r="MT22" s="221"/>
      <c r="MU22" s="221"/>
      <c r="MV22" s="221"/>
      <c r="MW22" s="221"/>
      <c r="MX22" s="221"/>
      <c r="MY22" s="221"/>
      <c r="MZ22" s="221"/>
      <c r="NA22" s="221"/>
      <c r="NB22" s="221"/>
      <c r="NC22" s="221"/>
      <c r="ND22" s="221"/>
      <c r="NE22" s="221"/>
      <c r="NF22" s="221"/>
      <c r="NG22" s="221"/>
      <c r="NH22" s="221"/>
      <c r="NI22" s="221"/>
      <c r="NJ22" s="221"/>
      <c r="NK22" s="221"/>
      <c r="NL22" s="195"/>
      <c r="NM22" s="195">
        <f t="shared" si="166"/>
        <v>0</v>
      </c>
      <c r="NN22" s="195">
        <f t="shared" si="167"/>
        <v>0</v>
      </c>
      <c r="NO22" s="195">
        <f t="shared" si="168"/>
        <v>0</v>
      </c>
      <c r="NP22" s="195">
        <f t="shared" si="169"/>
        <v>0</v>
      </c>
      <c r="NQ22" s="195">
        <f t="shared" si="170"/>
        <v>0</v>
      </c>
      <c r="NR22" s="195">
        <f t="shared" si="171"/>
        <v>0</v>
      </c>
      <c r="NS22" s="195">
        <f t="shared" si="172"/>
        <v>0</v>
      </c>
      <c r="NT22" s="195">
        <f t="shared" si="173"/>
        <v>0</v>
      </c>
      <c r="NU22" s="196">
        <f t="shared" si="174"/>
        <v>0</v>
      </c>
      <c r="NV22" s="195"/>
      <c r="NW22" s="195"/>
      <c r="NX22" s="195"/>
      <c r="NY22" s="196">
        <f t="shared" si="106"/>
        <v>1</v>
      </c>
      <c r="NZ22" s="222">
        <f>80801000/10</f>
        <v>8080100</v>
      </c>
      <c r="OA22" s="195"/>
      <c r="OB22" s="195"/>
      <c r="OC22" s="195"/>
      <c r="OD22" s="195"/>
      <c r="OE22" s="207">
        <f t="shared" si="107"/>
        <v>0</v>
      </c>
      <c r="OF22" s="207">
        <f t="shared" si="108"/>
        <v>0</v>
      </c>
      <c r="OG22" s="207">
        <f t="shared" si="109"/>
        <v>0</v>
      </c>
      <c r="OH22" s="207">
        <f t="shared" si="175"/>
        <v>0</v>
      </c>
      <c r="OI22" s="207">
        <f t="shared" si="110"/>
        <v>0</v>
      </c>
      <c r="OJ22" s="199">
        <f t="shared" si="176"/>
        <v>0</v>
      </c>
      <c r="OK22" s="199">
        <f t="shared" si="177"/>
        <v>0</v>
      </c>
      <c r="OL22" s="199">
        <f t="shared" si="178"/>
        <v>0</v>
      </c>
      <c r="OM22" s="199">
        <f t="shared" si="179"/>
        <v>0</v>
      </c>
      <c r="ON22" s="195"/>
      <c r="OO22" s="207">
        <f t="shared" si="111"/>
        <v>0</v>
      </c>
      <c r="OP22" s="207">
        <f t="shared" si="112"/>
        <v>0</v>
      </c>
      <c r="OQ22" s="207">
        <f t="shared" si="180"/>
        <v>0</v>
      </c>
      <c r="OR22" s="207">
        <f t="shared" si="181"/>
        <v>0</v>
      </c>
      <c r="OS22" s="207">
        <f t="shared" si="182"/>
        <v>0</v>
      </c>
      <c r="OT22" s="199">
        <f t="shared" si="183"/>
        <v>0</v>
      </c>
      <c r="OU22" s="199">
        <f t="shared" si="184"/>
        <v>0</v>
      </c>
      <c r="OV22" s="199">
        <f t="shared" si="185"/>
        <v>0</v>
      </c>
      <c r="OW22" s="199">
        <f t="shared" si="186"/>
        <v>0</v>
      </c>
      <c r="OX22" s="195"/>
      <c r="OY22" s="195"/>
      <c r="OZ22" s="195"/>
      <c r="PA22" s="209"/>
      <c r="PB22" s="209"/>
      <c r="PC22" s="209"/>
      <c r="PD22" s="210">
        <f t="shared" si="113"/>
        <v>0</v>
      </c>
      <c r="PE22" s="210"/>
      <c r="PF22" s="210">
        <f t="shared" si="114"/>
        <v>0</v>
      </c>
      <c r="PG22" s="210">
        <f t="shared" si="115"/>
        <v>0</v>
      </c>
      <c r="PH22" s="210">
        <f t="shared" si="115"/>
        <v>0</v>
      </c>
      <c r="PI22" s="210">
        <f t="shared" si="115"/>
        <v>0</v>
      </c>
      <c r="PJ22" s="210">
        <f t="shared" si="115"/>
        <v>0</v>
      </c>
      <c r="PK22" s="210">
        <f t="shared" si="115"/>
        <v>0</v>
      </c>
      <c r="PL22" s="210">
        <f t="shared" si="115"/>
        <v>0</v>
      </c>
      <c r="PM22" s="195"/>
      <c r="PN22" s="195"/>
      <c r="PO22" s="212">
        <f t="shared" si="187"/>
        <v>0</v>
      </c>
      <c r="PP22" s="212">
        <f t="shared" si="188"/>
        <v>0</v>
      </c>
      <c r="PQ22" s="212">
        <f t="shared" si="189"/>
        <v>0</v>
      </c>
    </row>
    <row r="23" spans="1:433" ht="16" x14ac:dyDescent="0.2">
      <c r="A23" s="213">
        <f t="shared" si="190"/>
        <v>15</v>
      </c>
      <c r="B23" s="186" t="s">
        <v>102</v>
      </c>
      <c r="C23" s="186">
        <v>15</v>
      </c>
      <c r="D23" s="188">
        <v>1</v>
      </c>
      <c r="E23" s="188">
        <v>97</v>
      </c>
      <c r="F23" s="188">
        <v>1</v>
      </c>
      <c r="G23" s="188">
        <f t="shared" si="116"/>
        <v>97</v>
      </c>
      <c r="H23" s="214">
        <f t="shared" si="2"/>
        <v>1</v>
      </c>
      <c r="I23" s="214">
        <f t="shared" si="3"/>
        <v>1</v>
      </c>
      <c r="J23" s="188">
        <v>1</v>
      </c>
      <c r="K23" s="188">
        <f t="shared" si="4"/>
        <v>97</v>
      </c>
      <c r="L23" s="214">
        <f t="shared" si="5"/>
        <v>1</v>
      </c>
      <c r="M23" s="214">
        <f t="shared" si="6"/>
        <v>1</v>
      </c>
      <c r="N23" s="188">
        <v>1</v>
      </c>
      <c r="O23" s="188">
        <f t="shared" si="7"/>
        <v>97</v>
      </c>
      <c r="P23" s="214">
        <f t="shared" si="8"/>
        <v>1</v>
      </c>
      <c r="Q23" s="214">
        <f t="shared" si="9"/>
        <v>1</v>
      </c>
      <c r="R23" s="188">
        <v>1</v>
      </c>
      <c r="S23" s="188">
        <f t="shared" si="117"/>
        <v>97</v>
      </c>
      <c r="T23" s="214">
        <f t="shared" si="118"/>
        <v>1</v>
      </c>
      <c r="U23" s="214">
        <f t="shared" si="119"/>
        <v>1</v>
      </c>
      <c r="V23" s="188">
        <v>1</v>
      </c>
      <c r="W23" s="188">
        <f t="shared" si="10"/>
        <v>97</v>
      </c>
      <c r="X23" s="214">
        <f t="shared" si="11"/>
        <v>1</v>
      </c>
      <c r="Y23" s="214">
        <f t="shared" si="12"/>
        <v>1</v>
      </c>
      <c r="Z23" s="224">
        <f>907185000/1000000000</f>
        <v>0.90718500000000002</v>
      </c>
      <c r="AA23" s="188"/>
      <c r="AB23" s="189">
        <f t="shared" si="120"/>
        <v>0</v>
      </c>
      <c r="AC23" s="250">
        <f t="shared" si="121"/>
        <v>0</v>
      </c>
      <c r="AD23" s="250">
        <f t="shared" si="122"/>
        <v>0</v>
      </c>
      <c r="AE23" s="188"/>
      <c r="AF23" s="188">
        <f t="shared" si="15"/>
        <v>0</v>
      </c>
      <c r="AG23" s="187"/>
      <c r="AH23" s="187"/>
      <c r="AI23" s="188">
        <v>0</v>
      </c>
      <c r="AJ23" s="188">
        <f t="shared" si="16"/>
        <v>0</v>
      </c>
      <c r="AK23" s="188"/>
      <c r="AL23" s="188">
        <v>0</v>
      </c>
      <c r="AM23" s="188">
        <v>0</v>
      </c>
      <c r="AN23" s="217"/>
      <c r="AO23" s="196">
        <f t="shared" si="123"/>
        <v>0</v>
      </c>
      <c r="AP23" s="195"/>
      <c r="AQ23" s="195"/>
      <c r="AR23" s="195"/>
      <c r="AS23" s="195"/>
      <c r="AT23" s="195"/>
      <c r="AU23" s="195"/>
      <c r="AV23" s="195"/>
      <c r="AW23" s="195"/>
      <c r="AX23" s="195"/>
      <c r="AY23" s="195"/>
      <c r="AZ23" s="195"/>
      <c r="BA23" s="195"/>
      <c r="BB23" s="188">
        <f t="shared" si="17"/>
        <v>0</v>
      </c>
      <c r="BC23" s="195"/>
      <c r="BD23" s="196"/>
      <c r="BE23" s="188">
        <f t="shared" si="18"/>
        <v>0</v>
      </c>
      <c r="BF23" s="188">
        <f t="shared" si="19"/>
        <v>0</v>
      </c>
      <c r="BG23" s="188">
        <f t="shared" si="20"/>
        <v>0</v>
      </c>
      <c r="BH23" s="188">
        <f t="shared" si="21"/>
        <v>0</v>
      </c>
      <c r="BI23" s="188">
        <f t="shared" si="22"/>
        <v>0</v>
      </c>
      <c r="BJ23" s="188">
        <f t="shared" si="23"/>
        <v>0</v>
      </c>
      <c r="BK23" s="188">
        <f t="shared" si="124"/>
        <v>0</v>
      </c>
      <c r="BL23" s="195"/>
      <c r="BM23" s="195"/>
      <c r="BN23" s="143"/>
      <c r="BO23" s="277"/>
      <c r="BP23" s="188"/>
      <c r="BQ23" s="188"/>
      <c r="BR23" s="188"/>
      <c r="BS23" s="188"/>
      <c r="BT23" s="188"/>
      <c r="BU23" s="188"/>
      <c r="BV23" s="188"/>
      <c r="BW23" s="188"/>
      <c r="BX23" s="188"/>
      <c r="BY23" s="188"/>
      <c r="BZ23" s="188"/>
      <c r="CA23" s="195"/>
      <c r="CB23" s="189">
        <v>0</v>
      </c>
      <c r="CC23" s="195"/>
      <c r="CD23" s="189">
        <f t="shared" si="125"/>
        <v>0</v>
      </c>
      <c r="CE23" s="189">
        <f t="shared" si="191"/>
        <v>0</v>
      </c>
      <c r="CF23" s="189">
        <f t="shared" si="126"/>
        <v>0</v>
      </c>
      <c r="CG23" s="189">
        <f t="shared" si="127"/>
        <v>0</v>
      </c>
      <c r="CH23" s="189">
        <f t="shared" si="128"/>
        <v>0</v>
      </c>
      <c r="CI23" s="189">
        <f t="shared" si="129"/>
        <v>0</v>
      </c>
      <c r="CJ23" s="189">
        <f t="shared" si="130"/>
        <v>0</v>
      </c>
      <c r="CK23" s="189">
        <f t="shared" si="131"/>
        <v>0</v>
      </c>
      <c r="CL23" s="189">
        <f t="shared" si="132"/>
        <v>0</v>
      </c>
      <c r="CM23" s="189">
        <f t="shared" si="133"/>
        <v>0</v>
      </c>
      <c r="CN23" s="189">
        <f t="shared" si="134"/>
        <v>0</v>
      </c>
      <c r="CO23" s="189">
        <f t="shared" si="135"/>
        <v>0</v>
      </c>
      <c r="CP23" s="189">
        <f t="shared" si="136"/>
        <v>0</v>
      </c>
      <c r="CQ23" s="195"/>
      <c r="CR23" s="195"/>
      <c r="CS23" s="195"/>
      <c r="CT23" s="195"/>
      <c r="CU23" s="195"/>
      <c r="CV23" s="195"/>
      <c r="CW23" s="195"/>
      <c r="CX23" s="195"/>
      <c r="CY23" s="195"/>
      <c r="CZ23" s="195"/>
      <c r="DA23" s="195"/>
      <c r="DB23" s="195"/>
      <c r="DC23" s="195"/>
      <c r="DD23" s="195"/>
      <c r="DE23" s="195"/>
      <c r="DF23" s="195"/>
      <c r="DG23" s="195"/>
      <c r="DH23" s="195"/>
      <c r="DI23" s="195"/>
      <c r="DJ23" s="195"/>
      <c r="DK23" s="195"/>
      <c r="DL23" s="195"/>
      <c r="DM23" s="195"/>
      <c r="DN23" s="195"/>
      <c r="DO23" s="195"/>
      <c r="DP23" s="195"/>
      <c r="DQ23" s="195"/>
      <c r="DR23" s="195"/>
      <c r="DS23" s="195"/>
      <c r="DT23" s="195"/>
      <c r="DU23" s="195"/>
      <c r="DV23" s="189">
        <f t="shared" si="26"/>
        <v>0</v>
      </c>
      <c r="DW23" s="189">
        <f t="shared" si="27"/>
        <v>0</v>
      </c>
      <c r="DX23" s="189">
        <f t="shared" si="28"/>
        <v>0</v>
      </c>
      <c r="DY23" s="189">
        <f t="shared" si="29"/>
        <v>0</v>
      </c>
      <c r="DZ23" s="189">
        <f t="shared" si="30"/>
        <v>0</v>
      </c>
      <c r="EA23" s="189">
        <f t="shared" si="31"/>
        <v>0</v>
      </c>
      <c r="EB23" s="189">
        <f t="shared" si="137"/>
        <v>0</v>
      </c>
      <c r="EC23" s="195"/>
      <c r="ED23" s="195"/>
      <c r="EE23" s="195"/>
      <c r="EF23" s="195"/>
      <c r="EG23" s="252">
        <f t="shared" si="138"/>
        <v>0</v>
      </c>
      <c r="EH23" s="252">
        <f t="shared" si="139"/>
        <v>0</v>
      </c>
      <c r="EI23" s="189"/>
      <c r="EJ23" s="189"/>
      <c r="EK23" s="189"/>
      <c r="EL23" s="189"/>
      <c r="EM23" s="189"/>
      <c r="EN23" s="189"/>
      <c r="EO23" s="189"/>
      <c r="EP23" s="189"/>
      <c r="EQ23" s="189"/>
      <c r="ER23" s="189"/>
      <c r="ES23" s="189"/>
      <c r="ET23" s="189"/>
      <c r="EU23" s="189"/>
      <c r="EV23" s="189"/>
      <c r="EW23" s="189"/>
      <c r="EX23" s="189"/>
      <c r="EY23" s="189"/>
      <c r="EZ23" s="189"/>
      <c r="FA23" s="189"/>
      <c r="FB23" s="189"/>
      <c r="FC23" s="189"/>
      <c r="FD23" s="189"/>
      <c r="FE23" s="189"/>
      <c r="FF23" s="189"/>
      <c r="FG23" s="195"/>
      <c r="FH23" s="189"/>
      <c r="FI23" s="189"/>
      <c r="FJ23" s="189"/>
      <c r="FK23" s="189"/>
      <c r="FL23" s="189"/>
      <c r="FM23" s="189"/>
      <c r="FN23" s="189"/>
      <c r="FO23" s="189"/>
      <c r="FP23" s="189"/>
      <c r="FQ23" s="189"/>
      <c r="FR23" s="189"/>
      <c r="FS23" s="189"/>
      <c r="FT23" s="189"/>
      <c r="FU23" s="189"/>
      <c r="FV23" s="189"/>
      <c r="FW23" s="195"/>
      <c r="FX23" s="253"/>
      <c r="FY23" s="189">
        <f t="shared" si="140"/>
        <v>0</v>
      </c>
      <c r="FZ23" s="189">
        <f t="shared" si="33"/>
        <v>0</v>
      </c>
      <c r="GA23" s="189">
        <f t="shared" si="34"/>
        <v>0</v>
      </c>
      <c r="GB23" s="189">
        <f t="shared" si="35"/>
        <v>0</v>
      </c>
      <c r="GC23" s="189">
        <f t="shared" si="36"/>
        <v>0</v>
      </c>
      <c r="GD23" s="189">
        <f t="shared" si="37"/>
        <v>0</v>
      </c>
      <c r="GE23" s="189">
        <f t="shared" si="38"/>
        <v>0</v>
      </c>
      <c r="GF23" s="199"/>
      <c r="GG23" s="189">
        <v>0</v>
      </c>
      <c r="GH23" s="189">
        <v>0</v>
      </c>
      <c r="GI23" s="199"/>
      <c r="GJ23" s="200">
        <f t="shared" si="141"/>
        <v>0</v>
      </c>
      <c r="GK23" s="200">
        <f t="shared" si="142"/>
        <v>0</v>
      </c>
      <c r="GL23" s="195"/>
      <c r="GM23" s="195"/>
      <c r="GN23" s="195"/>
      <c r="GO23" s="189">
        <f t="shared" si="39"/>
        <v>0</v>
      </c>
      <c r="GP23" s="189">
        <f t="shared" si="40"/>
        <v>0</v>
      </c>
      <c r="GQ23" s="189">
        <f t="shared" si="41"/>
        <v>0</v>
      </c>
      <c r="GR23" s="189">
        <f t="shared" si="42"/>
        <v>0</v>
      </c>
      <c r="GS23" s="189">
        <f t="shared" si="43"/>
        <v>0</v>
      </c>
      <c r="GT23" s="189">
        <f t="shared" si="143"/>
        <v>1</v>
      </c>
      <c r="GU23" s="201">
        <f t="shared" si="144"/>
        <v>43243</v>
      </c>
      <c r="GV23" s="189" t="str">
        <f t="shared" si="145"/>
        <v>SELESAI</v>
      </c>
      <c r="GW23" s="189">
        <f t="shared" si="146"/>
        <v>0</v>
      </c>
      <c r="GX23" s="202" t="str">
        <f t="shared" si="147"/>
        <v>SELESAI</v>
      </c>
      <c r="GY23" s="202">
        <f t="shared" si="148"/>
        <v>0</v>
      </c>
      <c r="GZ23" s="203" t="str">
        <f t="shared" si="149"/>
        <v>SELESAI</v>
      </c>
      <c r="HA23" s="204"/>
      <c r="HB23" s="204"/>
      <c r="HC23" s="189">
        <f t="shared" si="44"/>
        <v>0</v>
      </c>
      <c r="HD23" s="189">
        <f t="shared" si="45"/>
        <v>0</v>
      </c>
      <c r="HE23" s="189">
        <f t="shared" si="150"/>
        <v>0</v>
      </c>
      <c r="HF23" s="189">
        <f t="shared" si="151"/>
        <v>0</v>
      </c>
      <c r="HG23" s="189">
        <f t="shared" si="152"/>
        <v>0</v>
      </c>
      <c r="HH23" s="201" t="str">
        <f t="shared" si="46"/>
        <v>TIDAK KONSINYASI</v>
      </c>
      <c r="HI23" s="201" t="str">
        <f t="shared" si="153"/>
        <v>SELESAI</v>
      </c>
      <c r="HJ23" s="205"/>
      <c r="HK23" s="201">
        <f t="shared" si="47"/>
        <v>0</v>
      </c>
      <c r="HL23" s="204"/>
      <c r="HM23" s="204"/>
      <c r="HN23" s="204"/>
      <c r="HO23" s="204"/>
      <c r="HP23" s="203">
        <f t="shared" si="154"/>
        <v>0</v>
      </c>
      <c r="HQ23" s="202">
        <f t="shared" si="155"/>
        <v>0</v>
      </c>
      <c r="HR23" s="202">
        <f t="shared" si="48"/>
        <v>0</v>
      </c>
      <c r="HS23" s="203">
        <f t="shared" si="156"/>
        <v>0</v>
      </c>
      <c r="HT23" s="202">
        <f t="shared" si="157"/>
        <v>0</v>
      </c>
      <c r="HU23" s="202">
        <f t="shared" si="49"/>
        <v>0</v>
      </c>
      <c r="HV23" s="203">
        <f t="shared" si="158"/>
        <v>0</v>
      </c>
      <c r="HW23" s="202">
        <f t="shared" si="50"/>
        <v>0</v>
      </c>
      <c r="HX23" s="202">
        <f t="shared" si="51"/>
        <v>0</v>
      </c>
      <c r="HY23" s="203">
        <f t="shared" si="52"/>
        <v>0</v>
      </c>
      <c r="HZ23" s="202">
        <f t="shared" si="159"/>
        <v>0</v>
      </c>
      <c r="IA23" s="202">
        <f t="shared" si="53"/>
        <v>0</v>
      </c>
      <c r="IB23" s="203">
        <f t="shared" si="160"/>
        <v>0</v>
      </c>
      <c r="IC23" s="202">
        <f t="shared" si="54"/>
        <v>0</v>
      </c>
      <c r="ID23" s="202">
        <f t="shared" si="55"/>
        <v>0</v>
      </c>
      <c r="IE23" s="203">
        <f t="shared" si="56"/>
        <v>0</v>
      </c>
      <c r="IF23" s="202">
        <f t="shared" si="57"/>
        <v>0</v>
      </c>
      <c r="IG23" s="202">
        <f t="shared" si="58"/>
        <v>0</v>
      </c>
      <c r="IH23" s="203">
        <f t="shared" si="161"/>
        <v>0</v>
      </c>
      <c r="II23" s="202">
        <f t="shared" si="162"/>
        <v>0</v>
      </c>
      <c r="IJ23" s="202">
        <f t="shared" si="59"/>
        <v>0</v>
      </c>
      <c r="IK23" s="203">
        <f t="shared" si="60"/>
        <v>0</v>
      </c>
      <c r="IL23" s="202">
        <f t="shared" si="61"/>
        <v>0</v>
      </c>
      <c r="IM23" s="202">
        <f t="shared" si="62"/>
        <v>0</v>
      </c>
      <c r="IN23" s="204"/>
      <c r="IO23" s="203">
        <f t="shared" si="63"/>
        <v>0</v>
      </c>
      <c r="IP23" s="202">
        <f t="shared" si="64"/>
        <v>0</v>
      </c>
      <c r="IQ23" s="202">
        <f t="shared" si="65"/>
        <v>0</v>
      </c>
      <c r="IR23" s="204"/>
      <c r="IS23" s="203"/>
      <c r="IT23" s="202">
        <f t="shared" si="66"/>
        <v>1</v>
      </c>
      <c r="IU23" s="202">
        <f t="shared" si="67"/>
        <v>97</v>
      </c>
      <c r="IV23" s="204"/>
      <c r="IW23" s="203"/>
      <c r="IX23" s="202">
        <f t="shared" si="68"/>
        <v>0</v>
      </c>
      <c r="IY23" s="202">
        <f t="shared" si="69"/>
        <v>0</v>
      </c>
      <c r="IZ23" s="204"/>
      <c r="JA23" s="203"/>
      <c r="JB23" s="202">
        <f t="shared" si="70"/>
        <v>0</v>
      </c>
      <c r="JC23" s="202">
        <f t="shared" si="71"/>
        <v>0</v>
      </c>
      <c r="JD23" s="204"/>
      <c r="JE23" s="203"/>
      <c r="JF23" s="202">
        <f t="shared" si="163"/>
        <v>1</v>
      </c>
      <c r="JG23" s="202">
        <f t="shared" si="72"/>
        <v>97</v>
      </c>
      <c r="JH23" s="204"/>
      <c r="JI23" s="203"/>
      <c r="JJ23" s="202">
        <f t="shared" si="73"/>
        <v>0</v>
      </c>
      <c r="JK23" s="202">
        <f t="shared" si="74"/>
        <v>0</v>
      </c>
      <c r="JL23" s="195"/>
      <c r="JM23" s="203">
        <f t="shared" si="164"/>
        <v>0</v>
      </c>
      <c r="JN23" s="195"/>
      <c r="JO23" s="196">
        <f t="shared" si="75"/>
        <v>0</v>
      </c>
      <c r="JP23" s="206">
        <f t="shared" si="76"/>
        <v>0</v>
      </c>
      <c r="JQ23" s="206">
        <f t="shared" si="77"/>
        <v>0</v>
      </c>
      <c r="JR23" s="206">
        <f t="shared" si="78"/>
        <v>0</v>
      </c>
      <c r="JS23" s="206">
        <f t="shared" si="79"/>
        <v>0</v>
      </c>
      <c r="JT23" s="206">
        <f t="shared" si="80"/>
        <v>0</v>
      </c>
      <c r="JU23" s="206">
        <f t="shared" si="81"/>
        <v>0</v>
      </c>
      <c r="JV23" s="206">
        <f t="shared" si="82"/>
        <v>0</v>
      </c>
      <c r="JW23" s="206">
        <f t="shared" si="83"/>
        <v>0</v>
      </c>
      <c r="JX23" s="206">
        <f t="shared" si="84"/>
        <v>0</v>
      </c>
      <c r="JY23" s="206">
        <f t="shared" si="85"/>
        <v>0</v>
      </c>
      <c r="JZ23" s="206">
        <f t="shared" si="86"/>
        <v>0</v>
      </c>
      <c r="KA23" s="206">
        <f t="shared" si="87"/>
        <v>0</v>
      </c>
      <c r="KB23" s="206">
        <f t="shared" si="88"/>
        <v>0</v>
      </c>
      <c r="KC23" s="195"/>
      <c r="KD23" s="206">
        <f t="shared" si="165"/>
        <v>0</v>
      </c>
      <c r="KE23" s="206">
        <f t="shared" si="90"/>
        <v>0</v>
      </c>
      <c r="KF23" s="206">
        <f t="shared" si="91"/>
        <v>0</v>
      </c>
      <c r="KG23" s="206">
        <f t="shared" si="92"/>
        <v>0</v>
      </c>
      <c r="KH23" s="206">
        <f t="shared" si="93"/>
        <v>0</v>
      </c>
      <c r="KI23" s="206">
        <f t="shared" si="94"/>
        <v>0</v>
      </c>
      <c r="KJ23" s="206">
        <f t="shared" si="95"/>
        <v>0</v>
      </c>
      <c r="KK23" s="206">
        <f t="shared" si="96"/>
        <v>0</v>
      </c>
      <c r="KL23" s="206">
        <f t="shared" si="97"/>
        <v>0</v>
      </c>
      <c r="KM23" s="206">
        <f t="shared" si="98"/>
        <v>0</v>
      </c>
      <c r="KN23" s="221">
        <f t="shared" si="99"/>
        <v>0</v>
      </c>
      <c r="KO23" s="221">
        <f t="shared" si="100"/>
        <v>0</v>
      </c>
      <c r="KP23" s="221">
        <f t="shared" si="101"/>
        <v>0</v>
      </c>
      <c r="KQ23" s="221">
        <f t="shared" si="102"/>
        <v>0</v>
      </c>
      <c r="KR23" s="221">
        <f t="shared" si="103"/>
        <v>0</v>
      </c>
      <c r="KS23" s="195"/>
      <c r="KT23" s="195">
        <f t="shared" si="104"/>
        <v>0</v>
      </c>
      <c r="KU23" s="221"/>
      <c r="KV23" s="221"/>
      <c r="KW23" s="221"/>
      <c r="KX23" s="221"/>
      <c r="KY23" s="221"/>
      <c r="KZ23" s="221"/>
      <c r="LA23" s="221"/>
      <c r="LB23" s="221"/>
      <c r="LC23" s="221"/>
      <c r="LD23" s="221"/>
      <c r="LE23" s="221"/>
      <c r="LF23" s="221"/>
      <c r="LG23" s="221"/>
      <c r="LH23" s="221"/>
      <c r="LI23" s="221"/>
      <c r="LJ23" s="221"/>
      <c r="LK23" s="221"/>
      <c r="LL23" s="221"/>
      <c r="LM23" s="221"/>
      <c r="LN23" s="221"/>
      <c r="LO23" s="221"/>
      <c r="LP23" s="221"/>
      <c r="LQ23" s="221"/>
      <c r="LR23" s="221"/>
      <c r="LS23" s="221"/>
      <c r="LT23" s="221"/>
      <c r="LU23" s="221"/>
      <c r="LV23" s="221"/>
      <c r="LW23" s="221"/>
      <c r="LX23" s="221"/>
      <c r="LY23" s="221"/>
      <c r="LZ23" s="221"/>
      <c r="MA23" s="221"/>
      <c r="MB23" s="221"/>
      <c r="MC23" s="221"/>
      <c r="MD23" s="221"/>
      <c r="ME23" s="221"/>
      <c r="MF23" s="221"/>
      <c r="MG23" s="221"/>
      <c r="MH23" s="221"/>
      <c r="MI23" s="221"/>
      <c r="MJ23" s="221"/>
      <c r="MK23" s="221"/>
      <c r="ML23" s="221"/>
      <c r="MM23" s="221"/>
      <c r="MN23" s="221"/>
      <c r="MO23" s="221"/>
      <c r="MP23" s="221"/>
      <c r="MQ23" s="221"/>
      <c r="MR23" s="221"/>
      <c r="MS23" s="221"/>
      <c r="MT23" s="221"/>
      <c r="MU23" s="221"/>
      <c r="MV23" s="221"/>
      <c r="MW23" s="221"/>
      <c r="MX23" s="221"/>
      <c r="MY23" s="221"/>
      <c r="MZ23" s="221"/>
      <c r="NA23" s="221"/>
      <c r="NB23" s="221"/>
      <c r="NC23" s="221"/>
      <c r="ND23" s="221"/>
      <c r="NE23" s="221"/>
      <c r="NF23" s="221"/>
      <c r="NG23" s="221"/>
      <c r="NH23" s="221"/>
      <c r="NI23" s="221"/>
      <c r="NJ23" s="221"/>
      <c r="NK23" s="221"/>
      <c r="NL23" s="195"/>
      <c r="NM23" s="195">
        <f t="shared" si="166"/>
        <v>0</v>
      </c>
      <c r="NN23" s="195">
        <f t="shared" si="167"/>
        <v>0</v>
      </c>
      <c r="NO23" s="195">
        <f t="shared" si="168"/>
        <v>0</v>
      </c>
      <c r="NP23" s="195">
        <f t="shared" si="169"/>
        <v>0</v>
      </c>
      <c r="NQ23" s="195">
        <f t="shared" si="170"/>
        <v>0</v>
      </c>
      <c r="NR23" s="195">
        <f t="shared" si="171"/>
        <v>0</v>
      </c>
      <c r="NS23" s="195">
        <f t="shared" si="172"/>
        <v>0</v>
      </c>
      <c r="NT23" s="195">
        <f t="shared" si="173"/>
        <v>0</v>
      </c>
      <c r="NU23" s="196">
        <f t="shared" si="174"/>
        <v>0</v>
      </c>
      <c r="NV23" s="195"/>
      <c r="NW23" s="195"/>
      <c r="NX23" s="195"/>
      <c r="NY23" s="196">
        <f t="shared" si="106"/>
        <v>1</v>
      </c>
      <c r="NZ23" s="222">
        <v>8500000</v>
      </c>
      <c r="OA23" s="195"/>
      <c r="OB23" s="195"/>
      <c r="OC23" s="195"/>
      <c r="OD23" s="195"/>
      <c r="OE23" s="207">
        <f t="shared" si="107"/>
        <v>0</v>
      </c>
      <c r="OF23" s="207">
        <f t="shared" si="108"/>
        <v>0</v>
      </c>
      <c r="OG23" s="207">
        <f t="shared" si="109"/>
        <v>0</v>
      </c>
      <c r="OH23" s="207">
        <f t="shared" si="175"/>
        <v>0</v>
      </c>
      <c r="OI23" s="207">
        <f t="shared" si="110"/>
        <v>0</v>
      </c>
      <c r="OJ23" s="199">
        <f t="shared" si="176"/>
        <v>0</v>
      </c>
      <c r="OK23" s="199">
        <f t="shared" si="177"/>
        <v>0</v>
      </c>
      <c r="OL23" s="199">
        <f t="shared" si="178"/>
        <v>0</v>
      </c>
      <c r="OM23" s="199">
        <f t="shared" si="179"/>
        <v>0</v>
      </c>
      <c r="ON23" s="195"/>
      <c r="OO23" s="207">
        <f t="shared" si="111"/>
        <v>0</v>
      </c>
      <c r="OP23" s="207">
        <f t="shared" si="112"/>
        <v>0</v>
      </c>
      <c r="OQ23" s="207">
        <f t="shared" si="180"/>
        <v>0</v>
      </c>
      <c r="OR23" s="207">
        <f t="shared" si="181"/>
        <v>0</v>
      </c>
      <c r="OS23" s="207">
        <f t="shared" si="182"/>
        <v>0</v>
      </c>
      <c r="OT23" s="199">
        <f t="shared" si="183"/>
        <v>0</v>
      </c>
      <c r="OU23" s="199">
        <f t="shared" si="184"/>
        <v>0</v>
      </c>
      <c r="OV23" s="199">
        <f t="shared" si="185"/>
        <v>0</v>
      </c>
      <c r="OW23" s="199">
        <f t="shared" si="186"/>
        <v>0</v>
      </c>
      <c r="OX23" s="195"/>
      <c r="OY23" s="195"/>
      <c r="OZ23" s="195"/>
      <c r="PA23" s="209"/>
      <c r="PB23" s="209"/>
      <c r="PC23" s="209"/>
      <c r="PD23" s="210">
        <f t="shared" si="113"/>
        <v>0</v>
      </c>
      <c r="PE23" s="210"/>
      <c r="PF23" s="210">
        <f t="shared" si="114"/>
        <v>0</v>
      </c>
      <c r="PG23" s="210">
        <f t="shared" si="115"/>
        <v>0</v>
      </c>
      <c r="PH23" s="210">
        <f t="shared" si="115"/>
        <v>0</v>
      </c>
      <c r="PI23" s="210">
        <f t="shared" si="115"/>
        <v>0</v>
      </c>
      <c r="PJ23" s="210">
        <f t="shared" si="115"/>
        <v>0</v>
      </c>
      <c r="PK23" s="210">
        <f t="shared" si="115"/>
        <v>0</v>
      </c>
      <c r="PL23" s="210">
        <f t="shared" si="115"/>
        <v>0</v>
      </c>
      <c r="PM23" s="195"/>
      <c r="PN23" s="195"/>
      <c r="PO23" s="212">
        <f t="shared" si="187"/>
        <v>0</v>
      </c>
      <c r="PP23" s="212">
        <f t="shared" si="188"/>
        <v>0</v>
      </c>
      <c r="PQ23" s="212">
        <f t="shared" si="189"/>
        <v>0</v>
      </c>
    </row>
    <row r="24" spans="1:433" ht="16" x14ac:dyDescent="0.2">
      <c r="A24" s="213">
        <f t="shared" si="190"/>
        <v>16</v>
      </c>
      <c r="B24" s="186" t="s">
        <v>103</v>
      </c>
      <c r="C24" s="186">
        <v>16</v>
      </c>
      <c r="D24" s="188">
        <v>1</v>
      </c>
      <c r="E24" s="188">
        <v>668</v>
      </c>
      <c r="F24" s="188">
        <v>1</v>
      </c>
      <c r="G24" s="188">
        <f t="shared" si="116"/>
        <v>668</v>
      </c>
      <c r="H24" s="214">
        <f t="shared" si="2"/>
        <v>1</v>
      </c>
      <c r="I24" s="214">
        <f t="shared" si="3"/>
        <v>1</v>
      </c>
      <c r="J24" s="188">
        <v>1</v>
      </c>
      <c r="K24" s="188">
        <f t="shared" si="4"/>
        <v>668</v>
      </c>
      <c r="L24" s="214">
        <f t="shared" si="5"/>
        <v>1</v>
      </c>
      <c r="M24" s="214">
        <f t="shared" si="6"/>
        <v>1</v>
      </c>
      <c r="N24" s="188">
        <v>1</v>
      </c>
      <c r="O24" s="188">
        <f t="shared" si="7"/>
        <v>668</v>
      </c>
      <c r="P24" s="214">
        <f t="shared" si="8"/>
        <v>1</v>
      </c>
      <c r="Q24" s="214">
        <f t="shared" si="9"/>
        <v>1</v>
      </c>
      <c r="R24" s="188">
        <v>1</v>
      </c>
      <c r="S24" s="188">
        <f t="shared" si="117"/>
        <v>668</v>
      </c>
      <c r="T24" s="214">
        <f t="shared" si="118"/>
        <v>1</v>
      </c>
      <c r="U24" s="214">
        <f t="shared" si="119"/>
        <v>1</v>
      </c>
      <c r="V24" s="188">
        <v>1</v>
      </c>
      <c r="W24" s="188">
        <f t="shared" si="10"/>
        <v>668</v>
      </c>
      <c r="X24" s="214">
        <f t="shared" si="11"/>
        <v>1</v>
      </c>
      <c r="Y24" s="214">
        <f t="shared" si="12"/>
        <v>1</v>
      </c>
      <c r="Z24" s="224">
        <f>5931890000/1000000000</f>
        <v>5.9318900000000001</v>
      </c>
      <c r="AA24" s="188"/>
      <c r="AB24" s="189">
        <f t="shared" si="120"/>
        <v>0</v>
      </c>
      <c r="AC24" s="250">
        <f t="shared" si="121"/>
        <v>0</v>
      </c>
      <c r="AD24" s="250">
        <f t="shared" si="122"/>
        <v>0</v>
      </c>
      <c r="AE24" s="188"/>
      <c r="AF24" s="188">
        <f t="shared" si="15"/>
        <v>0</v>
      </c>
      <c r="AG24" s="187"/>
      <c r="AH24" s="187"/>
      <c r="AI24" s="188">
        <v>0</v>
      </c>
      <c r="AJ24" s="188">
        <f t="shared" si="16"/>
        <v>0</v>
      </c>
      <c r="AK24" s="188"/>
      <c r="AL24" s="188">
        <v>0</v>
      </c>
      <c r="AM24" s="188">
        <v>0</v>
      </c>
      <c r="AN24" s="217"/>
      <c r="AO24" s="196">
        <f t="shared" si="123"/>
        <v>0</v>
      </c>
      <c r="AP24" s="195"/>
      <c r="AQ24" s="195"/>
      <c r="AR24" s="195"/>
      <c r="AS24" s="195"/>
      <c r="AT24" s="195"/>
      <c r="AU24" s="195"/>
      <c r="AV24" s="195"/>
      <c r="AW24" s="195"/>
      <c r="AX24" s="195"/>
      <c r="AY24" s="195"/>
      <c r="AZ24" s="195"/>
      <c r="BA24" s="195"/>
      <c r="BB24" s="188">
        <f t="shared" si="17"/>
        <v>0</v>
      </c>
      <c r="BC24" s="195"/>
      <c r="BD24" s="196"/>
      <c r="BE24" s="188">
        <f t="shared" si="18"/>
        <v>0</v>
      </c>
      <c r="BF24" s="188">
        <f t="shared" si="19"/>
        <v>0</v>
      </c>
      <c r="BG24" s="188">
        <f t="shared" si="20"/>
        <v>0</v>
      </c>
      <c r="BH24" s="188">
        <f t="shared" si="21"/>
        <v>0</v>
      </c>
      <c r="BI24" s="188">
        <f t="shared" si="22"/>
        <v>0</v>
      </c>
      <c r="BJ24" s="188">
        <f t="shared" si="23"/>
        <v>0</v>
      </c>
      <c r="BK24" s="188">
        <f t="shared" si="124"/>
        <v>0</v>
      </c>
      <c r="BL24" s="195"/>
      <c r="BM24" s="195"/>
      <c r="BN24" s="143"/>
      <c r="BO24" s="277"/>
      <c r="BP24" s="188"/>
      <c r="BQ24" s="188"/>
      <c r="BR24" s="188"/>
      <c r="BS24" s="188"/>
      <c r="BT24" s="188"/>
      <c r="BU24" s="188"/>
      <c r="BV24" s="188"/>
      <c r="BW24" s="188"/>
      <c r="BX24" s="188"/>
      <c r="BY24" s="188"/>
      <c r="BZ24" s="188"/>
      <c r="CA24" s="195"/>
      <c r="CB24" s="189">
        <v>0</v>
      </c>
      <c r="CC24" s="195"/>
      <c r="CD24" s="189">
        <f t="shared" si="125"/>
        <v>0</v>
      </c>
      <c r="CE24" s="189">
        <f t="shared" si="191"/>
        <v>0</v>
      </c>
      <c r="CF24" s="189">
        <f t="shared" si="126"/>
        <v>0</v>
      </c>
      <c r="CG24" s="189">
        <f t="shared" si="127"/>
        <v>0</v>
      </c>
      <c r="CH24" s="189">
        <f t="shared" si="128"/>
        <v>0</v>
      </c>
      <c r="CI24" s="189">
        <f t="shared" si="129"/>
        <v>0</v>
      </c>
      <c r="CJ24" s="189">
        <f t="shared" si="130"/>
        <v>0</v>
      </c>
      <c r="CK24" s="189">
        <f t="shared" si="131"/>
        <v>0</v>
      </c>
      <c r="CL24" s="189">
        <f t="shared" si="132"/>
        <v>0</v>
      </c>
      <c r="CM24" s="189">
        <f t="shared" si="133"/>
        <v>0</v>
      </c>
      <c r="CN24" s="189">
        <f t="shared" si="134"/>
        <v>0</v>
      </c>
      <c r="CO24" s="189">
        <f t="shared" si="135"/>
        <v>0</v>
      </c>
      <c r="CP24" s="189">
        <f t="shared" si="136"/>
        <v>0</v>
      </c>
      <c r="CQ24" s="195"/>
      <c r="CR24" s="195"/>
      <c r="CS24" s="195"/>
      <c r="CT24" s="195"/>
      <c r="CU24" s="195"/>
      <c r="CV24" s="195"/>
      <c r="CW24" s="195"/>
      <c r="CX24" s="195"/>
      <c r="CY24" s="195"/>
      <c r="CZ24" s="195"/>
      <c r="DA24" s="195"/>
      <c r="DB24" s="195"/>
      <c r="DC24" s="195"/>
      <c r="DD24" s="195"/>
      <c r="DE24" s="195"/>
      <c r="DF24" s="195"/>
      <c r="DG24" s="195"/>
      <c r="DH24" s="195"/>
      <c r="DI24" s="195"/>
      <c r="DJ24" s="195"/>
      <c r="DK24" s="195"/>
      <c r="DL24" s="195"/>
      <c r="DM24" s="195"/>
      <c r="DN24" s="195"/>
      <c r="DO24" s="195"/>
      <c r="DP24" s="195"/>
      <c r="DQ24" s="195"/>
      <c r="DR24" s="195"/>
      <c r="DS24" s="195"/>
      <c r="DT24" s="195"/>
      <c r="DU24" s="195"/>
      <c r="DV24" s="189">
        <f t="shared" si="26"/>
        <v>0</v>
      </c>
      <c r="DW24" s="189">
        <f t="shared" si="27"/>
        <v>0</v>
      </c>
      <c r="DX24" s="189">
        <f t="shared" si="28"/>
        <v>0</v>
      </c>
      <c r="DY24" s="189">
        <f t="shared" si="29"/>
        <v>0</v>
      </c>
      <c r="DZ24" s="189">
        <f t="shared" si="30"/>
        <v>0</v>
      </c>
      <c r="EA24" s="189">
        <f t="shared" si="31"/>
        <v>0</v>
      </c>
      <c r="EB24" s="189">
        <f t="shared" si="137"/>
        <v>0</v>
      </c>
      <c r="EC24" s="195"/>
      <c r="ED24" s="195"/>
      <c r="EE24" s="195"/>
      <c r="EF24" s="195"/>
      <c r="EG24" s="252">
        <f t="shared" si="138"/>
        <v>0</v>
      </c>
      <c r="EH24" s="252">
        <f t="shared" si="139"/>
        <v>0</v>
      </c>
      <c r="EI24" s="189"/>
      <c r="EJ24" s="189"/>
      <c r="EK24" s="189"/>
      <c r="EL24" s="189"/>
      <c r="EM24" s="189"/>
      <c r="EN24" s="189"/>
      <c r="EO24" s="189"/>
      <c r="EP24" s="189"/>
      <c r="EQ24" s="189"/>
      <c r="ER24" s="189"/>
      <c r="ES24" s="189"/>
      <c r="ET24" s="189"/>
      <c r="EU24" s="189"/>
      <c r="EV24" s="189"/>
      <c r="EW24" s="189"/>
      <c r="EX24" s="189"/>
      <c r="EY24" s="189"/>
      <c r="EZ24" s="189"/>
      <c r="FA24" s="189"/>
      <c r="FB24" s="189"/>
      <c r="FC24" s="189"/>
      <c r="FD24" s="189"/>
      <c r="FE24" s="189"/>
      <c r="FF24" s="189"/>
      <c r="FG24" s="195"/>
      <c r="FH24" s="189"/>
      <c r="FI24" s="189"/>
      <c r="FJ24" s="189"/>
      <c r="FK24" s="189"/>
      <c r="FL24" s="189"/>
      <c r="FM24" s="189"/>
      <c r="FN24" s="189"/>
      <c r="FO24" s="189"/>
      <c r="FP24" s="189"/>
      <c r="FQ24" s="189"/>
      <c r="FR24" s="189"/>
      <c r="FS24" s="189"/>
      <c r="FT24" s="189"/>
      <c r="FU24" s="189"/>
      <c r="FV24" s="189"/>
      <c r="FW24" s="195"/>
      <c r="FX24" s="253"/>
      <c r="FY24" s="189">
        <f t="shared" si="140"/>
        <v>0</v>
      </c>
      <c r="FZ24" s="189">
        <f t="shared" si="33"/>
        <v>0</v>
      </c>
      <c r="GA24" s="189">
        <f t="shared" si="34"/>
        <v>0</v>
      </c>
      <c r="GB24" s="189">
        <f t="shared" si="35"/>
        <v>0</v>
      </c>
      <c r="GC24" s="189">
        <f t="shared" si="36"/>
        <v>0</v>
      </c>
      <c r="GD24" s="189">
        <f t="shared" si="37"/>
        <v>0</v>
      </c>
      <c r="GE24" s="189">
        <f t="shared" si="38"/>
        <v>0</v>
      </c>
      <c r="GF24" s="199"/>
      <c r="GG24" s="189">
        <v>0</v>
      </c>
      <c r="GH24" s="189">
        <v>0</v>
      </c>
      <c r="GI24" s="199"/>
      <c r="GJ24" s="200">
        <f t="shared" si="141"/>
        <v>0</v>
      </c>
      <c r="GK24" s="200">
        <f t="shared" si="142"/>
        <v>0</v>
      </c>
      <c r="GL24" s="195"/>
      <c r="GM24" s="195"/>
      <c r="GN24" s="195"/>
      <c r="GO24" s="189">
        <f t="shared" si="39"/>
        <v>0</v>
      </c>
      <c r="GP24" s="189">
        <f t="shared" si="40"/>
        <v>0</v>
      </c>
      <c r="GQ24" s="189">
        <f t="shared" si="41"/>
        <v>0</v>
      </c>
      <c r="GR24" s="189">
        <f t="shared" si="42"/>
        <v>0</v>
      </c>
      <c r="GS24" s="189">
        <f t="shared" si="43"/>
        <v>0</v>
      </c>
      <c r="GT24" s="189">
        <f t="shared" si="143"/>
        <v>1</v>
      </c>
      <c r="GU24" s="201">
        <f t="shared" si="144"/>
        <v>43243</v>
      </c>
      <c r="GV24" s="189" t="str">
        <f t="shared" si="145"/>
        <v>SELESAI</v>
      </c>
      <c r="GW24" s="189">
        <f t="shared" si="146"/>
        <v>0</v>
      </c>
      <c r="GX24" s="202" t="str">
        <f t="shared" si="147"/>
        <v>SELESAI</v>
      </c>
      <c r="GY24" s="202">
        <f t="shared" si="148"/>
        <v>0</v>
      </c>
      <c r="GZ24" s="203" t="str">
        <f t="shared" si="149"/>
        <v>SELESAI</v>
      </c>
      <c r="HA24" s="204"/>
      <c r="HB24" s="204"/>
      <c r="HC24" s="189">
        <f t="shared" si="44"/>
        <v>0</v>
      </c>
      <c r="HD24" s="189">
        <f t="shared" si="45"/>
        <v>0</v>
      </c>
      <c r="HE24" s="189">
        <f t="shared" si="150"/>
        <v>0</v>
      </c>
      <c r="HF24" s="189">
        <f t="shared" si="151"/>
        <v>0</v>
      </c>
      <c r="HG24" s="189">
        <f t="shared" si="152"/>
        <v>0</v>
      </c>
      <c r="HH24" s="201" t="str">
        <f t="shared" si="46"/>
        <v>TIDAK KONSINYASI</v>
      </c>
      <c r="HI24" s="201" t="str">
        <f t="shared" si="153"/>
        <v>SELESAI</v>
      </c>
      <c r="HJ24" s="205"/>
      <c r="HK24" s="201">
        <f t="shared" si="47"/>
        <v>0</v>
      </c>
      <c r="HL24" s="204"/>
      <c r="HM24" s="204"/>
      <c r="HN24" s="204"/>
      <c r="HO24" s="204"/>
      <c r="HP24" s="203">
        <f t="shared" si="154"/>
        <v>0</v>
      </c>
      <c r="HQ24" s="202">
        <f t="shared" si="155"/>
        <v>0</v>
      </c>
      <c r="HR24" s="202">
        <f t="shared" si="48"/>
        <v>0</v>
      </c>
      <c r="HS24" s="203">
        <f t="shared" si="156"/>
        <v>0</v>
      </c>
      <c r="HT24" s="202">
        <f t="shared" si="157"/>
        <v>0</v>
      </c>
      <c r="HU24" s="202">
        <f t="shared" si="49"/>
        <v>0</v>
      </c>
      <c r="HV24" s="203">
        <f t="shared" si="158"/>
        <v>0</v>
      </c>
      <c r="HW24" s="202">
        <f t="shared" si="50"/>
        <v>0</v>
      </c>
      <c r="HX24" s="202">
        <f t="shared" si="51"/>
        <v>0</v>
      </c>
      <c r="HY24" s="203">
        <f t="shared" si="52"/>
        <v>0</v>
      </c>
      <c r="HZ24" s="202">
        <f t="shared" si="159"/>
        <v>0</v>
      </c>
      <c r="IA24" s="202">
        <f t="shared" si="53"/>
        <v>0</v>
      </c>
      <c r="IB24" s="203">
        <f t="shared" si="160"/>
        <v>0</v>
      </c>
      <c r="IC24" s="202">
        <f t="shared" si="54"/>
        <v>0</v>
      </c>
      <c r="ID24" s="202">
        <f t="shared" si="55"/>
        <v>0</v>
      </c>
      <c r="IE24" s="203">
        <f t="shared" si="56"/>
        <v>0</v>
      </c>
      <c r="IF24" s="202">
        <f t="shared" si="57"/>
        <v>0</v>
      </c>
      <c r="IG24" s="202">
        <f t="shared" si="58"/>
        <v>0</v>
      </c>
      <c r="IH24" s="203">
        <f t="shared" si="161"/>
        <v>0</v>
      </c>
      <c r="II24" s="202">
        <f t="shared" si="162"/>
        <v>0</v>
      </c>
      <c r="IJ24" s="202">
        <f t="shared" si="59"/>
        <v>0</v>
      </c>
      <c r="IK24" s="203">
        <f t="shared" si="60"/>
        <v>0</v>
      </c>
      <c r="IL24" s="202">
        <f t="shared" si="61"/>
        <v>0</v>
      </c>
      <c r="IM24" s="202">
        <f t="shared" si="62"/>
        <v>0</v>
      </c>
      <c r="IN24" s="204"/>
      <c r="IO24" s="203">
        <f t="shared" si="63"/>
        <v>0</v>
      </c>
      <c r="IP24" s="202">
        <f t="shared" si="64"/>
        <v>0</v>
      </c>
      <c r="IQ24" s="202">
        <f t="shared" si="65"/>
        <v>0</v>
      </c>
      <c r="IR24" s="204"/>
      <c r="IS24" s="203"/>
      <c r="IT24" s="202">
        <f t="shared" si="66"/>
        <v>1</v>
      </c>
      <c r="IU24" s="202">
        <f t="shared" si="67"/>
        <v>668</v>
      </c>
      <c r="IV24" s="204"/>
      <c r="IW24" s="203"/>
      <c r="IX24" s="202">
        <f t="shared" si="68"/>
        <v>0</v>
      </c>
      <c r="IY24" s="202">
        <f t="shared" si="69"/>
        <v>0</v>
      </c>
      <c r="IZ24" s="204"/>
      <c r="JA24" s="203"/>
      <c r="JB24" s="202">
        <f t="shared" si="70"/>
        <v>0</v>
      </c>
      <c r="JC24" s="202">
        <f t="shared" si="71"/>
        <v>0</v>
      </c>
      <c r="JD24" s="204"/>
      <c r="JE24" s="203"/>
      <c r="JF24" s="202">
        <f t="shared" si="163"/>
        <v>1</v>
      </c>
      <c r="JG24" s="202">
        <f t="shared" si="72"/>
        <v>668</v>
      </c>
      <c r="JH24" s="204"/>
      <c r="JI24" s="203"/>
      <c r="JJ24" s="202">
        <f t="shared" si="73"/>
        <v>0</v>
      </c>
      <c r="JK24" s="202">
        <f t="shared" si="74"/>
        <v>0</v>
      </c>
      <c r="JL24" s="195"/>
      <c r="JM24" s="203">
        <f t="shared" si="164"/>
        <v>0</v>
      </c>
      <c r="JN24" s="195"/>
      <c r="JO24" s="196">
        <f t="shared" si="75"/>
        <v>0</v>
      </c>
      <c r="JP24" s="206">
        <f t="shared" si="76"/>
        <v>0</v>
      </c>
      <c r="JQ24" s="206">
        <f t="shared" si="77"/>
        <v>0</v>
      </c>
      <c r="JR24" s="206">
        <f t="shared" si="78"/>
        <v>0</v>
      </c>
      <c r="JS24" s="206">
        <f t="shared" si="79"/>
        <v>0</v>
      </c>
      <c r="JT24" s="206">
        <f t="shared" si="80"/>
        <v>0</v>
      </c>
      <c r="JU24" s="206">
        <f t="shared" si="81"/>
        <v>0</v>
      </c>
      <c r="JV24" s="206">
        <f t="shared" si="82"/>
        <v>0</v>
      </c>
      <c r="JW24" s="206">
        <f t="shared" si="83"/>
        <v>0</v>
      </c>
      <c r="JX24" s="206">
        <f t="shared" si="84"/>
        <v>0</v>
      </c>
      <c r="JY24" s="206">
        <f t="shared" si="85"/>
        <v>0</v>
      </c>
      <c r="JZ24" s="206">
        <f t="shared" si="86"/>
        <v>0</v>
      </c>
      <c r="KA24" s="206">
        <f t="shared" si="87"/>
        <v>0</v>
      </c>
      <c r="KB24" s="206">
        <f t="shared" si="88"/>
        <v>0</v>
      </c>
      <c r="KC24" s="195"/>
      <c r="KD24" s="206">
        <f t="shared" si="165"/>
        <v>0</v>
      </c>
      <c r="KE24" s="206">
        <f t="shared" si="90"/>
        <v>0</v>
      </c>
      <c r="KF24" s="206">
        <f t="shared" si="91"/>
        <v>0</v>
      </c>
      <c r="KG24" s="206">
        <f t="shared" si="92"/>
        <v>0</v>
      </c>
      <c r="KH24" s="206">
        <f t="shared" si="93"/>
        <v>0</v>
      </c>
      <c r="KI24" s="206">
        <f t="shared" si="94"/>
        <v>0</v>
      </c>
      <c r="KJ24" s="206">
        <f t="shared" si="95"/>
        <v>0</v>
      </c>
      <c r="KK24" s="206">
        <f t="shared" si="96"/>
        <v>0</v>
      </c>
      <c r="KL24" s="206">
        <f t="shared" si="97"/>
        <v>0</v>
      </c>
      <c r="KM24" s="206">
        <f t="shared" si="98"/>
        <v>0</v>
      </c>
      <c r="KN24" s="221">
        <f t="shared" si="99"/>
        <v>0</v>
      </c>
      <c r="KO24" s="221">
        <f t="shared" si="100"/>
        <v>0</v>
      </c>
      <c r="KP24" s="221">
        <f t="shared" si="101"/>
        <v>0</v>
      </c>
      <c r="KQ24" s="221">
        <f t="shared" si="102"/>
        <v>0</v>
      </c>
      <c r="KR24" s="221">
        <f t="shared" si="103"/>
        <v>0</v>
      </c>
      <c r="KS24" s="195"/>
      <c r="KT24" s="195">
        <f t="shared" si="104"/>
        <v>0</v>
      </c>
      <c r="KU24" s="221"/>
      <c r="KV24" s="221"/>
      <c r="KW24" s="221"/>
      <c r="KX24" s="221"/>
      <c r="KY24" s="221"/>
      <c r="KZ24" s="221"/>
      <c r="LA24" s="221"/>
      <c r="LB24" s="221"/>
      <c r="LC24" s="221"/>
      <c r="LD24" s="221"/>
      <c r="LE24" s="221"/>
      <c r="LF24" s="221"/>
      <c r="LG24" s="221"/>
      <c r="LH24" s="221"/>
      <c r="LI24" s="221"/>
      <c r="LJ24" s="221"/>
      <c r="LK24" s="221"/>
      <c r="LL24" s="221"/>
      <c r="LM24" s="221"/>
      <c r="LN24" s="221"/>
      <c r="LO24" s="221"/>
      <c r="LP24" s="221"/>
      <c r="LQ24" s="221"/>
      <c r="LR24" s="221"/>
      <c r="LS24" s="221"/>
      <c r="LT24" s="221"/>
      <c r="LU24" s="221"/>
      <c r="LV24" s="221"/>
      <c r="LW24" s="221"/>
      <c r="LX24" s="221"/>
      <c r="LY24" s="221"/>
      <c r="LZ24" s="221"/>
      <c r="MA24" s="221"/>
      <c r="MB24" s="221"/>
      <c r="MC24" s="221"/>
      <c r="MD24" s="221"/>
      <c r="ME24" s="221"/>
      <c r="MF24" s="221"/>
      <c r="MG24" s="221"/>
      <c r="MH24" s="221"/>
      <c r="MI24" s="221"/>
      <c r="MJ24" s="221"/>
      <c r="MK24" s="221"/>
      <c r="ML24" s="221"/>
      <c r="MM24" s="221"/>
      <c r="MN24" s="221"/>
      <c r="MO24" s="221"/>
      <c r="MP24" s="221"/>
      <c r="MQ24" s="221"/>
      <c r="MR24" s="221"/>
      <c r="MS24" s="221"/>
      <c r="MT24" s="221"/>
      <c r="MU24" s="221"/>
      <c r="MV24" s="221"/>
      <c r="MW24" s="221"/>
      <c r="MX24" s="221"/>
      <c r="MY24" s="221"/>
      <c r="MZ24" s="221"/>
      <c r="NA24" s="221"/>
      <c r="NB24" s="221"/>
      <c r="NC24" s="221"/>
      <c r="ND24" s="221"/>
      <c r="NE24" s="221"/>
      <c r="NF24" s="221"/>
      <c r="NG24" s="221"/>
      <c r="NH24" s="221"/>
      <c r="NI24" s="221"/>
      <c r="NJ24" s="221"/>
      <c r="NK24" s="221"/>
      <c r="NL24" s="195"/>
      <c r="NM24" s="195">
        <f t="shared" si="166"/>
        <v>0</v>
      </c>
      <c r="NN24" s="195">
        <f t="shared" si="167"/>
        <v>0</v>
      </c>
      <c r="NO24" s="195">
        <f t="shared" si="168"/>
        <v>0</v>
      </c>
      <c r="NP24" s="195">
        <f t="shared" si="169"/>
        <v>0</v>
      </c>
      <c r="NQ24" s="195">
        <f t="shared" si="170"/>
        <v>0</v>
      </c>
      <c r="NR24" s="195">
        <f t="shared" si="171"/>
        <v>0</v>
      </c>
      <c r="NS24" s="195">
        <f t="shared" si="172"/>
        <v>0</v>
      </c>
      <c r="NT24" s="195">
        <f t="shared" si="173"/>
        <v>0</v>
      </c>
      <c r="NU24" s="196">
        <f t="shared" si="174"/>
        <v>0</v>
      </c>
      <c r="NV24" s="195"/>
      <c r="NW24" s="195"/>
      <c r="NX24" s="195"/>
      <c r="NY24" s="196">
        <f t="shared" si="106"/>
        <v>1</v>
      </c>
      <c r="NZ24" s="222">
        <v>8075000</v>
      </c>
      <c r="OA24" s="195"/>
      <c r="OB24" s="195"/>
      <c r="OC24" s="195"/>
      <c r="OD24" s="195"/>
      <c r="OE24" s="207">
        <f t="shared" si="107"/>
        <v>0</v>
      </c>
      <c r="OF24" s="207">
        <f t="shared" si="108"/>
        <v>0</v>
      </c>
      <c r="OG24" s="207">
        <f t="shared" si="109"/>
        <v>0</v>
      </c>
      <c r="OH24" s="207">
        <f t="shared" si="175"/>
        <v>0</v>
      </c>
      <c r="OI24" s="207">
        <f t="shared" si="110"/>
        <v>0</v>
      </c>
      <c r="OJ24" s="199">
        <f t="shared" si="176"/>
        <v>0</v>
      </c>
      <c r="OK24" s="199">
        <f t="shared" si="177"/>
        <v>0</v>
      </c>
      <c r="OL24" s="199">
        <f t="shared" si="178"/>
        <v>0</v>
      </c>
      <c r="OM24" s="199">
        <f t="shared" si="179"/>
        <v>0</v>
      </c>
      <c r="ON24" s="195"/>
      <c r="OO24" s="207">
        <f t="shared" si="111"/>
        <v>0</v>
      </c>
      <c r="OP24" s="207">
        <f t="shared" si="112"/>
        <v>0</v>
      </c>
      <c r="OQ24" s="207">
        <f t="shared" si="180"/>
        <v>0</v>
      </c>
      <c r="OR24" s="207">
        <f t="shared" si="181"/>
        <v>0</v>
      </c>
      <c r="OS24" s="207">
        <f t="shared" si="182"/>
        <v>0</v>
      </c>
      <c r="OT24" s="199">
        <f t="shared" si="183"/>
        <v>0</v>
      </c>
      <c r="OU24" s="199">
        <f t="shared" si="184"/>
        <v>0</v>
      </c>
      <c r="OV24" s="199">
        <f t="shared" si="185"/>
        <v>0</v>
      </c>
      <c r="OW24" s="199">
        <f t="shared" si="186"/>
        <v>0</v>
      </c>
      <c r="OX24" s="195"/>
      <c r="OY24" s="195"/>
      <c r="OZ24" s="195"/>
      <c r="PA24" s="209"/>
      <c r="PB24" s="209"/>
      <c r="PC24" s="209"/>
      <c r="PD24" s="210">
        <f t="shared" si="113"/>
        <v>0</v>
      </c>
      <c r="PE24" s="210"/>
      <c r="PF24" s="210">
        <f t="shared" si="114"/>
        <v>0</v>
      </c>
      <c r="PG24" s="210">
        <f t="shared" si="115"/>
        <v>0</v>
      </c>
      <c r="PH24" s="210">
        <f t="shared" si="115"/>
        <v>0</v>
      </c>
      <c r="PI24" s="210">
        <f t="shared" si="115"/>
        <v>0</v>
      </c>
      <c r="PJ24" s="210">
        <f t="shared" si="115"/>
        <v>0</v>
      </c>
      <c r="PK24" s="210">
        <f t="shared" si="115"/>
        <v>0</v>
      </c>
      <c r="PL24" s="210">
        <f t="shared" si="115"/>
        <v>0</v>
      </c>
      <c r="PM24" s="195"/>
      <c r="PN24" s="195"/>
      <c r="PO24" s="212">
        <f t="shared" si="187"/>
        <v>0</v>
      </c>
      <c r="PP24" s="212">
        <f t="shared" si="188"/>
        <v>0</v>
      </c>
      <c r="PQ24" s="212">
        <f t="shared" si="189"/>
        <v>0</v>
      </c>
    </row>
    <row r="25" spans="1:433" ht="16" x14ac:dyDescent="0.2">
      <c r="A25" s="213">
        <f t="shared" ref="A25" si="196">A24+1</f>
        <v>17</v>
      </c>
      <c r="B25" s="186" t="s">
        <v>103</v>
      </c>
      <c r="C25" s="186">
        <v>17</v>
      </c>
      <c r="D25" s="188">
        <v>1</v>
      </c>
      <c r="E25" s="188">
        <v>576</v>
      </c>
      <c r="F25" s="188">
        <v>1</v>
      </c>
      <c r="G25" s="188">
        <f t="shared" si="116"/>
        <v>576</v>
      </c>
      <c r="H25" s="214">
        <f t="shared" si="2"/>
        <v>1</v>
      </c>
      <c r="I25" s="214">
        <f t="shared" si="3"/>
        <v>1</v>
      </c>
      <c r="J25" s="188">
        <v>1</v>
      </c>
      <c r="K25" s="188">
        <f t="shared" si="4"/>
        <v>576</v>
      </c>
      <c r="L25" s="214">
        <f t="shared" si="5"/>
        <v>1</v>
      </c>
      <c r="M25" s="214">
        <f t="shared" si="6"/>
        <v>1</v>
      </c>
      <c r="N25" s="188">
        <v>1</v>
      </c>
      <c r="O25" s="188">
        <f t="shared" si="7"/>
        <v>576</v>
      </c>
      <c r="P25" s="214">
        <f t="shared" si="8"/>
        <v>1</v>
      </c>
      <c r="Q25" s="214">
        <f t="shared" si="9"/>
        <v>1</v>
      </c>
      <c r="R25" s="188">
        <v>1</v>
      </c>
      <c r="S25" s="188">
        <f t="shared" si="117"/>
        <v>576</v>
      </c>
      <c r="T25" s="214">
        <f t="shared" si="118"/>
        <v>1</v>
      </c>
      <c r="U25" s="214">
        <f t="shared" si="119"/>
        <v>1</v>
      </c>
      <c r="V25" s="188">
        <v>1</v>
      </c>
      <c r="W25" s="188">
        <f t="shared" si="10"/>
        <v>576</v>
      </c>
      <c r="X25" s="214">
        <f t="shared" si="11"/>
        <v>1</v>
      </c>
      <c r="Y25" s="214">
        <f t="shared" si="12"/>
        <v>1</v>
      </c>
      <c r="Z25" s="224">
        <f>5071402000/1000000000</f>
        <v>5.071402</v>
      </c>
      <c r="AA25" s="188"/>
      <c r="AB25" s="189">
        <f t="shared" si="120"/>
        <v>0</v>
      </c>
      <c r="AC25" s="250">
        <f t="shared" si="121"/>
        <v>0</v>
      </c>
      <c r="AD25" s="250">
        <f t="shared" si="122"/>
        <v>0</v>
      </c>
      <c r="AE25" s="188"/>
      <c r="AF25" s="188">
        <f t="shared" si="15"/>
        <v>0</v>
      </c>
      <c r="AG25" s="187"/>
      <c r="AH25" s="187"/>
      <c r="AI25" s="188">
        <v>0</v>
      </c>
      <c r="AJ25" s="188">
        <f t="shared" si="16"/>
        <v>0</v>
      </c>
      <c r="AK25" s="188"/>
      <c r="AL25" s="188">
        <v>0</v>
      </c>
      <c r="AM25" s="188">
        <v>0</v>
      </c>
      <c r="AN25" s="217"/>
      <c r="AO25" s="196">
        <f t="shared" si="123"/>
        <v>0</v>
      </c>
      <c r="AP25" s="195"/>
      <c r="AQ25" s="195"/>
      <c r="AR25" s="195"/>
      <c r="AS25" s="195"/>
      <c r="AT25" s="195"/>
      <c r="AU25" s="195"/>
      <c r="AV25" s="195"/>
      <c r="AW25" s="195"/>
      <c r="AX25" s="195"/>
      <c r="AY25" s="195"/>
      <c r="AZ25" s="195"/>
      <c r="BA25" s="195"/>
      <c r="BB25" s="188">
        <f t="shared" si="17"/>
        <v>0</v>
      </c>
      <c r="BC25" s="195"/>
      <c r="BD25" s="196"/>
      <c r="BE25" s="188">
        <f t="shared" si="18"/>
        <v>0</v>
      </c>
      <c r="BF25" s="188">
        <f t="shared" si="19"/>
        <v>0</v>
      </c>
      <c r="BG25" s="188">
        <f t="shared" si="20"/>
        <v>0</v>
      </c>
      <c r="BH25" s="188">
        <f t="shared" si="21"/>
        <v>0</v>
      </c>
      <c r="BI25" s="188">
        <f t="shared" si="22"/>
        <v>0</v>
      </c>
      <c r="BJ25" s="188">
        <f t="shared" si="23"/>
        <v>0</v>
      </c>
      <c r="BK25" s="188">
        <f t="shared" si="124"/>
        <v>0</v>
      </c>
      <c r="BL25" s="195"/>
      <c r="BM25" s="195"/>
      <c r="BN25" s="143"/>
      <c r="BO25" s="277"/>
      <c r="BP25" s="188"/>
      <c r="BQ25" s="188"/>
      <c r="BR25" s="188"/>
      <c r="BS25" s="188"/>
      <c r="BT25" s="188"/>
      <c r="BU25" s="188"/>
      <c r="BV25" s="188"/>
      <c r="BW25" s="188"/>
      <c r="BX25" s="188"/>
      <c r="BY25" s="188"/>
      <c r="BZ25" s="188"/>
      <c r="CA25" s="195"/>
      <c r="CB25" s="189">
        <v>0</v>
      </c>
      <c r="CC25" s="195"/>
      <c r="CD25" s="189">
        <f t="shared" si="125"/>
        <v>0</v>
      </c>
      <c r="CE25" s="189">
        <f t="shared" si="191"/>
        <v>0</v>
      </c>
      <c r="CF25" s="189">
        <f t="shared" si="126"/>
        <v>0</v>
      </c>
      <c r="CG25" s="189">
        <f t="shared" si="127"/>
        <v>0</v>
      </c>
      <c r="CH25" s="189">
        <f t="shared" si="128"/>
        <v>0</v>
      </c>
      <c r="CI25" s="189">
        <f t="shared" si="129"/>
        <v>0</v>
      </c>
      <c r="CJ25" s="189">
        <f t="shared" si="130"/>
        <v>0</v>
      </c>
      <c r="CK25" s="189">
        <f t="shared" si="131"/>
        <v>0</v>
      </c>
      <c r="CL25" s="189">
        <f t="shared" si="132"/>
        <v>0</v>
      </c>
      <c r="CM25" s="189">
        <f t="shared" si="133"/>
        <v>0</v>
      </c>
      <c r="CN25" s="189">
        <f t="shared" si="134"/>
        <v>0</v>
      </c>
      <c r="CO25" s="189">
        <f t="shared" si="135"/>
        <v>0</v>
      </c>
      <c r="CP25" s="189">
        <f t="shared" si="136"/>
        <v>0</v>
      </c>
      <c r="CQ25" s="195"/>
      <c r="CR25" s="195"/>
      <c r="CS25" s="195"/>
      <c r="CT25" s="195"/>
      <c r="CU25" s="195"/>
      <c r="CV25" s="195"/>
      <c r="CW25" s="195"/>
      <c r="CX25" s="195"/>
      <c r="CY25" s="195"/>
      <c r="CZ25" s="195"/>
      <c r="DA25" s="195"/>
      <c r="DB25" s="195"/>
      <c r="DC25" s="195"/>
      <c r="DD25" s="195"/>
      <c r="DE25" s="195"/>
      <c r="DF25" s="195"/>
      <c r="DG25" s="195"/>
      <c r="DH25" s="195"/>
      <c r="DI25" s="195"/>
      <c r="DJ25" s="195"/>
      <c r="DK25" s="195"/>
      <c r="DL25" s="195"/>
      <c r="DM25" s="195"/>
      <c r="DN25" s="195"/>
      <c r="DO25" s="195"/>
      <c r="DP25" s="195"/>
      <c r="DQ25" s="195"/>
      <c r="DR25" s="195"/>
      <c r="DS25" s="195"/>
      <c r="DT25" s="195"/>
      <c r="DU25" s="195"/>
      <c r="DV25" s="189">
        <f t="shared" si="26"/>
        <v>0</v>
      </c>
      <c r="DW25" s="189">
        <f t="shared" si="27"/>
        <v>0</v>
      </c>
      <c r="DX25" s="189">
        <f t="shared" si="28"/>
        <v>0</v>
      </c>
      <c r="DY25" s="189">
        <f t="shared" si="29"/>
        <v>0</v>
      </c>
      <c r="DZ25" s="189">
        <f t="shared" si="30"/>
        <v>0</v>
      </c>
      <c r="EA25" s="189">
        <f t="shared" si="31"/>
        <v>0</v>
      </c>
      <c r="EB25" s="189">
        <f t="shared" si="137"/>
        <v>0</v>
      </c>
      <c r="EC25" s="195"/>
      <c r="ED25" s="195"/>
      <c r="EE25" s="195"/>
      <c r="EF25" s="195"/>
      <c r="EG25" s="252">
        <f t="shared" si="138"/>
        <v>0</v>
      </c>
      <c r="EH25" s="252">
        <f t="shared" si="139"/>
        <v>0</v>
      </c>
      <c r="EI25" s="189"/>
      <c r="EJ25" s="189"/>
      <c r="EK25" s="189"/>
      <c r="EL25" s="189"/>
      <c r="EM25" s="189"/>
      <c r="EN25" s="189"/>
      <c r="EO25" s="189"/>
      <c r="EP25" s="189"/>
      <c r="EQ25" s="189"/>
      <c r="ER25" s="189"/>
      <c r="ES25" s="189"/>
      <c r="ET25" s="189"/>
      <c r="EU25" s="189"/>
      <c r="EV25" s="189"/>
      <c r="EW25" s="189"/>
      <c r="EX25" s="189"/>
      <c r="EY25" s="189"/>
      <c r="EZ25" s="189"/>
      <c r="FA25" s="189"/>
      <c r="FB25" s="189"/>
      <c r="FC25" s="189"/>
      <c r="FD25" s="189"/>
      <c r="FE25" s="189"/>
      <c r="FF25" s="189"/>
      <c r="FG25" s="195"/>
      <c r="FH25" s="189"/>
      <c r="FI25" s="189"/>
      <c r="FJ25" s="189"/>
      <c r="FK25" s="189"/>
      <c r="FL25" s="189"/>
      <c r="FM25" s="189"/>
      <c r="FN25" s="189"/>
      <c r="FO25" s="189"/>
      <c r="FP25" s="189"/>
      <c r="FQ25" s="189"/>
      <c r="FR25" s="189"/>
      <c r="FS25" s="189"/>
      <c r="FT25" s="189"/>
      <c r="FU25" s="189"/>
      <c r="FV25" s="189"/>
      <c r="FW25" s="195"/>
      <c r="FX25" s="253"/>
      <c r="FY25" s="189">
        <f t="shared" si="140"/>
        <v>0</v>
      </c>
      <c r="FZ25" s="189">
        <f t="shared" si="33"/>
        <v>0</v>
      </c>
      <c r="GA25" s="189">
        <f t="shared" si="34"/>
        <v>0</v>
      </c>
      <c r="GB25" s="189">
        <f t="shared" si="35"/>
        <v>0</v>
      </c>
      <c r="GC25" s="189">
        <f t="shared" si="36"/>
        <v>0</v>
      </c>
      <c r="GD25" s="189">
        <f t="shared" si="37"/>
        <v>0</v>
      </c>
      <c r="GE25" s="189">
        <f t="shared" si="38"/>
        <v>0</v>
      </c>
      <c r="GF25" s="199"/>
      <c r="GG25" s="189">
        <v>0</v>
      </c>
      <c r="GH25" s="189">
        <v>0</v>
      </c>
      <c r="GI25" s="199"/>
      <c r="GJ25" s="200">
        <f t="shared" si="141"/>
        <v>0</v>
      </c>
      <c r="GK25" s="200">
        <f t="shared" si="142"/>
        <v>0</v>
      </c>
      <c r="GL25" s="195"/>
      <c r="GM25" s="195"/>
      <c r="GN25" s="195"/>
      <c r="GO25" s="189">
        <f t="shared" si="39"/>
        <v>0</v>
      </c>
      <c r="GP25" s="189">
        <f t="shared" si="40"/>
        <v>0</v>
      </c>
      <c r="GQ25" s="189">
        <f t="shared" si="41"/>
        <v>0</v>
      </c>
      <c r="GR25" s="189">
        <f t="shared" si="42"/>
        <v>0</v>
      </c>
      <c r="GS25" s="189">
        <f t="shared" si="43"/>
        <v>0</v>
      </c>
      <c r="GT25" s="189">
        <f t="shared" si="143"/>
        <v>1</v>
      </c>
      <c r="GU25" s="201">
        <f t="shared" si="144"/>
        <v>43243</v>
      </c>
      <c r="GV25" s="189" t="str">
        <f t="shared" si="145"/>
        <v>SELESAI</v>
      </c>
      <c r="GW25" s="189">
        <f t="shared" si="146"/>
        <v>0</v>
      </c>
      <c r="GX25" s="202" t="str">
        <f t="shared" si="147"/>
        <v>SELESAI</v>
      </c>
      <c r="GY25" s="202">
        <f t="shared" si="148"/>
        <v>0</v>
      </c>
      <c r="GZ25" s="203" t="str">
        <f t="shared" si="149"/>
        <v>SELESAI</v>
      </c>
      <c r="HA25" s="204"/>
      <c r="HB25" s="204"/>
      <c r="HC25" s="189">
        <f t="shared" si="44"/>
        <v>0</v>
      </c>
      <c r="HD25" s="189">
        <f t="shared" si="45"/>
        <v>0</v>
      </c>
      <c r="HE25" s="189">
        <f t="shared" si="150"/>
        <v>0</v>
      </c>
      <c r="HF25" s="189">
        <f t="shared" si="151"/>
        <v>0</v>
      </c>
      <c r="HG25" s="189">
        <f t="shared" si="152"/>
        <v>0</v>
      </c>
      <c r="HH25" s="201" t="str">
        <f t="shared" si="46"/>
        <v>TIDAK KONSINYASI</v>
      </c>
      <c r="HI25" s="201" t="str">
        <f t="shared" si="153"/>
        <v>SELESAI</v>
      </c>
      <c r="HJ25" s="205"/>
      <c r="HK25" s="201">
        <f t="shared" si="47"/>
        <v>0</v>
      </c>
      <c r="HL25" s="204"/>
      <c r="HM25" s="204"/>
      <c r="HN25" s="204"/>
      <c r="HO25" s="204"/>
      <c r="HP25" s="203">
        <f t="shared" si="154"/>
        <v>0</v>
      </c>
      <c r="HQ25" s="202">
        <f t="shared" si="155"/>
        <v>0</v>
      </c>
      <c r="HR25" s="202">
        <f t="shared" si="48"/>
        <v>0</v>
      </c>
      <c r="HS25" s="203">
        <f t="shared" si="156"/>
        <v>0</v>
      </c>
      <c r="HT25" s="202">
        <f t="shared" si="157"/>
        <v>0</v>
      </c>
      <c r="HU25" s="202">
        <f t="shared" si="49"/>
        <v>0</v>
      </c>
      <c r="HV25" s="203">
        <f t="shared" si="158"/>
        <v>0</v>
      </c>
      <c r="HW25" s="202">
        <f t="shared" si="50"/>
        <v>0</v>
      </c>
      <c r="HX25" s="202">
        <f t="shared" si="51"/>
        <v>0</v>
      </c>
      <c r="HY25" s="203">
        <f t="shared" si="52"/>
        <v>0</v>
      </c>
      <c r="HZ25" s="202">
        <f t="shared" si="159"/>
        <v>0</v>
      </c>
      <c r="IA25" s="202">
        <f t="shared" si="53"/>
        <v>0</v>
      </c>
      <c r="IB25" s="203">
        <f t="shared" si="160"/>
        <v>0</v>
      </c>
      <c r="IC25" s="202">
        <f t="shared" si="54"/>
        <v>0</v>
      </c>
      <c r="ID25" s="202">
        <f t="shared" si="55"/>
        <v>0</v>
      </c>
      <c r="IE25" s="203">
        <f t="shared" si="56"/>
        <v>0</v>
      </c>
      <c r="IF25" s="202">
        <f t="shared" si="57"/>
        <v>0</v>
      </c>
      <c r="IG25" s="202">
        <f t="shared" si="58"/>
        <v>0</v>
      </c>
      <c r="IH25" s="203">
        <f t="shared" si="161"/>
        <v>0</v>
      </c>
      <c r="II25" s="202">
        <f t="shared" si="162"/>
        <v>0</v>
      </c>
      <c r="IJ25" s="202">
        <f t="shared" si="59"/>
        <v>0</v>
      </c>
      <c r="IK25" s="203">
        <f t="shared" si="60"/>
        <v>0</v>
      </c>
      <c r="IL25" s="202">
        <f t="shared" si="61"/>
        <v>0</v>
      </c>
      <c r="IM25" s="202">
        <f t="shared" si="62"/>
        <v>0</v>
      </c>
      <c r="IN25" s="204"/>
      <c r="IO25" s="203">
        <f t="shared" si="63"/>
        <v>0</v>
      </c>
      <c r="IP25" s="202">
        <f t="shared" si="64"/>
        <v>0</v>
      </c>
      <c r="IQ25" s="202">
        <f t="shared" si="65"/>
        <v>0</v>
      </c>
      <c r="IR25" s="204"/>
      <c r="IS25" s="203"/>
      <c r="IT25" s="202">
        <f t="shared" si="66"/>
        <v>1</v>
      </c>
      <c r="IU25" s="202">
        <f t="shared" si="67"/>
        <v>576</v>
      </c>
      <c r="IV25" s="204"/>
      <c r="IW25" s="203"/>
      <c r="IX25" s="202">
        <f t="shared" si="68"/>
        <v>0</v>
      </c>
      <c r="IY25" s="202">
        <f t="shared" si="69"/>
        <v>0</v>
      </c>
      <c r="IZ25" s="204"/>
      <c r="JA25" s="203"/>
      <c r="JB25" s="202">
        <f t="shared" si="70"/>
        <v>0</v>
      </c>
      <c r="JC25" s="202">
        <f t="shared" si="71"/>
        <v>0</v>
      </c>
      <c r="JD25" s="204"/>
      <c r="JE25" s="203"/>
      <c r="JF25" s="202">
        <f t="shared" si="163"/>
        <v>1</v>
      </c>
      <c r="JG25" s="202">
        <f t="shared" si="72"/>
        <v>576</v>
      </c>
      <c r="JH25" s="204"/>
      <c r="JI25" s="203"/>
      <c r="JJ25" s="202">
        <f t="shared" si="73"/>
        <v>0</v>
      </c>
      <c r="JK25" s="202">
        <f t="shared" si="74"/>
        <v>0</v>
      </c>
      <c r="JL25" s="195"/>
      <c r="JM25" s="203">
        <f t="shared" si="164"/>
        <v>0</v>
      </c>
      <c r="JN25" s="195"/>
      <c r="JO25" s="196">
        <f t="shared" si="75"/>
        <v>0</v>
      </c>
      <c r="JP25" s="206">
        <f t="shared" si="76"/>
        <v>0</v>
      </c>
      <c r="JQ25" s="206">
        <f t="shared" si="77"/>
        <v>0</v>
      </c>
      <c r="JR25" s="206">
        <f t="shared" si="78"/>
        <v>0</v>
      </c>
      <c r="JS25" s="206">
        <f t="shared" si="79"/>
        <v>0</v>
      </c>
      <c r="JT25" s="206">
        <f t="shared" si="80"/>
        <v>0</v>
      </c>
      <c r="JU25" s="206">
        <f t="shared" si="81"/>
        <v>0</v>
      </c>
      <c r="JV25" s="206">
        <f t="shared" si="82"/>
        <v>0</v>
      </c>
      <c r="JW25" s="206">
        <f t="shared" si="83"/>
        <v>0</v>
      </c>
      <c r="JX25" s="206">
        <f t="shared" si="84"/>
        <v>0</v>
      </c>
      <c r="JY25" s="206">
        <f t="shared" si="85"/>
        <v>0</v>
      </c>
      <c r="JZ25" s="206">
        <f t="shared" si="86"/>
        <v>0</v>
      </c>
      <c r="KA25" s="206">
        <f t="shared" si="87"/>
        <v>0</v>
      </c>
      <c r="KB25" s="206">
        <f t="shared" si="88"/>
        <v>0</v>
      </c>
      <c r="KC25" s="195"/>
      <c r="KD25" s="206">
        <f t="shared" si="165"/>
        <v>0</v>
      </c>
      <c r="KE25" s="206">
        <f t="shared" si="90"/>
        <v>0</v>
      </c>
      <c r="KF25" s="206">
        <f t="shared" si="91"/>
        <v>0</v>
      </c>
      <c r="KG25" s="206">
        <f t="shared" si="92"/>
        <v>0</v>
      </c>
      <c r="KH25" s="206">
        <f t="shared" si="93"/>
        <v>0</v>
      </c>
      <c r="KI25" s="206">
        <f t="shared" si="94"/>
        <v>0</v>
      </c>
      <c r="KJ25" s="206">
        <f t="shared" si="95"/>
        <v>0</v>
      </c>
      <c r="KK25" s="206">
        <f t="shared" si="96"/>
        <v>0</v>
      </c>
      <c r="KL25" s="206">
        <f t="shared" si="97"/>
        <v>0</v>
      </c>
      <c r="KM25" s="206">
        <f t="shared" si="98"/>
        <v>0</v>
      </c>
      <c r="KN25" s="221">
        <f t="shared" si="99"/>
        <v>0</v>
      </c>
      <c r="KO25" s="221">
        <f t="shared" si="100"/>
        <v>0</v>
      </c>
      <c r="KP25" s="221">
        <f t="shared" si="101"/>
        <v>0</v>
      </c>
      <c r="KQ25" s="221">
        <f t="shared" si="102"/>
        <v>0</v>
      </c>
      <c r="KR25" s="221">
        <f t="shared" si="103"/>
        <v>0</v>
      </c>
      <c r="KS25" s="195"/>
      <c r="KT25" s="195">
        <f t="shared" si="104"/>
        <v>0</v>
      </c>
      <c r="KU25" s="221"/>
      <c r="KV25" s="221"/>
      <c r="KW25" s="221"/>
      <c r="KX25" s="221"/>
      <c r="KY25" s="221"/>
      <c r="KZ25" s="221"/>
      <c r="LA25" s="221"/>
      <c r="LB25" s="221"/>
      <c r="LC25" s="221"/>
      <c r="LD25" s="221"/>
      <c r="LE25" s="221"/>
      <c r="LF25" s="221"/>
      <c r="LG25" s="221"/>
      <c r="LH25" s="221"/>
      <c r="LI25" s="221"/>
      <c r="LJ25" s="221"/>
      <c r="LK25" s="221"/>
      <c r="LL25" s="221"/>
      <c r="LM25" s="221"/>
      <c r="LN25" s="221"/>
      <c r="LO25" s="221"/>
      <c r="LP25" s="221"/>
      <c r="LQ25" s="221"/>
      <c r="LR25" s="221"/>
      <c r="LS25" s="221"/>
      <c r="LT25" s="221"/>
      <c r="LU25" s="221"/>
      <c r="LV25" s="221"/>
      <c r="LW25" s="221"/>
      <c r="LX25" s="221"/>
      <c r="LY25" s="221"/>
      <c r="LZ25" s="221"/>
      <c r="MA25" s="221"/>
      <c r="MB25" s="221"/>
      <c r="MC25" s="221"/>
      <c r="MD25" s="221"/>
      <c r="ME25" s="221"/>
      <c r="MF25" s="221"/>
      <c r="MG25" s="221"/>
      <c r="MH25" s="221"/>
      <c r="MI25" s="221"/>
      <c r="MJ25" s="221"/>
      <c r="MK25" s="221"/>
      <c r="ML25" s="221"/>
      <c r="MM25" s="221"/>
      <c r="MN25" s="221"/>
      <c r="MO25" s="221"/>
      <c r="MP25" s="221"/>
      <c r="MQ25" s="221"/>
      <c r="MR25" s="221"/>
      <c r="MS25" s="221"/>
      <c r="MT25" s="221"/>
      <c r="MU25" s="221"/>
      <c r="MV25" s="221"/>
      <c r="MW25" s="221"/>
      <c r="MX25" s="221"/>
      <c r="MY25" s="221"/>
      <c r="MZ25" s="221"/>
      <c r="NA25" s="221"/>
      <c r="NB25" s="221"/>
      <c r="NC25" s="221"/>
      <c r="ND25" s="221"/>
      <c r="NE25" s="221"/>
      <c r="NF25" s="221"/>
      <c r="NG25" s="221"/>
      <c r="NH25" s="221"/>
      <c r="NI25" s="221"/>
      <c r="NJ25" s="221"/>
      <c r="NK25" s="221"/>
      <c r="NL25" s="195"/>
      <c r="NM25" s="195">
        <f t="shared" si="166"/>
        <v>0</v>
      </c>
      <c r="NN25" s="195">
        <f t="shared" si="167"/>
        <v>0</v>
      </c>
      <c r="NO25" s="195">
        <f t="shared" si="168"/>
        <v>0</v>
      </c>
      <c r="NP25" s="195">
        <f t="shared" si="169"/>
        <v>0</v>
      </c>
      <c r="NQ25" s="195">
        <f t="shared" si="170"/>
        <v>0</v>
      </c>
      <c r="NR25" s="195">
        <f t="shared" si="171"/>
        <v>0</v>
      </c>
      <c r="NS25" s="195">
        <f t="shared" si="172"/>
        <v>0</v>
      </c>
      <c r="NT25" s="195">
        <f t="shared" si="173"/>
        <v>0</v>
      </c>
      <c r="NU25" s="196">
        <f t="shared" si="174"/>
        <v>0</v>
      </c>
      <c r="NV25" s="195"/>
      <c r="NW25" s="195"/>
      <c r="NX25" s="195"/>
      <c r="NY25" s="196">
        <f t="shared" si="106"/>
        <v>1</v>
      </c>
      <c r="NZ25" s="222">
        <v>8075000</v>
      </c>
      <c r="OA25" s="195"/>
      <c r="OB25" s="195"/>
      <c r="OC25" s="195"/>
      <c r="OD25" s="195"/>
      <c r="OE25" s="207">
        <f t="shared" si="107"/>
        <v>0</v>
      </c>
      <c r="OF25" s="207">
        <f t="shared" si="108"/>
        <v>0</v>
      </c>
      <c r="OG25" s="207">
        <f t="shared" si="109"/>
        <v>0</v>
      </c>
      <c r="OH25" s="207">
        <f t="shared" si="175"/>
        <v>0</v>
      </c>
      <c r="OI25" s="207">
        <f t="shared" si="110"/>
        <v>0</v>
      </c>
      <c r="OJ25" s="199">
        <f t="shared" si="176"/>
        <v>0</v>
      </c>
      <c r="OK25" s="199">
        <f t="shared" si="177"/>
        <v>0</v>
      </c>
      <c r="OL25" s="199">
        <f t="shared" si="178"/>
        <v>0</v>
      </c>
      <c r="OM25" s="199">
        <f t="shared" si="179"/>
        <v>0</v>
      </c>
      <c r="ON25" s="195"/>
      <c r="OO25" s="207">
        <f t="shared" si="111"/>
        <v>0</v>
      </c>
      <c r="OP25" s="207">
        <f t="shared" si="112"/>
        <v>0</v>
      </c>
      <c r="OQ25" s="207">
        <f t="shared" si="180"/>
        <v>0</v>
      </c>
      <c r="OR25" s="207">
        <f t="shared" si="181"/>
        <v>0</v>
      </c>
      <c r="OS25" s="207">
        <f t="shared" si="182"/>
        <v>0</v>
      </c>
      <c r="OT25" s="199">
        <f t="shared" si="183"/>
        <v>0</v>
      </c>
      <c r="OU25" s="199">
        <f t="shared" si="184"/>
        <v>0</v>
      </c>
      <c r="OV25" s="199">
        <f t="shared" si="185"/>
        <v>0</v>
      </c>
      <c r="OW25" s="199">
        <f t="shared" si="186"/>
        <v>0</v>
      </c>
      <c r="OX25" s="195"/>
      <c r="OY25" s="195"/>
      <c r="OZ25" s="195"/>
      <c r="PA25" s="209"/>
      <c r="PB25" s="209"/>
      <c r="PC25" s="209"/>
      <c r="PD25" s="210">
        <f t="shared" si="113"/>
        <v>0</v>
      </c>
      <c r="PE25" s="210"/>
      <c r="PF25" s="210">
        <f t="shared" si="114"/>
        <v>0</v>
      </c>
      <c r="PG25" s="210">
        <f t="shared" si="115"/>
        <v>0</v>
      </c>
      <c r="PH25" s="210">
        <f t="shared" si="115"/>
        <v>0</v>
      </c>
      <c r="PI25" s="210">
        <f t="shared" si="115"/>
        <v>0</v>
      </c>
      <c r="PJ25" s="210">
        <f t="shared" si="115"/>
        <v>0</v>
      </c>
      <c r="PK25" s="210">
        <f t="shared" si="115"/>
        <v>0</v>
      </c>
      <c r="PL25" s="210">
        <f t="shared" si="115"/>
        <v>0</v>
      </c>
      <c r="PM25" s="195"/>
      <c r="PN25" s="195"/>
      <c r="PO25" s="212">
        <f t="shared" si="187"/>
        <v>0</v>
      </c>
      <c r="PP25" s="212">
        <f t="shared" si="188"/>
        <v>0</v>
      </c>
      <c r="PQ25" s="212">
        <f t="shared" si="189"/>
        <v>0</v>
      </c>
    </row>
    <row r="26" spans="1:433" ht="16" x14ac:dyDescent="0.2">
      <c r="A26" s="213">
        <f t="shared" si="190"/>
        <v>18</v>
      </c>
      <c r="B26" s="186" t="s">
        <v>104</v>
      </c>
      <c r="C26" s="186">
        <v>18</v>
      </c>
      <c r="D26" s="188">
        <v>1</v>
      </c>
      <c r="E26" s="188">
        <v>2</v>
      </c>
      <c r="F26" s="188">
        <v>1</v>
      </c>
      <c r="G26" s="188">
        <f t="shared" si="116"/>
        <v>2</v>
      </c>
      <c r="H26" s="214">
        <f t="shared" si="2"/>
        <v>1</v>
      </c>
      <c r="I26" s="214">
        <f t="shared" si="3"/>
        <v>1</v>
      </c>
      <c r="J26" s="188">
        <v>1</v>
      </c>
      <c r="K26" s="188">
        <f t="shared" si="4"/>
        <v>2</v>
      </c>
      <c r="L26" s="214">
        <f t="shared" si="5"/>
        <v>1</v>
      </c>
      <c r="M26" s="214">
        <f t="shared" si="6"/>
        <v>1</v>
      </c>
      <c r="N26" s="188">
        <v>1</v>
      </c>
      <c r="O26" s="188">
        <f t="shared" si="7"/>
        <v>2</v>
      </c>
      <c r="P26" s="214">
        <f t="shared" si="8"/>
        <v>1</v>
      </c>
      <c r="Q26" s="214">
        <f t="shared" si="9"/>
        <v>1</v>
      </c>
      <c r="R26" s="188">
        <v>1</v>
      </c>
      <c r="S26" s="188">
        <f t="shared" si="117"/>
        <v>2</v>
      </c>
      <c r="T26" s="214">
        <f t="shared" si="118"/>
        <v>1</v>
      </c>
      <c r="U26" s="214">
        <f t="shared" si="119"/>
        <v>1</v>
      </c>
      <c r="V26" s="188">
        <v>1</v>
      </c>
      <c r="W26" s="188">
        <f t="shared" si="10"/>
        <v>2</v>
      </c>
      <c r="X26" s="214">
        <f t="shared" si="11"/>
        <v>1</v>
      </c>
      <c r="Y26" s="214">
        <f t="shared" si="12"/>
        <v>1</v>
      </c>
      <c r="Z26" s="224">
        <f>527221000/1000000000</f>
        <v>0.52722100000000005</v>
      </c>
      <c r="AA26" s="188"/>
      <c r="AB26" s="189">
        <f t="shared" si="120"/>
        <v>0</v>
      </c>
      <c r="AC26" s="250">
        <f t="shared" si="121"/>
        <v>0</v>
      </c>
      <c r="AD26" s="250">
        <f t="shared" si="122"/>
        <v>0</v>
      </c>
      <c r="AE26" s="188"/>
      <c r="AF26" s="188">
        <f t="shared" si="15"/>
        <v>0</v>
      </c>
      <c r="AG26" s="187"/>
      <c r="AH26" s="187"/>
      <c r="AI26" s="188">
        <v>0</v>
      </c>
      <c r="AJ26" s="188">
        <f t="shared" si="16"/>
        <v>0</v>
      </c>
      <c r="AK26" s="188"/>
      <c r="AL26" s="188">
        <v>0</v>
      </c>
      <c r="AM26" s="188">
        <v>0</v>
      </c>
      <c r="AN26" s="217"/>
      <c r="AO26" s="196">
        <f t="shared" si="123"/>
        <v>0</v>
      </c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5"/>
      <c r="BB26" s="188">
        <f t="shared" si="17"/>
        <v>0</v>
      </c>
      <c r="BC26" s="195"/>
      <c r="BD26" s="196"/>
      <c r="BE26" s="188">
        <f t="shared" si="18"/>
        <v>0</v>
      </c>
      <c r="BF26" s="188">
        <f t="shared" si="19"/>
        <v>0</v>
      </c>
      <c r="BG26" s="188">
        <f t="shared" si="20"/>
        <v>0</v>
      </c>
      <c r="BH26" s="188">
        <f t="shared" si="21"/>
        <v>0</v>
      </c>
      <c r="BI26" s="188">
        <f t="shared" si="22"/>
        <v>0</v>
      </c>
      <c r="BJ26" s="188">
        <f t="shared" si="23"/>
        <v>0</v>
      </c>
      <c r="BK26" s="188">
        <f t="shared" si="124"/>
        <v>0</v>
      </c>
      <c r="BL26" s="195"/>
      <c r="BM26" s="195"/>
      <c r="BN26" s="143"/>
      <c r="BO26" s="277"/>
      <c r="BP26" s="188"/>
      <c r="BQ26" s="188"/>
      <c r="BR26" s="188"/>
      <c r="BS26" s="188"/>
      <c r="BT26" s="188"/>
      <c r="BU26" s="188"/>
      <c r="BV26" s="188"/>
      <c r="BW26" s="188"/>
      <c r="BX26" s="188"/>
      <c r="BY26" s="188"/>
      <c r="BZ26" s="188"/>
      <c r="CA26" s="195"/>
      <c r="CB26" s="189">
        <v>0</v>
      </c>
      <c r="CC26" s="195"/>
      <c r="CD26" s="189">
        <f t="shared" si="125"/>
        <v>0</v>
      </c>
      <c r="CE26" s="189">
        <f t="shared" si="191"/>
        <v>0</v>
      </c>
      <c r="CF26" s="189">
        <f t="shared" si="126"/>
        <v>0</v>
      </c>
      <c r="CG26" s="189">
        <f t="shared" si="127"/>
        <v>0</v>
      </c>
      <c r="CH26" s="189">
        <f t="shared" si="128"/>
        <v>0</v>
      </c>
      <c r="CI26" s="189">
        <f t="shared" si="129"/>
        <v>0</v>
      </c>
      <c r="CJ26" s="189">
        <f t="shared" si="130"/>
        <v>0</v>
      </c>
      <c r="CK26" s="189">
        <f t="shared" si="131"/>
        <v>0</v>
      </c>
      <c r="CL26" s="189">
        <f t="shared" si="132"/>
        <v>0</v>
      </c>
      <c r="CM26" s="189">
        <f t="shared" si="133"/>
        <v>0</v>
      </c>
      <c r="CN26" s="189">
        <f t="shared" si="134"/>
        <v>0</v>
      </c>
      <c r="CO26" s="189">
        <f t="shared" si="135"/>
        <v>0</v>
      </c>
      <c r="CP26" s="189">
        <f t="shared" si="136"/>
        <v>0</v>
      </c>
      <c r="CQ26" s="195"/>
      <c r="CR26" s="195"/>
      <c r="CS26" s="195"/>
      <c r="CT26" s="195"/>
      <c r="CU26" s="195"/>
      <c r="CV26" s="195"/>
      <c r="CW26" s="195"/>
      <c r="CX26" s="195"/>
      <c r="CY26" s="195"/>
      <c r="CZ26" s="195"/>
      <c r="DA26" s="195"/>
      <c r="DB26" s="195"/>
      <c r="DC26" s="195"/>
      <c r="DD26" s="195"/>
      <c r="DE26" s="195"/>
      <c r="DF26" s="195"/>
      <c r="DG26" s="195"/>
      <c r="DH26" s="195"/>
      <c r="DI26" s="195"/>
      <c r="DJ26" s="195"/>
      <c r="DK26" s="195"/>
      <c r="DL26" s="195"/>
      <c r="DM26" s="195"/>
      <c r="DN26" s="195"/>
      <c r="DO26" s="195"/>
      <c r="DP26" s="195"/>
      <c r="DQ26" s="195"/>
      <c r="DR26" s="195"/>
      <c r="DS26" s="195"/>
      <c r="DT26" s="195"/>
      <c r="DU26" s="195"/>
      <c r="DV26" s="189">
        <f t="shared" si="26"/>
        <v>0</v>
      </c>
      <c r="DW26" s="189">
        <f t="shared" si="27"/>
        <v>0</v>
      </c>
      <c r="DX26" s="189">
        <f t="shared" si="28"/>
        <v>0</v>
      </c>
      <c r="DY26" s="189">
        <f t="shared" si="29"/>
        <v>0</v>
      </c>
      <c r="DZ26" s="189">
        <f t="shared" si="30"/>
        <v>0</v>
      </c>
      <c r="EA26" s="189">
        <f t="shared" si="31"/>
        <v>0</v>
      </c>
      <c r="EB26" s="189">
        <f t="shared" si="137"/>
        <v>0</v>
      </c>
      <c r="EC26" s="195"/>
      <c r="ED26" s="195"/>
      <c r="EE26" s="195"/>
      <c r="EF26" s="195"/>
      <c r="EG26" s="252">
        <f t="shared" si="138"/>
        <v>0</v>
      </c>
      <c r="EH26" s="252">
        <f t="shared" si="139"/>
        <v>0</v>
      </c>
      <c r="EI26" s="189"/>
      <c r="EJ26" s="189"/>
      <c r="EK26" s="189"/>
      <c r="EL26" s="189"/>
      <c r="EM26" s="189"/>
      <c r="EN26" s="189"/>
      <c r="EO26" s="189"/>
      <c r="EP26" s="189"/>
      <c r="EQ26" s="189"/>
      <c r="ER26" s="189"/>
      <c r="ES26" s="189"/>
      <c r="ET26" s="189"/>
      <c r="EU26" s="189"/>
      <c r="EV26" s="189"/>
      <c r="EW26" s="189"/>
      <c r="EX26" s="189"/>
      <c r="EY26" s="189"/>
      <c r="EZ26" s="189"/>
      <c r="FA26" s="189"/>
      <c r="FB26" s="189"/>
      <c r="FC26" s="189"/>
      <c r="FD26" s="189"/>
      <c r="FE26" s="189"/>
      <c r="FF26" s="189"/>
      <c r="FG26" s="195"/>
      <c r="FH26" s="189"/>
      <c r="FI26" s="189"/>
      <c r="FJ26" s="189"/>
      <c r="FK26" s="189"/>
      <c r="FL26" s="189"/>
      <c r="FM26" s="189"/>
      <c r="FN26" s="189"/>
      <c r="FO26" s="189"/>
      <c r="FP26" s="189"/>
      <c r="FQ26" s="189"/>
      <c r="FR26" s="189"/>
      <c r="FS26" s="189"/>
      <c r="FT26" s="189"/>
      <c r="FU26" s="189"/>
      <c r="FV26" s="189"/>
      <c r="FW26" s="195"/>
      <c r="FX26" s="253"/>
      <c r="FY26" s="189">
        <f t="shared" si="140"/>
        <v>0</v>
      </c>
      <c r="FZ26" s="189">
        <f t="shared" si="33"/>
        <v>0</v>
      </c>
      <c r="GA26" s="189">
        <f t="shared" si="34"/>
        <v>0</v>
      </c>
      <c r="GB26" s="189">
        <f t="shared" si="35"/>
        <v>0</v>
      </c>
      <c r="GC26" s="189">
        <f t="shared" si="36"/>
        <v>0</v>
      </c>
      <c r="GD26" s="189">
        <f t="shared" si="37"/>
        <v>0</v>
      </c>
      <c r="GE26" s="189">
        <f t="shared" si="38"/>
        <v>0</v>
      </c>
      <c r="GF26" s="199"/>
      <c r="GG26" s="189">
        <v>0</v>
      </c>
      <c r="GH26" s="189">
        <v>0</v>
      </c>
      <c r="GI26" s="199"/>
      <c r="GJ26" s="200">
        <f t="shared" si="141"/>
        <v>0</v>
      </c>
      <c r="GK26" s="200">
        <f t="shared" si="142"/>
        <v>0</v>
      </c>
      <c r="GL26" s="195"/>
      <c r="GM26" s="195"/>
      <c r="GN26" s="195"/>
      <c r="GO26" s="189">
        <f t="shared" si="39"/>
        <v>0</v>
      </c>
      <c r="GP26" s="189">
        <f t="shared" si="40"/>
        <v>0</v>
      </c>
      <c r="GQ26" s="189">
        <f t="shared" si="41"/>
        <v>0</v>
      </c>
      <c r="GR26" s="189">
        <f t="shared" si="42"/>
        <v>0</v>
      </c>
      <c r="GS26" s="189">
        <f t="shared" si="43"/>
        <v>0</v>
      </c>
      <c r="GT26" s="189">
        <f t="shared" si="143"/>
        <v>1</v>
      </c>
      <c r="GU26" s="201">
        <f t="shared" si="144"/>
        <v>43243</v>
      </c>
      <c r="GV26" s="189" t="str">
        <f t="shared" si="145"/>
        <v>SELESAI</v>
      </c>
      <c r="GW26" s="189">
        <f t="shared" si="146"/>
        <v>0</v>
      </c>
      <c r="GX26" s="202" t="str">
        <f t="shared" si="147"/>
        <v>SELESAI</v>
      </c>
      <c r="GY26" s="202">
        <f t="shared" si="148"/>
        <v>0</v>
      </c>
      <c r="GZ26" s="203" t="str">
        <f t="shared" si="149"/>
        <v>SELESAI</v>
      </c>
      <c r="HA26" s="204"/>
      <c r="HB26" s="204"/>
      <c r="HC26" s="189">
        <f t="shared" si="44"/>
        <v>0</v>
      </c>
      <c r="HD26" s="189">
        <f t="shared" si="45"/>
        <v>0</v>
      </c>
      <c r="HE26" s="189">
        <f t="shared" si="150"/>
        <v>0</v>
      </c>
      <c r="HF26" s="189">
        <f t="shared" si="151"/>
        <v>0</v>
      </c>
      <c r="HG26" s="189">
        <f t="shared" si="152"/>
        <v>0</v>
      </c>
      <c r="HH26" s="201" t="str">
        <f t="shared" si="46"/>
        <v>TIDAK KONSINYASI</v>
      </c>
      <c r="HI26" s="201" t="str">
        <f t="shared" si="153"/>
        <v>SELESAI</v>
      </c>
      <c r="HJ26" s="205"/>
      <c r="HK26" s="201">
        <f t="shared" si="47"/>
        <v>0</v>
      </c>
      <c r="HL26" s="204"/>
      <c r="HM26" s="204"/>
      <c r="HN26" s="204"/>
      <c r="HO26" s="204"/>
      <c r="HP26" s="203">
        <f t="shared" si="154"/>
        <v>0</v>
      </c>
      <c r="HQ26" s="202">
        <f t="shared" si="155"/>
        <v>0</v>
      </c>
      <c r="HR26" s="202">
        <f t="shared" si="48"/>
        <v>0</v>
      </c>
      <c r="HS26" s="203">
        <f t="shared" si="156"/>
        <v>0</v>
      </c>
      <c r="HT26" s="202">
        <f t="shared" si="157"/>
        <v>0</v>
      </c>
      <c r="HU26" s="202">
        <f t="shared" si="49"/>
        <v>0</v>
      </c>
      <c r="HV26" s="203">
        <f t="shared" si="158"/>
        <v>0</v>
      </c>
      <c r="HW26" s="202">
        <f t="shared" si="50"/>
        <v>0</v>
      </c>
      <c r="HX26" s="202">
        <f t="shared" si="51"/>
        <v>0</v>
      </c>
      <c r="HY26" s="203">
        <f t="shared" si="52"/>
        <v>0</v>
      </c>
      <c r="HZ26" s="202">
        <f t="shared" si="159"/>
        <v>0</v>
      </c>
      <c r="IA26" s="202">
        <f t="shared" si="53"/>
        <v>0</v>
      </c>
      <c r="IB26" s="203">
        <f t="shared" si="160"/>
        <v>0</v>
      </c>
      <c r="IC26" s="202">
        <f t="shared" si="54"/>
        <v>0</v>
      </c>
      <c r="ID26" s="202">
        <f t="shared" si="55"/>
        <v>0</v>
      </c>
      <c r="IE26" s="203">
        <f t="shared" si="56"/>
        <v>0</v>
      </c>
      <c r="IF26" s="202">
        <f t="shared" si="57"/>
        <v>0</v>
      </c>
      <c r="IG26" s="202">
        <f t="shared" si="58"/>
        <v>0</v>
      </c>
      <c r="IH26" s="203">
        <f t="shared" si="161"/>
        <v>0</v>
      </c>
      <c r="II26" s="202">
        <f t="shared" si="162"/>
        <v>0</v>
      </c>
      <c r="IJ26" s="202">
        <f t="shared" si="59"/>
        <v>0</v>
      </c>
      <c r="IK26" s="203">
        <f t="shared" si="60"/>
        <v>0</v>
      </c>
      <c r="IL26" s="202">
        <f t="shared" si="61"/>
        <v>0</v>
      </c>
      <c r="IM26" s="202">
        <f t="shared" si="62"/>
        <v>0</v>
      </c>
      <c r="IN26" s="204"/>
      <c r="IO26" s="203">
        <f t="shared" si="63"/>
        <v>0</v>
      </c>
      <c r="IP26" s="202">
        <f t="shared" si="64"/>
        <v>0</v>
      </c>
      <c r="IQ26" s="202">
        <f t="shared" si="65"/>
        <v>0</v>
      </c>
      <c r="IR26" s="204"/>
      <c r="IS26" s="203"/>
      <c r="IT26" s="202">
        <f t="shared" si="66"/>
        <v>1</v>
      </c>
      <c r="IU26" s="202">
        <f t="shared" si="67"/>
        <v>2</v>
      </c>
      <c r="IV26" s="204"/>
      <c r="IW26" s="203"/>
      <c r="IX26" s="202">
        <f t="shared" si="68"/>
        <v>0</v>
      </c>
      <c r="IY26" s="202">
        <f t="shared" si="69"/>
        <v>0</v>
      </c>
      <c r="IZ26" s="204"/>
      <c r="JA26" s="203"/>
      <c r="JB26" s="202">
        <f t="shared" si="70"/>
        <v>0</v>
      </c>
      <c r="JC26" s="202">
        <f t="shared" si="71"/>
        <v>0</v>
      </c>
      <c r="JD26" s="204"/>
      <c r="JE26" s="203"/>
      <c r="JF26" s="202">
        <f t="shared" si="163"/>
        <v>1</v>
      </c>
      <c r="JG26" s="202">
        <f t="shared" si="72"/>
        <v>2</v>
      </c>
      <c r="JH26" s="204"/>
      <c r="JI26" s="203"/>
      <c r="JJ26" s="202">
        <f t="shared" si="73"/>
        <v>0</v>
      </c>
      <c r="JK26" s="202">
        <f t="shared" si="74"/>
        <v>0</v>
      </c>
      <c r="JL26" s="195"/>
      <c r="JM26" s="203">
        <f t="shared" si="164"/>
        <v>0</v>
      </c>
      <c r="JN26" s="195"/>
      <c r="JO26" s="196">
        <f t="shared" si="75"/>
        <v>0</v>
      </c>
      <c r="JP26" s="206">
        <f t="shared" si="76"/>
        <v>0</v>
      </c>
      <c r="JQ26" s="206">
        <f t="shared" si="77"/>
        <v>0</v>
      </c>
      <c r="JR26" s="206">
        <f t="shared" si="78"/>
        <v>0</v>
      </c>
      <c r="JS26" s="206">
        <f t="shared" si="79"/>
        <v>0</v>
      </c>
      <c r="JT26" s="206">
        <f t="shared" si="80"/>
        <v>0</v>
      </c>
      <c r="JU26" s="206">
        <f t="shared" si="81"/>
        <v>0</v>
      </c>
      <c r="JV26" s="206">
        <f t="shared" si="82"/>
        <v>0</v>
      </c>
      <c r="JW26" s="206">
        <f t="shared" si="83"/>
        <v>0</v>
      </c>
      <c r="JX26" s="206">
        <f t="shared" si="84"/>
        <v>0</v>
      </c>
      <c r="JY26" s="206">
        <f t="shared" si="85"/>
        <v>0</v>
      </c>
      <c r="JZ26" s="206">
        <f t="shared" si="86"/>
        <v>0</v>
      </c>
      <c r="KA26" s="206">
        <f t="shared" si="87"/>
        <v>0</v>
      </c>
      <c r="KB26" s="206">
        <f t="shared" si="88"/>
        <v>0</v>
      </c>
      <c r="KC26" s="195"/>
      <c r="KD26" s="206">
        <f t="shared" si="165"/>
        <v>0</v>
      </c>
      <c r="KE26" s="206">
        <f t="shared" si="90"/>
        <v>0</v>
      </c>
      <c r="KF26" s="206">
        <f t="shared" si="91"/>
        <v>0</v>
      </c>
      <c r="KG26" s="206">
        <f t="shared" si="92"/>
        <v>0</v>
      </c>
      <c r="KH26" s="206">
        <f t="shared" si="93"/>
        <v>0</v>
      </c>
      <c r="KI26" s="206">
        <f t="shared" si="94"/>
        <v>0</v>
      </c>
      <c r="KJ26" s="206">
        <f t="shared" si="95"/>
        <v>0</v>
      </c>
      <c r="KK26" s="206">
        <f t="shared" si="96"/>
        <v>0</v>
      </c>
      <c r="KL26" s="206">
        <f t="shared" si="97"/>
        <v>0</v>
      </c>
      <c r="KM26" s="206">
        <f t="shared" si="98"/>
        <v>0</v>
      </c>
      <c r="KN26" s="221">
        <f t="shared" si="99"/>
        <v>0</v>
      </c>
      <c r="KO26" s="221">
        <f t="shared" si="100"/>
        <v>0</v>
      </c>
      <c r="KP26" s="221">
        <f t="shared" si="101"/>
        <v>0</v>
      </c>
      <c r="KQ26" s="221">
        <f t="shared" si="102"/>
        <v>0</v>
      </c>
      <c r="KR26" s="221">
        <f t="shared" si="103"/>
        <v>0</v>
      </c>
      <c r="KS26" s="195"/>
      <c r="KT26" s="195">
        <f t="shared" si="104"/>
        <v>0</v>
      </c>
      <c r="KU26" s="221"/>
      <c r="KV26" s="221"/>
      <c r="KW26" s="221"/>
      <c r="KX26" s="221"/>
      <c r="KY26" s="221"/>
      <c r="KZ26" s="221"/>
      <c r="LA26" s="221"/>
      <c r="LB26" s="221"/>
      <c r="LC26" s="221"/>
      <c r="LD26" s="221"/>
      <c r="LE26" s="221"/>
      <c r="LF26" s="221"/>
      <c r="LG26" s="221"/>
      <c r="LH26" s="221"/>
      <c r="LI26" s="221"/>
      <c r="LJ26" s="221"/>
      <c r="LK26" s="221"/>
      <c r="LL26" s="221"/>
      <c r="LM26" s="221"/>
      <c r="LN26" s="221"/>
      <c r="LO26" s="221"/>
      <c r="LP26" s="221"/>
      <c r="LQ26" s="221"/>
      <c r="LR26" s="221"/>
      <c r="LS26" s="221"/>
      <c r="LT26" s="221"/>
      <c r="LU26" s="221"/>
      <c r="LV26" s="221"/>
      <c r="LW26" s="221"/>
      <c r="LX26" s="221"/>
      <c r="LY26" s="221"/>
      <c r="LZ26" s="221"/>
      <c r="MA26" s="221"/>
      <c r="MB26" s="221"/>
      <c r="MC26" s="221"/>
      <c r="MD26" s="221"/>
      <c r="ME26" s="221"/>
      <c r="MF26" s="221"/>
      <c r="MG26" s="221"/>
      <c r="MH26" s="221"/>
      <c r="MI26" s="221"/>
      <c r="MJ26" s="221"/>
      <c r="MK26" s="221"/>
      <c r="ML26" s="221"/>
      <c r="MM26" s="221"/>
      <c r="MN26" s="221"/>
      <c r="MO26" s="221"/>
      <c r="MP26" s="221"/>
      <c r="MQ26" s="221"/>
      <c r="MR26" s="221"/>
      <c r="MS26" s="221"/>
      <c r="MT26" s="221"/>
      <c r="MU26" s="221"/>
      <c r="MV26" s="221"/>
      <c r="MW26" s="221"/>
      <c r="MX26" s="221"/>
      <c r="MY26" s="221"/>
      <c r="MZ26" s="221"/>
      <c r="NA26" s="221"/>
      <c r="NB26" s="221"/>
      <c r="NC26" s="221"/>
      <c r="ND26" s="221"/>
      <c r="NE26" s="221"/>
      <c r="NF26" s="221"/>
      <c r="NG26" s="221"/>
      <c r="NH26" s="221"/>
      <c r="NI26" s="221"/>
      <c r="NJ26" s="221"/>
      <c r="NK26" s="221"/>
      <c r="NL26" s="195"/>
      <c r="NM26" s="195">
        <f t="shared" si="166"/>
        <v>0</v>
      </c>
      <c r="NN26" s="195">
        <f t="shared" si="167"/>
        <v>0</v>
      </c>
      <c r="NO26" s="195">
        <f t="shared" si="168"/>
        <v>0</v>
      </c>
      <c r="NP26" s="195">
        <f t="shared" si="169"/>
        <v>0</v>
      </c>
      <c r="NQ26" s="195">
        <f t="shared" si="170"/>
        <v>0</v>
      </c>
      <c r="NR26" s="195">
        <f t="shared" si="171"/>
        <v>0</v>
      </c>
      <c r="NS26" s="195">
        <f t="shared" si="172"/>
        <v>0</v>
      </c>
      <c r="NT26" s="195">
        <f t="shared" si="173"/>
        <v>0</v>
      </c>
      <c r="NU26" s="196">
        <f t="shared" si="174"/>
        <v>0</v>
      </c>
      <c r="NV26" s="195"/>
      <c r="NW26" s="195"/>
      <c r="NX26" s="195"/>
      <c r="NY26" s="196">
        <f t="shared" si="106"/>
        <v>1</v>
      </c>
      <c r="NZ26" s="222">
        <f>16160200/2</f>
        <v>8080100</v>
      </c>
      <c r="OA26" s="195"/>
      <c r="OB26" s="195"/>
      <c r="OC26" s="195"/>
      <c r="OD26" s="195"/>
      <c r="OE26" s="207">
        <f t="shared" si="107"/>
        <v>0</v>
      </c>
      <c r="OF26" s="207">
        <f t="shared" si="108"/>
        <v>0</v>
      </c>
      <c r="OG26" s="207">
        <f t="shared" si="109"/>
        <v>0</v>
      </c>
      <c r="OH26" s="207">
        <f t="shared" si="175"/>
        <v>0</v>
      </c>
      <c r="OI26" s="207">
        <f t="shared" si="110"/>
        <v>0</v>
      </c>
      <c r="OJ26" s="199">
        <f t="shared" si="176"/>
        <v>0</v>
      </c>
      <c r="OK26" s="199">
        <f t="shared" si="177"/>
        <v>0</v>
      </c>
      <c r="OL26" s="199">
        <f t="shared" si="178"/>
        <v>0</v>
      </c>
      <c r="OM26" s="199">
        <f t="shared" si="179"/>
        <v>0</v>
      </c>
      <c r="ON26" s="195"/>
      <c r="OO26" s="207">
        <f t="shared" si="111"/>
        <v>0</v>
      </c>
      <c r="OP26" s="207">
        <f t="shared" si="112"/>
        <v>0</v>
      </c>
      <c r="OQ26" s="207">
        <f t="shared" si="180"/>
        <v>0</v>
      </c>
      <c r="OR26" s="207">
        <f t="shared" si="181"/>
        <v>0</v>
      </c>
      <c r="OS26" s="207">
        <f t="shared" si="182"/>
        <v>0</v>
      </c>
      <c r="OT26" s="199">
        <f t="shared" si="183"/>
        <v>0</v>
      </c>
      <c r="OU26" s="199">
        <f t="shared" si="184"/>
        <v>0</v>
      </c>
      <c r="OV26" s="199">
        <f t="shared" si="185"/>
        <v>0</v>
      </c>
      <c r="OW26" s="199">
        <f t="shared" si="186"/>
        <v>0</v>
      </c>
      <c r="OX26" s="195"/>
      <c r="OY26" s="195"/>
      <c r="OZ26" s="195"/>
      <c r="PA26" s="209"/>
      <c r="PB26" s="209"/>
      <c r="PC26" s="209"/>
      <c r="PD26" s="210">
        <f t="shared" si="113"/>
        <v>0</v>
      </c>
      <c r="PE26" s="210"/>
      <c r="PF26" s="210">
        <f t="shared" si="114"/>
        <v>0</v>
      </c>
      <c r="PG26" s="210">
        <f t="shared" si="115"/>
        <v>0</v>
      </c>
      <c r="PH26" s="210">
        <f t="shared" si="115"/>
        <v>0</v>
      </c>
      <c r="PI26" s="210">
        <f t="shared" si="115"/>
        <v>0</v>
      </c>
      <c r="PJ26" s="210">
        <f t="shared" si="115"/>
        <v>0</v>
      </c>
      <c r="PK26" s="210">
        <f t="shared" si="115"/>
        <v>0</v>
      </c>
      <c r="PL26" s="210">
        <f t="shared" si="115"/>
        <v>0</v>
      </c>
      <c r="PM26" s="195"/>
      <c r="PN26" s="195"/>
      <c r="PO26" s="212">
        <f t="shared" si="187"/>
        <v>0</v>
      </c>
      <c r="PP26" s="212">
        <f t="shared" si="188"/>
        <v>0</v>
      </c>
      <c r="PQ26" s="212">
        <f t="shared" si="189"/>
        <v>0</v>
      </c>
    </row>
    <row r="27" spans="1:433" ht="16" x14ac:dyDescent="0.2">
      <c r="A27" s="213">
        <f t="shared" si="190"/>
        <v>19</v>
      </c>
      <c r="B27" s="186" t="s">
        <v>105</v>
      </c>
      <c r="C27" s="186">
        <v>19</v>
      </c>
      <c r="D27" s="188">
        <v>1</v>
      </c>
      <c r="E27" s="188">
        <v>243</v>
      </c>
      <c r="F27" s="188">
        <v>1</v>
      </c>
      <c r="G27" s="188">
        <f t="shared" si="116"/>
        <v>243</v>
      </c>
      <c r="H27" s="214">
        <f t="shared" si="2"/>
        <v>1</v>
      </c>
      <c r="I27" s="214">
        <f t="shared" si="3"/>
        <v>1</v>
      </c>
      <c r="J27" s="188">
        <v>1</v>
      </c>
      <c r="K27" s="188">
        <f t="shared" si="4"/>
        <v>243</v>
      </c>
      <c r="L27" s="214">
        <f t="shared" si="5"/>
        <v>1</v>
      </c>
      <c r="M27" s="214">
        <f t="shared" si="6"/>
        <v>1</v>
      </c>
      <c r="N27" s="188">
        <v>1</v>
      </c>
      <c r="O27" s="188">
        <f t="shared" si="7"/>
        <v>243</v>
      </c>
      <c r="P27" s="214">
        <f t="shared" si="8"/>
        <v>1</v>
      </c>
      <c r="Q27" s="214">
        <f t="shared" si="9"/>
        <v>1</v>
      </c>
      <c r="R27" s="188">
        <v>1</v>
      </c>
      <c r="S27" s="188">
        <f t="shared" si="117"/>
        <v>243</v>
      </c>
      <c r="T27" s="214">
        <f t="shared" si="118"/>
        <v>1</v>
      </c>
      <c r="U27" s="214">
        <f t="shared" si="119"/>
        <v>1</v>
      </c>
      <c r="V27" s="188">
        <v>1</v>
      </c>
      <c r="W27" s="188">
        <f t="shared" si="10"/>
        <v>243</v>
      </c>
      <c r="X27" s="214">
        <f t="shared" si="11"/>
        <v>1</v>
      </c>
      <c r="Y27" s="214">
        <f t="shared" si="12"/>
        <v>1</v>
      </c>
      <c r="Z27" s="224">
        <f>4336442000/1000000000</f>
        <v>4.3364419999999999</v>
      </c>
      <c r="AA27" s="188"/>
      <c r="AB27" s="189">
        <f t="shared" si="120"/>
        <v>0</v>
      </c>
      <c r="AC27" s="250">
        <f t="shared" si="121"/>
        <v>0</v>
      </c>
      <c r="AD27" s="250">
        <f t="shared" si="122"/>
        <v>0</v>
      </c>
      <c r="AE27" s="188"/>
      <c r="AF27" s="188">
        <f t="shared" si="15"/>
        <v>0</v>
      </c>
      <c r="AG27" s="187"/>
      <c r="AH27" s="187"/>
      <c r="AI27" s="188">
        <v>0</v>
      </c>
      <c r="AJ27" s="188">
        <f t="shared" si="16"/>
        <v>0</v>
      </c>
      <c r="AK27" s="188"/>
      <c r="AL27" s="188">
        <v>0</v>
      </c>
      <c r="AM27" s="188">
        <v>0</v>
      </c>
      <c r="AN27" s="217"/>
      <c r="AO27" s="196">
        <f t="shared" si="123"/>
        <v>0</v>
      </c>
      <c r="AP27" s="195"/>
      <c r="AQ27" s="195"/>
      <c r="AR27" s="195"/>
      <c r="AS27" s="195"/>
      <c r="AT27" s="195"/>
      <c r="AU27" s="195"/>
      <c r="AV27" s="195"/>
      <c r="AW27" s="195"/>
      <c r="AX27" s="195"/>
      <c r="AY27" s="195"/>
      <c r="AZ27" s="195"/>
      <c r="BA27" s="195"/>
      <c r="BB27" s="188">
        <f t="shared" si="17"/>
        <v>0</v>
      </c>
      <c r="BC27" s="195"/>
      <c r="BD27" s="196"/>
      <c r="BE27" s="188">
        <f t="shared" si="18"/>
        <v>0</v>
      </c>
      <c r="BF27" s="188">
        <f t="shared" si="19"/>
        <v>0</v>
      </c>
      <c r="BG27" s="188">
        <f t="shared" si="20"/>
        <v>0</v>
      </c>
      <c r="BH27" s="188">
        <f t="shared" si="21"/>
        <v>0</v>
      </c>
      <c r="BI27" s="188">
        <f t="shared" si="22"/>
        <v>0</v>
      </c>
      <c r="BJ27" s="188">
        <f t="shared" si="23"/>
        <v>0</v>
      </c>
      <c r="BK27" s="188">
        <f t="shared" si="124"/>
        <v>0</v>
      </c>
      <c r="BL27" s="195"/>
      <c r="BM27" s="195"/>
      <c r="BN27" s="277">
        <v>45</v>
      </c>
      <c r="BO27" s="283">
        <v>1</v>
      </c>
      <c r="BP27" s="188"/>
      <c r="BQ27" s="188"/>
      <c r="BR27" s="188"/>
      <c r="BS27" s="188"/>
      <c r="BT27" s="188"/>
      <c r="BU27" s="188"/>
      <c r="BV27" s="188"/>
      <c r="BW27" s="188"/>
      <c r="BX27" s="188"/>
      <c r="BY27" s="188"/>
      <c r="BZ27" s="188"/>
      <c r="CA27" s="195"/>
      <c r="CB27" s="189">
        <v>0</v>
      </c>
      <c r="CC27" s="195"/>
      <c r="CD27" s="189">
        <f t="shared" si="125"/>
        <v>45</v>
      </c>
      <c r="CE27" s="189">
        <f t="shared" si="191"/>
        <v>45</v>
      </c>
      <c r="CF27" s="189">
        <f t="shared" si="126"/>
        <v>0</v>
      </c>
      <c r="CG27" s="189">
        <f t="shared" si="127"/>
        <v>0</v>
      </c>
      <c r="CH27" s="189">
        <f t="shared" si="128"/>
        <v>0</v>
      </c>
      <c r="CI27" s="189">
        <f t="shared" si="129"/>
        <v>0</v>
      </c>
      <c r="CJ27" s="189">
        <f t="shared" si="130"/>
        <v>0</v>
      </c>
      <c r="CK27" s="189">
        <f t="shared" si="131"/>
        <v>0</v>
      </c>
      <c r="CL27" s="189">
        <f t="shared" si="132"/>
        <v>0</v>
      </c>
      <c r="CM27" s="189">
        <f t="shared" si="133"/>
        <v>0</v>
      </c>
      <c r="CN27" s="189">
        <f t="shared" si="134"/>
        <v>0</v>
      </c>
      <c r="CO27" s="189">
        <f t="shared" si="135"/>
        <v>0</v>
      </c>
      <c r="CP27" s="189">
        <f t="shared" si="136"/>
        <v>0</v>
      </c>
      <c r="CQ27" s="195"/>
      <c r="CR27" s="195"/>
      <c r="CS27" s="195"/>
      <c r="CT27" s="195"/>
      <c r="CU27" s="195"/>
      <c r="CV27" s="195"/>
      <c r="CW27" s="195"/>
      <c r="CX27" s="195"/>
      <c r="CY27" s="195"/>
      <c r="CZ27" s="195"/>
      <c r="DA27" s="195"/>
      <c r="DB27" s="195"/>
      <c r="DC27" s="195"/>
      <c r="DD27" s="195"/>
      <c r="DE27" s="195"/>
      <c r="DF27" s="195"/>
      <c r="DG27" s="195"/>
      <c r="DH27" s="195"/>
      <c r="DI27" s="195"/>
      <c r="DJ27" s="195"/>
      <c r="DK27" s="195"/>
      <c r="DL27" s="195"/>
      <c r="DM27" s="195"/>
      <c r="DN27" s="195"/>
      <c r="DO27" s="195"/>
      <c r="DP27" s="195"/>
      <c r="DQ27" s="195"/>
      <c r="DR27" s="195"/>
      <c r="DS27" s="195"/>
      <c r="DT27" s="195"/>
      <c r="DU27" s="195"/>
      <c r="DV27" s="189">
        <f t="shared" si="26"/>
        <v>0</v>
      </c>
      <c r="DW27" s="189">
        <f t="shared" si="27"/>
        <v>0</v>
      </c>
      <c r="DX27" s="189">
        <f t="shared" si="28"/>
        <v>0</v>
      </c>
      <c r="DY27" s="189">
        <f t="shared" si="29"/>
        <v>0</v>
      </c>
      <c r="DZ27" s="189">
        <f t="shared" si="30"/>
        <v>0</v>
      </c>
      <c r="EA27" s="189">
        <f t="shared" si="31"/>
        <v>0</v>
      </c>
      <c r="EB27" s="189">
        <f t="shared" si="137"/>
        <v>0</v>
      </c>
      <c r="EC27" s="195"/>
      <c r="ED27" s="195"/>
      <c r="EE27" s="195"/>
      <c r="EF27" s="195"/>
      <c r="EG27" s="252">
        <f t="shared" si="138"/>
        <v>0</v>
      </c>
      <c r="EH27" s="252">
        <f t="shared" si="139"/>
        <v>0</v>
      </c>
      <c r="EI27" s="189"/>
      <c r="EJ27" s="189"/>
      <c r="EK27" s="189"/>
      <c r="EL27" s="189"/>
      <c r="EM27" s="189"/>
      <c r="EN27" s="189"/>
      <c r="EO27" s="189"/>
      <c r="EP27" s="189"/>
      <c r="EQ27" s="189"/>
      <c r="ER27" s="189"/>
      <c r="ES27" s="189"/>
      <c r="ET27" s="189"/>
      <c r="EU27" s="189"/>
      <c r="EV27" s="189"/>
      <c r="EW27" s="189"/>
      <c r="EX27" s="189"/>
      <c r="EY27" s="189"/>
      <c r="EZ27" s="189"/>
      <c r="FA27" s="189"/>
      <c r="FB27" s="189"/>
      <c r="FC27" s="189"/>
      <c r="FD27" s="189"/>
      <c r="FE27" s="189"/>
      <c r="FF27" s="189"/>
      <c r="FG27" s="195"/>
      <c r="FH27" s="189"/>
      <c r="FI27" s="189"/>
      <c r="FJ27" s="189"/>
      <c r="FK27" s="189"/>
      <c r="FL27" s="189"/>
      <c r="FM27" s="189"/>
      <c r="FN27" s="189"/>
      <c r="FO27" s="189"/>
      <c r="FP27" s="189"/>
      <c r="FQ27" s="189"/>
      <c r="FR27" s="189"/>
      <c r="FS27" s="189"/>
      <c r="FT27" s="189"/>
      <c r="FU27" s="189"/>
      <c r="FV27" s="189"/>
      <c r="FW27" s="195"/>
      <c r="FX27" s="253">
        <v>1</v>
      </c>
      <c r="FY27" s="189">
        <f t="shared" si="140"/>
        <v>45</v>
      </c>
      <c r="FZ27" s="189">
        <f t="shared" si="33"/>
        <v>45</v>
      </c>
      <c r="GA27" s="189">
        <f t="shared" si="34"/>
        <v>0</v>
      </c>
      <c r="GB27" s="189">
        <f t="shared" si="35"/>
        <v>0</v>
      </c>
      <c r="GC27" s="189">
        <f t="shared" si="36"/>
        <v>0</v>
      </c>
      <c r="GD27" s="189">
        <f t="shared" si="37"/>
        <v>0</v>
      </c>
      <c r="GE27" s="189">
        <f t="shared" si="38"/>
        <v>0</v>
      </c>
      <c r="GF27" s="199"/>
      <c r="GG27" s="189">
        <v>0</v>
      </c>
      <c r="GH27" s="189">
        <v>0</v>
      </c>
      <c r="GI27" s="199"/>
      <c r="GJ27" s="200">
        <f t="shared" si="141"/>
        <v>0</v>
      </c>
      <c r="GK27" s="200">
        <f t="shared" si="142"/>
        <v>0</v>
      </c>
      <c r="GL27" s="195"/>
      <c r="GM27" s="195"/>
      <c r="GN27" s="195"/>
      <c r="GO27" s="189">
        <f t="shared" si="39"/>
        <v>0</v>
      </c>
      <c r="GP27" s="189">
        <f t="shared" si="40"/>
        <v>0</v>
      </c>
      <c r="GQ27" s="189">
        <f t="shared" si="41"/>
        <v>0</v>
      </c>
      <c r="GR27" s="189">
        <f t="shared" si="42"/>
        <v>0</v>
      </c>
      <c r="GS27" s="189">
        <f t="shared" si="43"/>
        <v>0</v>
      </c>
      <c r="GT27" s="189">
        <f t="shared" si="143"/>
        <v>1</v>
      </c>
      <c r="GU27" s="201">
        <f t="shared" si="144"/>
        <v>43243</v>
      </c>
      <c r="GV27" s="189" t="str">
        <f t="shared" si="145"/>
        <v>SELESAI</v>
      </c>
      <c r="GW27" s="189">
        <f t="shared" si="146"/>
        <v>0</v>
      </c>
      <c r="GX27" s="202" t="str">
        <f t="shared" si="147"/>
        <v>SELESAI</v>
      </c>
      <c r="GY27" s="202">
        <f t="shared" si="148"/>
        <v>0</v>
      </c>
      <c r="GZ27" s="203" t="str">
        <f t="shared" si="149"/>
        <v>SELESAI</v>
      </c>
      <c r="HA27" s="204"/>
      <c r="HB27" s="204"/>
      <c r="HC27" s="189">
        <f t="shared" si="44"/>
        <v>0</v>
      </c>
      <c r="HD27" s="189">
        <f t="shared" si="45"/>
        <v>0</v>
      </c>
      <c r="HE27" s="189">
        <f t="shared" si="150"/>
        <v>0</v>
      </c>
      <c r="HF27" s="189">
        <f t="shared" si="151"/>
        <v>0</v>
      </c>
      <c r="HG27" s="189">
        <f t="shared" si="152"/>
        <v>0</v>
      </c>
      <c r="HH27" s="201" t="str">
        <f t="shared" si="46"/>
        <v>TIDAK KONSINYASI</v>
      </c>
      <c r="HI27" s="201" t="str">
        <f t="shared" si="153"/>
        <v>SELESAI</v>
      </c>
      <c r="HJ27" s="205"/>
      <c r="HK27" s="201">
        <f t="shared" si="47"/>
        <v>0</v>
      </c>
      <c r="HL27" s="204"/>
      <c r="HM27" s="204"/>
      <c r="HN27" s="204"/>
      <c r="HO27" s="204"/>
      <c r="HP27" s="203">
        <f t="shared" si="154"/>
        <v>0</v>
      </c>
      <c r="HQ27" s="202">
        <f t="shared" si="155"/>
        <v>0</v>
      </c>
      <c r="HR27" s="202">
        <f t="shared" si="48"/>
        <v>0</v>
      </c>
      <c r="HS27" s="203">
        <f t="shared" si="156"/>
        <v>0</v>
      </c>
      <c r="HT27" s="202">
        <f t="shared" si="157"/>
        <v>0</v>
      </c>
      <c r="HU27" s="202">
        <f t="shared" si="49"/>
        <v>0</v>
      </c>
      <c r="HV27" s="203">
        <f t="shared" si="158"/>
        <v>0</v>
      </c>
      <c r="HW27" s="202">
        <f t="shared" si="50"/>
        <v>0</v>
      </c>
      <c r="HX27" s="202">
        <f t="shared" si="51"/>
        <v>0</v>
      </c>
      <c r="HY27" s="203">
        <f t="shared" si="52"/>
        <v>0</v>
      </c>
      <c r="HZ27" s="202">
        <f t="shared" si="159"/>
        <v>0</v>
      </c>
      <c r="IA27" s="202">
        <f t="shared" si="53"/>
        <v>0</v>
      </c>
      <c r="IB27" s="203">
        <f t="shared" si="160"/>
        <v>0</v>
      </c>
      <c r="IC27" s="202">
        <f t="shared" si="54"/>
        <v>0</v>
      </c>
      <c r="ID27" s="202">
        <f t="shared" si="55"/>
        <v>0</v>
      </c>
      <c r="IE27" s="203">
        <f t="shared" si="56"/>
        <v>0</v>
      </c>
      <c r="IF27" s="202">
        <f t="shared" si="57"/>
        <v>0</v>
      </c>
      <c r="IG27" s="202">
        <f t="shared" si="58"/>
        <v>0</v>
      </c>
      <c r="IH27" s="203">
        <f t="shared" si="161"/>
        <v>0</v>
      </c>
      <c r="II27" s="202">
        <f t="shared" si="162"/>
        <v>0</v>
      </c>
      <c r="IJ27" s="202">
        <f t="shared" si="59"/>
        <v>0</v>
      </c>
      <c r="IK27" s="203">
        <f t="shared" si="60"/>
        <v>0</v>
      </c>
      <c r="IL27" s="202">
        <f t="shared" si="61"/>
        <v>0</v>
      </c>
      <c r="IM27" s="202">
        <f t="shared" si="62"/>
        <v>0</v>
      </c>
      <c r="IN27" s="204"/>
      <c r="IO27" s="203">
        <f t="shared" si="63"/>
        <v>0</v>
      </c>
      <c r="IP27" s="202">
        <f t="shared" si="64"/>
        <v>0</v>
      </c>
      <c r="IQ27" s="202">
        <f t="shared" si="65"/>
        <v>0</v>
      </c>
      <c r="IR27" s="204"/>
      <c r="IS27" s="203"/>
      <c r="IT27" s="202">
        <f t="shared" si="66"/>
        <v>1</v>
      </c>
      <c r="IU27" s="202">
        <f t="shared" si="67"/>
        <v>243</v>
      </c>
      <c r="IV27" s="204"/>
      <c r="IW27" s="203"/>
      <c r="IX27" s="202">
        <f t="shared" si="68"/>
        <v>0</v>
      </c>
      <c r="IY27" s="202">
        <f t="shared" si="69"/>
        <v>0</v>
      </c>
      <c r="IZ27" s="204"/>
      <c r="JA27" s="203"/>
      <c r="JB27" s="202">
        <f t="shared" si="70"/>
        <v>0</v>
      </c>
      <c r="JC27" s="202">
        <f t="shared" si="71"/>
        <v>0</v>
      </c>
      <c r="JD27" s="204"/>
      <c r="JE27" s="203"/>
      <c r="JF27" s="202">
        <f t="shared" si="163"/>
        <v>1</v>
      </c>
      <c r="JG27" s="202">
        <f t="shared" si="72"/>
        <v>243</v>
      </c>
      <c r="JH27" s="204"/>
      <c r="JI27" s="203"/>
      <c r="JJ27" s="202">
        <f t="shared" si="73"/>
        <v>0</v>
      </c>
      <c r="JK27" s="202">
        <f t="shared" si="74"/>
        <v>0</v>
      </c>
      <c r="JL27" s="195"/>
      <c r="JM27" s="203">
        <f t="shared" si="164"/>
        <v>0</v>
      </c>
      <c r="JN27" s="195"/>
      <c r="JO27" s="196">
        <f t="shared" si="75"/>
        <v>1</v>
      </c>
      <c r="JP27" s="206">
        <f t="shared" si="76"/>
        <v>45</v>
      </c>
      <c r="JQ27" s="206">
        <f t="shared" si="77"/>
        <v>1</v>
      </c>
      <c r="JR27" s="206">
        <f t="shared" si="78"/>
        <v>0</v>
      </c>
      <c r="JS27" s="206">
        <f t="shared" si="79"/>
        <v>0</v>
      </c>
      <c r="JT27" s="206">
        <f t="shared" si="80"/>
        <v>0</v>
      </c>
      <c r="JU27" s="206">
        <f t="shared" si="81"/>
        <v>0</v>
      </c>
      <c r="JV27" s="206">
        <f t="shared" si="82"/>
        <v>0</v>
      </c>
      <c r="JW27" s="206">
        <f t="shared" si="83"/>
        <v>0</v>
      </c>
      <c r="JX27" s="206">
        <f t="shared" si="84"/>
        <v>0</v>
      </c>
      <c r="JY27" s="206">
        <f t="shared" si="85"/>
        <v>0</v>
      </c>
      <c r="JZ27" s="206">
        <f t="shared" si="86"/>
        <v>0</v>
      </c>
      <c r="KA27" s="206">
        <f t="shared" si="87"/>
        <v>0</v>
      </c>
      <c r="KB27" s="206">
        <f t="shared" si="88"/>
        <v>0</v>
      </c>
      <c r="KC27" s="195"/>
      <c r="KD27" s="206">
        <f t="shared" si="165"/>
        <v>0</v>
      </c>
      <c r="KE27" s="206">
        <f t="shared" si="90"/>
        <v>0</v>
      </c>
      <c r="KF27" s="206">
        <f t="shared" si="91"/>
        <v>45</v>
      </c>
      <c r="KG27" s="206">
        <f t="shared" si="92"/>
        <v>45</v>
      </c>
      <c r="KH27" s="206">
        <f t="shared" si="93"/>
        <v>0</v>
      </c>
      <c r="KI27" s="206">
        <f t="shared" si="94"/>
        <v>0</v>
      </c>
      <c r="KJ27" s="206">
        <f t="shared" si="95"/>
        <v>0</v>
      </c>
      <c r="KK27" s="206">
        <f t="shared" si="96"/>
        <v>0</v>
      </c>
      <c r="KL27" s="206">
        <f t="shared" si="97"/>
        <v>0</v>
      </c>
      <c r="KM27" s="206">
        <f t="shared" si="98"/>
        <v>0</v>
      </c>
      <c r="KN27" s="221">
        <f t="shared" si="99"/>
        <v>0</v>
      </c>
      <c r="KO27" s="221">
        <f t="shared" si="100"/>
        <v>0</v>
      </c>
      <c r="KP27" s="221">
        <f t="shared" si="101"/>
        <v>0</v>
      </c>
      <c r="KQ27" s="221">
        <f t="shared" si="102"/>
        <v>0</v>
      </c>
      <c r="KR27" s="221">
        <f t="shared" si="103"/>
        <v>0</v>
      </c>
      <c r="KS27" s="195"/>
      <c r="KT27" s="195">
        <f t="shared" si="104"/>
        <v>0</v>
      </c>
      <c r="KU27" s="221"/>
      <c r="KV27" s="221"/>
      <c r="KW27" s="221"/>
      <c r="KX27" s="221"/>
      <c r="KY27" s="221"/>
      <c r="KZ27" s="221"/>
      <c r="LA27" s="221"/>
      <c r="LB27" s="221"/>
      <c r="LC27" s="221"/>
      <c r="LD27" s="221"/>
      <c r="LE27" s="221"/>
      <c r="LF27" s="221"/>
      <c r="LG27" s="221"/>
      <c r="LH27" s="221"/>
      <c r="LI27" s="221"/>
      <c r="LJ27" s="221"/>
      <c r="LK27" s="221"/>
      <c r="LL27" s="221"/>
      <c r="LM27" s="221"/>
      <c r="LN27" s="221"/>
      <c r="LO27" s="221"/>
      <c r="LP27" s="221"/>
      <c r="LQ27" s="221"/>
      <c r="LR27" s="221"/>
      <c r="LS27" s="221"/>
      <c r="LT27" s="221"/>
      <c r="LU27" s="221"/>
      <c r="LV27" s="221"/>
      <c r="LW27" s="221"/>
      <c r="LX27" s="221"/>
      <c r="LY27" s="221"/>
      <c r="LZ27" s="221"/>
      <c r="MA27" s="221"/>
      <c r="MB27" s="221"/>
      <c r="MC27" s="221"/>
      <c r="MD27" s="221"/>
      <c r="ME27" s="221"/>
      <c r="MF27" s="221"/>
      <c r="MG27" s="221"/>
      <c r="MH27" s="221"/>
      <c r="MI27" s="221"/>
      <c r="MJ27" s="221"/>
      <c r="MK27" s="221"/>
      <c r="ML27" s="221"/>
      <c r="MM27" s="221"/>
      <c r="MN27" s="221"/>
      <c r="MO27" s="221"/>
      <c r="MP27" s="221"/>
      <c r="MQ27" s="221"/>
      <c r="MR27" s="221"/>
      <c r="MS27" s="221"/>
      <c r="MT27" s="221"/>
      <c r="MU27" s="221"/>
      <c r="MV27" s="221"/>
      <c r="MW27" s="221"/>
      <c r="MX27" s="221"/>
      <c r="MY27" s="221"/>
      <c r="MZ27" s="221"/>
      <c r="NA27" s="221"/>
      <c r="NB27" s="221"/>
      <c r="NC27" s="221"/>
      <c r="ND27" s="221"/>
      <c r="NE27" s="221"/>
      <c r="NF27" s="221"/>
      <c r="NG27" s="221"/>
      <c r="NH27" s="221"/>
      <c r="NI27" s="221"/>
      <c r="NJ27" s="221"/>
      <c r="NK27" s="221"/>
      <c r="NL27" s="195"/>
      <c r="NM27" s="195">
        <f t="shared" si="166"/>
        <v>0</v>
      </c>
      <c r="NN27" s="195">
        <f t="shared" si="167"/>
        <v>0</v>
      </c>
      <c r="NO27" s="195">
        <f t="shared" si="168"/>
        <v>0</v>
      </c>
      <c r="NP27" s="195">
        <f t="shared" si="169"/>
        <v>0</v>
      </c>
      <c r="NQ27" s="195">
        <f t="shared" si="170"/>
        <v>0</v>
      </c>
      <c r="NR27" s="195">
        <f t="shared" si="171"/>
        <v>0</v>
      </c>
      <c r="NS27" s="195">
        <f t="shared" si="172"/>
        <v>0</v>
      </c>
      <c r="NT27" s="195">
        <f t="shared" si="173"/>
        <v>0</v>
      </c>
      <c r="NU27" s="196">
        <f t="shared" si="174"/>
        <v>0</v>
      </c>
      <c r="NV27" s="195"/>
      <c r="NW27" s="195"/>
      <c r="NX27" s="195"/>
      <c r="NY27" s="196">
        <f t="shared" si="106"/>
        <v>1</v>
      </c>
      <c r="NZ27" s="222">
        <f>1599859800/198</f>
        <v>8080100</v>
      </c>
      <c r="OA27" s="195"/>
      <c r="OB27" s="195"/>
      <c r="OC27" s="195"/>
      <c r="OD27" s="195"/>
      <c r="OE27" s="207">
        <f t="shared" si="107"/>
        <v>0</v>
      </c>
      <c r="OF27" s="207">
        <f t="shared" si="108"/>
        <v>0</v>
      </c>
      <c r="OG27" s="207">
        <f t="shared" si="109"/>
        <v>0</v>
      </c>
      <c r="OH27" s="207">
        <f t="shared" si="175"/>
        <v>0</v>
      </c>
      <c r="OI27" s="207">
        <f t="shared" si="110"/>
        <v>0</v>
      </c>
      <c r="OJ27" s="199">
        <f t="shared" si="176"/>
        <v>0</v>
      </c>
      <c r="OK27" s="199">
        <f t="shared" si="177"/>
        <v>0</v>
      </c>
      <c r="OL27" s="199">
        <f t="shared" si="178"/>
        <v>0</v>
      </c>
      <c r="OM27" s="199">
        <f t="shared" si="179"/>
        <v>0</v>
      </c>
      <c r="ON27" s="195"/>
      <c r="OO27" s="207">
        <f t="shared" si="111"/>
        <v>0</v>
      </c>
      <c r="OP27" s="207">
        <f t="shared" si="112"/>
        <v>0</v>
      </c>
      <c r="OQ27" s="207">
        <f t="shared" si="180"/>
        <v>0</v>
      </c>
      <c r="OR27" s="207">
        <f t="shared" si="181"/>
        <v>0</v>
      </c>
      <c r="OS27" s="207">
        <f t="shared" si="182"/>
        <v>0</v>
      </c>
      <c r="OT27" s="199">
        <f t="shared" si="183"/>
        <v>0</v>
      </c>
      <c r="OU27" s="199">
        <f t="shared" si="184"/>
        <v>0</v>
      </c>
      <c r="OV27" s="199">
        <f t="shared" si="185"/>
        <v>0</v>
      </c>
      <c r="OW27" s="199">
        <f t="shared" si="186"/>
        <v>0</v>
      </c>
      <c r="OX27" s="195"/>
      <c r="OY27" s="195"/>
      <c r="OZ27" s="195"/>
      <c r="PA27" s="209"/>
      <c r="PB27" s="209"/>
      <c r="PC27" s="209"/>
      <c r="PD27" s="210">
        <f t="shared" si="113"/>
        <v>0</v>
      </c>
      <c r="PE27" s="210"/>
      <c r="PF27" s="210">
        <f t="shared" si="114"/>
        <v>0</v>
      </c>
      <c r="PG27" s="210">
        <f t="shared" si="115"/>
        <v>0</v>
      </c>
      <c r="PH27" s="210">
        <f t="shared" si="115"/>
        <v>0</v>
      </c>
      <c r="PI27" s="210">
        <f t="shared" si="115"/>
        <v>0</v>
      </c>
      <c r="PJ27" s="210">
        <f t="shared" si="115"/>
        <v>0</v>
      </c>
      <c r="PK27" s="210">
        <f t="shared" si="115"/>
        <v>0</v>
      </c>
      <c r="PL27" s="210">
        <f t="shared" si="115"/>
        <v>0</v>
      </c>
      <c r="PM27" s="195"/>
      <c r="PN27" s="195"/>
      <c r="PO27" s="212">
        <f t="shared" si="187"/>
        <v>0</v>
      </c>
      <c r="PP27" s="212">
        <f t="shared" si="188"/>
        <v>0</v>
      </c>
      <c r="PQ27" s="212">
        <f t="shared" si="189"/>
        <v>0</v>
      </c>
    </row>
    <row r="28" spans="1:433" ht="16" x14ac:dyDescent="0.2">
      <c r="A28" s="213">
        <f t="shared" ref="A28" si="197">A27+1</f>
        <v>20</v>
      </c>
      <c r="B28" s="186" t="s">
        <v>106</v>
      </c>
      <c r="C28" s="186">
        <v>20</v>
      </c>
      <c r="D28" s="188">
        <v>1</v>
      </c>
      <c r="E28" s="188">
        <v>100</v>
      </c>
      <c r="F28" s="188">
        <v>1</v>
      </c>
      <c r="G28" s="188">
        <f t="shared" si="116"/>
        <v>100</v>
      </c>
      <c r="H28" s="214">
        <f t="shared" si="2"/>
        <v>1</v>
      </c>
      <c r="I28" s="214">
        <f t="shared" si="3"/>
        <v>1</v>
      </c>
      <c r="J28" s="188">
        <v>1</v>
      </c>
      <c r="K28" s="188">
        <f t="shared" si="4"/>
        <v>100</v>
      </c>
      <c r="L28" s="214">
        <f t="shared" si="5"/>
        <v>1</v>
      </c>
      <c r="M28" s="214">
        <f t="shared" si="6"/>
        <v>1</v>
      </c>
      <c r="N28" s="188">
        <v>1</v>
      </c>
      <c r="O28" s="188">
        <f t="shared" si="7"/>
        <v>100</v>
      </c>
      <c r="P28" s="214">
        <f t="shared" si="8"/>
        <v>1</v>
      </c>
      <c r="Q28" s="214">
        <f t="shared" si="9"/>
        <v>1</v>
      </c>
      <c r="R28" s="188">
        <v>1</v>
      </c>
      <c r="S28" s="188">
        <f t="shared" si="117"/>
        <v>100</v>
      </c>
      <c r="T28" s="214">
        <f t="shared" si="118"/>
        <v>1</v>
      </c>
      <c r="U28" s="214">
        <f t="shared" si="119"/>
        <v>1</v>
      </c>
      <c r="V28" s="188">
        <v>1</v>
      </c>
      <c r="W28" s="188">
        <f t="shared" si="10"/>
        <v>100</v>
      </c>
      <c r="X28" s="214">
        <f t="shared" si="11"/>
        <v>1</v>
      </c>
      <c r="Y28" s="214">
        <f t="shared" si="12"/>
        <v>1</v>
      </c>
      <c r="Z28" s="224">
        <f>854064000/1000000000</f>
        <v>0.85406400000000005</v>
      </c>
      <c r="AA28" s="188"/>
      <c r="AB28" s="189">
        <f t="shared" si="120"/>
        <v>0</v>
      </c>
      <c r="AC28" s="250">
        <f t="shared" si="121"/>
        <v>0</v>
      </c>
      <c r="AD28" s="250">
        <f t="shared" si="122"/>
        <v>0</v>
      </c>
      <c r="AE28" s="188"/>
      <c r="AF28" s="188">
        <f t="shared" si="15"/>
        <v>0</v>
      </c>
      <c r="AG28" s="187"/>
      <c r="AH28" s="187"/>
      <c r="AI28" s="188">
        <v>0</v>
      </c>
      <c r="AJ28" s="188">
        <f t="shared" si="16"/>
        <v>0</v>
      </c>
      <c r="AK28" s="188"/>
      <c r="AL28" s="188">
        <v>0</v>
      </c>
      <c r="AM28" s="188">
        <v>0</v>
      </c>
      <c r="AN28" s="217"/>
      <c r="AO28" s="196">
        <f t="shared" si="123"/>
        <v>0</v>
      </c>
      <c r="AP28" s="195"/>
      <c r="AQ28" s="195"/>
      <c r="AR28" s="195"/>
      <c r="AS28" s="195"/>
      <c r="AT28" s="195"/>
      <c r="AU28" s="195"/>
      <c r="AV28" s="195"/>
      <c r="AW28" s="195"/>
      <c r="AX28" s="195"/>
      <c r="AY28" s="195"/>
      <c r="AZ28" s="195"/>
      <c r="BA28" s="195"/>
      <c r="BB28" s="188">
        <f t="shared" si="17"/>
        <v>0</v>
      </c>
      <c r="BC28" s="195"/>
      <c r="BD28" s="196"/>
      <c r="BE28" s="188">
        <f t="shared" si="18"/>
        <v>0</v>
      </c>
      <c r="BF28" s="188">
        <f t="shared" si="19"/>
        <v>0</v>
      </c>
      <c r="BG28" s="188">
        <f t="shared" si="20"/>
        <v>0</v>
      </c>
      <c r="BH28" s="188">
        <f t="shared" si="21"/>
        <v>0</v>
      </c>
      <c r="BI28" s="188">
        <f t="shared" si="22"/>
        <v>0</v>
      </c>
      <c r="BJ28" s="188">
        <f t="shared" si="23"/>
        <v>0</v>
      </c>
      <c r="BK28" s="188">
        <f t="shared" si="124"/>
        <v>0</v>
      </c>
      <c r="BL28" s="195"/>
      <c r="BM28" s="195"/>
      <c r="BN28" s="143">
        <v>54</v>
      </c>
      <c r="BO28" s="277">
        <v>1</v>
      </c>
      <c r="BP28" s="188"/>
      <c r="BQ28" s="188"/>
      <c r="BR28" s="188"/>
      <c r="BS28" s="188"/>
      <c r="BT28" s="188"/>
      <c r="BU28" s="188"/>
      <c r="BV28" s="188"/>
      <c r="BW28" s="188"/>
      <c r="BX28" s="188"/>
      <c r="BY28" s="188"/>
      <c r="BZ28" s="188"/>
      <c r="CA28" s="195"/>
      <c r="CB28" s="189">
        <v>0</v>
      </c>
      <c r="CC28" s="195"/>
      <c r="CD28" s="189">
        <f t="shared" si="125"/>
        <v>54</v>
      </c>
      <c r="CE28" s="189">
        <f t="shared" si="191"/>
        <v>54</v>
      </c>
      <c r="CF28" s="189">
        <f t="shared" si="126"/>
        <v>0</v>
      </c>
      <c r="CG28" s="189">
        <f t="shared" si="127"/>
        <v>0</v>
      </c>
      <c r="CH28" s="189">
        <f t="shared" si="128"/>
        <v>0</v>
      </c>
      <c r="CI28" s="189">
        <f t="shared" si="129"/>
        <v>0</v>
      </c>
      <c r="CJ28" s="189">
        <f t="shared" si="130"/>
        <v>0</v>
      </c>
      <c r="CK28" s="189">
        <f t="shared" si="131"/>
        <v>0</v>
      </c>
      <c r="CL28" s="189">
        <f t="shared" si="132"/>
        <v>0</v>
      </c>
      <c r="CM28" s="189">
        <f t="shared" si="133"/>
        <v>0</v>
      </c>
      <c r="CN28" s="189">
        <f t="shared" si="134"/>
        <v>0</v>
      </c>
      <c r="CO28" s="189">
        <f t="shared" si="135"/>
        <v>0</v>
      </c>
      <c r="CP28" s="189">
        <f t="shared" si="136"/>
        <v>0</v>
      </c>
      <c r="CQ28" s="195"/>
      <c r="CR28" s="195"/>
      <c r="CS28" s="195"/>
      <c r="CT28" s="195"/>
      <c r="CU28" s="195"/>
      <c r="CV28" s="195"/>
      <c r="CW28" s="195"/>
      <c r="CX28" s="195"/>
      <c r="CY28" s="195"/>
      <c r="CZ28" s="195"/>
      <c r="DA28" s="195"/>
      <c r="DB28" s="195"/>
      <c r="DC28" s="195"/>
      <c r="DD28" s="195"/>
      <c r="DE28" s="195"/>
      <c r="DF28" s="195"/>
      <c r="DG28" s="195"/>
      <c r="DH28" s="195"/>
      <c r="DI28" s="195"/>
      <c r="DJ28" s="195"/>
      <c r="DK28" s="195"/>
      <c r="DL28" s="195"/>
      <c r="DM28" s="195"/>
      <c r="DN28" s="195"/>
      <c r="DO28" s="195"/>
      <c r="DP28" s="195"/>
      <c r="DQ28" s="195"/>
      <c r="DR28" s="195"/>
      <c r="DS28" s="195"/>
      <c r="DT28" s="195"/>
      <c r="DU28" s="195"/>
      <c r="DV28" s="189">
        <f t="shared" si="26"/>
        <v>0</v>
      </c>
      <c r="DW28" s="189">
        <f t="shared" si="27"/>
        <v>0</v>
      </c>
      <c r="DX28" s="189">
        <f t="shared" si="28"/>
        <v>0</v>
      </c>
      <c r="DY28" s="189">
        <f t="shared" si="29"/>
        <v>0</v>
      </c>
      <c r="DZ28" s="189">
        <f t="shared" si="30"/>
        <v>0</v>
      </c>
      <c r="EA28" s="189">
        <f t="shared" si="31"/>
        <v>0</v>
      </c>
      <c r="EB28" s="189">
        <f t="shared" si="137"/>
        <v>0</v>
      </c>
      <c r="EC28" s="195"/>
      <c r="ED28" s="195"/>
      <c r="EE28" s="195"/>
      <c r="EF28" s="195"/>
      <c r="EG28" s="252">
        <f t="shared" si="138"/>
        <v>0</v>
      </c>
      <c r="EH28" s="252">
        <f t="shared" si="139"/>
        <v>0</v>
      </c>
      <c r="EI28" s="189"/>
      <c r="EJ28" s="189"/>
      <c r="EK28" s="189"/>
      <c r="EL28" s="189"/>
      <c r="EM28" s="189"/>
      <c r="EN28" s="189"/>
      <c r="EO28" s="189"/>
      <c r="EP28" s="189"/>
      <c r="EQ28" s="189"/>
      <c r="ER28" s="189"/>
      <c r="ES28" s="189"/>
      <c r="ET28" s="189"/>
      <c r="EU28" s="189"/>
      <c r="EV28" s="189"/>
      <c r="EW28" s="189"/>
      <c r="EX28" s="189"/>
      <c r="EY28" s="189"/>
      <c r="EZ28" s="189"/>
      <c r="FA28" s="189"/>
      <c r="FB28" s="189"/>
      <c r="FC28" s="189"/>
      <c r="FD28" s="189"/>
      <c r="FE28" s="189"/>
      <c r="FF28" s="189"/>
      <c r="FG28" s="195"/>
      <c r="FH28" s="189"/>
      <c r="FI28" s="189"/>
      <c r="FJ28" s="189"/>
      <c r="FK28" s="189"/>
      <c r="FL28" s="189"/>
      <c r="FM28" s="189"/>
      <c r="FN28" s="189"/>
      <c r="FO28" s="189"/>
      <c r="FP28" s="189"/>
      <c r="FQ28" s="189"/>
      <c r="FR28" s="189"/>
      <c r="FS28" s="189"/>
      <c r="FT28" s="189"/>
      <c r="FU28" s="189"/>
      <c r="FV28" s="189"/>
      <c r="FW28" s="195"/>
      <c r="FX28" s="253">
        <v>1</v>
      </c>
      <c r="FY28" s="189">
        <f t="shared" si="140"/>
        <v>54</v>
      </c>
      <c r="FZ28" s="189">
        <f t="shared" si="33"/>
        <v>54</v>
      </c>
      <c r="GA28" s="189">
        <f t="shared" si="34"/>
        <v>0</v>
      </c>
      <c r="GB28" s="189">
        <f t="shared" si="35"/>
        <v>0</v>
      </c>
      <c r="GC28" s="189">
        <f t="shared" si="36"/>
        <v>0</v>
      </c>
      <c r="GD28" s="189">
        <f t="shared" si="37"/>
        <v>0</v>
      </c>
      <c r="GE28" s="189">
        <f t="shared" si="38"/>
        <v>0</v>
      </c>
      <c r="GF28" s="199"/>
      <c r="GG28" s="189">
        <v>0</v>
      </c>
      <c r="GH28" s="189">
        <v>0</v>
      </c>
      <c r="GI28" s="199"/>
      <c r="GJ28" s="200">
        <f t="shared" si="141"/>
        <v>0</v>
      </c>
      <c r="GK28" s="200">
        <f t="shared" si="142"/>
        <v>0</v>
      </c>
      <c r="GL28" s="195"/>
      <c r="GM28" s="195"/>
      <c r="GN28" s="195"/>
      <c r="GO28" s="189">
        <f t="shared" si="39"/>
        <v>0</v>
      </c>
      <c r="GP28" s="189">
        <f t="shared" si="40"/>
        <v>0</v>
      </c>
      <c r="GQ28" s="189">
        <f t="shared" si="41"/>
        <v>0</v>
      </c>
      <c r="GR28" s="189">
        <f t="shared" si="42"/>
        <v>0</v>
      </c>
      <c r="GS28" s="189">
        <f t="shared" si="43"/>
        <v>0</v>
      </c>
      <c r="GT28" s="189">
        <f t="shared" si="143"/>
        <v>1</v>
      </c>
      <c r="GU28" s="201">
        <f t="shared" si="144"/>
        <v>43243</v>
      </c>
      <c r="GV28" s="189" t="str">
        <f t="shared" si="145"/>
        <v>SELESAI</v>
      </c>
      <c r="GW28" s="189">
        <f t="shared" si="146"/>
        <v>0</v>
      </c>
      <c r="GX28" s="202" t="str">
        <f t="shared" si="147"/>
        <v>SELESAI</v>
      </c>
      <c r="GY28" s="202">
        <f t="shared" si="148"/>
        <v>0</v>
      </c>
      <c r="GZ28" s="203" t="str">
        <f t="shared" si="149"/>
        <v>SELESAI</v>
      </c>
      <c r="HA28" s="204"/>
      <c r="HB28" s="204"/>
      <c r="HC28" s="189">
        <f t="shared" si="44"/>
        <v>0</v>
      </c>
      <c r="HD28" s="189">
        <f t="shared" si="45"/>
        <v>0</v>
      </c>
      <c r="HE28" s="189">
        <f t="shared" si="150"/>
        <v>0</v>
      </c>
      <c r="HF28" s="189">
        <f t="shared" si="151"/>
        <v>0</v>
      </c>
      <c r="HG28" s="189">
        <f t="shared" si="152"/>
        <v>0</v>
      </c>
      <c r="HH28" s="201" t="str">
        <f t="shared" si="46"/>
        <v>TIDAK KONSINYASI</v>
      </c>
      <c r="HI28" s="201" t="str">
        <f t="shared" si="153"/>
        <v>SELESAI</v>
      </c>
      <c r="HJ28" s="205"/>
      <c r="HK28" s="201">
        <f t="shared" si="47"/>
        <v>0</v>
      </c>
      <c r="HL28" s="204"/>
      <c r="HM28" s="204"/>
      <c r="HN28" s="204"/>
      <c r="HO28" s="204"/>
      <c r="HP28" s="203">
        <f t="shared" si="154"/>
        <v>0</v>
      </c>
      <c r="HQ28" s="202">
        <f t="shared" si="155"/>
        <v>0</v>
      </c>
      <c r="HR28" s="202">
        <f t="shared" si="48"/>
        <v>0</v>
      </c>
      <c r="HS28" s="203">
        <f t="shared" si="156"/>
        <v>0</v>
      </c>
      <c r="HT28" s="202">
        <f t="shared" si="157"/>
        <v>0</v>
      </c>
      <c r="HU28" s="202">
        <f t="shared" si="49"/>
        <v>0</v>
      </c>
      <c r="HV28" s="203">
        <f t="shared" si="158"/>
        <v>0</v>
      </c>
      <c r="HW28" s="202">
        <f t="shared" si="50"/>
        <v>0</v>
      </c>
      <c r="HX28" s="202">
        <f t="shared" si="51"/>
        <v>0</v>
      </c>
      <c r="HY28" s="203">
        <f t="shared" si="52"/>
        <v>0</v>
      </c>
      <c r="HZ28" s="202">
        <f t="shared" si="159"/>
        <v>0</v>
      </c>
      <c r="IA28" s="202">
        <f t="shared" si="53"/>
        <v>0</v>
      </c>
      <c r="IB28" s="203">
        <f t="shared" si="160"/>
        <v>0</v>
      </c>
      <c r="IC28" s="202">
        <f t="shared" si="54"/>
        <v>0</v>
      </c>
      <c r="ID28" s="202">
        <f t="shared" si="55"/>
        <v>0</v>
      </c>
      <c r="IE28" s="203">
        <f t="shared" si="56"/>
        <v>0</v>
      </c>
      <c r="IF28" s="202">
        <f t="shared" si="57"/>
        <v>0</v>
      </c>
      <c r="IG28" s="202">
        <f t="shared" si="58"/>
        <v>0</v>
      </c>
      <c r="IH28" s="203">
        <f t="shared" si="161"/>
        <v>0</v>
      </c>
      <c r="II28" s="202">
        <f t="shared" si="162"/>
        <v>0</v>
      </c>
      <c r="IJ28" s="202">
        <f t="shared" si="59"/>
        <v>0</v>
      </c>
      <c r="IK28" s="203">
        <f t="shared" si="60"/>
        <v>0</v>
      </c>
      <c r="IL28" s="202">
        <f t="shared" si="61"/>
        <v>0</v>
      </c>
      <c r="IM28" s="202">
        <f t="shared" si="62"/>
        <v>0</v>
      </c>
      <c r="IN28" s="204"/>
      <c r="IO28" s="203">
        <f t="shared" si="63"/>
        <v>0</v>
      </c>
      <c r="IP28" s="202">
        <f t="shared" si="64"/>
        <v>0</v>
      </c>
      <c r="IQ28" s="202">
        <f t="shared" si="65"/>
        <v>0</v>
      </c>
      <c r="IR28" s="204"/>
      <c r="IS28" s="203"/>
      <c r="IT28" s="202">
        <f t="shared" si="66"/>
        <v>1</v>
      </c>
      <c r="IU28" s="202">
        <f t="shared" si="67"/>
        <v>100</v>
      </c>
      <c r="IV28" s="204"/>
      <c r="IW28" s="203"/>
      <c r="IX28" s="202">
        <f t="shared" si="68"/>
        <v>0</v>
      </c>
      <c r="IY28" s="202">
        <f t="shared" si="69"/>
        <v>0</v>
      </c>
      <c r="IZ28" s="204"/>
      <c r="JA28" s="203"/>
      <c r="JB28" s="202">
        <f t="shared" si="70"/>
        <v>0</v>
      </c>
      <c r="JC28" s="202">
        <f t="shared" si="71"/>
        <v>0</v>
      </c>
      <c r="JD28" s="204"/>
      <c r="JE28" s="203"/>
      <c r="JF28" s="202">
        <f t="shared" si="163"/>
        <v>1</v>
      </c>
      <c r="JG28" s="202">
        <f t="shared" si="72"/>
        <v>100</v>
      </c>
      <c r="JH28" s="204"/>
      <c r="JI28" s="203"/>
      <c r="JJ28" s="202">
        <f t="shared" si="73"/>
        <v>0</v>
      </c>
      <c r="JK28" s="202">
        <f t="shared" si="74"/>
        <v>0</v>
      </c>
      <c r="JL28" s="195"/>
      <c r="JM28" s="203">
        <f t="shared" si="164"/>
        <v>0</v>
      </c>
      <c r="JN28" s="195"/>
      <c r="JO28" s="196">
        <f t="shared" si="75"/>
        <v>1</v>
      </c>
      <c r="JP28" s="206">
        <f t="shared" si="76"/>
        <v>54</v>
      </c>
      <c r="JQ28" s="206">
        <f t="shared" si="77"/>
        <v>1</v>
      </c>
      <c r="JR28" s="206">
        <f t="shared" si="78"/>
        <v>0</v>
      </c>
      <c r="JS28" s="206">
        <f t="shared" si="79"/>
        <v>0</v>
      </c>
      <c r="JT28" s="206">
        <f t="shared" si="80"/>
        <v>0</v>
      </c>
      <c r="JU28" s="206">
        <f t="shared" si="81"/>
        <v>0</v>
      </c>
      <c r="JV28" s="206">
        <f t="shared" si="82"/>
        <v>0</v>
      </c>
      <c r="JW28" s="206">
        <f t="shared" si="83"/>
        <v>0</v>
      </c>
      <c r="JX28" s="206">
        <f t="shared" si="84"/>
        <v>0</v>
      </c>
      <c r="JY28" s="206">
        <f t="shared" si="85"/>
        <v>0</v>
      </c>
      <c r="JZ28" s="206">
        <f t="shared" si="86"/>
        <v>0</v>
      </c>
      <c r="KA28" s="206">
        <f t="shared" si="87"/>
        <v>0</v>
      </c>
      <c r="KB28" s="206">
        <f t="shared" si="88"/>
        <v>0</v>
      </c>
      <c r="KC28" s="195"/>
      <c r="KD28" s="206">
        <f t="shared" si="165"/>
        <v>0</v>
      </c>
      <c r="KE28" s="206">
        <f t="shared" si="90"/>
        <v>0</v>
      </c>
      <c r="KF28" s="206">
        <f t="shared" si="91"/>
        <v>54</v>
      </c>
      <c r="KG28" s="206">
        <f t="shared" si="92"/>
        <v>54</v>
      </c>
      <c r="KH28" s="206">
        <f t="shared" si="93"/>
        <v>0</v>
      </c>
      <c r="KI28" s="206">
        <f t="shared" si="94"/>
        <v>0</v>
      </c>
      <c r="KJ28" s="206">
        <f t="shared" si="95"/>
        <v>0</v>
      </c>
      <c r="KK28" s="206">
        <f t="shared" si="96"/>
        <v>0</v>
      </c>
      <c r="KL28" s="206">
        <f t="shared" si="97"/>
        <v>0</v>
      </c>
      <c r="KM28" s="206">
        <f t="shared" si="98"/>
        <v>0</v>
      </c>
      <c r="KN28" s="221">
        <f t="shared" si="99"/>
        <v>0</v>
      </c>
      <c r="KO28" s="221">
        <f t="shared" si="100"/>
        <v>0</v>
      </c>
      <c r="KP28" s="221">
        <f t="shared" si="101"/>
        <v>0</v>
      </c>
      <c r="KQ28" s="221">
        <f t="shared" si="102"/>
        <v>0</v>
      </c>
      <c r="KR28" s="221">
        <f t="shared" si="103"/>
        <v>0</v>
      </c>
      <c r="KS28" s="195"/>
      <c r="KT28" s="195">
        <f t="shared" si="104"/>
        <v>0</v>
      </c>
      <c r="KU28" s="221"/>
      <c r="KV28" s="221"/>
      <c r="KW28" s="221"/>
      <c r="KX28" s="221"/>
      <c r="KY28" s="221"/>
      <c r="KZ28" s="221"/>
      <c r="LA28" s="221"/>
      <c r="LB28" s="221"/>
      <c r="LC28" s="221"/>
      <c r="LD28" s="221"/>
      <c r="LE28" s="221"/>
      <c r="LF28" s="221"/>
      <c r="LG28" s="221"/>
      <c r="LH28" s="221"/>
      <c r="LI28" s="221"/>
      <c r="LJ28" s="221"/>
      <c r="LK28" s="221"/>
      <c r="LL28" s="221"/>
      <c r="LM28" s="221"/>
      <c r="LN28" s="221"/>
      <c r="LO28" s="221"/>
      <c r="LP28" s="221"/>
      <c r="LQ28" s="221"/>
      <c r="LR28" s="221"/>
      <c r="LS28" s="221"/>
      <c r="LT28" s="221"/>
      <c r="LU28" s="221"/>
      <c r="LV28" s="221"/>
      <c r="LW28" s="221"/>
      <c r="LX28" s="221"/>
      <c r="LY28" s="221"/>
      <c r="LZ28" s="221"/>
      <c r="MA28" s="221"/>
      <c r="MB28" s="221"/>
      <c r="MC28" s="221"/>
      <c r="MD28" s="221"/>
      <c r="ME28" s="221"/>
      <c r="MF28" s="221"/>
      <c r="MG28" s="221"/>
      <c r="MH28" s="221"/>
      <c r="MI28" s="221"/>
      <c r="MJ28" s="221"/>
      <c r="MK28" s="221"/>
      <c r="ML28" s="221"/>
      <c r="MM28" s="221"/>
      <c r="MN28" s="221"/>
      <c r="MO28" s="221"/>
      <c r="MP28" s="221"/>
      <c r="MQ28" s="221"/>
      <c r="MR28" s="221"/>
      <c r="MS28" s="221"/>
      <c r="MT28" s="221"/>
      <c r="MU28" s="221"/>
      <c r="MV28" s="221"/>
      <c r="MW28" s="221"/>
      <c r="MX28" s="221"/>
      <c r="MY28" s="221"/>
      <c r="MZ28" s="221"/>
      <c r="NA28" s="221"/>
      <c r="NB28" s="221"/>
      <c r="NC28" s="221"/>
      <c r="ND28" s="221"/>
      <c r="NE28" s="221"/>
      <c r="NF28" s="221"/>
      <c r="NG28" s="221"/>
      <c r="NH28" s="221"/>
      <c r="NI28" s="221"/>
      <c r="NJ28" s="221"/>
      <c r="NK28" s="221"/>
      <c r="NL28" s="195"/>
      <c r="NM28" s="195">
        <f t="shared" si="166"/>
        <v>0</v>
      </c>
      <c r="NN28" s="195">
        <f t="shared" si="167"/>
        <v>0</v>
      </c>
      <c r="NO28" s="195">
        <f t="shared" si="168"/>
        <v>0</v>
      </c>
      <c r="NP28" s="195">
        <f t="shared" si="169"/>
        <v>0</v>
      </c>
      <c r="NQ28" s="195">
        <f t="shared" si="170"/>
        <v>0</v>
      </c>
      <c r="NR28" s="195">
        <f t="shared" si="171"/>
        <v>0</v>
      </c>
      <c r="NS28" s="195">
        <f t="shared" si="172"/>
        <v>0</v>
      </c>
      <c r="NT28" s="195">
        <f t="shared" si="173"/>
        <v>0</v>
      </c>
      <c r="NU28" s="196">
        <f t="shared" si="174"/>
        <v>0</v>
      </c>
      <c r="NV28" s="195"/>
      <c r="NW28" s="195"/>
      <c r="NX28" s="195"/>
      <c r="NY28" s="196">
        <f t="shared" si="106"/>
        <v>1</v>
      </c>
      <c r="NZ28" s="222">
        <f>371684600/46</f>
        <v>8080100</v>
      </c>
      <c r="OA28" s="195"/>
      <c r="OB28" s="195"/>
      <c r="OC28" s="195"/>
      <c r="OD28" s="195"/>
      <c r="OE28" s="207">
        <f t="shared" si="107"/>
        <v>0</v>
      </c>
      <c r="OF28" s="207">
        <f t="shared" si="108"/>
        <v>0</v>
      </c>
      <c r="OG28" s="207">
        <f t="shared" si="109"/>
        <v>0</v>
      </c>
      <c r="OH28" s="207">
        <f t="shared" si="175"/>
        <v>0</v>
      </c>
      <c r="OI28" s="207">
        <f t="shared" si="110"/>
        <v>0</v>
      </c>
      <c r="OJ28" s="199">
        <f t="shared" si="176"/>
        <v>0</v>
      </c>
      <c r="OK28" s="199">
        <f t="shared" si="177"/>
        <v>0</v>
      </c>
      <c r="OL28" s="199">
        <f t="shared" si="178"/>
        <v>0</v>
      </c>
      <c r="OM28" s="199">
        <f t="shared" si="179"/>
        <v>0</v>
      </c>
      <c r="ON28" s="195"/>
      <c r="OO28" s="207">
        <f t="shared" si="111"/>
        <v>0</v>
      </c>
      <c r="OP28" s="207">
        <f t="shared" si="112"/>
        <v>0</v>
      </c>
      <c r="OQ28" s="207">
        <f t="shared" si="180"/>
        <v>0</v>
      </c>
      <c r="OR28" s="207">
        <f t="shared" si="181"/>
        <v>0</v>
      </c>
      <c r="OS28" s="207">
        <f t="shared" si="182"/>
        <v>0</v>
      </c>
      <c r="OT28" s="199">
        <f t="shared" si="183"/>
        <v>0</v>
      </c>
      <c r="OU28" s="199">
        <f t="shared" si="184"/>
        <v>0</v>
      </c>
      <c r="OV28" s="199">
        <f t="shared" si="185"/>
        <v>0</v>
      </c>
      <c r="OW28" s="199">
        <f t="shared" si="186"/>
        <v>0</v>
      </c>
      <c r="OX28" s="195"/>
      <c r="OY28" s="195"/>
      <c r="OZ28" s="195"/>
      <c r="PA28" s="209"/>
      <c r="PB28" s="209"/>
      <c r="PC28" s="209"/>
      <c r="PD28" s="210">
        <f t="shared" si="113"/>
        <v>0</v>
      </c>
      <c r="PE28" s="210"/>
      <c r="PF28" s="210">
        <f t="shared" si="114"/>
        <v>0</v>
      </c>
      <c r="PG28" s="210">
        <f t="shared" si="115"/>
        <v>0</v>
      </c>
      <c r="PH28" s="210">
        <f t="shared" si="115"/>
        <v>0</v>
      </c>
      <c r="PI28" s="210">
        <f t="shared" si="115"/>
        <v>0</v>
      </c>
      <c r="PJ28" s="210">
        <f t="shared" si="115"/>
        <v>0</v>
      </c>
      <c r="PK28" s="210">
        <f t="shared" si="115"/>
        <v>0</v>
      </c>
      <c r="PL28" s="210">
        <f t="shared" si="115"/>
        <v>0</v>
      </c>
      <c r="PM28" s="195"/>
      <c r="PN28" s="195"/>
      <c r="PO28" s="212">
        <f t="shared" si="187"/>
        <v>0</v>
      </c>
      <c r="PP28" s="212">
        <f t="shared" si="188"/>
        <v>0</v>
      </c>
      <c r="PQ28" s="212">
        <f t="shared" si="189"/>
        <v>0</v>
      </c>
    </row>
    <row r="29" spans="1:433" ht="16" x14ac:dyDescent="0.2">
      <c r="A29" s="213">
        <f t="shared" si="190"/>
        <v>21</v>
      </c>
      <c r="B29" s="186" t="s">
        <v>106</v>
      </c>
      <c r="C29" s="186">
        <v>21</v>
      </c>
      <c r="D29" s="188">
        <v>1</v>
      </c>
      <c r="E29" s="188">
        <v>100</v>
      </c>
      <c r="F29" s="188">
        <v>1</v>
      </c>
      <c r="G29" s="188">
        <f t="shared" si="116"/>
        <v>100</v>
      </c>
      <c r="H29" s="214">
        <f t="shared" si="2"/>
        <v>1</v>
      </c>
      <c r="I29" s="214">
        <f t="shared" si="3"/>
        <v>1</v>
      </c>
      <c r="J29" s="188">
        <v>1</v>
      </c>
      <c r="K29" s="188">
        <f t="shared" si="4"/>
        <v>100</v>
      </c>
      <c r="L29" s="214">
        <f t="shared" si="5"/>
        <v>1</v>
      </c>
      <c r="M29" s="214">
        <f t="shared" si="6"/>
        <v>1</v>
      </c>
      <c r="N29" s="188">
        <v>1</v>
      </c>
      <c r="O29" s="188">
        <f t="shared" si="7"/>
        <v>100</v>
      </c>
      <c r="P29" s="214">
        <f t="shared" si="8"/>
        <v>1</v>
      </c>
      <c r="Q29" s="214">
        <f t="shared" si="9"/>
        <v>1</v>
      </c>
      <c r="R29" s="188">
        <v>1</v>
      </c>
      <c r="S29" s="188">
        <f t="shared" si="117"/>
        <v>100</v>
      </c>
      <c r="T29" s="214">
        <f t="shared" si="118"/>
        <v>1</v>
      </c>
      <c r="U29" s="214">
        <f t="shared" si="119"/>
        <v>1</v>
      </c>
      <c r="V29" s="188">
        <v>1</v>
      </c>
      <c r="W29" s="188">
        <f t="shared" si="10"/>
        <v>100</v>
      </c>
      <c r="X29" s="214">
        <f t="shared" si="11"/>
        <v>1</v>
      </c>
      <c r="Y29" s="214">
        <f t="shared" si="12"/>
        <v>1</v>
      </c>
      <c r="Z29" s="224">
        <f>1477850000/1000000000</f>
        <v>1.4778500000000001</v>
      </c>
      <c r="AA29" s="188"/>
      <c r="AB29" s="189">
        <f t="shared" si="120"/>
        <v>0</v>
      </c>
      <c r="AC29" s="250">
        <f t="shared" si="121"/>
        <v>0</v>
      </c>
      <c r="AD29" s="250">
        <f t="shared" si="122"/>
        <v>0</v>
      </c>
      <c r="AE29" s="188"/>
      <c r="AF29" s="188">
        <f t="shared" si="15"/>
        <v>0</v>
      </c>
      <c r="AG29" s="187"/>
      <c r="AH29" s="187"/>
      <c r="AI29" s="188">
        <v>0</v>
      </c>
      <c r="AJ29" s="188">
        <f t="shared" si="16"/>
        <v>0</v>
      </c>
      <c r="AK29" s="188"/>
      <c r="AL29" s="188">
        <v>0</v>
      </c>
      <c r="AM29" s="188">
        <v>0</v>
      </c>
      <c r="AN29" s="217"/>
      <c r="AO29" s="196">
        <f t="shared" si="123"/>
        <v>0</v>
      </c>
      <c r="AP29" s="195"/>
      <c r="AQ29" s="195"/>
      <c r="AR29" s="195"/>
      <c r="AS29" s="195"/>
      <c r="AT29" s="195"/>
      <c r="AU29" s="195"/>
      <c r="AV29" s="195"/>
      <c r="AW29" s="195"/>
      <c r="AX29" s="195"/>
      <c r="AY29" s="195"/>
      <c r="AZ29" s="195"/>
      <c r="BA29" s="195"/>
      <c r="BB29" s="188">
        <f t="shared" si="17"/>
        <v>0</v>
      </c>
      <c r="BC29" s="195"/>
      <c r="BD29" s="196"/>
      <c r="BE29" s="188">
        <f t="shared" si="18"/>
        <v>0</v>
      </c>
      <c r="BF29" s="188">
        <f t="shared" si="19"/>
        <v>0</v>
      </c>
      <c r="BG29" s="188">
        <f t="shared" si="20"/>
        <v>0</v>
      </c>
      <c r="BH29" s="188">
        <f t="shared" si="21"/>
        <v>0</v>
      </c>
      <c r="BI29" s="188">
        <f t="shared" si="22"/>
        <v>0</v>
      </c>
      <c r="BJ29" s="188">
        <f t="shared" si="23"/>
        <v>0</v>
      </c>
      <c r="BK29" s="188">
        <f t="shared" si="124"/>
        <v>0</v>
      </c>
      <c r="BL29" s="195"/>
      <c r="BM29" s="195"/>
      <c r="BN29" s="143"/>
      <c r="BO29" s="277"/>
      <c r="BP29" s="188"/>
      <c r="BQ29" s="188"/>
      <c r="BR29" s="188"/>
      <c r="BS29" s="188"/>
      <c r="BT29" s="188"/>
      <c r="BU29" s="188"/>
      <c r="BV29" s="188"/>
      <c r="BW29" s="188"/>
      <c r="BX29" s="188"/>
      <c r="BY29" s="188"/>
      <c r="BZ29" s="188"/>
      <c r="CA29" s="195"/>
      <c r="CB29" s="189">
        <v>0</v>
      </c>
      <c r="CC29" s="195"/>
      <c r="CD29" s="189">
        <f t="shared" si="125"/>
        <v>0</v>
      </c>
      <c r="CE29" s="189">
        <f t="shared" si="191"/>
        <v>0</v>
      </c>
      <c r="CF29" s="189">
        <f t="shared" si="126"/>
        <v>0</v>
      </c>
      <c r="CG29" s="189">
        <f t="shared" si="127"/>
        <v>0</v>
      </c>
      <c r="CH29" s="189">
        <f t="shared" si="128"/>
        <v>0</v>
      </c>
      <c r="CI29" s="189">
        <f t="shared" si="129"/>
        <v>0</v>
      </c>
      <c r="CJ29" s="189">
        <f t="shared" si="130"/>
        <v>0</v>
      </c>
      <c r="CK29" s="189">
        <f t="shared" si="131"/>
        <v>0</v>
      </c>
      <c r="CL29" s="189">
        <f t="shared" si="132"/>
        <v>0</v>
      </c>
      <c r="CM29" s="189">
        <f t="shared" si="133"/>
        <v>0</v>
      </c>
      <c r="CN29" s="189">
        <f t="shared" si="134"/>
        <v>0</v>
      </c>
      <c r="CO29" s="189">
        <f t="shared" si="135"/>
        <v>0</v>
      </c>
      <c r="CP29" s="189">
        <f t="shared" si="136"/>
        <v>0</v>
      </c>
      <c r="CQ29" s="195"/>
      <c r="CR29" s="195"/>
      <c r="CS29" s="195"/>
      <c r="CT29" s="195"/>
      <c r="CU29" s="195"/>
      <c r="CV29" s="195"/>
      <c r="CW29" s="195"/>
      <c r="CX29" s="195"/>
      <c r="CY29" s="195"/>
      <c r="CZ29" s="195"/>
      <c r="DA29" s="195"/>
      <c r="DB29" s="195"/>
      <c r="DC29" s="195"/>
      <c r="DD29" s="195"/>
      <c r="DE29" s="195"/>
      <c r="DF29" s="195"/>
      <c r="DG29" s="195"/>
      <c r="DH29" s="195"/>
      <c r="DI29" s="195"/>
      <c r="DJ29" s="195"/>
      <c r="DK29" s="195"/>
      <c r="DL29" s="195"/>
      <c r="DM29" s="195"/>
      <c r="DN29" s="195"/>
      <c r="DO29" s="195"/>
      <c r="DP29" s="195"/>
      <c r="DQ29" s="195"/>
      <c r="DR29" s="195"/>
      <c r="DS29" s="195"/>
      <c r="DT29" s="195"/>
      <c r="DU29" s="195"/>
      <c r="DV29" s="189">
        <f t="shared" si="26"/>
        <v>0</v>
      </c>
      <c r="DW29" s="189">
        <f t="shared" si="27"/>
        <v>0</v>
      </c>
      <c r="DX29" s="189">
        <f t="shared" si="28"/>
        <v>0</v>
      </c>
      <c r="DY29" s="189">
        <f t="shared" si="29"/>
        <v>0</v>
      </c>
      <c r="DZ29" s="189">
        <f t="shared" si="30"/>
        <v>0</v>
      </c>
      <c r="EA29" s="189">
        <f t="shared" si="31"/>
        <v>0</v>
      </c>
      <c r="EB29" s="189">
        <f t="shared" si="137"/>
        <v>0</v>
      </c>
      <c r="EC29" s="195"/>
      <c r="ED29" s="195"/>
      <c r="EE29" s="195"/>
      <c r="EF29" s="195"/>
      <c r="EG29" s="252">
        <f t="shared" si="138"/>
        <v>0</v>
      </c>
      <c r="EH29" s="252">
        <f t="shared" si="139"/>
        <v>0</v>
      </c>
      <c r="EI29" s="189"/>
      <c r="EJ29" s="189"/>
      <c r="EK29" s="189"/>
      <c r="EL29" s="189"/>
      <c r="EM29" s="189"/>
      <c r="EN29" s="189"/>
      <c r="EO29" s="189"/>
      <c r="EP29" s="189"/>
      <c r="EQ29" s="189"/>
      <c r="ER29" s="189"/>
      <c r="ES29" s="189"/>
      <c r="ET29" s="189"/>
      <c r="EU29" s="189"/>
      <c r="EV29" s="189"/>
      <c r="EW29" s="189"/>
      <c r="EX29" s="189"/>
      <c r="EY29" s="189"/>
      <c r="EZ29" s="189"/>
      <c r="FA29" s="189"/>
      <c r="FB29" s="189"/>
      <c r="FC29" s="189"/>
      <c r="FD29" s="189"/>
      <c r="FE29" s="189"/>
      <c r="FF29" s="189"/>
      <c r="FG29" s="195"/>
      <c r="FH29" s="189"/>
      <c r="FI29" s="189"/>
      <c r="FJ29" s="189"/>
      <c r="FK29" s="189"/>
      <c r="FL29" s="189"/>
      <c r="FM29" s="189"/>
      <c r="FN29" s="189"/>
      <c r="FO29" s="189"/>
      <c r="FP29" s="189"/>
      <c r="FQ29" s="189"/>
      <c r="FR29" s="189"/>
      <c r="FS29" s="189"/>
      <c r="FT29" s="189"/>
      <c r="FU29" s="189"/>
      <c r="FV29" s="189"/>
      <c r="FW29" s="195"/>
      <c r="FX29" s="253"/>
      <c r="FY29" s="189">
        <f t="shared" si="140"/>
        <v>0</v>
      </c>
      <c r="FZ29" s="189">
        <f t="shared" si="33"/>
        <v>0</v>
      </c>
      <c r="GA29" s="189">
        <f t="shared" si="34"/>
        <v>0</v>
      </c>
      <c r="GB29" s="189">
        <f t="shared" si="35"/>
        <v>0</v>
      </c>
      <c r="GC29" s="189">
        <f t="shared" si="36"/>
        <v>0</v>
      </c>
      <c r="GD29" s="189">
        <f t="shared" si="37"/>
        <v>0</v>
      </c>
      <c r="GE29" s="189">
        <f t="shared" si="38"/>
        <v>0</v>
      </c>
      <c r="GF29" s="199"/>
      <c r="GG29" s="189">
        <v>0</v>
      </c>
      <c r="GH29" s="189">
        <v>0</v>
      </c>
      <c r="GI29" s="199"/>
      <c r="GJ29" s="200">
        <f t="shared" si="141"/>
        <v>0</v>
      </c>
      <c r="GK29" s="200">
        <f t="shared" si="142"/>
        <v>0</v>
      </c>
      <c r="GL29" s="195"/>
      <c r="GM29" s="195"/>
      <c r="GN29" s="195"/>
      <c r="GO29" s="189">
        <f t="shared" si="39"/>
        <v>0</v>
      </c>
      <c r="GP29" s="189">
        <f t="shared" si="40"/>
        <v>0</v>
      </c>
      <c r="GQ29" s="189">
        <f t="shared" si="41"/>
        <v>0</v>
      </c>
      <c r="GR29" s="189">
        <f t="shared" si="42"/>
        <v>0</v>
      </c>
      <c r="GS29" s="189">
        <f t="shared" si="43"/>
        <v>0</v>
      </c>
      <c r="GT29" s="189">
        <f t="shared" si="143"/>
        <v>1</v>
      </c>
      <c r="GU29" s="201">
        <f t="shared" si="144"/>
        <v>43243</v>
      </c>
      <c r="GV29" s="189" t="str">
        <f t="shared" si="145"/>
        <v>SELESAI</v>
      </c>
      <c r="GW29" s="189">
        <f t="shared" si="146"/>
        <v>0</v>
      </c>
      <c r="GX29" s="202" t="str">
        <f t="shared" si="147"/>
        <v>SELESAI</v>
      </c>
      <c r="GY29" s="202">
        <f t="shared" si="148"/>
        <v>0</v>
      </c>
      <c r="GZ29" s="203" t="str">
        <f t="shared" si="149"/>
        <v>SELESAI</v>
      </c>
      <c r="HA29" s="204"/>
      <c r="HB29" s="204"/>
      <c r="HC29" s="189">
        <f t="shared" si="44"/>
        <v>0</v>
      </c>
      <c r="HD29" s="189">
        <f t="shared" si="45"/>
        <v>0</v>
      </c>
      <c r="HE29" s="189">
        <f t="shared" si="150"/>
        <v>0</v>
      </c>
      <c r="HF29" s="189">
        <f t="shared" si="151"/>
        <v>0</v>
      </c>
      <c r="HG29" s="189">
        <f t="shared" si="152"/>
        <v>0</v>
      </c>
      <c r="HH29" s="201" t="str">
        <f t="shared" si="46"/>
        <v>TIDAK KONSINYASI</v>
      </c>
      <c r="HI29" s="201" t="str">
        <f t="shared" si="153"/>
        <v>SELESAI</v>
      </c>
      <c r="HJ29" s="205"/>
      <c r="HK29" s="201">
        <f t="shared" si="47"/>
        <v>0</v>
      </c>
      <c r="HL29" s="204"/>
      <c r="HM29" s="204"/>
      <c r="HN29" s="204"/>
      <c r="HO29" s="204"/>
      <c r="HP29" s="203">
        <f t="shared" si="154"/>
        <v>0</v>
      </c>
      <c r="HQ29" s="202">
        <f t="shared" si="155"/>
        <v>0</v>
      </c>
      <c r="HR29" s="202">
        <f t="shared" si="48"/>
        <v>0</v>
      </c>
      <c r="HS29" s="203">
        <f t="shared" si="156"/>
        <v>0</v>
      </c>
      <c r="HT29" s="202">
        <f t="shared" si="157"/>
        <v>0</v>
      </c>
      <c r="HU29" s="202">
        <f t="shared" si="49"/>
        <v>0</v>
      </c>
      <c r="HV29" s="203">
        <f t="shared" si="158"/>
        <v>0</v>
      </c>
      <c r="HW29" s="202">
        <f t="shared" si="50"/>
        <v>0</v>
      </c>
      <c r="HX29" s="202">
        <f t="shared" si="51"/>
        <v>0</v>
      </c>
      <c r="HY29" s="203">
        <f t="shared" si="52"/>
        <v>0</v>
      </c>
      <c r="HZ29" s="202">
        <f t="shared" si="159"/>
        <v>0</v>
      </c>
      <c r="IA29" s="202">
        <f t="shared" si="53"/>
        <v>0</v>
      </c>
      <c r="IB29" s="203">
        <f t="shared" si="160"/>
        <v>0</v>
      </c>
      <c r="IC29" s="202">
        <f t="shared" si="54"/>
        <v>0</v>
      </c>
      <c r="ID29" s="202">
        <f t="shared" si="55"/>
        <v>0</v>
      </c>
      <c r="IE29" s="203">
        <f t="shared" si="56"/>
        <v>0</v>
      </c>
      <c r="IF29" s="202">
        <f t="shared" si="57"/>
        <v>0</v>
      </c>
      <c r="IG29" s="202">
        <f t="shared" si="58"/>
        <v>0</v>
      </c>
      <c r="IH29" s="203">
        <f t="shared" si="161"/>
        <v>0</v>
      </c>
      <c r="II29" s="202">
        <f t="shared" si="162"/>
        <v>0</v>
      </c>
      <c r="IJ29" s="202">
        <f t="shared" si="59"/>
        <v>0</v>
      </c>
      <c r="IK29" s="203">
        <f t="shared" si="60"/>
        <v>0</v>
      </c>
      <c r="IL29" s="202">
        <f t="shared" si="61"/>
        <v>0</v>
      </c>
      <c r="IM29" s="202">
        <f t="shared" si="62"/>
        <v>0</v>
      </c>
      <c r="IN29" s="204"/>
      <c r="IO29" s="203">
        <f t="shared" si="63"/>
        <v>0</v>
      </c>
      <c r="IP29" s="202">
        <f t="shared" si="64"/>
        <v>0</v>
      </c>
      <c r="IQ29" s="202">
        <f t="shared" si="65"/>
        <v>0</v>
      </c>
      <c r="IR29" s="204"/>
      <c r="IS29" s="203"/>
      <c r="IT29" s="202">
        <f t="shared" si="66"/>
        <v>1</v>
      </c>
      <c r="IU29" s="202">
        <f t="shared" si="67"/>
        <v>100</v>
      </c>
      <c r="IV29" s="204"/>
      <c r="IW29" s="203"/>
      <c r="IX29" s="202">
        <f t="shared" si="68"/>
        <v>0</v>
      </c>
      <c r="IY29" s="202">
        <f t="shared" si="69"/>
        <v>0</v>
      </c>
      <c r="IZ29" s="204"/>
      <c r="JA29" s="203"/>
      <c r="JB29" s="202">
        <f t="shared" si="70"/>
        <v>0</v>
      </c>
      <c r="JC29" s="202">
        <f t="shared" si="71"/>
        <v>0</v>
      </c>
      <c r="JD29" s="204"/>
      <c r="JE29" s="203"/>
      <c r="JF29" s="202">
        <f t="shared" si="163"/>
        <v>1</v>
      </c>
      <c r="JG29" s="202">
        <f t="shared" si="72"/>
        <v>100</v>
      </c>
      <c r="JH29" s="204"/>
      <c r="JI29" s="203"/>
      <c r="JJ29" s="202">
        <f t="shared" si="73"/>
        <v>0</v>
      </c>
      <c r="JK29" s="202">
        <f t="shared" si="74"/>
        <v>0</v>
      </c>
      <c r="JL29" s="195"/>
      <c r="JM29" s="203">
        <f t="shared" si="164"/>
        <v>0</v>
      </c>
      <c r="JN29" s="195"/>
      <c r="JO29" s="196">
        <f t="shared" si="75"/>
        <v>0</v>
      </c>
      <c r="JP29" s="206">
        <f t="shared" si="76"/>
        <v>0</v>
      </c>
      <c r="JQ29" s="206">
        <f t="shared" si="77"/>
        <v>0</v>
      </c>
      <c r="JR29" s="206">
        <f t="shared" si="78"/>
        <v>0</v>
      </c>
      <c r="JS29" s="206">
        <f t="shared" si="79"/>
        <v>0</v>
      </c>
      <c r="JT29" s="206">
        <f t="shared" si="80"/>
        <v>0</v>
      </c>
      <c r="JU29" s="206">
        <f t="shared" si="81"/>
        <v>0</v>
      </c>
      <c r="JV29" s="206">
        <f t="shared" si="82"/>
        <v>0</v>
      </c>
      <c r="JW29" s="206">
        <f t="shared" si="83"/>
        <v>0</v>
      </c>
      <c r="JX29" s="206">
        <f t="shared" si="84"/>
        <v>0</v>
      </c>
      <c r="JY29" s="206">
        <f t="shared" si="85"/>
        <v>0</v>
      </c>
      <c r="JZ29" s="206">
        <f t="shared" si="86"/>
        <v>0</v>
      </c>
      <c r="KA29" s="206">
        <f t="shared" si="87"/>
        <v>0</v>
      </c>
      <c r="KB29" s="206">
        <f t="shared" si="88"/>
        <v>0</v>
      </c>
      <c r="KC29" s="195"/>
      <c r="KD29" s="206">
        <f t="shared" si="165"/>
        <v>0</v>
      </c>
      <c r="KE29" s="206">
        <f t="shared" si="90"/>
        <v>0</v>
      </c>
      <c r="KF29" s="206">
        <f t="shared" si="91"/>
        <v>0</v>
      </c>
      <c r="KG29" s="206">
        <f t="shared" si="92"/>
        <v>0</v>
      </c>
      <c r="KH29" s="206">
        <f t="shared" si="93"/>
        <v>0</v>
      </c>
      <c r="KI29" s="206">
        <f t="shared" si="94"/>
        <v>0</v>
      </c>
      <c r="KJ29" s="206">
        <f t="shared" si="95"/>
        <v>0</v>
      </c>
      <c r="KK29" s="206">
        <f t="shared" si="96"/>
        <v>0</v>
      </c>
      <c r="KL29" s="206">
        <f t="shared" si="97"/>
        <v>0</v>
      </c>
      <c r="KM29" s="206">
        <f t="shared" si="98"/>
        <v>0</v>
      </c>
      <c r="KN29" s="221">
        <f t="shared" si="99"/>
        <v>0</v>
      </c>
      <c r="KO29" s="221">
        <f t="shared" si="100"/>
        <v>0</v>
      </c>
      <c r="KP29" s="221">
        <f t="shared" si="101"/>
        <v>0</v>
      </c>
      <c r="KQ29" s="221">
        <f t="shared" si="102"/>
        <v>0</v>
      </c>
      <c r="KR29" s="221">
        <f t="shared" si="103"/>
        <v>0</v>
      </c>
      <c r="KS29" s="195"/>
      <c r="KT29" s="195">
        <f t="shared" si="104"/>
        <v>0</v>
      </c>
      <c r="KU29" s="221"/>
      <c r="KV29" s="221"/>
      <c r="KW29" s="221"/>
      <c r="KX29" s="221"/>
      <c r="KY29" s="221"/>
      <c r="KZ29" s="221"/>
      <c r="LA29" s="221"/>
      <c r="LB29" s="221"/>
      <c r="LC29" s="221"/>
      <c r="LD29" s="221"/>
      <c r="LE29" s="221"/>
      <c r="LF29" s="221"/>
      <c r="LG29" s="221"/>
      <c r="LH29" s="221"/>
      <c r="LI29" s="221"/>
      <c r="LJ29" s="221"/>
      <c r="LK29" s="221"/>
      <c r="LL29" s="221"/>
      <c r="LM29" s="221"/>
      <c r="LN29" s="221"/>
      <c r="LO29" s="221"/>
      <c r="LP29" s="221"/>
      <c r="LQ29" s="221"/>
      <c r="LR29" s="221"/>
      <c r="LS29" s="221"/>
      <c r="LT29" s="221"/>
      <c r="LU29" s="221"/>
      <c r="LV29" s="221"/>
      <c r="LW29" s="221"/>
      <c r="LX29" s="221"/>
      <c r="LY29" s="221"/>
      <c r="LZ29" s="221"/>
      <c r="MA29" s="221"/>
      <c r="MB29" s="221"/>
      <c r="MC29" s="221"/>
      <c r="MD29" s="221"/>
      <c r="ME29" s="221"/>
      <c r="MF29" s="221"/>
      <c r="MG29" s="221"/>
      <c r="MH29" s="221"/>
      <c r="MI29" s="221"/>
      <c r="MJ29" s="221"/>
      <c r="MK29" s="221"/>
      <c r="ML29" s="221"/>
      <c r="MM29" s="221"/>
      <c r="MN29" s="221"/>
      <c r="MO29" s="221"/>
      <c r="MP29" s="221"/>
      <c r="MQ29" s="221"/>
      <c r="MR29" s="221"/>
      <c r="MS29" s="221"/>
      <c r="MT29" s="221"/>
      <c r="MU29" s="221"/>
      <c r="MV29" s="221"/>
      <c r="MW29" s="221"/>
      <c r="MX29" s="221"/>
      <c r="MY29" s="221"/>
      <c r="MZ29" s="221"/>
      <c r="NA29" s="221"/>
      <c r="NB29" s="221"/>
      <c r="NC29" s="221"/>
      <c r="ND29" s="221"/>
      <c r="NE29" s="221"/>
      <c r="NF29" s="221"/>
      <c r="NG29" s="221"/>
      <c r="NH29" s="221"/>
      <c r="NI29" s="221"/>
      <c r="NJ29" s="221"/>
      <c r="NK29" s="221"/>
      <c r="NL29" s="195"/>
      <c r="NM29" s="195">
        <f t="shared" si="166"/>
        <v>0</v>
      </c>
      <c r="NN29" s="195">
        <f t="shared" si="167"/>
        <v>0</v>
      </c>
      <c r="NO29" s="195">
        <f t="shared" si="168"/>
        <v>0</v>
      </c>
      <c r="NP29" s="195">
        <f t="shared" si="169"/>
        <v>0</v>
      </c>
      <c r="NQ29" s="195">
        <f t="shared" si="170"/>
        <v>0</v>
      </c>
      <c r="NR29" s="195">
        <f t="shared" si="171"/>
        <v>0</v>
      </c>
      <c r="NS29" s="195">
        <f t="shared" si="172"/>
        <v>0</v>
      </c>
      <c r="NT29" s="195">
        <f t="shared" si="173"/>
        <v>0</v>
      </c>
      <c r="NU29" s="196">
        <f t="shared" si="174"/>
        <v>0</v>
      </c>
      <c r="NV29" s="195"/>
      <c r="NW29" s="195"/>
      <c r="NX29" s="195"/>
      <c r="NY29" s="196">
        <f t="shared" si="106"/>
        <v>1</v>
      </c>
      <c r="NZ29" s="222">
        <f t="shared" ref="NZ29:NZ32" si="198">371684600/46</f>
        <v>8080100</v>
      </c>
      <c r="OA29" s="195"/>
      <c r="OB29" s="195"/>
      <c r="OC29" s="195"/>
      <c r="OD29" s="195"/>
      <c r="OE29" s="207">
        <f t="shared" si="107"/>
        <v>0</v>
      </c>
      <c r="OF29" s="207">
        <f t="shared" si="108"/>
        <v>0</v>
      </c>
      <c r="OG29" s="207">
        <f t="shared" si="109"/>
        <v>0</v>
      </c>
      <c r="OH29" s="207">
        <f t="shared" si="175"/>
        <v>0</v>
      </c>
      <c r="OI29" s="207">
        <f t="shared" si="110"/>
        <v>0</v>
      </c>
      <c r="OJ29" s="199">
        <f t="shared" si="176"/>
        <v>0</v>
      </c>
      <c r="OK29" s="199">
        <f t="shared" si="177"/>
        <v>0</v>
      </c>
      <c r="OL29" s="199">
        <f t="shared" si="178"/>
        <v>0</v>
      </c>
      <c r="OM29" s="199">
        <f t="shared" si="179"/>
        <v>0</v>
      </c>
      <c r="ON29" s="195"/>
      <c r="OO29" s="207">
        <f t="shared" si="111"/>
        <v>0</v>
      </c>
      <c r="OP29" s="207">
        <f t="shared" si="112"/>
        <v>0</v>
      </c>
      <c r="OQ29" s="207">
        <f t="shared" si="180"/>
        <v>0</v>
      </c>
      <c r="OR29" s="207">
        <f t="shared" si="181"/>
        <v>0</v>
      </c>
      <c r="OS29" s="207">
        <f t="shared" si="182"/>
        <v>0</v>
      </c>
      <c r="OT29" s="199">
        <f t="shared" si="183"/>
        <v>0</v>
      </c>
      <c r="OU29" s="199">
        <f t="shared" si="184"/>
        <v>0</v>
      </c>
      <c r="OV29" s="199">
        <f t="shared" si="185"/>
        <v>0</v>
      </c>
      <c r="OW29" s="199">
        <f t="shared" si="186"/>
        <v>0</v>
      </c>
      <c r="OX29" s="195"/>
      <c r="OY29" s="195"/>
      <c r="OZ29" s="195"/>
      <c r="PA29" s="209"/>
      <c r="PB29" s="209"/>
      <c r="PC29" s="209"/>
      <c r="PD29" s="210">
        <f t="shared" si="113"/>
        <v>0</v>
      </c>
      <c r="PE29" s="210"/>
      <c r="PF29" s="210">
        <f t="shared" si="114"/>
        <v>0</v>
      </c>
      <c r="PG29" s="210">
        <f t="shared" si="115"/>
        <v>0</v>
      </c>
      <c r="PH29" s="210">
        <f t="shared" si="115"/>
        <v>0</v>
      </c>
      <c r="PI29" s="210">
        <f t="shared" si="115"/>
        <v>0</v>
      </c>
      <c r="PJ29" s="210">
        <f t="shared" si="115"/>
        <v>0</v>
      </c>
      <c r="PK29" s="210">
        <f t="shared" si="115"/>
        <v>0</v>
      </c>
      <c r="PL29" s="210">
        <f t="shared" si="115"/>
        <v>0</v>
      </c>
      <c r="PM29" s="195"/>
      <c r="PN29" s="195"/>
      <c r="PO29" s="212">
        <f t="shared" si="187"/>
        <v>0</v>
      </c>
      <c r="PP29" s="212">
        <f t="shared" si="188"/>
        <v>0</v>
      </c>
      <c r="PQ29" s="212">
        <f t="shared" si="189"/>
        <v>0</v>
      </c>
    </row>
    <row r="30" spans="1:433" ht="16" x14ac:dyDescent="0.2">
      <c r="A30" s="213">
        <f t="shared" si="190"/>
        <v>22</v>
      </c>
      <c r="B30" s="186" t="s">
        <v>106</v>
      </c>
      <c r="C30" s="186">
        <v>22</v>
      </c>
      <c r="D30" s="188">
        <v>1</v>
      </c>
      <c r="E30" s="188">
        <v>60</v>
      </c>
      <c r="F30" s="188">
        <v>1</v>
      </c>
      <c r="G30" s="188">
        <f t="shared" si="116"/>
        <v>60</v>
      </c>
      <c r="H30" s="214">
        <f t="shared" si="2"/>
        <v>1</v>
      </c>
      <c r="I30" s="214">
        <f t="shared" si="3"/>
        <v>1</v>
      </c>
      <c r="J30" s="188">
        <v>1</v>
      </c>
      <c r="K30" s="188">
        <f t="shared" si="4"/>
        <v>60</v>
      </c>
      <c r="L30" s="214">
        <f t="shared" si="5"/>
        <v>1</v>
      </c>
      <c r="M30" s="214">
        <f t="shared" si="6"/>
        <v>1</v>
      </c>
      <c r="N30" s="188">
        <v>1</v>
      </c>
      <c r="O30" s="188">
        <f t="shared" si="7"/>
        <v>60</v>
      </c>
      <c r="P30" s="214">
        <f t="shared" si="8"/>
        <v>1</v>
      </c>
      <c r="Q30" s="214">
        <f t="shared" si="9"/>
        <v>1</v>
      </c>
      <c r="R30" s="188">
        <v>1</v>
      </c>
      <c r="S30" s="188">
        <f t="shared" si="117"/>
        <v>60</v>
      </c>
      <c r="T30" s="214">
        <f t="shared" si="118"/>
        <v>1</v>
      </c>
      <c r="U30" s="214">
        <f t="shared" si="119"/>
        <v>1</v>
      </c>
      <c r="V30" s="188">
        <v>1</v>
      </c>
      <c r="W30" s="188">
        <f t="shared" si="10"/>
        <v>60</v>
      </c>
      <c r="X30" s="214">
        <f t="shared" si="11"/>
        <v>1</v>
      </c>
      <c r="Y30" s="214">
        <f t="shared" si="12"/>
        <v>1</v>
      </c>
      <c r="Z30" s="224">
        <f>510177000/1000000000</f>
        <v>0.51017699999999999</v>
      </c>
      <c r="AA30" s="188"/>
      <c r="AB30" s="189">
        <f t="shared" si="120"/>
        <v>0</v>
      </c>
      <c r="AC30" s="250">
        <f t="shared" si="121"/>
        <v>0</v>
      </c>
      <c r="AD30" s="250">
        <f t="shared" si="122"/>
        <v>0</v>
      </c>
      <c r="AE30" s="188"/>
      <c r="AF30" s="188">
        <f t="shared" si="15"/>
        <v>0</v>
      </c>
      <c r="AG30" s="187"/>
      <c r="AH30" s="187"/>
      <c r="AI30" s="188">
        <v>0</v>
      </c>
      <c r="AJ30" s="188">
        <f t="shared" si="16"/>
        <v>0</v>
      </c>
      <c r="AK30" s="188"/>
      <c r="AL30" s="188">
        <v>0</v>
      </c>
      <c r="AM30" s="188">
        <v>0</v>
      </c>
      <c r="AN30" s="217"/>
      <c r="AO30" s="196">
        <f t="shared" si="123"/>
        <v>0</v>
      </c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5"/>
      <c r="BB30" s="188">
        <f t="shared" si="17"/>
        <v>0</v>
      </c>
      <c r="BC30" s="195"/>
      <c r="BD30" s="196"/>
      <c r="BE30" s="188">
        <f t="shared" si="18"/>
        <v>0</v>
      </c>
      <c r="BF30" s="188">
        <f t="shared" si="19"/>
        <v>0</v>
      </c>
      <c r="BG30" s="188">
        <f t="shared" si="20"/>
        <v>0</v>
      </c>
      <c r="BH30" s="188">
        <f t="shared" si="21"/>
        <v>0</v>
      </c>
      <c r="BI30" s="188">
        <f t="shared" si="22"/>
        <v>0</v>
      </c>
      <c r="BJ30" s="188">
        <f t="shared" si="23"/>
        <v>0</v>
      </c>
      <c r="BK30" s="188">
        <f t="shared" si="124"/>
        <v>0</v>
      </c>
      <c r="BL30" s="195"/>
      <c r="BM30" s="195"/>
      <c r="BN30" s="143">
        <v>28</v>
      </c>
      <c r="BO30" s="277">
        <v>1</v>
      </c>
      <c r="BP30" s="188"/>
      <c r="BQ30" s="188"/>
      <c r="BR30" s="188"/>
      <c r="BS30" s="188"/>
      <c r="BT30" s="188"/>
      <c r="BU30" s="188"/>
      <c r="BV30" s="188"/>
      <c r="BW30" s="188"/>
      <c r="BX30" s="188"/>
      <c r="BY30" s="188"/>
      <c r="BZ30" s="188"/>
      <c r="CA30" s="195"/>
      <c r="CB30" s="189">
        <v>0</v>
      </c>
      <c r="CC30" s="195"/>
      <c r="CD30" s="189">
        <f t="shared" si="125"/>
        <v>28</v>
      </c>
      <c r="CE30" s="189">
        <f t="shared" si="191"/>
        <v>28</v>
      </c>
      <c r="CF30" s="189">
        <f t="shared" si="126"/>
        <v>0</v>
      </c>
      <c r="CG30" s="189">
        <f t="shared" si="127"/>
        <v>0</v>
      </c>
      <c r="CH30" s="189">
        <f t="shared" si="128"/>
        <v>0</v>
      </c>
      <c r="CI30" s="189">
        <f t="shared" si="129"/>
        <v>0</v>
      </c>
      <c r="CJ30" s="189">
        <f t="shared" si="130"/>
        <v>0</v>
      </c>
      <c r="CK30" s="189">
        <f t="shared" si="131"/>
        <v>0</v>
      </c>
      <c r="CL30" s="189">
        <f t="shared" si="132"/>
        <v>0</v>
      </c>
      <c r="CM30" s="189">
        <f t="shared" si="133"/>
        <v>0</v>
      </c>
      <c r="CN30" s="189">
        <f t="shared" si="134"/>
        <v>0</v>
      </c>
      <c r="CO30" s="189">
        <f t="shared" si="135"/>
        <v>0</v>
      </c>
      <c r="CP30" s="189">
        <f t="shared" si="136"/>
        <v>0</v>
      </c>
      <c r="CQ30" s="195"/>
      <c r="CR30" s="195"/>
      <c r="CS30" s="195"/>
      <c r="CT30" s="195"/>
      <c r="CU30" s="195"/>
      <c r="CV30" s="195"/>
      <c r="CW30" s="195"/>
      <c r="CX30" s="195"/>
      <c r="CY30" s="195"/>
      <c r="CZ30" s="195"/>
      <c r="DA30" s="195"/>
      <c r="DB30" s="195"/>
      <c r="DC30" s="195"/>
      <c r="DD30" s="195"/>
      <c r="DE30" s="195"/>
      <c r="DF30" s="195"/>
      <c r="DG30" s="195"/>
      <c r="DH30" s="195"/>
      <c r="DI30" s="195"/>
      <c r="DJ30" s="195"/>
      <c r="DK30" s="195"/>
      <c r="DL30" s="195"/>
      <c r="DM30" s="195"/>
      <c r="DN30" s="195"/>
      <c r="DO30" s="195"/>
      <c r="DP30" s="195"/>
      <c r="DQ30" s="195"/>
      <c r="DR30" s="195"/>
      <c r="DS30" s="195"/>
      <c r="DT30" s="195"/>
      <c r="DU30" s="195"/>
      <c r="DV30" s="189">
        <f t="shared" si="26"/>
        <v>0</v>
      </c>
      <c r="DW30" s="189">
        <f t="shared" si="27"/>
        <v>0</v>
      </c>
      <c r="DX30" s="189">
        <f t="shared" si="28"/>
        <v>0</v>
      </c>
      <c r="DY30" s="189">
        <f t="shared" si="29"/>
        <v>0</v>
      </c>
      <c r="DZ30" s="189">
        <f t="shared" si="30"/>
        <v>0</v>
      </c>
      <c r="EA30" s="189">
        <f t="shared" si="31"/>
        <v>0</v>
      </c>
      <c r="EB30" s="189">
        <f t="shared" si="137"/>
        <v>0</v>
      </c>
      <c r="EC30" s="195"/>
      <c r="ED30" s="195"/>
      <c r="EE30" s="195"/>
      <c r="EF30" s="195"/>
      <c r="EG30" s="252">
        <f t="shared" si="138"/>
        <v>0</v>
      </c>
      <c r="EH30" s="252">
        <f t="shared" si="139"/>
        <v>0</v>
      </c>
      <c r="EI30" s="189"/>
      <c r="EJ30" s="189"/>
      <c r="EK30" s="189"/>
      <c r="EL30" s="189"/>
      <c r="EM30" s="189"/>
      <c r="EN30" s="189"/>
      <c r="EO30" s="189"/>
      <c r="EP30" s="189"/>
      <c r="EQ30" s="189"/>
      <c r="ER30" s="189"/>
      <c r="ES30" s="189"/>
      <c r="ET30" s="189"/>
      <c r="EU30" s="189"/>
      <c r="EV30" s="189"/>
      <c r="EW30" s="189"/>
      <c r="EX30" s="189"/>
      <c r="EY30" s="189"/>
      <c r="EZ30" s="189"/>
      <c r="FA30" s="189"/>
      <c r="FB30" s="189"/>
      <c r="FC30" s="189"/>
      <c r="FD30" s="189"/>
      <c r="FE30" s="189"/>
      <c r="FF30" s="189"/>
      <c r="FG30" s="195"/>
      <c r="FH30" s="189"/>
      <c r="FI30" s="189"/>
      <c r="FJ30" s="189"/>
      <c r="FK30" s="189"/>
      <c r="FL30" s="189"/>
      <c r="FM30" s="189"/>
      <c r="FN30" s="189"/>
      <c r="FO30" s="189"/>
      <c r="FP30" s="189"/>
      <c r="FQ30" s="189"/>
      <c r="FR30" s="189"/>
      <c r="FS30" s="189"/>
      <c r="FT30" s="189"/>
      <c r="FU30" s="189"/>
      <c r="FV30" s="189"/>
      <c r="FW30" s="195"/>
      <c r="FX30" s="253">
        <v>1</v>
      </c>
      <c r="FY30" s="189">
        <f t="shared" si="140"/>
        <v>28</v>
      </c>
      <c r="FZ30" s="189">
        <f t="shared" si="33"/>
        <v>28</v>
      </c>
      <c r="GA30" s="189">
        <f t="shared" si="34"/>
        <v>0</v>
      </c>
      <c r="GB30" s="189">
        <f t="shared" si="35"/>
        <v>0</v>
      </c>
      <c r="GC30" s="189">
        <f t="shared" si="36"/>
        <v>0</v>
      </c>
      <c r="GD30" s="189">
        <f t="shared" si="37"/>
        <v>0</v>
      </c>
      <c r="GE30" s="189">
        <f t="shared" si="38"/>
        <v>0</v>
      </c>
      <c r="GF30" s="199"/>
      <c r="GG30" s="189">
        <v>0</v>
      </c>
      <c r="GH30" s="189">
        <v>0</v>
      </c>
      <c r="GI30" s="199"/>
      <c r="GJ30" s="200">
        <f t="shared" si="141"/>
        <v>0</v>
      </c>
      <c r="GK30" s="200">
        <f t="shared" si="142"/>
        <v>0</v>
      </c>
      <c r="GL30" s="195"/>
      <c r="GM30" s="195"/>
      <c r="GN30" s="195"/>
      <c r="GO30" s="189">
        <f t="shared" si="39"/>
        <v>0</v>
      </c>
      <c r="GP30" s="189">
        <f t="shared" si="40"/>
        <v>0</v>
      </c>
      <c r="GQ30" s="189">
        <f t="shared" si="41"/>
        <v>0</v>
      </c>
      <c r="GR30" s="189">
        <f t="shared" si="42"/>
        <v>0</v>
      </c>
      <c r="GS30" s="189">
        <f t="shared" si="43"/>
        <v>0</v>
      </c>
      <c r="GT30" s="189">
        <f t="shared" si="143"/>
        <v>1</v>
      </c>
      <c r="GU30" s="201">
        <f t="shared" si="144"/>
        <v>43243</v>
      </c>
      <c r="GV30" s="189" t="str">
        <f t="shared" si="145"/>
        <v>SELESAI</v>
      </c>
      <c r="GW30" s="189">
        <f t="shared" si="146"/>
        <v>0</v>
      </c>
      <c r="GX30" s="202" t="str">
        <f t="shared" si="147"/>
        <v>SELESAI</v>
      </c>
      <c r="GY30" s="202">
        <f t="shared" si="148"/>
        <v>0</v>
      </c>
      <c r="GZ30" s="203" t="str">
        <f t="shared" si="149"/>
        <v>SELESAI</v>
      </c>
      <c r="HA30" s="204"/>
      <c r="HB30" s="204"/>
      <c r="HC30" s="189">
        <f t="shared" si="44"/>
        <v>0</v>
      </c>
      <c r="HD30" s="189">
        <f t="shared" si="45"/>
        <v>0</v>
      </c>
      <c r="HE30" s="189">
        <f t="shared" si="150"/>
        <v>0</v>
      </c>
      <c r="HF30" s="189">
        <f t="shared" si="151"/>
        <v>0</v>
      </c>
      <c r="HG30" s="189">
        <f t="shared" si="152"/>
        <v>0</v>
      </c>
      <c r="HH30" s="201" t="str">
        <f t="shared" si="46"/>
        <v>TIDAK KONSINYASI</v>
      </c>
      <c r="HI30" s="201" t="str">
        <f t="shared" si="153"/>
        <v>SELESAI</v>
      </c>
      <c r="HJ30" s="205"/>
      <c r="HK30" s="201">
        <f t="shared" si="47"/>
        <v>0</v>
      </c>
      <c r="HL30" s="204"/>
      <c r="HM30" s="204"/>
      <c r="HN30" s="204"/>
      <c r="HO30" s="204"/>
      <c r="HP30" s="203">
        <f t="shared" si="154"/>
        <v>0</v>
      </c>
      <c r="HQ30" s="202">
        <f t="shared" si="155"/>
        <v>0</v>
      </c>
      <c r="HR30" s="202">
        <f t="shared" si="48"/>
        <v>0</v>
      </c>
      <c r="HS30" s="203">
        <f t="shared" si="156"/>
        <v>0</v>
      </c>
      <c r="HT30" s="202">
        <f t="shared" si="157"/>
        <v>0</v>
      </c>
      <c r="HU30" s="202">
        <f t="shared" si="49"/>
        <v>0</v>
      </c>
      <c r="HV30" s="203">
        <f t="shared" si="158"/>
        <v>0</v>
      </c>
      <c r="HW30" s="202">
        <f t="shared" si="50"/>
        <v>0</v>
      </c>
      <c r="HX30" s="202">
        <f t="shared" si="51"/>
        <v>0</v>
      </c>
      <c r="HY30" s="203">
        <f t="shared" si="52"/>
        <v>0</v>
      </c>
      <c r="HZ30" s="202">
        <f t="shared" si="159"/>
        <v>0</v>
      </c>
      <c r="IA30" s="202">
        <f t="shared" si="53"/>
        <v>0</v>
      </c>
      <c r="IB30" s="203">
        <f t="shared" si="160"/>
        <v>0</v>
      </c>
      <c r="IC30" s="202">
        <f t="shared" si="54"/>
        <v>0</v>
      </c>
      <c r="ID30" s="202">
        <f t="shared" si="55"/>
        <v>0</v>
      </c>
      <c r="IE30" s="203">
        <f t="shared" si="56"/>
        <v>0</v>
      </c>
      <c r="IF30" s="202">
        <f t="shared" si="57"/>
        <v>0</v>
      </c>
      <c r="IG30" s="202">
        <f t="shared" si="58"/>
        <v>0</v>
      </c>
      <c r="IH30" s="203">
        <f t="shared" si="161"/>
        <v>0</v>
      </c>
      <c r="II30" s="202">
        <f t="shared" si="162"/>
        <v>0</v>
      </c>
      <c r="IJ30" s="202">
        <f t="shared" si="59"/>
        <v>0</v>
      </c>
      <c r="IK30" s="203">
        <f t="shared" si="60"/>
        <v>0</v>
      </c>
      <c r="IL30" s="202">
        <f t="shared" si="61"/>
        <v>0</v>
      </c>
      <c r="IM30" s="202">
        <f t="shared" si="62"/>
        <v>0</v>
      </c>
      <c r="IN30" s="204"/>
      <c r="IO30" s="203">
        <f t="shared" si="63"/>
        <v>0</v>
      </c>
      <c r="IP30" s="202">
        <f t="shared" si="64"/>
        <v>0</v>
      </c>
      <c r="IQ30" s="202">
        <f t="shared" si="65"/>
        <v>0</v>
      </c>
      <c r="IR30" s="204"/>
      <c r="IS30" s="203"/>
      <c r="IT30" s="202">
        <f t="shared" si="66"/>
        <v>1</v>
      </c>
      <c r="IU30" s="202">
        <f t="shared" si="67"/>
        <v>60</v>
      </c>
      <c r="IV30" s="204"/>
      <c r="IW30" s="203"/>
      <c r="IX30" s="202">
        <f t="shared" si="68"/>
        <v>0</v>
      </c>
      <c r="IY30" s="202">
        <f t="shared" si="69"/>
        <v>0</v>
      </c>
      <c r="IZ30" s="204"/>
      <c r="JA30" s="203"/>
      <c r="JB30" s="202">
        <f t="shared" si="70"/>
        <v>0</v>
      </c>
      <c r="JC30" s="202">
        <f t="shared" si="71"/>
        <v>0</v>
      </c>
      <c r="JD30" s="204"/>
      <c r="JE30" s="203"/>
      <c r="JF30" s="202">
        <f t="shared" si="163"/>
        <v>1</v>
      </c>
      <c r="JG30" s="202">
        <f t="shared" si="72"/>
        <v>60</v>
      </c>
      <c r="JH30" s="204"/>
      <c r="JI30" s="203"/>
      <c r="JJ30" s="202">
        <f t="shared" si="73"/>
        <v>0</v>
      </c>
      <c r="JK30" s="202">
        <f t="shared" si="74"/>
        <v>0</v>
      </c>
      <c r="JL30" s="195"/>
      <c r="JM30" s="203">
        <f t="shared" si="164"/>
        <v>0</v>
      </c>
      <c r="JN30" s="195"/>
      <c r="JO30" s="196">
        <f t="shared" si="75"/>
        <v>1</v>
      </c>
      <c r="JP30" s="206">
        <f t="shared" si="76"/>
        <v>28</v>
      </c>
      <c r="JQ30" s="206">
        <f t="shared" si="77"/>
        <v>1</v>
      </c>
      <c r="JR30" s="206">
        <f t="shared" si="78"/>
        <v>0</v>
      </c>
      <c r="JS30" s="206">
        <f t="shared" si="79"/>
        <v>0</v>
      </c>
      <c r="JT30" s="206">
        <f t="shared" si="80"/>
        <v>0</v>
      </c>
      <c r="JU30" s="206">
        <f t="shared" si="81"/>
        <v>0</v>
      </c>
      <c r="JV30" s="206">
        <f t="shared" si="82"/>
        <v>0</v>
      </c>
      <c r="JW30" s="206">
        <f t="shared" si="83"/>
        <v>0</v>
      </c>
      <c r="JX30" s="206">
        <f t="shared" si="84"/>
        <v>0</v>
      </c>
      <c r="JY30" s="206">
        <f t="shared" si="85"/>
        <v>0</v>
      </c>
      <c r="JZ30" s="206">
        <f t="shared" si="86"/>
        <v>0</v>
      </c>
      <c r="KA30" s="206">
        <f t="shared" si="87"/>
        <v>0</v>
      </c>
      <c r="KB30" s="206">
        <f t="shared" si="88"/>
        <v>0</v>
      </c>
      <c r="KC30" s="195"/>
      <c r="KD30" s="206">
        <f t="shared" si="165"/>
        <v>0</v>
      </c>
      <c r="KE30" s="206">
        <f t="shared" si="90"/>
        <v>0</v>
      </c>
      <c r="KF30" s="206">
        <f t="shared" si="91"/>
        <v>28</v>
      </c>
      <c r="KG30" s="206">
        <f t="shared" si="92"/>
        <v>28</v>
      </c>
      <c r="KH30" s="206">
        <f t="shared" si="93"/>
        <v>0</v>
      </c>
      <c r="KI30" s="206">
        <f t="shared" si="94"/>
        <v>0</v>
      </c>
      <c r="KJ30" s="206">
        <f t="shared" si="95"/>
        <v>0</v>
      </c>
      <c r="KK30" s="206">
        <f t="shared" si="96"/>
        <v>0</v>
      </c>
      <c r="KL30" s="206">
        <f t="shared" si="97"/>
        <v>0</v>
      </c>
      <c r="KM30" s="206">
        <f t="shared" si="98"/>
        <v>0</v>
      </c>
      <c r="KN30" s="221">
        <f t="shared" si="99"/>
        <v>0</v>
      </c>
      <c r="KO30" s="221">
        <f t="shared" si="100"/>
        <v>0</v>
      </c>
      <c r="KP30" s="221">
        <f t="shared" si="101"/>
        <v>0</v>
      </c>
      <c r="KQ30" s="221">
        <f t="shared" si="102"/>
        <v>0</v>
      </c>
      <c r="KR30" s="221">
        <f t="shared" si="103"/>
        <v>0</v>
      </c>
      <c r="KS30" s="195"/>
      <c r="KT30" s="195">
        <f t="shared" si="104"/>
        <v>0</v>
      </c>
      <c r="KU30" s="221"/>
      <c r="KV30" s="221"/>
      <c r="KW30" s="221"/>
      <c r="KX30" s="221"/>
      <c r="KY30" s="221"/>
      <c r="KZ30" s="221"/>
      <c r="LA30" s="221"/>
      <c r="LB30" s="221"/>
      <c r="LC30" s="221"/>
      <c r="LD30" s="221"/>
      <c r="LE30" s="221"/>
      <c r="LF30" s="221"/>
      <c r="LG30" s="221"/>
      <c r="LH30" s="221"/>
      <c r="LI30" s="221"/>
      <c r="LJ30" s="221"/>
      <c r="LK30" s="221"/>
      <c r="LL30" s="221"/>
      <c r="LM30" s="221"/>
      <c r="LN30" s="221"/>
      <c r="LO30" s="221"/>
      <c r="LP30" s="221"/>
      <c r="LQ30" s="221"/>
      <c r="LR30" s="221"/>
      <c r="LS30" s="221"/>
      <c r="LT30" s="221"/>
      <c r="LU30" s="221"/>
      <c r="LV30" s="221"/>
      <c r="LW30" s="221"/>
      <c r="LX30" s="221"/>
      <c r="LY30" s="221"/>
      <c r="LZ30" s="221"/>
      <c r="MA30" s="221"/>
      <c r="MB30" s="221"/>
      <c r="MC30" s="221"/>
      <c r="MD30" s="221"/>
      <c r="ME30" s="221"/>
      <c r="MF30" s="221"/>
      <c r="MG30" s="221"/>
      <c r="MH30" s="221"/>
      <c r="MI30" s="221"/>
      <c r="MJ30" s="221"/>
      <c r="MK30" s="221"/>
      <c r="ML30" s="221"/>
      <c r="MM30" s="221"/>
      <c r="MN30" s="221"/>
      <c r="MO30" s="221"/>
      <c r="MP30" s="221"/>
      <c r="MQ30" s="221"/>
      <c r="MR30" s="221"/>
      <c r="MS30" s="221"/>
      <c r="MT30" s="221"/>
      <c r="MU30" s="221"/>
      <c r="MV30" s="221"/>
      <c r="MW30" s="221"/>
      <c r="MX30" s="221"/>
      <c r="MY30" s="221"/>
      <c r="MZ30" s="221"/>
      <c r="NA30" s="221"/>
      <c r="NB30" s="221"/>
      <c r="NC30" s="221"/>
      <c r="ND30" s="221"/>
      <c r="NE30" s="221"/>
      <c r="NF30" s="221"/>
      <c r="NG30" s="221"/>
      <c r="NH30" s="221"/>
      <c r="NI30" s="221"/>
      <c r="NJ30" s="221"/>
      <c r="NK30" s="221"/>
      <c r="NL30" s="195"/>
      <c r="NM30" s="195">
        <f t="shared" si="166"/>
        <v>0</v>
      </c>
      <c r="NN30" s="195">
        <f t="shared" si="167"/>
        <v>0</v>
      </c>
      <c r="NO30" s="195">
        <f t="shared" si="168"/>
        <v>0</v>
      </c>
      <c r="NP30" s="195">
        <f t="shared" si="169"/>
        <v>0</v>
      </c>
      <c r="NQ30" s="195">
        <f t="shared" si="170"/>
        <v>0</v>
      </c>
      <c r="NR30" s="195">
        <f t="shared" si="171"/>
        <v>0</v>
      </c>
      <c r="NS30" s="195">
        <f t="shared" si="172"/>
        <v>0</v>
      </c>
      <c r="NT30" s="195">
        <f t="shared" si="173"/>
        <v>0</v>
      </c>
      <c r="NU30" s="196">
        <f t="shared" si="174"/>
        <v>0</v>
      </c>
      <c r="NV30" s="195"/>
      <c r="NW30" s="195"/>
      <c r="NX30" s="195"/>
      <c r="NY30" s="196">
        <f t="shared" si="106"/>
        <v>1</v>
      </c>
      <c r="NZ30" s="222">
        <f t="shared" si="198"/>
        <v>8080100</v>
      </c>
      <c r="OA30" s="195"/>
      <c r="OB30" s="195"/>
      <c r="OC30" s="195"/>
      <c r="OD30" s="195"/>
      <c r="OE30" s="207">
        <f t="shared" si="107"/>
        <v>0</v>
      </c>
      <c r="OF30" s="207">
        <f t="shared" si="108"/>
        <v>0</v>
      </c>
      <c r="OG30" s="207">
        <f t="shared" si="109"/>
        <v>0</v>
      </c>
      <c r="OH30" s="207">
        <f t="shared" si="175"/>
        <v>0</v>
      </c>
      <c r="OI30" s="207">
        <f t="shared" si="110"/>
        <v>0</v>
      </c>
      <c r="OJ30" s="199">
        <f t="shared" si="176"/>
        <v>0</v>
      </c>
      <c r="OK30" s="199">
        <f t="shared" si="177"/>
        <v>0</v>
      </c>
      <c r="OL30" s="199">
        <f t="shared" si="178"/>
        <v>0</v>
      </c>
      <c r="OM30" s="199">
        <f t="shared" si="179"/>
        <v>0</v>
      </c>
      <c r="ON30" s="195"/>
      <c r="OO30" s="207">
        <f t="shared" si="111"/>
        <v>0</v>
      </c>
      <c r="OP30" s="207">
        <f t="shared" si="112"/>
        <v>0</v>
      </c>
      <c r="OQ30" s="207">
        <f t="shared" si="180"/>
        <v>0</v>
      </c>
      <c r="OR30" s="207">
        <f t="shared" si="181"/>
        <v>0</v>
      </c>
      <c r="OS30" s="207">
        <f t="shared" si="182"/>
        <v>0</v>
      </c>
      <c r="OT30" s="199">
        <f t="shared" si="183"/>
        <v>0</v>
      </c>
      <c r="OU30" s="199">
        <f t="shared" si="184"/>
        <v>0</v>
      </c>
      <c r="OV30" s="199">
        <f t="shared" si="185"/>
        <v>0</v>
      </c>
      <c r="OW30" s="199">
        <f t="shared" si="186"/>
        <v>0</v>
      </c>
      <c r="OX30" s="195"/>
      <c r="OY30" s="195"/>
      <c r="OZ30" s="195"/>
      <c r="PA30" s="209"/>
      <c r="PB30" s="209"/>
      <c r="PC30" s="209"/>
      <c r="PD30" s="210">
        <f t="shared" si="113"/>
        <v>0</v>
      </c>
      <c r="PE30" s="210"/>
      <c r="PF30" s="210">
        <f t="shared" si="114"/>
        <v>0</v>
      </c>
      <c r="PG30" s="210">
        <f t="shared" si="115"/>
        <v>0</v>
      </c>
      <c r="PH30" s="210">
        <f t="shared" si="115"/>
        <v>0</v>
      </c>
      <c r="PI30" s="210">
        <f t="shared" si="115"/>
        <v>0</v>
      </c>
      <c r="PJ30" s="210">
        <f t="shared" si="115"/>
        <v>0</v>
      </c>
      <c r="PK30" s="210">
        <f t="shared" si="115"/>
        <v>0</v>
      </c>
      <c r="PL30" s="210">
        <f t="shared" si="115"/>
        <v>0</v>
      </c>
      <c r="PM30" s="195"/>
      <c r="PN30" s="195"/>
      <c r="PO30" s="212">
        <f t="shared" si="187"/>
        <v>0</v>
      </c>
      <c r="PP30" s="212">
        <f t="shared" si="188"/>
        <v>0</v>
      </c>
      <c r="PQ30" s="212">
        <f t="shared" si="189"/>
        <v>0</v>
      </c>
    </row>
    <row r="31" spans="1:433" ht="16" x14ac:dyDescent="0.2">
      <c r="A31" s="213">
        <f t="shared" ref="A31" si="199">A30+1</f>
        <v>23</v>
      </c>
      <c r="B31" s="186" t="s">
        <v>107</v>
      </c>
      <c r="C31" s="186">
        <v>23</v>
      </c>
      <c r="D31" s="188">
        <v>1</v>
      </c>
      <c r="E31" s="188">
        <v>60</v>
      </c>
      <c r="F31" s="188">
        <v>1</v>
      </c>
      <c r="G31" s="188">
        <f t="shared" si="116"/>
        <v>60</v>
      </c>
      <c r="H31" s="214">
        <f t="shared" si="2"/>
        <v>1</v>
      </c>
      <c r="I31" s="214">
        <f t="shared" si="3"/>
        <v>1</v>
      </c>
      <c r="J31" s="188">
        <v>1</v>
      </c>
      <c r="K31" s="188">
        <f t="shared" si="4"/>
        <v>60</v>
      </c>
      <c r="L31" s="214">
        <f t="shared" si="5"/>
        <v>1</v>
      </c>
      <c r="M31" s="214">
        <f t="shared" si="6"/>
        <v>1</v>
      </c>
      <c r="N31" s="188">
        <v>1</v>
      </c>
      <c r="O31" s="188">
        <f t="shared" si="7"/>
        <v>60</v>
      </c>
      <c r="P31" s="214">
        <f t="shared" si="8"/>
        <v>1</v>
      </c>
      <c r="Q31" s="214">
        <f t="shared" si="9"/>
        <v>1</v>
      </c>
      <c r="R31" s="188">
        <v>1</v>
      </c>
      <c r="S31" s="188">
        <f t="shared" si="117"/>
        <v>60</v>
      </c>
      <c r="T31" s="214">
        <f t="shared" si="118"/>
        <v>1</v>
      </c>
      <c r="U31" s="214">
        <f t="shared" si="119"/>
        <v>1</v>
      </c>
      <c r="V31" s="188">
        <v>1</v>
      </c>
      <c r="W31" s="188">
        <f t="shared" si="10"/>
        <v>60</v>
      </c>
      <c r="X31" s="214">
        <f t="shared" si="11"/>
        <v>1</v>
      </c>
      <c r="Y31" s="214">
        <f t="shared" si="12"/>
        <v>1</v>
      </c>
      <c r="Z31" s="224">
        <f>845393000/1000000000</f>
        <v>0.84539299999999995</v>
      </c>
      <c r="AA31" s="188"/>
      <c r="AB31" s="189">
        <f t="shared" si="120"/>
        <v>0</v>
      </c>
      <c r="AC31" s="250">
        <f t="shared" si="121"/>
        <v>0</v>
      </c>
      <c r="AD31" s="250">
        <f t="shared" si="122"/>
        <v>0</v>
      </c>
      <c r="AE31" s="188"/>
      <c r="AF31" s="188">
        <f t="shared" si="15"/>
        <v>0</v>
      </c>
      <c r="AG31" s="187"/>
      <c r="AH31" s="187"/>
      <c r="AI31" s="188">
        <v>0</v>
      </c>
      <c r="AJ31" s="188">
        <f t="shared" si="16"/>
        <v>0</v>
      </c>
      <c r="AK31" s="188"/>
      <c r="AL31" s="188">
        <v>0</v>
      </c>
      <c r="AM31" s="188">
        <v>0</v>
      </c>
      <c r="AN31" s="217"/>
      <c r="AO31" s="196">
        <f t="shared" si="123"/>
        <v>0</v>
      </c>
      <c r="AP31" s="195"/>
      <c r="AQ31" s="195"/>
      <c r="AR31" s="195"/>
      <c r="AS31" s="195"/>
      <c r="AT31" s="195"/>
      <c r="AU31" s="195"/>
      <c r="AV31" s="195"/>
      <c r="AW31" s="195"/>
      <c r="AX31" s="195"/>
      <c r="AY31" s="195"/>
      <c r="AZ31" s="195"/>
      <c r="BA31" s="195"/>
      <c r="BB31" s="188">
        <f t="shared" si="17"/>
        <v>0</v>
      </c>
      <c r="BC31" s="195"/>
      <c r="BD31" s="196"/>
      <c r="BE31" s="188">
        <f t="shared" si="18"/>
        <v>0</v>
      </c>
      <c r="BF31" s="188">
        <f t="shared" si="19"/>
        <v>0</v>
      </c>
      <c r="BG31" s="188">
        <f t="shared" si="20"/>
        <v>0</v>
      </c>
      <c r="BH31" s="188">
        <f t="shared" si="21"/>
        <v>0</v>
      </c>
      <c r="BI31" s="188">
        <f t="shared" si="22"/>
        <v>0</v>
      </c>
      <c r="BJ31" s="188">
        <f t="shared" si="23"/>
        <v>0</v>
      </c>
      <c r="BK31" s="188">
        <f t="shared" si="124"/>
        <v>0</v>
      </c>
      <c r="BL31" s="195"/>
      <c r="BM31" s="195"/>
      <c r="BN31" s="277">
        <v>4</v>
      </c>
      <c r="BO31" s="283">
        <v>1</v>
      </c>
      <c r="BP31" s="188"/>
      <c r="BQ31" s="188"/>
      <c r="BR31" s="188"/>
      <c r="BS31" s="188"/>
      <c r="BT31" s="188"/>
      <c r="BU31" s="188"/>
      <c r="BV31" s="188"/>
      <c r="BW31" s="188"/>
      <c r="BX31" s="188"/>
      <c r="BY31" s="188"/>
      <c r="BZ31" s="188"/>
      <c r="CA31" s="195"/>
      <c r="CB31" s="189">
        <v>0</v>
      </c>
      <c r="CC31" s="195"/>
      <c r="CD31" s="189">
        <f t="shared" si="125"/>
        <v>4</v>
      </c>
      <c r="CE31" s="189">
        <f t="shared" si="191"/>
        <v>4</v>
      </c>
      <c r="CF31" s="189">
        <f t="shared" si="126"/>
        <v>0</v>
      </c>
      <c r="CG31" s="189">
        <f t="shared" si="127"/>
        <v>0</v>
      </c>
      <c r="CH31" s="189">
        <f t="shared" si="128"/>
        <v>0</v>
      </c>
      <c r="CI31" s="189">
        <f t="shared" si="129"/>
        <v>0</v>
      </c>
      <c r="CJ31" s="189">
        <f t="shared" si="130"/>
        <v>0</v>
      </c>
      <c r="CK31" s="189">
        <f t="shared" si="131"/>
        <v>0</v>
      </c>
      <c r="CL31" s="189">
        <f t="shared" si="132"/>
        <v>0</v>
      </c>
      <c r="CM31" s="189">
        <f t="shared" si="133"/>
        <v>0</v>
      </c>
      <c r="CN31" s="189">
        <f t="shared" si="134"/>
        <v>0</v>
      </c>
      <c r="CO31" s="189">
        <f t="shared" si="135"/>
        <v>0</v>
      </c>
      <c r="CP31" s="189">
        <f t="shared" si="136"/>
        <v>0</v>
      </c>
      <c r="CQ31" s="195"/>
      <c r="CR31" s="195"/>
      <c r="CS31" s="195"/>
      <c r="CT31" s="195"/>
      <c r="CU31" s="195"/>
      <c r="CV31" s="195"/>
      <c r="CW31" s="195"/>
      <c r="CX31" s="195"/>
      <c r="CY31" s="195"/>
      <c r="CZ31" s="195"/>
      <c r="DA31" s="195"/>
      <c r="DB31" s="195"/>
      <c r="DC31" s="195"/>
      <c r="DD31" s="195"/>
      <c r="DE31" s="195"/>
      <c r="DF31" s="195"/>
      <c r="DG31" s="195"/>
      <c r="DH31" s="195"/>
      <c r="DI31" s="195"/>
      <c r="DJ31" s="195"/>
      <c r="DK31" s="195"/>
      <c r="DL31" s="195"/>
      <c r="DM31" s="195"/>
      <c r="DN31" s="195"/>
      <c r="DO31" s="195"/>
      <c r="DP31" s="195"/>
      <c r="DQ31" s="195"/>
      <c r="DR31" s="195"/>
      <c r="DS31" s="195"/>
      <c r="DT31" s="195"/>
      <c r="DU31" s="195"/>
      <c r="DV31" s="189">
        <f t="shared" si="26"/>
        <v>0</v>
      </c>
      <c r="DW31" s="189">
        <f t="shared" si="27"/>
        <v>0</v>
      </c>
      <c r="DX31" s="189">
        <f t="shared" si="28"/>
        <v>0</v>
      </c>
      <c r="DY31" s="189">
        <f t="shared" si="29"/>
        <v>0</v>
      </c>
      <c r="DZ31" s="189">
        <f t="shared" si="30"/>
        <v>0</v>
      </c>
      <c r="EA31" s="189">
        <f t="shared" si="31"/>
        <v>0</v>
      </c>
      <c r="EB31" s="189">
        <f t="shared" si="137"/>
        <v>0</v>
      </c>
      <c r="EC31" s="195"/>
      <c r="ED31" s="195"/>
      <c r="EE31" s="195"/>
      <c r="EF31" s="195"/>
      <c r="EG31" s="252">
        <f t="shared" si="138"/>
        <v>0</v>
      </c>
      <c r="EH31" s="252">
        <f t="shared" si="139"/>
        <v>0</v>
      </c>
      <c r="EI31" s="189"/>
      <c r="EJ31" s="189"/>
      <c r="EK31" s="189"/>
      <c r="EL31" s="189"/>
      <c r="EM31" s="189"/>
      <c r="EN31" s="189"/>
      <c r="EO31" s="189"/>
      <c r="EP31" s="189"/>
      <c r="EQ31" s="189"/>
      <c r="ER31" s="189"/>
      <c r="ES31" s="189"/>
      <c r="ET31" s="189"/>
      <c r="EU31" s="189"/>
      <c r="EV31" s="189"/>
      <c r="EW31" s="189"/>
      <c r="EX31" s="189"/>
      <c r="EY31" s="189"/>
      <c r="EZ31" s="189"/>
      <c r="FA31" s="189"/>
      <c r="FB31" s="189"/>
      <c r="FC31" s="189"/>
      <c r="FD31" s="189"/>
      <c r="FE31" s="189"/>
      <c r="FF31" s="189"/>
      <c r="FG31" s="195"/>
      <c r="FH31" s="189"/>
      <c r="FI31" s="189"/>
      <c r="FJ31" s="189"/>
      <c r="FK31" s="189"/>
      <c r="FL31" s="189"/>
      <c r="FM31" s="189"/>
      <c r="FN31" s="189"/>
      <c r="FO31" s="189"/>
      <c r="FP31" s="189"/>
      <c r="FQ31" s="189"/>
      <c r="FR31" s="189"/>
      <c r="FS31" s="189"/>
      <c r="FT31" s="189"/>
      <c r="FU31" s="189"/>
      <c r="FV31" s="189"/>
      <c r="FW31" s="195"/>
      <c r="FX31" s="253">
        <v>1</v>
      </c>
      <c r="FY31" s="189">
        <f t="shared" si="140"/>
        <v>4</v>
      </c>
      <c r="FZ31" s="189">
        <f t="shared" si="33"/>
        <v>4</v>
      </c>
      <c r="GA31" s="189">
        <f t="shared" si="34"/>
        <v>0</v>
      </c>
      <c r="GB31" s="189">
        <f t="shared" si="35"/>
        <v>0</v>
      </c>
      <c r="GC31" s="189">
        <f t="shared" si="36"/>
        <v>0</v>
      </c>
      <c r="GD31" s="189">
        <f t="shared" si="37"/>
        <v>0</v>
      </c>
      <c r="GE31" s="189">
        <f t="shared" si="38"/>
        <v>0</v>
      </c>
      <c r="GF31" s="199"/>
      <c r="GG31" s="189">
        <v>0</v>
      </c>
      <c r="GH31" s="189">
        <v>0</v>
      </c>
      <c r="GI31" s="199"/>
      <c r="GJ31" s="200">
        <f t="shared" si="141"/>
        <v>0</v>
      </c>
      <c r="GK31" s="200">
        <f t="shared" si="142"/>
        <v>0</v>
      </c>
      <c r="GL31" s="195"/>
      <c r="GM31" s="195"/>
      <c r="GN31" s="195"/>
      <c r="GO31" s="189">
        <f t="shared" si="39"/>
        <v>0</v>
      </c>
      <c r="GP31" s="189">
        <f t="shared" si="40"/>
        <v>0</v>
      </c>
      <c r="GQ31" s="189">
        <f t="shared" si="41"/>
        <v>0</v>
      </c>
      <c r="GR31" s="189">
        <f t="shared" si="42"/>
        <v>0</v>
      </c>
      <c r="GS31" s="189">
        <f t="shared" si="43"/>
        <v>0</v>
      </c>
      <c r="GT31" s="189">
        <f t="shared" si="143"/>
        <v>1</v>
      </c>
      <c r="GU31" s="201">
        <f t="shared" si="144"/>
        <v>43243</v>
      </c>
      <c r="GV31" s="189" t="str">
        <f t="shared" si="145"/>
        <v>SELESAI</v>
      </c>
      <c r="GW31" s="189">
        <f t="shared" si="146"/>
        <v>0</v>
      </c>
      <c r="GX31" s="202" t="str">
        <f t="shared" si="147"/>
        <v>SELESAI</v>
      </c>
      <c r="GY31" s="202">
        <f t="shared" si="148"/>
        <v>0</v>
      </c>
      <c r="GZ31" s="203" t="str">
        <f t="shared" si="149"/>
        <v>SELESAI</v>
      </c>
      <c r="HA31" s="204"/>
      <c r="HB31" s="204"/>
      <c r="HC31" s="189">
        <f t="shared" si="44"/>
        <v>0</v>
      </c>
      <c r="HD31" s="189">
        <f t="shared" si="45"/>
        <v>0</v>
      </c>
      <c r="HE31" s="189">
        <f t="shared" si="150"/>
        <v>0</v>
      </c>
      <c r="HF31" s="189">
        <f t="shared" si="151"/>
        <v>0</v>
      </c>
      <c r="HG31" s="189">
        <f t="shared" si="152"/>
        <v>0</v>
      </c>
      <c r="HH31" s="201" t="str">
        <f t="shared" si="46"/>
        <v>TIDAK KONSINYASI</v>
      </c>
      <c r="HI31" s="201" t="str">
        <f t="shared" si="153"/>
        <v>SELESAI</v>
      </c>
      <c r="HJ31" s="205"/>
      <c r="HK31" s="201">
        <f t="shared" si="47"/>
        <v>0</v>
      </c>
      <c r="HL31" s="204"/>
      <c r="HM31" s="204"/>
      <c r="HN31" s="204"/>
      <c r="HO31" s="204"/>
      <c r="HP31" s="203">
        <f t="shared" si="154"/>
        <v>0</v>
      </c>
      <c r="HQ31" s="202">
        <f t="shared" si="155"/>
        <v>0</v>
      </c>
      <c r="HR31" s="202">
        <f t="shared" si="48"/>
        <v>0</v>
      </c>
      <c r="HS31" s="203">
        <f t="shared" si="156"/>
        <v>0</v>
      </c>
      <c r="HT31" s="202">
        <f t="shared" si="157"/>
        <v>0</v>
      </c>
      <c r="HU31" s="202">
        <f t="shared" si="49"/>
        <v>0</v>
      </c>
      <c r="HV31" s="203">
        <f t="shared" si="158"/>
        <v>0</v>
      </c>
      <c r="HW31" s="202">
        <f t="shared" si="50"/>
        <v>0</v>
      </c>
      <c r="HX31" s="202">
        <f t="shared" si="51"/>
        <v>0</v>
      </c>
      <c r="HY31" s="203">
        <f t="shared" si="52"/>
        <v>0</v>
      </c>
      <c r="HZ31" s="202">
        <f t="shared" si="159"/>
        <v>0</v>
      </c>
      <c r="IA31" s="202">
        <f t="shared" si="53"/>
        <v>0</v>
      </c>
      <c r="IB31" s="203">
        <f t="shared" si="160"/>
        <v>0</v>
      </c>
      <c r="IC31" s="202">
        <f t="shared" si="54"/>
        <v>0</v>
      </c>
      <c r="ID31" s="202">
        <f t="shared" si="55"/>
        <v>0</v>
      </c>
      <c r="IE31" s="203">
        <f t="shared" si="56"/>
        <v>0</v>
      </c>
      <c r="IF31" s="202">
        <f t="shared" si="57"/>
        <v>0</v>
      </c>
      <c r="IG31" s="202">
        <f t="shared" si="58"/>
        <v>0</v>
      </c>
      <c r="IH31" s="203">
        <f t="shared" si="161"/>
        <v>0</v>
      </c>
      <c r="II31" s="202">
        <f t="shared" si="162"/>
        <v>0</v>
      </c>
      <c r="IJ31" s="202">
        <f t="shared" si="59"/>
        <v>0</v>
      </c>
      <c r="IK31" s="203">
        <f t="shared" si="60"/>
        <v>0</v>
      </c>
      <c r="IL31" s="202">
        <f t="shared" si="61"/>
        <v>0</v>
      </c>
      <c r="IM31" s="202">
        <f t="shared" si="62"/>
        <v>0</v>
      </c>
      <c r="IN31" s="204"/>
      <c r="IO31" s="203">
        <f t="shared" si="63"/>
        <v>0</v>
      </c>
      <c r="IP31" s="202">
        <f t="shared" si="64"/>
        <v>0</v>
      </c>
      <c r="IQ31" s="202">
        <f t="shared" si="65"/>
        <v>0</v>
      </c>
      <c r="IR31" s="204"/>
      <c r="IS31" s="203"/>
      <c r="IT31" s="202">
        <f t="shared" si="66"/>
        <v>1</v>
      </c>
      <c r="IU31" s="202">
        <f t="shared" si="67"/>
        <v>60</v>
      </c>
      <c r="IV31" s="204"/>
      <c r="IW31" s="203"/>
      <c r="IX31" s="202">
        <f t="shared" si="68"/>
        <v>0</v>
      </c>
      <c r="IY31" s="202">
        <f t="shared" si="69"/>
        <v>0</v>
      </c>
      <c r="IZ31" s="204"/>
      <c r="JA31" s="203"/>
      <c r="JB31" s="202">
        <f t="shared" si="70"/>
        <v>0</v>
      </c>
      <c r="JC31" s="202">
        <f t="shared" si="71"/>
        <v>0</v>
      </c>
      <c r="JD31" s="204"/>
      <c r="JE31" s="203"/>
      <c r="JF31" s="202">
        <f t="shared" si="163"/>
        <v>1</v>
      </c>
      <c r="JG31" s="202">
        <f t="shared" si="72"/>
        <v>60</v>
      </c>
      <c r="JH31" s="204"/>
      <c r="JI31" s="203"/>
      <c r="JJ31" s="202">
        <f t="shared" si="73"/>
        <v>0</v>
      </c>
      <c r="JK31" s="202">
        <f t="shared" si="74"/>
        <v>0</v>
      </c>
      <c r="JL31" s="195"/>
      <c r="JM31" s="203">
        <f t="shared" si="164"/>
        <v>0</v>
      </c>
      <c r="JN31" s="195"/>
      <c r="JO31" s="196">
        <f t="shared" si="75"/>
        <v>1</v>
      </c>
      <c r="JP31" s="206">
        <f t="shared" si="76"/>
        <v>4</v>
      </c>
      <c r="JQ31" s="206">
        <f t="shared" si="77"/>
        <v>1</v>
      </c>
      <c r="JR31" s="206">
        <f t="shared" si="78"/>
        <v>0</v>
      </c>
      <c r="JS31" s="206">
        <f t="shared" si="79"/>
        <v>0</v>
      </c>
      <c r="JT31" s="206">
        <f t="shared" si="80"/>
        <v>0</v>
      </c>
      <c r="JU31" s="206">
        <f t="shared" si="81"/>
        <v>0</v>
      </c>
      <c r="JV31" s="206">
        <f t="shared" si="82"/>
        <v>0</v>
      </c>
      <c r="JW31" s="206">
        <f t="shared" si="83"/>
        <v>0</v>
      </c>
      <c r="JX31" s="206">
        <f t="shared" si="84"/>
        <v>0</v>
      </c>
      <c r="JY31" s="206">
        <f t="shared" si="85"/>
        <v>0</v>
      </c>
      <c r="JZ31" s="206">
        <f t="shared" si="86"/>
        <v>0</v>
      </c>
      <c r="KA31" s="206">
        <f t="shared" si="87"/>
        <v>0</v>
      </c>
      <c r="KB31" s="206">
        <f t="shared" si="88"/>
        <v>0</v>
      </c>
      <c r="KC31" s="195"/>
      <c r="KD31" s="206">
        <f t="shared" si="165"/>
        <v>0</v>
      </c>
      <c r="KE31" s="206">
        <f t="shared" si="90"/>
        <v>0</v>
      </c>
      <c r="KF31" s="206">
        <f t="shared" si="91"/>
        <v>4</v>
      </c>
      <c r="KG31" s="206">
        <f t="shared" si="92"/>
        <v>4</v>
      </c>
      <c r="KH31" s="206">
        <f t="shared" si="93"/>
        <v>0</v>
      </c>
      <c r="KI31" s="206">
        <f t="shared" si="94"/>
        <v>0</v>
      </c>
      <c r="KJ31" s="206">
        <f t="shared" si="95"/>
        <v>0</v>
      </c>
      <c r="KK31" s="206">
        <f t="shared" si="96"/>
        <v>0</v>
      </c>
      <c r="KL31" s="206">
        <f t="shared" si="97"/>
        <v>0</v>
      </c>
      <c r="KM31" s="206">
        <f t="shared" si="98"/>
        <v>0</v>
      </c>
      <c r="KN31" s="221">
        <f t="shared" si="99"/>
        <v>0</v>
      </c>
      <c r="KO31" s="221">
        <f t="shared" si="100"/>
        <v>0</v>
      </c>
      <c r="KP31" s="221">
        <f t="shared" si="101"/>
        <v>0</v>
      </c>
      <c r="KQ31" s="221">
        <f t="shared" si="102"/>
        <v>0</v>
      </c>
      <c r="KR31" s="221">
        <f t="shared" si="103"/>
        <v>0</v>
      </c>
      <c r="KS31" s="195"/>
      <c r="KT31" s="195">
        <f t="shared" si="104"/>
        <v>0</v>
      </c>
      <c r="KU31" s="221"/>
      <c r="KV31" s="221"/>
      <c r="KW31" s="221"/>
      <c r="KX31" s="221"/>
      <c r="KY31" s="221"/>
      <c r="KZ31" s="221"/>
      <c r="LA31" s="221"/>
      <c r="LB31" s="221"/>
      <c r="LC31" s="221"/>
      <c r="LD31" s="221"/>
      <c r="LE31" s="221"/>
      <c r="LF31" s="221"/>
      <c r="LG31" s="221"/>
      <c r="LH31" s="221"/>
      <c r="LI31" s="221"/>
      <c r="LJ31" s="221"/>
      <c r="LK31" s="221"/>
      <c r="LL31" s="221"/>
      <c r="LM31" s="221"/>
      <c r="LN31" s="221"/>
      <c r="LO31" s="221"/>
      <c r="LP31" s="221"/>
      <c r="LQ31" s="221"/>
      <c r="LR31" s="221"/>
      <c r="LS31" s="221"/>
      <c r="LT31" s="221"/>
      <c r="LU31" s="221"/>
      <c r="LV31" s="221"/>
      <c r="LW31" s="221"/>
      <c r="LX31" s="221"/>
      <c r="LY31" s="221"/>
      <c r="LZ31" s="221"/>
      <c r="MA31" s="221"/>
      <c r="MB31" s="221"/>
      <c r="MC31" s="221"/>
      <c r="MD31" s="221"/>
      <c r="ME31" s="221"/>
      <c r="MF31" s="221"/>
      <c r="MG31" s="221"/>
      <c r="MH31" s="221"/>
      <c r="MI31" s="221"/>
      <c r="MJ31" s="221"/>
      <c r="MK31" s="221"/>
      <c r="ML31" s="221"/>
      <c r="MM31" s="221"/>
      <c r="MN31" s="221"/>
      <c r="MO31" s="221"/>
      <c r="MP31" s="221"/>
      <c r="MQ31" s="221"/>
      <c r="MR31" s="221"/>
      <c r="MS31" s="221"/>
      <c r="MT31" s="221"/>
      <c r="MU31" s="221"/>
      <c r="MV31" s="221"/>
      <c r="MW31" s="221"/>
      <c r="MX31" s="221"/>
      <c r="MY31" s="221"/>
      <c r="MZ31" s="221"/>
      <c r="NA31" s="221"/>
      <c r="NB31" s="221"/>
      <c r="NC31" s="221"/>
      <c r="ND31" s="221"/>
      <c r="NE31" s="221"/>
      <c r="NF31" s="221"/>
      <c r="NG31" s="221"/>
      <c r="NH31" s="221"/>
      <c r="NI31" s="221"/>
      <c r="NJ31" s="221"/>
      <c r="NK31" s="221"/>
      <c r="NL31" s="195"/>
      <c r="NM31" s="195">
        <f t="shared" si="166"/>
        <v>0</v>
      </c>
      <c r="NN31" s="195">
        <f t="shared" si="167"/>
        <v>0</v>
      </c>
      <c r="NO31" s="195">
        <f t="shared" si="168"/>
        <v>0</v>
      </c>
      <c r="NP31" s="195">
        <f t="shared" si="169"/>
        <v>0</v>
      </c>
      <c r="NQ31" s="195">
        <f t="shared" si="170"/>
        <v>0</v>
      </c>
      <c r="NR31" s="195">
        <f t="shared" si="171"/>
        <v>0</v>
      </c>
      <c r="NS31" s="195">
        <f t="shared" si="172"/>
        <v>0</v>
      </c>
      <c r="NT31" s="195">
        <f t="shared" si="173"/>
        <v>0</v>
      </c>
      <c r="NU31" s="196">
        <f t="shared" si="174"/>
        <v>0</v>
      </c>
      <c r="NV31" s="195"/>
      <c r="NW31" s="195"/>
      <c r="NX31" s="195"/>
      <c r="NY31" s="196">
        <f t="shared" si="106"/>
        <v>1</v>
      </c>
      <c r="NZ31" s="222">
        <f t="shared" si="198"/>
        <v>8080100</v>
      </c>
      <c r="OA31" s="195"/>
      <c r="OB31" s="195"/>
      <c r="OC31" s="195"/>
      <c r="OD31" s="195"/>
      <c r="OE31" s="207">
        <f t="shared" si="107"/>
        <v>0</v>
      </c>
      <c r="OF31" s="207">
        <f t="shared" si="108"/>
        <v>0</v>
      </c>
      <c r="OG31" s="207">
        <f t="shared" si="109"/>
        <v>0</v>
      </c>
      <c r="OH31" s="207">
        <f t="shared" si="175"/>
        <v>0</v>
      </c>
      <c r="OI31" s="207">
        <f t="shared" si="110"/>
        <v>0</v>
      </c>
      <c r="OJ31" s="199">
        <f t="shared" si="176"/>
        <v>0</v>
      </c>
      <c r="OK31" s="199">
        <f t="shared" si="177"/>
        <v>0</v>
      </c>
      <c r="OL31" s="199">
        <f t="shared" si="178"/>
        <v>0</v>
      </c>
      <c r="OM31" s="199">
        <f t="shared" si="179"/>
        <v>0</v>
      </c>
      <c r="ON31" s="195"/>
      <c r="OO31" s="207">
        <f t="shared" si="111"/>
        <v>0</v>
      </c>
      <c r="OP31" s="207">
        <f t="shared" si="112"/>
        <v>0</v>
      </c>
      <c r="OQ31" s="207">
        <f t="shared" si="180"/>
        <v>0</v>
      </c>
      <c r="OR31" s="207">
        <f t="shared" si="181"/>
        <v>0</v>
      </c>
      <c r="OS31" s="207">
        <f t="shared" si="182"/>
        <v>0</v>
      </c>
      <c r="OT31" s="199">
        <f t="shared" si="183"/>
        <v>0</v>
      </c>
      <c r="OU31" s="199">
        <f t="shared" si="184"/>
        <v>0</v>
      </c>
      <c r="OV31" s="199">
        <f t="shared" si="185"/>
        <v>0</v>
      </c>
      <c r="OW31" s="199">
        <f t="shared" si="186"/>
        <v>0</v>
      </c>
      <c r="OX31" s="195"/>
      <c r="OY31" s="195"/>
      <c r="OZ31" s="195"/>
      <c r="PA31" s="209"/>
      <c r="PB31" s="209"/>
      <c r="PC31" s="209"/>
      <c r="PD31" s="210">
        <f t="shared" si="113"/>
        <v>0</v>
      </c>
      <c r="PE31" s="210"/>
      <c r="PF31" s="210">
        <f t="shared" si="114"/>
        <v>0</v>
      </c>
      <c r="PG31" s="210">
        <f t="shared" si="115"/>
        <v>0</v>
      </c>
      <c r="PH31" s="210">
        <f t="shared" si="115"/>
        <v>0</v>
      </c>
      <c r="PI31" s="210">
        <f t="shared" si="115"/>
        <v>0</v>
      </c>
      <c r="PJ31" s="210">
        <f t="shared" si="115"/>
        <v>0</v>
      </c>
      <c r="PK31" s="210">
        <f t="shared" si="115"/>
        <v>0</v>
      </c>
      <c r="PL31" s="210">
        <f t="shared" si="115"/>
        <v>0</v>
      </c>
      <c r="PM31" s="195"/>
      <c r="PN31" s="195"/>
      <c r="PO31" s="212">
        <f t="shared" si="187"/>
        <v>0</v>
      </c>
      <c r="PP31" s="212">
        <f t="shared" si="188"/>
        <v>0</v>
      </c>
      <c r="PQ31" s="212">
        <f t="shared" si="189"/>
        <v>0</v>
      </c>
    </row>
    <row r="32" spans="1:433" ht="16" x14ac:dyDescent="0.2">
      <c r="A32" s="213">
        <f t="shared" si="190"/>
        <v>24</v>
      </c>
      <c r="B32" s="186" t="s">
        <v>108</v>
      </c>
      <c r="C32" s="186">
        <v>24</v>
      </c>
      <c r="D32" s="188">
        <v>1</v>
      </c>
      <c r="E32" s="188">
        <v>198</v>
      </c>
      <c r="F32" s="188">
        <v>1</v>
      </c>
      <c r="G32" s="188">
        <f t="shared" si="116"/>
        <v>198</v>
      </c>
      <c r="H32" s="214">
        <f t="shared" si="2"/>
        <v>1</v>
      </c>
      <c r="I32" s="214">
        <f t="shared" si="3"/>
        <v>1</v>
      </c>
      <c r="J32" s="188">
        <v>1</v>
      </c>
      <c r="K32" s="188">
        <f t="shared" si="4"/>
        <v>198</v>
      </c>
      <c r="L32" s="214">
        <f t="shared" si="5"/>
        <v>1</v>
      </c>
      <c r="M32" s="214">
        <f t="shared" si="6"/>
        <v>1</v>
      </c>
      <c r="N32" s="188">
        <v>1</v>
      </c>
      <c r="O32" s="188">
        <f t="shared" si="7"/>
        <v>198</v>
      </c>
      <c r="P32" s="214">
        <f t="shared" si="8"/>
        <v>1</v>
      </c>
      <c r="Q32" s="214">
        <f t="shared" si="9"/>
        <v>1</v>
      </c>
      <c r="R32" s="188">
        <v>1</v>
      </c>
      <c r="S32" s="188">
        <f t="shared" si="117"/>
        <v>198</v>
      </c>
      <c r="T32" s="214">
        <f t="shared" si="118"/>
        <v>1</v>
      </c>
      <c r="U32" s="214">
        <f t="shared" si="119"/>
        <v>1</v>
      </c>
      <c r="V32" s="188">
        <v>1</v>
      </c>
      <c r="W32" s="188">
        <f t="shared" si="10"/>
        <v>198</v>
      </c>
      <c r="X32" s="214">
        <f t="shared" si="11"/>
        <v>1</v>
      </c>
      <c r="Y32" s="214">
        <f t="shared" si="12"/>
        <v>1</v>
      </c>
      <c r="Z32" s="224">
        <f>1699077000/1000000000</f>
        <v>1.6990769999999999</v>
      </c>
      <c r="AA32" s="188"/>
      <c r="AB32" s="189">
        <f t="shared" si="120"/>
        <v>0</v>
      </c>
      <c r="AC32" s="250">
        <f t="shared" si="121"/>
        <v>0</v>
      </c>
      <c r="AD32" s="250">
        <f t="shared" si="122"/>
        <v>0</v>
      </c>
      <c r="AE32" s="188"/>
      <c r="AF32" s="188">
        <f t="shared" si="15"/>
        <v>0</v>
      </c>
      <c r="AG32" s="187"/>
      <c r="AH32" s="187"/>
      <c r="AI32" s="188">
        <v>0</v>
      </c>
      <c r="AJ32" s="188">
        <f t="shared" si="16"/>
        <v>0</v>
      </c>
      <c r="AK32" s="188"/>
      <c r="AL32" s="188">
        <v>0</v>
      </c>
      <c r="AM32" s="188">
        <v>0</v>
      </c>
      <c r="AN32" s="217"/>
      <c r="AO32" s="196">
        <f t="shared" si="123"/>
        <v>0</v>
      </c>
      <c r="AP32" s="195"/>
      <c r="AQ32" s="195"/>
      <c r="AR32" s="195"/>
      <c r="AS32" s="195"/>
      <c r="AT32" s="195"/>
      <c r="AU32" s="195"/>
      <c r="AV32" s="195"/>
      <c r="AW32" s="195"/>
      <c r="AX32" s="195"/>
      <c r="AY32" s="195"/>
      <c r="AZ32" s="195"/>
      <c r="BA32" s="195"/>
      <c r="BB32" s="188">
        <f t="shared" si="17"/>
        <v>0</v>
      </c>
      <c r="BC32" s="195"/>
      <c r="BD32" s="196"/>
      <c r="BE32" s="188">
        <f t="shared" si="18"/>
        <v>0</v>
      </c>
      <c r="BF32" s="188">
        <f t="shared" si="19"/>
        <v>0</v>
      </c>
      <c r="BG32" s="188">
        <f t="shared" si="20"/>
        <v>0</v>
      </c>
      <c r="BH32" s="188">
        <f t="shared" si="21"/>
        <v>0</v>
      </c>
      <c r="BI32" s="188">
        <f t="shared" si="22"/>
        <v>0</v>
      </c>
      <c r="BJ32" s="188">
        <f t="shared" si="23"/>
        <v>0</v>
      </c>
      <c r="BK32" s="188">
        <f t="shared" si="124"/>
        <v>0</v>
      </c>
      <c r="BL32" s="195"/>
      <c r="BM32" s="195"/>
      <c r="BN32" s="143">
        <v>100</v>
      </c>
      <c r="BO32" s="277">
        <v>1</v>
      </c>
      <c r="BP32" s="188"/>
      <c r="BQ32" s="188"/>
      <c r="BR32" s="188"/>
      <c r="BS32" s="188"/>
      <c r="BT32" s="188"/>
      <c r="BU32" s="188"/>
      <c r="BV32" s="188"/>
      <c r="BW32" s="188"/>
      <c r="BX32" s="188"/>
      <c r="BY32" s="188"/>
      <c r="BZ32" s="188"/>
      <c r="CA32" s="195"/>
      <c r="CB32" s="189">
        <v>0</v>
      </c>
      <c r="CC32" s="195"/>
      <c r="CD32" s="189">
        <f t="shared" si="125"/>
        <v>100</v>
      </c>
      <c r="CE32" s="189">
        <f t="shared" si="191"/>
        <v>100</v>
      </c>
      <c r="CF32" s="189">
        <f t="shared" si="126"/>
        <v>0</v>
      </c>
      <c r="CG32" s="189">
        <f t="shared" si="127"/>
        <v>0</v>
      </c>
      <c r="CH32" s="189">
        <f t="shared" si="128"/>
        <v>0</v>
      </c>
      <c r="CI32" s="189">
        <f t="shared" si="129"/>
        <v>0</v>
      </c>
      <c r="CJ32" s="189">
        <f t="shared" si="130"/>
        <v>0</v>
      </c>
      <c r="CK32" s="189">
        <f t="shared" si="131"/>
        <v>0</v>
      </c>
      <c r="CL32" s="189">
        <f t="shared" si="132"/>
        <v>0</v>
      </c>
      <c r="CM32" s="189">
        <f t="shared" si="133"/>
        <v>0</v>
      </c>
      <c r="CN32" s="189">
        <f t="shared" si="134"/>
        <v>0</v>
      </c>
      <c r="CO32" s="189">
        <f t="shared" si="135"/>
        <v>0</v>
      </c>
      <c r="CP32" s="189">
        <f t="shared" si="136"/>
        <v>0</v>
      </c>
      <c r="CQ32" s="195"/>
      <c r="CR32" s="195"/>
      <c r="CS32" s="195"/>
      <c r="CT32" s="195"/>
      <c r="CU32" s="195"/>
      <c r="CV32" s="195"/>
      <c r="CW32" s="195"/>
      <c r="CX32" s="195"/>
      <c r="CY32" s="195"/>
      <c r="CZ32" s="195"/>
      <c r="DA32" s="195"/>
      <c r="DB32" s="195"/>
      <c r="DC32" s="195"/>
      <c r="DD32" s="195"/>
      <c r="DE32" s="195"/>
      <c r="DF32" s="195"/>
      <c r="DG32" s="195"/>
      <c r="DH32" s="195"/>
      <c r="DI32" s="195"/>
      <c r="DJ32" s="195"/>
      <c r="DK32" s="195"/>
      <c r="DL32" s="195"/>
      <c r="DM32" s="195"/>
      <c r="DN32" s="195"/>
      <c r="DO32" s="195"/>
      <c r="DP32" s="195"/>
      <c r="DQ32" s="195"/>
      <c r="DR32" s="195"/>
      <c r="DS32" s="195"/>
      <c r="DT32" s="195"/>
      <c r="DU32" s="195"/>
      <c r="DV32" s="189">
        <f t="shared" si="26"/>
        <v>0</v>
      </c>
      <c r="DW32" s="189">
        <f t="shared" si="27"/>
        <v>0</v>
      </c>
      <c r="DX32" s="189">
        <f t="shared" si="28"/>
        <v>0</v>
      </c>
      <c r="DY32" s="189">
        <f t="shared" si="29"/>
        <v>0</v>
      </c>
      <c r="DZ32" s="189">
        <f t="shared" si="30"/>
        <v>0</v>
      </c>
      <c r="EA32" s="189">
        <f t="shared" si="31"/>
        <v>0</v>
      </c>
      <c r="EB32" s="189">
        <f t="shared" si="137"/>
        <v>0</v>
      </c>
      <c r="EC32" s="195"/>
      <c r="ED32" s="195"/>
      <c r="EE32" s="195"/>
      <c r="EF32" s="195"/>
      <c r="EG32" s="252">
        <f t="shared" si="138"/>
        <v>0</v>
      </c>
      <c r="EH32" s="252">
        <f t="shared" si="139"/>
        <v>0</v>
      </c>
      <c r="EI32" s="189"/>
      <c r="EJ32" s="189"/>
      <c r="EK32" s="189"/>
      <c r="EL32" s="189"/>
      <c r="EM32" s="189"/>
      <c r="EN32" s="189"/>
      <c r="EO32" s="189"/>
      <c r="EP32" s="189"/>
      <c r="EQ32" s="189"/>
      <c r="ER32" s="189"/>
      <c r="ES32" s="189"/>
      <c r="ET32" s="189"/>
      <c r="EU32" s="189"/>
      <c r="EV32" s="189"/>
      <c r="EW32" s="189"/>
      <c r="EX32" s="189"/>
      <c r="EY32" s="189"/>
      <c r="EZ32" s="189"/>
      <c r="FA32" s="189"/>
      <c r="FB32" s="189"/>
      <c r="FC32" s="189"/>
      <c r="FD32" s="189"/>
      <c r="FE32" s="189"/>
      <c r="FF32" s="189"/>
      <c r="FG32" s="195"/>
      <c r="FH32" s="189"/>
      <c r="FI32" s="189"/>
      <c r="FJ32" s="189"/>
      <c r="FK32" s="189"/>
      <c r="FL32" s="189"/>
      <c r="FM32" s="189"/>
      <c r="FN32" s="189"/>
      <c r="FO32" s="189"/>
      <c r="FP32" s="189"/>
      <c r="FQ32" s="189"/>
      <c r="FR32" s="189"/>
      <c r="FS32" s="189"/>
      <c r="FT32" s="189"/>
      <c r="FU32" s="189"/>
      <c r="FV32" s="189"/>
      <c r="FW32" s="195"/>
      <c r="FX32" s="253">
        <v>1</v>
      </c>
      <c r="FY32" s="189">
        <f t="shared" si="140"/>
        <v>100</v>
      </c>
      <c r="FZ32" s="189">
        <f t="shared" si="33"/>
        <v>100</v>
      </c>
      <c r="GA32" s="189">
        <f t="shared" si="34"/>
        <v>0</v>
      </c>
      <c r="GB32" s="189">
        <f t="shared" si="35"/>
        <v>0</v>
      </c>
      <c r="GC32" s="189">
        <f t="shared" si="36"/>
        <v>0</v>
      </c>
      <c r="GD32" s="189">
        <f t="shared" si="37"/>
        <v>0</v>
      </c>
      <c r="GE32" s="189">
        <f t="shared" si="38"/>
        <v>0</v>
      </c>
      <c r="GF32" s="199"/>
      <c r="GG32" s="189">
        <v>0</v>
      </c>
      <c r="GH32" s="189">
        <v>0</v>
      </c>
      <c r="GI32" s="199"/>
      <c r="GJ32" s="200">
        <f t="shared" si="141"/>
        <v>0</v>
      </c>
      <c r="GK32" s="200">
        <f t="shared" si="142"/>
        <v>0</v>
      </c>
      <c r="GL32" s="195"/>
      <c r="GM32" s="195"/>
      <c r="GN32" s="195"/>
      <c r="GO32" s="189">
        <f t="shared" si="39"/>
        <v>0</v>
      </c>
      <c r="GP32" s="189">
        <f t="shared" si="40"/>
        <v>0</v>
      </c>
      <c r="GQ32" s="189">
        <f t="shared" si="41"/>
        <v>0</v>
      </c>
      <c r="GR32" s="189">
        <f t="shared" si="42"/>
        <v>0</v>
      </c>
      <c r="GS32" s="189">
        <f t="shared" si="43"/>
        <v>0</v>
      </c>
      <c r="GT32" s="189">
        <f t="shared" si="143"/>
        <v>1</v>
      </c>
      <c r="GU32" s="201">
        <f t="shared" si="144"/>
        <v>43243</v>
      </c>
      <c r="GV32" s="189" t="str">
        <f t="shared" si="145"/>
        <v>SELESAI</v>
      </c>
      <c r="GW32" s="189">
        <f t="shared" si="146"/>
        <v>0</v>
      </c>
      <c r="GX32" s="202" t="str">
        <f t="shared" si="147"/>
        <v>SELESAI</v>
      </c>
      <c r="GY32" s="202">
        <f t="shared" si="148"/>
        <v>0</v>
      </c>
      <c r="GZ32" s="203" t="str">
        <f t="shared" si="149"/>
        <v>SELESAI</v>
      </c>
      <c r="HA32" s="204"/>
      <c r="HB32" s="204"/>
      <c r="HC32" s="189">
        <f t="shared" si="44"/>
        <v>0</v>
      </c>
      <c r="HD32" s="189">
        <f t="shared" si="45"/>
        <v>0</v>
      </c>
      <c r="HE32" s="189">
        <f t="shared" si="150"/>
        <v>0</v>
      </c>
      <c r="HF32" s="189">
        <f t="shared" si="151"/>
        <v>0</v>
      </c>
      <c r="HG32" s="189">
        <f t="shared" si="152"/>
        <v>0</v>
      </c>
      <c r="HH32" s="201" t="str">
        <f t="shared" si="46"/>
        <v>TIDAK KONSINYASI</v>
      </c>
      <c r="HI32" s="201" t="str">
        <f t="shared" si="153"/>
        <v>SELESAI</v>
      </c>
      <c r="HJ32" s="205"/>
      <c r="HK32" s="201">
        <f t="shared" si="47"/>
        <v>0</v>
      </c>
      <c r="HL32" s="204"/>
      <c r="HM32" s="204"/>
      <c r="HN32" s="204"/>
      <c r="HO32" s="204"/>
      <c r="HP32" s="203">
        <f t="shared" si="154"/>
        <v>0</v>
      </c>
      <c r="HQ32" s="202">
        <f t="shared" si="155"/>
        <v>0</v>
      </c>
      <c r="HR32" s="202">
        <f t="shared" si="48"/>
        <v>0</v>
      </c>
      <c r="HS32" s="203">
        <f t="shared" si="156"/>
        <v>0</v>
      </c>
      <c r="HT32" s="202">
        <f t="shared" si="157"/>
        <v>0</v>
      </c>
      <c r="HU32" s="202">
        <f t="shared" si="49"/>
        <v>0</v>
      </c>
      <c r="HV32" s="203">
        <f t="shared" si="158"/>
        <v>0</v>
      </c>
      <c r="HW32" s="202">
        <f t="shared" si="50"/>
        <v>0</v>
      </c>
      <c r="HX32" s="202">
        <f t="shared" si="51"/>
        <v>0</v>
      </c>
      <c r="HY32" s="203">
        <f t="shared" si="52"/>
        <v>0</v>
      </c>
      <c r="HZ32" s="202">
        <f t="shared" si="159"/>
        <v>0</v>
      </c>
      <c r="IA32" s="202">
        <f t="shared" si="53"/>
        <v>0</v>
      </c>
      <c r="IB32" s="203">
        <f t="shared" si="160"/>
        <v>0</v>
      </c>
      <c r="IC32" s="202">
        <f t="shared" si="54"/>
        <v>0</v>
      </c>
      <c r="ID32" s="202">
        <f t="shared" si="55"/>
        <v>0</v>
      </c>
      <c r="IE32" s="203">
        <f t="shared" si="56"/>
        <v>0</v>
      </c>
      <c r="IF32" s="202">
        <f t="shared" si="57"/>
        <v>0</v>
      </c>
      <c r="IG32" s="202">
        <f t="shared" si="58"/>
        <v>0</v>
      </c>
      <c r="IH32" s="203">
        <f t="shared" si="161"/>
        <v>0</v>
      </c>
      <c r="II32" s="202">
        <f t="shared" si="162"/>
        <v>0</v>
      </c>
      <c r="IJ32" s="202">
        <f t="shared" si="59"/>
        <v>0</v>
      </c>
      <c r="IK32" s="203">
        <f t="shared" si="60"/>
        <v>0</v>
      </c>
      <c r="IL32" s="202">
        <f t="shared" si="61"/>
        <v>0</v>
      </c>
      <c r="IM32" s="202">
        <f t="shared" si="62"/>
        <v>0</v>
      </c>
      <c r="IN32" s="204"/>
      <c r="IO32" s="203">
        <f t="shared" si="63"/>
        <v>0</v>
      </c>
      <c r="IP32" s="202">
        <f t="shared" si="64"/>
        <v>0</v>
      </c>
      <c r="IQ32" s="202">
        <f t="shared" si="65"/>
        <v>0</v>
      </c>
      <c r="IR32" s="204"/>
      <c r="IS32" s="203"/>
      <c r="IT32" s="202">
        <f t="shared" si="66"/>
        <v>1</v>
      </c>
      <c r="IU32" s="202">
        <f t="shared" si="67"/>
        <v>198</v>
      </c>
      <c r="IV32" s="204"/>
      <c r="IW32" s="203"/>
      <c r="IX32" s="202">
        <f t="shared" si="68"/>
        <v>0</v>
      </c>
      <c r="IY32" s="202">
        <f t="shared" si="69"/>
        <v>0</v>
      </c>
      <c r="IZ32" s="204"/>
      <c r="JA32" s="203"/>
      <c r="JB32" s="202">
        <f t="shared" si="70"/>
        <v>0</v>
      </c>
      <c r="JC32" s="202">
        <f t="shared" si="71"/>
        <v>0</v>
      </c>
      <c r="JD32" s="204"/>
      <c r="JE32" s="203"/>
      <c r="JF32" s="202">
        <f t="shared" si="163"/>
        <v>1</v>
      </c>
      <c r="JG32" s="202">
        <f t="shared" si="72"/>
        <v>198</v>
      </c>
      <c r="JH32" s="204"/>
      <c r="JI32" s="203"/>
      <c r="JJ32" s="202">
        <f t="shared" si="73"/>
        <v>0</v>
      </c>
      <c r="JK32" s="202">
        <f t="shared" si="74"/>
        <v>0</v>
      </c>
      <c r="JL32" s="195"/>
      <c r="JM32" s="203">
        <f t="shared" si="164"/>
        <v>0</v>
      </c>
      <c r="JN32" s="195"/>
      <c r="JO32" s="196">
        <f t="shared" si="75"/>
        <v>1</v>
      </c>
      <c r="JP32" s="206">
        <f t="shared" si="76"/>
        <v>100</v>
      </c>
      <c r="JQ32" s="206">
        <f t="shared" si="77"/>
        <v>1</v>
      </c>
      <c r="JR32" s="206">
        <f t="shared" si="78"/>
        <v>0</v>
      </c>
      <c r="JS32" s="206">
        <f t="shared" si="79"/>
        <v>0</v>
      </c>
      <c r="JT32" s="206">
        <f t="shared" si="80"/>
        <v>0</v>
      </c>
      <c r="JU32" s="206">
        <f t="shared" si="81"/>
        <v>0</v>
      </c>
      <c r="JV32" s="206">
        <f t="shared" si="82"/>
        <v>0</v>
      </c>
      <c r="JW32" s="206">
        <f t="shared" si="83"/>
        <v>0</v>
      </c>
      <c r="JX32" s="206">
        <f t="shared" si="84"/>
        <v>0</v>
      </c>
      <c r="JY32" s="206">
        <f t="shared" si="85"/>
        <v>0</v>
      </c>
      <c r="JZ32" s="206">
        <f t="shared" si="86"/>
        <v>0</v>
      </c>
      <c r="KA32" s="206">
        <f t="shared" si="87"/>
        <v>0</v>
      </c>
      <c r="KB32" s="206">
        <f t="shared" si="88"/>
        <v>0</v>
      </c>
      <c r="KC32" s="195"/>
      <c r="KD32" s="206">
        <f t="shared" si="165"/>
        <v>0</v>
      </c>
      <c r="KE32" s="206">
        <f t="shared" si="90"/>
        <v>0</v>
      </c>
      <c r="KF32" s="206">
        <f t="shared" si="91"/>
        <v>100</v>
      </c>
      <c r="KG32" s="206">
        <f t="shared" si="92"/>
        <v>100</v>
      </c>
      <c r="KH32" s="206">
        <f t="shared" si="93"/>
        <v>0</v>
      </c>
      <c r="KI32" s="206">
        <f t="shared" si="94"/>
        <v>0</v>
      </c>
      <c r="KJ32" s="206">
        <f t="shared" si="95"/>
        <v>0</v>
      </c>
      <c r="KK32" s="206">
        <f t="shared" si="96"/>
        <v>0</v>
      </c>
      <c r="KL32" s="206">
        <f t="shared" si="97"/>
        <v>0</v>
      </c>
      <c r="KM32" s="206">
        <f t="shared" si="98"/>
        <v>0</v>
      </c>
      <c r="KN32" s="221">
        <f t="shared" si="99"/>
        <v>0</v>
      </c>
      <c r="KO32" s="221">
        <f t="shared" si="100"/>
        <v>0</v>
      </c>
      <c r="KP32" s="221">
        <f t="shared" si="101"/>
        <v>0</v>
      </c>
      <c r="KQ32" s="221">
        <f t="shared" si="102"/>
        <v>0</v>
      </c>
      <c r="KR32" s="221">
        <f t="shared" si="103"/>
        <v>0</v>
      </c>
      <c r="KS32" s="195"/>
      <c r="KT32" s="195">
        <f t="shared" si="104"/>
        <v>0</v>
      </c>
      <c r="KU32" s="221"/>
      <c r="KV32" s="221"/>
      <c r="KW32" s="221"/>
      <c r="KX32" s="221"/>
      <c r="KY32" s="221"/>
      <c r="KZ32" s="221"/>
      <c r="LA32" s="221"/>
      <c r="LB32" s="221"/>
      <c r="LC32" s="221"/>
      <c r="LD32" s="221"/>
      <c r="LE32" s="221"/>
      <c r="LF32" s="221"/>
      <c r="LG32" s="221"/>
      <c r="LH32" s="221"/>
      <c r="LI32" s="221"/>
      <c r="LJ32" s="221"/>
      <c r="LK32" s="221"/>
      <c r="LL32" s="221"/>
      <c r="LM32" s="221"/>
      <c r="LN32" s="221"/>
      <c r="LO32" s="221"/>
      <c r="LP32" s="221"/>
      <c r="LQ32" s="221"/>
      <c r="LR32" s="221"/>
      <c r="LS32" s="221"/>
      <c r="LT32" s="221"/>
      <c r="LU32" s="221"/>
      <c r="LV32" s="221"/>
      <c r="LW32" s="221"/>
      <c r="LX32" s="221"/>
      <c r="LY32" s="221"/>
      <c r="LZ32" s="221"/>
      <c r="MA32" s="221"/>
      <c r="MB32" s="221"/>
      <c r="MC32" s="221"/>
      <c r="MD32" s="221"/>
      <c r="ME32" s="221"/>
      <c r="MF32" s="221"/>
      <c r="MG32" s="221"/>
      <c r="MH32" s="221"/>
      <c r="MI32" s="221"/>
      <c r="MJ32" s="221"/>
      <c r="MK32" s="221"/>
      <c r="ML32" s="221"/>
      <c r="MM32" s="221"/>
      <c r="MN32" s="221"/>
      <c r="MO32" s="221"/>
      <c r="MP32" s="221"/>
      <c r="MQ32" s="221"/>
      <c r="MR32" s="221"/>
      <c r="MS32" s="221"/>
      <c r="MT32" s="221"/>
      <c r="MU32" s="221"/>
      <c r="MV32" s="221"/>
      <c r="MW32" s="221"/>
      <c r="MX32" s="221"/>
      <c r="MY32" s="221"/>
      <c r="MZ32" s="221"/>
      <c r="NA32" s="221"/>
      <c r="NB32" s="221"/>
      <c r="NC32" s="221"/>
      <c r="ND32" s="221"/>
      <c r="NE32" s="221"/>
      <c r="NF32" s="221"/>
      <c r="NG32" s="221"/>
      <c r="NH32" s="221"/>
      <c r="NI32" s="221"/>
      <c r="NJ32" s="221"/>
      <c r="NK32" s="221"/>
      <c r="NL32" s="195"/>
      <c r="NM32" s="195">
        <f t="shared" si="166"/>
        <v>0</v>
      </c>
      <c r="NN32" s="195">
        <f t="shared" si="167"/>
        <v>0</v>
      </c>
      <c r="NO32" s="195">
        <f t="shared" si="168"/>
        <v>0</v>
      </c>
      <c r="NP32" s="195">
        <f t="shared" si="169"/>
        <v>0</v>
      </c>
      <c r="NQ32" s="195">
        <f t="shared" si="170"/>
        <v>0</v>
      </c>
      <c r="NR32" s="195">
        <f t="shared" si="171"/>
        <v>0</v>
      </c>
      <c r="NS32" s="195">
        <f t="shared" si="172"/>
        <v>0</v>
      </c>
      <c r="NT32" s="195">
        <f t="shared" si="173"/>
        <v>0</v>
      </c>
      <c r="NU32" s="196">
        <f t="shared" si="174"/>
        <v>0</v>
      </c>
      <c r="NV32" s="195"/>
      <c r="NW32" s="195"/>
      <c r="NX32" s="195"/>
      <c r="NY32" s="196">
        <f t="shared" si="106"/>
        <v>1</v>
      </c>
      <c r="NZ32" s="222">
        <f t="shared" si="198"/>
        <v>8080100</v>
      </c>
      <c r="OA32" s="195"/>
      <c r="OB32" s="195"/>
      <c r="OC32" s="195"/>
      <c r="OD32" s="195"/>
      <c r="OE32" s="207">
        <f t="shared" si="107"/>
        <v>0</v>
      </c>
      <c r="OF32" s="207">
        <f t="shared" si="108"/>
        <v>0</v>
      </c>
      <c r="OG32" s="207">
        <f t="shared" si="109"/>
        <v>0</v>
      </c>
      <c r="OH32" s="207">
        <f t="shared" si="175"/>
        <v>0</v>
      </c>
      <c r="OI32" s="207">
        <f t="shared" si="110"/>
        <v>0</v>
      </c>
      <c r="OJ32" s="199">
        <f t="shared" si="176"/>
        <v>0</v>
      </c>
      <c r="OK32" s="199">
        <f t="shared" si="177"/>
        <v>0</v>
      </c>
      <c r="OL32" s="199">
        <f t="shared" si="178"/>
        <v>0</v>
      </c>
      <c r="OM32" s="199">
        <f t="shared" si="179"/>
        <v>0</v>
      </c>
      <c r="ON32" s="195"/>
      <c r="OO32" s="207">
        <f t="shared" si="111"/>
        <v>0</v>
      </c>
      <c r="OP32" s="207">
        <f t="shared" si="112"/>
        <v>0</v>
      </c>
      <c r="OQ32" s="207">
        <f t="shared" si="180"/>
        <v>0</v>
      </c>
      <c r="OR32" s="207">
        <f t="shared" si="181"/>
        <v>0</v>
      </c>
      <c r="OS32" s="207">
        <f t="shared" si="182"/>
        <v>0</v>
      </c>
      <c r="OT32" s="199">
        <f t="shared" si="183"/>
        <v>0</v>
      </c>
      <c r="OU32" s="199">
        <f t="shared" si="184"/>
        <v>0</v>
      </c>
      <c r="OV32" s="199">
        <f t="shared" si="185"/>
        <v>0</v>
      </c>
      <c r="OW32" s="199">
        <f t="shared" si="186"/>
        <v>0</v>
      </c>
      <c r="OX32" s="195"/>
      <c r="OY32" s="195"/>
      <c r="OZ32" s="195"/>
      <c r="PA32" s="209"/>
      <c r="PB32" s="209"/>
      <c r="PC32" s="209"/>
      <c r="PD32" s="210">
        <f t="shared" si="113"/>
        <v>0</v>
      </c>
      <c r="PE32" s="210"/>
      <c r="PF32" s="210">
        <f t="shared" si="114"/>
        <v>0</v>
      </c>
      <c r="PG32" s="210">
        <f t="shared" si="115"/>
        <v>0</v>
      </c>
      <c r="PH32" s="210">
        <f t="shared" si="115"/>
        <v>0</v>
      </c>
      <c r="PI32" s="210">
        <f t="shared" si="115"/>
        <v>0</v>
      </c>
      <c r="PJ32" s="210">
        <f t="shared" si="115"/>
        <v>0</v>
      </c>
      <c r="PK32" s="210">
        <f t="shared" si="115"/>
        <v>0</v>
      </c>
      <c r="PL32" s="210">
        <f t="shared" si="115"/>
        <v>0</v>
      </c>
      <c r="PM32" s="195"/>
      <c r="PN32" s="195"/>
      <c r="PO32" s="212">
        <f t="shared" si="187"/>
        <v>0</v>
      </c>
      <c r="PP32" s="212">
        <f t="shared" si="188"/>
        <v>0</v>
      </c>
      <c r="PQ32" s="212">
        <f t="shared" si="189"/>
        <v>0</v>
      </c>
    </row>
    <row r="33" spans="1:433" ht="16" x14ac:dyDescent="0.2">
      <c r="A33" s="213">
        <f t="shared" si="190"/>
        <v>25</v>
      </c>
      <c r="B33" s="186" t="s">
        <v>109</v>
      </c>
      <c r="C33" s="186">
        <v>25</v>
      </c>
      <c r="D33" s="188">
        <v>1</v>
      </c>
      <c r="E33" s="188">
        <v>40</v>
      </c>
      <c r="F33" s="188">
        <v>1</v>
      </c>
      <c r="G33" s="188">
        <f t="shared" si="116"/>
        <v>40</v>
      </c>
      <c r="H33" s="214">
        <f t="shared" si="2"/>
        <v>1</v>
      </c>
      <c r="I33" s="214">
        <f t="shared" si="3"/>
        <v>1</v>
      </c>
      <c r="J33" s="188">
        <v>1</v>
      </c>
      <c r="K33" s="188">
        <f t="shared" si="4"/>
        <v>40</v>
      </c>
      <c r="L33" s="214">
        <f t="shared" si="5"/>
        <v>1</v>
      </c>
      <c r="M33" s="214">
        <f t="shared" si="6"/>
        <v>1</v>
      </c>
      <c r="N33" s="188">
        <v>1</v>
      </c>
      <c r="O33" s="188">
        <f t="shared" si="7"/>
        <v>40</v>
      </c>
      <c r="P33" s="214">
        <f t="shared" si="8"/>
        <v>1</v>
      </c>
      <c r="Q33" s="214">
        <f t="shared" si="9"/>
        <v>1</v>
      </c>
      <c r="R33" s="188">
        <v>1</v>
      </c>
      <c r="S33" s="188">
        <f t="shared" si="117"/>
        <v>40</v>
      </c>
      <c r="T33" s="214">
        <f t="shared" si="118"/>
        <v>1</v>
      </c>
      <c r="U33" s="214">
        <f t="shared" si="119"/>
        <v>1</v>
      </c>
      <c r="V33" s="188">
        <v>1</v>
      </c>
      <c r="W33" s="188">
        <f t="shared" si="10"/>
        <v>40</v>
      </c>
      <c r="X33" s="214">
        <f t="shared" si="11"/>
        <v>1</v>
      </c>
      <c r="Y33" s="214">
        <f t="shared" si="12"/>
        <v>1</v>
      </c>
      <c r="Z33" s="224">
        <f>755991000/1000000000</f>
        <v>0.75599099999999997</v>
      </c>
      <c r="AA33" s="188"/>
      <c r="AB33" s="189">
        <f t="shared" si="120"/>
        <v>0</v>
      </c>
      <c r="AC33" s="250">
        <f t="shared" si="121"/>
        <v>0</v>
      </c>
      <c r="AD33" s="250">
        <f t="shared" si="122"/>
        <v>0</v>
      </c>
      <c r="AE33" s="188"/>
      <c r="AF33" s="188">
        <f t="shared" si="15"/>
        <v>0</v>
      </c>
      <c r="AG33" s="188"/>
      <c r="AH33" s="188"/>
      <c r="AI33" s="188">
        <v>0</v>
      </c>
      <c r="AJ33" s="188">
        <f t="shared" si="16"/>
        <v>0</v>
      </c>
      <c r="AK33" s="188"/>
      <c r="AL33" s="188">
        <v>0</v>
      </c>
      <c r="AM33" s="188">
        <v>0</v>
      </c>
      <c r="AN33" s="217"/>
      <c r="AO33" s="196">
        <f t="shared" si="123"/>
        <v>0</v>
      </c>
      <c r="AP33" s="195"/>
      <c r="AQ33" s="195"/>
      <c r="AR33" s="195"/>
      <c r="AS33" s="195"/>
      <c r="AT33" s="195"/>
      <c r="AU33" s="195"/>
      <c r="AV33" s="195"/>
      <c r="AW33" s="195"/>
      <c r="AX33" s="195"/>
      <c r="AY33" s="195"/>
      <c r="AZ33" s="195"/>
      <c r="BA33" s="195"/>
      <c r="BB33" s="188">
        <f t="shared" si="17"/>
        <v>0</v>
      </c>
      <c r="BC33" s="195"/>
      <c r="BD33" s="196"/>
      <c r="BE33" s="188">
        <f t="shared" si="18"/>
        <v>0</v>
      </c>
      <c r="BF33" s="188">
        <f t="shared" si="19"/>
        <v>0</v>
      </c>
      <c r="BG33" s="188">
        <f t="shared" si="20"/>
        <v>0</v>
      </c>
      <c r="BH33" s="188">
        <f t="shared" si="21"/>
        <v>0</v>
      </c>
      <c r="BI33" s="188">
        <f t="shared" si="22"/>
        <v>0</v>
      </c>
      <c r="BJ33" s="188">
        <f t="shared" si="23"/>
        <v>0</v>
      </c>
      <c r="BK33" s="188">
        <f t="shared" si="124"/>
        <v>0</v>
      </c>
      <c r="BL33" s="195"/>
      <c r="BM33" s="195"/>
      <c r="BN33" s="143"/>
      <c r="BO33" s="277"/>
      <c r="BP33" s="188"/>
      <c r="BQ33" s="188"/>
      <c r="BR33" s="188"/>
      <c r="BS33" s="188"/>
      <c r="BT33" s="188"/>
      <c r="BU33" s="188"/>
      <c r="BV33" s="188"/>
      <c r="BW33" s="188"/>
      <c r="BX33" s="188"/>
      <c r="BY33" s="188"/>
      <c r="BZ33" s="188"/>
      <c r="CA33" s="195"/>
      <c r="CB33" s="189">
        <v>0</v>
      </c>
      <c r="CC33" s="195"/>
      <c r="CD33" s="189">
        <f t="shared" si="125"/>
        <v>0</v>
      </c>
      <c r="CE33" s="189">
        <f t="shared" si="191"/>
        <v>0</v>
      </c>
      <c r="CF33" s="189">
        <f t="shared" si="126"/>
        <v>0</v>
      </c>
      <c r="CG33" s="189">
        <f t="shared" si="127"/>
        <v>0</v>
      </c>
      <c r="CH33" s="189">
        <f t="shared" si="128"/>
        <v>0</v>
      </c>
      <c r="CI33" s="189">
        <f t="shared" si="129"/>
        <v>0</v>
      </c>
      <c r="CJ33" s="189">
        <f t="shared" si="130"/>
        <v>0</v>
      </c>
      <c r="CK33" s="189">
        <f t="shared" si="131"/>
        <v>0</v>
      </c>
      <c r="CL33" s="189">
        <f t="shared" si="132"/>
        <v>0</v>
      </c>
      <c r="CM33" s="189">
        <f t="shared" si="133"/>
        <v>0</v>
      </c>
      <c r="CN33" s="189">
        <f t="shared" si="134"/>
        <v>0</v>
      </c>
      <c r="CO33" s="189">
        <f t="shared" si="135"/>
        <v>0</v>
      </c>
      <c r="CP33" s="189">
        <f t="shared" si="136"/>
        <v>0</v>
      </c>
      <c r="CQ33" s="195"/>
      <c r="CR33" s="195"/>
      <c r="CS33" s="195"/>
      <c r="CT33" s="195"/>
      <c r="CU33" s="195"/>
      <c r="CV33" s="195"/>
      <c r="CW33" s="195"/>
      <c r="CX33" s="195"/>
      <c r="CY33" s="195"/>
      <c r="CZ33" s="195"/>
      <c r="DA33" s="195"/>
      <c r="DB33" s="195"/>
      <c r="DC33" s="195"/>
      <c r="DD33" s="195"/>
      <c r="DE33" s="195"/>
      <c r="DF33" s="195"/>
      <c r="DG33" s="195"/>
      <c r="DH33" s="195"/>
      <c r="DI33" s="195"/>
      <c r="DJ33" s="195"/>
      <c r="DK33" s="195"/>
      <c r="DL33" s="195"/>
      <c r="DM33" s="195"/>
      <c r="DN33" s="195"/>
      <c r="DO33" s="195"/>
      <c r="DP33" s="195"/>
      <c r="DQ33" s="195"/>
      <c r="DR33" s="195"/>
      <c r="DS33" s="195"/>
      <c r="DT33" s="195"/>
      <c r="DU33" s="195"/>
      <c r="DV33" s="189">
        <f t="shared" si="26"/>
        <v>0</v>
      </c>
      <c r="DW33" s="189">
        <f t="shared" si="27"/>
        <v>0</v>
      </c>
      <c r="DX33" s="189">
        <f t="shared" si="28"/>
        <v>0</v>
      </c>
      <c r="DY33" s="189">
        <f t="shared" si="29"/>
        <v>0</v>
      </c>
      <c r="DZ33" s="189">
        <f t="shared" si="30"/>
        <v>0</v>
      </c>
      <c r="EA33" s="189">
        <f t="shared" si="31"/>
        <v>0</v>
      </c>
      <c r="EB33" s="189">
        <f t="shared" si="137"/>
        <v>0</v>
      </c>
      <c r="EC33" s="195"/>
      <c r="ED33" s="195"/>
      <c r="EE33" s="195"/>
      <c r="EF33" s="195"/>
      <c r="EG33" s="252">
        <f t="shared" si="138"/>
        <v>0</v>
      </c>
      <c r="EH33" s="252">
        <f t="shared" si="139"/>
        <v>0</v>
      </c>
      <c r="EI33" s="189"/>
      <c r="EJ33" s="189"/>
      <c r="EK33" s="189"/>
      <c r="EL33" s="189"/>
      <c r="EM33" s="189"/>
      <c r="EN33" s="189"/>
      <c r="EO33" s="189"/>
      <c r="EP33" s="189"/>
      <c r="EQ33" s="189"/>
      <c r="ER33" s="189"/>
      <c r="ES33" s="189"/>
      <c r="ET33" s="189"/>
      <c r="EU33" s="189"/>
      <c r="EV33" s="189"/>
      <c r="EW33" s="189"/>
      <c r="EX33" s="189"/>
      <c r="EY33" s="189"/>
      <c r="EZ33" s="189"/>
      <c r="FA33" s="189"/>
      <c r="FB33" s="189"/>
      <c r="FC33" s="189"/>
      <c r="FD33" s="189"/>
      <c r="FE33" s="189"/>
      <c r="FF33" s="189"/>
      <c r="FG33" s="195"/>
      <c r="FH33" s="189"/>
      <c r="FI33" s="189"/>
      <c r="FJ33" s="189"/>
      <c r="FK33" s="189"/>
      <c r="FL33" s="189"/>
      <c r="FM33" s="189"/>
      <c r="FN33" s="189"/>
      <c r="FO33" s="189"/>
      <c r="FP33" s="189"/>
      <c r="FQ33" s="189"/>
      <c r="FR33" s="189"/>
      <c r="FS33" s="189"/>
      <c r="FT33" s="189"/>
      <c r="FU33" s="189"/>
      <c r="FV33" s="189"/>
      <c r="FW33" s="195"/>
      <c r="FX33" s="253"/>
      <c r="FY33" s="189">
        <f t="shared" si="140"/>
        <v>0</v>
      </c>
      <c r="FZ33" s="189">
        <f t="shared" si="33"/>
        <v>0</v>
      </c>
      <c r="GA33" s="189">
        <f t="shared" si="34"/>
        <v>0</v>
      </c>
      <c r="GB33" s="189">
        <f t="shared" si="35"/>
        <v>0</v>
      </c>
      <c r="GC33" s="189">
        <f t="shared" si="36"/>
        <v>0</v>
      </c>
      <c r="GD33" s="189">
        <f t="shared" si="37"/>
        <v>0</v>
      </c>
      <c r="GE33" s="189">
        <f t="shared" si="38"/>
        <v>0</v>
      </c>
      <c r="GF33" s="199"/>
      <c r="GG33" s="189">
        <v>0</v>
      </c>
      <c r="GH33" s="189">
        <v>0</v>
      </c>
      <c r="GI33" s="199"/>
      <c r="GJ33" s="200">
        <f t="shared" si="141"/>
        <v>0</v>
      </c>
      <c r="GK33" s="200">
        <f t="shared" si="142"/>
        <v>0</v>
      </c>
      <c r="GL33" s="195"/>
      <c r="GM33" s="195"/>
      <c r="GN33" s="195"/>
      <c r="GO33" s="189">
        <f t="shared" si="39"/>
        <v>0</v>
      </c>
      <c r="GP33" s="189">
        <f t="shared" si="40"/>
        <v>0</v>
      </c>
      <c r="GQ33" s="189">
        <f t="shared" si="41"/>
        <v>0</v>
      </c>
      <c r="GR33" s="189">
        <f t="shared" si="42"/>
        <v>0</v>
      </c>
      <c r="GS33" s="189">
        <f t="shared" si="43"/>
        <v>0</v>
      </c>
      <c r="GT33" s="189">
        <f t="shared" si="143"/>
        <v>1</v>
      </c>
      <c r="GU33" s="201">
        <f t="shared" si="144"/>
        <v>43243</v>
      </c>
      <c r="GV33" s="189" t="str">
        <f t="shared" si="145"/>
        <v>SELESAI</v>
      </c>
      <c r="GW33" s="189">
        <f t="shared" si="146"/>
        <v>0</v>
      </c>
      <c r="GX33" s="202" t="str">
        <f t="shared" si="147"/>
        <v>SELESAI</v>
      </c>
      <c r="GY33" s="202">
        <f t="shared" si="148"/>
        <v>0</v>
      </c>
      <c r="GZ33" s="203" t="str">
        <f t="shared" si="149"/>
        <v>SELESAI</v>
      </c>
      <c r="HA33" s="204"/>
      <c r="HB33" s="204"/>
      <c r="HC33" s="189">
        <f t="shared" si="44"/>
        <v>0</v>
      </c>
      <c r="HD33" s="189">
        <f t="shared" si="45"/>
        <v>0</v>
      </c>
      <c r="HE33" s="189">
        <f t="shared" si="150"/>
        <v>0</v>
      </c>
      <c r="HF33" s="189">
        <f t="shared" si="151"/>
        <v>0</v>
      </c>
      <c r="HG33" s="189">
        <f t="shared" si="152"/>
        <v>0</v>
      </c>
      <c r="HH33" s="201" t="str">
        <f t="shared" si="46"/>
        <v>TIDAK KONSINYASI</v>
      </c>
      <c r="HI33" s="201" t="str">
        <f t="shared" si="153"/>
        <v>SELESAI</v>
      </c>
      <c r="HJ33" s="205"/>
      <c r="HK33" s="201">
        <f t="shared" si="47"/>
        <v>0</v>
      </c>
      <c r="HL33" s="204"/>
      <c r="HM33" s="204"/>
      <c r="HN33" s="204"/>
      <c r="HO33" s="204"/>
      <c r="HP33" s="203">
        <f t="shared" si="154"/>
        <v>0</v>
      </c>
      <c r="HQ33" s="202">
        <f t="shared" si="155"/>
        <v>0</v>
      </c>
      <c r="HR33" s="202">
        <f t="shared" si="48"/>
        <v>0</v>
      </c>
      <c r="HS33" s="203">
        <f t="shared" si="156"/>
        <v>0</v>
      </c>
      <c r="HT33" s="202">
        <f t="shared" si="157"/>
        <v>0</v>
      </c>
      <c r="HU33" s="202">
        <f t="shared" si="49"/>
        <v>0</v>
      </c>
      <c r="HV33" s="203">
        <f t="shared" si="158"/>
        <v>0</v>
      </c>
      <c r="HW33" s="202">
        <f t="shared" si="50"/>
        <v>0</v>
      </c>
      <c r="HX33" s="202">
        <f t="shared" si="51"/>
        <v>0</v>
      </c>
      <c r="HY33" s="203">
        <f t="shared" si="52"/>
        <v>0</v>
      </c>
      <c r="HZ33" s="202">
        <f t="shared" si="159"/>
        <v>0</v>
      </c>
      <c r="IA33" s="202">
        <f t="shared" si="53"/>
        <v>0</v>
      </c>
      <c r="IB33" s="203">
        <f t="shared" si="160"/>
        <v>0</v>
      </c>
      <c r="IC33" s="202">
        <f t="shared" si="54"/>
        <v>0</v>
      </c>
      <c r="ID33" s="202">
        <f t="shared" si="55"/>
        <v>0</v>
      </c>
      <c r="IE33" s="203">
        <f t="shared" si="56"/>
        <v>0</v>
      </c>
      <c r="IF33" s="202">
        <f t="shared" si="57"/>
        <v>0</v>
      </c>
      <c r="IG33" s="202">
        <f t="shared" si="58"/>
        <v>0</v>
      </c>
      <c r="IH33" s="203">
        <f t="shared" si="161"/>
        <v>0</v>
      </c>
      <c r="II33" s="202">
        <f t="shared" si="162"/>
        <v>0</v>
      </c>
      <c r="IJ33" s="202">
        <f t="shared" si="59"/>
        <v>0</v>
      </c>
      <c r="IK33" s="203">
        <f t="shared" si="60"/>
        <v>0</v>
      </c>
      <c r="IL33" s="202">
        <f t="shared" si="61"/>
        <v>0</v>
      </c>
      <c r="IM33" s="202">
        <f t="shared" si="62"/>
        <v>0</v>
      </c>
      <c r="IN33" s="204"/>
      <c r="IO33" s="203">
        <f t="shared" si="63"/>
        <v>0</v>
      </c>
      <c r="IP33" s="202">
        <f t="shared" si="64"/>
        <v>0</v>
      </c>
      <c r="IQ33" s="202">
        <f t="shared" si="65"/>
        <v>0</v>
      </c>
      <c r="IR33" s="204"/>
      <c r="IS33" s="203"/>
      <c r="IT33" s="202">
        <f t="shared" si="66"/>
        <v>1</v>
      </c>
      <c r="IU33" s="202">
        <f t="shared" si="67"/>
        <v>40</v>
      </c>
      <c r="IV33" s="204"/>
      <c r="IW33" s="203"/>
      <c r="IX33" s="202">
        <f t="shared" si="68"/>
        <v>0</v>
      </c>
      <c r="IY33" s="202">
        <f t="shared" si="69"/>
        <v>0</v>
      </c>
      <c r="IZ33" s="204"/>
      <c r="JA33" s="203"/>
      <c r="JB33" s="202">
        <f t="shared" si="70"/>
        <v>0</v>
      </c>
      <c r="JC33" s="202">
        <f t="shared" si="71"/>
        <v>0</v>
      </c>
      <c r="JD33" s="204"/>
      <c r="JE33" s="203"/>
      <c r="JF33" s="202">
        <f t="shared" si="163"/>
        <v>1</v>
      </c>
      <c r="JG33" s="202">
        <f t="shared" si="72"/>
        <v>40</v>
      </c>
      <c r="JH33" s="204"/>
      <c r="JI33" s="203"/>
      <c r="JJ33" s="202">
        <f t="shared" si="73"/>
        <v>0</v>
      </c>
      <c r="JK33" s="202">
        <f t="shared" si="74"/>
        <v>0</v>
      </c>
      <c r="JL33" s="195"/>
      <c r="JM33" s="203">
        <f t="shared" si="164"/>
        <v>0</v>
      </c>
      <c r="JN33" s="195"/>
      <c r="JO33" s="196">
        <f t="shared" si="75"/>
        <v>0</v>
      </c>
      <c r="JP33" s="206">
        <f t="shared" si="76"/>
        <v>0</v>
      </c>
      <c r="JQ33" s="206">
        <f t="shared" si="77"/>
        <v>0</v>
      </c>
      <c r="JR33" s="206">
        <f t="shared" si="78"/>
        <v>0</v>
      </c>
      <c r="JS33" s="206">
        <f t="shared" si="79"/>
        <v>0</v>
      </c>
      <c r="JT33" s="206">
        <f t="shared" si="80"/>
        <v>0</v>
      </c>
      <c r="JU33" s="206">
        <f t="shared" si="81"/>
        <v>0</v>
      </c>
      <c r="JV33" s="206">
        <f t="shared" si="82"/>
        <v>0</v>
      </c>
      <c r="JW33" s="206">
        <f t="shared" si="83"/>
        <v>0</v>
      </c>
      <c r="JX33" s="206">
        <f t="shared" si="84"/>
        <v>0</v>
      </c>
      <c r="JY33" s="206">
        <f t="shared" si="85"/>
        <v>0</v>
      </c>
      <c r="JZ33" s="206">
        <f t="shared" si="86"/>
        <v>0</v>
      </c>
      <c r="KA33" s="206">
        <f t="shared" si="87"/>
        <v>0</v>
      </c>
      <c r="KB33" s="206">
        <f t="shared" si="88"/>
        <v>0</v>
      </c>
      <c r="KC33" s="195"/>
      <c r="KD33" s="206">
        <f t="shared" si="165"/>
        <v>0</v>
      </c>
      <c r="KE33" s="206">
        <f t="shared" si="90"/>
        <v>0</v>
      </c>
      <c r="KF33" s="206">
        <f t="shared" si="91"/>
        <v>0</v>
      </c>
      <c r="KG33" s="206">
        <f t="shared" si="92"/>
        <v>0</v>
      </c>
      <c r="KH33" s="206">
        <f t="shared" si="93"/>
        <v>0</v>
      </c>
      <c r="KI33" s="206">
        <f t="shared" si="94"/>
        <v>0</v>
      </c>
      <c r="KJ33" s="206">
        <f t="shared" si="95"/>
        <v>0</v>
      </c>
      <c r="KK33" s="206">
        <f t="shared" si="96"/>
        <v>0</v>
      </c>
      <c r="KL33" s="206">
        <f t="shared" si="97"/>
        <v>0</v>
      </c>
      <c r="KM33" s="206">
        <f t="shared" si="98"/>
        <v>0</v>
      </c>
      <c r="KN33" s="221">
        <f t="shared" si="99"/>
        <v>0</v>
      </c>
      <c r="KO33" s="221">
        <f t="shared" si="100"/>
        <v>0</v>
      </c>
      <c r="KP33" s="221">
        <f t="shared" si="101"/>
        <v>0</v>
      </c>
      <c r="KQ33" s="221">
        <f t="shared" si="102"/>
        <v>0</v>
      </c>
      <c r="KR33" s="221">
        <f t="shared" si="103"/>
        <v>0</v>
      </c>
      <c r="KS33" s="195"/>
      <c r="KT33" s="195">
        <f t="shared" si="104"/>
        <v>0</v>
      </c>
      <c r="KU33" s="221"/>
      <c r="KV33" s="221"/>
      <c r="KW33" s="221"/>
      <c r="KX33" s="221"/>
      <c r="KY33" s="221"/>
      <c r="KZ33" s="221"/>
      <c r="LA33" s="221"/>
      <c r="LB33" s="221"/>
      <c r="LC33" s="221"/>
      <c r="LD33" s="221"/>
      <c r="LE33" s="221"/>
      <c r="LF33" s="221"/>
      <c r="LG33" s="221"/>
      <c r="LH33" s="221"/>
      <c r="LI33" s="221"/>
      <c r="LJ33" s="221"/>
      <c r="LK33" s="221"/>
      <c r="LL33" s="221"/>
      <c r="LM33" s="221"/>
      <c r="LN33" s="221"/>
      <c r="LO33" s="221"/>
      <c r="LP33" s="221"/>
      <c r="LQ33" s="221"/>
      <c r="LR33" s="221"/>
      <c r="LS33" s="221"/>
      <c r="LT33" s="221"/>
      <c r="LU33" s="221"/>
      <c r="LV33" s="221"/>
      <c r="LW33" s="221"/>
      <c r="LX33" s="221"/>
      <c r="LY33" s="221"/>
      <c r="LZ33" s="221"/>
      <c r="MA33" s="221"/>
      <c r="MB33" s="221"/>
      <c r="MC33" s="221"/>
      <c r="MD33" s="221"/>
      <c r="ME33" s="221"/>
      <c r="MF33" s="221"/>
      <c r="MG33" s="221"/>
      <c r="MH33" s="221"/>
      <c r="MI33" s="221"/>
      <c r="MJ33" s="221"/>
      <c r="MK33" s="221"/>
      <c r="ML33" s="221"/>
      <c r="MM33" s="221"/>
      <c r="MN33" s="221"/>
      <c r="MO33" s="221"/>
      <c r="MP33" s="221"/>
      <c r="MQ33" s="221"/>
      <c r="MR33" s="221"/>
      <c r="MS33" s="221"/>
      <c r="MT33" s="221"/>
      <c r="MU33" s="221"/>
      <c r="MV33" s="221"/>
      <c r="MW33" s="221"/>
      <c r="MX33" s="221"/>
      <c r="MY33" s="221"/>
      <c r="MZ33" s="221"/>
      <c r="NA33" s="221"/>
      <c r="NB33" s="221"/>
      <c r="NC33" s="221"/>
      <c r="ND33" s="221"/>
      <c r="NE33" s="221"/>
      <c r="NF33" s="221"/>
      <c r="NG33" s="221"/>
      <c r="NH33" s="221"/>
      <c r="NI33" s="221"/>
      <c r="NJ33" s="221"/>
      <c r="NK33" s="221"/>
      <c r="NL33" s="195"/>
      <c r="NM33" s="195">
        <f t="shared" si="166"/>
        <v>0</v>
      </c>
      <c r="NN33" s="195">
        <f t="shared" si="167"/>
        <v>0</v>
      </c>
      <c r="NO33" s="195">
        <f t="shared" si="168"/>
        <v>0</v>
      </c>
      <c r="NP33" s="195">
        <f t="shared" si="169"/>
        <v>0</v>
      </c>
      <c r="NQ33" s="195">
        <f t="shared" si="170"/>
        <v>0</v>
      </c>
      <c r="NR33" s="195">
        <f t="shared" si="171"/>
        <v>0</v>
      </c>
      <c r="NS33" s="195">
        <f t="shared" si="172"/>
        <v>0</v>
      </c>
      <c r="NT33" s="195">
        <f t="shared" si="173"/>
        <v>0</v>
      </c>
      <c r="NU33" s="196">
        <f t="shared" si="174"/>
        <v>0</v>
      </c>
      <c r="NV33" s="195"/>
      <c r="NW33" s="195"/>
      <c r="NX33" s="195"/>
      <c r="NY33" s="196">
        <f t="shared" si="106"/>
        <v>1</v>
      </c>
      <c r="NZ33" s="222">
        <v>7996800</v>
      </c>
      <c r="OA33" s="195"/>
      <c r="OB33" s="195"/>
      <c r="OC33" s="195"/>
      <c r="OD33" s="195"/>
      <c r="OE33" s="207">
        <f t="shared" si="107"/>
        <v>0</v>
      </c>
      <c r="OF33" s="207">
        <f t="shared" si="108"/>
        <v>0</v>
      </c>
      <c r="OG33" s="207">
        <f t="shared" si="109"/>
        <v>0</v>
      </c>
      <c r="OH33" s="207">
        <f t="shared" si="175"/>
        <v>0</v>
      </c>
      <c r="OI33" s="207">
        <f t="shared" si="110"/>
        <v>0</v>
      </c>
      <c r="OJ33" s="199">
        <f t="shared" si="176"/>
        <v>0</v>
      </c>
      <c r="OK33" s="199">
        <f t="shared" si="177"/>
        <v>0</v>
      </c>
      <c r="OL33" s="199">
        <f t="shared" si="178"/>
        <v>0</v>
      </c>
      <c r="OM33" s="199">
        <f t="shared" si="179"/>
        <v>0</v>
      </c>
      <c r="ON33" s="195"/>
      <c r="OO33" s="207">
        <f t="shared" si="111"/>
        <v>0</v>
      </c>
      <c r="OP33" s="207">
        <f t="shared" si="112"/>
        <v>0</v>
      </c>
      <c r="OQ33" s="207">
        <f t="shared" si="180"/>
        <v>0</v>
      </c>
      <c r="OR33" s="207">
        <f t="shared" si="181"/>
        <v>0</v>
      </c>
      <c r="OS33" s="207">
        <f t="shared" si="182"/>
        <v>0</v>
      </c>
      <c r="OT33" s="199">
        <f t="shared" si="183"/>
        <v>0</v>
      </c>
      <c r="OU33" s="199">
        <f t="shared" si="184"/>
        <v>0</v>
      </c>
      <c r="OV33" s="199">
        <f t="shared" si="185"/>
        <v>0</v>
      </c>
      <c r="OW33" s="199">
        <f t="shared" si="186"/>
        <v>0</v>
      </c>
      <c r="OX33" s="195"/>
      <c r="OY33" s="195"/>
      <c r="OZ33" s="195"/>
      <c r="PA33" s="209"/>
      <c r="PB33" s="209"/>
      <c r="PC33" s="209"/>
      <c r="PD33" s="210">
        <f t="shared" si="113"/>
        <v>0</v>
      </c>
      <c r="PE33" s="210"/>
      <c r="PF33" s="210">
        <f t="shared" si="114"/>
        <v>0</v>
      </c>
      <c r="PG33" s="210">
        <f t="shared" si="115"/>
        <v>0</v>
      </c>
      <c r="PH33" s="210">
        <f t="shared" si="115"/>
        <v>0</v>
      </c>
      <c r="PI33" s="210">
        <f t="shared" si="115"/>
        <v>0</v>
      </c>
      <c r="PJ33" s="210">
        <f t="shared" si="115"/>
        <v>0</v>
      </c>
      <c r="PK33" s="210">
        <f t="shared" si="115"/>
        <v>0</v>
      </c>
      <c r="PL33" s="210">
        <f t="shared" si="115"/>
        <v>0</v>
      </c>
      <c r="PM33" s="195"/>
      <c r="PN33" s="195"/>
      <c r="PO33" s="212">
        <f t="shared" si="187"/>
        <v>0</v>
      </c>
      <c r="PP33" s="212">
        <f t="shared" si="188"/>
        <v>0</v>
      </c>
      <c r="PQ33" s="212">
        <f t="shared" si="189"/>
        <v>0</v>
      </c>
    </row>
    <row r="34" spans="1:433" ht="16" x14ac:dyDescent="0.2">
      <c r="A34" s="213">
        <f t="shared" ref="A34" si="200">A33+1</f>
        <v>26</v>
      </c>
      <c r="B34" s="186" t="s">
        <v>110</v>
      </c>
      <c r="C34" s="186">
        <v>26</v>
      </c>
      <c r="D34" s="188">
        <v>1</v>
      </c>
      <c r="E34" s="188">
        <v>98</v>
      </c>
      <c r="F34" s="188">
        <v>1</v>
      </c>
      <c r="G34" s="188">
        <f t="shared" si="116"/>
        <v>98</v>
      </c>
      <c r="H34" s="214">
        <f t="shared" si="2"/>
        <v>1</v>
      </c>
      <c r="I34" s="214">
        <f t="shared" si="3"/>
        <v>1</v>
      </c>
      <c r="J34" s="188">
        <v>1</v>
      </c>
      <c r="K34" s="188">
        <f t="shared" si="4"/>
        <v>98</v>
      </c>
      <c r="L34" s="214">
        <f t="shared" si="5"/>
        <v>1</v>
      </c>
      <c r="M34" s="214">
        <f t="shared" si="6"/>
        <v>1</v>
      </c>
      <c r="N34" s="188">
        <v>1</v>
      </c>
      <c r="O34" s="188">
        <f t="shared" si="7"/>
        <v>98</v>
      </c>
      <c r="P34" s="214">
        <f t="shared" si="8"/>
        <v>1</v>
      </c>
      <c r="Q34" s="214">
        <f t="shared" si="9"/>
        <v>1</v>
      </c>
      <c r="R34" s="188">
        <v>1</v>
      </c>
      <c r="S34" s="188">
        <f t="shared" si="117"/>
        <v>98</v>
      </c>
      <c r="T34" s="214">
        <f t="shared" si="118"/>
        <v>1</v>
      </c>
      <c r="U34" s="214">
        <f t="shared" si="119"/>
        <v>1</v>
      </c>
      <c r="V34" s="188">
        <v>1</v>
      </c>
      <c r="W34" s="188">
        <f t="shared" si="10"/>
        <v>98</v>
      </c>
      <c r="X34" s="214">
        <f t="shared" si="11"/>
        <v>1</v>
      </c>
      <c r="Y34" s="214">
        <f t="shared" si="12"/>
        <v>1</v>
      </c>
      <c r="Z34" s="224">
        <f>1361411000/1000000000</f>
        <v>1.3614109999999999</v>
      </c>
      <c r="AA34" s="188"/>
      <c r="AB34" s="189">
        <f t="shared" si="120"/>
        <v>0</v>
      </c>
      <c r="AC34" s="250">
        <f t="shared" si="121"/>
        <v>0</v>
      </c>
      <c r="AD34" s="250">
        <f t="shared" si="122"/>
        <v>0</v>
      </c>
      <c r="AE34" s="188"/>
      <c r="AF34" s="188">
        <f t="shared" si="15"/>
        <v>0</v>
      </c>
      <c r="AG34" s="187"/>
      <c r="AH34" s="188"/>
      <c r="AI34" s="188">
        <v>0</v>
      </c>
      <c r="AJ34" s="188">
        <f t="shared" si="16"/>
        <v>0</v>
      </c>
      <c r="AK34" s="188"/>
      <c r="AL34" s="188">
        <v>0</v>
      </c>
      <c r="AM34" s="188">
        <v>0</v>
      </c>
      <c r="AN34" s="217"/>
      <c r="AO34" s="196">
        <f t="shared" si="123"/>
        <v>0</v>
      </c>
      <c r="AP34" s="195"/>
      <c r="AQ34" s="195"/>
      <c r="AR34" s="195"/>
      <c r="AS34" s="195"/>
      <c r="AT34" s="195"/>
      <c r="AU34" s="195"/>
      <c r="AV34" s="195"/>
      <c r="AW34" s="195"/>
      <c r="AX34" s="195"/>
      <c r="AY34" s="195"/>
      <c r="AZ34" s="195"/>
      <c r="BA34" s="195"/>
      <c r="BB34" s="188">
        <f t="shared" si="17"/>
        <v>0</v>
      </c>
      <c r="BC34" s="195"/>
      <c r="BD34" s="196"/>
      <c r="BE34" s="188">
        <f t="shared" si="18"/>
        <v>0</v>
      </c>
      <c r="BF34" s="188">
        <f t="shared" si="19"/>
        <v>0</v>
      </c>
      <c r="BG34" s="188">
        <f t="shared" si="20"/>
        <v>0</v>
      </c>
      <c r="BH34" s="188">
        <f t="shared" si="21"/>
        <v>0</v>
      </c>
      <c r="BI34" s="188">
        <f t="shared" si="22"/>
        <v>0</v>
      </c>
      <c r="BJ34" s="188">
        <f t="shared" si="23"/>
        <v>0</v>
      </c>
      <c r="BK34" s="188">
        <f t="shared" si="124"/>
        <v>0</v>
      </c>
      <c r="BL34" s="195"/>
      <c r="BM34" s="195"/>
      <c r="BN34" s="277">
        <v>25</v>
      </c>
      <c r="BO34" s="283">
        <v>1</v>
      </c>
      <c r="BP34" s="188"/>
      <c r="BQ34" s="188"/>
      <c r="BR34" s="188"/>
      <c r="BS34" s="188"/>
      <c r="BT34" s="188"/>
      <c r="BU34" s="188"/>
      <c r="BV34" s="188"/>
      <c r="BW34" s="188"/>
      <c r="BX34" s="188"/>
      <c r="BY34" s="188"/>
      <c r="BZ34" s="188"/>
      <c r="CA34" s="195"/>
      <c r="CB34" s="189">
        <v>0</v>
      </c>
      <c r="CC34" s="195"/>
      <c r="CD34" s="189">
        <f t="shared" si="125"/>
        <v>25</v>
      </c>
      <c r="CE34" s="189">
        <f t="shared" si="191"/>
        <v>25</v>
      </c>
      <c r="CF34" s="189">
        <f t="shared" si="126"/>
        <v>0</v>
      </c>
      <c r="CG34" s="189">
        <f t="shared" si="127"/>
        <v>0</v>
      </c>
      <c r="CH34" s="189">
        <f t="shared" si="128"/>
        <v>0</v>
      </c>
      <c r="CI34" s="189">
        <f t="shared" si="129"/>
        <v>0</v>
      </c>
      <c r="CJ34" s="189">
        <f t="shared" si="130"/>
        <v>0</v>
      </c>
      <c r="CK34" s="189">
        <f t="shared" si="131"/>
        <v>0</v>
      </c>
      <c r="CL34" s="189">
        <f t="shared" si="132"/>
        <v>0</v>
      </c>
      <c r="CM34" s="189">
        <f t="shared" si="133"/>
        <v>0</v>
      </c>
      <c r="CN34" s="189">
        <f t="shared" si="134"/>
        <v>0</v>
      </c>
      <c r="CO34" s="189">
        <f t="shared" si="135"/>
        <v>0</v>
      </c>
      <c r="CP34" s="189">
        <f t="shared" si="136"/>
        <v>0</v>
      </c>
      <c r="CQ34" s="195"/>
      <c r="CR34" s="195"/>
      <c r="CS34" s="195"/>
      <c r="CT34" s="195"/>
      <c r="CU34" s="195"/>
      <c r="CV34" s="195"/>
      <c r="CW34" s="195"/>
      <c r="CX34" s="195"/>
      <c r="CY34" s="195"/>
      <c r="CZ34" s="195"/>
      <c r="DA34" s="195"/>
      <c r="DB34" s="195"/>
      <c r="DC34" s="195"/>
      <c r="DD34" s="195"/>
      <c r="DE34" s="195"/>
      <c r="DF34" s="195"/>
      <c r="DG34" s="195"/>
      <c r="DH34" s="195"/>
      <c r="DI34" s="195"/>
      <c r="DJ34" s="195"/>
      <c r="DK34" s="195"/>
      <c r="DL34" s="195"/>
      <c r="DM34" s="195"/>
      <c r="DN34" s="195"/>
      <c r="DO34" s="195"/>
      <c r="DP34" s="195"/>
      <c r="DQ34" s="195"/>
      <c r="DR34" s="195"/>
      <c r="DS34" s="195"/>
      <c r="DT34" s="195"/>
      <c r="DU34" s="195"/>
      <c r="DV34" s="189">
        <f t="shared" si="26"/>
        <v>0</v>
      </c>
      <c r="DW34" s="189">
        <f t="shared" si="27"/>
        <v>0</v>
      </c>
      <c r="DX34" s="189">
        <f t="shared" si="28"/>
        <v>0</v>
      </c>
      <c r="DY34" s="189">
        <f t="shared" si="29"/>
        <v>0</v>
      </c>
      <c r="DZ34" s="189">
        <f t="shared" si="30"/>
        <v>0</v>
      </c>
      <c r="EA34" s="189">
        <f t="shared" si="31"/>
        <v>0</v>
      </c>
      <c r="EB34" s="189">
        <f t="shared" si="137"/>
        <v>0</v>
      </c>
      <c r="EC34" s="195"/>
      <c r="ED34" s="195"/>
      <c r="EE34" s="195"/>
      <c r="EF34" s="195"/>
      <c r="EG34" s="252">
        <f t="shared" si="138"/>
        <v>0</v>
      </c>
      <c r="EH34" s="252">
        <f t="shared" si="139"/>
        <v>0</v>
      </c>
      <c r="EI34" s="189"/>
      <c r="EJ34" s="189"/>
      <c r="EK34" s="189"/>
      <c r="EL34" s="189"/>
      <c r="EM34" s="189"/>
      <c r="EN34" s="189"/>
      <c r="EO34" s="189"/>
      <c r="EP34" s="189"/>
      <c r="EQ34" s="189"/>
      <c r="ER34" s="189"/>
      <c r="ES34" s="189"/>
      <c r="ET34" s="189"/>
      <c r="EU34" s="189"/>
      <c r="EV34" s="189"/>
      <c r="EW34" s="189"/>
      <c r="EX34" s="189"/>
      <c r="EY34" s="189"/>
      <c r="EZ34" s="189"/>
      <c r="FA34" s="189"/>
      <c r="FB34" s="189"/>
      <c r="FC34" s="189"/>
      <c r="FD34" s="189"/>
      <c r="FE34" s="189"/>
      <c r="FF34" s="189"/>
      <c r="FG34" s="195"/>
      <c r="FH34" s="189"/>
      <c r="FI34" s="189"/>
      <c r="FJ34" s="189"/>
      <c r="FK34" s="189"/>
      <c r="FL34" s="189"/>
      <c r="FM34" s="189"/>
      <c r="FN34" s="189"/>
      <c r="FO34" s="189"/>
      <c r="FP34" s="189"/>
      <c r="FQ34" s="189"/>
      <c r="FR34" s="189"/>
      <c r="FS34" s="189"/>
      <c r="FT34" s="189"/>
      <c r="FU34" s="189"/>
      <c r="FV34" s="189"/>
      <c r="FW34" s="195"/>
      <c r="FX34" s="253">
        <v>1</v>
      </c>
      <c r="FY34" s="189">
        <f t="shared" si="140"/>
        <v>25</v>
      </c>
      <c r="FZ34" s="189">
        <f t="shared" si="33"/>
        <v>25</v>
      </c>
      <c r="GA34" s="189">
        <f t="shared" si="34"/>
        <v>0</v>
      </c>
      <c r="GB34" s="189">
        <f t="shared" si="35"/>
        <v>0</v>
      </c>
      <c r="GC34" s="189">
        <f t="shared" si="36"/>
        <v>0</v>
      </c>
      <c r="GD34" s="189">
        <f t="shared" si="37"/>
        <v>0</v>
      </c>
      <c r="GE34" s="189">
        <f t="shared" si="38"/>
        <v>0</v>
      </c>
      <c r="GF34" s="199"/>
      <c r="GG34" s="189">
        <v>0</v>
      </c>
      <c r="GH34" s="189">
        <v>0</v>
      </c>
      <c r="GI34" s="199"/>
      <c r="GJ34" s="200">
        <f t="shared" si="141"/>
        <v>0</v>
      </c>
      <c r="GK34" s="200">
        <f t="shared" si="142"/>
        <v>0</v>
      </c>
      <c r="GL34" s="195"/>
      <c r="GM34" s="195"/>
      <c r="GN34" s="195"/>
      <c r="GO34" s="189">
        <f t="shared" si="39"/>
        <v>0</v>
      </c>
      <c r="GP34" s="189">
        <f t="shared" si="40"/>
        <v>0</v>
      </c>
      <c r="GQ34" s="189">
        <f t="shared" si="41"/>
        <v>0</v>
      </c>
      <c r="GR34" s="189">
        <f t="shared" si="42"/>
        <v>0</v>
      </c>
      <c r="GS34" s="189">
        <f t="shared" si="43"/>
        <v>0</v>
      </c>
      <c r="GT34" s="189">
        <f t="shared" si="143"/>
        <v>1</v>
      </c>
      <c r="GU34" s="201">
        <f t="shared" si="144"/>
        <v>43243</v>
      </c>
      <c r="GV34" s="189" t="str">
        <f t="shared" si="145"/>
        <v>SELESAI</v>
      </c>
      <c r="GW34" s="189">
        <f t="shared" si="146"/>
        <v>0</v>
      </c>
      <c r="GX34" s="202" t="str">
        <f t="shared" si="147"/>
        <v>SELESAI</v>
      </c>
      <c r="GY34" s="202">
        <f t="shared" si="148"/>
        <v>0</v>
      </c>
      <c r="GZ34" s="203" t="str">
        <f t="shared" si="149"/>
        <v>SELESAI</v>
      </c>
      <c r="HA34" s="204"/>
      <c r="HB34" s="204"/>
      <c r="HC34" s="189">
        <f t="shared" si="44"/>
        <v>0</v>
      </c>
      <c r="HD34" s="189">
        <f t="shared" si="45"/>
        <v>0</v>
      </c>
      <c r="HE34" s="189">
        <f t="shared" si="150"/>
        <v>0</v>
      </c>
      <c r="HF34" s="189">
        <f t="shared" si="151"/>
        <v>0</v>
      </c>
      <c r="HG34" s="189">
        <f t="shared" si="152"/>
        <v>0</v>
      </c>
      <c r="HH34" s="201" t="str">
        <f t="shared" si="46"/>
        <v>TIDAK KONSINYASI</v>
      </c>
      <c r="HI34" s="201" t="str">
        <f t="shared" si="153"/>
        <v>SELESAI</v>
      </c>
      <c r="HJ34" s="205"/>
      <c r="HK34" s="201">
        <f t="shared" si="47"/>
        <v>0</v>
      </c>
      <c r="HL34" s="204"/>
      <c r="HM34" s="204"/>
      <c r="HN34" s="204"/>
      <c r="HO34" s="204"/>
      <c r="HP34" s="203">
        <f t="shared" si="154"/>
        <v>0</v>
      </c>
      <c r="HQ34" s="202">
        <f t="shared" si="155"/>
        <v>0</v>
      </c>
      <c r="HR34" s="202">
        <f t="shared" si="48"/>
        <v>0</v>
      </c>
      <c r="HS34" s="203">
        <f t="shared" si="156"/>
        <v>0</v>
      </c>
      <c r="HT34" s="202">
        <f t="shared" si="157"/>
        <v>0</v>
      </c>
      <c r="HU34" s="202">
        <f t="shared" si="49"/>
        <v>0</v>
      </c>
      <c r="HV34" s="203">
        <f t="shared" si="158"/>
        <v>0</v>
      </c>
      <c r="HW34" s="202">
        <f t="shared" si="50"/>
        <v>0</v>
      </c>
      <c r="HX34" s="202">
        <f t="shared" si="51"/>
        <v>0</v>
      </c>
      <c r="HY34" s="203">
        <f t="shared" si="52"/>
        <v>0</v>
      </c>
      <c r="HZ34" s="202">
        <f t="shared" si="159"/>
        <v>0</v>
      </c>
      <c r="IA34" s="202">
        <f t="shared" si="53"/>
        <v>0</v>
      </c>
      <c r="IB34" s="203">
        <f t="shared" si="160"/>
        <v>0</v>
      </c>
      <c r="IC34" s="202">
        <f t="shared" si="54"/>
        <v>0</v>
      </c>
      <c r="ID34" s="202">
        <f t="shared" si="55"/>
        <v>0</v>
      </c>
      <c r="IE34" s="203">
        <f t="shared" si="56"/>
        <v>0</v>
      </c>
      <c r="IF34" s="202">
        <f t="shared" si="57"/>
        <v>0</v>
      </c>
      <c r="IG34" s="202">
        <f t="shared" si="58"/>
        <v>0</v>
      </c>
      <c r="IH34" s="203">
        <f t="shared" si="161"/>
        <v>0</v>
      </c>
      <c r="II34" s="202">
        <f t="shared" si="162"/>
        <v>0</v>
      </c>
      <c r="IJ34" s="202">
        <f t="shared" si="59"/>
        <v>0</v>
      </c>
      <c r="IK34" s="203">
        <f t="shared" si="60"/>
        <v>0</v>
      </c>
      <c r="IL34" s="202">
        <f t="shared" si="61"/>
        <v>0</v>
      </c>
      <c r="IM34" s="202">
        <f t="shared" si="62"/>
        <v>0</v>
      </c>
      <c r="IN34" s="204"/>
      <c r="IO34" s="203">
        <f t="shared" si="63"/>
        <v>0</v>
      </c>
      <c r="IP34" s="202">
        <f t="shared" si="64"/>
        <v>0</v>
      </c>
      <c r="IQ34" s="202">
        <f t="shared" si="65"/>
        <v>0</v>
      </c>
      <c r="IR34" s="204"/>
      <c r="IS34" s="203"/>
      <c r="IT34" s="202">
        <f t="shared" si="66"/>
        <v>1</v>
      </c>
      <c r="IU34" s="202">
        <f t="shared" si="67"/>
        <v>98</v>
      </c>
      <c r="IV34" s="204"/>
      <c r="IW34" s="203"/>
      <c r="IX34" s="202">
        <f t="shared" si="68"/>
        <v>0</v>
      </c>
      <c r="IY34" s="202">
        <f t="shared" si="69"/>
        <v>0</v>
      </c>
      <c r="IZ34" s="204"/>
      <c r="JA34" s="203"/>
      <c r="JB34" s="202">
        <f t="shared" si="70"/>
        <v>0</v>
      </c>
      <c r="JC34" s="202">
        <f t="shared" si="71"/>
        <v>0</v>
      </c>
      <c r="JD34" s="204"/>
      <c r="JE34" s="203"/>
      <c r="JF34" s="202">
        <f t="shared" si="163"/>
        <v>1</v>
      </c>
      <c r="JG34" s="202">
        <f t="shared" si="72"/>
        <v>98</v>
      </c>
      <c r="JH34" s="204"/>
      <c r="JI34" s="203"/>
      <c r="JJ34" s="202">
        <f t="shared" si="73"/>
        <v>0</v>
      </c>
      <c r="JK34" s="202">
        <f t="shared" si="74"/>
        <v>0</v>
      </c>
      <c r="JL34" s="195"/>
      <c r="JM34" s="203">
        <f t="shared" si="164"/>
        <v>0</v>
      </c>
      <c r="JN34" s="195"/>
      <c r="JO34" s="196">
        <f t="shared" si="75"/>
        <v>1</v>
      </c>
      <c r="JP34" s="206">
        <f t="shared" si="76"/>
        <v>25</v>
      </c>
      <c r="JQ34" s="206">
        <f t="shared" si="77"/>
        <v>1</v>
      </c>
      <c r="JR34" s="206">
        <f t="shared" si="78"/>
        <v>0</v>
      </c>
      <c r="JS34" s="206">
        <f t="shared" si="79"/>
        <v>0</v>
      </c>
      <c r="JT34" s="206">
        <f t="shared" si="80"/>
        <v>0</v>
      </c>
      <c r="JU34" s="206">
        <f t="shared" si="81"/>
        <v>0</v>
      </c>
      <c r="JV34" s="206">
        <f t="shared" si="82"/>
        <v>0</v>
      </c>
      <c r="JW34" s="206">
        <f t="shared" si="83"/>
        <v>0</v>
      </c>
      <c r="JX34" s="206">
        <f t="shared" si="84"/>
        <v>0</v>
      </c>
      <c r="JY34" s="206">
        <f t="shared" si="85"/>
        <v>0</v>
      </c>
      <c r="JZ34" s="206">
        <f t="shared" si="86"/>
        <v>0</v>
      </c>
      <c r="KA34" s="206">
        <f t="shared" si="87"/>
        <v>0</v>
      </c>
      <c r="KB34" s="206">
        <f t="shared" si="88"/>
        <v>0</v>
      </c>
      <c r="KC34" s="195"/>
      <c r="KD34" s="206">
        <f t="shared" si="165"/>
        <v>0</v>
      </c>
      <c r="KE34" s="206">
        <f t="shared" si="90"/>
        <v>0</v>
      </c>
      <c r="KF34" s="206">
        <f t="shared" si="91"/>
        <v>25</v>
      </c>
      <c r="KG34" s="206">
        <f t="shared" si="92"/>
        <v>25</v>
      </c>
      <c r="KH34" s="206">
        <f t="shared" si="93"/>
        <v>0</v>
      </c>
      <c r="KI34" s="206">
        <f t="shared" si="94"/>
        <v>0</v>
      </c>
      <c r="KJ34" s="206">
        <f t="shared" si="95"/>
        <v>0</v>
      </c>
      <c r="KK34" s="206">
        <f t="shared" si="96"/>
        <v>0</v>
      </c>
      <c r="KL34" s="206">
        <f t="shared" si="97"/>
        <v>0</v>
      </c>
      <c r="KM34" s="206">
        <f t="shared" si="98"/>
        <v>0</v>
      </c>
      <c r="KN34" s="221">
        <f t="shared" si="99"/>
        <v>0</v>
      </c>
      <c r="KO34" s="221">
        <f t="shared" si="100"/>
        <v>0</v>
      </c>
      <c r="KP34" s="221">
        <f t="shared" si="101"/>
        <v>0</v>
      </c>
      <c r="KQ34" s="221">
        <f t="shared" si="102"/>
        <v>0</v>
      </c>
      <c r="KR34" s="221">
        <f t="shared" si="103"/>
        <v>0</v>
      </c>
      <c r="KS34" s="195"/>
      <c r="KT34" s="195">
        <f t="shared" si="104"/>
        <v>0</v>
      </c>
      <c r="KU34" s="221"/>
      <c r="KV34" s="221"/>
      <c r="KW34" s="221"/>
      <c r="KX34" s="221"/>
      <c r="KY34" s="221"/>
      <c r="KZ34" s="221"/>
      <c r="LA34" s="221"/>
      <c r="LB34" s="221"/>
      <c r="LC34" s="221"/>
      <c r="LD34" s="221"/>
      <c r="LE34" s="221"/>
      <c r="LF34" s="221"/>
      <c r="LG34" s="221"/>
      <c r="LH34" s="221"/>
      <c r="LI34" s="221"/>
      <c r="LJ34" s="221"/>
      <c r="LK34" s="221"/>
      <c r="LL34" s="221"/>
      <c r="LM34" s="221"/>
      <c r="LN34" s="221"/>
      <c r="LO34" s="221"/>
      <c r="LP34" s="221"/>
      <c r="LQ34" s="221"/>
      <c r="LR34" s="221"/>
      <c r="LS34" s="221"/>
      <c r="LT34" s="221"/>
      <c r="LU34" s="221"/>
      <c r="LV34" s="221"/>
      <c r="LW34" s="221"/>
      <c r="LX34" s="221"/>
      <c r="LY34" s="221"/>
      <c r="LZ34" s="221"/>
      <c r="MA34" s="221"/>
      <c r="MB34" s="221"/>
      <c r="MC34" s="221"/>
      <c r="MD34" s="221"/>
      <c r="ME34" s="221"/>
      <c r="MF34" s="221"/>
      <c r="MG34" s="221"/>
      <c r="MH34" s="221"/>
      <c r="MI34" s="221"/>
      <c r="MJ34" s="221"/>
      <c r="MK34" s="221"/>
      <c r="ML34" s="221"/>
      <c r="MM34" s="221"/>
      <c r="MN34" s="221"/>
      <c r="MO34" s="221"/>
      <c r="MP34" s="221"/>
      <c r="MQ34" s="221"/>
      <c r="MR34" s="221"/>
      <c r="MS34" s="221"/>
      <c r="MT34" s="221"/>
      <c r="MU34" s="221"/>
      <c r="MV34" s="221"/>
      <c r="MW34" s="221"/>
      <c r="MX34" s="221"/>
      <c r="MY34" s="221"/>
      <c r="MZ34" s="221"/>
      <c r="NA34" s="221"/>
      <c r="NB34" s="221"/>
      <c r="NC34" s="221"/>
      <c r="ND34" s="221"/>
      <c r="NE34" s="221"/>
      <c r="NF34" s="221"/>
      <c r="NG34" s="221"/>
      <c r="NH34" s="221"/>
      <c r="NI34" s="221"/>
      <c r="NJ34" s="221"/>
      <c r="NK34" s="221"/>
      <c r="NL34" s="195"/>
      <c r="NM34" s="195">
        <f t="shared" si="166"/>
        <v>0</v>
      </c>
      <c r="NN34" s="195">
        <f t="shared" si="167"/>
        <v>0</v>
      </c>
      <c r="NO34" s="195">
        <f t="shared" si="168"/>
        <v>0</v>
      </c>
      <c r="NP34" s="195">
        <f t="shared" si="169"/>
        <v>0</v>
      </c>
      <c r="NQ34" s="195">
        <f t="shared" si="170"/>
        <v>0</v>
      </c>
      <c r="NR34" s="195">
        <f t="shared" si="171"/>
        <v>0</v>
      </c>
      <c r="NS34" s="195">
        <f t="shared" si="172"/>
        <v>0</v>
      </c>
      <c r="NT34" s="195">
        <f t="shared" si="173"/>
        <v>0</v>
      </c>
      <c r="NU34" s="196">
        <f t="shared" si="174"/>
        <v>0</v>
      </c>
      <c r="NV34" s="195"/>
      <c r="NW34" s="195"/>
      <c r="NX34" s="195"/>
      <c r="NY34" s="196">
        <f t="shared" si="106"/>
        <v>1</v>
      </c>
      <c r="NZ34" s="222">
        <f>595680000/73</f>
        <v>8160000</v>
      </c>
      <c r="OA34" s="195"/>
      <c r="OB34" s="195"/>
      <c r="OC34" s="195"/>
      <c r="OD34" s="195"/>
      <c r="OE34" s="207">
        <f t="shared" si="107"/>
        <v>0</v>
      </c>
      <c r="OF34" s="207">
        <f t="shared" si="108"/>
        <v>0</v>
      </c>
      <c r="OG34" s="207">
        <f t="shared" si="109"/>
        <v>0</v>
      </c>
      <c r="OH34" s="207">
        <f t="shared" si="175"/>
        <v>0</v>
      </c>
      <c r="OI34" s="207">
        <f t="shared" si="110"/>
        <v>0</v>
      </c>
      <c r="OJ34" s="199">
        <f t="shared" si="176"/>
        <v>0</v>
      </c>
      <c r="OK34" s="199">
        <f t="shared" si="177"/>
        <v>0</v>
      </c>
      <c r="OL34" s="199">
        <f t="shared" si="178"/>
        <v>0</v>
      </c>
      <c r="OM34" s="199">
        <f t="shared" si="179"/>
        <v>0</v>
      </c>
      <c r="ON34" s="195"/>
      <c r="OO34" s="207">
        <f t="shared" si="111"/>
        <v>0</v>
      </c>
      <c r="OP34" s="207">
        <f t="shared" si="112"/>
        <v>0</v>
      </c>
      <c r="OQ34" s="207">
        <f t="shared" si="180"/>
        <v>0</v>
      </c>
      <c r="OR34" s="207">
        <f t="shared" si="181"/>
        <v>0</v>
      </c>
      <c r="OS34" s="207">
        <f t="shared" si="182"/>
        <v>0</v>
      </c>
      <c r="OT34" s="199">
        <f t="shared" si="183"/>
        <v>0</v>
      </c>
      <c r="OU34" s="199">
        <f t="shared" si="184"/>
        <v>0</v>
      </c>
      <c r="OV34" s="199">
        <f t="shared" si="185"/>
        <v>0</v>
      </c>
      <c r="OW34" s="199">
        <f t="shared" si="186"/>
        <v>0</v>
      </c>
      <c r="OX34" s="195"/>
      <c r="OY34" s="195"/>
      <c r="OZ34" s="195"/>
      <c r="PA34" s="209"/>
      <c r="PB34" s="209"/>
      <c r="PC34" s="209"/>
      <c r="PD34" s="210">
        <f t="shared" si="113"/>
        <v>0</v>
      </c>
      <c r="PE34" s="210"/>
      <c r="PF34" s="210">
        <f t="shared" si="114"/>
        <v>0</v>
      </c>
      <c r="PG34" s="210">
        <f t="shared" si="115"/>
        <v>0</v>
      </c>
      <c r="PH34" s="210">
        <f t="shared" si="115"/>
        <v>0</v>
      </c>
      <c r="PI34" s="210">
        <f t="shared" si="115"/>
        <v>0</v>
      </c>
      <c r="PJ34" s="210">
        <f t="shared" si="115"/>
        <v>0</v>
      </c>
      <c r="PK34" s="210">
        <f t="shared" si="115"/>
        <v>0</v>
      </c>
      <c r="PL34" s="210">
        <f t="shared" si="115"/>
        <v>0</v>
      </c>
      <c r="PM34" s="195"/>
      <c r="PN34" s="195"/>
      <c r="PO34" s="212">
        <f t="shared" si="187"/>
        <v>0</v>
      </c>
      <c r="PP34" s="212">
        <f t="shared" si="188"/>
        <v>0</v>
      </c>
      <c r="PQ34" s="212">
        <f t="shared" si="189"/>
        <v>0</v>
      </c>
    </row>
    <row r="35" spans="1:433" ht="16" x14ac:dyDescent="0.2">
      <c r="A35" s="213">
        <f t="shared" si="190"/>
        <v>27</v>
      </c>
      <c r="B35" s="186" t="s">
        <v>111</v>
      </c>
      <c r="C35" s="186">
        <v>28</v>
      </c>
      <c r="D35" s="188">
        <v>1</v>
      </c>
      <c r="E35" s="188">
        <v>346</v>
      </c>
      <c r="F35" s="188">
        <v>1</v>
      </c>
      <c r="G35" s="188">
        <f t="shared" si="116"/>
        <v>346</v>
      </c>
      <c r="H35" s="214">
        <f t="shared" si="2"/>
        <v>1</v>
      </c>
      <c r="I35" s="214">
        <f t="shared" si="3"/>
        <v>1</v>
      </c>
      <c r="J35" s="188">
        <v>1</v>
      </c>
      <c r="K35" s="188">
        <f t="shared" si="4"/>
        <v>346</v>
      </c>
      <c r="L35" s="214">
        <f t="shared" si="5"/>
        <v>1</v>
      </c>
      <c r="M35" s="214">
        <f t="shared" si="6"/>
        <v>1</v>
      </c>
      <c r="N35" s="188">
        <v>1</v>
      </c>
      <c r="O35" s="188">
        <f t="shared" si="7"/>
        <v>346</v>
      </c>
      <c r="P35" s="214">
        <f t="shared" si="8"/>
        <v>1</v>
      </c>
      <c r="Q35" s="214">
        <f t="shared" si="9"/>
        <v>1</v>
      </c>
      <c r="R35" s="188">
        <v>1</v>
      </c>
      <c r="S35" s="188">
        <f t="shared" si="117"/>
        <v>346</v>
      </c>
      <c r="T35" s="214">
        <f t="shared" si="118"/>
        <v>1</v>
      </c>
      <c r="U35" s="214">
        <f t="shared" si="119"/>
        <v>1</v>
      </c>
      <c r="V35" s="188">
        <v>1</v>
      </c>
      <c r="W35" s="188">
        <f t="shared" si="10"/>
        <v>346</v>
      </c>
      <c r="X35" s="214">
        <f t="shared" si="11"/>
        <v>1</v>
      </c>
      <c r="Y35" s="214">
        <f t="shared" si="12"/>
        <v>1</v>
      </c>
      <c r="Z35" s="224">
        <f>3009514000/1000000000</f>
        <v>3.0095139999999998</v>
      </c>
      <c r="AA35" s="188"/>
      <c r="AB35" s="189">
        <f t="shared" si="120"/>
        <v>0</v>
      </c>
      <c r="AC35" s="250">
        <f t="shared" si="121"/>
        <v>0</v>
      </c>
      <c r="AD35" s="250">
        <f t="shared" si="122"/>
        <v>0</v>
      </c>
      <c r="AE35" s="188"/>
      <c r="AF35" s="188">
        <f t="shared" si="15"/>
        <v>0</v>
      </c>
      <c r="AG35" s="187"/>
      <c r="AH35" s="187"/>
      <c r="AI35" s="188">
        <v>0</v>
      </c>
      <c r="AJ35" s="188">
        <f t="shared" si="16"/>
        <v>0</v>
      </c>
      <c r="AK35" s="188"/>
      <c r="AL35" s="188">
        <v>0</v>
      </c>
      <c r="AM35" s="188">
        <v>0</v>
      </c>
      <c r="AN35" s="217"/>
      <c r="AO35" s="196">
        <f t="shared" si="123"/>
        <v>0</v>
      </c>
      <c r="AP35" s="195"/>
      <c r="AQ35" s="195"/>
      <c r="AR35" s="195"/>
      <c r="AS35" s="195"/>
      <c r="AT35" s="195"/>
      <c r="AU35" s="195"/>
      <c r="AV35" s="195"/>
      <c r="AW35" s="195"/>
      <c r="AX35" s="195"/>
      <c r="AY35" s="195"/>
      <c r="AZ35" s="195"/>
      <c r="BA35" s="195"/>
      <c r="BB35" s="188">
        <f t="shared" si="17"/>
        <v>0</v>
      </c>
      <c r="BC35" s="195"/>
      <c r="BD35" s="196"/>
      <c r="BE35" s="188">
        <f t="shared" si="18"/>
        <v>0</v>
      </c>
      <c r="BF35" s="188">
        <f t="shared" si="19"/>
        <v>0</v>
      </c>
      <c r="BG35" s="188">
        <f t="shared" si="20"/>
        <v>0</v>
      </c>
      <c r="BH35" s="188">
        <f t="shared" si="21"/>
        <v>0</v>
      </c>
      <c r="BI35" s="188">
        <f t="shared" si="22"/>
        <v>0</v>
      </c>
      <c r="BJ35" s="188">
        <f t="shared" si="23"/>
        <v>0</v>
      </c>
      <c r="BK35" s="188">
        <f t="shared" si="124"/>
        <v>0</v>
      </c>
      <c r="BL35" s="195"/>
      <c r="BM35" s="195"/>
      <c r="BN35" s="143"/>
      <c r="BO35" s="277"/>
      <c r="BP35" s="188"/>
      <c r="BQ35" s="188"/>
      <c r="BR35" s="188"/>
      <c r="BS35" s="188"/>
      <c r="BT35" s="188"/>
      <c r="BU35" s="188"/>
      <c r="BV35" s="188"/>
      <c r="BW35" s="188"/>
      <c r="BX35" s="188"/>
      <c r="BY35" s="188"/>
      <c r="BZ35" s="188"/>
      <c r="CA35" s="195"/>
      <c r="CB35" s="189">
        <v>0</v>
      </c>
      <c r="CC35" s="195"/>
      <c r="CD35" s="189">
        <f t="shared" si="125"/>
        <v>0</v>
      </c>
      <c r="CE35" s="189">
        <f t="shared" si="191"/>
        <v>0</v>
      </c>
      <c r="CF35" s="189">
        <f t="shared" si="126"/>
        <v>0</v>
      </c>
      <c r="CG35" s="189">
        <f t="shared" si="127"/>
        <v>0</v>
      </c>
      <c r="CH35" s="189">
        <f t="shared" si="128"/>
        <v>0</v>
      </c>
      <c r="CI35" s="189">
        <f t="shared" si="129"/>
        <v>0</v>
      </c>
      <c r="CJ35" s="189">
        <f t="shared" si="130"/>
        <v>0</v>
      </c>
      <c r="CK35" s="189">
        <f t="shared" si="131"/>
        <v>0</v>
      </c>
      <c r="CL35" s="189">
        <f t="shared" si="132"/>
        <v>0</v>
      </c>
      <c r="CM35" s="189">
        <f t="shared" si="133"/>
        <v>0</v>
      </c>
      <c r="CN35" s="189">
        <f t="shared" si="134"/>
        <v>0</v>
      </c>
      <c r="CO35" s="189">
        <f t="shared" si="135"/>
        <v>0</v>
      </c>
      <c r="CP35" s="189">
        <f t="shared" si="136"/>
        <v>0</v>
      </c>
      <c r="CQ35" s="195"/>
      <c r="CR35" s="195"/>
      <c r="CS35" s="195"/>
      <c r="CT35" s="195"/>
      <c r="CU35" s="195"/>
      <c r="CV35" s="195"/>
      <c r="CW35" s="195"/>
      <c r="CX35" s="195"/>
      <c r="CY35" s="195"/>
      <c r="CZ35" s="195"/>
      <c r="DA35" s="195"/>
      <c r="DB35" s="195"/>
      <c r="DC35" s="195"/>
      <c r="DD35" s="195"/>
      <c r="DE35" s="195"/>
      <c r="DF35" s="195"/>
      <c r="DG35" s="195"/>
      <c r="DH35" s="195"/>
      <c r="DI35" s="195"/>
      <c r="DJ35" s="195"/>
      <c r="DK35" s="195"/>
      <c r="DL35" s="195"/>
      <c r="DM35" s="195"/>
      <c r="DN35" s="195"/>
      <c r="DO35" s="195"/>
      <c r="DP35" s="195"/>
      <c r="DQ35" s="195"/>
      <c r="DR35" s="195"/>
      <c r="DS35" s="195"/>
      <c r="DT35" s="195"/>
      <c r="DU35" s="195"/>
      <c r="DV35" s="189">
        <f t="shared" si="26"/>
        <v>0</v>
      </c>
      <c r="DW35" s="189">
        <f t="shared" si="27"/>
        <v>0</v>
      </c>
      <c r="DX35" s="189">
        <f t="shared" si="28"/>
        <v>0</v>
      </c>
      <c r="DY35" s="189">
        <f t="shared" si="29"/>
        <v>0</v>
      </c>
      <c r="DZ35" s="189">
        <f t="shared" si="30"/>
        <v>0</v>
      </c>
      <c r="EA35" s="189">
        <f t="shared" si="31"/>
        <v>0</v>
      </c>
      <c r="EB35" s="189">
        <f t="shared" si="137"/>
        <v>0</v>
      </c>
      <c r="EC35" s="195"/>
      <c r="ED35" s="195"/>
      <c r="EE35" s="195"/>
      <c r="EF35" s="195"/>
      <c r="EG35" s="252">
        <f t="shared" si="138"/>
        <v>0</v>
      </c>
      <c r="EH35" s="252">
        <f t="shared" si="139"/>
        <v>0</v>
      </c>
      <c r="EI35" s="189"/>
      <c r="EJ35" s="189"/>
      <c r="EK35" s="189"/>
      <c r="EL35" s="189"/>
      <c r="EM35" s="189"/>
      <c r="EN35" s="189"/>
      <c r="EO35" s="189"/>
      <c r="EP35" s="189"/>
      <c r="EQ35" s="189"/>
      <c r="ER35" s="189"/>
      <c r="ES35" s="189"/>
      <c r="ET35" s="189"/>
      <c r="EU35" s="189"/>
      <c r="EV35" s="189"/>
      <c r="EW35" s="189"/>
      <c r="EX35" s="189"/>
      <c r="EY35" s="189"/>
      <c r="EZ35" s="189"/>
      <c r="FA35" s="189"/>
      <c r="FB35" s="189"/>
      <c r="FC35" s="189"/>
      <c r="FD35" s="189"/>
      <c r="FE35" s="189"/>
      <c r="FF35" s="189"/>
      <c r="FG35" s="195"/>
      <c r="FH35" s="189"/>
      <c r="FI35" s="189"/>
      <c r="FJ35" s="189"/>
      <c r="FK35" s="189"/>
      <c r="FL35" s="189"/>
      <c r="FM35" s="189"/>
      <c r="FN35" s="189"/>
      <c r="FO35" s="189"/>
      <c r="FP35" s="189"/>
      <c r="FQ35" s="189"/>
      <c r="FR35" s="189"/>
      <c r="FS35" s="189"/>
      <c r="FT35" s="189"/>
      <c r="FU35" s="189"/>
      <c r="FV35" s="189"/>
      <c r="FW35" s="195"/>
      <c r="FX35" s="253"/>
      <c r="FY35" s="189">
        <f t="shared" si="140"/>
        <v>0</v>
      </c>
      <c r="FZ35" s="189">
        <f t="shared" si="33"/>
        <v>0</v>
      </c>
      <c r="GA35" s="189">
        <f t="shared" si="34"/>
        <v>0</v>
      </c>
      <c r="GB35" s="189">
        <f t="shared" si="35"/>
        <v>0</v>
      </c>
      <c r="GC35" s="189">
        <f t="shared" si="36"/>
        <v>0</v>
      </c>
      <c r="GD35" s="189">
        <f t="shared" si="37"/>
        <v>0</v>
      </c>
      <c r="GE35" s="189">
        <f t="shared" si="38"/>
        <v>0</v>
      </c>
      <c r="GF35" s="199"/>
      <c r="GG35" s="189">
        <v>0</v>
      </c>
      <c r="GH35" s="189">
        <v>0</v>
      </c>
      <c r="GI35" s="199"/>
      <c r="GJ35" s="200">
        <f t="shared" si="141"/>
        <v>0</v>
      </c>
      <c r="GK35" s="200">
        <f t="shared" si="142"/>
        <v>0</v>
      </c>
      <c r="GL35" s="195"/>
      <c r="GM35" s="195"/>
      <c r="GN35" s="195"/>
      <c r="GO35" s="189">
        <f t="shared" si="39"/>
        <v>0</v>
      </c>
      <c r="GP35" s="189">
        <f t="shared" si="40"/>
        <v>0</v>
      </c>
      <c r="GQ35" s="189">
        <f t="shared" si="41"/>
        <v>0</v>
      </c>
      <c r="GR35" s="189">
        <f t="shared" si="42"/>
        <v>0</v>
      </c>
      <c r="GS35" s="189">
        <f t="shared" si="43"/>
        <v>0</v>
      </c>
      <c r="GT35" s="189">
        <f t="shared" si="143"/>
        <v>1</v>
      </c>
      <c r="GU35" s="201">
        <f t="shared" si="144"/>
        <v>43243</v>
      </c>
      <c r="GV35" s="189" t="str">
        <f t="shared" si="145"/>
        <v>SELESAI</v>
      </c>
      <c r="GW35" s="189">
        <f t="shared" si="146"/>
        <v>0</v>
      </c>
      <c r="GX35" s="202" t="str">
        <f t="shared" si="147"/>
        <v>SELESAI</v>
      </c>
      <c r="GY35" s="202">
        <f t="shared" si="148"/>
        <v>0</v>
      </c>
      <c r="GZ35" s="203" t="str">
        <f t="shared" si="149"/>
        <v>SELESAI</v>
      </c>
      <c r="HA35" s="204"/>
      <c r="HB35" s="204"/>
      <c r="HC35" s="189">
        <f t="shared" si="44"/>
        <v>0</v>
      </c>
      <c r="HD35" s="189">
        <f t="shared" si="45"/>
        <v>0</v>
      </c>
      <c r="HE35" s="189">
        <f t="shared" si="150"/>
        <v>0</v>
      </c>
      <c r="HF35" s="189">
        <f t="shared" si="151"/>
        <v>0</v>
      </c>
      <c r="HG35" s="189">
        <f t="shared" si="152"/>
        <v>0</v>
      </c>
      <c r="HH35" s="201" t="str">
        <f t="shared" si="46"/>
        <v>TIDAK KONSINYASI</v>
      </c>
      <c r="HI35" s="201" t="str">
        <f t="shared" si="153"/>
        <v>SELESAI</v>
      </c>
      <c r="HJ35" s="205"/>
      <c r="HK35" s="201">
        <f t="shared" si="47"/>
        <v>0</v>
      </c>
      <c r="HL35" s="204"/>
      <c r="HM35" s="204"/>
      <c r="HN35" s="204"/>
      <c r="HO35" s="204"/>
      <c r="HP35" s="203">
        <f t="shared" si="154"/>
        <v>0</v>
      </c>
      <c r="HQ35" s="202">
        <f t="shared" si="155"/>
        <v>0</v>
      </c>
      <c r="HR35" s="202">
        <f t="shared" si="48"/>
        <v>0</v>
      </c>
      <c r="HS35" s="203">
        <f t="shared" si="156"/>
        <v>0</v>
      </c>
      <c r="HT35" s="202">
        <f t="shared" si="157"/>
        <v>0</v>
      </c>
      <c r="HU35" s="202">
        <f t="shared" si="49"/>
        <v>0</v>
      </c>
      <c r="HV35" s="203">
        <f t="shared" si="158"/>
        <v>0</v>
      </c>
      <c r="HW35" s="202">
        <f t="shared" si="50"/>
        <v>0</v>
      </c>
      <c r="HX35" s="202">
        <f t="shared" si="51"/>
        <v>0</v>
      </c>
      <c r="HY35" s="203">
        <f t="shared" si="52"/>
        <v>0</v>
      </c>
      <c r="HZ35" s="202">
        <f t="shared" si="159"/>
        <v>0</v>
      </c>
      <c r="IA35" s="202">
        <f t="shared" si="53"/>
        <v>0</v>
      </c>
      <c r="IB35" s="203">
        <f t="shared" si="160"/>
        <v>0</v>
      </c>
      <c r="IC35" s="202">
        <f t="shared" si="54"/>
        <v>0</v>
      </c>
      <c r="ID35" s="202">
        <f t="shared" si="55"/>
        <v>0</v>
      </c>
      <c r="IE35" s="203">
        <f t="shared" si="56"/>
        <v>0</v>
      </c>
      <c r="IF35" s="202">
        <f t="shared" si="57"/>
        <v>0</v>
      </c>
      <c r="IG35" s="202">
        <f t="shared" si="58"/>
        <v>0</v>
      </c>
      <c r="IH35" s="203">
        <f t="shared" si="161"/>
        <v>0</v>
      </c>
      <c r="II35" s="202">
        <f t="shared" si="162"/>
        <v>0</v>
      </c>
      <c r="IJ35" s="202">
        <f t="shared" si="59"/>
        <v>0</v>
      </c>
      <c r="IK35" s="203">
        <f t="shared" si="60"/>
        <v>0</v>
      </c>
      <c r="IL35" s="202">
        <f t="shared" si="61"/>
        <v>0</v>
      </c>
      <c r="IM35" s="202">
        <f t="shared" si="62"/>
        <v>0</v>
      </c>
      <c r="IN35" s="204"/>
      <c r="IO35" s="203">
        <f t="shared" si="63"/>
        <v>0</v>
      </c>
      <c r="IP35" s="202">
        <f t="shared" si="64"/>
        <v>0</v>
      </c>
      <c r="IQ35" s="202">
        <f t="shared" si="65"/>
        <v>0</v>
      </c>
      <c r="IR35" s="204"/>
      <c r="IS35" s="203"/>
      <c r="IT35" s="202">
        <f t="shared" si="66"/>
        <v>1</v>
      </c>
      <c r="IU35" s="202">
        <f t="shared" si="67"/>
        <v>346</v>
      </c>
      <c r="IV35" s="204"/>
      <c r="IW35" s="203"/>
      <c r="IX35" s="202">
        <f t="shared" si="68"/>
        <v>0</v>
      </c>
      <c r="IY35" s="202">
        <f t="shared" si="69"/>
        <v>0</v>
      </c>
      <c r="IZ35" s="204"/>
      <c r="JA35" s="203"/>
      <c r="JB35" s="202">
        <f t="shared" si="70"/>
        <v>0</v>
      </c>
      <c r="JC35" s="202">
        <f t="shared" si="71"/>
        <v>0</v>
      </c>
      <c r="JD35" s="204"/>
      <c r="JE35" s="203"/>
      <c r="JF35" s="202">
        <f t="shared" si="163"/>
        <v>1</v>
      </c>
      <c r="JG35" s="202">
        <f t="shared" si="72"/>
        <v>346</v>
      </c>
      <c r="JH35" s="204"/>
      <c r="JI35" s="203"/>
      <c r="JJ35" s="202">
        <f t="shared" si="73"/>
        <v>0</v>
      </c>
      <c r="JK35" s="202">
        <f t="shared" si="74"/>
        <v>0</v>
      </c>
      <c r="JL35" s="195"/>
      <c r="JM35" s="203">
        <f t="shared" si="164"/>
        <v>0</v>
      </c>
      <c r="JN35" s="195"/>
      <c r="JO35" s="196">
        <f t="shared" si="75"/>
        <v>0</v>
      </c>
      <c r="JP35" s="206">
        <f t="shared" si="76"/>
        <v>0</v>
      </c>
      <c r="JQ35" s="206">
        <f t="shared" si="77"/>
        <v>0</v>
      </c>
      <c r="JR35" s="206">
        <f t="shared" si="78"/>
        <v>0</v>
      </c>
      <c r="JS35" s="206">
        <f t="shared" si="79"/>
        <v>0</v>
      </c>
      <c r="JT35" s="206">
        <f t="shared" si="80"/>
        <v>0</v>
      </c>
      <c r="JU35" s="206">
        <f t="shared" si="81"/>
        <v>0</v>
      </c>
      <c r="JV35" s="206">
        <f t="shared" si="82"/>
        <v>0</v>
      </c>
      <c r="JW35" s="206">
        <f t="shared" si="83"/>
        <v>0</v>
      </c>
      <c r="JX35" s="206">
        <f t="shared" si="84"/>
        <v>0</v>
      </c>
      <c r="JY35" s="206">
        <f t="shared" si="85"/>
        <v>0</v>
      </c>
      <c r="JZ35" s="206">
        <f t="shared" si="86"/>
        <v>0</v>
      </c>
      <c r="KA35" s="206">
        <f t="shared" si="87"/>
        <v>0</v>
      </c>
      <c r="KB35" s="206">
        <f t="shared" si="88"/>
        <v>0</v>
      </c>
      <c r="KC35" s="195"/>
      <c r="KD35" s="206">
        <f t="shared" si="165"/>
        <v>0</v>
      </c>
      <c r="KE35" s="206">
        <f t="shared" si="90"/>
        <v>0</v>
      </c>
      <c r="KF35" s="206">
        <f t="shared" si="91"/>
        <v>0</v>
      </c>
      <c r="KG35" s="206">
        <f t="shared" si="92"/>
        <v>0</v>
      </c>
      <c r="KH35" s="206">
        <f t="shared" si="93"/>
        <v>0</v>
      </c>
      <c r="KI35" s="206">
        <f t="shared" si="94"/>
        <v>0</v>
      </c>
      <c r="KJ35" s="206">
        <f t="shared" si="95"/>
        <v>0</v>
      </c>
      <c r="KK35" s="206">
        <f t="shared" si="96"/>
        <v>0</v>
      </c>
      <c r="KL35" s="206">
        <f t="shared" si="97"/>
        <v>0</v>
      </c>
      <c r="KM35" s="206">
        <f t="shared" si="98"/>
        <v>0</v>
      </c>
      <c r="KN35" s="221">
        <f t="shared" si="99"/>
        <v>0</v>
      </c>
      <c r="KO35" s="221">
        <f t="shared" si="100"/>
        <v>0</v>
      </c>
      <c r="KP35" s="221">
        <f t="shared" si="101"/>
        <v>0</v>
      </c>
      <c r="KQ35" s="221">
        <f t="shared" si="102"/>
        <v>0</v>
      </c>
      <c r="KR35" s="221">
        <f t="shared" si="103"/>
        <v>0</v>
      </c>
      <c r="KS35" s="195"/>
      <c r="KT35" s="195">
        <f t="shared" si="104"/>
        <v>0</v>
      </c>
      <c r="KU35" s="221"/>
      <c r="KV35" s="221"/>
      <c r="KW35" s="221"/>
      <c r="KX35" s="221"/>
      <c r="KY35" s="221"/>
      <c r="KZ35" s="221"/>
      <c r="LA35" s="221"/>
      <c r="LB35" s="221"/>
      <c r="LC35" s="221"/>
      <c r="LD35" s="221"/>
      <c r="LE35" s="221"/>
      <c r="LF35" s="221"/>
      <c r="LG35" s="221"/>
      <c r="LH35" s="221"/>
      <c r="LI35" s="221"/>
      <c r="LJ35" s="221"/>
      <c r="LK35" s="221"/>
      <c r="LL35" s="221"/>
      <c r="LM35" s="221"/>
      <c r="LN35" s="221"/>
      <c r="LO35" s="221"/>
      <c r="LP35" s="221"/>
      <c r="LQ35" s="221"/>
      <c r="LR35" s="221"/>
      <c r="LS35" s="221"/>
      <c r="LT35" s="221"/>
      <c r="LU35" s="221"/>
      <c r="LV35" s="221"/>
      <c r="LW35" s="221"/>
      <c r="LX35" s="221"/>
      <c r="LY35" s="221"/>
      <c r="LZ35" s="221"/>
      <c r="MA35" s="221"/>
      <c r="MB35" s="221"/>
      <c r="MC35" s="221"/>
      <c r="MD35" s="221"/>
      <c r="ME35" s="221"/>
      <c r="MF35" s="221"/>
      <c r="MG35" s="221"/>
      <c r="MH35" s="221"/>
      <c r="MI35" s="221"/>
      <c r="MJ35" s="221"/>
      <c r="MK35" s="221"/>
      <c r="ML35" s="221"/>
      <c r="MM35" s="221"/>
      <c r="MN35" s="221"/>
      <c r="MO35" s="221"/>
      <c r="MP35" s="221"/>
      <c r="MQ35" s="221"/>
      <c r="MR35" s="221"/>
      <c r="MS35" s="221"/>
      <c r="MT35" s="221"/>
      <c r="MU35" s="221"/>
      <c r="MV35" s="221"/>
      <c r="MW35" s="221"/>
      <c r="MX35" s="221"/>
      <c r="MY35" s="221"/>
      <c r="MZ35" s="221"/>
      <c r="NA35" s="221"/>
      <c r="NB35" s="221"/>
      <c r="NC35" s="221"/>
      <c r="ND35" s="221"/>
      <c r="NE35" s="221"/>
      <c r="NF35" s="221"/>
      <c r="NG35" s="221"/>
      <c r="NH35" s="221"/>
      <c r="NI35" s="221"/>
      <c r="NJ35" s="221"/>
      <c r="NK35" s="221"/>
      <c r="NL35" s="195"/>
      <c r="NM35" s="195">
        <f t="shared" si="166"/>
        <v>0</v>
      </c>
      <c r="NN35" s="195">
        <f t="shared" si="167"/>
        <v>0</v>
      </c>
      <c r="NO35" s="195">
        <f t="shared" si="168"/>
        <v>0</v>
      </c>
      <c r="NP35" s="195">
        <f t="shared" si="169"/>
        <v>0</v>
      </c>
      <c r="NQ35" s="195">
        <f t="shared" si="170"/>
        <v>0</v>
      </c>
      <c r="NR35" s="195">
        <f t="shared" si="171"/>
        <v>0</v>
      </c>
      <c r="NS35" s="195">
        <f t="shared" si="172"/>
        <v>0</v>
      </c>
      <c r="NT35" s="195">
        <f t="shared" si="173"/>
        <v>0</v>
      </c>
      <c r="NU35" s="196">
        <f t="shared" si="174"/>
        <v>0</v>
      </c>
      <c r="NV35" s="195"/>
      <c r="NW35" s="195"/>
      <c r="NX35" s="195"/>
      <c r="NY35" s="196">
        <f t="shared" si="106"/>
        <v>1</v>
      </c>
      <c r="NZ35" s="222">
        <v>7913500</v>
      </c>
      <c r="OA35" s="195"/>
      <c r="OB35" s="195"/>
      <c r="OC35" s="195"/>
      <c r="OD35" s="195"/>
      <c r="OE35" s="207">
        <f t="shared" si="107"/>
        <v>0</v>
      </c>
      <c r="OF35" s="207">
        <f t="shared" si="108"/>
        <v>0</v>
      </c>
      <c r="OG35" s="207">
        <f t="shared" si="109"/>
        <v>0</v>
      </c>
      <c r="OH35" s="207">
        <f t="shared" si="175"/>
        <v>0</v>
      </c>
      <c r="OI35" s="207">
        <f t="shared" si="110"/>
        <v>0</v>
      </c>
      <c r="OJ35" s="199">
        <f t="shared" si="176"/>
        <v>0</v>
      </c>
      <c r="OK35" s="199">
        <f t="shared" si="177"/>
        <v>0</v>
      </c>
      <c r="OL35" s="199">
        <f t="shared" si="178"/>
        <v>0</v>
      </c>
      <c r="OM35" s="199">
        <f t="shared" si="179"/>
        <v>0</v>
      </c>
      <c r="ON35" s="195"/>
      <c r="OO35" s="207">
        <f t="shared" si="111"/>
        <v>0</v>
      </c>
      <c r="OP35" s="207">
        <f t="shared" si="112"/>
        <v>0</v>
      </c>
      <c r="OQ35" s="207">
        <f t="shared" si="180"/>
        <v>0</v>
      </c>
      <c r="OR35" s="207">
        <f t="shared" si="181"/>
        <v>0</v>
      </c>
      <c r="OS35" s="207">
        <f t="shared" si="182"/>
        <v>0</v>
      </c>
      <c r="OT35" s="199">
        <f t="shared" si="183"/>
        <v>0</v>
      </c>
      <c r="OU35" s="199">
        <f t="shared" si="184"/>
        <v>0</v>
      </c>
      <c r="OV35" s="199">
        <f t="shared" si="185"/>
        <v>0</v>
      </c>
      <c r="OW35" s="199">
        <f t="shared" si="186"/>
        <v>0</v>
      </c>
      <c r="OX35" s="195"/>
      <c r="OY35" s="195"/>
      <c r="OZ35" s="195"/>
      <c r="PA35" s="209"/>
      <c r="PB35" s="209"/>
      <c r="PC35" s="209"/>
      <c r="PD35" s="210">
        <f t="shared" si="113"/>
        <v>0</v>
      </c>
      <c r="PE35" s="210"/>
      <c r="PF35" s="210">
        <f t="shared" si="114"/>
        <v>0</v>
      </c>
      <c r="PG35" s="210">
        <f t="shared" si="115"/>
        <v>0</v>
      </c>
      <c r="PH35" s="210">
        <f t="shared" si="115"/>
        <v>0</v>
      </c>
      <c r="PI35" s="210">
        <f t="shared" si="115"/>
        <v>0</v>
      </c>
      <c r="PJ35" s="210">
        <f t="shared" si="115"/>
        <v>0</v>
      </c>
      <c r="PK35" s="210">
        <f t="shared" si="115"/>
        <v>0</v>
      </c>
      <c r="PL35" s="210">
        <f t="shared" si="115"/>
        <v>0</v>
      </c>
      <c r="PM35" s="195"/>
      <c r="PN35" s="195"/>
      <c r="PO35" s="212">
        <f t="shared" si="187"/>
        <v>0</v>
      </c>
      <c r="PP35" s="212">
        <f t="shared" si="188"/>
        <v>0</v>
      </c>
      <c r="PQ35" s="212">
        <f t="shared" si="189"/>
        <v>0</v>
      </c>
    </row>
    <row r="36" spans="1:433" ht="16" x14ac:dyDescent="0.2">
      <c r="A36" s="213">
        <f t="shared" si="190"/>
        <v>28</v>
      </c>
      <c r="B36" s="186" t="s">
        <v>112</v>
      </c>
      <c r="C36" s="186">
        <v>29</v>
      </c>
      <c r="D36" s="188">
        <v>1</v>
      </c>
      <c r="E36" s="188">
        <v>14</v>
      </c>
      <c r="F36" s="188">
        <v>1</v>
      </c>
      <c r="G36" s="188">
        <f t="shared" si="116"/>
        <v>14</v>
      </c>
      <c r="H36" s="214">
        <f t="shared" si="2"/>
        <v>1</v>
      </c>
      <c r="I36" s="214">
        <f t="shared" si="3"/>
        <v>1</v>
      </c>
      <c r="J36" s="188">
        <v>1</v>
      </c>
      <c r="K36" s="188">
        <f t="shared" si="4"/>
        <v>14</v>
      </c>
      <c r="L36" s="214">
        <f t="shared" si="5"/>
        <v>1</v>
      </c>
      <c r="M36" s="214">
        <f t="shared" si="6"/>
        <v>1</v>
      </c>
      <c r="N36" s="188">
        <v>1</v>
      </c>
      <c r="O36" s="188">
        <f t="shared" si="7"/>
        <v>14</v>
      </c>
      <c r="P36" s="214">
        <f t="shared" si="8"/>
        <v>1</v>
      </c>
      <c r="Q36" s="214">
        <f t="shared" si="9"/>
        <v>1</v>
      </c>
      <c r="R36" s="188">
        <v>1</v>
      </c>
      <c r="S36" s="188">
        <f t="shared" si="117"/>
        <v>14</v>
      </c>
      <c r="T36" s="214">
        <f t="shared" si="118"/>
        <v>1</v>
      </c>
      <c r="U36" s="214">
        <f t="shared" si="119"/>
        <v>1</v>
      </c>
      <c r="V36" s="188">
        <v>1</v>
      </c>
      <c r="W36" s="188">
        <f t="shared" si="10"/>
        <v>14</v>
      </c>
      <c r="X36" s="214">
        <f t="shared" si="11"/>
        <v>1</v>
      </c>
      <c r="Y36" s="214">
        <f t="shared" si="12"/>
        <v>1</v>
      </c>
      <c r="Z36" s="224">
        <f>171522000/1000000000</f>
        <v>0.17152200000000001</v>
      </c>
      <c r="AA36" s="188"/>
      <c r="AB36" s="189">
        <f t="shared" si="120"/>
        <v>0</v>
      </c>
      <c r="AC36" s="250">
        <f t="shared" si="121"/>
        <v>0</v>
      </c>
      <c r="AD36" s="250">
        <f t="shared" si="122"/>
        <v>0</v>
      </c>
      <c r="AE36" s="188"/>
      <c r="AF36" s="188">
        <f t="shared" si="15"/>
        <v>0</v>
      </c>
      <c r="AG36" s="187"/>
      <c r="AH36" s="187"/>
      <c r="AI36" s="188">
        <v>0</v>
      </c>
      <c r="AJ36" s="188">
        <f t="shared" si="16"/>
        <v>0</v>
      </c>
      <c r="AK36" s="188"/>
      <c r="AL36" s="188">
        <v>0</v>
      </c>
      <c r="AM36" s="188">
        <v>0</v>
      </c>
      <c r="AN36" s="217"/>
      <c r="AO36" s="196">
        <f t="shared" si="123"/>
        <v>0</v>
      </c>
      <c r="AP36" s="195"/>
      <c r="AQ36" s="195"/>
      <c r="AR36" s="195"/>
      <c r="AS36" s="195"/>
      <c r="AT36" s="195"/>
      <c r="AU36" s="195"/>
      <c r="AV36" s="195"/>
      <c r="AW36" s="195"/>
      <c r="AX36" s="195"/>
      <c r="AY36" s="195"/>
      <c r="AZ36" s="195"/>
      <c r="BA36" s="195"/>
      <c r="BB36" s="188">
        <f t="shared" si="17"/>
        <v>0</v>
      </c>
      <c r="BC36" s="195"/>
      <c r="BD36" s="196"/>
      <c r="BE36" s="188">
        <f t="shared" si="18"/>
        <v>0</v>
      </c>
      <c r="BF36" s="188">
        <f t="shared" si="19"/>
        <v>0</v>
      </c>
      <c r="BG36" s="188">
        <f t="shared" si="20"/>
        <v>0</v>
      </c>
      <c r="BH36" s="188">
        <f t="shared" si="21"/>
        <v>0</v>
      </c>
      <c r="BI36" s="188">
        <f t="shared" si="22"/>
        <v>0</v>
      </c>
      <c r="BJ36" s="188">
        <f t="shared" si="23"/>
        <v>0</v>
      </c>
      <c r="BK36" s="188">
        <f t="shared" si="124"/>
        <v>0</v>
      </c>
      <c r="BL36" s="195"/>
      <c r="BM36" s="195"/>
      <c r="BN36" s="143"/>
      <c r="BO36" s="277"/>
      <c r="BP36" s="188"/>
      <c r="BQ36" s="188"/>
      <c r="BR36" s="188"/>
      <c r="BS36" s="188"/>
      <c r="BT36" s="188"/>
      <c r="BU36" s="188"/>
      <c r="BV36" s="188"/>
      <c r="BW36" s="188"/>
      <c r="BX36" s="188"/>
      <c r="BY36" s="188"/>
      <c r="BZ36" s="188"/>
      <c r="CA36" s="195"/>
      <c r="CB36" s="189">
        <v>0</v>
      </c>
      <c r="CC36" s="195"/>
      <c r="CD36" s="189">
        <f t="shared" si="125"/>
        <v>0</v>
      </c>
      <c r="CE36" s="189">
        <f t="shared" si="191"/>
        <v>0</v>
      </c>
      <c r="CF36" s="189">
        <f t="shared" si="126"/>
        <v>0</v>
      </c>
      <c r="CG36" s="189">
        <f t="shared" si="127"/>
        <v>0</v>
      </c>
      <c r="CH36" s="189">
        <f t="shared" si="128"/>
        <v>0</v>
      </c>
      <c r="CI36" s="189">
        <f t="shared" si="129"/>
        <v>0</v>
      </c>
      <c r="CJ36" s="189">
        <f t="shared" si="130"/>
        <v>0</v>
      </c>
      <c r="CK36" s="189">
        <f t="shared" si="131"/>
        <v>0</v>
      </c>
      <c r="CL36" s="189">
        <f t="shared" si="132"/>
        <v>0</v>
      </c>
      <c r="CM36" s="189">
        <f t="shared" si="133"/>
        <v>0</v>
      </c>
      <c r="CN36" s="189">
        <f t="shared" si="134"/>
        <v>0</v>
      </c>
      <c r="CO36" s="189">
        <f t="shared" si="135"/>
        <v>0</v>
      </c>
      <c r="CP36" s="189">
        <f t="shared" si="136"/>
        <v>0</v>
      </c>
      <c r="CQ36" s="195"/>
      <c r="CR36" s="195"/>
      <c r="CS36" s="195"/>
      <c r="CT36" s="195"/>
      <c r="CU36" s="195"/>
      <c r="CV36" s="195"/>
      <c r="CW36" s="195"/>
      <c r="CX36" s="195"/>
      <c r="CY36" s="195"/>
      <c r="CZ36" s="195"/>
      <c r="DA36" s="195"/>
      <c r="DB36" s="195"/>
      <c r="DC36" s="195"/>
      <c r="DD36" s="195"/>
      <c r="DE36" s="195"/>
      <c r="DF36" s="195"/>
      <c r="DG36" s="195"/>
      <c r="DH36" s="195"/>
      <c r="DI36" s="195"/>
      <c r="DJ36" s="195"/>
      <c r="DK36" s="195"/>
      <c r="DL36" s="195"/>
      <c r="DM36" s="195"/>
      <c r="DN36" s="195"/>
      <c r="DO36" s="195"/>
      <c r="DP36" s="195"/>
      <c r="DQ36" s="195"/>
      <c r="DR36" s="195"/>
      <c r="DS36" s="195"/>
      <c r="DT36" s="195"/>
      <c r="DU36" s="195"/>
      <c r="DV36" s="189">
        <f t="shared" si="26"/>
        <v>0</v>
      </c>
      <c r="DW36" s="189">
        <f t="shared" si="27"/>
        <v>0</v>
      </c>
      <c r="DX36" s="189">
        <f t="shared" si="28"/>
        <v>0</v>
      </c>
      <c r="DY36" s="189">
        <f t="shared" si="29"/>
        <v>0</v>
      </c>
      <c r="DZ36" s="189">
        <f t="shared" si="30"/>
        <v>0</v>
      </c>
      <c r="EA36" s="189">
        <f t="shared" si="31"/>
        <v>0</v>
      </c>
      <c r="EB36" s="189">
        <f t="shared" si="137"/>
        <v>0</v>
      </c>
      <c r="EC36" s="195"/>
      <c r="ED36" s="195"/>
      <c r="EE36" s="195"/>
      <c r="EF36" s="195"/>
      <c r="EG36" s="252">
        <f t="shared" si="138"/>
        <v>0</v>
      </c>
      <c r="EH36" s="252">
        <f t="shared" si="139"/>
        <v>0</v>
      </c>
      <c r="EI36" s="189"/>
      <c r="EJ36" s="189"/>
      <c r="EK36" s="189"/>
      <c r="EL36" s="189"/>
      <c r="EM36" s="189"/>
      <c r="EN36" s="189"/>
      <c r="EO36" s="189"/>
      <c r="EP36" s="189"/>
      <c r="EQ36" s="189"/>
      <c r="ER36" s="189"/>
      <c r="ES36" s="189"/>
      <c r="ET36" s="189"/>
      <c r="EU36" s="189"/>
      <c r="EV36" s="189"/>
      <c r="EW36" s="189"/>
      <c r="EX36" s="189"/>
      <c r="EY36" s="189"/>
      <c r="EZ36" s="189"/>
      <c r="FA36" s="189"/>
      <c r="FB36" s="189"/>
      <c r="FC36" s="189"/>
      <c r="FD36" s="189"/>
      <c r="FE36" s="189"/>
      <c r="FF36" s="189"/>
      <c r="FG36" s="195"/>
      <c r="FH36" s="189"/>
      <c r="FI36" s="189"/>
      <c r="FJ36" s="189"/>
      <c r="FK36" s="189"/>
      <c r="FL36" s="189"/>
      <c r="FM36" s="189"/>
      <c r="FN36" s="189"/>
      <c r="FO36" s="189"/>
      <c r="FP36" s="189"/>
      <c r="FQ36" s="189"/>
      <c r="FR36" s="189"/>
      <c r="FS36" s="189"/>
      <c r="FT36" s="189"/>
      <c r="FU36" s="189"/>
      <c r="FV36" s="189"/>
      <c r="FW36" s="195"/>
      <c r="FX36" s="253"/>
      <c r="FY36" s="189">
        <f t="shared" si="140"/>
        <v>0</v>
      </c>
      <c r="FZ36" s="189">
        <f t="shared" si="33"/>
        <v>0</v>
      </c>
      <c r="GA36" s="189">
        <f t="shared" si="34"/>
        <v>0</v>
      </c>
      <c r="GB36" s="189">
        <f t="shared" si="35"/>
        <v>0</v>
      </c>
      <c r="GC36" s="189">
        <f t="shared" si="36"/>
        <v>0</v>
      </c>
      <c r="GD36" s="189">
        <f t="shared" si="37"/>
        <v>0</v>
      </c>
      <c r="GE36" s="189">
        <f t="shared" si="38"/>
        <v>0</v>
      </c>
      <c r="GF36" s="199"/>
      <c r="GG36" s="189">
        <v>0</v>
      </c>
      <c r="GH36" s="189">
        <v>0</v>
      </c>
      <c r="GI36" s="199"/>
      <c r="GJ36" s="200">
        <f t="shared" si="141"/>
        <v>0</v>
      </c>
      <c r="GK36" s="200">
        <f t="shared" si="142"/>
        <v>0</v>
      </c>
      <c r="GL36" s="195"/>
      <c r="GM36" s="195"/>
      <c r="GN36" s="195"/>
      <c r="GO36" s="189">
        <f t="shared" si="39"/>
        <v>0</v>
      </c>
      <c r="GP36" s="189">
        <f t="shared" si="40"/>
        <v>0</v>
      </c>
      <c r="GQ36" s="189">
        <f t="shared" si="41"/>
        <v>0</v>
      </c>
      <c r="GR36" s="189">
        <f t="shared" si="42"/>
        <v>0</v>
      </c>
      <c r="GS36" s="189">
        <f t="shared" si="43"/>
        <v>0</v>
      </c>
      <c r="GT36" s="189">
        <f t="shared" si="143"/>
        <v>1</v>
      </c>
      <c r="GU36" s="201">
        <f t="shared" si="144"/>
        <v>43243</v>
      </c>
      <c r="GV36" s="189" t="str">
        <f t="shared" si="145"/>
        <v>SELESAI</v>
      </c>
      <c r="GW36" s="189">
        <f t="shared" si="146"/>
        <v>0</v>
      </c>
      <c r="GX36" s="202" t="str">
        <f t="shared" si="147"/>
        <v>SELESAI</v>
      </c>
      <c r="GY36" s="202">
        <f t="shared" si="148"/>
        <v>0</v>
      </c>
      <c r="GZ36" s="203" t="str">
        <f t="shared" si="149"/>
        <v>SELESAI</v>
      </c>
      <c r="HA36" s="204"/>
      <c r="HB36" s="204"/>
      <c r="HC36" s="189">
        <f t="shared" si="44"/>
        <v>0</v>
      </c>
      <c r="HD36" s="189">
        <f t="shared" si="45"/>
        <v>0</v>
      </c>
      <c r="HE36" s="189">
        <f t="shared" si="150"/>
        <v>0</v>
      </c>
      <c r="HF36" s="189">
        <f t="shared" si="151"/>
        <v>0</v>
      </c>
      <c r="HG36" s="189">
        <f t="shared" si="152"/>
        <v>0</v>
      </c>
      <c r="HH36" s="201" t="str">
        <f t="shared" si="46"/>
        <v>TIDAK KONSINYASI</v>
      </c>
      <c r="HI36" s="201" t="str">
        <f t="shared" si="153"/>
        <v>SELESAI</v>
      </c>
      <c r="HJ36" s="205"/>
      <c r="HK36" s="201">
        <f t="shared" si="47"/>
        <v>0</v>
      </c>
      <c r="HL36" s="204"/>
      <c r="HM36" s="204"/>
      <c r="HN36" s="204"/>
      <c r="HO36" s="204"/>
      <c r="HP36" s="203">
        <f t="shared" si="154"/>
        <v>0</v>
      </c>
      <c r="HQ36" s="202">
        <f t="shared" si="155"/>
        <v>0</v>
      </c>
      <c r="HR36" s="202">
        <f t="shared" si="48"/>
        <v>0</v>
      </c>
      <c r="HS36" s="203">
        <f t="shared" si="156"/>
        <v>0</v>
      </c>
      <c r="HT36" s="202">
        <f t="shared" si="157"/>
        <v>0</v>
      </c>
      <c r="HU36" s="202">
        <f t="shared" si="49"/>
        <v>0</v>
      </c>
      <c r="HV36" s="203">
        <f t="shared" si="158"/>
        <v>0</v>
      </c>
      <c r="HW36" s="202">
        <f t="shared" si="50"/>
        <v>0</v>
      </c>
      <c r="HX36" s="202">
        <f t="shared" si="51"/>
        <v>0</v>
      </c>
      <c r="HY36" s="203">
        <f t="shared" si="52"/>
        <v>0</v>
      </c>
      <c r="HZ36" s="202">
        <f t="shared" si="159"/>
        <v>0</v>
      </c>
      <c r="IA36" s="202">
        <f t="shared" si="53"/>
        <v>0</v>
      </c>
      <c r="IB36" s="203">
        <f t="shared" si="160"/>
        <v>0</v>
      </c>
      <c r="IC36" s="202">
        <f t="shared" si="54"/>
        <v>0</v>
      </c>
      <c r="ID36" s="202">
        <f t="shared" si="55"/>
        <v>0</v>
      </c>
      <c r="IE36" s="203">
        <f t="shared" si="56"/>
        <v>0</v>
      </c>
      <c r="IF36" s="202">
        <f t="shared" si="57"/>
        <v>0</v>
      </c>
      <c r="IG36" s="202">
        <f t="shared" si="58"/>
        <v>0</v>
      </c>
      <c r="IH36" s="203">
        <f t="shared" si="161"/>
        <v>0</v>
      </c>
      <c r="II36" s="202">
        <f t="shared" si="162"/>
        <v>0</v>
      </c>
      <c r="IJ36" s="202">
        <f t="shared" si="59"/>
        <v>0</v>
      </c>
      <c r="IK36" s="203">
        <f t="shared" si="60"/>
        <v>0</v>
      </c>
      <c r="IL36" s="202">
        <f t="shared" si="61"/>
        <v>0</v>
      </c>
      <c r="IM36" s="202">
        <f t="shared" si="62"/>
        <v>0</v>
      </c>
      <c r="IN36" s="204"/>
      <c r="IO36" s="203">
        <f t="shared" si="63"/>
        <v>0</v>
      </c>
      <c r="IP36" s="202">
        <f t="shared" si="64"/>
        <v>0</v>
      </c>
      <c r="IQ36" s="202">
        <f t="shared" si="65"/>
        <v>0</v>
      </c>
      <c r="IR36" s="204"/>
      <c r="IS36" s="203"/>
      <c r="IT36" s="202">
        <f t="shared" si="66"/>
        <v>1</v>
      </c>
      <c r="IU36" s="202">
        <f t="shared" si="67"/>
        <v>14</v>
      </c>
      <c r="IV36" s="204"/>
      <c r="IW36" s="203"/>
      <c r="IX36" s="202">
        <f t="shared" si="68"/>
        <v>0</v>
      </c>
      <c r="IY36" s="202">
        <f t="shared" si="69"/>
        <v>0</v>
      </c>
      <c r="IZ36" s="204"/>
      <c r="JA36" s="203"/>
      <c r="JB36" s="202">
        <f t="shared" si="70"/>
        <v>0</v>
      </c>
      <c r="JC36" s="202">
        <f t="shared" si="71"/>
        <v>0</v>
      </c>
      <c r="JD36" s="204"/>
      <c r="JE36" s="203"/>
      <c r="JF36" s="202">
        <f t="shared" si="163"/>
        <v>1</v>
      </c>
      <c r="JG36" s="202">
        <f t="shared" si="72"/>
        <v>14</v>
      </c>
      <c r="JH36" s="204"/>
      <c r="JI36" s="203"/>
      <c r="JJ36" s="202">
        <f t="shared" si="73"/>
        <v>0</v>
      </c>
      <c r="JK36" s="202">
        <f t="shared" si="74"/>
        <v>0</v>
      </c>
      <c r="JL36" s="195"/>
      <c r="JM36" s="203">
        <f t="shared" si="164"/>
        <v>0</v>
      </c>
      <c r="JN36" s="195"/>
      <c r="JO36" s="196">
        <f t="shared" si="75"/>
        <v>0</v>
      </c>
      <c r="JP36" s="206">
        <f t="shared" si="76"/>
        <v>0</v>
      </c>
      <c r="JQ36" s="206">
        <f t="shared" si="77"/>
        <v>0</v>
      </c>
      <c r="JR36" s="206">
        <f t="shared" si="78"/>
        <v>0</v>
      </c>
      <c r="JS36" s="206">
        <f t="shared" si="79"/>
        <v>0</v>
      </c>
      <c r="JT36" s="206">
        <f t="shared" si="80"/>
        <v>0</v>
      </c>
      <c r="JU36" s="206">
        <f t="shared" si="81"/>
        <v>0</v>
      </c>
      <c r="JV36" s="206">
        <f t="shared" si="82"/>
        <v>0</v>
      </c>
      <c r="JW36" s="206">
        <f t="shared" si="83"/>
        <v>0</v>
      </c>
      <c r="JX36" s="206">
        <f t="shared" si="84"/>
        <v>0</v>
      </c>
      <c r="JY36" s="206">
        <f t="shared" si="85"/>
        <v>0</v>
      </c>
      <c r="JZ36" s="206">
        <f t="shared" si="86"/>
        <v>0</v>
      </c>
      <c r="KA36" s="206">
        <f t="shared" si="87"/>
        <v>0</v>
      </c>
      <c r="KB36" s="206">
        <f t="shared" si="88"/>
        <v>0</v>
      </c>
      <c r="KC36" s="195"/>
      <c r="KD36" s="206">
        <f t="shared" si="165"/>
        <v>0</v>
      </c>
      <c r="KE36" s="206">
        <f t="shared" si="90"/>
        <v>0</v>
      </c>
      <c r="KF36" s="206">
        <f t="shared" si="91"/>
        <v>0</v>
      </c>
      <c r="KG36" s="206">
        <f t="shared" si="92"/>
        <v>0</v>
      </c>
      <c r="KH36" s="206">
        <f t="shared" si="93"/>
        <v>0</v>
      </c>
      <c r="KI36" s="206">
        <f t="shared" si="94"/>
        <v>0</v>
      </c>
      <c r="KJ36" s="206">
        <f t="shared" si="95"/>
        <v>0</v>
      </c>
      <c r="KK36" s="206">
        <f t="shared" si="96"/>
        <v>0</v>
      </c>
      <c r="KL36" s="206">
        <f t="shared" si="97"/>
        <v>0</v>
      </c>
      <c r="KM36" s="206">
        <f t="shared" si="98"/>
        <v>0</v>
      </c>
      <c r="KN36" s="221">
        <f t="shared" si="99"/>
        <v>0</v>
      </c>
      <c r="KO36" s="221">
        <f t="shared" si="100"/>
        <v>0</v>
      </c>
      <c r="KP36" s="221">
        <f t="shared" si="101"/>
        <v>0</v>
      </c>
      <c r="KQ36" s="221">
        <f t="shared" si="102"/>
        <v>0</v>
      </c>
      <c r="KR36" s="221">
        <f t="shared" si="103"/>
        <v>0</v>
      </c>
      <c r="KS36" s="195"/>
      <c r="KT36" s="195">
        <f t="shared" si="104"/>
        <v>0</v>
      </c>
      <c r="KU36" s="221"/>
      <c r="KV36" s="221"/>
      <c r="KW36" s="221"/>
      <c r="KX36" s="221"/>
      <c r="KY36" s="221"/>
      <c r="KZ36" s="221"/>
      <c r="LA36" s="221"/>
      <c r="LB36" s="221"/>
      <c r="LC36" s="221"/>
      <c r="LD36" s="221"/>
      <c r="LE36" s="221"/>
      <c r="LF36" s="221"/>
      <c r="LG36" s="221"/>
      <c r="LH36" s="221"/>
      <c r="LI36" s="221"/>
      <c r="LJ36" s="221"/>
      <c r="LK36" s="221"/>
      <c r="LL36" s="221"/>
      <c r="LM36" s="221"/>
      <c r="LN36" s="221"/>
      <c r="LO36" s="221"/>
      <c r="LP36" s="221"/>
      <c r="LQ36" s="221"/>
      <c r="LR36" s="221"/>
      <c r="LS36" s="221"/>
      <c r="LT36" s="221"/>
      <c r="LU36" s="221"/>
      <c r="LV36" s="221"/>
      <c r="LW36" s="221"/>
      <c r="LX36" s="221"/>
      <c r="LY36" s="221"/>
      <c r="LZ36" s="221"/>
      <c r="MA36" s="221"/>
      <c r="MB36" s="221"/>
      <c r="MC36" s="221"/>
      <c r="MD36" s="221"/>
      <c r="ME36" s="221"/>
      <c r="MF36" s="221"/>
      <c r="MG36" s="221"/>
      <c r="MH36" s="221"/>
      <c r="MI36" s="221"/>
      <c r="MJ36" s="221"/>
      <c r="MK36" s="221"/>
      <c r="ML36" s="221"/>
      <c r="MM36" s="221"/>
      <c r="MN36" s="221"/>
      <c r="MO36" s="221"/>
      <c r="MP36" s="221"/>
      <c r="MQ36" s="221"/>
      <c r="MR36" s="221"/>
      <c r="MS36" s="221"/>
      <c r="MT36" s="221"/>
      <c r="MU36" s="221"/>
      <c r="MV36" s="221"/>
      <c r="MW36" s="221"/>
      <c r="MX36" s="221"/>
      <c r="MY36" s="221"/>
      <c r="MZ36" s="221"/>
      <c r="NA36" s="221"/>
      <c r="NB36" s="221"/>
      <c r="NC36" s="221"/>
      <c r="ND36" s="221"/>
      <c r="NE36" s="221"/>
      <c r="NF36" s="221"/>
      <c r="NG36" s="221"/>
      <c r="NH36" s="221"/>
      <c r="NI36" s="221"/>
      <c r="NJ36" s="221"/>
      <c r="NK36" s="221"/>
      <c r="NL36" s="195"/>
      <c r="NM36" s="195">
        <f t="shared" si="166"/>
        <v>0</v>
      </c>
      <c r="NN36" s="195">
        <f t="shared" si="167"/>
        <v>0</v>
      </c>
      <c r="NO36" s="195">
        <f t="shared" si="168"/>
        <v>0</v>
      </c>
      <c r="NP36" s="195">
        <f t="shared" si="169"/>
        <v>0</v>
      </c>
      <c r="NQ36" s="195">
        <f t="shared" si="170"/>
        <v>0</v>
      </c>
      <c r="NR36" s="195">
        <f t="shared" si="171"/>
        <v>0</v>
      </c>
      <c r="NS36" s="195">
        <f t="shared" si="172"/>
        <v>0</v>
      </c>
      <c r="NT36" s="195">
        <f t="shared" si="173"/>
        <v>0</v>
      </c>
      <c r="NU36" s="196">
        <f t="shared" si="174"/>
        <v>0</v>
      </c>
      <c r="NV36" s="195"/>
      <c r="NW36" s="195"/>
      <c r="NX36" s="195"/>
      <c r="NY36" s="196">
        <f t="shared" si="106"/>
        <v>1</v>
      </c>
      <c r="NZ36" s="222">
        <v>8075000</v>
      </c>
      <c r="OA36" s="195"/>
      <c r="OB36" s="195"/>
      <c r="OC36" s="195"/>
      <c r="OD36" s="195"/>
      <c r="OE36" s="207">
        <f t="shared" si="107"/>
        <v>0</v>
      </c>
      <c r="OF36" s="207">
        <f t="shared" si="108"/>
        <v>0</v>
      </c>
      <c r="OG36" s="207">
        <f t="shared" si="109"/>
        <v>0</v>
      </c>
      <c r="OH36" s="207">
        <f t="shared" si="175"/>
        <v>0</v>
      </c>
      <c r="OI36" s="207">
        <f t="shared" si="110"/>
        <v>0</v>
      </c>
      <c r="OJ36" s="199">
        <f t="shared" si="176"/>
        <v>0</v>
      </c>
      <c r="OK36" s="199">
        <f t="shared" si="177"/>
        <v>0</v>
      </c>
      <c r="OL36" s="199">
        <f t="shared" si="178"/>
        <v>0</v>
      </c>
      <c r="OM36" s="199">
        <f t="shared" si="179"/>
        <v>0</v>
      </c>
      <c r="ON36" s="195"/>
      <c r="OO36" s="207">
        <f t="shared" si="111"/>
        <v>0</v>
      </c>
      <c r="OP36" s="207">
        <f t="shared" si="112"/>
        <v>0</v>
      </c>
      <c r="OQ36" s="207">
        <f t="shared" si="180"/>
        <v>0</v>
      </c>
      <c r="OR36" s="207">
        <f t="shared" si="181"/>
        <v>0</v>
      </c>
      <c r="OS36" s="207">
        <f t="shared" si="182"/>
        <v>0</v>
      </c>
      <c r="OT36" s="199">
        <f t="shared" si="183"/>
        <v>0</v>
      </c>
      <c r="OU36" s="199">
        <f t="shared" si="184"/>
        <v>0</v>
      </c>
      <c r="OV36" s="199">
        <f t="shared" si="185"/>
        <v>0</v>
      </c>
      <c r="OW36" s="199">
        <f t="shared" si="186"/>
        <v>0</v>
      </c>
      <c r="OX36" s="195"/>
      <c r="OY36" s="195"/>
      <c r="OZ36" s="195"/>
      <c r="PA36" s="209"/>
      <c r="PB36" s="209"/>
      <c r="PC36" s="209"/>
      <c r="PD36" s="210">
        <f t="shared" si="113"/>
        <v>0</v>
      </c>
      <c r="PE36" s="210"/>
      <c r="PF36" s="210">
        <f t="shared" si="114"/>
        <v>0</v>
      </c>
      <c r="PG36" s="210">
        <f t="shared" si="115"/>
        <v>0</v>
      </c>
      <c r="PH36" s="210">
        <f t="shared" si="115"/>
        <v>0</v>
      </c>
      <c r="PI36" s="210">
        <f t="shared" si="115"/>
        <v>0</v>
      </c>
      <c r="PJ36" s="210">
        <f t="shared" si="115"/>
        <v>0</v>
      </c>
      <c r="PK36" s="210">
        <f t="shared" si="115"/>
        <v>0</v>
      </c>
      <c r="PL36" s="210">
        <f t="shared" si="115"/>
        <v>0</v>
      </c>
      <c r="PM36" s="195"/>
      <c r="PN36" s="195"/>
      <c r="PO36" s="212">
        <f t="shared" si="187"/>
        <v>0</v>
      </c>
      <c r="PP36" s="212">
        <f t="shared" si="188"/>
        <v>0</v>
      </c>
      <c r="PQ36" s="212">
        <f t="shared" si="189"/>
        <v>0</v>
      </c>
    </row>
    <row r="37" spans="1:433" ht="16" x14ac:dyDescent="0.2">
      <c r="A37" s="213">
        <f t="shared" ref="A37" si="201">A36+1</f>
        <v>29</v>
      </c>
      <c r="B37" s="186" t="s">
        <v>113</v>
      </c>
      <c r="C37" s="186">
        <v>30</v>
      </c>
      <c r="D37" s="188">
        <v>1</v>
      </c>
      <c r="E37" s="188">
        <v>226</v>
      </c>
      <c r="F37" s="188">
        <v>1</v>
      </c>
      <c r="G37" s="188">
        <f t="shared" si="116"/>
        <v>226</v>
      </c>
      <c r="H37" s="214">
        <f t="shared" si="2"/>
        <v>1</v>
      </c>
      <c r="I37" s="214">
        <f t="shared" si="3"/>
        <v>1</v>
      </c>
      <c r="J37" s="188">
        <v>1</v>
      </c>
      <c r="K37" s="188">
        <f t="shared" si="4"/>
        <v>226</v>
      </c>
      <c r="L37" s="214">
        <f t="shared" si="5"/>
        <v>1</v>
      </c>
      <c r="M37" s="214">
        <f t="shared" si="6"/>
        <v>1</v>
      </c>
      <c r="N37" s="188">
        <v>1</v>
      </c>
      <c r="O37" s="188">
        <f t="shared" si="7"/>
        <v>226</v>
      </c>
      <c r="P37" s="214">
        <f t="shared" si="8"/>
        <v>1</v>
      </c>
      <c r="Q37" s="214">
        <f t="shared" si="9"/>
        <v>1</v>
      </c>
      <c r="R37" s="188">
        <v>1</v>
      </c>
      <c r="S37" s="188">
        <f t="shared" si="117"/>
        <v>226</v>
      </c>
      <c r="T37" s="214">
        <f t="shared" si="118"/>
        <v>1</v>
      </c>
      <c r="U37" s="214">
        <f t="shared" si="119"/>
        <v>1</v>
      </c>
      <c r="V37" s="188">
        <v>1</v>
      </c>
      <c r="W37" s="188">
        <f t="shared" si="10"/>
        <v>226</v>
      </c>
      <c r="X37" s="214">
        <f t="shared" si="11"/>
        <v>1</v>
      </c>
      <c r="Y37" s="214">
        <f t="shared" si="12"/>
        <v>1</v>
      </c>
      <c r="Z37" s="224">
        <f>1950025000/1000000000</f>
        <v>1.9500249999999999</v>
      </c>
      <c r="AA37" s="188"/>
      <c r="AB37" s="189">
        <f t="shared" si="120"/>
        <v>0</v>
      </c>
      <c r="AC37" s="250">
        <f t="shared" si="121"/>
        <v>0</v>
      </c>
      <c r="AD37" s="250">
        <f t="shared" si="122"/>
        <v>0</v>
      </c>
      <c r="AE37" s="188"/>
      <c r="AF37" s="188">
        <f t="shared" si="15"/>
        <v>0</v>
      </c>
      <c r="AG37" s="187"/>
      <c r="AH37" s="187"/>
      <c r="AI37" s="188">
        <v>0</v>
      </c>
      <c r="AJ37" s="188">
        <f t="shared" si="16"/>
        <v>0</v>
      </c>
      <c r="AK37" s="188"/>
      <c r="AL37" s="188">
        <v>0</v>
      </c>
      <c r="AM37" s="188">
        <v>0</v>
      </c>
      <c r="AN37" s="217"/>
      <c r="AO37" s="196">
        <f t="shared" si="123"/>
        <v>0</v>
      </c>
      <c r="AP37" s="195"/>
      <c r="AQ37" s="195"/>
      <c r="AR37" s="195"/>
      <c r="AS37" s="195"/>
      <c r="AT37" s="195"/>
      <c r="AU37" s="195"/>
      <c r="AV37" s="195"/>
      <c r="AW37" s="195"/>
      <c r="AX37" s="195"/>
      <c r="AY37" s="195"/>
      <c r="AZ37" s="195"/>
      <c r="BA37" s="195"/>
      <c r="BB37" s="188">
        <f t="shared" si="17"/>
        <v>0</v>
      </c>
      <c r="BC37" s="195"/>
      <c r="BD37" s="196"/>
      <c r="BE37" s="188">
        <f t="shared" si="18"/>
        <v>0</v>
      </c>
      <c r="BF37" s="188">
        <f t="shared" si="19"/>
        <v>0</v>
      </c>
      <c r="BG37" s="188">
        <f t="shared" si="20"/>
        <v>0</v>
      </c>
      <c r="BH37" s="188">
        <f t="shared" si="21"/>
        <v>0</v>
      </c>
      <c r="BI37" s="188">
        <f t="shared" si="22"/>
        <v>0</v>
      </c>
      <c r="BJ37" s="188">
        <f t="shared" si="23"/>
        <v>0</v>
      </c>
      <c r="BK37" s="188">
        <f t="shared" si="124"/>
        <v>0</v>
      </c>
      <c r="BL37" s="195"/>
      <c r="BM37" s="195"/>
      <c r="BN37" s="143"/>
      <c r="BO37" s="277"/>
      <c r="BP37" s="188"/>
      <c r="BQ37" s="188"/>
      <c r="BR37" s="188"/>
      <c r="BS37" s="188"/>
      <c r="BT37" s="188"/>
      <c r="BU37" s="188"/>
      <c r="BV37" s="188"/>
      <c r="BW37" s="188"/>
      <c r="BX37" s="188"/>
      <c r="BY37" s="188"/>
      <c r="BZ37" s="188"/>
      <c r="CA37" s="195"/>
      <c r="CB37" s="189">
        <v>0</v>
      </c>
      <c r="CC37" s="195"/>
      <c r="CD37" s="189">
        <f t="shared" si="125"/>
        <v>0</v>
      </c>
      <c r="CE37" s="189">
        <f t="shared" si="191"/>
        <v>0</v>
      </c>
      <c r="CF37" s="189">
        <f t="shared" si="126"/>
        <v>0</v>
      </c>
      <c r="CG37" s="189">
        <f t="shared" si="127"/>
        <v>0</v>
      </c>
      <c r="CH37" s="189">
        <f t="shared" si="128"/>
        <v>0</v>
      </c>
      <c r="CI37" s="189">
        <f t="shared" si="129"/>
        <v>0</v>
      </c>
      <c r="CJ37" s="189">
        <f t="shared" si="130"/>
        <v>0</v>
      </c>
      <c r="CK37" s="189">
        <f t="shared" si="131"/>
        <v>0</v>
      </c>
      <c r="CL37" s="189">
        <f t="shared" si="132"/>
        <v>0</v>
      </c>
      <c r="CM37" s="189">
        <f t="shared" si="133"/>
        <v>0</v>
      </c>
      <c r="CN37" s="189">
        <f t="shared" si="134"/>
        <v>0</v>
      </c>
      <c r="CO37" s="189">
        <f t="shared" si="135"/>
        <v>0</v>
      </c>
      <c r="CP37" s="189">
        <f t="shared" si="136"/>
        <v>0</v>
      </c>
      <c r="CQ37" s="195"/>
      <c r="CR37" s="195"/>
      <c r="CS37" s="195"/>
      <c r="CT37" s="195"/>
      <c r="CU37" s="195"/>
      <c r="CV37" s="195"/>
      <c r="CW37" s="195"/>
      <c r="CX37" s="195"/>
      <c r="CY37" s="195"/>
      <c r="CZ37" s="195"/>
      <c r="DA37" s="195"/>
      <c r="DB37" s="195"/>
      <c r="DC37" s="195"/>
      <c r="DD37" s="195"/>
      <c r="DE37" s="195"/>
      <c r="DF37" s="195"/>
      <c r="DG37" s="195"/>
      <c r="DH37" s="195"/>
      <c r="DI37" s="195"/>
      <c r="DJ37" s="195"/>
      <c r="DK37" s="195"/>
      <c r="DL37" s="195"/>
      <c r="DM37" s="195"/>
      <c r="DN37" s="195"/>
      <c r="DO37" s="195"/>
      <c r="DP37" s="195"/>
      <c r="DQ37" s="195"/>
      <c r="DR37" s="195"/>
      <c r="DS37" s="195"/>
      <c r="DT37" s="195"/>
      <c r="DU37" s="195"/>
      <c r="DV37" s="189">
        <f t="shared" si="26"/>
        <v>0</v>
      </c>
      <c r="DW37" s="189">
        <f t="shared" si="27"/>
        <v>0</v>
      </c>
      <c r="DX37" s="189">
        <f t="shared" si="28"/>
        <v>0</v>
      </c>
      <c r="DY37" s="189">
        <f t="shared" si="29"/>
        <v>0</v>
      </c>
      <c r="DZ37" s="189">
        <f t="shared" si="30"/>
        <v>0</v>
      </c>
      <c r="EA37" s="189">
        <f t="shared" si="31"/>
        <v>0</v>
      </c>
      <c r="EB37" s="189">
        <f t="shared" si="137"/>
        <v>0</v>
      </c>
      <c r="EC37" s="195"/>
      <c r="ED37" s="195"/>
      <c r="EE37" s="195"/>
      <c r="EF37" s="195"/>
      <c r="EG37" s="252">
        <f t="shared" si="138"/>
        <v>0</v>
      </c>
      <c r="EH37" s="252">
        <f t="shared" si="139"/>
        <v>0</v>
      </c>
      <c r="EI37" s="189"/>
      <c r="EJ37" s="189"/>
      <c r="EK37" s="189"/>
      <c r="EL37" s="189"/>
      <c r="EM37" s="189"/>
      <c r="EN37" s="189"/>
      <c r="EO37" s="189"/>
      <c r="EP37" s="189"/>
      <c r="EQ37" s="189"/>
      <c r="ER37" s="189"/>
      <c r="ES37" s="189"/>
      <c r="ET37" s="189"/>
      <c r="EU37" s="189"/>
      <c r="EV37" s="189"/>
      <c r="EW37" s="189"/>
      <c r="EX37" s="189"/>
      <c r="EY37" s="189"/>
      <c r="EZ37" s="189"/>
      <c r="FA37" s="189"/>
      <c r="FB37" s="189"/>
      <c r="FC37" s="189"/>
      <c r="FD37" s="189"/>
      <c r="FE37" s="189"/>
      <c r="FF37" s="189"/>
      <c r="FG37" s="195"/>
      <c r="FH37" s="189"/>
      <c r="FI37" s="189"/>
      <c r="FJ37" s="189"/>
      <c r="FK37" s="189"/>
      <c r="FL37" s="189"/>
      <c r="FM37" s="189"/>
      <c r="FN37" s="189"/>
      <c r="FO37" s="189"/>
      <c r="FP37" s="189"/>
      <c r="FQ37" s="189"/>
      <c r="FR37" s="189"/>
      <c r="FS37" s="189"/>
      <c r="FT37" s="189"/>
      <c r="FU37" s="189"/>
      <c r="FV37" s="189"/>
      <c r="FW37" s="195"/>
      <c r="FX37" s="253"/>
      <c r="FY37" s="189">
        <f t="shared" si="140"/>
        <v>0</v>
      </c>
      <c r="FZ37" s="189">
        <f t="shared" si="33"/>
        <v>0</v>
      </c>
      <c r="GA37" s="189">
        <f t="shared" si="34"/>
        <v>0</v>
      </c>
      <c r="GB37" s="189">
        <f t="shared" si="35"/>
        <v>0</v>
      </c>
      <c r="GC37" s="189">
        <f t="shared" si="36"/>
        <v>0</v>
      </c>
      <c r="GD37" s="189">
        <f t="shared" si="37"/>
        <v>0</v>
      </c>
      <c r="GE37" s="189">
        <f t="shared" si="38"/>
        <v>0</v>
      </c>
      <c r="GF37" s="199"/>
      <c r="GG37" s="189">
        <v>0</v>
      </c>
      <c r="GH37" s="189">
        <v>0</v>
      </c>
      <c r="GI37" s="199"/>
      <c r="GJ37" s="200">
        <f t="shared" si="141"/>
        <v>0</v>
      </c>
      <c r="GK37" s="200">
        <f t="shared" si="142"/>
        <v>0</v>
      </c>
      <c r="GL37" s="195"/>
      <c r="GM37" s="195"/>
      <c r="GN37" s="195"/>
      <c r="GO37" s="189">
        <f t="shared" si="39"/>
        <v>0</v>
      </c>
      <c r="GP37" s="189">
        <f t="shared" si="40"/>
        <v>0</v>
      </c>
      <c r="GQ37" s="189">
        <f t="shared" si="41"/>
        <v>0</v>
      </c>
      <c r="GR37" s="189">
        <f t="shared" si="42"/>
        <v>0</v>
      </c>
      <c r="GS37" s="189">
        <f t="shared" si="43"/>
        <v>0</v>
      </c>
      <c r="GT37" s="189">
        <f t="shared" si="143"/>
        <v>1</v>
      </c>
      <c r="GU37" s="201">
        <f t="shared" si="144"/>
        <v>43243</v>
      </c>
      <c r="GV37" s="189" t="str">
        <f t="shared" si="145"/>
        <v>SELESAI</v>
      </c>
      <c r="GW37" s="189">
        <f t="shared" si="146"/>
        <v>0</v>
      </c>
      <c r="GX37" s="202" t="str">
        <f t="shared" si="147"/>
        <v>SELESAI</v>
      </c>
      <c r="GY37" s="202">
        <f t="shared" si="148"/>
        <v>0</v>
      </c>
      <c r="GZ37" s="203" t="str">
        <f t="shared" si="149"/>
        <v>SELESAI</v>
      </c>
      <c r="HA37" s="204"/>
      <c r="HB37" s="204"/>
      <c r="HC37" s="189">
        <f t="shared" si="44"/>
        <v>0</v>
      </c>
      <c r="HD37" s="189">
        <f t="shared" si="45"/>
        <v>0</v>
      </c>
      <c r="HE37" s="189">
        <f t="shared" si="150"/>
        <v>0</v>
      </c>
      <c r="HF37" s="189">
        <f t="shared" si="151"/>
        <v>0</v>
      </c>
      <c r="HG37" s="189">
        <f t="shared" si="152"/>
        <v>0</v>
      </c>
      <c r="HH37" s="201" t="str">
        <f t="shared" si="46"/>
        <v>TIDAK KONSINYASI</v>
      </c>
      <c r="HI37" s="201" t="str">
        <f t="shared" si="153"/>
        <v>SELESAI</v>
      </c>
      <c r="HJ37" s="205"/>
      <c r="HK37" s="201">
        <f t="shared" si="47"/>
        <v>0</v>
      </c>
      <c r="HL37" s="204"/>
      <c r="HM37" s="204"/>
      <c r="HN37" s="204"/>
      <c r="HO37" s="204"/>
      <c r="HP37" s="203">
        <f t="shared" si="154"/>
        <v>0</v>
      </c>
      <c r="HQ37" s="202">
        <f t="shared" si="155"/>
        <v>0</v>
      </c>
      <c r="HR37" s="202">
        <f t="shared" si="48"/>
        <v>0</v>
      </c>
      <c r="HS37" s="203">
        <f t="shared" si="156"/>
        <v>0</v>
      </c>
      <c r="HT37" s="202">
        <f t="shared" si="157"/>
        <v>0</v>
      </c>
      <c r="HU37" s="202">
        <f t="shared" si="49"/>
        <v>0</v>
      </c>
      <c r="HV37" s="203">
        <f t="shared" si="158"/>
        <v>0</v>
      </c>
      <c r="HW37" s="202">
        <f t="shared" si="50"/>
        <v>0</v>
      </c>
      <c r="HX37" s="202">
        <f t="shared" si="51"/>
        <v>0</v>
      </c>
      <c r="HY37" s="203">
        <f t="shared" si="52"/>
        <v>0</v>
      </c>
      <c r="HZ37" s="202">
        <f t="shared" si="159"/>
        <v>0</v>
      </c>
      <c r="IA37" s="202">
        <f t="shared" si="53"/>
        <v>0</v>
      </c>
      <c r="IB37" s="203">
        <f t="shared" si="160"/>
        <v>0</v>
      </c>
      <c r="IC37" s="202">
        <f t="shared" si="54"/>
        <v>0</v>
      </c>
      <c r="ID37" s="202">
        <f t="shared" si="55"/>
        <v>0</v>
      </c>
      <c r="IE37" s="203">
        <f t="shared" si="56"/>
        <v>0</v>
      </c>
      <c r="IF37" s="202">
        <f t="shared" si="57"/>
        <v>0</v>
      </c>
      <c r="IG37" s="202">
        <f t="shared" si="58"/>
        <v>0</v>
      </c>
      <c r="IH37" s="203">
        <f t="shared" si="161"/>
        <v>0</v>
      </c>
      <c r="II37" s="202">
        <f t="shared" si="162"/>
        <v>0</v>
      </c>
      <c r="IJ37" s="202">
        <f t="shared" si="59"/>
        <v>0</v>
      </c>
      <c r="IK37" s="203">
        <f t="shared" si="60"/>
        <v>0</v>
      </c>
      <c r="IL37" s="202">
        <f t="shared" si="61"/>
        <v>0</v>
      </c>
      <c r="IM37" s="202">
        <f t="shared" si="62"/>
        <v>0</v>
      </c>
      <c r="IN37" s="204"/>
      <c r="IO37" s="203">
        <f t="shared" si="63"/>
        <v>0</v>
      </c>
      <c r="IP37" s="202">
        <f t="shared" si="64"/>
        <v>0</v>
      </c>
      <c r="IQ37" s="202">
        <f t="shared" si="65"/>
        <v>0</v>
      </c>
      <c r="IR37" s="204"/>
      <c r="IS37" s="203"/>
      <c r="IT37" s="202">
        <f t="shared" si="66"/>
        <v>1</v>
      </c>
      <c r="IU37" s="202">
        <f t="shared" si="67"/>
        <v>226</v>
      </c>
      <c r="IV37" s="204"/>
      <c r="IW37" s="203"/>
      <c r="IX37" s="202">
        <f t="shared" si="68"/>
        <v>0</v>
      </c>
      <c r="IY37" s="202">
        <f t="shared" si="69"/>
        <v>0</v>
      </c>
      <c r="IZ37" s="204"/>
      <c r="JA37" s="203"/>
      <c r="JB37" s="202">
        <f t="shared" si="70"/>
        <v>0</v>
      </c>
      <c r="JC37" s="202">
        <f t="shared" si="71"/>
        <v>0</v>
      </c>
      <c r="JD37" s="204"/>
      <c r="JE37" s="203"/>
      <c r="JF37" s="202">
        <f t="shared" si="163"/>
        <v>1</v>
      </c>
      <c r="JG37" s="202">
        <f t="shared" si="72"/>
        <v>226</v>
      </c>
      <c r="JH37" s="204"/>
      <c r="JI37" s="203"/>
      <c r="JJ37" s="202">
        <f t="shared" si="73"/>
        <v>0</v>
      </c>
      <c r="JK37" s="202">
        <f t="shared" si="74"/>
        <v>0</v>
      </c>
      <c r="JL37" s="195"/>
      <c r="JM37" s="203">
        <f t="shared" si="164"/>
        <v>0</v>
      </c>
      <c r="JN37" s="195"/>
      <c r="JO37" s="196">
        <f t="shared" si="75"/>
        <v>0</v>
      </c>
      <c r="JP37" s="206">
        <f t="shared" si="76"/>
        <v>0</v>
      </c>
      <c r="JQ37" s="206">
        <f t="shared" si="77"/>
        <v>0</v>
      </c>
      <c r="JR37" s="206">
        <f t="shared" si="78"/>
        <v>0</v>
      </c>
      <c r="JS37" s="206">
        <f t="shared" si="79"/>
        <v>0</v>
      </c>
      <c r="JT37" s="206">
        <f t="shared" si="80"/>
        <v>0</v>
      </c>
      <c r="JU37" s="206">
        <f t="shared" si="81"/>
        <v>0</v>
      </c>
      <c r="JV37" s="206">
        <f t="shared" si="82"/>
        <v>0</v>
      </c>
      <c r="JW37" s="206">
        <f t="shared" si="83"/>
        <v>0</v>
      </c>
      <c r="JX37" s="206">
        <f t="shared" si="84"/>
        <v>0</v>
      </c>
      <c r="JY37" s="206">
        <f t="shared" si="85"/>
        <v>0</v>
      </c>
      <c r="JZ37" s="206">
        <f t="shared" si="86"/>
        <v>0</v>
      </c>
      <c r="KA37" s="206">
        <f t="shared" si="87"/>
        <v>0</v>
      </c>
      <c r="KB37" s="206">
        <f t="shared" si="88"/>
        <v>0</v>
      </c>
      <c r="KC37" s="195"/>
      <c r="KD37" s="206">
        <f t="shared" si="165"/>
        <v>0</v>
      </c>
      <c r="KE37" s="206">
        <f t="shared" si="90"/>
        <v>0</v>
      </c>
      <c r="KF37" s="206">
        <f t="shared" si="91"/>
        <v>0</v>
      </c>
      <c r="KG37" s="206">
        <f t="shared" si="92"/>
        <v>0</v>
      </c>
      <c r="KH37" s="206">
        <f t="shared" si="93"/>
        <v>0</v>
      </c>
      <c r="KI37" s="206">
        <f t="shared" si="94"/>
        <v>0</v>
      </c>
      <c r="KJ37" s="206">
        <f t="shared" si="95"/>
        <v>0</v>
      </c>
      <c r="KK37" s="206">
        <f t="shared" si="96"/>
        <v>0</v>
      </c>
      <c r="KL37" s="206">
        <f t="shared" si="97"/>
        <v>0</v>
      </c>
      <c r="KM37" s="206">
        <f t="shared" si="98"/>
        <v>0</v>
      </c>
      <c r="KN37" s="221">
        <f t="shared" si="99"/>
        <v>0</v>
      </c>
      <c r="KO37" s="221">
        <f t="shared" si="100"/>
        <v>0</v>
      </c>
      <c r="KP37" s="221">
        <f t="shared" si="101"/>
        <v>0</v>
      </c>
      <c r="KQ37" s="221">
        <f t="shared" si="102"/>
        <v>0</v>
      </c>
      <c r="KR37" s="221">
        <f t="shared" si="103"/>
        <v>0</v>
      </c>
      <c r="KS37" s="195"/>
      <c r="KT37" s="195">
        <f t="shared" si="104"/>
        <v>0</v>
      </c>
      <c r="KU37" s="221"/>
      <c r="KV37" s="221"/>
      <c r="KW37" s="221"/>
      <c r="KX37" s="221"/>
      <c r="KY37" s="221"/>
      <c r="KZ37" s="221"/>
      <c r="LA37" s="221"/>
      <c r="LB37" s="221"/>
      <c r="LC37" s="221"/>
      <c r="LD37" s="221"/>
      <c r="LE37" s="221"/>
      <c r="LF37" s="221"/>
      <c r="LG37" s="221"/>
      <c r="LH37" s="221"/>
      <c r="LI37" s="221"/>
      <c r="LJ37" s="221"/>
      <c r="LK37" s="221"/>
      <c r="LL37" s="221"/>
      <c r="LM37" s="221"/>
      <c r="LN37" s="221"/>
      <c r="LO37" s="221"/>
      <c r="LP37" s="221"/>
      <c r="LQ37" s="221"/>
      <c r="LR37" s="221"/>
      <c r="LS37" s="221"/>
      <c r="LT37" s="221"/>
      <c r="LU37" s="221"/>
      <c r="LV37" s="221"/>
      <c r="LW37" s="221"/>
      <c r="LX37" s="221"/>
      <c r="LY37" s="221"/>
      <c r="LZ37" s="221"/>
      <c r="MA37" s="221"/>
      <c r="MB37" s="221"/>
      <c r="MC37" s="221"/>
      <c r="MD37" s="221"/>
      <c r="ME37" s="221"/>
      <c r="MF37" s="221"/>
      <c r="MG37" s="221"/>
      <c r="MH37" s="221"/>
      <c r="MI37" s="221"/>
      <c r="MJ37" s="221"/>
      <c r="MK37" s="221"/>
      <c r="ML37" s="221"/>
      <c r="MM37" s="221"/>
      <c r="MN37" s="221"/>
      <c r="MO37" s="221"/>
      <c r="MP37" s="221"/>
      <c r="MQ37" s="221"/>
      <c r="MR37" s="221"/>
      <c r="MS37" s="221"/>
      <c r="MT37" s="221"/>
      <c r="MU37" s="221"/>
      <c r="MV37" s="221"/>
      <c r="MW37" s="221"/>
      <c r="MX37" s="221"/>
      <c r="MY37" s="221"/>
      <c r="MZ37" s="221"/>
      <c r="NA37" s="221"/>
      <c r="NB37" s="221"/>
      <c r="NC37" s="221"/>
      <c r="ND37" s="221"/>
      <c r="NE37" s="221"/>
      <c r="NF37" s="221"/>
      <c r="NG37" s="221"/>
      <c r="NH37" s="221"/>
      <c r="NI37" s="221"/>
      <c r="NJ37" s="221"/>
      <c r="NK37" s="221"/>
      <c r="NL37" s="195"/>
      <c r="NM37" s="195">
        <f t="shared" si="166"/>
        <v>0</v>
      </c>
      <c r="NN37" s="195">
        <f t="shared" si="167"/>
        <v>0</v>
      </c>
      <c r="NO37" s="195">
        <f t="shared" si="168"/>
        <v>0</v>
      </c>
      <c r="NP37" s="195">
        <f t="shared" si="169"/>
        <v>0</v>
      </c>
      <c r="NQ37" s="195">
        <f t="shared" si="170"/>
        <v>0</v>
      </c>
      <c r="NR37" s="195">
        <f t="shared" si="171"/>
        <v>0</v>
      </c>
      <c r="NS37" s="195">
        <f t="shared" si="172"/>
        <v>0</v>
      </c>
      <c r="NT37" s="195">
        <f t="shared" si="173"/>
        <v>0</v>
      </c>
      <c r="NU37" s="196">
        <f t="shared" si="174"/>
        <v>0</v>
      </c>
      <c r="NV37" s="195"/>
      <c r="NW37" s="195"/>
      <c r="NX37" s="195"/>
      <c r="NY37" s="196">
        <f t="shared" si="106"/>
        <v>1</v>
      </c>
      <c r="NZ37" s="222">
        <v>7913500</v>
      </c>
      <c r="OA37" s="195"/>
      <c r="OB37" s="195"/>
      <c r="OC37" s="195"/>
      <c r="OD37" s="195"/>
      <c r="OE37" s="207">
        <f t="shared" si="107"/>
        <v>0</v>
      </c>
      <c r="OF37" s="207">
        <f t="shared" si="108"/>
        <v>0</v>
      </c>
      <c r="OG37" s="207">
        <f t="shared" si="109"/>
        <v>0</v>
      </c>
      <c r="OH37" s="207">
        <f t="shared" si="175"/>
        <v>0</v>
      </c>
      <c r="OI37" s="207">
        <f t="shared" si="110"/>
        <v>0</v>
      </c>
      <c r="OJ37" s="199">
        <f t="shared" si="176"/>
        <v>0</v>
      </c>
      <c r="OK37" s="199">
        <f t="shared" si="177"/>
        <v>0</v>
      </c>
      <c r="OL37" s="199">
        <f t="shared" si="178"/>
        <v>0</v>
      </c>
      <c r="OM37" s="199">
        <f t="shared" si="179"/>
        <v>0</v>
      </c>
      <c r="ON37" s="195"/>
      <c r="OO37" s="207">
        <f t="shared" si="111"/>
        <v>0</v>
      </c>
      <c r="OP37" s="207">
        <f t="shared" si="112"/>
        <v>0</v>
      </c>
      <c r="OQ37" s="207">
        <f t="shared" si="180"/>
        <v>0</v>
      </c>
      <c r="OR37" s="207">
        <f t="shared" si="181"/>
        <v>0</v>
      </c>
      <c r="OS37" s="207">
        <f t="shared" si="182"/>
        <v>0</v>
      </c>
      <c r="OT37" s="199">
        <f t="shared" si="183"/>
        <v>0</v>
      </c>
      <c r="OU37" s="199">
        <f t="shared" si="184"/>
        <v>0</v>
      </c>
      <c r="OV37" s="199">
        <f t="shared" si="185"/>
        <v>0</v>
      </c>
      <c r="OW37" s="199">
        <f t="shared" si="186"/>
        <v>0</v>
      </c>
      <c r="OX37" s="195"/>
      <c r="OY37" s="195"/>
      <c r="OZ37" s="195"/>
      <c r="PA37" s="209"/>
      <c r="PB37" s="209"/>
      <c r="PC37" s="209"/>
      <c r="PD37" s="210">
        <f t="shared" si="113"/>
        <v>0</v>
      </c>
      <c r="PE37" s="210"/>
      <c r="PF37" s="210">
        <f t="shared" si="114"/>
        <v>0</v>
      </c>
      <c r="PG37" s="210">
        <f t="shared" si="115"/>
        <v>0</v>
      </c>
      <c r="PH37" s="210">
        <f t="shared" si="115"/>
        <v>0</v>
      </c>
      <c r="PI37" s="210">
        <f t="shared" si="115"/>
        <v>0</v>
      </c>
      <c r="PJ37" s="210">
        <f t="shared" si="115"/>
        <v>0</v>
      </c>
      <c r="PK37" s="210">
        <f t="shared" si="115"/>
        <v>0</v>
      </c>
      <c r="PL37" s="210">
        <f t="shared" si="115"/>
        <v>0</v>
      </c>
      <c r="PM37" s="195"/>
      <c r="PN37" s="195"/>
      <c r="PO37" s="212">
        <f t="shared" si="187"/>
        <v>0</v>
      </c>
      <c r="PP37" s="212">
        <f t="shared" si="188"/>
        <v>0</v>
      </c>
      <c r="PQ37" s="212">
        <f t="shared" si="189"/>
        <v>0</v>
      </c>
    </row>
    <row r="38" spans="1:433" ht="16" x14ac:dyDescent="0.2">
      <c r="A38" s="213">
        <f t="shared" si="190"/>
        <v>30</v>
      </c>
      <c r="B38" s="186" t="s">
        <v>114</v>
      </c>
      <c r="C38" s="186">
        <v>31</v>
      </c>
      <c r="D38" s="188">
        <v>1</v>
      </c>
      <c r="E38" s="188">
        <v>83</v>
      </c>
      <c r="F38" s="188">
        <v>1</v>
      </c>
      <c r="G38" s="188">
        <f t="shared" si="116"/>
        <v>83</v>
      </c>
      <c r="H38" s="214">
        <f t="shared" si="2"/>
        <v>1</v>
      </c>
      <c r="I38" s="214">
        <f t="shared" si="3"/>
        <v>1</v>
      </c>
      <c r="J38" s="188">
        <v>1</v>
      </c>
      <c r="K38" s="188">
        <f t="shared" si="4"/>
        <v>83</v>
      </c>
      <c r="L38" s="214">
        <f t="shared" si="5"/>
        <v>1</v>
      </c>
      <c r="M38" s="214">
        <f t="shared" si="6"/>
        <v>1</v>
      </c>
      <c r="N38" s="188">
        <v>1</v>
      </c>
      <c r="O38" s="188">
        <f t="shared" si="7"/>
        <v>83</v>
      </c>
      <c r="P38" s="214">
        <f t="shared" si="8"/>
        <v>1</v>
      </c>
      <c r="Q38" s="214">
        <f t="shared" si="9"/>
        <v>1</v>
      </c>
      <c r="R38" s="188">
        <v>1</v>
      </c>
      <c r="S38" s="188">
        <f t="shared" si="117"/>
        <v>83</v>
      </c>
      <c r="T38" s="214">
        <f t="shared" si="118"/>
        <v>1</v>
      </c>
      <c r="U38" s="214">
        <f t="shared" si="119"/>
        <v>1</v>
      </c>
      <c r="V38" s="188">
        <v>1</v>
      </c>
      <c r="W38" s="188">
        <f t="shared" si="10"/>
        <v>83</v>
      </c>
      <c r="X38" s="214">
        <f t="shared" si="11"/>
        <v>1</v>
      </c>
      <c r="Y38" s="214">
        <f t="shared" si="12"/>
        <v>1</v>
      </c>
      <c r="Z38" s="224">
        <f>734682000/1000000000</f>
        <v>0.73468199999999995</v>
      </c>
      <c r="AA38" s="188"/>
      <c r="AB38" s="189">
        <f t="shared" si="120"/>
        <v>0</v>
      </c>
      <c r="AC38" s="250">
        <f t="shared" si="121"/>
        <v>0</v>
      </c>
      <c r="AD38" s="250">
        <f t="shared" si="122"/>
        <v>0</v>
      </c>
      <c r="AE38" s="188"/>
      <c r="AF38" s="188">
        <f t="shared" si="15"/>
        <v>0</v>
      </c>
      <c r="AG38" s="187"/>
      <c r="AH38" s="187"/>
      <c r="AI38" s="188">
        <v>0</v>
      </c>
      <c r="AJ38" s="188">
        <f t="shared" si="16"/>
        <v>0</v>
      </c>
      <c r="AK38" s="188"/>
      <c r="AL38" s="188">
        <v>0</v>
      </c>
      <c r="AM38" s="188">
        <v>0</v>
      </c>
      <c r="AN38" s="217"/>
      <c r="AO38" s="196">
        <f t="shared" si="123"/>
        <v>0</v>
      </c>
      <c r="AP38" s="195"/>
      <c r="AQ38" s="195"/>
      <c r="AR38" s="195"/>
      <c r="AS38" s="195"/>
      <c r="AT38" s="195"/>
      <c r="AU38" s="195"/>
      <c r="AV38" s="195"/>
      <c r="AW38" s="195"/>
      <c r="AX38" s="195"/>
      <c r="AY38" s="195"/>
      <c r="AZ38" s="195"/>
      <c r="BA38" s="195"/>
      <c r="BB38" s="188">
        <f t="shared" si="17"/>
        <v>0</v>
      </c>
      <c r="BC38" s="195"/>
      <c r="BD38" s="196"/>
      <c r="BE38" s="188">
        <f t="shared" si="18"/>
        <v>0</v>
      </c>
      <c r="BF38" s="188">
        <f t="shared" si="19"/>
        <v>0</v>
      </c>
      <c r="BG38" s="188">
        <f t="shared" si="20"/>
        <v>0</v>
      </c>
      <c r="BH38" s="188">
        <f t="shared" si="21"/>
        <v>0</v>
      </c>
      <c r="BI38" s="188">
        <f t="shared" si="22"/>
        <v>0</v>
      </c>
      <c r="BJ38" s="188">
        <f t="shared" si="23"/>
        <v>0</v>
      </c>
      <c r="BK38" s="188">
        <f t="shared" si="124"/>
        <v>0</v>
      </c>
      <c r="BL38" s="195"/>
      <c r="BM38" s="195"/>
      <c r="BN38" s="143"/>
      <c r="BO38" s="277"/>
      <c r="BP38" s="188"/>
      <c r="BQ38" s="188"/>
      <c r="BR38" s="188"/>
      <c r="BS38" s="188"/>
      <c r="BT38" s="188"/>
      <c r="BU38" s="188"/>
      <c r="BV38" s="188"/>
      <c r="BW38" s="188"/>
      <c r="BX38" s="188"/>
      <c r="BY38" s="188"/>
      <c r="BZ38" s="188"/>
      <c r="CA38" s="195"/>
      <c r="CB38" s="189">
        <v>0</v>
      </c>
      <c r="CC38" s="195"/>
      <c r="CD38" s="189">
        <f t="shared" si="125"/>
        <v>0</v>
      </c>
      <c r="CE38" s="189">
        <f t="shared" si="191"/>
        <v>0</v>
      </c>
      <c r="CF38" s="189">
        <f t="shared" si="126"/>
        <v>0</v>
      </c>
      <c r="CG38" s="189">
        <f t="shared" si="127"/>
        <v>0</v>
      </c>
      <c r="CH38" s="189">
        <f t="shared" si="128"/>
        <v>0</v>
      </c>
      <c r="CI38" s="189">
        <f t="shared" si="129"/>
        <v>0</v>
      </c>
      <c r="CJ38" s="189">
        <f t="shared" si="130"/>
        <v>0</v>
      </c>
      <c r="CK38" s="189">
        <f t="shared" si="131"/>
        <v>0</v>
      </c>
      <c r="CL38" s="189">
        <f t="shared" si="132"/>
        <v>0</v>
      </c>
      <c r="CM38" s="189">
        <f t="shared" si="133"/>
        <v>0</v>
      </c>
      <c r="CN38" s="189">
        <f t="shared" si="134"/>
        <v>0</v>
      </c>
      <c r="CO38" s="189">
        <f t="shared" si="135"/>
        <v>0</v>
      </c>
      <c r="CP38" s="189">
        <f t="shared" si="136"/>
        <v>0</v>
      </c>
      <c r="CQ38" s="195"/>
      <c r="CR38" s="195"/>
      <c r="CS38" s="195"/>
      <c r="CT38" s="195"/>
      <c r="CU38" s="195"/>
      <c r="CV38" s="195"/>
      <c r="CW38" s="195"/>
      <c r="CX38" s="195"/>
      <c r="CY38" s="195"/>
      <c r="CZ38" s="195"/>
      <c r="DA38" s="195"/>
      <c r="DB38" s="195"/>
      <c r="DC38" s="195"/>
      <c r="DD38" s="195"/>
      <c r="DE38" s="195"/>
      <c r="DF38" s="195"/>
      <c r="DG38" s="195"/>
      <c r="DH38" s="195"/>
      <c r="DI38" s="195"/>
      <c r="DJ38" s="195"/>
      <c r="DK38" s="195"/>
      <c r="DL38" s="195"/>
      <c r="DM38" s="195"/>
      <c r="DN38" s="195"/>
      <c r="DO38" s="195"/>
      <c r="DP38" s="195"/>
      <c r="DQ38" s="195"/>
      <c r="DR38" s="195"/>
      <c r="DS38" s="195"/>
      <c r="DT38" s="195"/>
      <c r="DU38" s="195"/>
      <c r="DV38" s="189">
        <f t="shared" si="26"/>
        <v>0</v>
      </c>
      <c r="DW38" s="189">
        <f t="shared" si="27"/>
        <v>0</v>
      </c>
      <c r="DX38" s="189">
        <f t="shared" si="28"/>
        <v>0</v>
      </c>
      <c r="DY38" s="189">
        <f t="shared" si="29"/>
        <v>0</v>
      </c>
      <c r="DZ38" s="189">
        <f t="shared" si="30"/>
        <v>0</v>
      </c>
      <c r="EA38" s="189">
        <f t="shared" si="31"/>
        <v>0</v>
      </c>
      <c r="EB38" s="189">
        <f t="shared" si="137"/>
        <v>0</v>
      </c>
      <c r="EC38" s="195"/>
      <c r="ED38" s="195"/>
      <c r="EE38" s="195"/>
      <c r="EF38" s="195"/>
      <c r="EG38" s="252">
        <f t="shared" si="138"/>
        <v>0</v>
      </c>
      <c r="EH38" s="252">
        <f t="shared" si="139"/>
        <v>0</v>
      </c>
      <c r="EI38" s="189"/>
      <c r="EJ38" s="189"/>
      <c r="EK38" s="189"/>
      <c r="EL38" s="189"/>
      <c r="EM38" s="189"/>
      <c r="EN38" s="189"/>
      <c r="EO38" s="189"/>
      <c r="EP38" s="189"/>
      <c r="EQ38" s="189"/>
      <c r="ER38" s="189"/>
      <c r="ES38" s="189"/>
      <c r="ET38" s="189"/>
      <c r="EU38" s="189"/>
      <c r="EV38" s="189"/>
      <c r="EW38" s="189"/>
      <c r="EX38" s="189"/>
      <c r="EY38" s="189"/>
      <c r="EZ38" s="189"/>
      <c r="FA38" s="189"/>
      <c r="FB38" s="189"/>
      <c r="FC38" s="189"/>
      <c r="FD38" s="189"/>
      <c r="FE38" s="189"/>
      <c r="FF38" s="189"/>
      <c r="FG38" s="195"/>
      <c r="FH38" s="189"/>
      <c r="FI38" s="189"/>
      <c r="FJ38" s="189"/>
      <c r="FK38" s="189"/>
      <c r="FL38" s="189"/>
      <c r="FM38" s="189"/>
      <c r="FN38" s="189"/>
      <c r="FO38" s="189"/>
      <c r="FP38" s="189"/>
      <c r="FQ38" s="189"/>
      <c r="FR38" s="189"/>
      <c r="FS38" s="189"/>
      <c r="FT38" s="189"/>
      <c r="FU38" s="189"/>
      <c r="FV38" s="189"/>
      <c r="FW38" s="195"/>
      <c r="FX38" s="253"/>
      <c r="FY38" s="189">
        <f t="shared" si="140"/>
        <v>0</v>
      </c>
      <c r="FZ38" s="189">
        <f t="shared" si="33"/>
        <v>0</v>
      </c>
      <c r="GA38" s="189">
        <f t="shared" si="34"/>
        <v>0</v>
      </c>
      <c r="GB38" s="189">
        <f t="shared" si="35"/>
        <v>0</v>
      </c>
      <c r="GC38" s="189">
        <f t="shared" si="36"/>
        <v>0</v>
      </c>
      <c r="GD38" s="189">
        <f t="shared" si="37"/>
        <v>0</v>
      </c>
      <c r="GE38" s="189">
        <f t="shared" si="38"/>
        <v>0</v>
      </c>
      <c r="GF38" s="199"/>
      <c r="GG38" s="189">
        <v>0</v>
      </c>
      <c r="GH38" s="189">
        <v>0</v>
      </c>
      <c r="GI38" s="199"/>
      <c r="GJ38" s="200">
        <f t="shared" si="141"/>
        <v>0</v>
      </c>
      <c r="GK38" s="200">
        <f t="shared" si="142"/>
        <v>0</v>
      </c>
      <c r="GL38" s="195"/>
      <c r="GM38" s="195"/>
      <c r="GN38" s="195"/>
      <c r="GO38" s="189">
        <f t="shared" si="39"/>
        <v>0</v>
      </c>
      <c r="GP38" s="189">
        <f t="shared" si="40"/>
        <v>0</v>
      </c>
      <c r="GQ38" s="189">
        <f t="shared" si="41"/>
        <v>0</v>
      </c>
      <c r="GR38" s="189">
        <f t="shared" si="42"/>
        <v>0</v>
      </c>
      <c r="GS38" s="189">
        <f t="shared" si="43"/>
        <v>0</v>
      </c>
      <c r="GT38" s="189">
        <f t="shared" si="143"/>
        <v>1</v>
      </c>
      <c r="GU38" s="201">
        <f t="shared" si="144"/>
        <v>43243</v>
      </c>
      <c r="GV38" s="189" t="str">
        <f t="shared" si="145"/>
        <v>SELESAI</v>
      </c>
      <c r="GW38" s="189">
        <f t="shared" si="146"/>
        <v>0</v>
      </c>
      <c r="GX38" s="202" t="str">
        <f t="shared" si="147"/>
        <v>SELESAI</v>
      </c>
      <c r="GY38" s="202">
        <f t="shared" si="148"/>
        <v>0</v>
      </c>
      <c r="GZ38" s="203" t="str">
        <f t="shared" si="149"/>
        <v>SELESAI</v>
      </c>
      <c r="HA38" s="204"/>
      <c r="HB38" s="204"/>
      <c r="HC38" s="189">
        <f t="shared" si="44"/>
        <v>0</v>
      </c>
      <c r="HD38" s="189">
        <f t="shared" si="45"/>
        <v>0</v>
      </c>
      <c r="HE38" s="189">
        <f t="shared" si="150"/>
        <v>0</v>
      </c>
      <c r="HF38" s="189">
        <f t="shared" si="151"/>
        <v>0</v>
      </c>
      <c r="HG38" s="189">
        <f t="shared" si="152"/>
        <v>0</v>
      </c>
      <c r="HH38" s="201" t="str">
        <f t="shared" si="46"/>
        <v>TIDAK KONSINYASI</v>
      </c>
      <c r="HI38" s="201" t="str">
        <f t="shared" si="153"/>
        <v>SELESAI</v>
      </c>
      <c r="HJ38" s="205"/>
      <c r="HK38" s="201">
        <f t="shared" si="47"/>
        <v>0</v>
      </c>
      <c r="HL38" s="204"/>
      <c r="HM38" s="204"/>
      <c r="HN38" s="204"/>
      <c r="HO38" s="204"/>
      <c r="HP38" s="203">
        <f t="shared" si="154"/>
        <v>0</v>
      </c>
      <c r="HQ38" s="202">
        <f t="shared" si="155"/>
        <v>0</v>
      </c>
      <c r="HR38" s="202">
        <f t="shared" si="48"/>
        <v>0</v>
      </c>
      <c r="HS38" s="203">
        <f t="shared" si="156"/>
        <v>0</v>
      </c>
      <c r="HT38" s="202">
        <f t="shared" si="157"/>
        <v>0</v>
      </c>
      <c r="HU38" s="202">
        <f t="shared" si="49"/>
        <v>0</v>
      </c>
      <c r="HV38" s="203">
        <f t="shared" si="158"/>
        <v>0</v>
      </c>
      <c r="HW38" s="202">
        <f t="shared" si="50"/>
        <v>0</v>
      </c>
      <c r="HX38" s="202">
        <f t="shared" si="51"/>
        <v>0</v>
      </c>
      <c r="HY38" s="203">
        <f t="shared" si="52"/>
        <v>0</v>
      </c>
      <c r="HZ38" s="202">
        <f t="shared" si="159"/>
        <v>0</v>
      </c>
      <c r="IA38" s="202">
        <f t="shared" si="53"/>
        <v>0</v>
      </c>
      <c r="IB38" s="203">
        <f t="shared" si="160"/>
        <v>0</v>
      </c>
      <c r="IC38" s="202">
        <f t="shared" si="54"/>
        <v>0</v>
      </c>
      <c r="ID38" s="202">
        <f t="shared" si="55"/>
        <v>0</v>
      </c>
      <c r="IE38" s="203">
        <f t="shared" si="56"/>
        <v>0</v>
      </c>
      <c r="IF38" s="202">
        <f t="shared" si="57"/>
        <v>0</v>
      </c>
      <c r="IG38" s="202">
        <f t="shared" si="58"/>
        <v>0</v>
      </c>
      <c r="IH38" s="203">
        <f t="shared" si="161"/>
        <v>0</v>
      </c>
      <c r="II38" s="202">
        <f t="shared" si="162"/>
        <v>0</v>
      </c>
      <c r="IJ38" s="202">
        <f t="shared" si="59"/>
        <v>0</v>
      </c>
      <c r="IK38" s="203">
        <f t="shared" si="60"/>
        <v>0</v>
      </c>
      <c r="IL38" s="202">
        <f t="shared" si="61"/>
        <v>0</v>
      </c>
      <c r="IM38" s="202">
        <f t="shared" si="62"/>
        <v>0</v>
      </c>
      <c r="IN38" s="204"/>
      <c r="IO38" s="203">
        <f t="shared" si="63"/>
        <v>0</v>
      </c>
      <c r="IP38" s="202">
        <f t="shared" si="64"/>
        <v>0</v>
      </c>
      <c r="IQ38" s="202">
        <f t="shared" si="65"/>
        <v>0</v>
      </c>
      <c r="IR38" s="204"/>
      <c r="IS38" s="203"/>
      <c r="IT38" s="202">
        <f t="shared" si="66"/>
        <v>1</v>
      </c>
      <c r="IU38" s="202">
        <f t="shared" si="67"/>
        <v>83</v>
      </c>
      <c r="IV38" s="204"/>
      <c r="IW38" s="203"/>
      <c r="IX38" s="202">
        <f t="shared" si="68"/>
        <v>0</v>
      </c>
      <c r="IY38" s="202">
        <f t="shared" si="69"/>
        <v>0</v>
      </c>
      <c r="IZ38" s="204"/>
      <c r="JA38" s="203"/>
      <c r="JB38" s="202">
        <f t="shared" si="70"/>
        <v>0</v>
      </c>
      <c r="JC38" s="202">
        <f t="shared" si="71"/>
        <v>0</v>
      </c>
      <c r="JD38" s="204"/>
      <c r="JE38" s="203"/>
      <c r="JF38" s="202">
        <f t="shared" si="163"/>
        <v>1</v>
      </c>
      <c r="JG38" s="202">
        <f t="shared" si="72"/>
        <v>83</v>
      </c>
      <c r="JH38" s="204"/>
      <c r="JI38" s="203"/>
      <c r="JJ38" s="202">
        <f t="shared" si="73"/>
        <v>0</v>
      </c>
      <c r="JK38" s="202">
        <f t="shared" si="74"/>
        <v>0</v>
      </c>
      <c r="JL38" s="195"/>
      <c r="JM38" s="203">
        <f t="shared" si="164"/>
        <v>0</v>
      </c>
      <c r="JN38" s="195"/>
      <c r="JO38" s="196">
        <f t="shared" si="75"/>
        <v>0</v>
      </c>
      <c r="JP38" s="206">
        <f t="shared" si="76"/>
        <v>0</v>
      </c>
      <c r="JQ38" s="206">
        <f t="shared" si="77"/>
        <v>0</v>
      </c>
      <c r="JR38" s="206">
        <f t="shared" si="78"/>
        <v>0</v>
      </c>
      <c r="JS38" s="206">
        <f t="shared" si="79"/>
        <v>0</v>
      </c>
      <c r="JT38" s="206">
        <f t="shared" si="80"/>
        <v>0</v>
      </c>
      <c r="JU38" s="206">
        <f t="shared" si="81"/>
        <v>0</v>
      </c>
      <c r="JV38" s="206">
        <f t="shared" si="82"/>
        <v>0</v>
      </c>
      <c r="JW38" s="206">
        <f t="shared" si="83"/>
        <v>0</v>
      </c>
      <c r="JX38" s="206">
        <f t="shared" si="84"/>
        <v>0</v>
      </c>
      <c r="JY38" s="206">
        <f t="shared" si="85"/>
        <v>0</v>
      </c>
      <c r="JZ38" s="206">
        <f t="shared" si="86"/>
        <v>0</v>
      </c>
      <c r="KA38" s="206">
        <f t="shared" si="87"/>
        <v>0</v>
      </c>
      <c r="KB38" s="206">
        <f t="shared" si="88"/>
        <v>0</v>
      </c>
      <c r="KC38" s="195"/>
      <c r="KD38" s="206">
        <f t="shared" si="165"/>
        <v>0</v>
      </c>
      <c r="KE38" s="206">
        <f t="shared" si="90"/>
        <v>0</v>
      </c>
      <c r="KF38" s="206">
        <f t="shared" si="91"/>
        <v>0</v>
      </c>
      <c r="KG38" s="206">
        <f t="shared" si="92"/>
        <v>0</v>
      </c>
      <c r="KH38" s="206">
        <f t="shared" si="93"/>
        <v>0</v>
      </c>
      <c r="KI38" s="206">
        <f t="shared" si="94"/>
        <v>0</v>
      </c>
      <c r="KJ38" s="206">
        <f t="shared" si="95"/>
        <v>0</v>
      </c>
      <c r="KK38" s="206">
        <f t="shared" si="96"/>
        <v>0</v>
      </c>
      <c r="KL38" s="206">
        <f t="shared" si="97"/>
        <v>0</v>
      </c>
      <c r="KM38" s="206">
        <f t="shared" si="98"/>
        <v>0</v>
      </c>
      <c r="KN38" s="221">
        <f t="shared" si="99"/>
        <v>0</v>
      </c>
      <c r="KO38" s="221">
        <f t="shared" si="100"/>
        <v>0</v>
      </c>
      <c r="KP38" s="221">
        <f t="shared" si="101"/>
        <v>0</v>
      </c>
      <c r="KQ38" s="221">
        <f t="shared" si="102"/>
        <v>0</v>
      </c>
      <c r="KR38" s="221">
        <f t="shared" si="103"/>
        <v>0</v>
      </c>
      <c r="KS38" s="195"/>
      <c r="KT38" s="195">
        <f t="shared" si="104"/>
        <v>0</v>
      </c>
      <c r="KU38" s="221"/>
      <c r="KV38" s="221"/>
      <c r="KW38" s="221"/>
      <c r="KX38" s="221"/>
      <c r="KY38" s="221"/>
      <c r="KZ38" s="221"/>
      <c r="LA38" s="221"/>
      <c r="LB38" s="221"/>
      <c r="LC38" s="221"/>
      <c r="LD38" s="221"/>
      <c r="LE38" s="221"/>
      <c r="LF38" s="221"/>
      <c r="LG38" s="221"/>
      <c r="LH38" s="221"/>
      <c r="LI38" s="221"/>
      <c r="LJ38" s="221"/>
      <c r="LK38" s="221"/>
      <c r="LL38" s="221"/>
      <c r="LM38" s="221"/>
      <c r="LN38" s="221"/>
      <c r="LO38" s="221"/>
      <c r="LP38" s="221"/>
      <c r="LQ38" s="221"/>
      <c r="LR38" s="221"/>
      <c r="LS38" s="221"/>
      <c r="LT38" s="221"/>
      <c r="LU38" s="221"/>
      <c r="LV38" s="221"/>
      <c r="LW38" s="221"/>
      <c r="LX38" s="221"/>
      <c r="LY38" s="221"/>
      <c r="LZ38" s="221"/>
      <c r="MA38" s="221"/>
      <c r="MB38" s="221"/>
      <c r="MC38" s="221"/>
      <c r="MD38" s="221"/>
      <c r="ME38" s="221"/>
      <c r="MF38" s="221"/>
      <c r="MG38" s="221"/>
      <c r="MH38" s="221"/>
      <c r="MI38" s="221"/>
      <c r="MJ38" s="221"/>
      <c r="MK38" s="221"/>
      <c r="ML38" s="221"/>
      <c r="MM38" s="221"/>
      <c r="MN38" s="221"/>
      <c r="MO38" s="221"/>
      <c r="MP38" s="221"/>
      <c r="MQ38" s="221"/>
      <c r="MR38" s="221"/>
      <c r="MS38" s="221"/>
      <c r="MT38" s="221"/>
      <c r="MU38" s="221"/>
      <c r="MV38" s="221"/>
      <c r="MW38" s="221"/>
      <c r="MX38" s="221"/>
      <c r="MY38" s="221"/>
      <c r="MZ38" s="221"/>
      <c r="NA38" s="221"/>
      <c r="NB38" s="221"/>
      <c r="NC38" s="221"/>
      <c r="ND38" s="221"/>
      <c r="NE38" s="221"/>
      <c r="NF38" s="221"/>
      <c r="NG38" s="221"/>
      <c r="NH38" s="221"/>
      <c r="NI38" s="221"/>
      <c r="NJ38" s="221"/>
      <c r="NK38" s="221"/>
      <c r="NL38" s="195"/>
      <c r="NM38" s="195">
        <f t="shared" si="166"/>
        <v>0</v>
      </c>
      <c r="NN38" s="195">
        <f t="shared" si="167"/>
        <v>0</v>
      </c>
      <c r="NO38" s="195">
        <f t="shared" si="168"/>
        <v>0</v>
      </c>
      <c r="NP38" s="195">
        <f t="shared" si="169"/>
        <v>0</v>
      </c>
      <c r="NQ38" s="195">
        <f t="shared" si="170"/>
        <v>0</v>
      </c>
      <c r="NR38" s="195">
        <f t="shared" si="171"/>
        <v>0</v>
      </c>
      <c r="NS38" s="195">
        <f t="shared" si="172"/>
        <v>0</v>
      </c>
      <c r="NT38" s="195">
        <f t="shared" si="173"/>
        <v>0</v>
      </c>
      <c r="NU38" s="196">
        <f t="shared" si="174"/>
        <v>0</v>
      </c>
      <c r="NV38" s="195"/>
      <c r="NW38" s="195"/>
      <c r="NX38" s="195"/>
      <c r="NY38" s="196">
        <f t="shared" si="106"/>
        <v>1</v>
      </c>
      <c r="NZ38" s="222">
        <v>7913500</v>
      </c>
      <c r="OA38" s="195"/>
      <c r="OB38" s="195"/>
      <c r="OC38" s="195"/>
      <c r="OD38" s="195"/>
      <c r="OE38" s="207">
        <f t="shared" si="107"/>
        <v>0</v>
      </c>
      <c r="OF38" s="207">
        <f t="shared" si="108"/>
        <v>0</v>
      </c>
      <c r="OG38" s="207">
        <f t="shared" si="109"/>
        <v>0</v>
      </c>
      <c r="OH38" s="207">
        <f t="shared" si="175"/>
        <v>0</v>
      </c>
      <c r="OI38" s="207">
        <f t="shared" si="110"/>
        <v>0</v>
      </c>
      <c r="OJ38" s="199">
        <f t="shared" si="176"/>
        <v>0</v>
      </c>
      <c r="OK38" s="199">
        <f t="shared" si="177"/>
        <v>0</v>
      </c>
      <c r="OL38" s="199">
        <f t="shared" si="178"/>
        <v>0</v>
      </c>
      <c r="OM38" s="199">
        <f t="shared" si="179"/>
        <v>0</v>
      </c>
      <c r="ON38" s="195"/>
      <c r="OO38" s="207">
        <f t="shared" si="111"/>
        <v>0</v>
      </c>
      <c r="OP38" s="207">
        <f t="shared" si="112"/>
        <v>0</v>
      </c>
      <c r="OQ38" s="207">
        <f t="shared" si="180"/>
        <v>0</v>
      </c>
      <c r="OR38" s="207">
        <f t="shared" si="181"/>
        <v>0</v>
      </c>
      <c r="OS38" s="207">
        <f t="shared" si="182"/>
        <v>0</v>
      </c>
      <c r="OT38" s="199">
        <f t="shared" si="183"/>
        <v>0</v>
      </c>
      <c r="OU38" s="199">
        <f t="shared" si="184"/>
        <v>0</v>
      </c>
      <c r="OV38" s="199">
        <f t="shared" si="185"/>
        <v>0</v>
      </c>
      <c r="OW38" s="199">
        <f t="shared" si="186"/>
        <v>0</v>
      </c>
      <c r="OX38" s="195"/>
      <c r="OY38" s="195"/>
      <c r="OZ38" s="195"/>
      <c r="PA38" s="209"/>
      <c r="PB38" s="209"/>
      <c r="PC38" s="209"/>
      <c r="PD38" s="210">
        <f t="shared" si="113"/>
        <v>0</v>
      </c>
      <c r="PE38" s="210"/>
      <c r="PF38" s="210">
        <f t="shared" si="114"/>
        <v>0</v>
      </c>
      <c r="PG38" s="210">
        <f t="shared" si="115"/>
        <v>0</v>
      </c>
      <c r="PH38" s="210">
        <f t="shared" si="115"/>
        <v>0</v>
      </c>
      <c r="PI38" s="210">
        <f t="shared" si="115"/>
        <v>0</v>
      </c>
      <c r="PJ38" s="210">
        <f t="shared" si="115"/>
        <v>0</v>
      </c>
      <c r="PK38" s="210">
        <f t="shared" si="115"/>
        <v>0</v>
      </c>
      <c r="PL38" s="210">
        <f t="shared" si="115"/>
        <v>0</v>
      </c>
      <c r="PM38" s="195"/>
      <c r="PN38" s="195"/>
      <c r="PO38" s="212">
        <f t="shared" si="187"/>
        <v>0</v>
      </c>
      <c r="PP38" s="212">
        <f t="shared" si="188"/>
        <v>0</v>
      </c>
      <c r="PQ38" s="212">
        <f t="shared" si="189"/>
        <v>0</v>
      </c>
    </row>
    <row r="39" spans="1:433" ht="16" x14ac:dyDescent="0.2">
      <c r="A39" s="213">
        <f t="shared" si="190"/>
        <v>31</v>
      </c>
      <c r="B39" s="186" t="s">
        <v>115</v>
      </c>
      <c r="C39" s="186">
        <v>32</v>
      </c>
      <c r="D39" s="188">
        <v>1</v>
      </c>
      <c r="E39" s="188">
        <v>131</v>
      </c>
      <c r="F39" s="188">
        <v>1</v>
      </c>
      <c r="G39" s="188">
        <f t="shared" si="116"/>
        <v>131</v>
      </c>
      <c r="H39" s="214">
        <f t="shared" si="2"/>
        <v>1</v>
      </c>
      <c r="I39" s="214">
        <f t="shared" si="3"/>
        <v>1</v>
      </c>
      <c r="J39" s="188">
        <v>1</v>
      </c>
      <c r="K39" s="188">
        <f t="shared" si="4"/>
        <v>131</v>
      </c>
      <c r="L39" s="214">
        <f t="shared" si="5"/>
        <v>1</v>
      </c>
      <c r="M39" s="214">
        <f t="shared" si="6"/>
        <v>1</v>
      </c>
      <c r="N39" s="188">
        <v>1</v>
      </c>
      <c r="O39" s="188">
        <f t="shared" si="7"/>
        <v>131</v>
      </c>
      <c r="P39" s="214">
        <f t="shared" si="8"/>
        <v>1</v>
      </c>
      <c r="Q39" s="214">
        <f t="shared" si="9"/>
        <v>1</v>
      </c>
      <c r="R39" s="188">
        <v>1</v>
      </c>
      <c r="S39" s="188">
        <f t="shared" si="117"/>
        <v>131</v>
      </c>
      <c r="T39" s="214">
        <f t="shared" si="118"/>
        <v>1</v>
      </c>
      <c r="U39" s="214">
        <f t="shared" si="119"/>
        <v>1</v>
      </c>
      <c r="V39" s="188">
        <v>1</v>
      </c>
      <c r="W39" s="188">
        <f t="shared" si="10"/>
        <v>131</v>
      </c>
      <c r="X39" s="214">
        <f t="shared" si="11"/>
        <v>1</v>
      </c>
      <c r="Y39" s="214">
        <f t="shared" si="12"/>
        <v>1</v>
      </c>
      <c r="Z39" s="224">
        <f>1133394000/1000000000</f>
        <v>1.133394</v>
      </c>
      <c r="AA39" s="188"/>
      <c r="AB39" s="189">
        <f t="shared" si="120"/>
        <v>0</v>
      </c>
      <c r="AC39" s="250">
        <f t="shared" si="121"/>
        <v>0</v>
      </c>
      <c r="AD39" s="250">
        <f t="shared" si="122"/>
        <v>0</v>
      </c>
      <c r="AE39" s="188"/>
      <c r="AF39" s="188">
        <f t="shared" si="15"/>
        <v>0</v>
      </c>
      <c r="AG39" s="187"/>
      <c r="AH39" s="187"/>
      <c r="AI39" s="188">
        <v>0</v>
      </c>
      <c r="AJ39" s="188">
        <f t="shared" si="16"/>
        <v>0</v>
      </c>
      <c r="AK39" s="188"/>
      <c r="AL39" s="188">
        <v>0</v>
      </c>
      <c r="AM39" s="188">
        <v>0</v>
      </c>
      <c r="AN39" s="217"/>
      <c r="AO39" s="196">
        <f t="shared" si="123"/>
        <v>0</v>
      </c>
      <c r="AP39" s="195"/>
      <c r="AQ39" s="195"/>
      <c r="AR39" s="195"/>
      <c r="AS39" s="195"/>
      <c r="AT39" s="195"/>
      <c r="AU39" s="195"/>
      <c r="AV39" s="195"/>
      <c r="AW39" s="195"/>
      <c r="AX39" s="195"/>
      <c r="AY39" s="195"/>
      <c r="AZ39" s="195"/>
      <c r="BA39" s="195"/>
      <c r="BB39" s="188">
        <f t="shared" si="17"/>
        <v>0</v>
      </c>
      <c r="BC39" s="195"/>
      <c r="BD39" s="196"/>
      <c r="BE39" s="188">
        <f t="shared" si="18"/>
        <v>0</v>
      </c>
      <c r="BF39" s="188">
        <f t="shared" si="19"/>
        <v>0</v>
      </c>
      <c r="BG39" s="188">
        <f t="shared" si="20"/>
        <v>0</v>
      </c>
      <c r="BH39" s="188">
        <f t="shared" si="21"/>
        <v>0</v>
      </c>
      <c r="BI39" s="188">
        <f t="shared" si="22"/>
        <v>0</v>
      </c>
      <c r="BJ39" s="188">
        <f t="shared" si="23"/>
        <v>0</v>
      </c>
      <c r="BK39" s="188">
        <f t="shared" si="124"/>
        <v>0</v>
      </c>
      <c r="BL39" s="195"/>
      <c r="BM39" s="195"/>
      <c r="BN39" s="143"/>
      <c r="BO39" s="277"/>
      <c r="BP39" s="188"/>
      <c r="BQ39" s="188"/>
      <c r="BR39" s="188"/>
      <c r="BS39" s="188"/>
      <c r="BT39" s="188"/>
      <c r="BU39" s="188"/>
      <c r="BV39" s="188"/>
      <c r="BW39" s="188"/>
      <c r="BX39" s="188"/>
      <c r="BY39" s="188"/>
      <c r="BZ39" s="188"/>
      <c r="CA39" s="195"/>
      <c r="CB39" s="188">
        <v>0</v>
      </c>
      <c r="CC39" s="195"/>
      <c r="CD39" s="189">
        <f t="shared" si="125"/>
        <v>0</v>
      </c>
      <c r="CE39" s="189">
        <f t="shared" si="191"/>
        <v>0</v>
      </c>
      <c r="CF39" s="189">
        <f t="shared" si="126"/>
        <v>0</v>
      </c>
      <c r="CG39" s="189">
        <f t="shared" si="127"/>
        <v>0</v>
      </c>
      <c r="CH39" s="189">
        <f t="shared" si="128"/>
        <v>0</v>
      </c>
      <c r="CI39" s="189">
        <f t="shared" si="129"/>
        <v>0</v>
      </c>
      <c r="CJ39" s="189">
        <f t="shared" si="130"/>
        <v>0</v>
      </c>
      <c r="CK39" s="189">
        <f t="shared" si="131"/>
        <v>0</v>
      </c>
      <c r="CL39" s="189">
        <f t="shared" si="132"/>
        <v>0</v>
      </c>
      <c r="CM39" s="189">
        <f t="shared" si="133"/>
        <v>0</v>
      </c>
      <c r="CN39" s="189">
        <f t="shared" si="134"/>
        <v>0</v>
      </c>
      <c r="CO39" s="189">
        <f t="shared" si="135"/>
        <v>0</v>
      </c>
      <c r="CP39" s="189">
        <f t="shared" si="136"/>
        <v>0</v>
      </c>
      <c r="CQ39" s="195"/>
      <c r="CR39" s="195"/>
      <c r="CS39" s="195"/>
      <c r="CT39" s="195"/>
      <c r="CU39" s="195"/>
      <c r="CV39" s="195"/>
      <c r="CW39" s="195"/>
      <c r="CX39" s="195"/>
      <c r="CY39" s="195"/>
      <c r="CZ39" s="195"/>
      <c r="DA39" s="195"/>
      <c r="DB39" s="195"/>
      <c r="DC39" s="195"/>
      <c r="DD39" s="195"/>
      <c r="DE39" s="195"/>
      <c r="DF39" s="195"/>
      <c r="DG39" s="195"/>
      <c r="DH39" s="195"/>
      <c r="DI39" s="195"/>
      <c r="DJ39" s="195"/>
      <c r="DK39" s="195"/>
      <c r="DL39" s="195"/>
      <c r="DM39" s="195"/>
      <c r="DN39" s="195"/>
      <c r="DO39" s="195"/>
      <c r="DP39" s="195"/>
      <c r="DQ39" s="195"/>
      <c r="DR39" s="195"/>
      <c r="DS39" s="195"/>
      <c r="DT39" s="195"/>
      <c r="DU39" s="195"/>
      <c r="DV39" s="189">
        <f t="shared" si="26"/>
        <v>0</v>
      </c>
      <c r="DW39" s="189">
        <f t="shared" si="27"/>
        <v>0</v>
      </c>
      <c r="DX39" s="189">
        <f t="shared" si="28"/>
        <v>0</v>
      </c>
      <c r="DY39" s="189">
        <f t="shared" si="29"/>
        <v>0</v>
      </c>
      <c r="DZ39" s="189">
        <f t="shared" si="30"/>
        <v>0</v>
      </c>
      <c r="EA39" s="189">
        <f t="shared" si="31"/>
        <v>0</v>
      </c>
      <c r="EB39" s="189">
        <f t="shared" si="137"/>
        <v>0</v>
      </c>
      <c r="EC39" s="195"/>
      <c r="ED39" s="195"/>
      <c r="EE39" s="195"/>
      <c r="EF39" s="195"/>
      <c r="EG39" s="252">
        <f t="shared" si="138"/>
        <v>0</v>
      </c>
      <c r="EH39" s="252">
        <f t="shared" si="139"/>
        <v>0</v>
      </c>
      <c r="EI39" s="189"/>
      <c r="EJ39" s="189"/>
      <c r="EK39" s="189"/>
      <c r="EL39" s="189"/>
      <c r="EM39" s="189"/>
      <c r="EN39" s="189"/>
      <c r="EO39" s="189"/>
      <c r="EP39" s="189"/>
      <c r="EQ39" s="189"/>
      <c r="ER39" s="189"/>
      <c r="ES39" s="189"/>
      <c r="ET39" s="189"/>
      <c r="EU39" s="189"/>
      <c r="EV39" s="189"/>
      <c r="EW39" s="189"/>
      <c r="EX39" s="189"/>
      <c r="EY39" s="189"/>
      <c r="EZ39" s="189"/>
      <c r="FA39" s="189"/>
      <c r="FB39" s="189"/>
      <c r="FC39" s="189"/>
      <c r="FD39" s="189"/>
      <c r="FE39" s="189"/>
      <c r="FF39" s="189"/>
      <c r="FG39" s="195"/>
      <c r="FH39" s="189"/>
      <c r="FI39" s="189"/>
      <c r="FJ39" s="189"/>
      <c r="FK39" s="189"/>
      <c r="FL39" s="189"/>
      <c r="FM39" s="189"/>
      <c r="FN39" s="189"/>
      <c r="FO39" s="189"/>
      <c r="FP39" s="189"/>
      <c r="FQ39" s="189"/>
      <c r="FR39" s="189"/>
      <c r="FS39" s="189"/>
      <c r="FT39" s="189"/>
      <c r="FU39" s="189"/>
      <c r="FV39" s="189"/>
      <c r="FW39" s="195"/>
      <c r="FX39" s="253"/>
      <c r="FY39" s="189">
        <f t="shared" si="140"/>
        <v>0</v>
      </c>
      <c r="FZ39" s="189">
        <f t="shared" si="33"/>
        <v>0</v>
      </c>
      <c r="GA39" s="189">
        <f t="shared" si="34"/>
        <v>0</v>
      </c>
      <c r="GB39" s="189">
        <f t="shared" si="35"/>
        <v>0</v>
      </c>
      <c r="GC39" s="189">
        <f t="shared" si="36"/>
        <v>0</v>
      </c>
      <c r="GD39" s="189">
        <f t="shared" si="37"/>
        <v>0</v>
      </c>
      <c r="GE39" s="189">
        <f t="shared" si="38"/>
        <v>0</v>
      </c>
      <c r="GF39" s="199"/>
      <c r="GG39" s="189">
        <v>0</v>
      </c>
      <c r="GH39" s="189">
        <v>0</v>
      </c>
      <c r="GI39" s="199"/>
      <c r="GJ39" s="200">
        <f t="shared" si="141"/>
        <v>0</v>
      </c>
      <c r="GK39" s="200">
        <f t="shared" si="142"/>
        <v>0</v>
      </c>
      <c r="GL39" s="195"/>
      <c r="GM39" s="195"/>
      <c r="GN39" s="195"/>
      <c r="GO39" s="189">
        <f t="shared" si="39"/>
        <v>0</v>
      </c>
      <c r="GP39" s="189">
        <f t="shared" si="40"/>
        <v>0</v>
      </c>
      <c r="GQ39" s="189">
        <f t="shared" si="41"/>
        <v>0</v>
      </c>
      <c r="GR39" s="189">
        <f t="shared" si="42"/>
        <v>0</v>
      </c>
      <c r="GS39" s="189">
        <f t="shared" si="43"/>
        <v>0</v>
      </c>
      <c r="GT39" s="189">
        <f t="shared" si="143"/>
        <v>1</v>
      </c>
      <c r="GU39" s="201">
        <f t="shared" si="144"/>
        <v>43243</v>
      </c>
      <c r="GV39" s="189" t="str">
        <f t="shared" si="145"/>
        <v>SELESAI</v>
      </c>
      <c r="GW39" s="189">
        <f t="shared" si="146"/>
        <v>0</v>
      </c>
      <c r="GX39" s="202" t="str">
        <f t="shared" si="147"/>
        <v>SELESAI</v>
      </c>
      <c r="GY39" s="202">
        <f t="shared" si="148"/>
        <v>0</v>
      </c>
      <c r="GZ39" s="203" t="str">
        <f t="shared" si="149"/>
        <v>SELESAI</v>
      </c>
      <c r="HA39" s="204"/>
      <c r="HB39" s="204"/>
      <c r="HC39" s="189">
        <f t="shared" si="44"/>
        <v>0</v>
      </c>
      <c r="HD39" s="189">
        <f t="shared" si="45"/>
        <v>0</v>
      </c>
      <c r="HE39" s="189">
        <f t="shared" si="150"/>
        <v>0</v>
      </c>
      <c r="HF39" s="189">
        <f t="shared" si="151"/>
        <v>0</v>
      </c>
      <c r="HG39" s="189">
        <f t="shared" si="152"/>
        <v>0</v>
      </c>
      <c r="HH39" s="201" t="str">
        <f t="shared" si="46"/>
        <v>TIDAK KONSINYASI</v>
      </c>
      <c r="HI39" s="201" t="str">
        <f t="shared" si="153"/>
        <v>SELESAI</v>
      </c>
      <c r="HJ39" s="205"/>
      <c r="HK39" s="201">
        <f t="shared" si="47"/>
        <v>0</v>
      </c>
      <c r="HL39" s="204"/>
      <c r="HM39" s="204"/>
      <c r="HN39" s="204"/>
      <c r="HO39" s="204"/>
      <c r="HP39" s="203">
        <f t="shared" si="154"/>
        <v>0</v>
      </c>
      <c r="HQ39" s="202">
        <f t="shared" si="155"/>
        <v>0</v>
      </c>
      <c r="HR39" s="202">
        <f t="shared" si="48"/>
        <v>0</v>
      </c>
      <c r="HS39" s="203">
        <f t="shared" si="156"/>
        <v>0</v>
      </c>
      <c r="HT39" s="202">
        <f t="shared" si="157"/>
        <v>0</v>
      </c>
      <c r="HU39" s="202">
        <f t="shared" si="49"/>
        <v>0</v>
      </c>
      <c r="HV39" s="203">
        <f t="shared" si="158"/>
        <v>0</v>
      </c>
      <c r="HW39" s="202">
        <f t="shared" si="50"/>
        <v>0</v>
      </c>
      <c r="HX39" s="202">
        <f t="shared" si="51"/>
        <v>0</v>
      </c>
      <c r="HY39" s="203">
        <f t="shared" si="52"/>
        <v>0</v>
      </c>
      <c r="HZ39" s="202">
        <f t="shared" si="159"/>
        <v>0</v>
      </c>
      <c r="IA39" s="202">
        <f t="shared" si="53"/>
        <v>0</v>
      </c>
      <c r="IB39" s="203">
        <f t="shared" si="160"/>
        <v>0</v>
      </c>
      <c r="IC39" s="202">
        <f t="shared" si="54"/>
        <v>0</v>
      </c>
      <c r="ID39" s="202">
        <f t="shared" si="55"/>
        <v>0</v>
      </c>
      <c r="IE39" s="203">
        <f t="shared" si="56"/>
        <v>0</v>
      </c>
      <c r="IF39" s="202">
        <f t="shared" si="57"/>
        <v>0</v>
      </c>
      <c r="IG39" s="202">
        <f t="shared" si="58"/>
        <v>0</v>
      </c>
      <c r="IH39" s="203">
        <f t="shared" si="161"/>
        <v>0</v>
      </c>
      <c r="II39" s="202">
        <f t="shared" si="162"/>
        <v>0</v>
      </c>
      <c r="IJ39" s="202">
        <f t="shared" si="59"/>
        <v>0</v>
      </c>
      <c r="IK39" s="203">
        <f t="shared" si="60"/>
        <v>0</v>
      </c>
      <c r="IL39" s="202">
        <f t="shared" si="61"/>
        <v>0</v>
      </c>
      <c r="IM39" s="202">
        <f t="shared" si="62"/>
        <v>0</v>
      </c>
      <c r="IN39" s="204"/>
      <c r="IO39" s="203">
        <f t="shared" si="63"/>
        <v>0</v>
      </c>
      <c r="IP39" s="202">
        <f t="shared" si="64"/>
        <v>0</v>
      </c>
      <c r="IQ39" s="202">
        <f t="shared" si="65"/>
        <v>0</v>
      </c>
      <c r="IR39" s="204"/>
      <c r="IS39" s="203"/>
      <c r="IT39" s="202">
        <f t="shared" si="66"/>
        <v>1</v>
      </c>
      <c r="IU39" s="202">
        <f t="shared" si="67"/>
        <v>131</v>
      </c>
      <c r="IV39" s="204"/>
      <c r="IW39" s="203"/>
      <c r="IX39" s="202">
        <f t="shared" si="68"/>
        <v>0</v>
      </c>
      <c r="IY39" s="202">
        <f t="shared" si="69"/>
        <v>0</v>
      </c>
      <c r="IZ39" s="204"/>
      <c r="JA39" s="203"/>
      <c r="JB39" s="202">
        <f t="shared" si="70"/>
        <v>0</v>
      </c>
      <c r="JC39" s="202">
        <f t="shared" si="71"/>
        <v>0</v>
      </c>
      <c r="JD39" s="204"/>
      <c r="JE39" s="203"/>
      <c r="JF39" s="202">
        <f t="shared" si="163"/>
        <v>1</v>
      </c>
      <c r="JG39" s="202">
        <f t="shared" si="72"/>
        <v>131</v>
      </c>
      <c r="JH39" s="204"/>
      <c r="JI39" s="203"/>
      <c r="JJ39" s="202">
        <f t="shared" si="73"/>
        <v>0</v>
      </c>
      <c r="JK39" s="202">
        <f t="shared" si="74"/>
        <v>0</v>
      </c>
      <c r="JL39" s="195"/>
      <c r="JM39" s="203">
        <f t="shared" si="164"/>
        <v>0</v>
      </c>
      <c r="JN39" s="195"/>
      <c r="JO39" s="196">
        <f t="shared" si="75"/>
        <v>0</v>
      </c>
      <c r="JP39" s="206">
        <f t="shared" si="76"/>
        <v>0</v>
      </c>
      <c r="JQ39" s="206">
        <f t="shared" si="77"/>
        <v>0</v>
      </c>
      <c r="JR39" s="206">
        <f t="shared" si="78"/>
        <v>0</v>
      </c>
      <c r="JS39" s="206">
        <f t="shared" si="79"/>
        <v>0</v>
      </c>
      <c r="JT39" s="206">
        <f t="shared" si="80"/>
        <v>0</v>
      </c>
      <c r="JU39" s="206">
        <f t="shared" si="81"/>
        <v>0</v>
      </c>
      <c r="JV39" s="206">
        <f t="shared" si="82"/>
        <v>0</v>
      </c>
      <c r="JW39" s="206">
        <f t="shared" si="83"/>
        <v>0</v>
      </c>
      <c r="JX39" s="206">
        <f t="shared" si="84"/>
        <v>0</v>
      </c>
      <c r="JY39" s="206">
        <f t="shared" si="85"/>
        <v>0</v>
      </c>
      <c r="JZ39" s="206">
        <f t="shared" si="86"/>
        <v>0</v>
      </c>
      <c r="KA39" s="206">
        <f t="shared" si="87"/>
        <v>0</v>
      </c>
      <c r="KB39" s="206">
        <f t="shared" si="88"/>
        <v>0</v>
      </c>
      <c r="KC39" s="195"/>
      <c r="KD39" s="206">
        <f t="shared" si="165"/>
        <v>0</v>
      </c>
      <c r="KE39" s="206">
        <f t="shared" si="90"/>
        <v>0</v>
      </c>
      <c r="KF39" s="206">
        <f t="shared" si="91"/>
        <v>0</v>
      </c>
      <c r="KG39" s="206">
        <f t="shared" si="92"/>
        <v>0</v>
      </c>
      <c r="KH39" s="206">
        <f t="shared" si="93"/>
        <v>0</v>
      </c>
      <c r="KI39" s="206">
        <f t="shared" si="94"/>
        <v>0</v>
      </c>
      <c r="KJ39" s="206">
        <f t="shared" si="95"/>
        <v>0</v>
      </c>
      <c r="KK39" s="206">
        <f t="shared" si="96"/>
        <v>0</v>
      </c>
      <c r="KL39" s="206">
        <f t="shared" si="97"/>
        <v>0</v>
      </c>
      <c r="KM39" s="206">
        <f t="shared" si="98"/>
        <v>0</v>
      </c>
      <c r="KN39" s="221">
        <f t="shared" si="99"/>
        <v>0</v>
      </c>
      <c r="KO39" s="221">
        <f t="shared" si="100"/>
        <v>0</v>
      </c>
      <c r="KP39" s="221">
        <f t="shared" si="101"/>
        <v>0</v>
      </c>
      <c r="KQ39" s="221">
        <f t="shared" si="102"/>
        <v>0</v>
      </c>
      <c r="KR39" s="221">
        <f t="shared" si="103"/>
        <v>0</v>
      </c>
      <c r="KS39" s="195"/>
      <c r="KT39" s="195">
        <f t="shared" si="104"/>
        <v>0</v>
      </c>
      <c r="KU39" s="221"/>
      <c r="KV39" s="221"/>
      <c r="KW39" s="221"/>
      <c r="KX39" s="221"/>
      <c r="KY39" s="221"/>
      <c r="KZ39" s="221"/>
      <c r="LA39" s="221"/>
      <c r="LB39" s="221"/>
      <c r="LC39" s="221"/>
      <c r="LD39" s="221"/>
      <c r="LE39" s="221"/>
      <c r="LF39" s="221"/>
      <c r="LG39" s="221"/>
      <c r="LH39" s="221"/>
      <c r="LI39" s="221"/>
      <c r="LJ39" s="221"/>
      <c r="LK39" s="221"/>
      <c r="LL39" s="221"/>
      <c r="LM39" s="221"/>
      <c r="LN39" s="221"/>
      <c r="LO39" s="221"/>
      <c r="LP39" s="221"/>
      <c r="LQ39" s="221"/>
      <c r="LR39" s="221"/>
      <c r="LS39" s="221"/>
      <c r="LT39" s="221"/>
      <c r="LU39" s="221"/>
      <c r="LV39" s="221"/>
      <c r="LW39" s="221"/>
      <c r="LX39" s="221"/>
      <c r="LY39" s="221"/>
      <c r="LZ39" s="221"/>
      <c r="MA39" s="221"/>
      <c r="MB39" s="221"/>
      <c r="MC39" s="221"/>
      <c r="MD39" s="221"/>
      <c r="ME39" s="221"/>
      <c r="MF39" s="221"/>
      <c r="MG39" s="221"/>
      <c r="MH39" s="221"/>
      <c r="MI39" s="221"/>
      <c r="MJ39" s="221"/>
      <c r="MK39" s="221"/>
      <c r="ML39" s="221"/>
      <c r="MM39" s="221"/>
      <c r="MN39" s="221"/>
      <c r="MO39" s="221"/>
      <c r="MP39" s="221"/>
      <c r="MQ39" s="221"/>
      <c r="MR39" s="221"/>
      <c r="MS39" s="221"/>
      <c r="MT39" s="221"/>
      <c r="MU39" s="221"/>
      <c r="MV39" s="221"/>
      <c r="MW39" s="221"/>
      <c r="MX39" s="221"/>
      <c r="MY39" s="221"/>
      <c r="MZ39" s="221"/>
      <c r="NA39" s="221"/>
      <c r="NB39" s="221"/>
      <c r="NC39" s="221"/>
      <c r="ND39" s="221"/>
      <c r="NE39" s="221"/>
      <c r="NF39" s="221"/>
      <c r="NG39" s="221"/>
      <c r="NH39" s="221"/>
      <c r="NI39" s="221"/>
      <c r="NJ39" s="221"/>
      <c r="NK39" s="221"/>
      <c r="NL39" s="195"/>
      <c r="NM39" s="195">
        <f t="shared" si="166"/>
        <v>0</v>
      </c>
      <c r="NN39" s="195">
        <f t="shared" si="167"/>
        <v>0</v>
      </c>
      <c r="NO39" s="195">
        <f t="shared" si="168"/>
        <v>0</v>
      </c>
      <c r="NP39" s="195">
        <f t="shared" si="169"/>
        <v>0</v>
      </c>
      <c r="NQ39" s="195">
        <f t="shared" si="170"/>
        <v>0</v>
      </c>
      <c r="NR39" s="195">
        <f t="shared" si="171"/>
        <v>0</v>
      </c>
      <c r="NS39" s="195">
        <f t="shared" si="172"/>
        <v>0</v>
      </c>
      <c r="NT39" s="195">
        <f t="shared" si="173"/>
        <v>0</v>
      </c>
      <c r="NU39" s="196">
        <f t="shared" si="174"/>
        <v>0</v>
      </c>
      <c r="NV39" s="195"/>
      <c r="NW39" s="195"/>
      <c r="NX39" s="195"/>
      <c r="NY39" s="196">
        <f t="shared" si="106"/>
        <v>1</v>
      </c>
      <c r="NZ39" s="222">
        <f>1036668500/131</f>
        <v>7913500</v>
      </c>
      <c r="OA39" s="195"/>
      <c r="OB39" s="195"/>
      <c r="OC39" s="195"/>
      <c r="OD39" s="195"/>
      <c r="OE39" s="207">
        <f t="shared" si="107"/>
        <v>0</v>
      </c>
      <c r="OF39" s="207">
        <f t="shared" si="108"/>
        <v>0</v>
      </c>
      <c r="OG39" s="207">
        <f t="shared" si="109"/>
        <v>0</v>
      </c>
      <c r="OH39" s="207">
        <f t="shared" si="175"/>
        <v>0</v>
      </c>
      <c r="OI39" s="207">
        <f t="shared" si="110"/>
        <v>0</v>
      </c>
      <c r="OJ39" s="199">
        <f t="shared" si="176"/>
        <v>0</v>
      </c>
      <c r="OK39" s="199">
        <f t="shared" si="177"/>
        <v>0</v>
      </c>
      <c r="OL39" s="199">
        <f t="shared" si="178"/>
        <v>0</v>
      </c>
      <c r="OM39" s="199">
        <f t="shared" si="179"/>
        <v>0</v>
      </c>
      <c r="ON39" s="195"/>
      <c r="OO39" s="207">
        <f t="shared" si="111"/>
        <v>0</v>
      </c>
      <c r="OP39" s="207">
        <f t="shared" si="112"/>
        <v>0</v>
      </c>
      <c r="OQ39" s="207">
        <f t="shared" si="180"/>
        <v>0</v>
      </c>
      <c r="OR39" s="207">
        <f t="shared" si="181"/>
        <v>0</v>
      </c>
      <c r="OS39" s="207">
        <f t="shared" si="182"/>
        <v>0</v>
      </c>
      <c r="OT39" s="199">
        <f t="shared" si="183"/>
        <v>0</v>
      </c>
      <c r="OU39" s="199">
        <f t="shared" si="184"/>
        <v>0</v>
      </c>
      <c r="OV39" s="199">
        <f t="shared" si="185"/>
        <v>0</v>
      </c>
      <c r="OW39" s="199">
        <f t="shared" si="186"/>
        <v>0</v>
      </c>
      <c r="OX39" s="195"/>
      <c r="OY39" s="195"/>
      <c r="OZ39" s="195"/>
      <c r="PA39" s="209"/>
      <c r="PB39" s="209"/>
      <c r="PC39" s="209"/>
      <c r="PD39" s="210">
        <f t="shared" si="113"/>
        <v>0</v>
      </c>
      <c r="PE39" s="210"/>
      <c r="PF39" s="210">
        <f t="shared" si="114"/>
        <v>0</v>
      </c>
      <c r="PG39" s="210">
        <f t="shared" si="115"/>
        <v>0</v>
      </c>
      <c r="PH39" s="210">
        <f t="shared" si="115"/>
        <v>0</v>
      </c>
      <c r="PI39" s="210">
        <f t="shared" si="115"/>
        <v>0</v>
      </c>
      <c r="PJ39" s="210">
        <f t="shared" si="115"/>
        <v>0</v>
      </c>
      <c r="PK39" s="210">
        <f t="shared" si="115"/>
        <v>0</v>
      </c>
      <c r="PL39" s="210">
        <f t="shared" si="115"/>
        <v>0</v>
      </c>
      <c r="PM39" s="195"/>
      <c r="PN39" s="195"/>
      <c r="PO39" s="212">
        <f t="shared" si="187"/>
        <v>0</v>
      </c>
      <c r="PP39" s="212">
        <f t="shared" si="188"/>
        <v>0</v>
      </c>
      <c r="PQ39" s="212">
        <f t="shared" si="189"/>
        <v>0</v>
      </c>
    </row>
    <row r="40" spans="1:433" ht="16" x14ac:dyDescent="0.2">
      <c r="A40" s="213">
        <f t="shared" ref="A40" si="202">A39+1</f>
        <v>32</v>
      </c>
      <c r="B40" s="186" t="s">
        <v>112</v>
      </c>
      <c r="C40" s="186">
        <v>33</v>
      </c>
      <c r="D40" s="188">
        <v>1</v>
      </c>
      <c r="E40" s="188">
        <v>349</v>
      </c>
      <c r="F40" s="188">
        <v>1</v>
      </c>
      <c r="G40" s="188">
        <f t="shared" si="116"/>
        <v>349</v>
      </c>
      <c r="H40" s="214">
        <f t="shared" ref="H40:H71" si="203">F40/$D40</f>
        <v>1</v>
      </c>
      <c r="I40" s="214">
        <f t="shared" ref="I40:I71" si="204">G40/$E40</f>
        <v>1</v>
      </c>
      <c r="J40" s="188">
        <v>1</v>
      </c>
      <c r="K40" s="188">
        <f t="shared" ref="K40:K71" si="205">IF(J40=D40,E40,0)</f>
        <v>349</v>
      </c>
      <c r="L40" s="214">
        <f t="shared" ref="L40:L71" si="206">J40/$D40</f>
        <v>1</v>
      </c>
      <c r="M40" s="214">
        <f t="shared" ref="M40:M71" si="207">K40/$E40</f>
        <v>1</v>
      </c>
      <c r="N40" s="188">
        <v>1</v>
      </c>
      <c r="O40" s="188">
        <f t="shared" ref="O40:O71" si="208">IF(N40=D40,E40,0)</f>
        <v>349</v>
      </c>
      <c r="P40" s="214">
        <f t="shared" ref="P40:P71" si="209">N40/$D40</f>
        <v>1</v>
      </c>
      <c r="Q40" s="214">
        <f t="shared" ref="Q40:Q71" si="210">O40/$E40</f>
        <v>1</v>
      </c>
      <c r="R40" s="188">
        <v>1</v>
      </c>
      <c r="S40" s="188">
        <f t="shared" ref="S40:S71" si="211">IF(R40=D40,E40,0)</f>
        <v>349</v>
      </c>
      <c r="T40" s="214">
        <f t="shared" ref="T40:T71" si="212">R40/$D40</f>
        <v>1</v>
      </c>
      <c r="U40" s="214">
        <f t="shared" ref="U40:U71" si="213">S40/$E40</f>
        <v>1</v>
      </c>
      <c r="V40" s="188">
        <v>1</v>
      </c>
      <c r="W40" s="188">
        <f t="shared" ref="W40:W71" si="214">IF(V40=D40,E40,0)</f>
        <v>349</v>
      </c>
      <c r="X40" s="214">
        <f t="shared" ref="X40:X71" si="215">V40/$D40</f>
        <v>1</v>
      </c>
      <c r="Y40" s="214">
        <f t="shared" ref="Y40:Y71" si="216">W40/$E40</f>
        <v>1</v>
      </c>
      <c r="Z40" s="224">
        <f>3382210000/1000000000</f>
        <v>3.3822100000000002</v>
      </c>
      <c r="AA40" s="188"/>
      <c r="AB40" s="189">
        <f t="shared" si="120"/>
        <v>0</v>
      </c>
      <c r="AC40" s="250">
        <f t="shared" si="121"/>
        <v>0</v>
      </c>
      <c r="AD40" s="250">
        <f t="shared" si="122"/>
        <v>0</v>
      </c>
      <c r="AE40" s="188"/>
      <c r="AF40" s="188">
        <f t="shared" ref="AF40:AF71" si="217">R40-V40</f>
        <v>0</v>
      </c>
      <c r="AG40" s="187"/>
      <c r="AH40" s="187"/>
      <c r="AI40" s="188">
        <v>0</v>
      </c>
      <c r="AJ40" s="188">
        <f t="shared" ref="AJ40:AJ71" si="218">IF(AI40=D40,E40,0)</f>
        <v>0</v>
      </c>
      <c r="AK40" s="188"/>
      <c r="AL40" s="188">
        <v>0</v>
      </c>
      <c r="AM40" s="188">
        <v>0</v>
      </c>
      <c r="AN40" s="217"/>
      <c r="AO40" s="196">
        <f t="shared" si="123"/>
        <v>0</v>
      </c>
      <c r="AP40" s="195"/>
      <c r="AQ40" s="195"/>
      <c r="AR40" s="195"/>
      <c r="AS40" s="195"/>
      <c r="AT40" s="195"/>
      <c r="AU40" s="195"/>
      <c r="AV40" s="195"/>
      <c r="AW40" s="195"/>
      <c r="AX40" s="195"/>
      <c r="AY40" s="195"/>
      <c r="AZ40" s="195"/>
      <c r="BA40" s="195"/>
      <c r="BB40" s="188">
        <f t="shared" ref="BB40:BB71" si="219">IF(AN40=1,G40,0)</f>
        <v>0</v>
      </c>
      <c r="BC40" s="195"/>
      <c r="BD40" s="196"/>
      <c r="BE40" s="188">
        <f t="shared" ref="BE40:BE71" si="220">IF(AF40=1,S40,0)</f>
        <v>0</v>
      </c>
      <c r="BF40" s="188">
        <f t="shared" ref="BF40:BF71" si="221">IF(AG40="A",S40,0)</f>
        <v>0</v>
      </c>
      <c r="BG40" s="188">
        <f t="shared" ref="BG40:BG71" si="222">IF(AG40="B",S40,0)</f>
        <v>0</v>
      </c>
      <c r="BH40" s="188">
        <f t="shared" ref="BH40:BH71" si="223">IF(AG40="C",S40,0)</f>
        <v>0</v>
      </c>
      <c r="BI40" s="188">
        <f t="shared" ref="BI40:BI71" si="224">IF(AG40="D",S40,0)</f>
        <v>0</v>
      </c>
      <c r="BJ40" s="188">
        <f t="shared" ref="BJ40:BJ71" si="225">IF(AG40="E",S40,0)</f>
        <v>0</v>
      </c>
      <c r="BK40" s="188">
        <f t="shared" si="124"/>
        <v>0</v>
      </c>
      <c r="BL40" s="195"/>
      <c r="BM40" s="195"/>
      <c r="BN40" s="143"/>
      <c r="BO40" s="277"/>
      <c r="BP40" s="188"/>
      <c r="BQ40" s="188"/>
      <c r="BR40" s="188"/>
      <c r="BS40" s="188"/>
      <c r="BT40" s="188"/>
      <c r="BU40" s="188"/>
      <c r="BV40" s="188"/>
      <c r="BW40" s="188"/>
      <c r="BX40" s="188"/>
      <c r="BY40" s="188"/>
      <c r="BZ40" s="188"/>
      <c r="CA40" s="195"/>
      <c r="CB40" s="188">
        <v>0</v>
      </c>
      <c r="CC40" s="195"/>
      <c r="CD40" s="189">
        <f t="shared" si="125"/>
        <v>0</v>
      </c>
      <c r="CE40" s="189">
        <f t="shared" si="191"/>
        <v>0</v>
      </c>
      <c r="CF40" s="189">
        <f t="shared" si="126"/>
        <v>0</v>
      </c>
      <c r="CG40" s="189">
        <f t="shared" si="127"/>
        <v>0</v>
      </c>
      <c r="CH40" s="189">
        <f t="shared" si="128"/>
        <v>0</v>
      </c>
      <c r="CI40" s="189">
        <f t="shared" si="129"/>
        <v>0</v>
      </c>
      <c r="CJ40" s="189">
        <f t="shared" si="130"/>
        <v>0</v>
      </c>
      <c r="CK40" s="189">
        <f t="shared" si="131"/>
        <v>0</v>
      </c>
      <c r="CL40" s="189">
        <f t="shared" si="132"/>
        <v>0</v>
      </c>
      <c r="CM40" s="189">
        <f t="shared" si="133"/>
        <v>0</v>
      </c>
      <c r="CN40" s="189">
        <f t="shared" si="134"/>
        <v>0</v>
      </c>
      <c r="CO40" s="189">
        <f t="shared" si="135"/>
        <v>0</v>
      </c>
      <c r="CP40" s="189">
        <f t="shared" si="136"/>
        <v>0</v>
      </c>
      <c r="CQ40" s="195"/>
      <c r="CR40" s="195"/>
      <c r="CS40" s="195"/>
      <c r="CT40" s="195"/>
      <c r="CU40" s="195"/>
      <c r="CV40" s="195"/>
      <c r="CW40" s="195"/>
      <c r="CX40" s="195"/>
      <c r="CY40" s="195"/>
      <c r="CZ40" s="195"/>
      <c r="DA40" s="195"/>
      <c r="DB40" s="195"/>
      <c r="DC40" s="195"/>
      <c r="DD40" s="195"/>
      <c r="DE40" s="195"/>
      <c r="DF40" s="195"/>
      <c r="DG40" s="195"/>
      <c r="DH40" s="195"/>
      <c r="DI40" s="195"/>
      <c r="DJ40" s="195"/>
      <c r="DK40" s="195"/>
      <c r="DL40" s="195"/>
      <c r="DM40" s="195"/>
      <c r="DN40" s="195"/>
      <c r="DO40" s="195"/>
      <c r="DP40" s="195"/>
      <c r="DQ40" s="195"/>
      <c r="DR40" s="195"/>
      <c r="DS40" s="195"/>
      <c r="DT40" s="195"/>
      <c r="DU40" s="195"/>
      <c r="DV40" s="189">
        <f t="shared" ref="DV40:DV71" si="226">IF(CB40=1,G40,0)</f>
        <v>0</v>
      </c>
      <c r="DW40" s="189">
        <f t="shared" ref="DW40:DW71" si="227">IF(CC40="A",G40,0)</f>
        <v>0</v>
      </c>
      <c r="DX40" s="189">
        <f t="shared" ref="DX40:DX71" si="228">IF(CC40="B",G40,0)</f>
        <v>0</v>
      </c>
      <c r="DY40" s="189">
        <f t="shared" ref="DY40:DY71" si="229">IF(CC40="C",G40,0)</f>
        <v>0</v>
      </c>
      <c r="DZ40" s="189">
        <f t="shared" ref="DZ40:DZ71" si="230">IF(CC40="D",G40,0)</f>
        <v>0</v>
      </c>
      <c r="EA40" s="189">
        <f t="shared" ref="EA40:EA71" si="231">IF(CC40="E",G40,0)</f>
        <v>0</v>
      </c>
      <c r="EB40" s="189">
        <f t="shared" si="137"/>
        <v>0</v>
      </c>
      <c r="EC40" s="195"/>
      <c r="ED40" s="195"/>
      <c r="EE40" s="195"/>
      <c r="EF40" s="195"/>
      <c r="EG40" s="252">
        <f t="shared" si="138"/>
        <v>0</v>
      </c>
      <c r="EH40" s="252">
        <f t="shared" si="139"/>
        <v>0</v>
      </c>
      <c r="EI40" s="189"/>
      <c r="EJ40" s="189"/>
      <c r="EK40" s="189"/>
      <c r="EL40" s="189"/>
      <c r="EM40" s="189"/>
      <c r="EN40" s="189"/>
      <c r="EO40" s="189"/>
      <c r="EP40" s="189"/>
      <c r="EQ40" s="189"/>
      <c r="ER40" s="189"/>
      <c r="ES40" s="189"/>
      <c r="ET40" s="189"/>
      <c r="EU40" s="189"/>
      <c r="EV40" s="189"/>
      <c r="EW40" s="189"/>
      <c r="EX40" s="189"/>
      <c r="EY40" s="189"/>
      <c r="EZ40" s="189"/>
      <c r="FA40" s="189"/>
      <c r="FB40" s="189"/>
      <c r="FC40" s="189"/>
      <c r="FD40" s="189"/>
      <c r="FE40" s="189"/>
      <c r="FF40" s="189"/>
      <c r="FG40" s="195"/>
      <c r="FH40" s="189"/>
      <c r="FI40" s="189"/>
      <c r="FJ40" s="189"/>
      <c r="FK40" s="189"/>
      <c r="FL40" s="189"/>
      <c r="FM40" s="189"/>
      <c r="FN40" s="189"/>
      <c r="FO40" s="189"/>
      <c r="FP40" s="189"/>
      <c r="FQ40" s="189"/>
      <c r="FR40" s="189"/>
      <c r="FS40" s="189"/>
      <c r="FT40" s="189"/>
      <c r="FU40" s="189"/>
      <c r="FV40" s="189"/>
      <c r="FW40" s="195"/>
      <c r="FX40" s="253"/>
      <c r="FY40" s="189">
        <f t="shared" si="140"/>
        <v>0</v>
      </c>
      <c r="FZ40" s="189">
        <f t="shared" si="33"/>
        <v>0</v>
      </c>
      <c r="GA40" s="189">
        <f t="shared" si="34"/>
        <v>0</v>
      </c>
      <c r="GB40" s="189">
        <f t="shared" si="35"/>
        <v>0</v>
      </c>
      <c r="GC40" s="189">
        <f t="shared" si="36"/>
        <v>0</v>
      </c>
      <c r="GD40" s="189">
        <f t="shared" si="37"/>
        <v>0</v>
      </c>
      <c r="GE40" s="189">
        <f t="shared" si="38"/>
        <v>0</v>
      </c>
      <c r="GF40" s="199"/>
      <c r="GG40" s="189">
        <v>0</v>
      </c>
      <c r="GH40" s="189">
        <v>0</v>
      </c>
      <c r="GI40" s="199"/>
      <c r="GJ40" s="200">
        <f t="shared" si="141"/>
        <v>0</v>
      </c>
      <c r="GK40" s="200">
        <f t="shared" si="142"/>
        <v>0</v>
      </c>
      <c r="GL40" s="195"/>
      <c r="GM40" s="195"/>
      <c r="GN40" s="195"/>
      <c r="GO40" s="189">
        <f t="shared" si="39"/>
        <v>0</v>
      </c>
      <c r="GP40" s="189">
        <f t="shared" si="40"/>
        <v>0</v>
      </c>
      <c r="GQ40" s="189">
        <f t="shared" si="41"/>
        <v>0</v>
      </c>
      <c r="GR40" s="189">
        <f t="shared" si="42"/>
        <v>0</v>
      </c>
      <c r="GS40" s="189">
        <f t="shared" si="43"/>
        <v>0</v>
      </c>
      <c r="GT40" s="189">
        <f t="shared" si="143"/>
        <v>1</v>
      </c>
      <c r="GU40" s="201">
        <f t="shared" si="144"/>
        <v>43243</v>
      </c>
      <c r="GV40" s="189" t="str">
        <f t="shared" si="145"/>
        <v>SELESAI</v>
      </c>
      <c r="GW40" s="189">
        <f t="shared" si="146"/>
        <v>0</v>
      </c>
      <c r="GX40" s="202" t="str">
        <f t="shared" si="147"/>
        <v>SELESAI</v>
      </c>
      <c r="GY40" s="202">
        <f t="shared" si="148"/>
        <v>0</v>
      </c>
      <c r="GZ40" s="203" t="str">
        <f t="shared" si="149"/>
        <v>SELESAI</v>
      </c>
      <c r="HA40" s="204"/>
      <c r="HB40" s="204"/>
      <c r="HC40" s="189">
        <f t="shared" si="44"/>
        <v>0</v>
      </c>
      <c r="HD40" s="189">
        <f t="shared" si="45"/>
        <v>0</v>
      </c>
      <c r="HE40" s="189">
        <f t="shared" si="150"/>
        <v>0</v>
      </c>
      <c r="HF40" s="189">
        <f t="shared" si="151"/>
        <v>0</v>
      </c>
      <c r="HG40" s="189">
        <f t="shared" si="152"/>
        <v>0</v>
      </c>
      <c r="HH40" s="201" t="str">
        <f t="shared" si="46"/>
        <v>TIDAK KONSINYASI</v>
      </c>
      <c r="HI40" s="201" t="str">
        <f t="shared" si="153"/>
        <v>SELESAI</v>
      </c>
      <c r="HJ40" s="205"/>
      <c r="HK40" s="201">
        <f t="shared" si="47"/>
        <v>0</v>
      </c>
      <c r="HL40" s="204"/>
      <c r="HM40" s="204"/>
      <c r="HN40" s="204"/>
      <c r="HO40" s="204"/>
      <c r="HP40" s="203">
        <f t="shared" si="154"/>
        <v>0</v>
      </c>
      <c r="HQ40" s="202">
        <f t="shared" si="155"/>
        <v>0</v>
      </c>
      <c r="HR40" s="202">
        <f t="shared" si="48"/>
        <v>0</v>
      </c>
      <c r="HS40" s="203">
        <f t="shared" si="156"/>
        <v>0</v>
      </c>
      <c r="HT40" s="202">
        <f t="shared" si="157"/>
        <v>0</v>
      </c>
      <c r="HU40" s="202">
        <f t="shared" si="49"/>
        <v>0</v>
      </c>
      <c r="HV40" s="203">
        <f t="shared" si="158"/>
        <v>0</v>
      </c>
      <c r="HW40" s="202">
        <f t="shared" si="50"/>
        <v>0</v>
      </c>
      <c r="HX40" s="202">
        <f t="shared" si="51"/>
        <v>0</v>
      </c>
      <c r="HY40" s="203">
        <f t="shared" si="52"/>
        <v>0</v>
      </c>
      <c r="HZ40" s="202">
        <f t="shared" si="159"/>
        <v>0</v>
      </c>
      <c r="IA40" s="202">
        <f t="shared" si="53"/>
        <v>0</v>
      </c>
      <c r="IB40" s="203">
        <f t="shared" si="160"/>
        <v>0</v>
      </c>
      <c r="IC40" s="202">
        <f t="shared" si="54"/>
        <v>0</v>
      </c>
      <c r="ID40" s="202">
        <f t="shared" si="55"/>
        <v>0</v>
      </c>
      <c r="IE40" s="203">
        <f t="shared" si="56"/>
        <v>0</v>
      </c>
      <c r="IF40" s="202">
        <f t="shared" si="57"/>
        <v>0</v>
      </c>
      <c r="IG40" s="202">
        <f t="shared" si="58"/>
        <v>0</v>
      </c>
      <c r="IH40" s="203">
        <f t="shared" si="161"/>
        <v>0</v>
      </c>
      <c r="II40" s="202">
        <f t="shared" si="162"/>
        <v>0</v>
      </c>
      <c r="IJ40" s="202">
        <f t="shared" si="59"/>
        <v>0</v>
      </c>
      <c r="IK40" s="203">
        <f t="shared" si="60"/>
        <v>0</v>
      </c>
      <c r="IL40" s="202">
        <f t="shared" si="61"/>
        <v>0</v>
      </c>
      <c r="IM40" s="202">
        <f t="shared" si="62"/>
        <v>0</v>
      </c>
      <c r="IN40" s="204"/>
      <c r="IO40" s="203">
        <f t="shared" si="63"/>
        <v>0</v>
      </c>
      <c r="IP40" s="202">
        <f t="shared" si="64"/>
        <v>0</v>
      </c>
      <c r="IQ40" s="202">
        <f t="shared" si="65"/>
        <v>0</v>
      </c>
      <c r="IR40" s="204"/>
      <c r="IS40" s="203"/>
      <c r="IT40" s="202">
        <f t="shared" si="66"/>
        <v>1</v>
      </c>
      <c r="IU40" s="202">
        <f t="shared" si="67"/>
        <v>349</v>
      </c>
      <c r="IV40" s="204"/>
      <c r="IW40" s="203"/>
      <c r="IX40" s="202">
        <f t="shared" si="68"/>
        <v>0</v>
      </c>
      <c r="IY40" s="202">
        <f t="shared" si="69"/>
        <v>0</v>
      </c>
      <c r="IZ40" s="204"/>
      <c r="JA40" s="203"/>
      <c r="JB40" s="202">
        <f t="shared" si="70"/>
        <v>0</v>
      </c>
      <c r="JC40" s="202">
        <f t="shared" si="71"/>
        <v>0</v>
      </c>
      <c r="JD40" s="204"/>
      <c r="JE40" s="203"/>
      <c r="JF40" s="202">
        <f t="shared" si="163"/>
        <v>1</v>
      </c>
      <c r="JG40" s="202">
        <f t="shared" si="72"/>
        <v>349</v>
      </c>
      <c r="JH40" s="204"/>
      <c r="JI40" s="203"/>
      <c r="JJ40" s="202">
        <f t="shared" si="73"/>
        <v>0</v>
      </c>
      <c r="JK40" s="202">
        <f t="shared" si="74"/>
        <v>0</v>
      </c>
      <c r="JL40" s="195"/>
      <c r="JM40" s="203">
        <f t="shared" si="164"/>
        <v>0</v>
      </c>
      <c r="JN40" s="195"/>
      <c r="JO40" s="196">
        <f t="shared" si="75"/>
        <v>0</v>
      </c>
      <c r="JP40" s="206">
        <f t="shared" si="76"/>
        <v>0</v>
      </c>
      <c r="JQ40" s="206">
        <f t="shared" si="77"/>
        <v>0</v>
      </c>
      <c r="JR40" s="206">
        <f t="shared" si="78"/>
        <v>0</v>
      </c>
      <c r="JS40" s="206">
        <f t="shared" si="79"/>
        <v>0</v>
      </c>
      <c r="JT40" s="206">
        <f t="shared" si="80"/>
        <v>0</v>
      </c>
      <c r="JU40" s="206">
        <f t="shared" si="81"/>
        <v>0</v>
      </c>
      <c r="JV40" s="206">
        <f t="shared" si="82"/>
        <v>0</v>
      </c>
      <c r="JW40" s="206">
        <f t="shared" si="83"/>
        <v>0</v>
      </c>
      <c r="JX40" s="206">
        <f t="shared" si="84"/>
        <v>0</v>
      </c>
      <c r="JY40" s="206">
        <f t="shared" si="85"/>
        <v>0</v>
      </c>
      <c r="JZ40" s="206">
        <f t="shared" si="86"/>
        <v>0</v>
      </c>
      <c r="KA40" s="206">
        <f t="shared" si="87"/>
        <v>0</v>
      </c>
      <c r="KB40" s="206">
        <f t="shared" si="88"/>
        <v>0</v>
      </c>
      <c r="KC40" s="195"/>
      <c r="KD40" s="206">
        <f t="shared" si="165"/>
        <v>0</v>
      </c>
      <c r="KE40" s="206">
        <f t="shared" si="90"/>
        <v>0</v>
      </c>
      <c r="KF40" s="206">
        <f t="shared" si="91"/>
        <v>0</v>
      </c>
      <c r="KG40" s="206">
        <f t="shared" si="92"/>
        <v>0</v>
      </c>
      <c r="KH40" s="206">
        <f t="shared" si="93"/>
        <v>0</v>
      </c>
      <c r="KI40" s="206">
        <f t="shared" si="94"/>
        <v>0</v>
      </c>
      <c r="KJ40" s="206">
        <f t="shared" si="95"/>
        <v>0</v>
      </c>
      <c r="KK40" s="206">
        <f t="shared" si="96"/>
        <v>0</v>
      </c>
      <c r="KL40" s="206">
        <f t="shared" si="97"/>
        <v>0</v>
      </c>
      <c r="KM40" s="206">
        <f t="shared" si="98"/>
        <v>0</v>
      </c>
      <c r="KN40" s="221">
        <f t="shared" si="99"/>
        <v>0</v>
      </c>
      <c r="KO40" s="221">
        <f t="shared" si="100"/>
        <v>0</v>
      </c>
      <c r="KP40" s="221">
        <f t="shared" si="101"/>
        <v>0</v>
      </c>
      <c r="KQ40" s="221">
        <f t="shared" si="102"/>
        <v>0</v>
      </c>
      <c r="KR40" s="221">
        <f t="shared" si="103"/>
        <v>0</v>
      </c>
      <c r="KS40" s="195"/>
      <c r="KT40" s="195">
        <f t="shared" si="104"/>
        <v>0</v>
      </c>
      <c r="KU40" s="221"/>
      <c r="KV40" s="221"/>
      <c r="KW40" s="221"/>
      <c r="KX40" s="221"/>
      <c r="KY40" s="221"/>
      <c r="KZ40" s="221"/>
      <c r="LA40" s="221"/>
      <c r="LB40" s="221"/>
      <c r="LC40" s="221"/>
      <c r="LD40" s="221"/>
      <c r="LE40" s="221"/>
      <c r="LF40" s="221"/>
      <c r="LG40" s="221"/>
      <c r="LH40" s="221"/>
      <c r="LI40" s="221"/>
      <c r="LJ40" s="221"/>
      <c r="LK40" s="221"/>
      <c r="LL40" s="221"/>
      <c r="LM40" s="221"/>
      <c r="LN40" s="221"/>
      <c r="LO40" s="221"/>
      <c r="LP40" s="221"/>
      <c r="LQ40" s="221"/>
      <c r="LR40" s="221"/>
      <c r="LS40" s="221"/>
      <c r="LT40" s="221"/>
      <c r="LU40" s="221"/>
      <c r="LV40" s="221"/>
      <c r="LW40" s="221"/>
      <c r="LX40" s="221"/>
      <c r="LY40" s="221"/>
      <c r="LZ40" s="221"/>
      <c r="MA40" s="221"/>
      <c r="MB40" s="221"/>
      <c r="MC40" s="221"/>
      <c r="MD40" s="221"/>
      <c r="ME40" s="221"/>
      <c r="MF40" s="221"/>
      <c r="MG40" s="221"/>
      <c r="MH40" s="221"/>
      <c r="MI40" s="221"/>
      <c r="MJ40" s="221"/>
      <c r="MK40" s="221"/>
      <c r="ML40" s="221"/>
      <c r="MM40" s="221"/>
      <c r="MN40" s="221"/>
      <c r="MO40" s="221"/>
      <c r="MP40" s="221"/>
      <c r="MQ40" s="221"/>
      <c r="MR40" s="221"/>
      <c r="MS40" s="221"/>
      <c r="MT40" s="221"/>
      <c r="MU40" s="221"/>
      <c r="MV40" s="221"/>
      <c r="MW40" s="221"/>
      <c r="MX40" s="221"/>
      <c r="MY40" s="221"/>
      <c r="MZ40" s="221"/>
      <c r="NA40" s="221"/>
      <c r="NB40" s="221"/>
      <c r="NC40" s="221"/>
      <c r="ND40" s="221"/>
      <c r="NE40" s="221"/>
      <c r="NF40" s="221"/>
      <c r="NG40" s="221"/>
      <c r="NH40" s="221"/>
      <c r="NI40" s="221"/>
      <c r="NJ40" s="221"/>
      <c r="NK40" s="221"/>
      <c r="NL40" s="195"/>
      <c r="NM40" s="195">
        <f t="shared" si="166"/>
        <v>0</v>
      </c>
      <c r="NN40" s="195">
        <f t="shared" si="167"/>
        <v>0</v>
      </c>
      <c r="NO40" s="195">
        <f t="shared" si="168"/>
        <v>0</v>
      </c>
      <c r="NP40" s="195">
        <f t="shared" si="169"/>
        <v>0</v>
      </c>
      <c r="NQ40" s="195">
        <f t="shared" si="170"/>
        <v>0</v>
      </c>
      <c r="NR40" s="195">
        <f t="shared" si="171"/>
        <v>0</v>
      </c>
      <c r="NS40" s="195">
        <f t="shared" si="172"/>
        <v>0</v>
      </c>
      <c r="NT40" s="195">
        <f t="shared" si="173"/>
        <v>0</v>
      </c>
      <c r="NU40" s="196">
        <f t="shared" si="174"/>
        <v>0</v>
      </c>
      <c r="NV40" s="195"/>
      <c r="NW40" s="195"/>
      <c r="NX40" s="195"/>
      <c r="NY40" s="196">
        <f t="shared" si="106"/>
        <v>1</v>
      </c>
      <c r="NZ40" s="222">
        <v>8075000</v>
      </c>
      <c r="OA40" s="195"/>
      <c r="OB40" s="195"/>
      <c r="OC40" s="195"/>
      <c r="OD40" s="195"/>
      <c r="OE40" s="207">
        <f t="shared" si="107"/>
        <v>0</v>
      </c>
      <c r="OF40" s="207">
        <f t="shared" si="108"/>
        <v>0</v>
      </c>
      <c r="OG40" s="207">
        <f t="shared" si="109"/>
        <v>0</v>
      </c>
      <c r="OH40" s="207">
        <f t="shared" si="175"/>
        <v>0</v>
      </c>
      <c r="OI40" s="207">
        <f t="shared" si="110"/>
        <v>0</v>
      </c>
      <c r="OJ40" s="199">
        <f t="shared" si="176"/>
        <v>0</v>
      </c>
      <c r="OK40" s="199">
        <f t="shared" si="177"/>
        <v>0</v>
      </c>
      <c r="OL40" s="199">
        <f t="shared" si="178"/>
        <v>0</v>
      </c>
      <c r="OM40" s="199">
        <f t="shared" si="179"/>
        <v>0</v>
      </c>
      <c r="ON40" s="195"/>
      <c r="OO40" s="207">
        <f t="shared" si="111"/>
        <v>0</v>
      </c>
      <c r="OP40" s="207">
        <f t="shared" si="112"/>
        <v>0</v>
      </c>
      <c r="OQ40" s="207">
        <f t="shared" si="180"/>
        <v>0</v>
      </c>
      <c r="OR40" s="207">
        <f t="shared" si="181"/>
        <v>0</v>
      </c>
      <c r="OS40" s="207">
        <f t="shared" si="182"/>
        <v>0</v>
      </c>
      <c r="OT40" s="199">
        <f t="shared" si="183"/>
        <v>0</v>
      </c>
      <c r="OU40" s="199">
        <f t="shared" si="184"/>
        <v>0</v>
      </c>
      <c r="OV40" s="199">
        <f t="shared" si="185"/>
        <v>0</v>
      </c>
      <c r="OW40" s="199">
        <f t="shared" si="186"/>
        <v>0</v>
      </c>
      <c r="OX40" s="195"/>
      <c r="OY40" s="195"/>
      <c r="OZ40" s="195"/>
      <c r="PA40" s="209"/>
      <c r="PB40" s="209"/>
      <c r="PC40" s="209"/>
      <c r="PD40" s="210">
        <f t="shared" si="113"/>
        <v>0</v>
      </c>
      <c r="PE40" s="210"/>
      <c r="PF40" s="210">
        <f t="shared" si="114"/>
        <v>0</v>
      </c>
      <c r="PG40" s="210">
        <f t="shared" si="115"/>
        <v>0</v>
      </c>
      <c r="PH40" s="210">
        <f t="shared" si="115"/>
        <v>0</v>
      </c>
      <c r="PI40" s="210">
        <f t="shared" si="115"/>
        <v>0</v>
      </c>
      <c r="PJ40" s="210">
        <f t="shared" si="115"/>
        <v>0</v>
      </c>
      <c r="PK40" s="210">
        <f t="shared" si="115"/>
        <v>0</v>
      </c>
      <c r="PL40" s="210">
        <f t="shared" si="115"/>
        <v>0</v>
      </c>
      <c r="PM40" s="195"/>
      <c r="PN40" s="195"/>
      <c r="PO40" s="212">
        <f t="shared" si="187"/>
        <v>0</v>
      </c>
      <c r="PP40" s="212">
        <f t="shared" si="188"/>
        <v>0</v>
      </c>
      <c r="PQ40" s="212">
        <f t="shared" si="189"/>
        <v>0</v>
      </c>
    </row>
    <row r="41" spans="1:433" ht="16" x14ac:dyDescent="0.2">
      <c r="A41" s="213">
        <f t="shared" si="190"/>
        <v>33</v>
      </c>
      <c r="B41" s="186" t="s">
        <v>112</v>
      </c>
      <c r="C41" s="186">
        <v>34</v>
      </c>
      <c r="D41" s="188">
        <v>1</v>
      </c>
      <c r="E41" s="188">
        <v>410</v>
      </c>
      <c r="F41" s="188">
        <v>1</v>
      </c>
      <c r="G41" s="188">
        <f t="shared" si="116"/>
        <v>410</v>
      </c>
      <c r="H41" s="214">
        <f t="shared" si="203"/>
        <v>1</v>
      </c>
      <c r="I41" s="214">
        <f t="shared" si="204"/>
        <v>1</v>
      </c>
      <c r="J41" s="188">
        <v>1</v>
      </c>
      <c r="K41" s="188">
        <f t="shared" si="205"/>
        <v>410</v>
      </c>
      <c r="L41" s="214">
        <f t="shared" si="206"/>
        <v>1</v>
      </c>
      <c r="M41" s="214">
        <f t="shared" si="207"/>
        <v>1</v>
      </c>
      <c r="N41" s="188">
        <v>1</v>
      </c>
      <c r="O41" s="188">
        <f t="shared" si="208"/>
        <v>410</v>
      </c>
      <c r="P41" s="214">
        <f t="shared" si="209"/>
        <v>1</v>
      </c>
      <c r="Q41" s="214">
        <f t="shared" si="210"/>
        <v>1</v>
      </c>
      <c r="R41" s="188">
        <v>1</v>
      </c>
      <c r="S41" s="188">
        <f t="shared" si="211"/>
        <v>410</v>
      </c>
      <c r="T41" s="214">
        <f t="shared" si="212"/>
        <v>1</v>
      </c>
      <c r="U41" s="214">
        <f t="shared" si="213"/>
        <v>1</v>
      </c>
      <c r="V41" s="188">
        <v>1</v>
      </c>
      <c r="W41" s="188">
        <f t="shared" si="214"/>
        <v>410</v>
      </c>
      <c r="X41" s="214">
        <f t="shared" si="215"/>
        <v>1</v>
      </c>
      <c r="Y41" s="214">
        <f t="shared" si="216"/>
        <v>1</v>
      </c>
      <c r="Z41" s="224">
        <f>3970837000/1000000000</f>
        <v>3.970837</v>
      </c>
      <c r="AA41" s="188"/>
      <c r="AB41" s="189">
        <f t="shared" si="120"/>
        <v>0</v>
      </c>
      <c r="AC41" s="250">
        <f t="shared" si="121"/>
        <v>0</v>
      </c>
      <c r="AD41" s="250">
        <f t="shared" si="122"/>
        <v>0</v>
      </c>
      <c r="AE41" s="188"/>
      <c r="AF41" s="188">
        <f t="shared" si="217"/>
        <v>0</v>
      </c>
      <c r="AG41" s="187"/>
      <c r="AH41" s="187"/>
      <c r="AI41" s="188">
        <v>0</v>
      </c>
      <c r="AJ41" s="188">
        <f t="shared" si="218"/>
        <v>0</v>
      </c>
      <c r="AK41" s="188"/>
      <c r="AL41" s="188">
        <v>0</v>
      </c>
      <c r="AM41" s="188">
        <v>0</v>
      </c>
      <c r="AN41" s="217"/>
      <c r="AO41" s="196">
        <f t="shared" si="123"/>
        <v>0</v>
      </c>
      <c r="AP41" s="195"/>
      <c r="AQ41" s="195"/>
      <c r="AR41" s="195"/>
      <c r="AS41" s="195"/>
      <c r="AT41" s="195"/>
      <c r="AU41" s="195"/>
      <c r="AV41" s="195"/>
      <c r="AW41" s="195"/>
      <c r="AX41" s="195"/>
      <c r="AY41" s="195"/>
      <c r="AZ41" s="195"/>
      <c r="BA41" s="195"/>
      <c r="BB41" s="188">
        <f t="shared" si="219"/>
        <v>0</v>
      </c>
      <c r="BC41" s="195"/>
      <c r="BD41" s="196"/>
      <c r="BE41" s="188">
        <f t="shared" si="220"/>
        <v>0</v>
      </c>
      <c r="BF41" s="188">
        <f t="shared" si="221"/>
        <v>0</v>
      </c>
      <c r="BG41" s="188">
        <f t="shared" si="222"/>
        <v>0</v>
      </c>
      <c r="BH41" s="188">
        <f t="shared" si="223"/>
        <v>0</v>
      </c>
      <c r="BI41" s="188">
        <f t="shared" si="224"/>
        <v>0</v>
      </c>
      <c r="BJ41" s="188">
        <f t="shared" si="225"/>
        <v>0</v>
      </c>
      <c r="BK41" s="188">
        <f t="shared" si="124"/>
        <v>0</v>
      </c>
      <c r="BL41" s="195"/>
      <c r="BM41" s="195"/>
      <c r="BN41" s="143"/>
      <c r="BO41" s="277"/>
      <c r="BP41" s="188"/>
      <c r="BQ41" s="188"/>
      <c r="BR41" s="188"/>
      <c r="BS41" s="188"/>
      <c r="BT41" s="188"/>
      <c r="BU41" s="188"/>
      <c r="BV41" s="188"/>
      <c r="BW41" s="188"/>
      <c r="BX41" s="188"/>
      <c r="BY41" s="188"/>
      <c r="BZ41" s="188"/>
      <c r="CA41" s="195"/>
      <c r="CB41" s="188">
        <v>0</v>
      </c>
      <c r="CC41" s="195"/>
      <c r="CD41" s="189">
        <f t="shared" si="125"/>
        <v>0</v>
      </c>
      <c r="CE41" s="189">
        <f t="shared" si="191"/>
        <v>0</v>
      </c>
      <c r="CF41" s="189">
        <f t="shared" si="126"/>
        <v>0</v>
      </c>
      <c r="CG41" s="189">
        <f t="shared" si="127"/>
        <v>0</v>
      </c>
      <c r="CH41" s="189">
        <f t="shared" si="128"/>
        <v>0</v>
      </c>
      <c r="CI41" s="189">
        <f t="shared" si="129"/>
        <v>0</v>
      </c>
      <c r="CJ41" s="189">
        <f t="shared" si="130"/>
        <v>0</v>
      </c>
      <c r="CK41" s="189">
        <f t="shared" si="131"/>
        <v>0</v>
      </c>
      <c r="CL41" s="189">
        <f t="shared" si="132"/>
        <v>0</v>
      </c>
      <c r="CM41" s="189">
        <f t="shared" si="133"/>
        <v>0</v>
      </c>
      <c r="CN41" s="189">
        <f t="shared" si="134"/>
        <v>0</v>
      </c>
      <c r="CO41" s="189">
        <f t="shared" si="135"/>
        <v>0</v>
      </c>
      <c r="CP41" s="189">
        <f t="shared" si="136"/>
        <v>0</v>
      </c>
      <c r="CQ41" s="195"/>
      <c r="CR41" s="195"/>
      <c r="CS41" s="195"/>
      <c r="CT41" s="195"/>
      <c r="CU41" s="195"/>
      <c r="CV41" s="195"/>
      <c r="CW41" s="195"/>
      <c r="CX41" s="195"/>
      <c r="CY41" s="195"/>
      <c r="CZ41" s="195"/>
      <c r="DA41" s="195"/>
      <c r="DB41" s="195"/>
      <c r="DC41" s="195"/>
      <c r="DD41" s="195"/>
      <c r="DE41" s="195"/>
      <c r="DF41" s="195"/>
      <c r="DG41" s="195"/>
      <c r="DH41" s="195"/>
      <c r="DI41" s="195"/>
      <c r="DJ41" s="195"/>
      <c r="DK41" s="195"/>
      <c r="DL41" s="195"/>
      <c r="DM41" s="195"/>
      <c r="DN41" s="195"/>
      <c r="DO41" s="195"/>
      <c r="DP41" s="195"/>
      <c r="DQ41" s="195"/>
      <c r="DR41" s="195"/>
      <c r="DS41" s="195"/>
      <c r="DT41" s="195"/>
      <c r="DU41" s="195"/>
      <c r="DV41" s="189">
        <f t="shared" si="226"/>
        <v>0</v>
      </c>
      <c r="DW41" s="189">
        <f t="shared" si="227"/>
        <v>0</v>
      </c>
      <c r="DX41" s="189">
        <f t="shared" si="228"/>
        <v>0</v>
      </c>
      <c r="DY41" s="189">
        <f t="shared" si="229"/>
        <v>0</v>
      </c>
      <c r="DZ41" s="189">
        <f t="shared" si="230"/>
        <v>0</v>
      </c>
      <c r="EA41" s="189">
        <f t="shared" si="231"/>
        <v>0</v>
      </c>
      <c r="EB41" s="189">
        <f t="shared" si="137"/>
        <v>0</v>
      </c>
      <c r="EC41" s="195"/>
      <c r="ED41" s="195"/>
      <c r="EE41" s="195"/>
      <c r="EF41" s="195"/>
      <c r="EG41" s="252">
        <f t="shared" si="138"/>
        <v>0</v>
      </c>
      <c r="EH41" s="252">
        <f t="shared" si="139"/>
        <v>0</v>
      </c>
      <c r="EI41" s="189"/>
      <c r="EJ41" s="189"/>
      <c r="EK41" s="189"/>
      <c r="EL41" s="189"/>
      <c r="EM41" s="189"/>
      <c r="EN41" s="189"/>
      <c r="EO41" s="189"/>
      <c r="EP41" s="189"/>
      <c r="EQ41" s="189"/>
      <c r="ER41" s="189"/>
      <c r="ES41" s="189"/>
      <c r="ET41" s="189"/>
      <c r="EU41" s="189"/>
      <c r="EV41" s="189"/>
      <c r="EW41" s="189"/>
      <c r="EX41" s="189"/>
      <c r="EY41" s="189"/>
      <c r="EZ41" s="189"/>
      <c r="FA41" s="189"/>
      <c r="FB41" s="189"/>
      <c r="FC41" s="189"/>
      <c r="FD41" s="189"/>
      <c r="FE41" s="189"/>
      <c r="FF41" s="189"/>
      <c r="FG41" s="195"/>
      <c r="FH41" s="189"/>
      <c r="FI41" s="189"/>
      <c r="FJ41" s="189"/>
      <c r="FK41" s="189"/>
      <c r="FL41" s="189"/>
      <c r="FM41" s="189"/>
      <c r="FN41" s="189"/>
      <c r="FO41" s="189"/>
      <c r="FP41" s="189"/>
      <c r="FQ41" s="189"/>
      <c r="FR41" s="189"/>
      <c r="FS41" s="189"/>
      <c r="FT41" s="189"/>
      <c r="FU41" s="189"/>
      <c r="FV41" s="189"/>
      <c r="FW41" s="195"/>
      <c r="FX41" s="253"/>
      <c r="FY41" s="189">
        <f t="shared" si="140"/>
        <v>0</v>
      </c>
      <c r="FZ41" s="189">
        <f t="shared" si="33"/>
        <v>0</v>
      </c>
      <c r="GA41" s="189">
        <f t="shared" si="34"/>
        <v>0</v>
      </c>
      <c r="GB41" s="189">
        <f t="shared" si="35"/>
        <v>0</v>
      </c>
      <c r="GC41" s="189">
        <f t="shared" si="36"/>
        <v>0</v>
      </c>
      <c r="GD41" s="189">
        <f t="shared" si="37"/>
        <v>0</v>
      </c>
      <c r="GE41" s="189">
        <f t="shared" si="38"/>
        <v>0</v>
      </c>
      <c r="GF41" s="199"/>
      <c r="GG41" s="189">
        <v>0</v>
      </c>
      <c r="GH41" s="189">
        <v>0</v>
      </c>
      <c r="GI41" s="199"/>
      <c r="GJ41" s="200">
        <f t="shared" si="141"/>
        <v>0</v>
      </c>
      <c r="GK41" s="200">
        <f t="shared" si="142"/>
        <v>0</v>
      </c>
      <c r="GL41" s="195"/>
      <c r="GM41" s="195"/>
      <c r="GN41" s="195"/>
      <c r="GO41" s="189">
        <f t="shared" si="39"/>
        <v>0</v>
      </c>
      <c r="GP41" s="189">
        <f t="shared" si="40"/>
        <v>0</v>
      </c>
      <c r="GQ41" s="189">
        <f t="shared" si="41"/>
        <v>0</v>
      </c>
      <c r="GR41" s="189">
        <f t="shared" si="42"/>
        <v>0</v>
      </c>
      <c r="GS41" s="189">
        <f t="shared" si="43"/>
        <v>0</v>
      </c>
      <c r="GT41" s="189">
        <f t="shared" si="143"/>
        <v>1</v>
      </c>
      <c r="GU41" s="201">
        <f t="shared" si="144"/>
        <v>43243</v>
      </c>
      <c r="GV41" s="189" t="str">
        <f t="shared" si="145"/>
        <v>SELESAI</v>
      </c>
      <c r="GW41" s="189">
        <f t="shared" si="146"/>
        <v>0</v>
      </c>
      <c r="GX41" s="202" t="str">
        <f t="shared" si="147"/>
        <v>SELESAI</v>
      </c>
      <c r="GY41" s="202">
        <f t="shared" si="148"/>
        <v>0</v>
      </c>
      <c r="GZ41" s="203" t="str">
        <f t="shared" si="149"/>
        <v>SELESAI</v>
      </c>
      <c r="HA41" s="204"/>
      <c r="HB41" s="204"/>
      <c r="HC41" s="189">
        <f t="shared" si="44"/>
        <v>0</v>
      </c>
      <c r="HD41" s="189">
        <f t="shared" si="45"/>
        <v>0</v>
      </c>
      <c r="HE41" s="189">
        <f t="shared" si="150"/>
        <v>0</v>
      </c>
      <c r="HF41" s="189">
        <f t="shared" si="151"/>
        <v>0</v>
      </c>
      <c r="HG41" s="189">
        <f t="shared" si="152"/>
        <v>0</v>
      </c>
      <c r="HH41" s="201" t="str">
        <f t="shared" si="46"/>
        <v>TIDAK KONSINYASI</v>
      </c>
      <c r="HI41" s="201" t="str">
        <f t="shared" si="153"/>
        <v>SELESAI</v>
      </c>
      <c r="HJ41" s="205"/>
      <c r="HK41" s="201">
        <f t="shared" si="47"/>
        <v>0</v>
      </c>
      <c r="HL41" s="204"/>
      <c r="HM41" s="204"/>
      <c r="HN41" s="204"/>
      <c r="HO41" s="204"/>
      <c r="HP41" s="203">
        <f t="shared" si="154"/>
        <v>0</v>
      </c>
      <c r="HQ41" s="202">
        <f t="shared" si="155"/>
        <v>0</v>
      </c>
      <c r="HR41" s="202">
        <f t="shared" si="48"/>
        <v>0</v>
      </c>
      <c r="HS41" s="203">
        <f t="shared" si="156"/>
        <v>0</v>
      </c>
      <c r="HT41" s="202">
        <f t="shared" si="157"/>
        <v>0</v>
      </c>
      <c r="HU41" s="202">
        <f t="shared" si="49"/>
        <v>0</v>
      </c>
      <c r="HV41" s="203">
        <f t="shared" si="158"/>
        <v>0</v>
      </c>
      <c r="HW41" s="202">
        <f t="shared" si="50"/>
        <v>0</v>
      </c>
      <c r="HX41" s="202">
        <f t="shared" si="51"/>
        <v>0</v>
      </c>
      <c r="HY41" s="203">
        <f t="shared" si="52"/>
        <v>0</v>
      </c>
      <c r="HZ41" s="202">
        <f t="shared" si="159"/>
        <v>0</v>
      </c>
      <c r="IA41" s="202">
        <f t="shared" si="53"/>
        <v>0</v>
      </c>
      <c r="IB41" s="203">
        <f t="shared" si="160"/>
        <v>0</v>
      </c>
      <c r="IC41" s="202">
        <f t="shared" si="54"/>
        <v>0</v>
      </c>
      <c r="ID41" s="202">
        <f t="shared" si="55"/>
        <v>0</v>
      </c>
      <c r="IE41" s="203">
        <f t="shared" si="56"/>
        <v>0</v>
      </c>
      <c r="IF41" s="202">
        <f t="shared" si="57"/>
        <v>0</v>
      </c>
      <c r="IG41" s="202">
        <f t="shared" si="58"/>
        <v>0</v>
      </c>
      <c r="IH41" s="203">
        <f t="shared" si="161"/>
        <v>0</v>
      </c>
      <c r="II41" s="202">
        <f t="shared" si="162"/>
        <v>0</v>
      </c>
      <c r="IJ41" s="202">
        <f t="shared" si="59"/>
        <v>0</v>
      </c>
      <c r="IK41" s="203">
        <f t="shared" si="60"/>
        <v>0</v>
      </c>
      <c r="IL41" s="202">
        <f t="shared" si="61"/>
        <v>0</v>
      </c>
      <c r="IM41" s="202">
        <f t="shared" si="62"/>
        <v>0</v>
      </c>
      <c r="IN41" s="204"/>
      <c r="IO41" s="203">
        <f t="shared" si="63"/>
        <v>0</v>
      </c>
      <c r="IP41" s="202">
        <f t="shared" si="64"/>
        <v>0</v>
      </c>
      <c r="IQ41" s="202">
        <f t="shared" si="65"/>
        <v>0</v>
      </c>
      <c r="IR41" s="204"/>
      <c r="IS41" s="203"/>
      <c r="IT41" s="202">
        <f t="shared" si="66"/>
        <v>1</v>
      </c>
      <c r="IU41" s="202">
        <f t="shared" si="67"/>
        <v>410</v>
      </c>
      <c r="IV41" s="204"/>
      <c r="IW41" s="203"/>
      <c r="IX41" s="202">
        <f t="shared" si="68"/>
        <v>0</v>
      </c>
      <c r="IY41" s="202">
        <f t="shared" si="69"/>
        <v>0</v>
      </c>
      <c r="IZ41" s="204"/>
      <c r="JA41" s="203"/>
      <c r="JB41" s="202">
        <f t="shared" si="70"/>
        <v>0</v>
      </c>
      <c r="JC41" s="202">
        <f t="shared" si="71"/>
        <v>0</v>
      </c>
      <c r="JD41" s="204"/>
      <c r="JE41" s="203"/>
      <c r="JF41" s="202">
        <f t="shared" si="163"/>
        <v>1</v>
      </c>
      <c r="JG41" s="202">
        <f t="shared" si="72"/>
        <v>410</v>
      </c>
      <c r="JH41" s="204"/>
      <c r="JI41" s="203"/>
      <c r="JJ41" s="202">
        <f t="shared" si="73"/>
        <v>0</v>
      </c>
      <c r="JK41" s="202">
        <f t="shared" si="74"/>
        <v>0</v>
      </c>
      <c r="JL41" s="195"/>
      <c r="JM41" s="203">
        <f t="shared" si="164"/>
        <v>0</v>
      </c>
      <c r="JN41" s="195"/>
      <c r="JO41" s="196">
        <f t="shared" si="75"/>
        <v>0</v>
      </c>
      <c r="JP41" s="206">
        <f t="shared" si="76"/>
        <v>0</v>
      </c>
      <c r="JQ41" s="206">
        <f t="shared" si="77"/>
        <v>0</v>
      </c>
      <c r="JR41" s="206">
        <f t="shared" si="78"/>
        <v>0</v>
      </c>
      <c r="JS41" s="206">
        <f t="shared" si="79"/>
        <v>0</v>
      </c>
      <c r="JT41" s="206">
        <f t="shared" si="80"/>
        <v>0</v>
      </c>
      <c r="JU41" s="206">
        <f t="shared" si="81"/>
        <v>0</v>
      </c>
      <c r="JV41" s="206">
        <f t="shared" si="82"/>
        <v>0</v>
      </c>
      <c r="JW41" s="206">
        <f t="shared" si="83"/>
        <v>0</v>
      </c>
      <c r="JX41" s="206">
        <f t="shared" si="84"/>
        <v>0</v>
      </c>
      <c r="JY41" s="206">
        <f t="shared" si="85"/>
        <v>0</v>
      </c>
      <c r="JZ41" s="206">
        <f t="shared" si="86"/>
        <v>0</v>
      </c>
      <c r="KA41" s="206">
        <f t="shared" si="87"/>
        <v>0</v>
      </c>
      <c r="KB41" s="206">
        <f t="shared" si="88"/>
        <v>0</v>
      </c>
      <c r="KC41" s="195"/>
      <c r="KD41" s="206">
        <f t="shared" si="165"/>
        <v>0</v>
      </c>
      <c r="KE41" s="206">
        <f t="shared" si="90"/>
        <v>0</v>
      </c>
      <c r="KF41" s="206">
        <f t="shared" si="91"/>
        <v>0</v>
      </c>
      <c r="KG41" s="206">
        <f t="shared" si="92"/>
        <v>0</v>
      </c>
      <c r="KH41" s="206">
        <f t="shared" si="93"/>
        <v>0</v>
      </c>
      <c r="KI41" s="206">
        <f t="shared" si="94"/>
        <v>0</v>
      </c>
      <c r="KJ41" s="206">
        <f t="shared" si="95"/>
        <v>0</v>
      </c>
      <c r="KK41" s="206">
        <f t="shared" si="96"/>
        <v>0</v>
      </c>
      <c r="KL41" s="206">
        <f t="shared" si="97"/>
        <v>0</v>
      </c>
      <c r="KM41" s="206">
        <f t="shared" si="98"/>
        <v>0</v>
      </c>
      <c r="KN41" s="221">
        <f t="shared" si="99"/>
        <v>0</v>
      </c>
      <c r="KO41" s="221">
        <f t="shared" si="100"/>
        <v>0</v>
      </c>
      <c r="KP41" s="221">
        <f t="shared" si="101"/>
        <v>0</v>
      </c>
      <c r="KQ41" s="221">
        <f t="shared" si="102"/>
        <v>0</v>
      </c>
      <c r="KR41" s="221">
        <f t="shared" si="103"/>
        <v>0</v>
      </c>
      <c r="KS41" s="195"/>
      <c r="KT41" s="195">
        <f t="shared" si="104"/>
        <v>0</v>
      </c>
      <c r="KU41" s="221"/>
      <c r="KV41" s="221"/>
      <c r="KW41" s="221"/>
      <c r="KX41" s="221"/>
      <c r="KY41" s="221"/>
      <c r="KZ41" s="221"/>
      <c r="LA41" s="221"/>
      <c r="LB41" s="221"/>
      <c r="LC41" s="221"/>
      <c r="LD41" s="221"/>
      <c r="LE41" s="221"/>
      <c r="LF41" s="221"/>
      <c r="LG41" s="221"/>
      <c r="LH41" s="221"/>
      <c r="LI41" s="221"/>
      <c r="LJ41" s="221"/>
      <c r="LK41" s="221"/>
      <c r="LL41" s="221"/>
      <c r="LM41" s="221"/>
      <c r="LN41" s="221"/>
      <c r="LO41" s="221"/>
      <c r="LP41" s="221"/>
      <c r="LQ41" s="221"/>
      <c r="LR41" s="221"/>
      <c r="LS41" s="221"/>
      <c r="LT41" s="221"/>
      <c r="LU41" s="221"/>
      <c r="LV41" s="221"/>
      <c r="LW41" s="221"/>
      <c r="LX41" s="221"/>
      <c r="LY41" s="221"/>
      <c r="LZ41" s="221"/>
      <c r="MA41" s="221"/>
      <c r="MB41" s="221"/>
      <c r="MC41" s="221"/>
      <c r="MD41" s="221"/>
      <c r="ME41" s="221"/>
      <c r="MF41" s="221"/>
      <c r="MG41" s="221"/>
      <c r="MH41" s="221"/>
      <c r="MI41" s="221"/>
      <c r="MJ41" s="221"/>
      <c r="MK41" s="221"/>
      <c r="ML41" s="221"/>
      <c r="MM41" s="221"/>
      <c r="MN41" s="221"/>
      <c r="MO41" s="221"/>
      <c r="MP41" s="221"/>
      <c r="MQ41" s="221"/>
      <c r="MR41" s="221"/>
      <c r="MS41" s="221"/>
      <c r="MT41" s="221"/>
      <c r="MU41" s="221"/>
      <c r="MV41" s="221"/>
      <c r="MW41" s="221"/>
      <c r="MX41" s="221"/>
      <c r="MY41" s="221"/>
      <c r="MZ41" s="221"/>
      <c r="NA41" s="221"/>
      <c r="NB41" s="221"/>
      <c r="NC41" s="221"/>
      <c r="ND41" s="221"/>
      <c r="NE41" s="221"/>
      <c r="NF41" s="221"/>
      <c r="NG41" s="221"/>
      <c r="NH41" s="221"/>
      <c r="NI41" s="221"/>
      <c r="NJ41" s="221"/>
      <c r="NK41" s="221"/>
      <c r="NL41" s="195"/>
      <c r="NM41" s="195">
        <f t="shared" si="166"/>
        <v>0</v>
      </c>
      <c r="NN41" s="195">
        <f t="shared" si="167"/>
        <v>0</v>
      </c>
      <c r="NO41" s="195">
        <f t="shared" si="168"/>
        <v>0</v>
      </c>
      <c r="NP41" s="195">
        <f t="shared" si="169"/>
        <v>0</v>
      </c>
      <c r="NQ41" s="195">
        <f t="shared" si="170"/>
        <v>0</v>
      </c>
      <c r="NR41" s="195">
        <f t="shared" si="171"/>
        <v>0</v>
      </c>
      <c r="NS41" s="195">
        <f t="shared" si="172"/>
        <v>0</v>
      </c>
      <c r="NT41" s="195">
        <f t="shared" si="173"/>
        <v>0</v>
      </c>
      <c r="NU41" s="196">
        <f t="shared" si="174"/>
        <v>0</v>
      </c>
      <c r="NV41" s="195"/>
      <c r="NW41" s="195"/>
      <c r="NX41" s="195"/>
      <c r="NY41" s="196">
        <f t="shared" ref="NY41:NY72" si="232">V41</f>
        <v>1</v>
      </c>
      <c r="NZ41" s="222">
        <v>8075000</v>
      </c>
      <c r="OA41" s="195"/>
      <c r="OB41" s="195"/>
      <c r="OC41" s="195"/>
      <c r="OD41" s="195"/>
      <c r="OE41" s="207">
        <f t="shared" ref="OE41:OE72" si="233">D41-J41</f>
        <v>0</v>
      </c>
      <c r="OF41" s="207">
        <f t="shared" ref="OF41:OF72" si="234">D41-N41</f>
        <v>0</v>
      </c>
      <c r="OG41" s="207">
        <f t="shared" ref="OG41:OG72" si="235">AN41</f>
        <v>0</v>
      </c>
      <c r="OH41" s="207">
        <f t="shared" si="175"/>
        <v>0</v>
      </c>
      <c r="OI41" s="207">
        <f t="shared" ref="OI41:OI72" si="236">D41-R41</f>
        <v>0</v>
      </c>
      <c r="OJ41" s="199">
        <f t="shared" si="176"/>
        <v>0</v>
      </c>
      <c r="OK41" s="199">
        <f t="shared" si="177"/>
        <v>0</v>
      </c>
      <c r="OL41" s="199">
        <f t="shared" si="178"/>
        <v>0</v>
      </c>
      <c r="OM41" s="199">
        <f t="shared" si="179"/>
        <v>0</v>
      </c>
      <c r="ON41" s="195"/>
      <c r="OO41" s="207">
        <f t="shared" ref="OO41:OO72" si="237">E41-K41</f>
        <v>0</v>
      </c>
      <c r="OP41" s="207">
        <f t="shared" ref="OP41:OP72" si="238">E41-O41</f>
        <v>0</v>
      </c>
      <c r="OQ41" s="207">
        <f t="shared" si="180"/>
        <v>0</v>
      </c>
      <c r="OR41" s="207">
        <f t="shared" si="181"/>
        <v>0</v>
      </c>
      <c r="OS41" s="207">
        <f t="shared" si="182"/>
        <v>0</v>
      </c>
      <c r="OT41" s="199">
        <f t="shared" si="183"/>
        <v>0</v>
      </c>
      <c r="OU41" s="199">
        <f t="shared" si="184"/>
        <v>0</v>
      </c>
      <c r="OV41" s="199">
        <f t="shared" si="185"/>
        <v>0</v>
      </c>
      <c r="OW41" s="199">
        <f t="shared" si="186"/>
        <v>0</v>
      </c>
      <c r="OX41" s="195"/>
      <c r="OY41" s="195"/>
      <c r="OZ41" s="195"/>
      <c r="PA41" s="209"/>
      <c r="PB41" s="209"/>
      <c r="PC41" s="209"/>
      <c r="PD41" s="210">
        <f t="shared" si="113"/>
        <v>0</v>
      </c>
      <c r="PE41" s="210"/>
      <c r="PF41" s="210">
        <f t="shared" si="114"/>
        <v>0</v>
      </c>
      <c r="PG41" s="210">
        <f t="shared" si="115"/>
        <v>0</v>
      </c>
      <c r="PH41" s="210">
        <f t="shared" si="115"/>
        <v>0</v>
      </c>
      <c r="PI41" s="210">
        <f t="shared" si="115"/>
        <v>0</v>
      </c>
      <c r="PJ41" s="210">
        <f t="shared" si="115"/>
        <v>0</v>
      </c>
      <c r="PK41" s="210">
        <f t="shared" si="115"/>
        <v>0</v>
      </c>
      <c r="PL41" s="210">
        <f t="shared" si="115"/>
        <v>0</v>
      </c>
      <c r="PM41" s="195"/>
      <c r="PN41" s="195"/>
      <c r="PO41" s="212">
        <f t="shared" si="187"/>
        <v>0</v>
      </c>
      <c r="PP41" s="212">
        <f t="shared" si="188"/>
        <v>0</v>
      </c>
      <c r="PQ41" s="212">
        <f t="shared" si="189"/>
        <v>0</v>
      </c>
    </row>
    <row r="42" spans="1:433" ht="16" x14ac:dyDescent="0.2">
      <c r="A42" s="213">
        <f t="shared" si="190"/>
        <v>34</v>
      </c>
      <c r="B42" s="186" t="s">
        <v>116</v>
      </c>
      <c r="C42" s="186">
        <v>35</v>
      </c>
      <c r="D42" s="188">
        <v>1</v>
      </c>
      <c r="E42" s="188">
        <v>141</v>
      </c>
      <c r="F42" s="188">
        <v>1</v>
      </c>
      <c r="G42" s="188">
        <f t="shared" si="116"/>
        <v>141</v>
      </c>
      <c r="H42" s="214">
        <f t="shared" si="203"/>
        <v>1</v>
      </c>
      <c r="I42" s="214">
        <f t="shared" si="204"/>
        <v>1</v>
      </c>
      <c r="J42" s="188">
        <v>1</v>
      </c>
      <c r="K42" s="188">
        <f t="shared" si="205"/>
        <v>141</v>
      </c>
      <c r="L42" s="214">
        <f t="shared" si="206"/>
        <v>1</v>
      </c>
      <c r="M42" s="214">
        <f t="shared" si="207"/>
        <v>1</v>
      </c>
      <c r="N42" s="188">
        <v>1</v>
      </c>
      <c r="O42" s="188">
        <f t="shared" si="208"/>
        <v>141</v>
      </c>
      <c r="P42" s="214">
        <f t="shared" si="209"/>
        <v>1</v>
      </c>
      <c r="Q42" s="214">
        <f t="shared" si="210"/>
        <v>1</v>
      </c>
      <c r="R42" s="188">
        <v>1</v>
      </c>
      <c r="S42" s="188">
        <f t="shared" si="211"/>
        <v>141</v>
      </c>
      <c r="T42" s="214">
        <f t="shared" si="212"/>
        <v>1</v>
      </c>
      <c r="U42" s="214">
        <f t="shared" si="213"/>
        <v>1</v>
      </c>
      <c r="V42" s="188">
        <v>1</v>
      </c>
      <c r="W42" s="188">
        <f t="shared" si="214"/>
        <v>141</v>
      </c>
      <c r="X42" s="214">
        <f t="shared" si="215"/>
        <v>1</v>
      </c>
      <c r="Y42" s="214">
        <f t="shared" si="216"/>
        <v>1</v>
      </c>
      <c r="Z42" s="224">
        <f>1973174000/1000000000</f>
        <v>1.973174</v>
      </c>
      <c r="AA42" s="188"/>
      <c r="AB42" s="189">
        <f t="shared" si="120"/>
        <v>0</v>
      </c>
      <c r="AC42" s="250">
        <f t="shared" si="121"/>
        <v>0</v>
      </c>
      <c r="AD42" s="250">
        <f t="shared" si="122"/>
        <v>0</v>
      </c>
      <c r="AE42" s="188"/>
      <c r="AF42" s="188">
        <f t="shared" si="217"/>
        <v>0</v>
      </c>
      <c r="AG42" s="187"/>
      <c r="AH42" s="187"/>
      <c r="AI42" s="188">
        <v>0</v>
      </c>
      <c r="AJ42" s="188">
        <f t="shared" si="218"/>
        <v>0</v>
      </c>
      <c r="AK42" s="188"/>
      <c r="AL42" s="188">
        <v>0</v>
      </c>
      <c r="AM42" s="188">
        <v>0</v>
      </c>
      <c r="AN42" s="217"/>
      <c r="AO42" s="196">
        <f t="shared" si="123"/>
        <v>0</v>
      </c>
      <c r="AP42" s="195"/>
      <c r="AQ42" s="195"/>
      <c r="AR42" s="195"/>
      <c r="AS42" s="195"/>
      <c r="AT42" s="195"/>
      <c r="AU42" s="195"/>
      <c r="AV42" s="195"/>
      <c r="AW42" s="195"/>
      <c r="AX42" s="195"/>
      <c r="AY42" s="195"/>
      <c r="AZ42" s="195"/>
      <c r="BA42" s="195"/>
      <c r="BB42" s="188">
        <f t="shared" si="219"/>
        <v>0</v>
      </c>
      <c r="BC42" s="195"/>
      <c r="BD42" s="196"/>
      <c r="BE42" s="188">
        <f t="shared" si="220"/>
        <v>0</v>
      </c>
      <c r="BF42" s="188">
        <f t="shared" si="221"/>
        <v>0</v>
      </c>
      <c r="BG42" s="188">
        <f t="shared" si="222"/>
        <v>0</v>
      </c>
      <c r="BH42" s="188">
        <f t="shared" si="223"/>
        <v>0</v>
      </c>
      <c r="BI42" s="188">
        <f t="shared" si="224"/>
        <v>0</v>
      </c>
      <c r="BJ42" s="188">
        <f t="shared" si="225"/>
        <v>0</v>
      </c>
      <c r="BK42" s="188">
        <f t="shared" si="124"/>
        <v>0</v>
      </c>
      <c r="BL42" s="195"/>
      <c r="BM42" s="195"/>
      <c r="BN42" s="277">
        <v>36</v>
      </c>
      <c r="BO42" s="283">
        <v>1</v>
      </c>
      <c r="BP42" s="188"/>
      <c r="BQ42" s="188"/>
      <c r="BR42" s="188"/>
      <c r="BS42" s="188"/>
      <c r="BT42" s="188"/>
      <c r="BU42" s="188"/>
      <c r="BV42" s="188"/>
      <c r="BW42" s="188"/>
      <c r="BX42" s="188"/>
      <c r="BY42" s="188"/>
      <c r="BZ42" s="188"/>
      <c r="CA42" s="195"/>
      <c r="CB42" s="188">
        <v>0</v>
      </c>
      <c r="CC42" s="195"/>
      <c r="CD42" s="189">
        <f t="shared" si="125"/>
        <v>36</v>
      </c>
      <c r="CE42" s="189">
        <f t="shared" si="191"/>
        <v>36</v>
      </c>
      <c r="CF42" s="189">
        <f t="shared" si="126"/>
        <v>0</v>
      </c>
      <c r="CG42" s="189">
        <f t="shared" si="127"/>
        <v>0</v>
      </c>
      <c r="CH42" s="189">
        <f t="shared" si="128"/>
        <v>0</v>
      </c>
      <c r="CI42" s="189">
        <f t="shared" si="129"/>
        <v>0</v>
      </c>
      <c r="CJ42" s="189">
        <f t="shared" si="130"/>
        <v>0</v>
      </c>
      <c r="CK42" s="189">
        <f t="shared" si="131"/>
        <v>0</v>
      </c>
      <c r="CL42" s="189">
        <f t="shared" si="132"/>
        <v>0</v>
      </c>
      <c r="CM42" s="189">
        <f t="shared" si="133"/>
        <v>0</v>
      </c>
      <c r="CN42" s="189">
        <f t="shared" si="134"/>
        <v>0</v>
      </c>
      <c r="CO42" s="189">
        <f t="shared" si="135"/>
        <v>0</v>
      </c>
      <c r="CP42" s="189">
        <f t="shared" si="136"/>
        <v>0</v>
      </c>
      <c r="CQ42" s="195"/>
      <c r="CR42" s="195"/>
      <c r="CS42" s="195"/>
      <c r="CT42" s="195"/>
      <c r="CU42" s="195"/>
      <c r="CV42" s="195"/>
      <c r="CW42" s="195"/>
      <c r="CX42" s="195"/>
      <c r="CY42" s="195"/>
      <c r="CZ42" s="195"/>
      <c r="DA42" s="195"/>
      <c r="DB42" s="195"/>
      <c r="DC42" s="195"/>
      <c r="DD42" s="195"/>
      <c r="DE42" s="195"/>
      <c r="DF42" s="195"/>
      <c r="DG42" s="195"/>
      <c r="DH42" s="195"/>
      <c r="DI42" s="195"/>
      <c r="DJ42" s="195"/>
      <c r="DK42" s="195"/>
      <c r="DL42" s="195"/>
      <c r="DM42" s="195"/>
      <c r="DN42" s="195"/>
      <c r="DO42" s="195"/>
      <c r="DP42" s="195"/>
      <c r="DQ42" s="195"/>
      <c r="DR42" s="195"/>
      <c r="DS42" s="195"/>
      <c r="DT42" s="195"/>
      <c r="DU42" s="195"/>
      <c r="DV42" s="189">
        <f t="shared" si="226"/>
        <v>0</v>
      </c>
      <c r="DW42" s="189">
        <f t="shared" si="227"/>
        <v>0</v>
      </c>
      <c r="DX42" s="189">
        <f t="shared" si="228"/>
        <v>0</v>
      </c>
      <c r="DY42" s="189">
        <f t="shared" si="229"/>
        <v>0</v>
      </c>
      <c r="DZ42" s="189">
        <f t="shared" si="230"/>
        <v>0</v>
      </c>
      <c r="EA42" s="189">
        <f t="shared" si="231"/>
        <v>0</v>
      </c>
      <c r="EB42" s="189">
        <f t="shared" si="137"/>
        <v>0</v>
      </c>
      <c r="EC42" s="195"/>
      <c r="ED42" s="195"/>
      <c r="EE42" s="195"/>
      <c r="EF42" s="195"/>
      <c r="EG42" s="252">
        <f t="shared" si="138"/>
        <v>0</v>
      </c>
      <c r="EH42" s="252">
        <f t="shared" si="139"/>
        <v>0</v>
      </c>
      <c r="EI42" s="189"/>
      <c r="EJ42" s="189"/>
      <c r="EK42" s="189"/>
      <c r="EL42" s="189"/>
      <c r="EM42" s="189"/>
      <c r="EN42" s="189"/>
      <c r="EO42" s="189"/>
      <c r="EP42" s="189"/>
      <c r="EQ42" s="189"/>
      <c r="ER42" s="189"/>
      <c r="ES42" s="189"/>
      <c r="ET42" s="189"/>
      <c r="EU42" s="189"/>
      <c r="EV42" s="189"/>
      <c r="EW42" s="189"/>
      <c r="EX42" s="189"/>
      <c r="EY42" s="189"/>
      <c r="EZ42" s="189"/>
      <c r="FA42" s="189"/>
      <c r="FB42" s="189"/>
      <c r="FC42" s="189"/>
      <c r="FD42" s="189"/>
      <c r="FE42" s="189"/>
      <c r="FF42" s="189"/>
      <c r="FG42" s="195"/>
      <c r="FH42" s="189"/>
      <c r="FI42" s="189"/>
      <c r="FJ42" s="189"/>
      <c r="FK42" s="189"/>
      <c r="FL42" s="189"/>
      <c r="FM42" s="189"/>
      <c r="FN42" s="189"/>
      <c r="FO42" s="189"/>
      <c r="FP42" s="189"/>
      <c r="FQ42" s="189"/>
      <c r="FR42" s="189"/>
      <c r="FS42" s="189"/>
      <c r="FT42" s="189"/>
      <c r="FU42" s="189"/>
      <c r="FV42" s="189"/>
      <c r="FW42" s="195"/>
      <c r="FX42" s="253">
        <v>1</v>
      </c>
      <c r="FY42" s="189">
        <f t="shared" si="140"/>
        <v>36</v>
      </c>
      <c r="FZ42" s="189">
        <f t="shared" si="33"/>
        <v>36</v>
      </c>
      <c r="GA42" s="189">
        <f t="shared" si="34"/>
        <v>0</v>
      </c>
      <c r="GB42" s="189">
        <f t="shared" si="35"/>
        <v>0</v>
      </c>
      <c r="GC42" s="189">
        <f t="shared" si="36"/>
        <v>0</v>
      </c>
      <c r="GD42" s="189">
        <f t="shared" si="37"/>
        <v>0</v>
      </c>
      <c r="GE42" s="189">
        <f t="shared" si="38"/>
        <v>0</v>
      </c>
      <c r="GF42" s="199"/>
      <c r="GG42" s="189">
        <v>0</v>
      </c>
      <c r="GH42" s="189">
        <v>0</v>
      </c>
      <c r="GI42" s="199"/>
      <c r="GJ42" s="200">
        <f t="shared" si="141"/>
        <v>0</v>
      </c>
      <c r="GK42" s="200">
        <f t="shared" si="142"/>
        <v>0</v>
      </c>
      <c r="GL42" s="195"/>
      <c r="GM42" s="195"/>
      <c r="GN42" s="195"/>
      <c r="GO42" s="189">
        <f t="shared" si="39"/>
        <v>0</v>
      </c>
      <c r="GP42" s="189">
        <f t="shared" si="40"/>
        <v>0</v>
      </c>
      <c r="GQ42" s="189">
        <f t="shared" si="41"/>
        <v>0</v>
      </c>
      <c r="GR42" s="189">
        <f t="shared" si="42"/>
        <v>0</v>
      </c>
      <c r="GS42" s="189">
        <f t="shared" si="43"/>
        <v>0</v>
      </c>
      <c r="GT42" s="189">
        <f t="shared" si="143"/>
        <v>1</v>
      </c>
      <c r="GU42" s="201">
        <f t="shared" si="144"/>
        <v>43243</v>
      </c>
      <c r="GV42" s="189" t="str">
        <f t="shared" si="145"/>
        <v>SELESAI</v>
      </c>
      <c r="GW42" s="189">
        <f t="shared" si="146"/>
        <v>0</v>
      </c>
      <c r="GX42" s="202" t="str">
        <f t="shared" si="147"/>
        <v>SELESAI</v>
      </c>
      <c r="GY42" s="202">
        <f t="shared" si="148"/>
        <v>0</v>
      </c>
      <c r="GZ42" s="203" t="str">
        <f t="shared" si="149"/>
        <v>SELESAI</v>
      </c>
      <c r="HA42" s="204"/>
      <c r="HB42" s="204"/>
      <c r="HC42" s="189">
        <f t="shared" si="44"/>
        <v>0</v>
      </c>
      <c r="HD42" s="189">
        <f t="shared" si="45"/>
        <v>0</v>
      </c>
      <c r="HE42" s="189">
        <f t="shared" si="150"/>
        <v>0</v>
      </c>
      <c r="HF42" s="189">
        <f t="shared" si="151"/>
        <v>0</v>
      </c>
      <c r="HG42" s="189">
        <f t="shared" si="152"/>
        <v>0</v>
      </c>
      <c r="HH42" s="201" t="str">
        <f t="shared" si="46"/>
        <v>TIDAK KONSINYASI</v>
      </c>
      <c r="HI42" s="201" t="str">
        <f t="shared" si="153"/>
        <v>SELESAI</v>
      </c>
      <c r="HJ42" s="205"/>
      <c r="HK42" s="201">
        <f t="shared" si="47"/>
        <v>0</v>
      </c>
      <c r="HL42" s="204"/>
      <c r="HM42" s="204"/>
      <c r="HN42" s="204"/>
      <c r="HO42" s="204"/>
      <c r="HP42" s="203">
        <f t="shared" si="154"/>
        <v>0</v>
      </c>
      <c r="HQ42" s="202">
        <f t="shared" si="155"/>
        <v>0</v>
      </c>
      <c r="HR42" s="202">
        <f t="shared" si="48"/>
        <v>0</v>
      </c>
      <c r="HS42" s="203">
        <f t="shared" si="156"/>
        <v>0</v>
      </c>
      <c r="HT42" s="202">
        <f t="shared" si="157"/>
        <v>0</v>
      </c>
      <c r="HU42" s="202">
        <f t="shared" si="49"/>
        <v>0</v>
      </c>
      <c r="HV42" s="203">
        <f t="shared" si="158"/>
        <v>0</v>
      </c>
      <c r="HW42" s="202">
        <f t="shared" si="50"/>
        <v>0</v>
      </c>
      <c r="HX42" s="202">
        <f t="shared" si="51"/>
        <v>0</v>
      </c>
      <c r="HY42" s="203">
        <f t="shared" si="52"/>
        <v>0</v>
      </c>
      <c r="HZ42" s="202">
        <f t="shared" si="159"/>
        <v>0</v>
      </c>
      <c r="IA42" s="202">
        <f t="shared" si="53"/>
        <v>0</v>
      </c>
      <c r="IB42" s="203">
        <f t="shared" si="160"/>
        <v>0</v>
      </c>
      <c r="IC42" s="202">
        <f t="shared" si="54"/>
        <v>0</v>
      </c>
      <c r="ID42" s="202">
        <f t="shared" si="55"/>
        <v>0</v>
      </c>
      <c r="IE42" s="203">
        <f t="shared" si="56"/>
        <v>0</v>
      </c>
      <c r="IF42" s="202">
        <f t="shared" si="57"/>
        <v>0</v>
      </c>
      <c r="IG42" s="202">
        <f t="shared" si="58"/>
        <v>0</v>
      </c>
      <c r="IH42" s="203">
        <f t="shared" si="161"/>
        <v>0</v>
      </c>
      <c r="II42" s="202">
        <f t="shared" si="162"/>
        <v>0</v>
      </c>
      <c r="IJ42" s="202">
        <f t="shared" si="59"/>
        <v>0</v>
      </c>
      <c r="IK42" s="203">
        <f t="shared" si="60"/>
        <v>0</v>
      </c>
      <c r="IL42" s="202">
        <f t="shared" si="61"/>
        <v>0</v>
      </c>
      <c r="IM42" s="202">
        <f t="shared" si="62"/>
        <v>0</v>
      </c>
      <c r="IN42" s="204"/>
      <c r="IO42" s="203">
        <f t="shared" si="63"/>
        <v>0</v>
      </c>
      <c r="IP42" s="202">
        <f t="shared" si="64"/>
        <v>0</v>
      </c>
      <c r="IQ42" s="202">
        <f t="shared" si="65"/>
        <v>0</v>
      </c>
      <c r="IR42" s="204"/>
      <c r="IS42" s="203"/>
      <c r="IT42" s="202">
        <f t="shared" si="66"/>
        <v>1</v>
      </c>
      <c r="IU42" s="202">
        <f t="shared" si="67"/>
        <v>141</v>
      </c>
      <c r="IV42" s="204"/>
      <c r="IW42" s="203"/>
      <c r="IX42" s="202">
        <f t="shared" si="68"/>
        <v>0</v>
      </c>
      <c r="IY42" s="202">
        <f t="shared" si="69"/>
        <v>0</v>
      </c>
      <c r="IZ42" s="204"/>
      <c r="JA42" s="203"/>
      <c r="JB42" s="202">
        <f t="shared" si="70"/>
        <v>0</v>
      </c>
      <c r="JC42" s="202">
        <f t="shared" si="71"/>
        <v>0</v>
      </c>
      <c r="JD42" s="204"/>
      <c r="JE42" s="203"/>
      <c r="JF42" s="202">
        <f t="shared" si="163"/>
        <v>1</v>
      </c>
      <c r="JG42" s="202">
        <f t="shared" si="72"/>
        <v>141</v>
      </c>
      <c r="JH42" s="204"/>
      <c r="JI42" s="203"/>
      <c r="JJ42" s="202">
        <f t="shared" si="73"/>
        <v>0</v>
      </c>
      <c r="JK42" s="202">
        <f t="shared" si="74"/>
        <v>0</v>
      </c>
      <c r="JL42" s="195"/>
      <c r="JM42" s="203">
        <f t="shared" si="164"/>
        <v>0</v>
      </c>
      <c r="JN42" s="195"/>
      <c r="JO42" s="196">
        <f t="shared" si="75"/>
        <v>1</v>
      </c>
      <c r="JP42" s="206">
        <f t="shared" si="76"/>
        <v>36</v>
      </c>
      <c r="JQ42" s="206">
        <f t="shared" si="77"/>
        <v>1</v>
      </c>
      <c r="JR42" s="206">
        <f t="shared" si="78"/>
        <v>0</v>
      </c>
      <c r="JS42" s="206">
        <f t="shared" si="79"/>
        <v>0</v>
      </c>
      <c r="JT42" s="206">
        <f t="shared" si="80"/>
        <v>0</v>
      </c>
      <c r="JU42" s="206">
        <f t="shared" si="81"/>
        <v>0</v>
      </c>
      <c r="JV42" s="206">
        <f t="shared" si="82"/>
        <v>0</v>
      </c>
      <c r="JW42" s="206">
        <f t="shared" si="83"/>
        <v>0</v>
      </c>
      <c r="JX42" s="206">
        <f t="shared" si="84"/>
        <v>0</v>
      </c>
      <c r="JY42" s="206">
        <f t="shared" si="85"/>
        <v>0</v>
      </c>
      <c r="JZ42" s="206">
        <f t="shared" si="86"/>
        <v>0</v>
      </c>
      <c r="KA42" s="206">
        <f t="shared" si="87"/>
        <v>0</v>
      </c>
      <c r="KB42" s="206">
        <f t="shared" si="88"/>
        <v>0</v>
      </c>
      <c r="KC42" s="195"/>
      <c r="KD42" s="206">
        <f t="shared" si="165"/>
        <v>0</v>
      </c>
      <c r="KE42" s="206">
        <f t="shared" si="90"/>
        <v>0</v>
      </c>
      <c r="KF42" s="206">
        <f t="shared" si="91"/>
        <v>36</v>
      </c>
      <c r="KG42" s="206">
        <f t="shared" si="92"/>
        <v>36</v>
      </c>
      <c r="KH42" s="206">
        <f t="shared" si="93"/>
        <v>0</v>
      </c>
      <c r="KI42" s="206">
        <f t="shared" si="94"/>
        <v>0</v>
      </c>
      <c r="KJ42" s="206">
        <f t="shared" si="95"/>
        <v>0</v>
      </c>
      <c r="KK42" s="206">
        <f t="shared" si="96"/>
        <v>0</v>
      </c>
      <c r="KL42" s="206">
        <f t="shared" si="97"/>
        <v>0</v>
      </c>
      <c r="KM42" s="206">
        <f t="shared" si="98"/>
        <v>0</v>
      </c>
      <c r="KN42" s="221">
        <f t="shared" si="99"/>
        <v>0</v>
      </c>
      <c r="KO42" s="221">
        <f t="shared" si="100"/>
        <v>0</v>
      </c>
      <c r="KP42" s="221">
        <f t="shared" si="101"/>
        <v>0</v>
      </c>
      <c r="KQ42" s="221">
        <f t="shared" si="102"/>
        <v>0</v>
      </c>
      <c r="KR42" s="221">
        <f t="shared" si="103"/>
        <v>0</v>
      </c>
      <c r="KS42" s="195"/>
      <c r="KT42" s="195">
        <f t="shared" si="104"/>
        <v>0</v>
      </c>
      <c r="KU42" s="221"/>
      <c r="KV42" s="221"/>
      <c r="KW42" s="221"/>
      <c r="KX42" s="221"/>
      <c r="KY42" s="221"/>
      <c r="KZ42" s="221"/>
      <c r="LA42" s="221"/>
      <c r="LB42" s="221"/>
      <c r="LC42" s="221"/>
      <c r="LD42" s="221"/>
      <c r="LE42" s="221"/>
      <c r="LF42" s="221"/>
      <c r="LG42" s="221"/>
      <c r="LH42" s="221"/>
      <c r="LI42" s="221"/>
      <c r="LJ42" s="221"/>
      <c r="LK42" s="221"/>
      <c r="LL42" s="221"/>
      <c r="LM42" s="221"/>
      <c r="LN42" s="221"/>
      <c r="LO42" s="221"/>
      <c r="LP42" s="221"/>
      <c r="LQ42" s="221"/>
      <c r="LR42" s="221"/>
      <c r="LS42" s="221"/>
      <c r="LT42" s="221"/>
      <c r="LU42" s="221"/>
      <c r="LV42" s="221"/>
      <c r="LW42" s="221"/>
      <c r="LX42" s="221"/>
      <c r="LY42" s="221"/>
      <c r="LZ42" s="221"/>
      <c r="MA42" s="221"/>
      <c r="MB42" s="221"/>
      <c r="MC42" s="221"/>
      <c r="MD42" s="221"/>
      <c r="ME42" s="221"/>
      <c r="MF42" s="221"/>
      <c r="MG42" s="221"/>
      <c r="MH42" s="221"/>
      <c r="MI42" s="221"/>
      <c r="MJ42" s="221"/>
      <c r="MK42" s="221"/>
      <c r="ML42" s="221"/>
      <c r="MM42" s="221"/>
      <c r="MN42" s="221"/>
      <c r="MO42" s="221"/>
      <c r="MP42" s="221"/>
      <c r="MQ42" s="221"/>
      <c r="MR42" s="221"/>
      <c r="MS42" s="221"/>
      <c r="MT42" s="221"/>
      <c r="MU42" s="221"/>
      <c r="MV42" s="221"/>
      <c r="MW42" s="221"/>
      <c r="MX42" s="221"/>
      <c r="MY42" s="221"/>
      <c r="MZ42" s="221"/>
      <c r="NA42" s="221"/>
      <c r="NB42" s="221"/>
      <c r="NC42" s="221"/>
      <c r="ND42" s="221"/>
      <c r="NE42" s="221"/>
      <c r="NF42" s="221"/>
      <c r="NG42" s="221"/>
      <c r="NH42" s="221"/>
      <c r="NI42" s="221"/>
      <c r="NJ42" s="221"/>
      <c r="NK42" s="221"/>
      <c r="NL42" s="195"/>
      <c r="NM42" s="195">
        <f t="shared" si="166"/>
        <v>0</v>
      </c>
      <c r="NN42" s="195">
        <f t="shared" si="167"/>
        <v>0</v>
      </c>
      <c r="NO42" s="195">
        <f t="shared" si="168"/>
        <v>0</v>
      </c>
      <c r="NP42" s="195">
        <f t="shared" si="169"/>
        <v>0</v>
      </c>
      <c r="NQ42" s="195">
        <f t="shared" si="170"/>
        <v>0</v>
      </c>
      <c r="NR42" s="195">
        <f t="shared" si="171"/>
        <v>0</v>
      </c>
      <c r="NS42" s="195">
        <f t="shared" si="172"/>
        <v>0</v>
      </c>
      <c r="NT42" s="195">
        <f t="shared" si="173"/>
        <v>0</v>
      </c>
      <c r="NU42" s="196">
        <f t="shared" si="174"/>
        <v>0</v>
      </c>
      <c r="NV42" s="195"/>
      <c r="NW42" s="195"/>
      <c r="NX42" s="195"/>
      <c r="NY42" s="196">
        <f t="shared" si="232"/>
        <v>1</v>
      </c>
      <c r="NZ42" s="222">
        <v>7996800</v>
      </c>
      <c r="OA42" s="195"/>
      <c r="OB42" s="195"/>
      <c r="OC42" s="195"/>
      <c r="OD42" s="195"/>
      <c r="OE42" s="207">
        <f t="shared" si="233"/>
        <v>0</v>
      </c>
      <c r="OF42" s="207">
        <f t="shared" si="234"/>
        <v>0</v>
      </c>
      <c r="OG42" s="207">
        <f t="shared" si="235"/>
        <v>0</v>
      </c>
      <c r="OH42" s="207">
        <f t="shared" si="175"/>
        <v>0</v>
      </c>
      <c r="OI42" s="207">
        <f t="shared" si="236"/>
        <v>0</v>
      </c>
      <c r="OJ42" s="199">
        <f t="shared" si="176"/>
        <v>0</v>
      </c>
      <c r="OK42" s="199">
        <f t="shared" si="177"/>
        <v>0</v>
      </c>
      <c r="OL42" s="199">
        <f t="shared" si="178"/>
        <v>0</v>
      </c>
      <c r="OM42" s="199">
        <f t="shared" si="179"/>
        <v>0</v>
      </c>
      <c r="ON42" s="195"/>
      <c r="OO42" s="207">
        <f t="shared" si="237"/>
        <v>0</v>
      </c>
      <c r="OP42" s="207">
        <f t="shared" si="238"/>
        <v>0</v>
      </c>
      <c r="OQ42" s="207">
        <f t="shared" si="180"/>
        <v>0</v>
      </c>
      <c r="OR42" s="207">
        <f t="shared" si="181"/>
        <v>0</v>
      </c>
      <c r="OS42" s="207">
        <f t="shared" si="182"/>
        <v>0</v>
      </c>
      <c r="OT42" s="199">
        <f t="shared" si="183"/>
        <v>0</v>
      </c>
      <c r="OU42" s="199">
        <f t="shared" si="184"/>
        <v>0</v>
      </c>
      <c r="OV42" s="199">
        <f t="shared" si="185"/>
        <v>0</v>
      </c>
      <c r="OW42" s="199">
        <f t="shared" si="186"/>
        <v>0</v>
      </c>
      <c r="OX42" s="195"/>
      <c r="OY42" s="195"/>
      <c r="OZ42" s="195"/>
      <c r="PA42" s="209"/>
      <c r="PB42" s="209"/>
      <c r="PC42" s="209"/>
      <c r="PD42" s="210">
        <f t="shared" si="113"/>
        <v>0</v>
      </c>
      <c r="PE42" s="210"/>
      <c r="PF42" s="210">
        <f t="shared" si="114"/>
        <v>0</v>
      </c>
      <c r="PG42" s="210">
        <f t="shared" si="115"/>
        <v>0</v>
      </c>
      <c r="PH42" s="210">
        <f t="shared" si="115"/>
        <v>0</v>
      </c>
      <c r="PI42" s="210">
        <f t="shared" si="115"/>
        <v>0</v>
      </c>
      <c r="PJ42" s="210">
        <f t="shared" si="115"/>
        <v>0</v>
      </c>
      <c r="PK42" s="210">
        <f t="shared" si="115"/>
        <v>0</v>
      </c>
      <c r="PL42" s="210">
        <f t="shared" si="115"/>
        <v>0</v>
      </c>
      <c r="PM42" s="195"/>
      <c r="PN42" s="195"/>
      <c r="PO42" s="212">
        <f t="shared" si="187"/>
        <v>0</v>
      </c>
      <c r="PP42" s="212">
        <f t="shared" si="188"/>
        <v>0</v>
      </c>
      <c r="PQ42" s="212">
        <f t="shared" si="189"/>
        <v>0</v>
      </c>
    </row>
    <row r="43" spans="1:433" ht="16" x14ac:dyDescent="0.2">
      <c r="A43" s="213"/>
      <c r="B43" s="186"/>
      <c r="C43" s="186"/>
      <c r="D43" s="188"/>
      <c r="E43" s="188"/>
      <c r="F43" s="188"/>
      <c r="G43" s="188"/>
      <c r="H43" s="214"/>
      <c r="I43" s="214"/>
      <c r="J43" s="188"/>
      <c r="K43" s="188"/>
      <c r="L43" s="214"/>
      <c r="M43" s="214"/>
      <c r="N43" s="188"/>
      <c r="O43" s="188"/>
      <c r="P43" s="214"/>
      <c r="Q43" s="214"/>
      <c r="R43" s="188"/>
      <c r="S43" s="188"/>
      <c r="T43" s="214"/>
      <c r="U43" s="214"/>
      <c r="V43" s="188"/>
      <c r="W43" s="188"/>
      <c r="X43" s="214"/>
      <c r="Y43" s="214"/>
      <c r="Z43" s="224"/>
      <c r="AA43" s="188"/>
      <c r="AB43" s="189"/>
      <c r="AC43" s="250"/>
      <c r="AD43" s="250"/>
      <c r="AE43" s="188"/>
      <c r="AF43" s="188"/>
      <c r="AG43" s="188"/>
      <c r="AH43" s="188"/>
      <c r="AI43" s="188"/>
      <c r="AJ43" s="188"/>
      <c r="AK43" s="188"/>
      <c r="AL43" s="188"/>
      <c r="AM43" s="188"/>
      <c r="AN43" s="217"/>
      <c r="AO43" s="196">
        <f t="shared" si="123"/>
        <v>0</v>
      </c>
      <c r="AP43" s="195"/>
      <c r="AQ43" s="195"/>
      <c r="AR43" s="195"/>
      <c r="AS43" s="195"/>
      <c r="AT43" s="195"/>
      <c r="AU43" s="195"/>
      <c r="AV43" s="195"/>
      <c r="AW43" s="195"/>
      <c r="AX43" s="195"/>
      <c r="AY43" s="195"/>
      <c r="AZ43" s="195"/>
      <c r="BA43" s="195"/>
      <c r="BB43" s="188"/>
      <c r="BC43" s="195"/>
      <c r="BD43" s="196"/>
      <c r="BE43" s="188"/>
      <c r="BF43" s="188"/>
      <c r="BG43" s="188"/>
      <c r="BH43" s="188"/>
      <c r="BI43" s="188"/>
      <c r="BJ43" s="188"/>
      <c r="BK43" s="188"/>
      <c r="BL43" s="195"/>
      <c r="BM43" s="195"/>
      <c r="BN43" s="143"/>
      <c r="BO43" s="277"/>
      <c r="BP43" s="188"/>
      <c r="BQ43" s="188"/>
      <c r="BR43" s="188"/>
      <c r="BS43" s="188"/>
      <c r="BT43" s="188"/>
      <c r="BU43" s="188"/>
      <c r="BV43" s="188"/>
      <c r="BW43" s="188"/>
      <c r="BX43" s="188"/>
      <c r="BY43" s="188"/>
      <c r="BZ43" s="188"/>
      <c r="CA43" s="195"/>
      <c r="CB43" s="188"/>
      <c r="CC43" s="195"/>
      <c r="CD43" s="189"/>
      <c r="CE43" s="189"/>
      <c r="CF43" s="189"/>
      <c r="CG43" s="189"/>
      <c r="CH43" s="189"/>
      <c r="CI43" s="189"/>
      <c r="CJ43" s="189"/>
      <c r="CK43" s="189"/>
      <c r="CL43" s="189"/>
      <c r="CM43" s="189"/>
      <c r="CN43" s="189"/>
      <c r="CO43" s="189"/>
      <c r="CP43" s="189"/>
      <c r="CQ43" s="195"/>
      <c r="CR43" s="195"/>
      <c r="CS43" s="195"/>
      <c r="CT43" s="195"/>
      <c r="CU43" s="195"/>
      <c r="CV43" s="195"/>
      <c r="CW43" s="195"/>
      <c r="CX43" s="195"/>
      <c r="CY43" s="195"/>
      <c r="CZ43" s="195"/>
      <c r="DA43" s="195"/>
      <c r="DB43" s="195"/>
      <c r="DC43" s="195"/>
      <c r="DD43" s="195"/>
      <c r="DE43" s="195"/>
      <c r="DF43" s="195"/>
      <c r="DG43" s="195"/>
      <c r="DH43" s="195"/>
      <c r="DI43" s="195"/>
      <c r="DJ43" s="195"/>
      <c r="DK43" s="195"/>
      <c r="DL43" s="195"/>
      <c r="DM43" s="195"/>
      <c r="DN43" s="195"/>
      <c r="DO43" s="195"/>
      <c r="DP43" s="195"/>
      <c r="DQ43" s="195"/>
      <c r="DR43" s="195"/>
      <c r="DS43" s="195"/>
      <c r="DT43" s="195"/>
      <c r="DU43" s="195"/>
      <c r="DV43" s="189"/>
      <c r="DW43" s="189"/>
      <c r="DX43" s="189"/>
      <c r="DY43" s="189"/>
      <c r="DZ43" s="189"/>
      <c r="EA43" s="189"/>
      <c r="EB43" s="189"/>
      <c r="EC43" s="195"/>
      <c r="ED43" s="195"/>
      <c r="EE43" s="195"/>
      <c r="EF43" s="195"/>
      <c r="EG43" s="252"/>
      <c r="EH43" s="252"/>
      <c r="EI43" s="189"/>
      <c r="EJ43" s="189"/>
      <c r="EK43" s="189"/>
      <c r="EL43" s="189"/>
      <c r="EM43" s="189"/>
      <c r="EN43" s="189"/>
      <c r="EO43" s="189"/>
      <c r="EP43" s="189"/>
      <c r="EQ43" s="189"/>
      <c r="ER43" s="189"/>
      <c r="ES43" s="189"/>
      <c r="ET43" s="189"/>
      <c r="EU43" s="189"/>
      <c r="EV43" s="189"/>
      <c r="EW43" s="189"/>
      <c r="EX43" s="189"/>
      <c r="EY43" s="189"/>
      <c r="EZ43" s="189"/>
      <c r="FA43" s="189"/>
      <c r="FB43" s="189"/>
      <c r="FC43" s="189"/>
      <c r="FD43" s="189"/>
      <c r="FE43" s="189"/>
      <c r="FF43" s="189"/>
      <c r="FG43" s="195"/>
      <c r="FH43" s="189"/>
      <c r="FI43" s="189"/>
      <c r="FJ43" s="189"/>
      <c r="FK43" s="189"/>
      <c r="FL43" s="189"/>
      <c r="FM43" s="189"/>
      <c r="FN43" s="189"/>
      <c r="FO43" s="189"/>
      <c r="FP43" s="189"/>
      <c r="FQ43" s="189"/>
      <c r="FR43" s="189"/>
      <c r="FS43" s="189"/>
      <c r="FT43" s="189"/>
      <c r="FU43" s="189"/>
      <c r="FV43" s="189"/>
      <c r="FW43" s="195"/>
      <c r="FX43" s="253"/>
      <c r="FY43" s="189"/>
      <c r="FZ43" s="189"/>
      <c r="GA43" s="189"/>
      <c r="GB43" s="189"/>
      <c r="GC43" s="189"/>
      <c r="GD43" s="189"/>
      <c r="GE43" s="189"/>
      <c r="GF43" s="199"/>
      <c r="GG43" s="189"/>
      <c r="GH43" s="189"/>
      <c r="GI43" s="199"/>
      <c r="GJ43" s="200"/>
      <c r="GK43" s="200"/>
      <c r="GL43" s="195"/>
      <c r="GM43" s="195"/>
      <c r="GN43" s="195"/>
      <c r="GO43" s="189"/>
      <c r="GP43" s="189"/>
      <c r="GQ43" s="189"/>
      <c r="GR43" s="189"/>
      <c r="GS43" s="189"/>
      <c r="GT43" s="189"/>
      <c r="GU43" s="201"/>
      <c r="GV43" s="189"/>
      <c r="GW43" s="189"/>
      <c r="GX43" s="202"/>
      <c r="GY43" s="202"/>
      <c r="GZ43" s="203"/>
      <c r="HA43" s="204"/>
      <c r="HB43" s="204"/>
      <c r="HC43" s="189"/>
      <c r="HD43" s="189"/>
      <c r="HE43" s="189"/>
      <c r="HF43" s="189"/>
      <c r="HG43" s="189"/>
      <c r="HH43" s="201"/>
      <c r="HI43" s="201"/>
      <c r="HJ43" s="205"/>
      <c r="HK43" s="201"/>
      <c r="HL43" s="204"/>
      <c r="HM43" s="204"/>
      <c r="HN43" s="204"/>
      <c r="HO43" s="204"/>
      <c r="HP43" s="203"/>
      <c r="HQ43" s="202"/>
      <c r="HR43" s="202"/>
      <c r="HS43" s="203"/>
      <c r="HT43" s="202"/>
      <c r="HU43" s="202"/>
      <c r="HV43" s="203"/>
      <c r="HW43" s="202"/>
      <c r="HX43" s="202"/>
      <c r="HY43" s="203"/>
      <c r="HZ43" s="202"/>
      <c r="IA43" s="202"/>
      <c r="IB43" s="203"/>
      <c r="IC43" s="202"/>
      <c r="ID43" s="202"/>
      <c r="IE43" s="203"/>
      <c r="IF43" s="202"/>
      <c r="IG43" s="202"/>
      <c r="IH43" s="203"/>
      <c r="II43" s="202"/>
      <c r="IJ43" s="202"/>
      <c r="IK43" s="203"/>
      <c r="IL43" s="202"/>
      <c r="IM43" s="202"/>
      <c r="IN43" s="204"/>
      <c r="IO43" s="203"/>
      <c r="IP43" s="202"/>
      <c r="IQ43" s="202"/>
      <c r="IR43" s="204"/>
      <c r="IS43" s="203"/>
      <c r="IT43" s="202"/>
      <c r="IU43" s="202"/>
      <c r="IV43" s="204"/>
      <c r="IW43" s="203"/>
      <c r="IX43" s="202"/>
      <c r="IY43" s="202"/>
      <c r="IZ43" s="204"/>
      <c r="JA43" s="203"/>
      <c r="JB43" s="202"/>
      <c r="JC43" s="202"/>
      <c r="JD43" s="204"/>
      <c r="JE43" s="203"/>
      <c r="JF43" s="202"/>
      <c r="JG43" s="202"/>
      <c r="JH43" s="204"/>
      <c r="JI43" s="203"/>
      <c r="JJ43" s="202"/>
      <c r="JK43" s="202"/>
      <c r="JL43" s="195"/>
      <c r="JM43" s="203"/>
      <c r="JN43" s="195"/>
      <c r="JO43" s="196"/>
      <c r="JP43" s="206"/>
      <c r="JQ43" s="206"/>
      <c r="JR43" s="206"/>
      <c r="JS43" s="206"/>
      <c r="JT43" s="206"/>
      <c r="JU43" s="206"/>
      <c r="JV43" s="206"/>
      <c r="JW43" s="206"/>
      <c r="JX43" s="206"/>
      <c r="JY43" s="206"/>
      <c r="JZ43" s="206"/>
      <c r="KA43" s="206"/>
      <c r="KB43" s="206"/>
      <c r="KC43" s="195"/>
      <c r="KD43" s="206">
        <f t="shared" si="165"/>
        <v>0</v>
      </c>
      <c r="KE43" s="206">
        <f t="shared" si="90"/>
        <v>0</v>
      </c>
      <c r="KF43" s="206"/>
      <c r="KG43" s="206"/>
      <c r="KH43" s="206"/>
      <c r="KI43" s="206"/>
      <c r="KJ43" s="206"/>
      <c r="KK43" s="206"/>
      <c r="KL43" s="206"/>
      <c r="KM43" s="206"/>
      <c r="KN43" s="221"/>
      <c r="KO43" s="221"/>
      <c r="KP43" s="221"/>
      <c r="KQ43" s="221"/>
      <c r="KR43" s="221"/>
      <c r="KS43" s="195"/>
      <c r="KT43" s="195"/>
      <c r="KU43" s="221"/>
      <c r="KV43" s="221"/>
      <c r="KW43" s="221"/>
      <c r="KX43" s="221"/>
      <c r="KY43" s="221"/>
      <c r="KZ43" s="221"/>
      <c r="LA43" s="221"/>
      <c r="LB43" s="221"/>
      <c r="LC43" s="221"/>
      <c r="LD43" s="221"/>
      <c r="LE43" s="221"/>
      <c r="LF43" s="221"/>
      <c r="LG43" s="221"/>
      <c r="LH43" s="221"/>
      <c r="LI43" s="221"/>
      <c r="LJ43" s="221"/>
      <c r="LK43" s="221"/>
      <c r="LL43" s="221"/>
      <c r="LM43" s="221"/>
      <c r="LN43" s="221"/>
      <c r="LO43" s="221"/>
      <c r="LP43" s="221"/>
      <c r="LQ43" s="221"/>
      <c r="LR43" s="221"/>
      <c r="LS43" s="221"/>
      <c r="LT43" s="221"/>
      <c r="LU43" s="221"/>
      <c r="LV43" s="221"/>
      <c r="LW43" s="221"/>
      <c r="LX43" s="221"/>
      <c r="LY43" s="221"/>
      <c r="LZ43" s="221"/>
      <c r="MA43" s="221"/>
      <c r="MB43" s="221"/>
      <c r="MC43" s="221"/>
      <c r="MD43" s="221"/>
      <c r="ME43" s="221"/>
      <c r="MF43" s="221"/>
      <c r="MG43" s="221"/>
      <c r="MH43" s="221"/>
      <c r="MI43" s="221"/>
      <c r="MJ43" s="221"/>
      <c r="MK43" s="221"/>
      <c r="ML43" s="221"/>
      <c r="MM43" s="221"/>
      <c r="MN43" s="221"/>
      <c r="MO43" s="221"/>
      <c r="MP43" s="221"/>
      <c r="MQ43" s="221"/>
      <c r="MR43" s="221"/>
      <c r="MS43" s="221"/>
      <c r="MT43" s="221"/>
      <c r="MU43" s="221"/>
      <c r="MV43" s="221"/>
      <c r="MW43" s="221"/>
      <c r="MX43" s="221"/>
      <c r="MY43" s="221"/>
      <c r="MZ43" s="221"/>
      <c r="NA43" s="221"/>
      <c r="NB43" s="221"/>
      <c r="NC43" s="221"/>
      <c r="ND43" s="221"/>
      <c r="NE43" s="221"/>
      <c r="NF43" s="221"/>
      <c r="NG43" s="221"/>
      <c r="NH43" s="221"/>
      <c r="NI43" s="221"/>
      <c r="NJ43" s="221"/>
      <c r="NK43" s="221"/>
      <c r="NL43" s="195"/>
      <c r="NM43" s="195"/>
      <c r="NN43" s="195"/>
      <c r="NO43" s="195"/>
      <c r="NP43" s="195"/>
      <c r="NQ43" s="195"/>
      <c r="NR43" s="195"/>
      <c r="NS43" s="195"/>
      <c r="NT43" s="195"/>
      <c r="NU43" s="196"/>
      <c r="NV43" s="195"/>
      <c r="NW43" s="195"/>
      <c r="NX43" s="195"/>
      <c r="NY43" s="196">
        <f t="shared" si="232"/>
        <v>0</v>
      </c>
      <c r="NZ43" s="222"/>
      <c r="OA43" s="195"/>
      <c r="OB43" s="195"/>
      <c r="OC43" s="195"/>
      <c r="OD43" s="195"/>
      <c r="OE43" s="207">
        <f t="shared" si="233"/>
        <v>0</v>
      </c>
      <c r="OF43" s="207">
        <f t="shared" si="234"/>
        <v>0</v>
      </c>
      <c r="OG43" s="207">
        <f t="shared" si="235"/>
        <v>0</v>
      </c>
      <c r="OH43" s="207">
        <f t="shared" si="175"/>
        <v>0</v>
      </c>
      <c r="OI43" s="207">
        <f t="shared" si="236"/>
        <v>0</v>
      </c>
      <c r="OJ43" s="199">
        <f t="shared" si="176"/>
        <v>0</v>
      </c>
      <c r="OK43" s="199">
        <f t="shared" si="177"/>
        <v>0</v>
      </c>
      <c r="OL43" s="199">
        <f t="shared" si="178"/>
        <v>0</v>
      </c>
      <c r="OM43" s="199">
        <f t="shared" si="179"/>
        <v>0</v>
      </c>
      <c r="ON43" s="195"/>
      <c r="OO43" s="207">
        <f t="shared" si="237"/>
        <v>0</v>
      </c>
      <c r="OP43" s="207">
        <f t="shared" si="238"/>
        <v>0</v>
      </c>
      <c r="OQ43" s="207">
        <f t="shared" si="180"/>
        <v>0</v>
      </c>
      <c r="OR43" s="207">
        <f t="shared" si="181"/>
        <v>0</v>
      </c>
      <c r="OS43" s="207">
        <f t="shared" si="182"/>
        <v>0</v>
      </c>
      <c r="OT43" s="199">
        <f t="shared" si="183"/>
        <v>0</v>
      </c>
      <c r="OU43" s="199">
        <f t="shared" si="184"/>
        <v>0</v>
      </c>
      <c r="OV43" s="199">
        <f t="shared" si="185"/>
        <v>0</v>
      </c>
      <c r="OW43" s="199">
        <f t="shared" si="186"/>
        <v>0</v>
      </c>
      <c r="OX43" s="195"/>
      <c r="OY43" s="195"/>
      <c r="OZ43" s="195"/>
      <c r="PA43" s="209"/>
      <c r="PB43" s="209"/>
      <c r="PC43" s="209"/>
      <c r="PD43" s="210">
        <f t="shared" si="113"/>
        <v>0</v>
      </c>
      <c r="PE43" s="210"/>
      <c r="PF43" s="210">
        <f t="shared" si="114"/>
        <v>0</v>
      </c>
      <c r="PG43" s="210">
        <f t="shared" si="115"/>
        <v>0</v>
      </c>
      <c r="PH43" s="210">
        <f t="shared" si="115"/>
        <v>0</v>
      </c>
      <c r="PI43" s="210">
        <f t="shared" si="115"/>
        <v>0</v>
      </c>
      <c r="PJ43" s="210">
        <f t="shared" si="115"/>
        <v>0</v>
      </c>
      <c r="PK43" s="210">
        <f t="shared" si="115"/>
        <v>0</v>
      </c>
      <c r="PL43" s="210">
        <f t="shared" si="115"/>
        <v>0</v>
      </c>
      <c r="PM43" s="195"/>
      <c r="PN43" s="195"/>
      <c r="PO43" s="212">
        <f t="shared" si="187"/>
        <v>0</v>
      </c>
      <c r="PP43" s="212">
        <f t="shared" si="188"/>
        <v>0</v>
      </c>
      <c r="PQ43" s="212">
        <f t="shared" si="189"/>
        <v>0</v>
      </c>
    </row>
    <row r="44" spans="1:433" ht="16" x14ac:dyDescent="0.2">
      <c r="A44" s="213">
        <f>A42+1</f>
        <v>35</v>
      </c>
      <c r="B44" s="186" t="s">
        <v>481</v>
      </c>
      <c r="C44" s="186">
        <v>37</v>
      </c>
      <c r="D44" s="188">
        <v>1</v>
      </c>
      <c r="E44" s="188">
        <v>38</v>
      </c>
      <c r="F44" s="188">
        <v>1</v>
      </c>
      <c r="G44" s="188">
        <f t="shared" ref="G44:G87" si="239">E44</f>
        <v>38</v>
      </c>
      <c r="H44" s="214">
        <f t="shared" si="203"/>
        <v>1</v>
      </c>
      <c r="I44" s="214">
        <f t="shared" si="204"/>
        <v>1</v>
      </c>
      <c r="J44" s="188">
        <v>1</v>
      </c>
      <c r="K44" s="188">
        <f t="shared" si="205"/>
        <v>38</v>
      </c>
      <c r="L44" s="214">
        <f t="shared" si="206"/>
        <v>1</v>
      </c>
      <c r="M44" s="214">
        <f t="shared" si="207"/>
        <v>1</v>
      </c>
      <c r="N44" s="188">
        <v>1</v>
      </c>
      <c r="O44" s="188">
        <f t="shared" si="208"/>
        <v>38</v>
      </c>
      <c r="P44" s="214">
        <f t="shared" si="209"/>
        <v>1</v>
      </c>
      <c r="Q44" s="214">
        <f t="shared" si="210"/>
        <v>1</v>
      </c>
      <c r="R44" s="188">
        <v>1</v>
      </c>
      <c r="S44" s="188">
        <f t="shared" si="211"/>
        <v>38</v>
      </c>
      <c r="T44" s="214">
        <f t="shared" si="212"/>
        <v>1</v>
      </c>
      <c r="U44" s="214">
        <f t="shared" si="213"/>
        <v>1</v>
      </c>
      <c r="V44" s="188">
        <v>1</v>
      </c>
      <c r="W44" s="188">
        <f t="shared" si="214"/>
        <v>38</v>
      </c>
      <c r="X44" s="214">
        <f t="shared" si="215"/>
        <v>1</v>
      </c>
      <c r="Y44" s="214">
        <f t="shared" si="216"/>
        <v>1</v>
      </c>
      <c r="Z44" s="224">
        <f>497237000/1000000000</f>
        <v>0.49723699999999998</v>
      </c>
      <c r="AA44" s="188"/>
      <c r="AB44" s="189">
        <f t="shared" si="120"/>
        <v>0</v>
      </c>
      <c r="AC44" s="250">
        <f t="shared" si="121"/>
        <v>0</v>
      </c>
      <c r="AD44" s="250">
        <f t="shared" si="122"/>
        <v>0</v>
      </c>
      <c r="AE44" s="188"/>
      <c r="AF44" s="188">
        <f t="shared" si="217"/>
        <v>0</v>
      </c>
      <c r="AG44" s="187"/>
      <c r="AH44" s="187"/>
      <c r="AI44" s="188">
        <v>0</v>
      </c>
      <c r="AJ44" s="188">
        <f t="shared" si="218"/>
        <v>0</v>
      </c>
      <c r="AK44" s="188"/>
      <c r="AL44" s="188">
        <v>0</v>
      </c>
      <c r="AM44" s="188">
        <v>0</v>
      </c>
      <c r="AN44" s="217"/>
      <c r="AO44" s="196">
        <f t="shared" si="123"/>
        <v>0</v>
      </c>
      <c r="AP44" s="195"/>
      <c r="AQ44" s="195"/>
      <c r="AR44" s="195"/>
      <c r="AS44" s="195"/>
      <c r="AT44" s="195"/>
      <c r="AU44" s="195"/>
      <c r="AV44" s="195"/>
      <c r="AW44" s="195"/>
      <c r="AX44" s="195"/>
      <c r="AY44" s="195"/>
      <c r="AZ44" s="195"/>
      <c r="BA44" s="195"/>
      <c r="BB44" s="188">
        <f t="shared" si="219"/>
        <v>0</v>
      </c>
      <c r="BC44" s="195"/>
      <c r="BD44" s="196"/>
      <c r="BE44" s="188">
        <f t="shared" si="220"/>
        <v>0</v>
      </c>
      <c r="BF44" s="188">
        <f t="shared" si="221"/>
        <v>0</v>
      </c>
      <c r="BG44" s="188">
        <f t="shared" si="222"/>
        <v>0</v>
      </c>
      <c r="BH44" s="188">
        <f t="shared" si="223"/>
        <v>0</v>
      </c>
      <c r="BI44" s="188">
        <f t="shared" si="224"/>
        <v>0</v>
      </c>
      <c r="BJ44" s="188">
        <f t="shared" si="225"/>
        <v>0</v>
      </c>
      <c r="BK44" s="188">
        <f t="shared" si="124"/>
        <v>0</v>
      </c>
      <c r="BL44" s="195"/>
      <c r="BM44" s="195"/>
      <c r="BN44" s="143">
        <v>33</v>
      </c>
      <c r="BO44" s="277">
        <v>1</v>
      </c>
      <c r="BP44" s="188"/>
      <c r="BQ44" s="188"/>
      <c r="BR44" s="188"/>
      <c r="BS44" s="188"/>
      <c r="BT44" s="188"/>
      <c r="BU44" s="188"/>
      <c r="BV44" s="188"/>
      <c r="BW44" s="188"/>
      <c r="BX44" s="188"/>
      <c r="BY44" s="188"/>
      <c r="BZ44" s="188"/>
      <c r="CA44" s="195"/>
      <c r="CB44" s="188">
        <v>0</v>
      </c>
      <c r="CC44" s="195"/>
      <c r="CD44" s="189">
        <f t="shared" si="125"/>
        <v>33</v>
      </c>
      <c r="CE44" s="189">
        <f t="shared" si="191"/>
        <v>33</v>
      </c>
      <c r="CF44" s="189">
        <f t="shared" si="126"/>
        <v>0</v>
      </c>
      <c r="CG44" s="189">
        <f t="shared" si="127"/>
        <v>0</v>
      </c>
      <c r="CH44" s="189">
        <f t="shared" si="128"/>
        <v>0</v>
      </c>
      <c r="CI44" s="189">
        <f t="shared" si="129"/>
        <v>0</v>
      </c>
      <c r="CJ44" s="189">
        <f t="shared" si="130"/>
        <v>0</v>
      </c>
      <c r="CK44" s="189">
        <f t="shared" si="131"/>
        <v>0</v>
      </c>
      <c r="CL44" s="189">
        <f t="shared" si="132"/>
        <v>0</v>
      </c>
      <c r="CM44" s="189">
        <f t="shared" si="133"/>
        <v>0</v>
      </c>
      <c r="CN44" s="189">
        <f t="shared" si="134"/>
        <v>0</v>
      </c>
      <c r="CO44" s="189">
        <f t="shared" si="135"/>
        <v>0</v>
      </c>
      <c r="CP44" s="189">
        <f t="shared" si="136"/>
        <v>0</v>
      </c>
      <c r="CQ44" s="195"/>
      <c r="CR44" s="195"/>
      <c r="CS44" s="195"/>
      <c r="CT44" s="195"/>
      <c r="CU44" s="195"/>
      <c r="CV44" s="195"/>
      <c r="CW44" s="195"/>
      <c r="CX44" s="195"/>
      <c r="CY44" s="195"/>
      <c r="CZ44" s="195"/>
      <c r="DA44" s="195"/>
      <c r="DB44" s="195"/>
      <c r="DC44" s="195"/>
      <c r="DD44" s="195"/>
      <c r="DE44" s="195"/>
      <c r="DF44" s="195"/>
      <c r="DG44" s="195"/>
      <c r="DH44" s="195"/>
      <c r="DI44" s="195"/>
      <c r="DJ44" s="195"/>
      <c r="DK44" s="195"/>
      <c r="DL44" s="195"/>
      <c r="DM44" s="195"/>
      <c r="DN44" s="195"/>
      <c r="DO44" s="195"/>
      <c r="DP44" s="195"/>
      <c r="DQ44" s="195"/>
      <c r="DR44" s="195"/>
      <c r="DS44" s="195"/>
      <c r="DT44" s="195"/>
      <c r="DU44" s="195"/>
      <c r="DV44" s="189">
        <f t="shared" si="226"/>
        <v>0</v>
      </c>
      <c r="DW44" s="189">
        <f t="shared" si="227"/>
        <v>0</v>
      </c>
      <c r="DX44" s="189">
        <f t="shared" si="228"/>
        <v>0</v>
      </c>
      <c r="DY44" s="189">
        <f t="shared" si="229"/>
        <v>0</v>
      </c>
      <c r="DZ44" s="189">
        <f t="shared" si="230"/>
        <v>0</v>
      </c>
      <c r="EA44" s="189">
        <f t="shared" si="231"/>
        <v>0</v>
      </c>
      <c r="EB44" s="189">
        <f t="shared" si="137"/>
        <v>0</v>
      </c>
      <c r="EC44" s="195"/>
      <c r="ED44" s="195"/>
      <c r="EE44" s="195"/>
      <c r="EF44" s="195"/>
      <c r="EG44" s="252">
        <f t="shared" si="138"/>
        <v>0</v>
      </c>
      <c r="EH44" s="252">
        <f t="shared" si="139"/>
        <v>0</v>
      </c>
      <c r="EI44" s="189"/>
      <c r="EJ44" s="189"/>
      <c r="EK44" s="189"/>
      <c r="EL44" s="189"/>
      <c r="EM44" s="189"/>
      <c r="EN44" s="189"/>
      <c r="EO44" s="189"/>
      <c r="EP44" s="189"/>
      <c r="EQ44" s="189"/>
      <c r="ER44" s="189"/>
      <c r="ES44" s="189"/>
      <c r="ET44" s="189"/>
      <c r="EU44" s="189"/>
      <c r="EV44" s="189"/>
      <c r="EW44" s="189"/>
      <c r="EX44" s="189"/>
      <c r="EY44" s="189"/>
      <c r="EZ44" s="189"/>
      <c r="FA44" s="189"/>
      <c r="FB44" s="189"/>
      <c r="FC44" s="189"/>
      <c r="FD44" s="189"/>
      <c r="FE44" s="189"/>
      <c r="FF44" s="189"/>
      <c r="FG44" s="195"/>
      <c r="FH44" s="189"/>
      <c r="FI44" s="189"/>
      <c r="FJ44" s="189"/>
      <c r="FK44" s="189"/>
      <c r="FL44" s="189"/>
      <c r="FM44" s="189"/>
      <c r="FN44" s="189"/>
      <c r="FO44" s="189"/>
      <c r="FP44" s="189"/>
      <c r="FQ44" s="189"/>
      <c r="FR44" s="189"/>
      <c r="FS44" s="189"/>
      <c r="FT44" s="189"/>
      <c r="FU44" s="189"/>
      <c r="FV44" s="189"/>
      <c r="FW44" s="195"/>
      <c r="FX44" s="253">
        <v>1</v>
      </c>
      <c r="FY44" s="189">
        <f t="shared" si="140"/>
        <v>33</v>
      </c>
      <c r="FZ44" s="189">
        <f t="shared" ref="FZ44:FZ54" si="240">DI44+CE44</f>
        <v>33</v>
      </c>
      <c r="GA44" s="189">
        <f t="shared" ref="GA44:GA54" si="241">DJ44+CF44</f>
        <v>0</v>
      </c>
      <c r="GB44" s="189">
        <f t="shared" ref="GB44:GB54" si="242">DK44+CG44</f>
        <v>0</v>
      </c>
      <c r="GC44" s="189">
        <f t="shared" ref="GC44:GC54" si="243">DM44+CI44</f>
        <v>0</v>
      </c>
      <c r="GD44" s="189">
        <f t="shared" ref="GD44:GD54" si="244">DO44+CK44</f>
        <v>0</v>
      </c>
      <c r="GE44" s="189">
        <f t="shared" ref="GE44:GE54" si="245">DT44+CP44</f>
        <v>0</v>
      </c>
      <c r="GF44" s="199"/>
      <c r="GG44" s="189">
        <v>0</v>
      </c>
      <c r="GH44" s="189">
        <v>0</v>
      </c>
      <c r="GI44" s="199"/>
      <c r="GJ44" s="200">
        <f t="shared" si="141"/>
        <v>0</v>
      </c>
      <c r="GK44" s="200">
        <f t="shared" si="142"/>
        <v>0</v>
      </c>
      <c r="GL44" s="195"/>
      <c r="GM44" s="195"/>
      <c r="GN44" s="195"/>
      <c r="GO44" s="189">
        <f t="shared" ref="GO44:GO86" si="246">D44-F44</f>
        <v>0</v>
      </c>
      <c r="GP44" s="189">
        <f t="shared" ref="GP44:GP86" si="247">D44-J44</f>
        <v>0</v>
      </c>
      <c r="GQ44" s="189">
        <f t="shared" ref="GQ44:GQ86" si="248">D44-N44</f>
        <v>0</v>
      </c>
      <c r="GR44" s="189">
        <f t="shared" ref="GR44:GR86" si="249">D44-R44</f>
        <v>0</v>
      </c>
      <c r="GS44" s="189">
        <f t="shared" ref="GS44:GS86" si="250">D44-V44</f>
        <v>0</v>
      </c>
      <c r="GT44" s="189">
        <f t="shared" si="143"/>
        <v>1</v>
      </c>
      <c r="GU44" s="201">
        <f t="shared" si="144"/>
        <v>43243</v>
      </c>
      <c r="GV44" s="189" t="str">
        <f t="shared" si="145"/>
        <v>SELESAI</v>
      </c>
      <c r="GW44" s="189">
        <f t="shared" si="146"/>
        <v>0</v>
      </c>
      <c r="GX44" s="202" t="str">
        <f t="shared" si="147"/>
        <v>SELESAI</v>
      </c>
      <c r="GY44" s="202">
        <f t="shared" si="148"/>
        <v>0</v>
      </c>
      <c r="GZ44" s="203" t="str">
        <f t="shared" si="149"/>
        <v>SELESAI</v>
      </c>
      <c r="HA44" s="204"/>
      <c r="HB44" s="204"/>
      <c r="HC44" s="189">
        <f t="shared" ref="HC44:HC86" si="251">IF(BH44&gt;0,1,IF(BI44&gt;0,1,0))</f>
        <v>0</v>
      </c>
      <c r="HD44" s="189">
        <f t="shared" ref="HD44:HD86" si="252">IF(CB44&gt;0,1,0)</f>
        <v>0</v>
      </c>
      <c r="HE44" s="189">
        <f t="shared" si="150"/>
        <v>0</v>
      </c>
      <c r="HF44" s="189">
        <f t="shared" si="151"/>
        <v>0</v>
      </c>
      <c r="HG44" s="189">
        <f t="shared" si="152"/>
        <v>0</v>
      </c>
      <c r="HH44" s="201" t="str">
        <f t="shared" si="46"/>
        <v>TIDAK KONSINYASI</v>
      </c>
      <c r="HI44" s="201" t="str">
        <f t="shared" si="153"/>
        <v>SELESAI</v>
      </c>
      <c r="HJ44" s="205"/>
      <c r="HK44" s="201">
        <f t="shared" si="47"/>
        <v>0</v>
      </c>
      <c r="HL44" s="204"/>
      <c r="HM44" s="204"/>
      <c r="HN44" s="204"/>
      <c r="HO44" s="204"/>
      <c r="HP44" s="203">
        <f t="shared" si="154"/>
        <v>0</v>
      </c>
      <c r="HQ44" s="202">
        <f t="shared" si="155"/>
        <v>0</v>
      </c>
      <c r="HR44" s="202">
        <f t="shared" ref="HR44:HR86" si="253">IF(HQ44=1,E44,0)</f>
        <v>0</v>
      </c>
      <c r="HS44" s="203">
        <f t="shared" si="156"/>
        <v>0</v>
      </c>
      <c r="HT44" s="202">
        <f t="shared" si="157"/>
        <v>0</v>
      </c>
      <c r="HU44" s="202">
        <f t="shared" ref="HU44:HU86" si="254">IF(HT44=1,E44,0)</f>
        <v>0</v>
      </c>
      <c r="HV44" s="203">
        <f t="shared" si="158"/>
        <v>0</v>
      </c>
      <c r="HW44" s="202">
        <f t="shared" si="50"/>
        <v>0</v>
      </c>
      <c r="HX44" s="202">
        <f t="shared" ref="HX44:HX86" si="255">IF(HW44=1,E44,0)</f>
        <v>0</v>
      </c>
      <c r="HY44" s="203">
        <f t="shared" si="52"/>
        <v>0</v>
      </c>
      <c r="HZ44" s="202">
        <f t="shared" si="159"/>
        <v>0</v>
      </c>
      <c r="IA44" s="202">
        <f t="shared" ref="IA44:IA86" si="256">IF(HZ44=1,E44,0)</f>
        <v>0</v>
      </c>
      <c r="IB44" s="203">
        <f t="shared" si="160"/>
        <v>0</v>
      </c>
      <c r="IC44" s="202">
        <f t="shared" si="54"/>
        <v>0</v>
      </c>
      <c r="ID44" s="202">
        <f t="shared" ref="ID44:ID86" si="257">IF(IC44=1,E44,0)</f>
        <v>0</v>
      </c>
      <c r="IE44" s="203">
        <f t="shared" si="56"/>
        <v>0</v>
      </c>
      <c r="IF44" s="202">
        <f t="shared" si="57"/>
        <v>0</v>
      </c>
      <c r="IG44" s="202">
        <f t="shared" ref="IG44:IG86" si="258">IF(IF44=1,E44,0)</f>
        <v>0</v>
      </c>
      <c r="IH44" s="203">
        <f t="shared" si="161"/>
        <v>0</v>
      </c>
      <c r="II44" s="202">
        <f t="shared" si="162"/>
        <v>0</v>
      </c>
      <c r="IJ44" s="202">
        <f t="shared" ref="IJ44:IJ86" si="259">IF(II44=1,E44,0)</f>
        <v>0</v>
      </c>
      <c r="IK44" s="203">
        <f t="shared" si="60"/>
        <v>0</v>
      </c>
      <c r="IL44" s="202">
        <f t="shared" si="61"/>
        <v>0</v>
      </c>
      <c r="IM44" s="202">
        <f t="shared" ref="IM44:IM86" si="260">IF(IL44=1,E44,0)</f>
        <v>0</v>
      </c>
      <c r="IN44" s="204"/>
      <c r="IO44" s="203">
        <f t="shared" si="63"/>
        <v>0</v>
      </c>
      <c r="IP44" s="202">
        <f t="shared" ref="IP44:IP86" si="261">IF(BG44&gt;0,1,0)</f>
        <v>0</v>
      </c>
      <c r="IQ44" s="202">
        <f t="shared" ref="IQ44:IQ86" si="262">IF(IP44=1,E44,0)</f>
        <v>0</v>
      </c>
      <c r="IR44" s="204"/>
      <c r="IS44" s="203"/>
      <c r="IT44" s="202">
        <f t="shared" ref="IT44:IT86" si="263">V44</f>
        <v>1</v>
      </c>
      <c r="IU44" s="202">
        <f t="shared" ref="IU44:IU86" si="264">W44</f>
        <v>38</v>
      </c>
      <c r="IV44" s="204"/>
      <c r="IW44" s="203"/>
      <c r="IX44" s="202">
        <f t="shared" ref="IX44:IX86" si="265">AA44</f>
        <v>0</v>
      </c>
      <c r="IY44" s="202">
        <f t="shared" ref="IY44:IY86" si="266">AB44</f>
        <v>0</v>
      </c>
      <c r="IZ44" s="204"/>
      <c r="JA44" s="203"/>
      <c r="JB44" s="202">
        <f t="shared" ref="JB44:JB86" si="267">AN44</f>
        <v>0</v>
      </c>
      <c r="JC44" s="202">
        <f t="shared" ref="JC44:JC86" si="268">BB44</f>
        <v>0</v>
      </c>
      <c r="JD44" s="204"/>
      <c r="JE44" s="203"/>
      <c r="JF44" s="202">
        <f t="shared" si="163"/>
        <v>1</v>
      </c>
      <c r="JG44" s="202">
        <f t="shared" si="72"/>
        <v>38</v>
      </c>
      <c r="JH44" s="204"/>
      <c r="JI44" s="203"/>
      <c r="JJ44" s="202">
        <f t="shared" ref="JJ44:JJ86" si="269">JF44-D44</f>
        <v>0</v>
      </c>
      <c r="JK44" s="202">
        <f t="shared" ref="JK44:JK86" si="270">JG44-E44</f>
        <v>0</v>
      </c>
      <c r="JL44" s="195"/>
      <c r="JM44" s="203">
        <f t="shared" si="164"/>
        <v>0</v>
      </c>
      <c r="JN44" s="195"/>
      <c r="JO44" s="196">
        <f t="shared" si="75"/>
        <v>1</v>
      </c>
      <c r="JP44" s="206">
        <f t="shared" ref="JP44:JP108" si="271">BN44+CR44</f>
        <v>33</v>
      </c>
      <c r="JQ44" s="206">
        <f t="shared" ref="JQ44:JQ86" si="272">IF(BO44+CS44=2,1,IF(BO44+CS44=1,1,0))</f>
        <v>1</v>
      </c>
      <c r="JR44" s="206">
        <f t="shared" ref="JR44:JR86" si="273">IF(BP44+CT44=2,1,IF(BP44+CT44=1,1,0))</f>
        <v>0</v>
      </c>
      <c r="JS44" s="206">
        <f t="shared" ref="JS44:JS86" si="274">IF(BQ44+CU44=2,1,IF(BQ44+CU44=1,1,0))</f>
        <v>0</v>
      </c>
      <c r="JT44" s="206">
        <f t="shared" ref="JT44:JT86" si="275">IF(BR44+CV44=2,1,IF(BR44+CV44=1,1,0))</f>
        <v>0</v>
      </c>
      <c r="JU44" s="206">
        <f t="shared" ref="JU44:JU86" si="276">IF(BS44+CW44=2,1,IF(BS44+CW44=1,1,0))</f>
        <v>0</v>
      </c>
      <c r="JV44" s="206">
        <f t="shared" ref="JV44:JV86" si="277">IF(BT44+CX44=2,1,IF(BT44+CX44=1,1,0))</f>
        <v>0</v>
      </c>
      <c r="JW44" s="206">
        <f t="shared" ref="JW44:JW86" si="278">IF(BU44+CY44=2,1,IF(BU44+CY44=1,1,0))</f>
        <v>0</v>
      </c>
      <c r="JX44" s="206">
        <f t="shared" ref="JX44:JX86" si="279">IF(BV44+CZ44=2,1,IF(BV44+CZ44=1,1,0))</f>
        <v>0</v>
      </c>
      <c r="JY44" s="206">
        <f t="shared" ref="JY44:JY86" si="280">IF(BW44+DA44=2,1,IF(BW44+DA44=1,1,0))</f>
        <v>0</v>
      </c>
      <c r="JZ44" s="206">
        <f t="shared" ref="JZ44:JZ86" si="281">IF(BX44+DB44=2,1,IF(BX44+DB44=1,1,0))</f>
        <v>0</v>
      </c>
      <c r="KA44" s="206">
        <f t="shared" ref="KA44:KA86" si="282">IF(BY44+DC44=2,1,IF(BY44+DC44=1,1,0))</f>
        <v>0</v>
      </c>
      <c r="KB44" s="206">
        <f t="shared" ref="KB44:KB86" si="283">IF(BZ44+DD44=2,1,IF(BZ44+DD44=1,1,0))</f>
        <v>0</v>
      </c>
      <c r="KC44" s="195"/>
      <c r="KD44" s="206">
        <f t="shared" si="165"/>
        <v>0</v>
      </c>
      <c r="KE44" s="206">
        <f t="shared" si="90"/>
        <v>0</v>
      </c>
      <c r="KF44" s="206">
        <f t="shared" ref="KF44:KF86" si="284">CD44+DH44</f>
        <v>33</v>
      </c>
      <c r="KG44" s="206">
        <f t="shared" ref="KG44:KG86" si="285">CE44+DI44</f>
        <v>33</v>
      </c>
      <c r="KH44" s="206">
        <f t="shared" ref="KH44:KH86" si="286">CF44+DJ44</f>
        <v>0</v>
      </c>
      <c r="KI44" s="206">
        <f t="shared" ref="KI44:KI86" si="287">CG44+DK44</f>
        <v>0</v>
      </c>
      <c r="KJ44" s="206">
        <f t="shared" ref="KJ44:KJ86" si="288">CH44+DL44</f>
        <v>0</v>
      </c>
      <c r="KK44" s="206">
        <f t="shared" ref="KK44:KK86" si="289">CI44+DM44</f>
        <v>0</v>
      </c>
      <c r="KL44" s="206">
        <f t="shared" ref="KL44:KL86" si="290">CJ44+DN44</f>
        <v>0</v>
      </c>
      <c r="KM44" s="206">
        <f t="shared" ref="KM44:KM86" si="291">CK44+DO44</f>
        <v>0</v>
      </c>
      <c r="KN44" s="221">
        <f t="shared" ref="KN44:KN86" si="292">CL44+DP44</f>
        <v>0</v>
      </c>
      <c r="KO44" s="221">
        <f t="shared" ref="KO44:KO86" si="293">CM44+DQ44</f>
        <v>0</v>
      </c>
      <c r="KP44" s="221">
        <f t="shared" ref="KP44:KP86" si="294">CN44+DR44</f>
        <v>0</v>
      </c>
      <c r="KQ44" s="221">
        <f t="shared" ref="KQ44:KQ86" si="295">CO44+DS44</f>
        <v>0</v>
      </c>
      <c r="KR44" s="221">
        <f t="shared" ref="KR44:KR86" si="296">CP44+DT44</f>
        <v>0</v>
      </c>
      <c r="KS44" s="195"/>
      <c r="KT44" s="195">
        <f t="shared" ref="KT44:KT86" si="297">AN44</f>
        <v>0</v>
      </c>
      <c r="KU44" s="221"/>
      <c r="KV44" s="221"/>
      <c r="KW44" s="221"/>
      <c r="KX44" s="221"/>
      <c r="KY44" s="221"/>
      <c r="KZ44" s="221"/>
      <c r="LA44" s="221"/>
      <c r="LB44" s="221"/>
      <c r="LC44" s="221"/>
      <c r="LD44" s="221"/>
      <c r="LE44" s="221"/>
      <c r="LF44" s="221"/>
      <c r="LG44" s="221"/>
      <c r="LH44" s="221"/>
      <c r="LI44" s="221"/>
      <c r="LJ44" s="221"/>
      <c r="LK44" s="221"/>
      <c r="LL44" s="221"/>
      <c r="LM44" s="221"/>
      <c r="LN44" s="221"/>
      <c r="LO44" s="221"/>
      <c r="LP44" s="221"/>
      <c r="LQ44" s="221"/>
      <c r="LR44" s="221"/>
      <c r="LS44" s="221"/>
      <c r="LT44" s="221"/>
      <c r="LU44" s="221"/>
      <c r="LV44" s="221"/>
      <c r="LW44" s="221"/>
      <c r="LX44" s="221"/>
      <c r="LY44" s="221"/>
      <c r="LZ44" s="221"/>
      <c r="MA44" s="221"/>
      <c r="MB44" s="221"/>
      <c r="MC44" s="221"/>
      <c r="MD44" s="221"/>
      <c r="ME44" s="221"/>
      <c r="MF44" s="221"/>
      <c r="MG44" s="221"/>
      <c r="MH44" s="221"/>
      <c r="MI44" s="221"/>
      <c r="MJ44" s="221"/>
      <c r="MK44" s="221"/>
      <c r="ML44" s="221"/>
      <c r="MM44" s="221"/>
      <c r="MN44" s="221"/>
      <c r="MO44" s="221"/>
      <c r="MP44" s="221"/>
      <c r="MQ44" s="221"/>
      <c r="MR44" s="221"/>
      <c r="MS44" s="221"/>
      <c r="MT44" s="221"/>
      <c r="MU44" s="221"/>
      <c r="MV44" s="221"/>
      <c r="MW44" s="221"/>
      <c r="MX44" s="221"/>
      <c r="MY44" s="221"/>
      <c r="MZ44" s="221"/>
      <c r="NA44" s="221"/>
      <c r="NB44" s="221"/>
      <c r="NC44" s="221"/>
      <c r="ND44" s="221"/>
      <c r="NE44" s="221"/>
      <c r="NF44" s="221"/>
      <c r="NG44" s="221"/>
      <c r="NH44" s="221"/>
      <c r="NI44" s="221"/>
      <c r="NJ44" s="221"/>
      <c r="NK44" s="221"/>
      <c r="NL44" s="195"/>
      <c r="NM44" s="195">
        <f t="shared" si="166"/>
        <v>0</v>
      </c>
      <c r="NN44" s="195">
        <f t="shared" si="167"/>
        <v>0</v>
      </c>
      <c r="NO44" s="195">
        <f t="shared" si="168"/>
        <v>0</v>
      </c>
      <c r="NP44" s="195">
        <f t="shared" si="169"/>
        <v>0</v>
      </c>
      <c r="NQ44" s="195">
        <f t="shared" si="170"/>
        <v>0</v>
      </c>
      <c r="NR44" s="195">
        <f t="shared" si="171"/>
        <v>0</v>
      </c>
      <c r="NS44" s="195">
        <f t="shared" si="172"/>
        <v>0</v>
      </c>
      <c r="NT44" s="195">
        <f t="shared" si="173"/>
        <v>0</v>
      </c>
      <c r="NU44" s="196">
        <f t="shared" si="174"/>
        <v>0</v>
      </c>
      <c r="NV44" s="195"/>
      <c r="NW44" s="195"/>
      <c r="NX44" s="195"/>
      <c r="NY44" s="196">
        <f t="shared" si="232"/>
        <v>1</v>
      </c>
      <c r="NZ44" s="222">
        <v>8330000</v>
      </c>
      <c r="OA44" s="195"/>
      <c r="OB44" s="195"/>
      <c r="OC44" s="195"/>
      <c r="OD44" s="195"/>
      <c r="OE44" s="207">
        <f t="shared" si="233"/>
        <v>0</v>
      </c>
      <c r="OF44" s="207">
        <f t="shared" si="234"/>
        <v>0</v>
      </c>
      <c r="OG44" s="207">
        <f t="shared" si="235"/>
        <v>0</v>
      </c>
      <c r="OH44" s="207">
        <f t="shared" si="175"/>
        <v>0</v>
      </c>
      <c r="OI44" s="207">
        <f t="shared" si="236"/>
        <v>0</v>
      </c>
      <c r="OJ44" s="199">
        <f t="shared" si="176"/>
        <v>0</v>
      </c>
      <c r="OK44" s="199">
        <f t="shared" si="177"/>
        <v>0</v>
      </c>
      <c r="OL44" s="199">
        <f t="shared" si="178"/>
        <v>0</v>
      </c>
      <c r="OM44" s="199">
        <f t="shared" si="179"/>
        <v>0</v>
      </c>
      <c r="ON44" s="195"/>
      <c r="OO44" s="207">
        <f t="shared" si="237"/>
        <v>0</v>
      </c>
      <c r="OP44" s="207">
        <f t="shared" si="238"/>
        <v>0</v>
      </c>
      <c r="OQ44" s="207">
        <f t="shared" si="180"/>
        <v>0</v>
      </c>
      <c r="OR44" s="207">
        <f t="shared" si="181"/>
        <v>0</v>
      </c>
      <c r="OS44" s="207">
        <f t="shared" si="182"/>
        <v>0</v>
      </c>
      <c r="OT44" s="199">
        <f t="shared" si="183"/>
        <v>0</v>
      </c>
      <c r="OU44" s="199">
        <f t="shared" si="184"/>
        <v>0</v>
      </c>
      <c r="OV44" s="199">
        <f t="shared" si="185"/>
        <v>0</v>
      </c>
      <c r="OW44" s="199">
        <f t="shared" si="186"/>
        <v>0</v>
      </c>
      <c r="OX44" s="195"/>
      <c r="OY44" s="195"/>
      <c r="OZ44" s="195"/>
      <c r="PA44" s="209"/>
      <c r="PB44" s="209"/>
      <c r="PC44" s="209"/>
      <c r="PD44" s="210">
        <f t="shared" si="113"/>
        <v>0</v>
      </c>
      <c r="PE44" s="210"/>
      <c r="PF44" s="210">
        <f t="shared" si="114"/>
        <v>0</v>
      </c>
      <c r="PG44" s="210">
        <f t="shared" si="115"/>
        <v>0</v>
      </c>
      <c r="PH44" s="210">
        <f t="shared" si="115"/>
        <v>0</v>
      </c>
      <c r="PI44" s="210">
        <f t="shared" si="115"/>
        <v>0</v>
      </c>
      <c r="PJ44" s="210">
        <f t="shared" si="115"/>
        <v>0</v>
      </c>
      <c r="PK44" s="210">
        <f t="shared" si="115"/>
        <v>0</v>
      </c>
      <c r="PL44" s="210">
        <f t="shared" si="115"/>
        <v>0</v>
      </c>
      <c r="PM44" s="195"/>
      <c r="PN44" s="195"/>
      <c r="PO44" s="212">
        <f t="shared" si="187"/>
        <v>0</v>
      </c>
      <c r="PP44" s="212">
        <f t="shared" si="188"/>
        <v>0</v>
      </c>
      <c r="PQ44" s="212">
        <f t="shared" si="189"/>
        <v>0</v>
      </c>
    </row>
    <row r="45" spans="1:433" ht="16" x14ac:dyDescent="0.2">
      <c r="A45" s="213">
        <f t="shared" si="190"/>
        <v>36</v>
      </c>
      <c r="B45" s="186" t="s">
        <v>117</v>
      </c>
      <c r="C45" s="186">
        <v>38</v>
      </c>
      <c r="D45" s="188">
        <v>1</v>
      </c>
      <c r="E45" s="188">
        <v>26</v>
      </c>
      <c r="F45" s="188">
        <v>1</v>
      </c>
      <c r="G45" s="188">
        <f t="shared" si="239"/>
        <v>26</v>
      </c>
      <c r="H45" s="214">
        <f t="shared" si="203"/>
        <v>1</v>
      </c>
      <c r="I45" s="214">
        <f t="shared" si="204"/>
        <v>1</v>
      </c>
      <c r="J45" s="188">
        <v>1</v>
      </c>
      <c r="K45" s="188">
        <f t="shared" si="205"/>
        <v>26</v>
      </c>
      <c r="L45" s="214">
        <f t="shared" si="206"/>
        <v>1</v>
      </c>
      <c r="M45" s="214">
        <f t="shared" si="207"/>
        <v>1</v>
      </c>
      <c r="N45" s="188">
        <v>1</v>
      </c>
      <c r="O45" s="188">
        <f t="shared" si="208"/>
        <v>26</v>
      </c>
      <c r="P45" s="214">
        <f t="shared" si="209"/>
        <v>1</v>
      </c>
      <c r="Q45" s="214">
        <f t="shared" si="210"/>
        <v>1</v>
      </c>
      <c r="R45" s="188">
        <v>1</v>
      </c>
      <c r="S45" s="188">
        <f t="shared" si="211"/>
        <v>26</v>
      </c>
      <c r="T45" s="214">
        <f t="shared" si="212"/>
        <v>1</v>
      </c>
      <c r="U45" s="214">
        <f t="shared" si="213"/>
        <v>1</v>
      </c>
      <c r="V45" s="188">
        <v>1</v>
      </c>
      <c r="W45" s="188">
        <f t="shared" si="214"/>
        <v>26</v>
      </c>
      <c r="X45" s="214">
        <f t="shared" si="215"/>
        <v>1</v>
      </c>
      <c r="Y45" s="214">
        <f t="shared" si="216"/>
        <v>1</v>
      </c>
      <c r="Z45" s="224">
        <f>221760000/1000000000</f>
        <v>0.22176000000000001</v>
      </c>
      <c r="AA45" s="188"/>
      <c r="AB45" s="189">
        <f t="shared" si="120"/>
        <v>0</v>
      </c>
      <c r="AC45" s="250">
        <f t="shared" si="121"/>
        <v>0</v>
      </c>
      <c r="AD45" s="250">
        <f t="shared" si="122"/>
        <v>0</v>
      </c>
      <c r="AE45" s="188"/>
      <c r="AF45" s="188">
        <f t="shared" si="217"/>
        <v>0</v>
      </c>
      <c r="AG45" s="187"/>
      <c r="AH45" s="187"/>
      <c r="AI45" s="188">
        <v>0</v>
      </c>
      <c r="AJ45" s="188">
        <f t="shared" si="218"/>
        <v>0</v>
      </c>
      <c r="AK45" s="188"/>
      <c r="AL45" s="188">
        <v>0</v>
      </c>
      <c r="AM45" s="188">
        <v>0</v>
      </c>
      <c r="AN45" s="217"/>
      <c r="AO45" s="196">
        <f t="shared" si="123"/>
        <v>0</v>
      </c>
      <c r="AP45" s="195"/>
      <c r="AQ45" s="195"/>
      <c r="AR45" s="195"/>
      <c r="AS45" s="195"/>
      <c r="AT45" s="195"/>
      <c r="AU45" s="195"/>
      <c r="AV45" s="195"/>
      <c r="AW45" s="195"/>
      <c r="AX45" s="195"/>
      <c r="AY45" s="195"/>
      <c r="AZ45" s="195"/>
      <c r="BA45" s="195"/>
      <c r="BB45" s="188">
        <f t="shared" si="219"/>
        <v>0</v>
      </c>
      <c r="BC45" s="195"/>
      <c r="BD45" s="196"/>
      <c r="BE45" s="188">
        <f t="shared" si="220"/>
        <v>0</v>
      </c>
      <c r="BF45" s="188">
        <f t="shared" si="221"/>
        <v>0</v>
      </c>
      <c r="BG45" s="188">
        <f t="shared" si="222"/>
        <v>0</v>
      </c>
      <c r="BH45" s="188">
        <f t="shared" si="223"/>
        <v>0</v>
      </c>
      <c r="BI45" s="188">
        <f t="shared" si="224"/>
        <v>0</v>
      </c>
      <c r="BJ45" s="188">
        <f t="shared" si="225"/>
        <v>0</v>
      </c>
      <c r="BK45" s="188">
        <f t="shared" si="124"/>
        <v>0</v>
      </c>
      <c r="BL45" s="195"/>
      <c r="BM45" s="195"/>
      <c r="BN45" s="143">
        <v>7</v>
      </c>
      <c r="BO45" s="277">
        <v>1</v>
      </c>
      <c r="BP45" s="188"/>
      <c r="BQ45" s="188"/>
      <c r="BR45" s="188"/>
      <c r="BS45" s="188"/>
      <c r="BT45" s="188"/>
      <c r="BU45" s="188"/>
      <c r="BV45" s="188"/>
      <c r="BW45" s="188"/>
      <c r="BX45" s="188"/>
      <c r="BY45" s="188"/>
      <c r="BZ45" s="188"/>
      <c r="CA45" s="195"/>
      <c r="CB45" s="188">
        <v>0</v>
      </c>
      <c r="CC45" s="195"/>
      <c r="CD45" s="189">
        <f t="shared" si="125"/>
        <v>7</v>
      </c>
      <c r="CE45" s="189">
        <f t="shared" si="191"/>
        <v>7</v>
      </c>
      <c r="CF45" s="189">
        <f t="shared" si="126"/>
        <v>0</v>
      </c>
      <c r="CG45" s="189">
        <f t="shared" si="127"/>
        <v>0</v>
      </c>
      <c r="CH45" s="189">
        <f t="shared" si="128"/>
        <v>0</v>
      </c>
      <c r="CI45" s="189">
        <f t="shared" si="129"/>
        <v>0</v>
      </c>
      <c r="CJ45" s="189">
        <f t="shared" si="130"/>
        <v>0</v>
      </c>
      <c r="CK45" s="189">
        <f t="shared" si="131"/>
        <v>0</v>
      </c>
      <c r="CL45" s="189">
        <f t="shared" si="132"/>
        <v>0</v>
      </c>
      <c r="CM45" s="189">
        <f t="shared" si="133"/>
        <v>0</v>
      </c>
      <c r="CN45" s="189">
        <f t="shared" si="134"/>
        <v>0</v>
      </c>
      <c r="CO45" s="189">
        <f t="shared" si="135"/>
        <v>0</v>
      </c>
      <c r="CP45" s="189">
        <f t="shared" si="136"/>
        <v>0</v>
      </c>
      <c r="CQ45" s="195"/>
      <c r="CR45" s="195"/>
      <c r="CS45" s="195"/>
      <c r="CT45" s="195"/>
      <c r="CU45" s="195"/>
      <c r="CV45" s="195"/>
      <c r="CW45" s="195"/>
      <c r="CX45" s="195"/>
      <c r="CY45" s="195"/>
      <c r="CZ45" s="195"/>
      <c r="DA45" s="195"/>
      <c r="DB45" s="195"/>
      <c r="DC45" s="195"/>
      <c r="DD45" s="195"/>
      <c r="DE45" s="195"/>
      <c r="DF45" s="195"/>
      <c r="DG45" s="195"/>
      <c r="DH45" s="195"/>
      <c r="DI45" s="195"/>
      <c r="DJ45" s="195"/>
      <c r="DK45" s="195"/>
      <c r="DL45" s="195"/>
      <c r="DM45" s="195"/>
      <c r="DN45" s="195"/>
      <c r="DO45" s="195"/>
      <c r="DP45" s="195"/>
      <c r="DQ45" s="195"/>
      <c r="DR45" s="195"/>
      <c r="DS45" s="195"/>
      <c r="DT45" s="195"/>
      <c r="DU45" s="195"/>
      <c r="DV45" s="189">
        <f t="shared" si="226"/>
        <v>0</v>
      </c>
      <c r="DW45" s="189">
        <f t="shared" si="227"/>
        <v>0</v>
      </c>
      <c r="DX45" s="189">
        <f t="shared" si="228"/>
        <v>0</v>
      </c>
      <c r="DY45" s="189">
        <f t="shared" si="229"/>
        <v>0</v>
      </c>
      <c r="DZ45" s="189">
        <f t="shared" si="230"/>
        <v>0</v>
      </c>
      <c r="EA45" s="189">
        <f t="shared" si="231"/>
        <v>0</v>
      </c>
      <c r="EB45" s="189">
        <f t="shared" si="137"/>
        <v>0</v>
      </c>
      <c r="EC45" s="195"/>
      <c r="ED45" s="195"/>
      <c r="EE45" s="195"/>
      <c r="EF45" s="195"/>
      <c r="EG45" s="252">
        <f t="shared" si="138"/>
        <v>0</v>
      </c>
      <c r="EH45" s="252">
        <f t="shared" si="139"/>
        <v>0</v>
      </c>
      <c r="EI45" s="189"/>
      <c r="EJ45" s="189"/>
      <c r="EK45" s="189"/>
      <c r="EL45" s="189"/>
      <c r="EM45" s="189"/>
      <c r="EN45" s="189"/>
      <c r="EO45" s="189"/>
      <c r="EP45" s="189"/>
      <c r="EQ45" s="189"/>
      <c r="ER45" s="189"/>
      <c r="ES45" s="189"/>
      <c r="ET45" s="189"/>
      <c r="EU45" s="189"/>
      <c r="EV45" s="189"/>
      <c r="EW45" s="189"/>
      <c r="EX45" s="189"/>
      <c r="EY45" s="189"/>
      <c r="EZ45" s="189"/>
      <c r="FA45" s="189"/>
      <c r="FB45" s="189"/>
      <c r="FC45" s="189"/>
      <c r="FD45" s="189"/>
      <c r="FE45" s="189"/>
      <c r="FF45" s="189"/>
      <c r="FG45" s="195"/>
      <c r="FH45" s="189"/>
      <c r="FI45" s="189"/>
      <c r="FJ45" s="189"/>
      <c r="FK45" s="189"/>
      <c r="FL45" s="189"/>
      <c r="FM45" s="189"/>
      <c r="FN45" s="189"/>
      <c r="FO45" s="189"/>
      <c r="FP45" s="189"/>
      <c r="FQ45" s="189"/>
      <c r="FR45" s="189"/>
      <c r="FS45" s="189"/>
      <c r="FT45" s="189"/>
      <c r="FU45" s="189"/>
      <c r="FV45" s="189"/>
      <c r="FW45" s="195"/>
      <c r="FX45" s="253">
        <v>1</v>
      </c>
      <c r="FY45" s="189">
        <f t="shared" si="140"/>
        <v>7</v>
      </c>
      <c r="FZ45" s="189">
        <f t="shared" si="240"/>
        <v>7</v>
      </c>
      <c r="GA45" s="189">
        <f t="shared" si="241"/>
        <v>0</v>
      </c>
      <c r="GB45" s="189">
        <f t="shared" si="242"/>
        <v>0</v>
      </c>
      <c r="GC45" s="189">
        <f t="shared" si="243"/>
        <v>0</v>
      </c>
      <c r="GD45" s="189">
        <f t="shared" si="244"/>
        <v>0</v>
      </c>
      <c r="GE45" s="189">
        <f t="shared" si="245"/>
        <v>0</v>
      </c>
      <c r="GF45" s="199"/>
      <c r="GG45" s="189">
        <v>0</v>
      </c>
      <c r="GH45" s="189">
        <v>0</v>
      </c>
      <c r="GI45" s="199"/>
      <c r="GJ45" s="200">
        <f t="shared" si="141"/>
        <v>0</v>
      </c>
      <c r="GK45" s="200">
        <f t="shared" si="142"/>
        <v>0</v>
      </c>
      <c r="GL45" s="195"/>
      <c r="GM45" s="195"/>
      <c r="GN45" s="195"/>
      <c r="GO45" s="189">
        <f t="shared" si="246"/>
        <v>0</v>
      </c>
      <c r="GP45" s="189">
        <f t="shared" si="247"/>
        <v>0</v>
      </c>
      <c r="GQ45" s="189">
        <f t="shared" si="248"/>
        <v>0</v>
      </c>
      <c r="GR45" s="189">
        <f t="shared" si="249"/>
        <v>0</v>
      </c>
      <c r="GS45" s="189">
        <f t="shared" si="250"/>
        <v>0</v>
      </c>
      <c r="GT45" s="189">
        <f t="shared" si="143"/>
        <v>1</v>
      </c>
      <c r="GU45" s="201">
        <f t="shared" si="144"/>
        <v>43243</v>
      </c>
      <c r="GV45" s="189" t="str">
        <f t="shared" si="145"/>
        <v>SELESAI</v>
      </c>
      <c r="GW45" s="189">
        <f t="shared" si="146"/>
        <v>0</v>
      </c>
      <c r="GX45" s="202" t="str">
        <f t="shared" si="147"/>
        <v>SELESAI</v>
      </c>
      <c r="GY45" s="202">
        <f t="shared" si="148"/>
        <v>0</v>
      </c>
      <c r="GZ45" s="203" t="str">
        <f t="shared" si="149"/>
        <v>SELESAI</v>
      </c>
      <c r="HA45" s="204"/>
      <c r="HB45" s="204"/>
      <c r="HC45" s="189">
        <f t="shared" si="251"/>
        <v>0</v>
      </c>
      <c r="HD45" s="189">
        <f t="shared" si="252"/>
        <v>0</v>
      </c>
      <c r="HE45" s="189">
        <f t="shared" si="150"/>
        <v>0</v>
      </c>
      <c r="HF45" s="189">
        <f t="shared" si="151"/>
        <v>0</v>
      </c>
      <c r="HG45" s="189">
        <f t="shared" si="152"/>
        <v>0</v>
      </c>
      <c r="HH45" s="201" t="str">
        <f t="shared" si="46"/>
        <v>TIDAK KONSINYASI</v>
      </c>
      <c r="HI45" s="201" t="str">
        <f t="shared" si="153"/>
        <v>SELESAI</v>
      </c>
      <c r="HJ45" s="205"/>
      <c r="HK45" s="201">
        <f t="shared" si="47"/>
        <v>0</v>
      </c>
      <c r="HL45" s="204"/>
      <c r="HM45" s="204"/>
      <c r="HN45" s="204"/>
      <c r="HO45" s="204"/>
      <c r="HP45" s="203">
        <f t="shared" si="154"/>
        <v>0</v>
      </c>
      <c r="HQ45" s="202">
        <f t="shared" si="155"/>
        <v>0</v>
      </c>
      <c r="HR45" s="202">
        <f t="shared" si="253"/>
        <v>0</v>
      </c>
      <c r="HS45" s="203">
        <f t="shared" si="156"/>
        <v>0</v>
      </c>
      <c r="HT45" s="202">
        <f t="shared" si="157"/>
        <v>0</v>
      </c>
      <c r="HU45" s="202">
        <f t="shared" si="254"/>
        <v>0</v>
      </c>
      <c r="HV45" s="203">
        <f t="shared" si="158"/>
        <v>0</v>
      </c>
      <c r="HW45" s="202">
        <f t="shared" si="50"/>
        <v>0</v>
      </c>
      <c r="HX45" s="202">
        <f t="shared" si="255"/>
        <v>0</v>
      </c>
      <c r="HY45" s="203">
        <f t="shared" si="52"/>
        <v>0</v>
      </c>
      <c r="HZ45" s="202">
        <f t="shared" si="159"/>
        <v>0</v>
      </c>
      <c r="IA45" s="202">
        <f t="shared" si="256"/>
        <v>0</v>
      </c>
      <c r="IB45" s="203">
        <f t="shared" si="160"/>
        <v>0</v>
      </c>
      <c r="IC45" s="202">
        <f t="shared" si="54"/>
        <v>0</v>
      </c>
      <c r="ID45" s="202">
        <f t="shared" si="257"/>
        <v>0</v>
      </c>
      <c r="IE45" s="203">
        <f t="shared" si="56"/>
        <v>0</v>
      </c>
      <c r="IF45" s="202">
        <f t="shared" si="57"/>
        <v>0</v>
      </c>
      <c r="IG45" s="202">
        <f t="shared" si="258"/>
        <v>0</v>
      </c>
      <c r="IH45" s="203">
        <f t="shared" si="161"/>
        <v>0</v>
      </c>
      <c r="II45" s="202">
        <f t="shared" si="162"/>
        <v>0</v>
      </c>
      <c r="IJ45" s="202">
        <f t="shared" si="259"/>
        <v>0</v>
      </c>
      <c r="IK45" s="203">
        <f t="shared" si="60"/>
        <v>0</v>
      </c>
      <c r="IL45" s="202">
        <f t="shared" si="61"/>
        <v>0</v>
      </c>
      <c r="IM45" s="202">
        <f t="shared" si="260"/>
        <v>0</v>
      </c>
      <c r="IN45" s="204"/>
      <c r="IO45" s="203">
        <f t="shared" si="63"/>
        <v>0</v>
      </c>
      <c r="IP45" s="202">
        <f t="shared" si="261"/>
        <v>0</v>
      </c>
      <c r="IQ45" s="202">
        <f t="shared" si="262"/>
        <v>0</v>
      </c>
      <c r="IR45" s="204"/>
      <c r="IS45" s="203"/>
      <c r="IT45" s="202">
        <f t="shared" si="263"/>
        <v>1</v>
      </c>
      <c r="IU45" s="202">
        <f t="shared" si="264"/>
        <v>26</v>
      </c>
      <c r="IV45" s="204"/>
      <c r="IW45" s="203"/>
      <c r="IX45" s="202">
        <f t="shared" si="265"/>
        <v>0</v>
      </c>
      <c r="IY45" s="202">
        <f t="shared" si="266"/>
        <v>0</v>
      </c>
      <c r="IZ45" s="204"/>
      <c r="JA45" s="203"/>
      <c r="JB45" s="202">
        <f t="shared" si="267"/>
        <v>0</v>
      </c>
      <c r="JC45" s="202">
        <f t="shared" si="268"/>
        <v>0</v>
      </c>
      <c r="JD45" s="204"/>
      <c r="JE45" s="203"/>
      <c r="JF45" s="202">
        <f t="shared" si="163"/>
        <v>1</v>
      </c>
      <c r="JG45" s="202">
        <f t="shared" si="72"/>
        <v>26</v>
      </c>
      <c r="JH45" s="204"/>
      <c r="JI45" s="203"/>
      <c r="JJ45" s="202">
        <f t="shared" si="269"/>
        <v>0</v>
      </c>
      <c r="JK45" s="202">
        <f t="shared" si="270"/>
        <v>0</v>
      </c>
      <c r="JL45" s="195"/>
      <c r="JM45" s="203">
        <f t="shared" si="164"/>
        <v>0</v>
      </c>
      <c r="JN45" s="195"/>
      <c r="JO45" s="196">
        <f t="shared" si="75"/>
        <v>1</v>
      </c>
      <c r="JP45" s="206">
        <f t="shared" si="271"/>
        <v>7</v>
      </c>
      <c r="JQ45" s="206">
        <f t="shared" si="272"/>
        <v>1</v>
      </c>
      <c r="JR45" s="206">
        <f t="shared" si="273"/>
        <v>0</v>
      </c>
      <c r="JS45" s="206">
        <f t="shared" si="274"/>
        <v>0</v>
      </c>
      <c r="JT45" s="206">
        <f t="shared" si="275"/>
        <v>0</v>
      </c>
      <c r="JU45" s="206">
        <f t="shared" si="276"/>
        <v>0</v>
      </c>
      <c r="JV45" s="206">
        <f t="shared" si="277"/>
        <v>0</v>
      </c>
      <c r="JW45" s="206">
        <f t="shared" si="278"/>
        <v>0</v>
      </c>
      <c r="JX45" s="206">
        <f t="shared" si="279"/>
        <v>0</v>
      </c>
      <c r="JY45" s="206">
        <f t="shared" si="280"/>
        <v>0</v>
      </c>
      <c r="JZ45" s="206">
        <f t="shared" si="281"/>
        <v>0</v>
      </c>
      <c r="KA45" s="206">
        <f t="shared" si="282"/>
        <v>0</v>
      </c>
      <c r="KB45" s="206">
        <f t="shared" si="283"/>
        <v>0</v>
      </c>
      <c r="KC45" s="195"/>
      <c r="KD45" s="206">
        <f t="shared" si="165"/>
        <v>0</v>
      </c>
      <c r="KE45" s="206">
        <f t="shared" si="90"/>
        <v>0</v>
      </c>
      <c r="KF45" s="206">
        <f t="shared" si="284"/>
        <v>7</v>
      </c>
      <c r="KG45" s="206">
        <f t="shared" si="285"/>
        <v>7</v>
      </c>
      <c r="KH45" s="206">
        <f t="shared" si="286"/>
        <v>0</v>
      </c>
      <c r="KI45" s="206">
        <f t="shared" si="287"/>
        <v>0</v>
      </c>
      <c r="KJ45" s="206">
        <f t="shared" si="288"/>
        <v>0</v>
      </c>
      <c r="KK45" s="206">
        <f t="shared" si="289"/>
        <v>0</v>
      </c>
      <c r="KL45" s="206">
        <f t="shared" si="290"/>
        <v>0</v>
      </c>
      <c r="KM45" s="206">
        <f t="shared" si="291"/>
        <v>0</v>
      </c>
      <c r="KN45" s="221">
        <f t="shared" si="292"/>
        <v>0</v>
      </c>
      <c r="KO45" s="221">
        <f t="shared" si="293"/>
        <v>0</v>
      </c>
      <c r="KP45" s="221">
        <f t="shared" si="294"/>
        <v>0</v>
      </c>
      <c r="KQ45" s="221">
        <f t="shared" si="295"/>
        <v>0</v>
      </c>
      <c r="KR45" s="221">
        <f t="shared" si="296"/>
        <v>0</v>
      </c>
      <c r="KS45" s="195"/>
      <c r="KT45" s="195">
        <f t="shared" si="297"/>
        <v>0</v>
      </c>
      <c r="KU45" s="221"/>
      <c r="KV45" s="221"/>
      <c r="KW45" s="221"/>
      <c r="KX45" s="221"/>
      <c r="KY45" s="221"/>
      <c r="KZ45" s="221"/>
      <c r="LA45" s="221"/>
      <c r="LB45" s="221"/>
      <c r="LC45" s="221"/>
      <c r="LD45" s="221"/>
      <c r="LE45" s="221"/>
      <c r="LF45" s="221"/>
      <c r="LG45" s="221"/>
      <c r="LH45" s="221"/>
      <c r="LI45" s="221"/>
      <c r="LJ45" s="221"/>
      <c r="LK45" s="221"/>
      <c r="LL45" s="221"/>
      <c r="LM45" s="221"/>
      <c r="LN45" s="221"/>
      <c r="LO45" s="221"/>
      <c r="LP45" s="221"/>
      <c r="LQ45" s="221"/>
      <c r="LR45" s="221"/>
      <c r="LS45" s="221"/>
      <c r="LT45" s="221"/>
      <c r="LU45" s="221"/>
      <c r="LV45" s="221"/>
      <c r="LW45" s="221"/>
      <c r="LX45" s="221"/>
      <c r="LY45" s="221"/>
      <c r="LZ45" s="221"/>
      <c r="MA45" s="221"/>
      <c r="MB45" s="221"/>
      <c r="MC45" s="221"/>
      <c r="MD45" s="221"/>
      <c r="ME45" s="221"/>
      <c r="MF45" s="221"/>
      <c r="MG45" s="221"/>
      <c r="MH45" s="221"/>
      <c r="MI45" s="221"/>
      <c r="MJ45" s="221"/>
      <c r="MK45" s="221"/>
      <c r="ML45" s="221"/>
      <c r="MM45" s="221"/>
      <c r="MN45" s="221"/>
      <c r="MO45" s="221"/>
      <c r="MP45" s="221"/>
      <c r="MQ45" s="221"/>
      <c r="MR45" s="221"/>
      <c r="MS45" s="221"/>
      <c r="MT45" s="221"/>
      <c r="MU45" s="221"/>
      <c r="MV45" s="221"/>
      <c r="MW45" s="221"/>
      <c r="MX45" s="221"/>
      <c r="MY45" s="221"/>
      <c r="MZ45" s="221"/>
      <c r="NA45" s="221"/>
      <c r="NB45" s="221"/>
      <c r="NC45" s="221"/>
      <c r="ND45" s="221"/>
      <c r="NE45" s="221"/>
      <c r="NF45" s="221"/>
      <c r="NG45" s="221"/>
      <c r="NH45" s="221"/>
      <c r="NI45" s="221"/>
      <c r="NJ45" s="221"/>
      <c r="NK45" s="221"/>
      <c r="NL45" s="195"/>
      <c r="NM45" s="195">
        <f t="shared" si="166"/>
        <v>0</v>
      </c>
      <c r="NN45" s="195">
        <f t="shared" si="167"/>
        <v>0</v>
      </c>
      <c r="NO45" s="195">
        <f t="shared" si="168"/>
        <v>0</v>
      </c>
      <c r="NP45" s="195">
        <f t="shared" si="169"/>
        <v>0</v>
      </c>
      <c r="NQ45" s="195">
        <f t="shared" si="170"/>
        <v>0</v>
      </c>
      <c r="NR45" s="195">
        <f t="shared" si="171"/>
        <v>0</v>
      </c>
      <c r="NS45" s="195">
        <f t="shared" si="172"/>
        <v>0</v>
      </c>
      <c r="NT45" s="195">
        <f t="shared" si="173"/>
        <v>0</v>
      </c>
      <c r="NU45" s="196">
        <f t="shared" si="174"/>
        <v>0</v>
      </c>
      <c r="NV45" s="195"/>
      <c r="NW45" s="195"/>
      <c r="NX45" s="195"/>
      <c r="NY45" s="196">
        <f t="shared" si="232"/>
        <v>1</v>
      </c>
      <c r="NZ45" s="222">
        <v>7913500</v>
      </c>
      <c r="OA45" s="195"/>
      <c r="OB45" s="195"/>
      <c r="OC45" s="195"/>
      <c r="OD45" s="195"/>
      <c r="OE45" s="207">
        <f t="shared" si="233"/>
        <v>0</v>
      </c>
      <c r="OF45" s="207">
        <f t="shared" si="234"/>
        <v>0</v>
      </c>
      <c r="OG45" s="207">
        <f t="shared" si="235"/>
        <v>0</v>
      </c>
      <c r="OH45" s="207">
        <f t="shared" si="175"/>
        <v>0</v>
      </c>
      <c r="OI45" s="207">
        <f t="shared" si="236"/>
        <v>0</v>
      </c>
      <c r="OJ45" s="199">
        <f t="shared" si="176"/>
        <v>0</v>
      </c>
      <c r="OK45" s="199">
        <f t="shared" si="177"/>
        <v>0</v>
      </c>
      <c r="OL45" s="199">
        <f t="shared" si="178"/>
        <v>0</v>
      </c>
      <c r="OM45" s="199">
        <f t="shared" si="179"/>
        <v>0</v>
      </c>
      <c r="ON45" s="195"/>
      <c r="OO45" s="207">
        <f t="shared" si="237"/>
        <v>0</v>
      </c>
      <c r="OP45" s="207">
        <f t="shared" si="238"/>
        <v>0</v>
      </c>
      <c r="OQ45" s="207">
        <f t="shared" si="180"/>
        <v>0</v>
      </c>
      <c r="OR45" s="207">
        <f t="shared" si="181"/>
        <v>0</v>
      </c>
      <c r="OS45" s="207">
        <f t="shared" si="182"/>
        <v>0</v>
      </c>
      <c r="OT45" s="199">
        <f t="shared" si="183"/>
        <v>0</v>
      </c>
      <c r="OU45" s="199">
        <f t="shared" si="184"/>
        <v>0</v>
      </c>
      <c r="OV45" s="199">
        <f t="shared" si="185"/>
        <v>0</v>
      </c>
      <c r="OW45" s="199">
        <f t="shared" si="186"/>
        <v>0</v>
      </c>
      <c r="OX45" s="195"/>
      <c r="OY45" s="195"/>
      <c r="OZ45" s="195"/>
      <c r="PA45" s="209"/>
      <c r="PB45" s="209"/>
      <c r="PC45" s="209"/>
      <c r="PD45" s="210">
        <f t="shared" si="113"/>
        <v>0</v>
      </c>
      <c r="PE45" s="210"/>
      <c r="PF45" s="210">
        <f t="shared" si="114"/>
        <v>0</v>
      </c>
      <c r="PG45" s="210">
        <f t="shared" si="115"/>
        <v>0</v>
      </c>
      <c r="PH45" s="210">
        <f t="shared" si="115"/>
        <v>0</v>
      </c>
      <c r="PI45" s="210">
        <f t="shared" si="115"/>
        <v>0</v>
      </c>
      <c r="PJ45" s="210">
        <f t="shared" si="115"/>
        <v>0</v>
      </c>
      <c r="PK45" s="210">
        <f t="shared" si="115"/>
        <v>0</v>
      </c>
      <c r="PL45" s="210">
        <f t="shared" si="115"/>
        <v>0</v>
      </c>
      <c r="PM45" s="195"/>
      <c r="PN45" s="195"/>
      <c r="PO45" s="212">
        <f t="shared" si="187"/>
        <v>0</v>
      </c>
      <c r="PP45" s="212">
        <f t="shared" si="188"/>
        <v>0</v>
      </c>
      <c r="PQ45" s="212">
        <f t="shared" si="189"/>
        <v>0</v>
      </c>
    </row>
    <row r="46" spans="1:433" ht="16" x14ac:dyDescent="0.2">
      <c r="A46" s="213">
        <f t="shared" ref="A46" si="298">A45+1</f>
        <v>37</v>
      </c>
      <c r="B46" s="186" t="s">
        <v>118</v>
      </c>
      <c r="C46" s="186">
        <v>39</v>
      </c>
      <c r="D46" s="188">
        <v>1</v>
      </c>
      <c r="E46" s="188">
        <v>40</v>
      </c>
      <c r="F46" s="188">
        <v>1</v>
      </c>
      <c r="G46" s="188">
        <f t="shared" si="239"/>
        <v>40</v>
      </c>
      <c r="H46" s="214">
        <f t="shared" si="203"/>
        <v>1</v>
      </c>
      <c r="I46" s="214">
        <f t="shared" si="204"/>
        <v>1</v>
      </c>
      <c r="J46" s="188">
        <v>1</v>
      </c>
      <c r="K46" s="188">
        <f t="shared" si="205"/>
        <v>40</v>
      </c>
      <c r="L46" s="214">
        <f t="shared" si="206"/>
        <v>1</v>
      </c>
      <c r="M46" s="214">
        <f t="shared" si="207"/>
        <v>1</v>
      </c>
      <c r="N46" s="188">
        <v>1</v>
      </c>
      <c r="O46" s="188">
        <f t="shared" si="208"/>
        <v>40</v>
      </c>
      <c r="P46" s="214">
        <f t="shared" si="209"/>
        <v>1</v>
      </c>
      <c r="Q46" s="214">
        <f t="shared" si="210"/>
        <v>1</v>
      </c>
      <c r="R46" s="188">
        <v>1</v>
      </c>
      <c r="S46" s="188">
        <f t="shared" si="211"/>
        <v>40</v>
      </c>
      <c r="T46" s="214">
        <f t="shared" si="212"/>
        <v>1</v>
      </c>
      <c r="U46" s="214">
        <f t="shared" si="213"/>
        <v>1</v>
      </c>
      <c r="V46" s="188">
        <v>1</v>
      </c>
      <c r="W46" s="188">
        <f t="shared" si="214"/>
        <v>40</v>
      </c>
      <c r="X46" s="214">
        <f t="shared" si="215"/>
        <v>1</v>
      </c>
      <c r="Y46" s="214">
        <f t="shared" si="216"/>
        <v>1</v>
      </c>
      <c r="Z46" s="224">
        <f>494968000/1000000000</f>
        <v>0.49496800000000002</v>
      </c>
      <c r="AA46" s="188"/>
      <c r="AB46" s="189">
        <f t="shared" si="120"/>
        <v>0</v>
      </c>
      <c r="AC46" s="250">
        <f t="shared" si="121"/>
        <v>0</v>
      </c>
      <c r="AD46" s="250">
        <f t="shared" si="122"/>
        <v>0</v>
      </c>
      <c r="AE46" s="188"/>
      <c r="AF46" s="188">
        <f t="shared" si="217"/>
        <v>0</v>
      </c>
      <c r="AG46" s="187"/>
      <c r="AH46" s="187"/>
      <c r="AI46" s="188">
        <v>0</v>
      </c>
      <c r="AJ46" s="188">
        <f t="shared" si="218"/>
        <v>0</v>
      </c>
      <c r="AK46" s="188"/>
      <c r="AL46" s="188">
        <v>0</v>
      </c>
      <c r="AM46" s="188">
        <v>0</v>
      </c>
      <c r="AN46" s="217"/>
      <c r="AO46" s="196">
        <f t="shared" si="123"/>
        <v>0</v>
      </c>
      <c r="AP46" s="195"/>
      <c r="AQ46" s="195"/>
      <c r="AR46" s="195"/>
      <c r="AS46" s="195"/>
      <c r="AT46" s="195"/>
      <c r="AU46" s="195"/>
      <c r="AV46" s="195"/>
      <c r="AW46" s="195"/>
      <c r="AX46" s="195"/>
      <c r="AY46" s="195"/>
      <c r="AZ46" s="195"/>
      <c r="BA46" s="195"/>
      <c r="BB46" s="188">
        <f t="shared" si="219"/>
        <v>0</v>
      </c>
      <c r="BC46" s="195"/>
      <c r="BD46" s="196"/>
      <c r="BE46" s="188">
        <f t="shared" si="220"/>
        <v>0</v>
      </c>
      <c r="BF46" s="188">
        <f t="shared" si="221"/>
        <v>0</v>
      </c>
      <c r="BG46" s="188">
        <f t="shared" si="222"/>
        <v>0</v>
      </c>
      <c r="BH46" s="188">
        <f t="shared" si="223"/>
        <v>0</v>
      </c>
      <c r="BI46" s="188">
        <f t="shared" si="224"/>
        <v>0</v>
      </c>
      <c r="BJ46" s="188">
        <f t="shared" si="225"/>
        <v>0</v>
      </c>
      <c r="BK46" s="188">
        <f t="shared" si="124"/>
        <v>0</v>
      </c>
      <c r="BL46" s="195"/>
      <c r="BM46" s="195"/>
      <c r="BN46" s="143"/>
      <c r="BO46" s="277"/>
      <c r="BP46" s="188"/>
      <c r="BQ46" s="188"/>
      <c r="BR46" s="188"/>
      <c r="BS46" s="188"/>
      <c r="BT46" s="188"/>
      <c r="BU46" s="188"/>
      <c r="BV46" s="188"/>
      <c r="BW46" s="188"/>
      <c r="BX46" s="188"/>
      <c r="BY46" s="188"/>
      <c r="BZ46" s="188"/>
      <c r="CA46" s="195"/>
      <c r="CB46" s="188">
        <v>0</v>
      </c>
      <c r="CC46" s="195"/>
      <c r="CD46" s="189">
        <f t="shared" si="125"/>
        <v>0</v>
      </c>
      <c r="CE46" s="189">
        <f t="shared" si="191"/>
        <v>0</v>
      </c>
      <c r="CF46" s="189">
        <f t="shared" si="126"/>
        <v>0</v>
      </c>
      <c r="CG46" s="189">
        <f t="shared" si="127"/>
        <v>0</v>
      </c>
      <c r="CH46" s="189">
        <f t="shared" si="128"/>
        <v>0</v>
      </c>
      <c r="CI46" s="189">
        <f t="shared" si="129"/>
        <v>0</v>
      </c>
      <c r="CJ46" s="189">
        <f t="shared" si="130"/>
        <v>0</v>
      </c>
      <c r="CK46" s="189">
        <f t="shared" si="131"/>
        <v>0</v>
      </c>
      <c r="CL46" s="189">
        <f t="shared" si="132"/>
        <v>0</v>
      </c>
      <c r="CM46" s="189">
        <f t="shared" si="133"/>
        <v>0</v>
      </c>
      <c r="CN46" s="189">
        <f t="shared" si="134"/>
        <v>0</v>
      </c>
      <c r="CO46" s="189">
        <f t="shared" si="135"/>
        <v>0</v>
      </c>
      <c r="CP46" s="189">
        <f t="shared" si="136"/>
        <v>0</v>
      </c>
      <c r="CQ46" s="195"/>
      <c r="CR46" s="195"/>
      <c r="CS46" s="195"/>
      <c r="CT46" s="195"/>
      <c r="CU46" s="195"/>
      <c r="CV46" s="195"/>
      <c r="CW46" s="195"/>
      <c r="CX46" s="195"/>
      <c r="CY46" s="195"/>
      <c r="CZ46" s="195"/>
      <c r="DA46" s="195"/>
      <c r="DB46" s="195"/>
      <c r="DC46" s="195"/>
      <c r="DD46" s="195"/>
      <c r="DE46" s="195"/>
      <c r="DF46" s="195"/>
      <c r="DG46" s="195"/>
      <c r="DH46" s="195"/>
      <c r="DI46" s="195"/>
      <c r="DJ46" s="195"/>
      <c r="DK46" s="195"/>
      <c r="DL46" s="195"/>
      <c r="DM46" s="195"/>
      <c r="DN46" s="195"/>
      <c r="DO46" s="195"/>
      <c r="DP46" s="195"/>
      <c r="DQ46" s="195"/>
      <c r="DR46" s="195"/>
      <c r="DS46" s="195"/>
      <c r="DT46" s="195"/>
      <c r="DU46" s="195"/>
      <c r="DV46" s="189">
        <f t="shared" si="226"/>
        <v>0</v>
      </c>
      <c r="DW46" s="189">
        <f t="shared" si="227"/>
        <v>0</v>
      </c>
      <c r="DX46" s="189">
        <f t="shared" si="228"/>
        <v>0</v>
      </c>
      <c r="DY46" s="189">
        <f t="shared" si="229"/>
        <v>0</v>
      </c>
      <c r="DZ46" s="189">
        <f t="shared" si="230"/>
        <v>0</v>
      </c>
      <c r="EA46" s="189">
        <f t="shared" si="231"/>
        <v>0</v>
      </c>
      <c r="EB46" s="189">
        <f t="shared" si="137"/>
        <v>0</v>
      </c>
      <c r="EC46" s="195"/>
      <c r="ED46" s="195"/>
      <c r="EE46" s="195"/>
      <c r="EF46" s="195"/>
      <c r="EG46" s="252">
        <f t="shared" si="138"/>
        <v>0</v>
      </c>
      <c r="EH46" s="252">
        <f t="shared" si="139"/>
        <v>0</v>
      </c>
      <c r="EI46" s="189"/>
      <c r="EJ46" s="189"/>
      <c r="EK46" s="189"/>
      <c r="EL46" s="189"/>
      <c r="EM46" s="189"/>
      <c r="EN46" s="189"/>
      <c r="EO46" s="189"/>
      <c r="EP46" s="189"/>
      <c r="EQ46" s="189"/>
      <c r="ER46" s="189"/>
      <c r="ES46" s="189"/>
      <c r="ET46" s="189"/>
      <c r="EU46" s="189"/>
      <c r="EV46" s="189"/>
      <c r="EW46" s="189"/>
      <c r="EX46" s="189"/>
      <c r="EY46" s="189"/>
      <c r="EZ46" s="189"/>
      <c r="FA46" s="189"/>
      <c r="FB46" s="189"/>
      <c r="FC46" s="189"/>
      <c r="FD46" s="189"/>
      <c r="FE46" s="189"/>
      <c r="FF46" s="189"/>
      <c r="FG46" s="195"/>
      <c r="FH46" s="189"/>
      <c r="FI46" s="189"/>
      <c r="FJ46" s="189"/>
      <c r="FK46" s="189"/>
      <c r="FL46" s="189"/>
      <c r="FM46" s="189"/>
      <c r="FN46" s="189"/>
      <c r="FO46" s="189"/>
      <c r="FP46" s="189"/>
      <c r="FQ46" s="189"/>
      <c r="FR46" s="189"/>
      <c r="FS46" s="189"/>
      <c r="FT46" s="189"/>
      <c r="FU46" s="189"/>
      <c r="FV46" s="189"/>
      <c r="FW46" s="195"/>
      <c r="FX46" s="253"/>
      <c r="FY46" s="189">
        <f t="shared" si="140"/>
        <v>0</v>
      </c>
      <c r="FZ46" s="189">
        <f t="shared" si="240"/>
        <v>0</v>
      </c>
      <c r="GA46" s="189">
        <f t="shared" si="241"/>
        <v>0</v>
      </c>
      <c r="GB46" s="189">
        <f t="shared" si="242"/>
        <v>0</v>
      </c>
      <c r="GC46" s="189">
        <f t="shared" si="243"/>
        <v>0</v>
      </c>
      <c r="GD46" s="189">
        <f t="shared" si="244"/>
        <v>0</v>
      </c>
      <c r="GE46" s="189">
        <f t="shared" si="245"/>
        <v>0</v>
      </c>
      <c r="GF46" s="199"/>
      <c r="GG46" s="189">
        <v>0</v>
      </c>
      <c r="GH46" s="189">
        <v>0</v>
      </c>
      <c r="GI46" s="199"/>
      <c r="GJ46" s="200">
        <f t="shared" si="141"/>
        <v>0</v>
      </c>
      <c r="GK46" s="200">
        <f t="shared" si="142"/>
        <v>0</v>
      </c>
      <c r="GL46" s="195"/>
      <c r="GM46" s="195"/>
      <c r="GN46" s="195"/>
      <c r="GO46" s="189">
        <f t="shared" si="246"/>
        <v>0</v>
      </c>
      <c r="GP46" s="189">
        <f t="shared" si="247"/>
        <v>0</v>
      </c>
      <c r="GQ46" s="189">
        <f t="shared" si="248"/>
        <v>0</v>
      </c>
      <c r="GR46" s="189">
        <f t="shared" si="249"/>
        <v>0</v>
      </c>
      <c r="GS46" s="189">
        <f t="shared" si="250"/>
        <v>0</v>
      </c>
      <c r="GT46" s="189">
        <f t="shared" si="143"/>
        <v>1</v>
      </c>
      <c r="GU46" s="201">
        <f t="shared" si="144"/>
        <v>43243</v>
      </c>
      <c r="GV46" s="189" t="str">
        <f t="shared" si="145"/>
        <v>SELESAI</v>
      </c>
      <c r="GW46" s="189">
        <f t="shared" si="146"/>
        <v>0</v>
      </c>
      <c r="GX46" s="202" t="str">
        <f t="shared" si="147"/>
        <v>SELESAI</v>
      </c>
      <c r="GY46" s="202">
        <f t="shared" si="148"/>
        <v>0</v>
      </c>
      <c r="GZ46" s="203" t="str">
        <f t="shared" si="149"/>
        <v>SELESAI</v>
      </c>
      <c r="HA46" s="204"/>
      <c r="HB46" s="204"/>
      <c r="HC46" s="189">
        <f t="shared" si="251"/>
        <v>0</v>
      </c>
      <c r="HD46" s="189">
        <f t="shared" si="252"/>
        <v>0</v>
      </c>
      <c r="HE46" s="189">
        <f t="shared" si="150"/>
        <v>0</v>
      </c>
      <c r="HF46" s="189">
        <f t="shared" si="151"/>
        <v>0</v>
      </c>
      <c r="HG46" s="189">
        <f t="shared" si="152"/>
        <v>0</v>
      </c>
      <c r="HH46" s="201" t="str">
        <f t="shared" si="46"/>
        <v>TIDAK KONSINYASI</v>
      </c>
      <c r="HI46" s="201" t="str">
        <f t="shared" si="153"/>
        <v>SELESAI</v>
      </c>
      <c r="HJ46" s="205"/>
      <c r="HK46" s="201">
        <f t="shared" si="47"/>
        <v>0</v>
      </c>
      <c r="HL46" s="204"/>
      <c r="HM46" s="204"/>
      <c r="HN46" s="204"/>
      <c r="HO46" s="204"/>
      <c r="HP46" s="203">
        <f t="shared" si="154"/>
        <v>0</v>
      </c>
      <c r="HQ46" s="202">
        <f t="shared" si="155"/>
        <v>0</v>
      </c>
      <c r="HR46" s="202">
        <f t="shared" si="253"/>
        <v>0</v>
      </c>
      <c r="HS46" s="203">
        <f t="shared" si="156"/>
        <v>0</v>
      </c>
      <c r="HT46" s="202">
        <f t="shared" si="157"/>
        <v>0</v>
      </c>
      <c r="HU46" s="202">
        <f t="shared" si="254"/>
        <v>0</v>
      </c>
      <c r="HV46" s="203">
        <f t="shared" si="158"/>
        <v>0</v>
      </c>
      <c r="HW46" s="202">
        <f t="shared" si="50"/>
        <v>0</v>
      </c>
      <c r="HX46" s="202">
        <f t="shared" si="255"/>
        <v>0</v>
      </c>
      <c r="HY46" s="203">
        <f t="shared" si="52"/>
        <v>0</v>
      </c>
      <c r="HZ46" s="202">
        <f t="shared" si="159"/>
        <v>0</v>
      </c>
      <c r="IA46" s="202">
        <f t="shared" si="256"/>
        <v>0</v>
      </c>
      <c r="IB46" s="203">
        <f t="shared" si="160"/>
        <v>0</v>
      </c>
      <c r="IC46" s="202">
        <f t="shared" si="54"/>
        <v>0</v>
      </c>
      <c r="ID46" s="202">
        <f t="shared" si="257"/>
        <v>0</v>
      </c>
      <c r="IE46" s="203">
        <f t="shared" si="56"/>
        <v>0</v>
      </c>
      <c r="IF46" s="202">
        <f t="shared" si="57"/>
        <v>0</v>
      </c>
      <c r="IG46" s="202">
        <f t="shared" si="258"/>
        <v>0</v>
      </c>
      <c r="IH46" s="203">
        <f t="shared" si="161"/>
        <v>0</v>
      </c>
      <c r="II46" s="202">
        <f t="shared" si="162"/>
        <v>0</v>
      </c>
      <c r="IJ46" s="202">
        <f t="shared" si="259"/>
        <v>0</v>
      </c>
      <c r="IK46" s="203">
        <f t="shared" si="60"/>
        <v>0</v>
      </c>
      <c r="IL46" s="202">
        <f t="shared" si="61"/>
        <v>0</v>
      </c>
      <c r="IM46" s="202">
        <f t="shared" si="260"/>
        <v>0</v>
      </c>
      <c r="IN46" s="204"/>
      <c r="IO46" s="203">
        <f t="shared" si="63"/>
        <v>0</v>
      </c>
      <c r="IP46" s="202">
        <f t="shared" si="261"/>
        <v>0</v>
      </c>
      <c r="IQ46" s="202">
        <f t="shared" si="262"/>
        <v>0</v>
      </c>
      <c r="IR46" s="204"/>
      <c r="IS46" s="203"/>
      <c r="IT46" s="202">
        <f t="shared" si="263"/>
        <v>1</v>
      </c>
      <c r="IU46" s="202">
        <f t="shared" si="264"/>
        <v>40</v>
      </c>
      <c r="IV46" s="204"/>
      <c r="IW46" s="203"/>
      <c r="IX46" s="202">
        <f t="shared" si="265"/>
        <v>0</v>
      </c>
      <c r="IY46" s="202">
        <f t="shared" si="266"/>
        <v>0</v>
      </c>
      <c r="IZ46" s="204"/>
      <c r="JA46" s="203"/>
      <c r="JB46" s="202">
        <f t="shared" si="267"/>
        <v>0</v>
      </c>
      <c r="JC46" s="202">
        <f t="shared" si="268"/>
        <v>0</v>
      </c>
      <c r="JD46" s="204"/>
      <c r="JE46" s="203"/>
      <c r="JF46" s="202">
        <f t="shared" si="163"/>
        <v>1</v>
      </c>
      <c r="JG46" s="202">
        <f t="shared" si="72"/>
        <v>40</v>
      </c>
      <c r="JH46" s="204"/>
      <c r="JI46" s="203"/>
      <c r="JJ46" s="202">
        <f t="shared" si="269"/>
        <v>0</v>
      </c>
      <c r="JK46" s="202">
        <f t="shared" si="270"/>
        <v>0</v>
      </c>
      <c r="JL46" s="195"/>
      <c r="JM46" s="203">
        <f t="shared" si="164"/>
        <v>0</v>
      </c>
      <c r="JN46" s="195"/>
      <c r="JO46" s="196">
        <f t="shared" si="75"/>
        <v>0</v>
      </c>
      <c r="JP46" s="206">
        <f t="shared" si="271"/>
        <v>0</v>
      </c>
      <c r="JQ46" s="206">
        <f t="shared" si="272"/>
        <v>0</v>
      </c>
      <c r="JR46" s="206">
        <f t="shared" si="273"/>
        <v>0</v>
      </c>
      <c r="JS46" s="206">
        <f t="shared" si="274"/>
        <v>0</v>
      </c>
      <c r="JT46" s="206">
        <f t="shared" si="275"/>
        <v>0</v>
      </c>
      <c r="JU46" s="206">
        <f t="shared" si="276"/>
        <v>0</v>
      </c>
      <c r="JV46" s="206">
        <f t="shared" si="277"/>
        <v>0</v>
      </c>
      <c r="JW46" s="206">
        <f t="shared" si="278"/>
        <v>0</v>
      </c>
      <c r="JX46" s="206">
        <f t="shared" si="279"/>
        <v>0</v>
      </c>
      <c r="JY46" s="206">
        <f t="shared" si="280"/>
        <v>0</v>
      </c>
      <c r="JZ46" s="206">
        <f t="shared" si="281"/>
        <v>0</v>
      </c>
      <c r="KA46" s="206">
        <f t="shared" si="282"/>
        <v>0</v>
      </c>
      <c r="KB46" s="206">
        <f t="shared" si="283"/>
        <v>0</v>
      </c>
      <c r="KC46" s="195"/>
      <c r="KD46" s="206">
        <f t="shared" si="165"/>
        <v>0</v>
      </c>
      <c r="KE46" s="206">
        <f t="shared" si="90"/>
        <v>0</v>
      </c>
      <c r="KF46" s="206">
        <f t="shared" si="284"/>
        <v>0</v>
      </c>
      <c r="KG46" s="206">
        <f t="shared" si="285"/>
        <v>0</v>
      </c>
      <c r="KH46" s="206">
        <f t="shared" si="286"/>
        <v>0</v>
      </c>
      <c r="KI46" s="206">
        <f t="shared" si="287"/>
        <v>0</v>
      </c>
      <c r="KJ46" s="206">
        <f t="shared" si="288"/>
        <v>0</v>
      </c>
      <c r="KK46" s="206">
        <f t="shared" si="289"/>
        <v>0</v>
      </c>
      <c r="KL46" s="206">
        <f t="shared" si="290"/>
        <v>0</v>
      </c>
      <c r="KM46" s="206">
        <f t="shared" si="291"/>
        <v>0</v>
      </c>
      <c r="KN46" s="221">
        <f t="shared" si="292"/>
        <v>0</v>
      </c>
      <c r="KO46" s="221">
        <f t="shared" si="293"/>
        <v>0</v>
      </c>
      <c r="KP46" s="221">
        <f t="shared" si="294"/>
        <v>0</v>
      </c>
      <c r="KQ46" s="221">
        <f t="shared" si="295"/>
        <v>0</v>
      </c>
      <c r="KR46" s="221">
        <f t="shared" si="296"/>
        <v>0</v>
      </c>
      <c r="KS46" s="195"/>
      <c r="KT46" s="195">
        <f t="shared" si="297"/>
        <v>0</v>
      </c>
      <c r="KU46" s="221"/>
      <c r="KV46" s="221"/>
      <c r="KW46" s="221"/>
      <c r="KX46" s="221"/>
      <c r="KY46" s="221"/>
      <c r="KZ46" s="221"/>
      <c r="LA46" s="221"/>
      <c r="LB46" s="221"/>
      <c r="LC46" s="221"/>
      <c r="LD46" s="221"/>
      <c r="LE46" s="221"/>
      <c r="LF46" s="221"/>
      <c r="LG46" s="221"/>
      <c r="LH46" s="221"/>
      <c r="LI46" s="221"/>
      <c r="LJ46" s="221"/>
      <c r="LK46" s="221"/>
      <c r="LL46" s="221"/>
      <c r="LM46" s="221"/>
      <c r="LN46" s="221"/>
      <c r="LO46" s="221"/>
      <c r="LP46" s="221"/>
      <c r="LQ46" s="221"/>
      <c r="LR46" s="221"/>
      <c r="LS46" s="221"/>
      <c r="LT46" s="221"/>
      <c r="LU46" s="221"/>
      <c r="LV46" s="221"/>
      <c r="LW46" s="221"/>
      <c r="LX46" s="221"/>
      <c r="LY46" s="221"/>
      <c r="LZ46" s="221"/>
      <c r="MA46" s="221"/>
      <c r="MB46" s="221"/>
      <c r="MC46" s="221"/>
      <c r="MD46" s="221"/>
      <c r="ME46" s="221"/>
      <c r="MF46" s="221"/>
      <c r="MG46" s="221"/>
      <c r="MH46" s="221"/>
      <c r="MI46" s="221"/>
      <c r="MJ46" s="221"/>
      <c r="MK46" s="221"/>
      <c r="ML46" s="221"/>
      <c r="MM46" s="221"/>
      <c r="MN46" s="221"/>
      <c r="MO46" s="221"/>
      <c r="MP46" s="221"/>
      <c r="MQ46" s="221"/>
      <c r="MR46" s="221"/>
      <c r="MS46" s="221"/>
      <c r="MT46" s="221"/>
      <c r="MU46" s="221"/>
      <c r="MV46" s="221"/>
      <c r="MW46" s="221"/>
      <c r="MX46" s="221"/>
      <c r="MY46" s="221"/>
      <c r="MZ46" s="221"/>
      <c r="NA46" s="221"/>
      <c r="NB46" s="221"/>
      <c r="NC46" s="221"/>
      <c r="ND46" s="221"/>
      <c r="NE46" s="221"/>
      <c r="NF46" s="221"/>
      <c r="NG46" s="221"/>
      <c r="NH46" s="221"/>
      <c r="NI46" s="221"/>
      <c r="NJ46" s="221"/>
      <c r="NK46" s="221"/>
      <c r="NL46" s="195"/>
      <c r="NM46" s="195">
        <f t="shared" si="166"/>
        <v>0</v>
      </c>
      <c r="NN46" s="195">
        <f t="shared" si="167"/>
        <v>0</v>
      </c>
      <c r="NO46" s="195">
        <f t="shared" si="168"/>
        <v>0</v>
      </c>
      <c r="NP46" s="195">
        <f t="shared" si="169"/>
        <v>0</v>
      </c>
      <c r="NQ46" s="195">
        <f t="shared" si="170"/>
        <v>0</v>
      </c>
      <c r="NR46" s="195">
        <f t="shared" si="171"/>
        <v>0</v>
      </c>
      <c r="NS46" s="195">
        <f t="shared" si="172"/>
        <v>0</v>
      </c>
      <c r="NT46" s="195">
        <f t="shared" si="173"/>
        <v>0</v>
      </c>
      <c r="NU46" s="196">
        <f t="shared" si="174"/>
        <v>0</v>
      </c>
      <c r="NV46" s="195"/>
      <c r="NW46" s="195"/>
      <c r="NX46" s="195"/>
      <c r="NY46" s="196">
        <f t="shared" si="232"/>
        <v>1</v>
      </c>
      <c r="NZ46" s="222">
        <f>266560000/32</f>
        <v>8330000</v>
      </c>
      <c r="OA46" s="195"/>
      <c r="OB46" s="195"/>
      <c r="OC46" s="195"/>
      <c r="OD46" s="195"/>
      <c r="OE46" s="207">
        <f t="shared" si="233"/>
        <v>0</v>
      </c>
      <c r="OF46" s="207">
        <f t="shared" si="234"/>
        <v>0</v>
      </c>
      <c r="OG46" s="207">
        <f t="shared" si="235"/>
        <v>0</v>
      </c>
      <c r="OH46" s="207">
        <f t="shared" si="175"/>
        <v>0</v>
      </c>
      <c r="OI46" s="207">
        <f t="shared" si="236"/>
        <v>0</v>
      </c>
      <c r="OJ46" s="199">
        <f t="shared" si="176"/>
        <v>0</v>
      </c>
      <c r="OK46" s="199">
        <f t="shared" si="177"/>
        <v>0</v>
      </c>
      <c r="OL46" s="199">
        <f t="shared" si="178"/>
        <v>0</v>
      </c>
      <c r="OM46" s="199">
        <f t="shared" si="179"/>
        <v>0</v>
      </c>
      <c r="ON46" s="195"/>
      <c r="OO46" s="207">
        <f t="shared" si="237"/>
        <v>0</v>
      </c>
      <c r="OP46" s="207">
        <f t="shared" si="238"/>
        <v>0</v>
      </c>
      <c r="OQ46" s="207">
        <f t="shared" si="180"/>
        <v>0</v>
      </c>
      <c r="OR46" s="207">
        <f t="shared" si="181"/>
        <v>0</v>
      </c>
      <c r="OS46" s="207">
        <f t="shared" si="182"/>
        <v>0</v>
      </c>
      <c r="OT46" s="199">
        <f t="shared" si="183"/>
        <v>0</v>
      </c>
      <c r="OU46" s="199">
        <f t="shared" si="184"/>
        <v>0</v>
      </c>
      <c r="OV46" s="199">
        <f t="shared" si="185"/>
        <v>0</v>
      </c>
      <c r="OW46" s="199">
        <f t="shared" si="186"/>
        <v>0</v>
      </c>
      <c r="OX46" s="195"/>
      <c r="OY46" s="195"/>
      <c r="OZ46" s="195"/>
      <c r="PA46" s="209"/>
      <c r="PB46" s="209"/>
      <c r="PC46" s="209"/>
      <c r="PD46" s="210">
        <f t="shared" si="113"/>
        <v>0</v>
      </c>
      <c r="PE46" s="210"/>
      <c r="PF46" s="210">
        <f t="shared" si="114"/>
        <v>0</v>
      </c>
      <c r="PG46" s="210">
        <f t="shared" si="115"/>
        <v>0</v>
      </c>
      <c r="PH46" s="210">
        <f t="shared" si="115"/>
        <v>0</v>
      </c>
      <c r="PI46" s="210">
        <f t="shared" si="115"/>
        <v>0</v>
      </c>
      <c r="PJ46" s="210">
        <f t="shared" si="115"/>
        <v>0</v>
      </c>
      <c r="PK46" s="210">
        <f t="shared" si="115"/>
        <v>0</v>
      </c>
      <c r="PL46" s="210">
        <f t="shared" si="115"/>
        <v>0</v>
      </c>
      <c r="PM46" s="195"/>
      <c r="PN46" s="195"/>
      <c r="PO46" s="212">
        <f t="shared" si="187"/>
        <v>0</v>
      </c>
      <c r="PP46" s="212">
        <f t="shared" si="188"/>
        <v>0</v>
      </c>
      <c r="PQ46" s="212">
        <f t="shared" si="189"/>
        <v>0</v>
      </c>
    </row>
    <row r="47" spans="1:433" ht="16" x14ac:dyDescent="0.2">
      <c r="A47" s="213">
        <f t="shared" si="190"/>
        <v>38</v>
      </c>
      <c r="B47" s="186" t="s">
        <v>119</v>
      </c>
      <c r="C47" s="186">
        <v>40</v>
      </c>
      <c r="D47" s="188">
        <v>1</v>
      </c>
      <c r="E47" s="188">
        <v>83</v>
      </c>
      <c r="F47" s="188">
        <v>1</v>
      </c>
      <c r="G47" s="188">
        <f t="shared" si="239"/>
        <v>83</v>
      </c>
      <c r="H47" s="214">
        <f t="shared" si="203"/>
        <v>1</v>
      </c>
      <c r="I47" s="214">
        <f t="shared" si="204"/>
        <v>1</v>
      </c>
      <c r="J47" s="188">
        <v>1</v>
      </c>
      <c r="K47" s="188">
        <f t="shared" si="205"/>
        <v>83</v>
      </c>
      <c r="L47" s="214">
        <f t="shared" si="206"/>
        <v>1</v>
      </c>
      <c r="M47" s="214">
        <f t="shared" si="207"/>
        <v>1</v>
      </c>
      <c r="N47" s="188">
        <v>1</v>
      </c>
      <c r="O47" s="188">
        <f t="shared" si="208"/>
        <v>83</v>
      </c>
      <c r="P47" s="214">
        <f t="shared" si="209"/>
        <v>1</v>
      </c>
      <c r="Q47" s="214">
        <f t="shared" si="210"/>
        <v>1</v>
      </c>
      <c r="R47" s="188">
        <v>1</v>
      </c>
      <c r="S47" s="188">
        <f t="shared" si="211"/>
        <v>83</v>
      </c>
      <c r="T47" s="214">
        <f t="shared" si="212"/>
        <v>1</v>
      </c>
      <c r="U47" s="214">
        <f t="shared" si="213"/>
        <v>1</v>
      </c>
      <c r="V47" s="188">
        <v>1</v>
      </c>
      <c r="W47" s="188">
        <f t="shared" si="214"/>
        <v>83</v>
      </c>
      <c r="X47" s="214">
        <f t="shared" si="215"/>
        <v>1</v>
      </c>
      <c r="Y47" s="214">
        <f t="shared" si="216"/>
        <v>1</v>
      </c>
      <c r="Z47" s="224">
        <f>1047727000/1000000000</f>
        <v>1.0477270000000001</v>
      </c>
      <c r="AA47" s="188"/>
      <c r="AB47" s="189">
        <f t="shared" si="120"/>
        <v>0</v>
      </c>
      <c r="AC47" s="250">
        <f t="shared" si="121"/>
        <v>0</v>
      </c>
      <c r="AD47" s="250">
        <f t="shared" si="122"/>
        <v>0</v>
      </c>
      <c r="AE47" s="188"/>
      <c r="AF47" s="188">
        <f t="shared" si="217"/>
        <v>0</v>
      </c>
      <c r="AG47" s="187"/>
      <c r="AH47" s="187"/>
      <c r="AI47" s="188">
        <v>0</v>
      </c>
      <c r="AJ47" s="188">
        <f t="shared" si="218"/>
        <v>0</v>
      </c>
      <c r="AK47" s="188"/>
      <c r="AL47" s="188">
        <v>0</v>
      </c>
      <c r="AM47" s="188">
        <v>0</v>
      </c>
      <c r="AN47" s="217"/>
      <c r="AO47" s="196">
        <f t="shared" si="123"/>
        <v>0</v>
      </c>
      <c r="AP47" s="195"/>
      <c r="AQ47" s="195"/>
      <c r="AR47" s="195"/>
      <c r="AS47" s="195"/>
      <c r="AT47" s="195"/>
      <c r="AU47" s="195"/>
      <c r="AV47" s="195"/>
      <c r="AW47" s="195"/>
      <c r="AX47" s="195"/>
      <c r="AY47" s="195"/>
      <c r="AZ47" s="195"/>
      <c r="BA47" s="195"/>
      <c r="BB47" s="188">
        <f t="shared" si="219"/>
        <v>0</v>
      </c>
      <c r="BC47" s="195"/>
      <c r="BD47" s="196"/>
      <c r="BE47" s="188">
        <f t="shared" si="220"/>
        <v>0</v>
      </c>
      <c r="BF47" s="188">
        <f t="shared" si="221"/>
        <v>0</v>
      </c>
      <c r="BG47" s="188">
        <f t="shared" si="222"/>
        <v>0</v>
      </c>
      <c r="BH47" s="188">
        <f t="shared" si="223"/>
        <v>0</v>
      </c>
      <c r="BI47" s="188">
        <f t="shared" si="224"/>
        <v>0</v>
      </c>
      <c r="BJ47" s="188">
        <f t="shared" si="225"/>
        <v>0</v>
      </c>
      <c r="BK47" s="188">
        <f t="shared" si="124"/>
        <v>0</v>
      </c>
      <c r="BL47" s="195"/>
      <c r="BM47" s="195"/>
      <c r="BN47" s="277"/>
      <c r="BO47" s="283"/>
      <c r="BP47" s="188"/>
      <c r="BQ47" s="188"/>
      <c r="BR47" s="188"/>
      <c r="BS47" s="188"/>
      <c r="BT47" s="188"/>
      <c r="BU47" s="188"/>
      <c r="BV47" s="188"/>
      <c r="BW47" s="188"/>
      <c r="BX47" s="188"/>
      <c r="BY47" s="188"/>
      <c r="BZ47" s="188"/>
      <c r="CA47" s="195"/>
      <c r="CB47" s="188">
        <v>0</v>
      </c>
      <c r="CC47" s="195"/>
      <c r="CD47" s="189">
        <f t="shared" si="125"/>
        <v>0</v>
      </c>
      <c r="CE47" s="189">
        <f t="shared" si="191"/>
        <v>0</v>
      </c>
      <c r="CF47" s="189">
        <f t="shared" si="126"/>
        <v>0</v>
      </c>
      <c r="CG47" s="189">
        <f t="shared" si="127"/>
        <v>0</v>
      </c>
      <c r="CH47" s="189">
        <f t="shared" si="128"/>
        <v>0</v>
      </c>
      <c r="CI47" s="189">
        <f t="shared" si="129"/>
        <v>0</v>
      </c>
      <c r="CJ47" s="189">
        <f t="shared" si="130"/>
        <v>0</v>
      </c>
      <c r="CK47" s="189">
        <f t="shared" si="131"/>
        <v>0</v>
      </c>
      <c r="CL47" s="189">
        <f t="shared" si="132"/>
        <v>0</v>
      </c>
      <c r="CM47" s="189">
        <f t="shared" si="133"/>
        <v>0</v>
      </c>
      <c r="CN47" s="189">
        <f t="shared" si="134"/>
        <v>0</v>
      </c>
      <c r="CO47" s="189">
        <f t="shared" si="135"/>
        <v>0</v>
      </c>
      <c r="CP47" s="189">
        <f t="shared" si="136"/>
        <v>0</v>
      </c>
      <c r="CQ47" s="195"/>
      <c r="CR47" s="195"/>
      <c r="CS47" s="195"/>
      <c r="CT47" s="195"/>
      <c r="CU47" s="195"/>
      <c r="CV47" s="195"/>
      <c r="CW47" s="195"/>
      <c r="CX47" s="195"/>
      <c r="CY47" s="195"/>
      <c r="CZ47" s="195"/>
      <c r="DA47" s="195"/>
      <c r="DB47" s="195"/>
      <c r="DC47" s="195"/>
      <c r="DD47" s="195"/>
      <c r="DE47" s="195"/>
      <c r="DF47" s="195"/>
      <c r="DG47" s="195"/>
      <c r="DH47" s="195"/>
      <c r="DI47" s="195"/>
      <c r="DJ47" s="195"/>
      <c r="DK47" s="195"/>
      <c r="DL47" s="195"/>
      <c r="DM47" s="195"/>
      <c r="DN47" s="195"/>
      <c r="DO47" s="195"/>
      <c r="DP47" s="195"/>
      <c r="DQ47" s="195"/>
      <c r="DR47" s="195"/>
      <c r="DS47" s="195"/>
      <c r="DT47" s="195"/>
      <c r="DU47" s="195"/>
      <c r="DV47" s="189">
        <f t="shared" si="226"/>
        <v>0</v>
      </c>
      <c r="DW47" s="189">
        <f t="shared" si="227"/>
        <v>0</v>
      </c>
      <c r="DX47" s="189">
        <f t="shared" si="228"/>
        <v>0</v>
      </c>
      <c r="DY47" s="189">
        <f t="shared" si="229"/>
        <v>0</v>
      </c>
      <c r="DZ47" s="189">
        <f t="shared" si="230"/>
        <v>0</v>
      </c>
      <c r="EA47" s="189">
        <f t="shared" si="231"/>
        <v>0</v>
      </c>
      <c r="EB47" s="189">
        <f t="shared" si="137"/>
        <v>0</v>
      </c>
      <c r="EC47" s="195"/>
      <c r="ED47" s="195"/>
      <c r="EE47" s="195"/>
      <c r="EF47" s="195"/>
      <c r="EG47" s="252">
        <f t="shared" si="138"/>
        <v>0</v>
      </c>
      <c r="EH47" s="252">
        <f t="shared" si="139"/>
        <v>0</v>
      </c>
      <c r="EI47" s="189"/>
      <c r="EJ47" s="189"/>
      <c r="EK47" s="189"/>
      <c r="EL47" s="189"/>
      <c r="EM47" s="189"/>
      <c r="EN47" s="189"/>
      <c r="EO47" s="189"/>
      <c r="EP47" s="189"/>
      <c r="EQ47" s="189"/>
      <c r="ER47" s="189"/>
      <c r="ES47" s="189"/>
      <c r="ET47" s="189"/>
      <c r="EU47" s="189"/>
      <c r="EV47" s="189"/>
      <c r="EW47" s="189"/>
      <c r="EX47" s="189"/>
      <c r="EY47" s="189"/>
      <c r="EZ47" s="189"/>
      <c r="FA47" s="189"/>
      <c r="FB47" s="189"/>
      <c r="FC47" s="189"/>
      <c r="FD47" s="189"/>
      <c r="FE47" s="189"/>
      <c r="FF47" s="189"/>
      <c r="FG47" s="195"/>
      <c r="FH47" s="189"/>
      <c r="FI47" s="189"/>
      <c r="FJ47" s="189"/>
      <c r="FK47" s="189"/>
      <c r="FL47" s="189"/>
      <c r="FM47" s="189"/>
      <c r="FN47" s="189"/>
      <c r="FO47" s="189"/>
      <c r="FP47" s="189"/>
      <c r="FQ47" s="189"/>
      <c r="FR47" s="189"/>
      <c r="FS47" s="189"/>
      <c r="FT47" s="189"/>
      <c r="FU47" s="189"/>
      <c r="FV47" s="189"/>
      <c r="FW47" s="195"/>
      <c r="FX47" s="253"/>
      <c r="FY47" s="189">
        <f t="shared" si="140"/>
        <v>0</v>
      </c>
      <c r="FZ47" s="189">
        <f t="shared" si="240"/>
        <v>0</v>
      </c>
      <c r="GA47" s="189">
        <f t="shared" si="241"/>
        <v>0</v>
      </c>
      <c r="GB47" s="189">
        <f t="shared" si="242"/>
        <v>0</v>
      </c>
      <c r="GC47" s="189">
        <f t="shared" si="243"/>
        <v>0</v>
      </c>
      <c r="GD47" s="189">
        <f t="shared" si="244"/>
        <v>0</v>
      </c>
      <c r="GE47" s="189">
        <f t="shared" si="245"/>
        <v>0</v>
      </c>
      <c r="GF47" s="199"/>
      <c r="GG47" s="189">
        <v>0</v>
      </c>
      <c r="GH47" s="189">
        <v>0</v>
      </c>
      <c r="GI47" s="199"/>
      <c r="GJ47" s="200">
        <f t="shared" si="141"/>
        <v>0</v>
      </c>
      <c r="GK47" s="200">
        <f t="shared" si="142"/>
        <v>0</v>
      </c>
      <c r="GL47" s="195"/>
      <c r="GM47" s="195"/>
      <c r="GN47" s="195"/>
      <c r="GO47" s="189">
        <f t="shared" si="246"/>
        <v>0</v>
      </c>
      <c r="GP47" s="189">
        <f t="shared" si="247"/>
        <v>0</v>
      </c>
      <c r="GQ47" s="189">
        <f t="shared" si="248"/>
        <v>0</v>
      </c>
      <c r="GR47" s="189">
        <f t="shared" si="249"/>
        <v>0</v>
      </c>
      <c r="GS47" s="189">
        <f t="shared" si="250"/>
        <v>0</v>
      </c>
      <c r="GT47" s="189">
        <f t="shared" si="143"/>
        <v>1</v>
      </c>
      <c r="GU47" s="201">
        <f t="shared" si="144"/>
        <v>43243</v>
      </c>
      <c r="GV47" s="189" t="str">
        <f t="shared" si="145"/>
        <v>SELESAI</v>
      </c>
      <c r="GW47" s="189">
        <f t="shared" si="146"/>
        <v>0</v>
      </c>
      <c r="GX47" s="202" t="str">
        <f t="shared" si="147"/>
        <v>SELESAI</v>
      </c>
      <c r="GY47" s="202">
        <f t="shared" si="148"/>
        <v>0</v>
      </c>
      <c r="GZ47" s="203" t="str">
        <f t="shared" si="149"/>
        <v>SELESAI</v>
      </c>
      <c r="HA47" s="204"/>
      <c r="HB47" s="204"/>
      <c r="HC47" s="189">
        <f t="shared" si="251"/>
        <v>0</v>
      </c>
      <c r="HD47" s="189">
        <f t="shared" si="252"/>
        <v>0</v>
      </c>
      <c r="HE47" s="189">
        <f t="shared" si="150"/>
        <v>0</v>
      </c>
      <c r="HF47" s="189">
        <f t="shared" si="151"/>
        <v>0</v>
      </c>
      <c r="HG47" s="189">
        <f t="shared" si="152"/>
        <v>0</v>
      </c>
      <c r="HH47" s="201" t="str">
        <f t="shared" si="46"/>
        <v>TIDAK KONSINYASI</v>
      </c>
      <c r="HI47" s="201" t="str">
        <f t="shared" si="153"/>
        <v>SELESAI</v>
      </c>
      <c r="HJ47" s="205"/>
      <c r="HK47" s="201">
        <f t="shared" si="47"/>
        <v>0</v>
      </c>
      <c r="HL47" s="204"/>
      <c r="HM47" s="204"/>
      <c r="HN47" s="204"/>
      <c r="HO47" s="204"/>
      <c r="HP47" s="203">
        <f t="shared" si="154"/>
        <v>0</v>
      </c>
      <c r="HQ47" s="202">
        <f t="shared" si="155"/>
        <v>0</v>
      </c>
      <c r="HR47" s="202">
        <f t="shared" si="253"/>
        <v>0</v>
      </c>
      <c r="HS47" s="203">
        <f t="shared" si="156"/>
        <v>0</v>
      </c>
      <c r="HT47" s="202">
        <f t="shared" si="157"/>
        <v>0</v>
      </c>
      <c r="HU47" s="202">
        <f t="shared" si="254"/>
        <v>0</v>
      </c>
      <c r="HV47" s="203">
        <f t="shared" si="158"/>
        <v>0</v>
      </c>
      <c r="HW47" s="202">
        <f t="shared" si="50"/>
        <v>0</v>
      </c>
      <c r="HX47" s="202">
        <f t="shared" si="255"/>
        <v>0</v>
      </c>
      <c r="HY47" s="203">
        <f t="shared" si="52"/>
        <v>0</v>
      </c>
      <c r="HZ47" s="202">
        <f t="shared" si="159"/>
        <v>0</v>
      </c>
      <c r="IA47" s="202">
        <f t="shared" si="256"/>
        <v>0</v>
      </c>
      <c r="IB47" s="203">
        <f t="shared" si="160"/>
        <v>0</v>
      </c>
      <c r="IC47" s="202">
        <f t="shared" si="54"/>
        <v>0</v>
      </c>
      <c r="ID47" s="202">
        <f t="shared" si="257"/>
        <v>0</v>
      </c>
      <c r="IE47" s="203">
        <f t="shared" si="56"/>
        <v>0</v>
      </c>
      <c r="IF47" s="202">
        <f t="shared" si="57"/>
        <v>0</v>
      </c>
      <c r="IG47" s="202">
        <f t="shared" si="258"/>
        <v>0</v>
      </c>
      <c r="IH47" s="203">
        <f t="shared" si="161"/>
        <v>0</v>
      </c>
      <c r="II47" s="202">
        <f t="shared" si="162"/>
        <v>0</v>
      </c>
      <c r="IJ47" s="202">
        <f t="shared" si="259"/>
        <v>0</v>
      </c>
      <c r="IK47" s="203">
        <f t="shared" si="60"/>
        <v>0</v>
      </c>
      <c r="IL47" s="202">
        <f t="shared" si="61"/>
        <v>0</v>
      </c>
      <c r="IM47" s="202">
        <f t="shared" si="260"/>
        <v>0</v>
      </c>
      <c r="IN47" s="204"/>
      <c r="IO47" s="203">
        <f t="shared" si="63"/>
        <v>0</v>
      </c>
      <c r="IP47" s="202">
        <f t="shared" si="261"/>
        <v>0</v>
      </c>
      <c r="IQ47" s="202">
        <f t="shared" si="262"/>
        <v>0</v>
      </c>
      <c r="IR47" s="204"/>
      <c r="IS47" s="203"/>
      <c r="IT47" s="202">
        <f t="shared" si="263"/>
        <v>1</v>
      </c>
      <c r="IU47" s="202">
        <f t="shared" si="264"/>
        <v>83</v>
      </c>
      <c r="IV47" s="204"/>
      <c r="IW47" s="203"/>
      <c r="IX47" s="202">
        <f t="shared" si="265"/>
        <v>0</v>
      </c>
      <c r="IY47" s="202">
        <f t="shared" si="266"/>
        <v>0</v>
      </c>
      <c r="IZ47" s="204"/>
      <c r="JA47" s="203"/>
      <c r="JB47" s="202">
        <f t="shared" si="267"/>
        <v>0</v>
      </c>
      <c r="JC47" s="202">
        <f t="shared" si="268"/>
        <v>0</v>
      </c>
      <c r="JD47" s="204"/>
      <c r="JE47" s="203"/>
      <c r="JF47" s="202">
        <f t="shared" si="163"/>
        <v>1</v>
      </c>
      <c r="JG47" s="202">
        <f t="shared" si="72"/>
        <v>83</v>
      </c>
      <c r="JH47" s="204"/>
      <c r="JI47" s="203"/>
      <c r="JJ47" s="202">
        <f t="shared" si="269"/>
        <v>0</v>
      </c>
      <c r="JK47" s="202">
        <f t="shared" si="270"/>
        <v>0</v>
      </c>
      <c r="JL47" s="195"/>
      <c r="JM47" s="203">
        <f t="shared" si="164"/>
        <v>0</v>
      </c>
      <c r="JN47" s="195"/>
      <c r="JO47" s="196">
        <f t="shared" si="75"/>
        <v>0</v>
      </c>
      <c r="JP47" s="206">
        <f t="shared" si="271"/>
        <v>0</v>
      </c>
      <c r="JQ47" s="206">
        <f t="shared" si="272"/>
        <v>0</v>
      </c>
      <c r="JR47" s="206">
        <f t="shared" si="273"/>
        <v>0</v>
      </c>
      <c r="JS47" s="206">
        <f t="shared" si="274"/>
        <v>0</v>
      </c>
      <c r="JT47" s="206">
        <f t="shared" si="275"/>
        <v>0</v>
      </c>
      <c r="JU47" s="206">
        <f t="shared" si="276"/>
        <v>0</v>
      </c>
      <c r="JV47" s="206">
        <f t="shared" si="277"/>
        <v>0</v>
      </c>
      <c r="JW47" s="206">
        <f t="shared" si="278"/>
        <v>0</v>
      </c>
      <c r="JX47" s="206">
        <f t="shared" si="279"/>
        <v>0</v>
      </c>
      <c r="JY47" s="206">
        <f t="shared" si="280"/>
        <v>0</v>
      </c>
      <c r="JZ47" s="206">
        <f t="shared" si="281"/>
        <v>0</v>
      </c>
      <c r="KA47" s="206">
        <f t="shared" si="282"/>
        <v>0</v>
      </c>
      <c r="KB47" s="206">
        <f t="shared" si="283"/>
        <v>0</v>
      </c>
      <c r="KC47" s="195"/>
      <c r="KD47" s="206">
        <f t="shared" si="165"/>
        <v>0</v>
      </c>
      <c r="KE47" s="206">
        <f t="shared" si="90"/>
        <v>0</v>
      </c>
      <c r="KF47" s="206">
        <f t="shared" si="284"/>
        <v>0</v>
      </c>
      <c r="KG47" s="206">
        <f t="shared" si="285"/>
        <v>0</v>
      </c>
      <c r="KH47" s="206">
        <f t="shared" si="286"/>
        <v>0</v>
      </c>
      <c r="KI47" s="206">
        <f t="shared" si="287"/>
        <v>0</v>
      </c>
      <c r="KJ47" s="206">
        <f t="shared" si="288"/>
        <v>0</v>
      </c>
      <c r="KK47" s="206">
        <f t="shared" si="289"/>
        <v>0</v>
      </c>
      <c r="KL47" s="206">
        <f t="shared" si="290"/>
        <v>0</v>
      </c>
      <c r="KM47" s="206">
        <f t="shared" si="291"/>
        <v>0</v>
      </c>
      <c r="KN47" s="221">
        <f t="shared" si="292"/>
        <v>0</v>
      </c>
      <c r="KO47" s="221">
        <f t="shared" si="293"/>
        <v>0</v>
      </c>
      <c r="KP47" s="221">
        <f t="shared" si="294"/>
        <v>0</v>
      </c>
      <c r="KQ47" s="221">
        <f t="shared" si="295"/>
        <v>0</v>
      </c>
      <c r="KR47" s="221">
        <f t="shared" si="296"/>
        <v>0</v>
      </c>
      <c r="KS47" s="195"/>
      <c r="KT47" s="195">
        <f t="shared" si="297"/>
        <v>0</v>
      </c>
      <c r="KU47" s="221"/>
      <c r="KV47" s="221"/>
      <c r="KW47" s="221"/>
      <c r="KX47" s="221"/>
      <c r="KY47" s="221"/>
      <c r="KZ47" s="221"/>
      <c r="LA47" s="221"/>
      <c r="LB47" s="221"/>
      <c r="LC47" s="221"/>
      <c r="LD47" s="221"/>
      <c r="LE47" s="221"/>
      <c r="LF47" s="221"/>
      <c r="LG47" s="221"/>
      <c r="LH47" s="221"/>
      <c r="LI47" s="221"/>
      <c r="LJ47" s="221"/>
      <c r="LK47" s="221"/>
      <c r="LL47" s="221"/>
      <c r="LM47" s="221"/>
      <c r="LN47" s="221"/>
      <c r="LO47" s="221"/>
      <c r="LP47" s="221"/>
      <c r="LQ47" s="221"/>
      <c r="LR47" s="221"/>
      <c r="LS47" s="221"/>
      <c r="LT47" s="221"/>
      <c r="LU47" s="221"/>
      <c r="LV47" s="221"/>
      <c r="LW47" s="221"/>
      <c r="LX47" s="221"/>
      <c r="LY47" s="221"/>
      <c r="LZ47" s="221"/>
      <c r="MA47" s="221"/>
      <c r="MB47" s="221"/>
      <c r="MC47" s="221"/>
      <c r="MD47" s="221"/>
      <c r="ME47" s="221"/>
      <c r="MF47" s="221"/>
      <c r="MG47" s="221"/>
      <c r="MH47" s="221"/>
      <c r="MI47" s="221"/>
      <c r="MJ47" s="221"/>
      <c r="MK47" s="221"/>
      <c r="ML47" s="221"/>
      <c r="MM47" s="221"/>
      <c r="MN47" s="221"/>
      <c r="MO47" s="221"/>
      <c r="MP47" s="221"/>
      <c r="MQ47" s="221"/>
      <c r="MR47" s="221"/>
      <c r="MS47" s="221"/>
      <c r="MT47" s="221"/>
      <c r="MU47" s="221"/>
      <c r="MV47" s="221"/>
      <c r="MW47" s="221"/>
      <c r="MX47" s="221"/>
      <c r="MY47" s="221"/>
      <c r="MZ47" s="221"/>
      <c r="NA47" s="221"/>
      <c r="NB47" s="221"/>
      <c r="NC47" s="221"/>
      <c r="ND47" s="221"/>
      <c r="NE47" s="221"/>
      <c r="NF47" s="221"/>
      <c r="NG47" s="221"/>
      <c r="NH47" s="221"/>
      <c r="NI47" s="221"/>
      <c r="NJ47" s="221"/>
      <c r="NK47" s="221"/>
      <c r="NL47" s="195"/>
      <c r="NM47" s="195">
        <f t="shared" si="166"/>
        <v>0</v>
      </c>
      <c r="NN47" s="195">
        <f t="shared" si="167"/>
        <v>0</v>
      </c>
      <c r="NO47" s="195">
        <f t="shared" si="168"/>
        <v>0</v>
      </c>
      <c r="NP47" s="195">
        <f t="shared" si="169"/>
        <v>0</v>
      </c>
      <c r="NQ47" s="195">
        <f t="shared" si="170"/>
        <v>0</v>
      </c>
      <c r="NR47" s="195">
        <f t="shared" si="171"/>
        <v>0</v>
      </c>
      <c r="NS47" s="195">
        <f t="shared" si="172"/>
        <v>0</v>
      </c>
      <c r="NT47" s="195">
        <f t="shared" si="173"/>
        <v>0</v>
      </c>
      <c r="NU47" s="196">
        <f t="shared" si="174"/>
        <v>0</v>
      </c>
      <c r="NV47" s="195"/>
      <c r="NW47" s="195"/>
      <c r="NX47" s="195"/>
      <c r="NY47" s="196">
        <f t="shared" si="232"/>
        <v>1</v>
      </c>
      <c r="NZ47" s="222">
        <f>670648300/83</f>
        <v>8080100</v>
      </c>
      <c r="OA47" s="195"/>
      <c r="OB47" s="195"/>
      <c r="OC47" s="195"/>
      <c r="OD47" s="195"/>
      <c r="OE47" s="207">
        <f t="shared" si="233"/>
        <v>0</v>
      </c>
      <c r="OF47" s="207">
        <f t="shared" si="234"/>
        <v>0</v>
      </c>
      <c r="OG47" s="207">
        <f t="shared" si="235"/>
        <v>0</v>
      </c>
      <c r="OH47" s="207">
        <f t="shared" si="175"/>
        <v>0</v>
      </c>
      <c r="OI47" s="207">
        <f t="shared" si="236"/>
        <v>0</v>
      </c>
      <c r="OJ47" s="199">
        <f t="shared" si="176"/>
        <v>0</v>
      </c>
      <c r="OK47" s="199">
        <f t="shared" si="177"/>
        <v>0</v>
      </c>
      <c r="OL47" s="199">
        <f t="shared" si="178"/>
        <v>0</v>
      </c>
      <c r="OM47" s="199">
        <f t="shared" si="179"/>
        <v>0</v>
      </c>
      <c r="ON47" s="195"/>
      <c r="OO47" s="207">
        <f t="shared" si="237"/>
        <v>0</v>
      </c>
      <c r="OP47" s="207">
        <f t="shared" si="238"/>
        <v>0</v>
      </c>
      <c r="OQ47" s="207">
        <f t="shared" si="180"/>
        <v>0</v>
      </c>
      <c r="OR47" s="207">
        <f t="shared" si="181"/>
        <v>0</v>
      </c>
      <c r="OS47" s="207">
        <f t="shared" si="182"/>
        <v>0</v>
      </c>
      <c r="OT47" s="199">
        <f t="shared" si="183"/>
        <v>0</v>
      </c>
      <c r="OU47" s="199">
        <f t="shared" si="184"/>
        <v>0</v>
      </c>
      <c r="OV47" s="199">
        <f t="shared" si="185"/>
        <v>0</v>
      </c>
      <c r="OW47" s="199">
        <f t="shared" si="186"/>
        <v>0</v>
      </c>
      <c r="OX47" s="195"/>
      <c r="OY47" s="195"/>
      <c r="OZ47" s="195"/>
      <c r="PA47" s="209"/>
      <c r="PB47" s="209"/>
      <c r="PC47" s="209"/>
      <c r="PD47" s="210">
        <f t="shared" si="113"/>
        <v>0</v>
      </c>
      <c r="PE47" s="210"/>
      <c r="PF47" s="210">
        <f t="shared" si="114"/>
        <v>0</v>
      </c>
      <c r="PG47" s="210">
        <f t="shared" si="115"/>
        <v>0</v>
      </c>
      <c r="PH47" s="210">
        <f t="shared" si="115"/>
        <v>0</v>
      </c>
      <c r="PI47" s="210">
        <f t="shared" si="115"/>
        <v>0</v>
      </c>
      <c r="PJ47" s="210">
        <f t="shared" si="115"/>
        <v>0</v>
      </c>
      <c r="PK47" s="210">
        <f t="shared" si="115"/>
        <v>0</v>
      </c>
      <c r="PL47" s="210">
        <f t="shared" si="115"/>
        <v>0</v>
      </c>
      <c r="PM47" s="195"/>
      <c r="PN47" s="195"/>
      <c r="PO47" s="212">
        <f t="shared" si="187"/>
        <v>0</v>
      </c>
      <c r="PP47" s="212">
        <f t="shared" si="188"/>
        <v>0</v>
      </c>
      <c r="PQ47" s="212">
        <f t="shared" si="189"/>
        <v>0</v>
      </c>
    </row>
    <row r="48" spans="1:433" ht="16" x14ac:dyDescent="0.2">
      <c r="A48" s="213">
        <f t="shared" si="190"/>
        <v>39</v>
      </c>
      <c r="B48" s="186" t="s">
        <v>117</v>
      </c>
      <c r="C48" s="186">
        <v>41</v>
      </c>
      <c r="D48" s="188">
        <v>1</v>
      </c>
      <c r="E48" s="188">
        <v>112</v>
      </c>
      <c r="F48" s="188">
        <v>1</v>
      </c>
      <c r="G48" s="188">
        <f t="shared" si="239"/>
        <v>112</v>
      </c>
      <c r="H48" s="214">
        <f t="shared" si="203"/>
        <v>1</v>
      </c>
      <c r="I48" s="214">
        <f t="shared" si="204"/>
        <v>1</v>
      </c>
      <c r="J48" s="188">
        <v>1</v>
      </c>
      <c r="K48" s="188">
        <f t="shared" si="205"/>
        <v>112</v>
      </c>
      <c r="L48" s="214">
        <f t="shared" si="206"/>
        <v>1</v>
      </c>
      <c r="M48" s="214">
        <f t="shared" si="207"/>
        <v>1</v>
      </c>
      <c r="N48" s="188">
        <v>1</v>
      </c>
      <c r="O48" s="188">
        <f t="shared" si="208"/>
        <v>112</v>
      </c>
      <c r="P48" s="214">
        <f t="shared" si="209"/>
        <v>1</v>
      </c>
      <c r="Q48" s="214">
        <f t="shared" si="210"/>
        <v>1</v>
      </c>
      <c r="R48" s="188">
        <v>1</v>
      </c>
      <c r="S48" s="188">
        <f t="shared" si="211"/>
        <v>112</v>
      </c>
      <c r="T48" s="214">
        <f t="shared" si="212"/>
        <v>1</v>
      </c>
      <c r="U48" s="214">
        <f t="shared" si="213"/>
        <v>1</v>
      </c>
      <c r="V48" s="188">
        <v>1</v>
      </c>
      <c r="W48" s="188">
        <f t="shared" si="214"/>
        <v>112</v>
      </c>
      <c r="X48" s="214">
        <f t="shared" si="215"/>
        <v>1</v>
      </c>
      <c r="Y48" s="214">
        <f t="shared" si="216"/>
        <v>1</v>
      </c>
      <c r="Z48" s="224">
        <f>1552991000/1000000000</f>
        <v>1.552991</v>
      </c>
      <c r="AA48" s="188"/>
      <c r="AB48" s="189">
        <f t="shared" si="120"/>
        <v>0</v>
      </c>
      <c r="AC48" s="250">
        <f t="shared" si="121"/>
        <v>0</v>
      </c>
      <c r="AD48" s="250">
        <f t="shared" si="122"/>
        <v>0</v>
      </c>
      <c r="AE48" s="188"/>
      <c r="AF48" s="188">
        <f t="shared" si="217"/>
        <v>0</v>
      </c>
      <c r="AG48" s="187"/>
      <c r="AH48" s="187"/>
      <c r="AI48" s="188">
        <v>0</v>
      </c>
      <c r="AJ48" s="188">
        <f t="shared" si="218"/>
        <v>0</v>
      </c>
      <c r="AK48" s="188"/>
      <c r="AL48" s="188">
        <v>0</v>
      </c>
      <c r="AM48" s="188">
        <v>0</v>
      </c>
      <c r="AN48" s="217"/>
      <c r="AO48" s="196">
        <f t="shared" si="123"/>
        <v>0</v>
      </c>
      <c r="AP48" s="195"/>
      <c r="AQ48" s="195"/>
      <c r="AR48" s="195"/>
      <c r="AS48" s="195"/>
      <c r="AT48" s="195"/>
      <c r="AU48" s="195"/>
      <c r="AV48" s="195"/>
      <c r="AW48" s="195"/>
      <c r="AX48" s="195"/>
      <c r="AY48" s="195"/>
      <c r="AZ48" s="195"/>
      <c r="BA48" s="195"/>
      <c r="BB48" s="188">
        <f t="shared" si="219"/>
        <v>0</v>
      </c>
      <c r="BC48" s="195"/>
      <c r="BD48" s="196"/>
      <c r="BE48" s="188">
        <f t="shared" si="220"/>
        <v>0</v>
      </c>
      <c r="BF48" s="188">
        <f t="shared" si="221"/>
        <v>0</v>
      </c>
      <c r="BG48" s="188">
        <f t="shared" si="222"/>
        <v>0</v>
      </c>
      <c r="BH48" s="188">
        <f t="shared" si="223"/>
        <v>0</v>
      </c>
      <c r="BI48" s="188">
        <f t="shared" si="224"/>
        <v>0</v>
      </c>
      <c r="BJ48" s="188">
        <f t="shared" si="225"/>
        <v>0</v>
      </c>
      <c r="BK48" s="188">
        <f t="shared" si="124"/>
        <v>0</v>
      </c>
      <c r="BL48" s="195"/>
      <c r="BM48" s="195"/>
      <c r="BN48" s="143">
        <v>15</v>
      </c>
      <c r="BO48" s="277">
        <v>1</v>
      </c>
      <c r="BP48" s="188"/>
      <c r="BQ48" s="188"/>
      <c r="BR48" s="188"/>
      <c r="BS48" s="188"/>
      <c r="BT48" s="188"/>
      <c r="BU48" s="188"/>
      <c r="BV48" s="188"/>
      <c r="BW48" s="188"/>
      <c r="BX48" s="188"/>
      <c r="BY48" s="188"/>
      <c r="BZ48" s="188"/>
      <c r="CA48" s="195"/>
      <c r="CB48" s="188">
        <v>0</v>
      </c>
      <c r="CC48" s="195"/>
      <c r="CD48" s="189">
        <f t="shared" si="125"/>
        <v>15</v>
      </c>
      <c r="CE48" s="189">
        <f t="shared" si="191"/>
        <v>15</v>
      </c>
      <c r="CF48" s="189">
        <f t="shared" si="126"/>
        <v>0</v>
      </c>
      <c r="CG48" s="189">
        <f t="shared" si="127"/>
        <v>0</v>
      </c>
      <c r="CH48" s="189">
        <f t="shared" si="128"/>
        <v>0</v>
      </c>
      <c r="CI48" s="189">
        <f t="shared" si="129"/>
        <v>0</v>
      </c>
      <c r="CJ48" s="189">
        <f t="shared" si="130"/>
        <v>0</v>
      </c>
      <c r="CK48" s="189">
        <f t="shared" si="131"/>
        <v>0</v>
      </c>
      <c r="CL48" s="189">
        <f t="shared" si="132"/>
        <v>0</v>
      </c>
      <c r="CM48" s="189">
        <f t="shared" si="133"/>
        <v>0</v>
      </c>
      <c r="CN48" s="189">
        <f t="shared" si="134"/>
        <v>0</v>
      </c>
      <c r="CO48" s="189">
        <f t="shared" si="135"/>
        <v>0</v>
      </c>
      <c r="CP48" s="189">
        <f t="shared" si="136"/>
        <v>0</v>
      </c>
      <c r="CQ48" s="195"/>
      <c r="CR48" s="195"/>
      <c r="CS48" s="195"/>
      <c r="CT48" s="195"/>
      <c r="CU48" s="195"/>
      <c r="CV48" s="195"/>
      <c r="CW48" s="195"/>
      <c r="CX48" s="195"/>
      <c r="CY48" s="195"/>
      <c r="CZ48" s="195"/>
      <c r="DA48" s="195"/>
      <c r="DB48" s="195"/>
      <c r="DC48" s="195"/>
      <c r="DD48" s="195"/>
      <c r="DE48" s="195"/>
      <c r="DF48" s="195"/>
      <c r="DG48" s="195"/>
      <c r="DH48" s="195"/>
      <c r="DI48" s="195"/>
      <c r="DJ48" s="195"/>
      <c r="DK48" s="195"/>
      <c r="DL48" s="195"/>
      <c r="DM48" s="195"/>
      <c r="DN48" s="195"/>
      <c r="DO48" s="195"/>
      <c r="DP48" s="195"/>
      <c r="DQ48" s="195"/>
      <c r="DR48" s="195"/>
      <c r="DS48" s="195"/>
      <c r="DT48" s="195"/>
      <c r="DU48" s="195"/>
      <c r="DV48" s="189">
        <f t="shared" si="226"/>
        <v>0</v>
      </c>
      <c r="DW48" s="189">
        <f t="shared" si="227"/>
        <v>0</v>
      </c>
      <c r="DX48" s="189">
        <f t="shared" si="228"/>
        <v>0</v>
      </c>
      <c r="DY48" s="189">
        <f t="shared" si="229"/>
        <v>0</v>
      </c>
      <c r="DZ48" s="189">
        <f t="shared" si="230"/>
        <v>0</v>
      </c>
      <c r="EA48" s="189">
        <f t="shared" si="231"/>
        <v>0</v>
      </c>
      <c r="EB48" s="189">
        <f t="shared" si="137"/>
        <v>0</v>
      </c>
      <c r="EC48" s="195"/>
      <c r="ED48" s="195"/>
      <c r="EE48" s="195"/>
      <c r="EF48" s="195"/>
      <c r="EG48" s="252">
        <f t="shared" si="138"/>
        <v>0</v>
      </c>
      <c r="EH48" s="252">
        <f t="shared" si="139"/>
        <v>0</v>
      </c>
      <c r="EI48" s="189"/>
      <c r="EJ48" s="189"/>
      <c r="EK48" s="189"/>
      <c r="EL48" s="189"/>
      <c r="EM48" s="189"/>
      <c r="EN48" s="189"/>
      <c r="EO48" s="189"/>
      <c r="EP48" s="189"/>
      <c r="EQ48" s="189"/>
      <c r="ER48" s="189"/>
      <c r="ES48" s="189"/>
      <c r="ET48" s="189"/>
      <c r="EU48" s="189"/>
      <c r="EV48" s="189"/>
      <c r="EW48" s="189"/>
      <c r="EX48" s="189"/>
      <c r="EY48" s="189"/>
      <c r="EZ48" s="189"/>
      <c r="FA48" s="189"/>
      <c r="FB48" s="189"/>
      <c r="FC48" s="189"/>
      <c r="FD48" s="189"/>
      <c r="FE48" s="189"/>
      <c r="FF48" s="189"/>
      <c r="FG48" s="195"/>
      <c r="FH48" s="189"/>
      <c r="FI48" s="189"/>
      <c r="FJ48" s="189"/>
      <c r="FK48" s="189"/>
      <c r="FL48" s="189"/>
      <c r="FM48" s="189"/>
      <c r="FN48" s="189"/>
      <c r="FO48" s="189"/>
      <c r="FP48" s="189"/>
      <c r="FQ48" s="189"/>
      <c r="FR48" s="189"/>
      <c r="FS48" s="189"/>
      <c r="FT48" s="189"/>
      <c r="FU48" s="189"/>
      <c r="FV48" s="189"/>
      <c r="FW48" s="195"/>
      <c r="FX48" s="253">
        <v>1</v>
      </c>
      <c r="FY48" s="189">
        <f t="shared" si="140"/>
        <v>15</v>
      </c>
      <c r="FZ48" s="189">
        <f t="shared" si="240"/>
        <v>15</v>
      </c>
      <c r="GA48" s="189">
        <f t="shared" si="241"/>
        <v>0</v>
      </c>
      <c r="GB48" s="189">
        <f t="shared" si="242"/>
        <v>0</v>
      </c>
      <c r="GC48" s="189">
        <f t="shared" si="243"/>
        <v>0</v>
      </c>
      <c r="GD48" s="189">
        <f t="shared" si="244"/>
        <v>0</v>
      </c>
      <c r="GE48" s="189">
        <f t="shared" si="245"/>
        <v>0</v>
      </c>
      <c r="GF48" s="199"/>
      <c r="GG48" s="189">
        <v>0</v>
      </c>
      <c r="GH48" s="189">
        <v>0</v>
      </c>
      <c r="GI48" s="199"/>
      <c r="GJ48" s="200">
        <f t="shared" si="141"/>
        <v>0</v>
      </c>
      <c r="GK48" s="200">
        <f t="shared" si="142"/>
        <v>0</v>
      </c>
      <c r="GL48" s="195"/>
      <c r="GM48" s="195"/>
      <c r="GN48" s="195"/>
      <c r="GO48" s="189">
        <f t="shared" si="246"/>
        <v>0</v>
      </c>
      <c r="GP48" s="189">
        <f t="shared" si="247"/>
        <v>0</v>
      </c>
      <c r="GQ48" s="189">
        <f t="shared" si="248"/>
        <v>0</v>
      </c>
      <c r="GR48" s="189">
        <f t="shared" si="249"/>
        <v>0</v>
      </c>
      <c r="GS48" s="189">
        <f t="shared" si="250"/>
        <v>0</v>
      </c>
      <c r="GT48" s="189">
        <f t="shared" si="143"/>
        <v>1</v>
      </c>
      <c r="GU48" s="201">
        <f t="shared" si="144"/>
        <v>43243</v>
      </c>
      <c r="GV48" s="189" t="str">
        <f t="shared" si="145"/>
        <v>SELESAI</v>
      </c>
      <c r="GW48" s="189">
        <f t="shared" si="146"/>
        <v>0</v>
      </c>
      <c r="GX48" s="202" t="str">
        <f t="shared" si="147"/>
        <v>SELESAI</v>
      </c>
      <c r="GY48" s="202">
        <f t="shared" si="148"/>
        <v>0</v>
      </c>
      <c r="GZ48" s="203" t="str">
        <f t="shared" si="149"/>
        <v>SELESAI</v>
      </c>
      <c r="HA48" s="204"/>
      <c r="HB48" s="204"/>
      <c r="HC48" s="189">
        <f t="shared" si="251"/>
        <v>0</v>
      </c>
      <c r="HD48" s="189">
        <f t="shared" si="252"/>
        <v>0</v>
      </c>
      <c r="HE48" s="189">
        <f t="shared" si="150"/>
        <v>0</v>
      </c>
      <c r="HF48" s="189">
        <f t="shared" si="151"/>
        <v>0</v>
      </c>
      <c r="HG48" s="189">
        <f t="shared" si="152"/>
        <v>0</v>
      </c>
      <c r="HH48" s="201" t="str">
        <f t="shared" si="46"/>
        <v>TIDAK KONSINYASI</v>
      </c>
      <c r="HI48" s="201" t="str">
        <f t="shared" si="153"/>
        <v>SELESAI</v>
      </c>
      <c r="HJ48" s="205"/>
      <c r="HK48" s="201">
        <f t="shared" si="47"/>
        <v>0</v>
      </c>
      <c r="HL48" s="204"/>
      <c r="HM48" s="204"/>
      <c r="HN48" s="204"/>
      <c r="HO48" s="204"/>
      <c r="HP48" s="203">
        <f t="shared" si="154"/>
        <v>0</v>
      </c>
      <c r="HQ48" s="202">
        <f t="shared" si="155"/>
        <v>0</v>
      </c>
      <c r="HR48" s="202">
        <f t="shared" si="253"/>
        <v>0</v>
      </c>
      <c r="HS48" s="203">
        <f t="shared" si="156"/>
        <v>0</v>
      </c>
      <c r="HT48" s="202">
        <f t="shared" si="157"/>
        <v>0</v>
      </c>
      <c r="HU48" s="202">
        <f t="shared" si="254"/>
        <v>0</v>
      </c>
      <c r="HV48" s="203">
        <f t="shared" si="158"/>
        <v>0</v>
      </c>
      <c r="HW48" s="202">
        <f t="shared" si="50"/>
        <v>0</v>
      </c>
      <c r="HX48" s="202">
        <f t="shared" si="255"/>
        <v>0</v>
      </c>
      <c r="HY48" s="203">
        <f t="shared" si="52"/>
        <v>0</v>
      </c>
      <c r="HZ48" s="202">
        <f t="shared" si="159"/>
        <v>0</v>
      </c>
      <c r="IA48" s="202">
        <f t="shared" si="256"/>
        <v>0</v>
      </c>
      <c r="IB48" s="203">
        <f t="shared" si="160"/>
        <v>0</v>
      </c>
      <c r="IC48" s="202">
        <f t="shared" si="54"/>
        <v>0</v>
      </c>
      <c r="ID48" s="202">
        <f t="shared" si="257"/>
        <v>0</v>
      </c>
      <c r="IE48" s="203">
        <f t="shared" si="56"/>
        <v>0</v>
      </c>
      <c r="IF48" s="202">
        <f t="shared" si="57"/>
        <v>0</v>
      </c>
      <c r="IG48" s="202">
        <f t="shared" si="258"/>
        <v>0</v>
      </c>
      <c r="IH48" s="203">
        <f t="shared" si="161"/>
        <v>0</v>
      </c>
      <c r="II48" s="202">
        <f t="shared" si="162"/>
        <v>0</v>
      </c>
      <c r="IJ48" s="202">
        <f t="shared" si="259"/>
        <v>0</v>
      </c>
      <c r="IK48" s="203">
        <f t="shared" si="60"/>
        <v>0</v>
      </c>
      <c r="IL48" s="202">
        <f t="shared" si="61"/>
        <v>0</v>
      </c>
      <c r="IM48" s="202">
        <f t="shared" si="260"/>
        <v>0</v>
      </c>
      <c r="IN48" s="204"/>
      <c r="IO48" s="203">
        <f t="shared" si="63"/>
        <v>0</v>
      </c>
      <c r="IP48" s="202">
        <f t="shared" si="261"/>
        <v>0</v>
      </c>
      <c r="IQ48" s="202">
        <f t="shared" si="262"/>
        <v>0</v>
      </c>
      <c r="IR48" s="204"/>
      <c r="IS48" s="203"/>
      <c r="IT48" s="202">
        <f t="shared" si="263"/>
        <v>1</v>
      </c>
      <c r="IU48" s="202">
        <f t="shared" si="264"/>
        <v>112</v>
      </c>
      <c r="IV48" s="204"/>
      <c r="IW48" s="203"/>
      <c r="IX48" s="202">
        <f t="shared" si="265"/>
        <v>0</v>
      </c>
      <c r="IY48" s="202">
        <f t="shared" si="266"/>
        <v>0</v>
      </c>
      <c r="IZ48" s="204"/>
      <c r="JA48" s="203"/>
      <c r="JB48" s="202">
        <f t="shared" si="267"/>
        <v>0</v>
      </c>
      <c r="JC48" s="202">
        <f t="shared" si="268"/>
        <v>0</v>
      </c>
      <c r="JD48" s="204"/>
      <c r="JE48" s="203"/>
      <c r="JF48" s="202">
        <f t="shared" si="163"/>
        <v>1</v>
      </c>
      <c r="JG48" s="202">
        <f t="shared" si="72"/>
        <v>112</v>
      </c>
      <c r="JH48" s="204"/>
      <c r="JI48" s="203"/>
      <c r="JJ48" s="202">
        <f t="shared" si="269"/>
        <v>0</v>
      </c>
      <c r="JK48" s="202">
        <f t="shared" si="270"/>
        <v>0</v>
      </c>
      <c r="JL48" s="195"/>
      <c r="JM48" s="203">
        <f t="shared" si="164"/>
        <v>0</v>
      </c>
      <c r="JN48" s="195"/>
      <c r="JO48" s="196">
        <f t="shared" si="75"/>
        <v>1</v>
      </c>
      <c r="JP48" s="206">
        <f t="shared" si="271"/>
        <v>15</v>
      </c>
      <c r="JQ48" s="206">
        <f t="shared" si="272"/>
        <v>1</v>
      </c>
      <c r="JR48" s="206">
        <f t="shared" si="273"/>
        <v>0</v>
      </c>
      <c r="JS48" s="206">
        <f t="shared" si="274"/>
        <v>0</v>
      </c>
      <c r="JT48" s="206">
        <f t="shared" si="275"/>
        <v>0</v>
      </c>
      <c r="JU48" s="206">
        <f t="shared" si="276"/>
        <v>0</v>
      </c>
      <c r="JV48" s="206">
        <f t="shared" si="277"/>
        <v>0</v>
      </c>
      <c r="JW48" s="206">
        <f t="shared" si="278"/>
        <v>0</v>
      </c>
      <c r="JX48" s="206">
        <f t="shared" si="279"/>
        <v>0</v>
      </c>
      <c r="JY48" s="206">
        <f t="shared" si="280"/>
        <v>0</v>
      </c>
      <c r="JZ48" s="206">
        <f t="shared" si="281"/>
        <v>0</v>
      </c>
      <c r="KA48" s="206">
        <f t="shared" si="282"/>
        <v>0</v>
      </c>
      <c r="KB48" s="206">
        <f t="shared" si="283"/>
        <v>0</v>
      </c>
      <c r="KC48" s="195"/>
      <c r="KD48" s="206">
        <f t="shared" si="165"/>
        <v>0</v>
      </c>
      <c r="KE48" s="206">
        <f t="shared" si="90"/>
        <v>0</v>
      </c>
      <c r="KF48" s="206">
        <f t="shared" si="284"/>
        <v>15</v>
      </c>
      <c r="KG48" s="206">
        <f t="shared" si="285"/>
        <v>15</v>
      </c>
      <c r="KH48" s="206">
        <f t="shared" si="286"/>
        <v>0</v>
      </c>
      <c r="KI48" s="206">
        <f t="shared" si="287"/>
        <v>0</v>
      </c>
      <c r="KJ48" s="206">
        <f t="shared" si="288"/>
        <v>0</v>
      </c>
      <c r="KK48" s="206">
        <f t="shared" si="289"/>
        <v>0</v>
      </c>
      <c r="KL48" s="206">
        <f t="shared" si="290"/>
        <v>0</v>
      </c>
      <c r="KM48" s="206">
        <f t="shared" si="291"/>
        <v>0</v>
      </c>
      <c r="KN48" s="221">
        <f t="shared" si="292"/>
        <v>0</v>
      </c>
      <c r="KO48" s="221">
        <f t="shared" si="293"/>
        <v>0</v>
      </c>
      <c r="KP48" s="221">
        <f t="shared" si="294"/>
        <v>0</v>
      </c>
      <c r="KQ48" s="221">
        <f t="shared" si="295"/>
        <v>0</v>
      </c>
      <c r="KR48" s="221">
        <f t="shared" si="296"/>
        <v>0</v>
      </c>
      <c r="KS48" s="195"/>
      <c r="KT48" s="195">
        <f t="shared" si="297"/>
        <v>0</v>
      </c>
      <c r="KU48" s="221"/>
      <c r="KV48" s="221"/>
      <c r="KW48" s="221"/>
      <c r="KX48" s="221"/>
      <c r="KY48" s="221"/>
      <c r="KZ48" s="221"/>
      <c r="LA48" s="221"/>
      <c r="LB48" s="221"/>
      <c r="LC48" s="221"/>
      <c r="LD48" s="221"/>
      <c r="LE48" s="221"/>
      <c r="LF48" s="221"/>
      <c r="LG48" s="221"/>
      <c r="LH48" s="221"/>
      <c r="LI48" s="221"/>
      <c r="LJ48" s="221"/>
      <c r="LK48" s="221"/>
      <c r="LL48" s="221"/>
      <c r="LM48" s="221"/>
      <c r="LN48" s="221"/>
      <c r="LO48" s="221"/>
      <c r="LP48" s="221"/>
      <c r="LQ48" s="221"/>
      <c r="LR48" s="221"/>
      <c r="LS48" s="221"/>
      <c r="LT48" s="221"/>
      <c r="LU48" s="221"/>
      <c r="LV48" s="221"/>
      <c r="LW48" s="221"/>
      <c r="LX48" s="221"/>
      <c r="LY48" s="221"/>
      <c r="LZ48" s="221"/>
      <c r="MA48" s="221"/>
      <c r="MB48" s="221"/>
      <c r="MC48" s="221"/>
      <c r="MD48" s="221"/>
      <c r="ME48" s="221"/>
      <c r="MF48" s="221"/>
      <c r="MG48" s="221"/>
      <c r="MH48" s="221"/>
      <c r="MI48" s="221"/>
      <c r="MJ48" s="221"/>
      <c r="MK48" s="221"/>
      <c r="ML48" s="221"/>
      <c r="MM48" s="221"/>
      <c r="MN48" s="221"/>
      <c r="MO48" s="221"/>
      <c r="MP48" s="221"/>
      <c r="MQ48" s="221"/>
      <c r="MR48" s="221"/>
      <c r="MS48" s="221"/>
      <c r="MT48" s="221"/>
      <c r="MU48" s="221"/>
      <c r="MV48" s="221"/>
      <c r="MW48" s="221"/>
      <c r="MX48" s="221"/>
      <c r="MY48" s="221"/>
      <c r="MZ48" s="221"/>
      <c r="NA48" s="221"/>
      <c r="NB48" s="221"/>
      <c r="NC48" s="221"/>
      <c r="ND48" s="221"/>
      <c r="NE48" s="221"/>
      <c r="NF48" s="221"/>
      <c r="NG48" s="221"/>
      <c r="NH48" s="221"/>
      <c r="NI48" s="221"/>
      <c r="NJ48" s="221"/>
      <c r="NK48" s="221"/>
      <c r="NL48" s="195"/>
      <c r="NM48" s="195">
        <f t="shared" si="166"/>
        <v>0</v>
      </c>
      <c r="NN48" s="195">
        <f t="shared" si="167"/>
        <v>0</v>
      </c>
      <c r="NO48" s="195">
        <f t="shared" si="168"/>
        <v>0</v>
      </c>
      <c r="NP48" s="195">
        <f t="shared" si="169"/>
        <v>0</v>
      </c>
      <c r="NQ48" s="195">
        <f t="shared" si="170"/>
        <v>0</v>
      </c>
      <c r="NR48" s="195">
        <f t="shared" si="171"/>
        <v>0</v>
      </c>
      <c r="NS48" s="195">
        <f t="shared" si="172"/>
        <v>0</v>
      </c>
      <c r="NT48" s="195">
        <f t="shared" si="173"/>
        <v>0</v>
      </c>
      <c r="NU48" s="196">
        <f t="shared" si="174"/>
        <v>0</v>
      </c>
      <c r="NV48" s="195"/>
      <c r="NW48" s="195"/>
      <c r="NX48" s="195"/>
      <c r="NY48" s="196">
        <f t="shared" si="232"/>
        <v>1</v>
      </c>
      <c r="NZ48" s="222">
        <f>808010000/97</f>
        <v>8330000</v>
      </c>
      <c r="OA48" s="195"/>
      <c r="OB48" s="195"/>
      <c r="OC48" s="195"/>
      <c r="OD48" s="195"/>
      <c r="OE48" s="207">
        <f t="shared" si="233"/>
        <v>0</v>
      </c>
      <c r="OF48" s="207">
        <f t="shared" si="234"/>
        <v>0</v>
      </c>
      <c r="OG48" s="207">
        <f t="shared" si="235"/>
        <v>0</v>
      </c>
      <c r="OH48" s="207">
        <f t="shared" si="175"/>
        <v>0</v>
      </c>
      <c r="OI48" s="207">
        <f t="shared" si="236"/>
        <v>0</v>
      </c>
      <c r="OJ48" s="199">
        <f t="shared" si="176"/>
        <v>0</v>
      </c>
      <c r="OK48" s="199">
        <f t="shared" si="177"/>
        <v>0</v>
      </c>
      <c r="OL48" s="199">
        <f t="shared" si="178"/>
        <v>0</v>
      </c>
      <c r="OM48" s="199">
        <f t="shared" si="179"/>
        <v>0</v>
      </c>
      <c r="ON48" s="195"/>
      <c r="OO48" s="207">
        <f t="shared" si="237"/>
        <v>0</v>
      </c>
      <c r="OP48" s="207">
        <f t="shared" si="238"/>
        <v>0</v>
      </c>
      <c r="OQ48" s="207">
        <f t="shared" si="180"/>
        <v>0</v>
      </c>
      <c r="OR48" s="207">
        <f t="shared" si="181"/>
        <v>0</v>
      </c>
      <c r="OS48" s="207">
        <f t="shared" si="182"/>
        <v>0</v>
      </c>
      <c r="OT48" s="199">
        <f t="shared" si="183"/>
        <v>0</v>
      </c>
      <c r="OU48" s="199">
        <f t="shared" si="184"/>
        <v>0</v>
      </c>
      <c r="OV48" s="199">
        <f t="shared" si="185"/>
        <v>0</v>
      </c>
      <c r="OW48" s="199">
        <f t="shared" si="186"/>
        <v>0</v>
      </c>
      <c r="OX48" s="195"/>
      <c r="OY48" s="195"/>
      <c r="OZ48" s="195"/>
      <c r="PA48" s="209"/>
      <c r="PB48" s="209"/>
      <c r="PC48" s="209"/>
      <c r="PD48" s="210">
        <f t="shared" si="113"/>
        <v>0</v>
      </c>
      <c r="PE48" s="210"/>
      <c r="PF48" s="210">
        <f t="shared" si="114"/>
        <v>0</v>
      </c>
      <c r="PG48" s="210">
        <f t="shared" si="115"/>
        <v>0</v>
      </c>
      <c r="PH48" s="210">
        <f t="shared" si="115"/>
        <v>0</v>
      </c>
      <c r="PI48" s="210">
        <f t="shared" si="115"/>
        <v>0</v>
      </c>
      <c r="PJ48" s="210">
        <f t="shared" si="115"/>
        <v>0</v>
      </c>
      <c r="PK48" s="210">
        <f t="shared" si="115"/>
        <v>0</v>
      </c>
      <c r="PL48" s="210">
        <f t="shared" si="115"/>
        <v>0</v>
      </c>
      <c r="PM48" s="195"/>
      <c r="PN48" s="195"/>
      <c r="PO48" s="212">
        <f t="shared" si="187"/>
        <v>0</v>
      </c>
      <c r="PP48" s="212">
        <f t="shared" si="188"/>
        <v>0</v>
      </c>
      <c r="PQ48" s="212">
        <f t="shared" si="189"/>
        <v>0</v>
      </c>
    </row>
    <row r="49" spans="1:433 16383:16383" ht="16" x14ac:dyDescent="0.2">
      <c r="A49" s="213">
        <f t="shared" ref="A49" si="299">A48+1</f>
        <v>40</v>
      </c>
      <c r="B49" s="186" t="s">
        <v>120</v>
      </c>
      <c r="C49" s="186">
        <v>42</v>
      </c>
      <c r="D49" s="188">
        <v>1</v>
      </c>
      <c r="E49" s="188">
        <v>60</v>
      </c>
      <c r="F49" s="188">
        <v>1</v>
      </c>
      <c r="G49" s="188">
        <f t="shared" si="239"/>
        <v>60</v>
      </c>
      <c r="H49" s="214">
        <f t="shared" si="203"/>
        <v>1</v>
      </c>
      <c r="I49" s="214">
        <f t="shared" si="204"/>
        <v>1</v>
      </c>
      <c r="J49" s="188">
        <v>1</v>
      </c>
      <c r="K49" s="188">
        <f t="shared" si="205"/>
        <v>60</v>
      </c>
      <c r="L49" s="214">
        <f t="shared" si="206"/>
        <v>1</v>
      </c>
      <c r="M49" s="214">
        <f t="shared" si="207"/>
        <v>1</v>
      </c>
      <c r="N49" s="188">
        <v>1</v>
      </c>
      <c r="O49" s="188">
        <f t="shared" si="208"/>
        <v>60</v>
      </c>
      <c r="P49" s="214">
        <f t="shared" si="209"/>
        <v>1</v>
      </c>
      <c r="Q49" s="214">
        <f t="shared" si="210"/>
        <v>1</v>
      </c>
      <c r="R49" s="188">
        <v>1</v>
      </c>
      <c r="S49" s="188">
        <f t="shared" si="211"/>
        <v>60</v>
      </c>
      <c r="T49" s="214">
        <f t="shared" si="212"/>
        <v>1</v>
      </c>
      <c r="U49" s="214">
        <f t="shared" si="213"/>
        <v>1</v>
      </c>
      <c r="V49" s="188">
        <v>1</v>
      </c>
      <c r="W49" s="188">
        <f t="shared" si="214"/>
        <v>60</v>
      </c>
      <c r="X49" s="214">
        <f t="shared" si="215"/>
        <v>1</v>
      </c>
      <c r="Y49" s="214">
        <f t="shared" si="216"/>
        <v>1</v>
      </c>
      <c r="Z49" s="224">
        <f>756491000/1000000000</f>
        <v>0.75649100000000002</v>
      </c>
      <c r="AA49" s="188"/>
      <c r="AB49" s="189">
        <f t="shared" si="120"/>
        <v>0</v>
      </c>
      <c r="AC49" s="250">
        <f t="shared" si="121"/>
        <v>0</v>
      </c>
      <c r="AD49" s="250">
        <f t="shared" si="122"/>
        <v>0</v>
      </c>
      <c r="AE49" s="188"/>
      <c r="AF49" s="188">
        <f t="shared" si="217"/>
        <v>0</v>
      </c>
      <c r="AG49" s="187"/>
      <c r="AH49" s="187"/>
      <c r="AI49" s="188">
        <v>0</v>
      </c>
      <c r="AJ49" s="188">
        <f t="shared" si="218"/>
        <v>0</v>
      </c>
      <c r="AK49" s="188"/>
      <c r="AL49" s="188">
        <v>0</v>
      </c>
      <c r="AM49" s="188">
        <v>0</v>
      </c>
      <c r="AN49" s="217"/>
      <c r="AO49" s="196">
        <f t="shared" si="123"/>
        <v>0</v>
      </c>
      <c r="AP49" s="195"/>
      <c r="AQ49" s="195"/>
      <c r="AR49" s="195"/>
      <c r="AS49" s="195"/>
      <c r="AT49" s="195"/>
      <c r="AU49" s="195"/>
      <c r="AV49" s="195"/>
      <c r="AW49" s="195"/>
      <c r="AX49" s="195"/>
      <c r="AY49" s="195"/>
      <c r="AZ49" s="195"/>
      <c r="BA49" s="195"/>
      <c r="BB49" s="188">
        <f t="shared" si="219"/>
        <v>0</v>
      </c>
      <c r="BC49" s="195"/>
      <c r="BD49" s="196"/>
      <c r="BE49" s="188">
        <f t="shared" si="220"/>
        <v>0</v>
      </c>
      <c r="BF49" s="188">
        <f t="shared" si="221"/>
        <v>0</v>
      </c>
      <c r="BG49" s="188">
        <f t="shared" si="222"/>
        <v>0</v>
      </c>
      <c r="BH49" s="188">
        <f t="shared" si="223"/>
        <v>0</v>
      </c>
      <c r="BI49" s="188">
        <f t="shared" si="224"/>
        <v>0</v>
      </c>
      <c r="BJ49" s="188">
        <f t="shared" si="225"/>
        <v>0</v>
      </c>
      <c r="BK49" s="188">
        <f t="shared" si="124"/>
        <v>0</v>
      </c>
      <c r="BL49" s="195"/>
      <c r="BM49" s="195"/>
      <c r="BN49" s="277"/>
      <c r="BO49" s="283"/>
      <c r="BP49" s="188"/>
      <c r="BQ49" s="188"/>
      <c r="BR49" s="188"/>
      <c r="BS49" s="188"/>
      <c r="BT49" s="188"/>
      <c r="BU49" s="188"/>
      <c r="BV49" s="188"/>
      <c r="BW49" s="188"/>
      <c r="BX49" s="188"/>
      <c r="BY49" s="188"/>
      <c r="BZ49" s="188"/>
      <c r="CA49" s="195"/>
      <c r="CB49" s="188">
        <v>0</v>
      </c>
      <c r="CC49" s="195"/>
      <c r="CD49" s="189">
        <f t="shared" si="125"/>
        <v>0</v>
      </c>
      <c r="CE49" s="189">
        <f t="shared" si="191"/>
        <v>0</v>
      </c>
      <c r="CF49" s="189">
        <f t="shared" si="126"/>
        <v>0</v>
      </c>
      <c r="CG49" s="189">
        <f t="shared" si="127"/>
        <v>0</v>
      </c>
      <c r="CH49" s="189">
        <f t="shared" si="128"/>
        <v>0</v>
      </c>
      <c r="CI49" s="189">
        <f t="shared" si="129"/>
        <v>0</v>
      </c>
      <c r="CJ49" s="189">
        <f t="shared" si="130"/>
        <v>0</v>
      </c>
      <c r="CK49" s="189">
        <f t="shared" si="131"/>
        <v>0</v>
      </c>
      <c r="CL49" s="189">
        <f t="shared" si="132"/>
        <v>0</v>
      </c>
      <c r="CM49" s="189">
        <f t="shared" si="133"/>
        <v>0</v>
      </c>
      <c r="CN49" s="189">
        <f t="shared" si="134"/>
        <v>0</v>
      </c>
      <c r="CO49" s="189">
        <f t="shared" si="135"/>
        <v>0</v>
      </c>
      <c r="CP49" s="189">
        <f t="shared" si="136"/>
        <v>0</v>
      </c>
      <c r="CQ49" s="195"/>
      <c r="CR49" s="195"/>
      <c r="CS49" s="195"/>
      <c r="CT49" s="195"/>
      <c r="CU49" s="195"/>
      <c r="CV49" s="195"/>
      <c r="CW49" s="195"/>
      <c r="CX49" s="195"/>
      <c r="CY49" s="195"/>
      <c r="CZ49" s="195"/>
      <c r="DA49" s="195"/>
      <c r="DB49" s="195"/>
      <c r="DC49" s="195"/>
      <c r="DD49" s="195"/>
      <c r="DE49" s="195"/>
      <c r="DF49" s="195"/>
      <c r="DG49" s="195"/>
      <c r="DH49" s="195"/>
      <c r="DI49" s="195"/>
      <c r="DJ49" s="195"/>
      <c r="DK49" s="195"/>
      <c r="DL49" s="195"/>
      <c r="DM49" s="195"/>
      <c r="DN49" s="195"/>
      <c r="DO49" s="195"/>
      <c r="DP49" s="195"/>
      <c r="DQ49" s="195"/>
      <c r="DR49" s="195"/>
      <c r="DS49" s="195"/>
      <c r="DT49" s="195"/>
      <c r="DU49" s="195"/>
      <c r="DV49" s="189">
        <f t="shared" si="226"/>
        <v>0</v>
      </c>
      <c r="DW49" s="189">
        <f t="shared" si="227"/>
        <v>0</v>
      </c>
      <c r="DX49" s="189">
        <f t="shared" si="228"/>
        <v>0</v>
      </c>
      <c r="DY49" s="189">
        <f t="shared" si="229"/>
        <v>0</v>
      </c>
      <c r="DZ49" s="189">
        <f t="shared" si="230"/>
        <v>0</v>
      </c>
      <c r="EA49" s="189">
        <f t="shared" si="231"/>
        <v>0</v>
      </c>
      <c r="EB49" s="189">
        <f t="shared" si="137"/>
        <v>0</v>
      </c>
      <c r="EC49" s="195"/>
      <c r="ED49" s="195"/>
      <c r="EE49" s="195"/>
      <c r="EF49" s="195"/>
      <c r="EG49" s="252">
        <f t="shared" si="138"/>
        <v>0</v>
      </c>
      <c r="EH49" s="252">
        <f t="shared" si="139"/>
        <v>0</v>
      </c>
      <c r="EI49" s="189"/>
      <c r="EJ49" s="189"/>
      <c r="EK49" s="189"/>
      <c r="EL49" s="189"/>
      <c r="EM49" s="189"/>
      <c r="EN49" s="189"/>
      <c r="EO49" s="189"/>
      <c r="EP49" s="189"/>
      <c r="EQ49" s="189"/>
      <c r="ER49" s="189"/>
      <c r="ES49" s="189"/>
      <c r="ET49" s="189"/>
      <c r="EU49" s="189"/>
      <c r="EV49" s="189"/>
      <c r="EW49" s="189"/>
      <c r="EX49" s="189"/>
      <c r="EY49" s="189"/>
      <c r="EZ49" s="189"/>
      <c r="FA49" s="189"/>
      <c r="FB49" s="189"/>
      <c r="FC49" s="189"/>
      <c r="FD49" s="189"/>
      <c r="FE49" s="189"/>
      <c r="FF49" s="189"/>
      <c r="FG49" s="195"/>
      <c r="FH49" s="189"/>
      <c r="FI49" s="189"/>
      <c r="FJ49" s="189"/>
      <c r="FK49" s="189"/>
      <c r="FL49" s="189"/>
      <c r="FM49" s="189"/>
      <c r="FN49" s="189"/>
      <c r="FO49" s="189"/>
      <c r="FP49" s="189"/>
      <c r="FQ49" s="189"/>
      <c r="FR49" s="189"/>
      <c r="FS49" s="189"/>
      <c r="FT49" s="189"/>
      <c r="FU49" s="189"/>
      <c r="FV49" s="189"/>
      <c r="FW49" s="195"/>
      <c r="FX49" s="253"/>
      <c r="FY49" s="189">
        <f t="shared" si="140"/>
        <v>0</v>
      </c>
      <c r="FZ49" s="189">
        <f t="shared" si="240"/>
        <v>0</v>
      </c>
      <c r="GA49" s="189">
        <f t="shared" si="241"/>
        <v>0</v>
      </c>
      <c r="GB49" s="189">
        <f t="shared" si="242"/>
        <v>0</v>
      </c>
      <c r="GC49" s="189">
        <f t="shared" si="243"/>
        <v>0</v>
      </c>
      <c r="GD49" s="189">
        <f t="shared" si="244"/>
        <v>0</v>
      </c>
      <c r="GE49" s="189">
        <f t="shared" si="245"/>
        <v>0</v>
      </c>
      <c r="GF49" s="199"/>
      <c r="GG49" s="189">
        <v>0</v>
      </c>
      <c r="GH49" s="189">
        <v>0</v>
      </c>
      <c r="GI49" s="199"/>
      <c r="GJ49" s="200">
        <f t="shared" si="141"/>
        <v>0</v>
      </c>
      <c r="GK49" s="200">
        <f t="shared" si="142"/>
        <v>0</v>
      </c>
      <c r="GL49" s="195"/>
      <c r="GM49" s="195"/>
      <c r="GN49" s="195"/>
      <c r="GO49" s="189">
        <f t="shared" si="246"/>
        <v>0</v>
      </c>
      <c r="GP49" s="189">
        <f t="shared" si="247"/>
        <v>0</v>
      </c>
      <c r="GQ49" s="189">
        <f t="shared" si="248"/>
        <v>0</v>
      </c>
      <c r="GR49" s="189">
        <f t="shared" si="249"/>
        <v>0</v>
      </c>
      <c r="GS49" s="189">
        <f t="shared" si="250"/>
        <v>0</v>
      </c>
      <c r="GT49" s="189">
        <f t="shared" si="143"/>
        <v>1</v>
      </c>
      <c r="GU49" s="201">
        <f t="shared" si="144"/>
        <v>43243</v>
      </c>
      <c r="GV49" s="189" t="str">
        <f t="shared" si="145"/>
        <v>SELESAI</v>
      </c>
      <c r="GW49" s="189">
        <f t="shared" si="146"/>
        <v>0</v>
      </c>
      <c r="GX49" s="202" t="str">
        <f t="shared" si="147"/>
        <v>SELESAI</v>
      </c>
      <c r="GY49" s="202">
        <f t="shared" si="148"/>
        <v>0</v>
      </c>
      <c r="GZ49" s="203" t="str">
        <f t="shared" si="149"/>
        <v>SELESAI</v>
      </c>
      <c r="HA49" s="204"/>
      <c r="HB49" s="204"/>
      <c r="HC49" s="189">
        <f t="shared" si="251"/>
        <v>0</v>
      </c>
      <c r="HD49" s="189">
        <f t="shared" si="252"/>
        <v>0</v>
      </c>
      <c r="HE49" s="189">
        <f t="shared" si="150"/>
        <v>0</v>
      </c>
      <c r="HF49" s="189">
        <f t="shared" si="151"/>
        <v>0</v>
      </c>
      <c r="HG49" s="189">
        <f t="shared" si="152"/>
        <v>0</v>
      </c>
      <c r="HH49" s="201" t="str">
        <f t="shared" si="46"/>
        <v>TIDAK KONSINYASI</v>
      </c>
      <c r="HI49" s="201" t="str">
        <f t="shared" si="153"/>
        <v>SELESAI</v>
      </c>
      <c r="HJ49" s="205"/>
      <c r="HK49" s="201">
        <f t="shared" si="47"/>
        <v>0</v>
      </c>
      <c r="HL49" s="204"/>
      <c r="HM49" s="204"/>
      <c r="HN49" s="204"/>
      <c r="HO49" s="204"/>
      <c r="HP49" s="203">
        <f t="shared" si="154"/>
        <v>0</v>
      </c>
      <c r="HQ49" s="202">
        <f t="shared" si="155"/>
        <v>0</v>
      </c>
      <c r="HR49" s="202">
        <f t="shared" si="253"/>
        <v>0</v>
      </c>
      <c r="HS49" s="203">
        <f t="shared" si="156"/>
        <v>0</v>
      </c>
      <c r="HT49" s="202">
        <f t="shared" si="157"/>
        <v>0</v>
      </c>
      <c r="HU49" s="202">
        <f t="shared" si="254"/>
        <v>0</v>
      </c>
      <c r="HV49" s="203">
        <f t="shared" si="158"/>
        <v>0</v>
      </c>
      <c r="HW49" s="202">
        <f t="shared" si="50"/>
        <v>0</v>
      </c>
      <c r="HX49" s="202">
        <f t="shared" si="255"/>
        <v>0</v>
      </c>
      <c r="HY49" s="203">
        <f t="shared" si="52"/>
        <v>0</v>
      </c>
      <c r="HZ49" s="202">
        <f t="shared" si="159"/>
        <v>0</v>
      </c>
      <c r="IA49" s="202">
        <f t="shared" si="256"/>
        <v>0</v>
      </c>
      <c r="IB49" s="203">
        <f t="shared" si="160"/>
        <v>0</v>
      </c>
      <c r="IC49" s="202">
        <f t="shared" si="54"/>
        <v>0</v>
      </c>
      <c r="ID49" s="202">
        <f t="shared" si="257"/>
        <v>0</v>
      </c>
      <c r="IE49" s="203">
        <f t="shared" si="56"/>
        <v>0</v>
      </c>
      <c r="IF49" s="202">
        <f t="shared" si="57"/>
        <v>0</v>
      </c>
      <c r="IG49" s="202">
        <f t="shared" si="258"/>
        <v>0</v>
      </c>
      <c r="IH49" s="203">
        <f t="shared" si="161"/>
        <v>0</v>
      </c>
      <c r="II49" s="202">
        <f t="shared" si="162"/>
        <v>0</v>
      </c>
      <c r="IJ49" s="202">
        <f t="shared" si="259"/>
        <v>0</v>
      </c>
      <c r="IK49" s="203">
        <f t="shared" si="60"/>
        <v>0</v>
      </c>
      <c r="IL49" s="202">
        <f t="shared" si="61"/>
        <v>0</v>
      </c>
      <c r="IM49" s="202">
        <f t="shared" si="260"/>
        <v>0</v>
      </c>
      <c r="IN49" s="204"/>
      <c r="IO49" s="203">
        <f t="shared" si="63"/>
        <v>0</v>
      </c>
      <c r="IP49" s="202">
        <f t="shared" si="261"/>
        <v>0</v>
      </c>
      <c r="IQ49" s="202">
        <f t="shared" si="262"/>
        <v>0</v>
      </c>
      <c r="IR49" s="204"/>
      <c r="IS49" s="203"/>
      <c r="IT49" s="202">
        <f t="shared" si="263"/>
        <v>1</v>
      </c>
      <c r="IU49" s="202">
        <f t="shared" si="264"/>
        <v>60</v>
      </c>
      <c r="IV49" s="204"/>
      <c r="IW49" s="203"/>
      <c r="IX49" s="202">
        <f t="shared" si="265"/>
        <v>0</v>
      </c>
      <c r="IY49" s="202">
        <f t="shared" si="266"/>
        <v>0</v>
      </c>
      <c r="IZ49" s="204"/>
      <c r="JA49" s="203"/>
      <c r="JB49" s="202">
        <f t="shared" si="267"/>
        <v>0</v>
      </c>
      <c r="JC49" s="202">
        <f t="shared" si="268"/>
        <v>0</v>
      </c>
      <c r="JD49" s="204"/>
      <c r="JE49" s="203"/>
      <c r="JF49" s="202">
        <f t="shared" si="163"/>
        <v>1</v>
      </c>
      <c r="JG49" s="202">
        <f t="shared" si="72"/>
        <v>60</v>
      </c>
      <c r="JH49" s="204"/>
      <c r="JI49" s="203"/>
      <c r="JJ49" s="202">
        <f t="shared" si="269"/>
        <v>0</v>
      </c>
      <c r="JK49" s="202">
        <f t="shared" si="270"/>
        <v>0</v>
      </c>
      <c r="JL49" s="195"/>
      <c r="JM49" s="203">
        <f t="shared" si="164"/>
        <v>0</v>
      </c>
      <c r="JN49" s="195"/>
      <c r="JO49" s="196">
        <f t="shared" si="75"/>
        <v>0</v>
      </c>
      <c r="JP49" s="206">
        <f t="shared" si="271"/>
        <v>0</v>
      </c>
      <c r="JQ49" s="206">
        <f t="shared" si="272"/>
        <v>0</v>
      </c>
      <c r="JR49" s="206">
        <f t="shared" si="273"/>
        <v>0</v>
      </c>
      <c r="JS49" s="206">
        <f t="shared" si="274"/>
        <v>0</v>
      </c>
      <c r="JT49" s="206">
        <f t="shared" si="275"/>
        <v>0</v>
      </c>
      <c r="JU49" s="206">
        <f t="shared" si="276"/>
        <v>0</v>
      </c>
      <c r="JV49" s="206">
        <f t="shared" si="277"/>
        <v>0</v>
      </c>
      <c r="JW49" s="206">
        <f t="shared" si="278"/>
        <v>0</v>
      </c>
      <c r="JX49" s="206">
        <f t="shared" si="279"/>
        <v>0</v>
      </c>
      <c r="JY49" s="206">
        <f t="shared" si="280"/>
        <v>0</v>
      </c>
      <c r="JZ49" s="206">
        <f t="shared" si="281"/>
        <v>0</v>
      </c>
      <c r="KA49" s="206">
        <f t="shared" si="282"/>
        <v>0</v>
      </c>
      <c r="KB49" s="206">
        <f t="shared" si="283"/>
        <v>0</v>
      </c>
      <c r="KC49" s="195"/>
      <c r="KD49" s="206">
        <f t="shared" si="165"/>
        <v>0</v>
      </c>
      <c r="KE49" s="206">
        <f t="shared" si="90"/>
        <v>0</v>
      </c>
      <c r="KF49" s="206">
        <f t="shared" si="284"/>
        <v>0</v>
      </c>
      <c r="KG49" s="206">
        <f t="shared" si="285"/>
        <v>0</v>
      </c>
      <c r="KH49" s="206">
        <f t="shared" si="286"/>
        <v>0</v>
      </c>
      <c r="KI49" s="206">
        <f t="shared" si="287"/>
        <v>0</v>
      </c>
      <c r="KJ49" s="206">
        <f t="shared" si="288"/>
        <v>0</v>
      </c>
      <c r="KK49" s="206">
        <f t="shared" si="289"/>
        <v>0</v>
      </c>
      <c r="KL49" s="206">
        <f t="shared" si="290"/>
        <v>0</v>
      </c>
      <c r="KM49" s="206">
        <f t="shared" si="291"/>
        <v>0</v>
      </c>
      <c r="KN49" s="221">
        <f t="shared" si="292"/>
        <v>0</v>
      </c>
      <c r="KO49" s="221">
        <f t="shared" si="293"/>
        <v>0</v>
      </c>
      <c r="KP49" s="221">
        <f t="shared" si="294"/>
        <v>0</v>
      </c>
      <c r="KQ49" s="221">
        <f t="shared" si="295"/>
        <v>0</v>
      </c>
      <c r="KR49" s="221">
        <f t="shared" si="296"/>
        <v>0</v>
      </c>
      <c r="KS49" s="195"/>
      <c r="KT49" s="195">
        <f t="shared" si="297"/>
        <v>0</v>
      </c>
      <c r="KU49" s="221"/>
      <c r="KV49" s="221"/>
      <c r="KW49" s="221"/>
      <c r="KX49" s="221"/>
      <c r="KY49" s="221"/>
      <c r="KZ49" s="221"/>
      <c r="LA49" s="221"/>
      <c r="LB49" s="221"/>
      <c r="LC49" s="221"/>
      <c r="LD49" s="221"/>
      <c r="LE49" s="221"/>
      <c r="LF49" s="221"/>
      <c r="LG49" s="221"/>
      <c r="LH49" s="221"/>
      <c r="LI49" s="221"/>
      <c r="LJ49" s="221"/>
      <c r="LK49" s="221"/>
      <c r="LL49" s="221"/>
      <c r="LM49" s="221"/>
      <c r="LN49" s="221"/>
      <c r="LO49" s="221"/>
      <c r="LP49" s="221"/>
      <c r="LQ49" s="221"/>
      <c r="LR49" s="221"/>
      <c r="LS49" s="221"/>
      <c r="LT49" s="221"/>
      <c r="LU49" s="221"/>
      <c r="LV49" s="221"/>
      <c r="LW49" s="221"/>
      <c r="LX49" s="221"/>
      <c r="LY49" s="221"/>
      <c r="LZ49" s="221"/>
      <c r="MA49" s="221"/>
      <c r="MB49" s="221"/>
      <c r="MC49" s="221"/>
      <c r="MD49" s="221"/>
      <c r="ME49" s="221"/>
      <c r="MF49" s="221"/>
      <c r="MG49" s="221"/>
      <c r="MH49" s="221"/>
      <c r="MI49" s="221"/>
      <c r="MJ49" s="221"/>
      <c r="MK49" s="221"/>
      <c r="ML49" s="221"/>
      <c r="MM49" s="221"/>
      <c r="MN49" s="221"/>
      <c r="MO49" s="221"/>
      <c r="MP49" s="221"/>
      <c r="MQ49" s="221"/>
      <c r="MR49" s="221"/>
      <c r="MS49" s="221"/>
      <c r="MT49" s="221"/>
      <c r="MU49" s="221"/>
      <c r="MV49" s="221"/>
      <c r="MW49" s="221"/>
      <c r="MX49" s="221"/>
      <c r="MY49" s="221"/>
      <c r="MZ49" s="221"/>
      <c r="NA49" s="221"/>
      <c r="NB49" s="221"/>
      <c r="NC49" s="221"/>
      <c r="ND49" s="221"/>
      <c r="NE49" s="221"/>
      <c r="NF49" s="221"/>
      <c r="NG49" s="221"/>
      <c r="NH49" s="221"/>
      <c r="NI49" s="221"/>
      <c r="NJ49" s="221"/>
      <c r="NK49" s="221"/>
      <c r="NL49" s="195"/>
      <c r="NM49" s="195">
        <f t="shared" si="166"/>
        <v>0</v>
      </c>
      <c r="NN49" s="195">
        <f t="shared" si="167"/>
        <v>0</v>
      </c>
      <c r="NO49" s="195">
        <f t="shared" si="168"/>
        <v>0</v>
      </c>
      <c r="NP49" s="195">
        <f t="shared" si="169"/>
        <v>0</v>
      </c>
      <c r="NQ49" s="195">
        <f t="shared" si="170"/>
        <v>0</v>
      </c>
      <c r="NR49" s="195">
        <f t="shared" si="171"/>
        <v>0</v>
      </c>
      <c r="NS49" s="195">
        <f t="shared" si="172"/>
        <v>0</v>
      </c>
      <c r="NT49" s="195">
        <f t="shared" si="173"/>
        <v>0</v>
      </c>
      <c r="NU49" s="196">
        <f t="shared" si="174"/>
        <v>0</v>
      </c>
      <c r="NV49" s="195"/>
      <c r="NW49" s="195"/>
      <c r="NX49" s="195"/>
      <c r="NY49" s="196">
        <f t="shared" si="232"/>
        <v>1</v>
      </c>
      <c r="NZ49" s="222">
        <f>499800000/60</f>
        <v>8330000</v>
      </c>
      <c r="OA49" s="195"/>
      <c r="OB49" s="195"/>
      <c r="OC49" s="195"/>
      <c r="OD49" s="195"/>
      <c r="OE49" s="207">
        <f t="shared" si="233"/>
        <v>0</v>
      </c>
      <c r="OF49" s="207">
        <f t="shared" si="234"/>
        <v>0</v>
      </c>
      <c r="OG49" s="207">
        <f t="shared" si="235"/>
        <v>0</v>
      </c>
      <c r="OH49" s="207">
        <f t="shared" si="175"/>
        <v>0</v>
      </c>
      <c r="OI49" s="207">
        <f t="shared" si="236"/>
        <v>0</v>
      </c>
      <c r="OJ49" s="199">
        <f t="shared" si="176"/>
        <v>0</v>
      </c>
      <c r="OK49" s="199">
        <f t="shared" si="177"/>
        <v>0</v>
      </c>
      <c r="OL49" s="199">
        <f t="shared" si="178"/>
        <v>0</v>
      </c>
      <c r="OM49" s="199">
        <f t="shared" si="179"/>
        <v>0</v>
      </c>
      <c r="ON49" s="195"/>
      <c r="OO49" s="207">
        <f t="shared" si="237"/>
        <v>0</v>
      </c>
      <c r="OP49" s="207">
        <f t="shared" si="238"/>
        <v>0</v>
      </c>
      <c r="OQ49" s="207">
        <f t="shared" si="180"/>
        <v>0</v>
      </c>
      <c r="OR49" s="207">
        <f t="shared" si="181"/>
        <v>0</v>
      </c>
      <c r="OS49" s="207">
        <f t="shared" si="182"/>
        <v>0</v>
      </c>
      <c r="OT49" s="199">
        <f t="shared" si="183"/>
        <v>0</v>
      </c>
      <c r="OU49" s="199">
        <f t="shared" si="184"/>
        <v>0</v>
      </c>
      <c r="OV49" s="199">
        <f t="shared" si="185"/>
        <v>0</v>
      </c>
      <c r="OW49" s="199">
        <f t="shared" si="186"/>
        <v>0</v>
      </c>
      <c r="OX49" s="195"/>
      <c r="OY49" s="195"/>
      <c r="OZ49" s="195"/>
      <c r="PA49" s="209"/>
      <c r="PB49" s="209"/>
      <c r="PC49" s="209"/>
      <c r="PD49" s="210">
        <f t="shared" si="113"/>
        <v>0</v>
      </c>
      <c r="PE49" s="210"/>
      <c r="PF49" s="210">
        <f t="shared" si="114"/>
        <v>0</v>
      </c>
      <c r="PG49" s="210">
        <f t="shared" si="115"/>
        <v>0</v>
      </c>
      <c r="PH49" s="210">
        <f t="shared" si="115"/>
        <v>0</v>
      </c>
      <c r="PI49" s="210">
        <f t="shared" si="115"/>
        <v>0</v>
      </c>
      <c r="PJ49" s="210">
        <f t="shared" si="115"/>
        <v>0</v>
      </c>
      <c r="PK49" s="210">
        <f t="shared" si="115"/>
        <v>0</v>
      </c>
      <c r="PL49" s="210">
        <f t="shared" si="115"/>
        <v>0</v>
      </c>
      <c r="PM49" s="195"/>
      <c r="PN49" s="195"/>
      <c r="PO49" s="212">
        <f t="shared" si="187"/>
        <v>0</v>
      </c>
      <c r="PP49" s="212">
        <f t="shared" si="188"/>
        <v>0</v>
      </c>
      <c r="PQ49" s="212">
        <f t="shared" si="189"/>
        <v>0</v>
      </c>
    </row>
    <row r="50" spans="1:433 16383:16383" ht="16" x14ac:dyDescent="0.2">
      <c r="A50" s="213">
        <f t="shared" si="190"/>
        <v>41</v>
      </c>
      <c r="B50" s="186" t="s">
        <v>121</v>
      </c>
      <c r="C50" s="186">
        <v>43</v>
      </c>
      <c r="D50" s="188">
        <v>1</v>
      </c>
      <c r="E50" s="188">
        <v>100</v>
      </c>
      <c r="F50" s="188">
        <v>1</v>
      </c>
      <c r="G50" s="188">
        <f t="shared" si="239"/>
        <v>100</v>
      </c>
      <c r="H50" s="214">
        <f t="shared" si="203"/>
        <v>1</v>
      </c>
      <c r="I50" s="214">
        <f t="shared" si="204"/>
        <v>1</v>
      </c>
      <c r="J50" s="188">
        <v>1</v>
      </c>
      <c r="K50" s="188">
        <f t="shared" si="205"/>
        <v>100</v>
      </c>
      <c r="L50" s="214">
        <f t="shared" si="206"/>
        <v>1</v>
      </c>
      <c r="M50" s="214">
        <f t="shared" si="207"/>
        <v>1</v>
      </c>
      <c r="N50" s="188">
        <v>1</v>
      </c>
      <c r="O50" s="188">
        <f t="shared" si="208"/>
        <v>100</v>
      </c>
      <c r="P50" s="214">
        <f t="shared" si="209"/>
        <v>1</v>
      </c>
      <c r="Q50" s="214">
        <f t="shared" si="210"/>
        <v>1</v>
      </c>
      <c r="R50" s="188">
        <v>1</v>
      </c>
      <c r="S50" s="188">
        <f t="shared" si="211"/>
        <v>100</v>
      </c>
      <c r="T50" s="214">
        <f t="shared" si="212"/>
        <v>1</v>
      </c>
      <c r="U50" s="214">
        <f t="shared" si="213"/>
        <v>1</v>
      </c>
      <c r="V50" s="188">
        <v>1</v>
      </c>
      <c r="W50" s="188">
        <f t="shared" si="214"/>
        <v>100</v>
      </c>
      <c r="X50" s="214">
        <f t="shared" si="215"/>
        <v>1</v>
      </c>
      <c r="Y50" s="214">
        <f t="shared" si="216"/>
        <v>1</v>
      </c>
      <c r="Z50" s="224">
        <f>1492955000/1000000000</f>
        <v>1.492955</v>
      </c>
      <c r="AA50" s="188"/>
      <c r="AB50" s="189">
        <f t="shared" si="120"/>
        <v>0</v>
      </c>
      <c r="AC50" s="250">
        <f t="shared" si="121"/>
        <v>0</v>
      </c>
      <c r="AD50" s="250">
        <f t="shared" si="122"/>
        <v>0</v>
      </c>
      <c r="AE50" s="188"/>
      <c r="AF50" s="188">
        <f t="shared" si="217"/>
        <v>0</v>
      </c>
      <c r="AG50" s="187"/>
      <c r="AH50" s="187"/>
      <c r="AI50" s="188">
        <v>0</v>
      </c>
      <c r="AJ50" s="188">
        <f t="shared" si="218"/>
        <v>0</v>
      </c>
      <c r="AK50" s="188"/>
      <c r="AL50" s="188">
        <v>0</v>
      </c>
      <c r="AM50" s="188">
        <v>0</v>
      </c>
      <c r="AN50" s="217"/>
      <c r="AO50" s="196">
        <f t="shared" si="123"/>
        <v>0</v>
      </c>
      <c r="AP50" s="195"/>
      <c r="AQ50" s="195"/>
      <c r="AR50" s="195"/>
      <c r="AS50" s="195"/>
      <c r="AT50" s="195"/>
      <c r="AU50" s="195"/>
      <c r="AV50" s="195"/>
      <c r="AW50" s="195"/>
      <c r="AX50" s="195"/>
      <c r="AY50" s="195"/>
      <c r="AZ50" s="195"/>
      <c r="BA50" s="195"/>
      <c r="BB50" s="188">
        <f t="shared" si="219"/>
        <v>0</v>
      </c>
      <c r="BC50" s="195"/>
      <c r="BD50" s="196"/>
      <c r="BE50" s="188">
        <f t="shared" si="220"/>
        <v>0</v>
      </c>
      <c r="BF50" s="188">
        <f t="shared" si="221"/>
        <v>0</v>
      </c>
      <c r="BG50" s="188">
        <f t="shared" si="222"/>
        <v>0</v>
      </c>
      <c r="BH50" s="188">
        <f t="shared" si="223"/>
        <v>0</v>
      </c>
      <c r="BI50" s="188">
        <f t="shared" si="224"/>
        <v>0</v>
      </c>
      <c r="BJ50" s="188">
        <f t="shared" si="225"/>
        <v>0</v>
      </c>
      <c r="BK50" s="188">
        <f t="shared" si="124"/>
        <v>0</v>
      </c>
      <c r="BL50" s="195"/>
      <c r="BM50" s="195"/>
      <c r="BN50" s="277"/>
      <c r="BO50" s="283"/>
      <c r="BP50" s="188"/>
      <c r="BQ50" s="188"/>
      <c r="BR50" s="188"/>
      <c r="BS50" s="188"/>
      <c r="BT50" s="188"/>
      <c r="BU50" s="188"/>
      <c r="BV50" s="188"/>
      <c r="BW50" s="188"/>
      <c r="BX50" s="188"/>
      <c r="BY50" s="188"/>
      <c r="BZ50" s="188"/>
      <c r="CA50" s="195"/>
      <c r="CB50" s="188">
        <v>0</v>
      </c>
      <c r="CC50" s="195"/>
      <c r="CD50" s="189">
        <f t="shared" si="125"/>
        <v>0</v>
      </c>
      <c r="CE50" s="189">
        <f t="shared" si="191"/>
        <v>0</v>
      </c>
      <c r="CF50" s="189">
        <f t="shared" si="126"/>
        <v>0</v>
      </c>
      <c r="CG50" s="189">
        <f t="shared" si="127"/>
        <v>0</v>
      </c>
      <c r="CH50" s="189">
        <f t="shared" si="128"/>
        <v>0</v>
      </c>
      <c r="CI50" s="189">
        <f t="shared" si="129"/>
        <v>0</v>
      </c>
      <c r="CJ50" s="189">
        <f t="shared" si="130"/>
        <v>0</v>
      </c>
      <c r="CK50" s="189">
        <f t="shared" si="131"/>
        <v>0</v>
      </c>
      <c r="CL50" s="189">
        <f t="shared" si="132"/>
        <v>0</v>
      </c>
      <c r="CM50" s="189">
        <f t="shared" si="133"/>
        <v>0</v>
      </c>
      <c r="CN50" s="189">
        <f t="shared" si="134"/>
        <v>0</v>
      </c>
      <c r="CO50" s="189">
        <f t="shared" si="135"/>
        <v>0</v>
      </c>
      <c r="CP50" s="189">
        <f t="shared" si="136"/>
        <v>0</v>
      </c>
      <c r="CQ50" s="195"/>
      <c r="CR50" s="195"/>
      <c r="CS50" s="195"/>
      <c r="CT50" s="195"/>
      <c r="CU50" s="195"/>
      <c r="CV50" s="195"/>
      <c r="CW50" s="195"/>
      <c r="CX50" s="195"/>
      <c r="CY50" s="195"/>
      <c r="CZ50" s="195"/>
      <c r="DA50" s="195"/>
      <c r="DB50" s="195"/>
      <c r="DC50" s="195"/>
      <c r="DD50" s="195"/>
      <c r="DE50" s="195"/>
      <c r="DF50" s="195"/>
      <c r="DG50" s="195"/>
      <c r="DH50" s="195"/>
      <c r="DI50" s="195"/>
      <c r="DJ50" s="195"/>
      <c r="DK50" s="195"/>
      <c r="DL50" s="195"/>
      <c r="DM50" s="195"/>
      <c r="DN50" s="195"/>
      <c r="DO50" s="195"/>
      <c r="DP50" s="195"/>
      <c r="DQ50" s="195"/>
      <c r="DR50" s="195"/>
      <c r="DS50" s="195"/>
      <c r="DT50" s="195"/>
      <c r="DU50" s="195"/>
      <c r="DV50" s="189">
        <f t="shared" si="226"/>
        <v>0</v>
      </c>
      <c r="DW50" s="189">
        <f t="shared" si="227"/>
        <v>0</v>
      </c>
      <c r="DX50" s="189">
        <f t="shared" si="228"/>
        <v>0</v>
      </c>
      <c r="DY50" s="189">
        <f t="shared" si="229"/>
        <v>0</v>
      </c>
      <c r="DZ50" s="189">
        <f t="shared" si="230"/>
        <v>0</v>
      </c>
      <c r="EA50" s="189">
        <f t="shared" si="231"/>
        <v>0</v>
      </c>
      <c r="EB50" s="189">
        <f t="shared" si="137"/>
        <v>0</v>
      </c>
      <c r="EC50" s="195"/>
      <c r="ED50" s="195"/>
      <c r="EE50" s="195"/>
      <c r="EF50" s="195"/>
      <c r="EG50" s="252">
        <f t="shared" si="138"/>
        <v>0</v>
      </c>
      <c r="EH50" s="252">
        <f t="shared" si="139"/>
        <v>0</v>
      </c>
      <c r="EI50" s="189"/>
      <c r="EJ50" s="189"/>
      <c r="EK50" s="189"/>
      <c r="EL50" s="189"/>
      <c r="EM50" s="189"/>
      <c r="EN50" s="189"/>
      <c r="EO50" s="189"/>
      <c r="EP50" s="189"/>
      <c r="EQ50" s="189"/>
      <c r="ER50" s="189"/>
      <c r="ES50" s="189"/>
      <c r="ET50" s="189"/>
      <c r="EU50" s="189"/>
      <c r="EV50" s="189"/>
      <c r="EW50" s="189"/>
      <c r="EX50" s="189"/>
      <c r="EY50" s="189"/>
      <c r="EZ50" s="189"/>
      <c r="FA50" s="189"/>
      <c r="FB50" s="189"/>
      <c r="FC50" s="189"/>
      <c r="FD50" s="189"/>
      <c r="FE50" s="189"/>
      <c r="FF50" s="189"/>
      <c r="FG50" s="195"/>
      <c r="FH50" s="189"/>
      <c r="FI50" s="189"/>
      <c r="FJ50" s="189"/>
      <c r="FK50" s="189"/>
      <c r="FL50" s="189"/>
      <c r="FM50" s="189"/>
      <c r="FN50" s="189"/>
      <c r="FO50" s="189"/>
      <c r="FP50" s="189"/>
      <c r="FQ50" s="189"/>
      <c r="FR50" s="189"/>
      <c r="FS50" s="189"/>
      <c r="FT50" s="189"/>
      <c r="FU50" s="189"/>
      <c r="FV50" s="189"/>
      <c r="FW50" s="195"/>
      <c r="FX50" s="253"/>
      <c r="FY50" s="189">
        <f t="shared" si="140"/>
        <v>0</v>
      </c>
      <c r="FZ50" s="189">
        <f t="shared" si="240"/>
        <v>0</v>
      </c>
      <c r="GA50" s="189">
        <f t="shared" si="241"/>
        <v>0</v>
      </c>
      <c r="GB50" s="189">
        <f t="shared" si="242"/>
        <v>0</v>
      </c>
      <c r="GC50" s="189">
        <f t="shared" si="243"/>
        <v>0</v>
      </c>
      <c r="GD50" s="189">
        <f t="shared" si="244"/>
        <v>0</v>
      </c>
      <c r="GE50" s="189">
        <f t="shared" si="245"/>
        <v>0</v>
      </c>
      <c r="GF50" s="199"/>
      <c r="GG50" s="189">
        <v>0</v>
      </c>
      <c r="GH50" s="189">
        <v>0</v>
      </c>
      <c r="GI50" s="199"/>
      <c r="GJ50" s="200">
        <f t="shared" si="141"/>
        <v>0</v>
      </c>
      <c r="GK50" s="200">
        <f t="shared" si="142"/>
        <v>0</v>
      </c>
      <c r="GL50" s="195"/>
      <c r="GM50" s="195"/>
      <c r="GN50" s="195"/>
      <c r="GO50" s="189">
        <f t="shared" si="246"/>
        <v>0</v>
      </c>
      <c r="GP50" s="189">
        <f t="shared" si="247"/>
        <v>0</v>
      </c>
      <c r="GQ50" s="189">
        <f t="shared" si="248"/>
        <v>0</v>
      </c>
      <c r="GR50" s="189">
        <f t="shared" si="249"/>
        <v>0</v>
      </c>
      <c r="GS50" s="189">
        <f t="shared" si="250"/>
        <v>0</v>
      </c>
      <c r="GT50" s="189">
        <f t="shared" si="143"/>
        <v>1</v>
      </c>
      <c r="GU50" s="201">
        <f t="shared" si="144"/>
        <v>43243</v>
      </c>
      <c r="GV50" s="189" t="str">
        <f t="shared" si="145"/>
        <v>SELESAI</v>
      </c>
      <c r="GW50" s="189">
        <f t="shared" si="146"/>
        <v>0</v>
      </c>
      <c r="GX50" s="202" t="str">
        <f t="shared" si="147"/>
        <v>SELESAI</v>
      </c>
      <c r="GY50" s="202">
        <f t="shared" si="148"/>
        <v>0</v>
      </c>
      <c r="GZ50" s="203" t="str">
        <f t="shared" si="149"/>
        <v>SELESAI</v>
      </c>
      <c r="HA50" s="204"/>
      <c r="HB50" s="204"/>
      <c r="HC50" s="189">
        <f t="shared" si="251"/>
        <v>0</v>
      </c>
      <c r="HD50" s="189">
        <f t="shared" si="252"/>
        <v>0</v>
      </c>
      <c r="HE50" s="189">
        <f t="shared" si="150"/>
        <v>0</v>
      </c>
      <c r="HF50" s="189">
        <f t="shared" si="151"/>
        <v>0</v>
      </c>
      <c r="HG50" s="189">
        <f t="shared" si="152"/>
        <v>0</v>
      </c>
      <c r="HH50" s="201" t="str">
        <f t="shared" si="46"/>
        <v>TIDAK KONSINYASI</v>
      </c>
      <c r="HI50" s="201" t="str">
        <f t="shared" si="153"/>
        <v>SELESAI</v>
      </c>
      <c r="HJ50" s="205"/>
      <c r="HK50" s="201">
        <f t="shared" si="47"/>
        <v>0</v>
      </c>
      <c r="HL50" s="204"/>
      <c r="HM50" s="204"/>
      <c r="HN50" s="204"/>
      <c r="HO50" s="204"/>
      <c r="HP50" s="203">
        <f t="shared" si="154"/>
        <v>0</v>
      </c>
      <c r="HQ50" s="202">
        <f t="shared" si="155"/>
        <v>0</v>
      </c>
      <c r="HR50" s="202">
        <f t="shared" si="253"/>
        <v>0</v>
      </c>
      <c r="HS50" s="203">
        <f t="shared" si="156"/>
        <v>0</v>
      </c>
      <c r="HT50" s="202">
        <f t="shared" si="157"/>
        <v>0</v>
      </c>
      <c r="HU50" s="202">
        <f t="shared" si="254"/>
        <v>0</v>
      </c>
      <c r="HV50" s="203">
        <f t="shared" si="158"/>
        <v>0</v>
      </c>
      <c r="HW50" s="202">
        <f t="shared" si="50"/>
        <v>0</v>
      </c>
      <c r="HX50" s="202">
        <f t="shared" si="255"/>
        <v>0</v>
      </c>
      <c r="HY50" s="203">
        <f t="shared" si="52"/>
        <v>0</v>
      </c>
      <c r="HZ50" s="202">
        <f t="shared" si="159"/>
        <v>0</v>
      </c>
      <c r="IA50" s="202">
        <f t="shared" si="256"/>
        <v>0</v>
      </c>
      <c r="IB50" s="203">
        <f t="shared" si="160"/>
        <v>0</v>
      </c>
      <c r="IC50" s="202">
        <f t="shared" si="54"/>
        <v>0</v>
      </c>
      <c r="ID50" s="202">
        <f t="shared" si="257"/>
        <v>0</v>
      </c>
      <c r="IE50" s="203">
        <f t="shared" si="56"/>
        <v>0</v>
      </c>
      <c r="IF50" s="202">
        <f t="shared" si="57"/>
        <v>0</v>
      </c>
      <c r="IG50" s="202">
        <f t="shared" si="258"/>
        <v>0</v>
      </c>
      <c r="IH50" s="203">
        <f t="shared" si="161"/>
        <v>0</v>
      </c>
      <c r="II50" s="202">
        <f t="shared" si="162"/>
        <v>0</v>
      </c>
      <c r="IJ50" s="202">
        <f t="shared" si="259"/>
        <v>0</v>
      </c>
      <c r="IK50" s="203">
        <f t="shared" si="60"/>
        <v>0</v>
      </c>
      <c r="IL50" s="202">
        <f t="shared" si="61"/>
        <v>0</v>
      </c>
      <c r="IM50" s="202">
        <f t="shared" si="260"/>
        <v>0</v>
      </c>
      <c r="IN50" s="204"/>
      <c r="IO50" s="203">
        <f t="shared" si="63"/>
        <v>0</v>
      </c>
      <c r="IP50" s="202">
        <f t="shared" si="261"/>
        <v>0</v>
      </c>
      <c r="IQ50" s="202">
        <f t="shared" si="262"/>
        <v>0</v>
      </c>
      <c r="IR50" s="204"/>
      <c r="IS50" s="203"/>
      <c r="IT50" s="202">
        <f t="shared" si="263"/>
        <v>1</v>
      </c>
      <c r="IU50" s="202">
        <f t="shared" si="264"/>
        <v>100</v>
      </c>
      <c r="IV50" s="204"/>
      <c r="IW50" s="203"/>
      <c r="IX50" s="202">
        <f t="shared" si="265"/>
        <v>0</v>
      </c>
      <c r="IY50" s="202">
        <f t="shared" si="266"/>
        <v>0</v>
      </c>
      <c r="IZ50" s="204"/>
      <c r="JA50" s="203"/>
      <c r="JB50" s="202">
        <f t="shared" si="267"/>
        <v>0</v>
      </c>
      <c r="JC50" s="202">
        <f t="shared" si="268"/>
        <v>0</v>
      </c>
      <c r="JD50" s="204"/>
      <c r="JE50" s="203"/>
      <c r="JF50" s="202">
        <f t="shared" si="163"/>
        <v>1</v>
      </c>
      <c r="JG50" s="202">
        <f t="shared" si="72"/>
        <v>100</v>
      </c>
      <c r="JH50" s="204"/>
      <c r="JI50" s="203"/>
      <c r="JJ50" s="202">
        <f t="shared" si="269"/>
        <v>0</v>
      </c>
      <c r="JK50" s="202">
        <f t="shared" si="270"/>
        <v>0</v>
      </c>
      <c r="JL50" s="195"/>
      <c r="JM50" s="203">
        <f t="shared" si="164"/>
        <v>0</v>
      </c>
      <c r="JN50" s="195"/>
      <c r="JO50" s="196">
        <f t="shared" si="75"/>
        <v>0</v>
      </c>
      <c r="JP50" s="206">
        <f t="shared" si="271"/>
        <v>0</v>
      </c>
      <c r="JQ50" s="206">
        <f t="shared" si="272"/>
        <v>0</v>
      </c>
      <c r="JR50" s="206">
        <f t="shared" si="273"/>
        <v>0</v>
      </c>
      <c r="JS50" s="206">
        <f t="shared" si="274"/>
        <v>0</v>
      </c>
      <c r="JT50" s="206">
        <f t="shared" si="275"/>
        <v>0</v>
      </c>
      <c r="JU50" s="206">
        <f t="shared" si="276"/>
        <v>0</v>
      </c>
      <c r="JV50" s="206">
        <f t="shared" si="277"/>
        <v>0</v>
      </c>
      <c r="JW50" s="206">
        <f t="shared" si="278"/>
        <v>0</v>
      </c>
      <c r="JX50" s="206">
        <f t="shared" si="279"/>
        <v>0</v>
      </c>
      <c r="JY50" s="206">
        <f t="shared" si="280"/>
        <v>0</v>
      </c>
      <c r="JZ50" s="206">
        <f t="shared" si="281"/>
        <v>0</v>
      </c>
      <c r="KA50" s="206">
        <f t="shared" si="282"/>
        <v>0</v>
      </c>
      <c r="KB50" s="206">
        <f t="shared" si="283"/>
        <v>0</v>
      </c>
      <c r="KC50" s="195"/>
      <c r="KD50" s="206">
        <f t="shared" si="165"/>
        <v>0</v>
      </c>
      <c r="KE50" s="206">
        <f t="shared" si="90"/>
        <v>0</v>
      </c>
      <c r="KF50" s="206">
        <f t="shared" si="284"/>
        <v>0</v>
      </c>
      <c r="KG50" s="206">
        <f t="shared" si="285"/>
        <v>0</v>
      </c>
      <c r="KH50" s="206">
        <f t="shared" si="286"/>
        <v>0</v>
      </c>
      <c r="KI50" s="206">
        <f t="shared" si="287"/>
        <v>0</v>
      </c>
      <c r="KJ50" s="206">
        <f t="shared" si="288"/>
        <v>0</v>
      </c>
      <c r="KK50" s="206">
        <f t="shared" si="289"/>
        <v>0</v>
      </c>
      <c r="KL50" s="206">
        <f t="shared" si="290"/>
        <v>0</v>
      </c>
      <c r="KM50" s="206">
        <f t="shared" si="291"/>
        <v>0</v>
      </c>
      <c r="KN50" s="221">
        <f t="shared" si="292"/>
        <v>0</v>
      </c>
      <c r="KO50" s="221">
        <f t="shared" si="293"/>
        <v>0</v>
      </c>
      <c r="KP50" s="221">
        <f t="shared" si="294"/>
        <v>0</v>
      </c>
      <c r="KQ50" s="221">
        <f t="shared" si="295"/>
        <v>0</v>
      </c>
      <c r="KR50" s="221">
        <f t="shared" si="296"/>
        <v>0</v>
      </c>
      <c r="KS50" s="195"/>
      <c r="KT50" s="195">
        <f t="shared" si="297"/>
        <v>0</v>
      </c>
      <c r="KU50" s="221"/>
      <c r="KV50" s="221"/>
      <c r="KW50" s="221"/>
      <c r="KX50" s="221"/>
      <c r="KY50" s="221"/>
      <c r="KZ50" s="221"/>
      <c r="LA50" s="221"/>
      <c r="LB50" s="221"/>
      <c r="LC50" s="221"/>
      <c r="LD50" s="221"/>
      <c r="LE50" s="221"/>
      <c r="LF50" s="221"/>
      <c r="LG50" s="221"/>
      <c r="LH50" s="221"/>
      <c r="LI50" s="221"/>
      <c r="LJ50" s="221"/>
      <c r="LK50" s="221"/>
      <c r="LL50" s="221"/>
      <c r="LM50" s="221"/>
      <c r="LN50" s="221"/>
      <c r="LO50" s="221"/>
      <c r="LP50" s="221"/>
      <c r="LQ50" s="221"/>
      <c r="LR50" s="221"/>
      <c r="LS50" s="221"/>
      <c r="LT50" s="221"/>
      <c r="LU50" s="221"/>
      <c r="LV50" s="221"/>
      <c r="LW50" s="221"/>
      <c r="LX50" s="221"/>
      <c r="LY50" s="221"/>
      <c r="LZ50" s="221"/>
      <c r="MA50" s="221"/>
      <c r="MB50" s="221"/>
      <c r="MC50" s="221"/>
      <c r="MD50" s="221"/>
      <c r="ME50" s="221"/>
      <c r="MF50" s="221"/>
      <c r="MG50" s="221"/>
      <c r="MH50" s="221"/>
      <c r="MI50" s="221"/>
      <c r="MJ50" s="221"/>
      <c r="MK50" s="221"/>
      <c r="ML50" s="221"/>
      <c r="MM50" s="221"/>
      <c r="MN50" s="221"/>
      <c r="MO50" s="221"/>
      <c r="MP50" s="221"/>
      <c r="MQ50" s="221"/>
      <c r="MR50" s="221"/>
      <c r="MS50" s="221"/>
      <c r="MT50" s="221"/>
      <c r="MU50" s="221"/>
      <c r="MV50" s="221"/>
      <c r="MW50" s="221"/>
      <c r="MX50" s="221"/>
      <c r="MY50" s="221"/>
      <c r="MZ50" s="221"/>
      <c r="NA50" s="221"/>
      <c r="NB50" s="221"/>
      <c r="NC50" s="221"/>
      <c r="ND50" s="221"/>
      <c r="NE50" s="221"/>
      <c r="NF50" s="221"/>
      <c r="NG50" s="221"/>
      <c r="NH50" s="221"/>
      <c r="NI50" s="221"/>
      <c r="NJ50" s="221"/>
      <c r="NK50" s="221"/>
      <c r="NL50" s="195"/>
      <c r="NM50" s="195">
        <f t="shared" si="166"/>
        <v>0</v>
      </c>
      <c r="NN50" s="195">
        <f t="shared" si="167"/>
        <v>0</v>
      </c>
      <c r="NO50" s="195">
        <f t="shared" si="168"/>
        <v>0</v>
      </c>
      <c r="NP50" s="195">
        <f t="shared" si="169"/>
        <v>0</v>
      </c>
      <c r="NQ50" s="195">
        <f t="shared" si="170"/>
        <v>0</v>
      </c>
      <c r="NR50" s="195">
        <f t="shared" si="171"/>
        <v>0</v>
      </c>
      <c r="NS50" s="195">
        <f t="shared" si="172"/>
        <v>0</v>
      </c>
      <c r="NT50" s="195">
        <f t="shared" si="173"/>
        <v>0</v>
      </c>
      <c r="NU50" s="196">
        <f t="shared" si="174"/>
        <v>0</v>
      </c>
      <c r="NV50" s="195"/>
      <c r="NW50" s="195"/>
      <c r="NX50" s="195"/>
      <c r="NY50" s="196">
        <f t="shared" si="232"/>
        <v>1</v>
      </c>
      <c r="NZ50" s="222">
        <f>499800000/60</f>
        <v>8330000</v>
      </c>
      <c r="OA50" s="195"/>
      <c r="OB50" s="195"/>
      <c r="OC50" s="195"/>
      <c r="OD50" s="195"/>
      <c r="OE50" s="207">
        <f t="shared" si="233"/>
        <v>0</v>
      </c>
      <c r="OF50" s="207">
        <f t="shared" si="234"/>
        <v>0</v>
      </c>
      <c r="OG50" s="207">
        <f t="shared" si="235"/>
        <v>0</v>
      </c>
      <c r="OH50" s="207">
        <f t="shared" si="175"/>
        <v>0</v>
      </c>
      <c r="OI50" s="207">
        <f t="shared" si="236"/>
        <v>0</v>
      </c>
      <c r="OJ50" s="199">
        <f t="shared" si="176"/>
        <v>0</v>
      </c>
      <c r="OK50" s="199">
        <f t="shared" si="177"/>
        <v>0</v>
      </c>
      <c r="OL50" s="199">
        <f t="shared" si="178"/>
        <v>0</v>
      </c>
      <c r="OM50" s="199">
        <f t="shared" si="179"/>
        <v>0</v>
      </c>
      <c r="ON50" s="195"/>
      <c r="OO50" s="207">
        <f t="shared" si="237"/>
        <v>0</v>
      </c>
      <c r="OP50" s="207">
        <f t="shared" si="238"/>
        <v>0</v>
      </c>
      <c r="OQ50" s="207">
        <f t="shared" si="180"/>
        <v>0</v>
      </c>
      <c r="OR50" s="207">
        <f t="shared" si="181"/>
        <v>0</v>
      </c>
      <c r="OS50" s="207">
        <f t="shared" si="182"/>
        <v>0</v>
      </c>
      <c r="OT50" s="199">
        <f t="shared" si="183"/>
        <v>0</v>
      </c>
      <c r="OU50" s="199">
        <f t="shared" si="184"/>
        <v>0</v>
      </c>
      <c r="OV50" s="199">
        <f t="shared" si="185"/>
        <v>0</v>
      </c>
      <c r="OW50" s="199">
        <f t="shared" si="186"/>
        <v>0</v>
      </c>
      <c r="OX50" s="195"/>
      <c r="OY50" s="195"/>
      <c r="OZ50" s="195"/>
      <c r="PA50" s="209"/>
      <c r="PB50" s="209"/>
      <c r="PC50" s="209"/>
      <c r="PD50" s="210">
        <f t="shared" si="113"/>
        <v>0</v>
      </c>
      <c r="PE50" s="210"/>
      <c r="PF50" s="210">
        <f t="shared" si="114"/>
        <v>0</v>
      </c>
      <c r="PG50" s="210">
        <f t="shared" si="115"/>
        <v>0</v>
      </c>
      <c r="PH50" s="210">
        <f t="shared" si="115"/>
        <v>0</v>
      </c>
      <c r="PI50" s="210">
        <f t="shared" si="115"/>
        <v>0</v>
      </c>
      <c r="PJ50" s="210">
        <f t="shared" si="115"/>
        <v>0</v>
      </c>
      <c r="PK50" s="210">
        <f t="shared" si="115"/>
        <v>0</v>
      </c>
      <c r="PL50" s="210">
        <f t="shared" si="115"/>
        <v>0</v>
      </c>
      <c r="PM50" s="195"/>
      <c r="PN50" s="195"/>
      <c r="PO50" s="212">
        <f t="shared" si="187"/>
        <v>0</v>
      </c>
      <c r="PP50" s="212">
        <f t="shared" si="188"/>
        <v>0</v>
      </c>
      <c r="PQ50" s="212">
        <f t="shared" si="189"/>
        <v>0</v>
      </c>
    </row>
    <row r="51" spans="1:433 16383:16383" ht="16" x14ac:dyDescent="0.2">
      <c r="A51" s="213">
        <f t="shared" si="190"/>
        <v>42</v>
      </c>
      <c r="B51" s="186" t="s">
        <v>122</v>
      </c>
      <c r="C51" s="186">
        <v>44</v>
      </c>
      <c r="D51" s="188">
        <v>1</v>
      </c>
      <c r="E51" s="188">
        <v>108</v>
      </c>
      <c r="F51" s="188">
        <v>1</v>
      </c>
      <c r="G51" s="188">
        <f t="shared" si="239"/>
        <v>108</v>
      </c>
      <c r="H51" s="214">
        <f t="shared" si="203"/>
        <v>1</v>
      </c>
      <c r="I51" s="214">
        <f t="shared" si="204"/>
        <v>1</v>
      </c>
      <c r="J51" s="188">
        <v>1</v>
      </c>
      <c r="K51" s="188">
        <f t="shared" si="205"/>
        <v>108</v>
      </c>
      <c r="L51" s="214">
        <f t="shared" si="206"/>
        <v>1</v>
      </c>
      <c r="M51" s="214">
        <f t="shared" si="207"/>
        <v>1</v>
      </c>
      <c r="N51" s="188">
        <v>1</v>
      </c>
      <c r="O51" s="188">
        <f t="shared" si="208"/>
        <v>108</v>
      </c>
      <c r="P51" s="214">
        <f t="shared" si="209"/>
        <v>1</v>
      </c>
      <c r="Q51" s="214">
        <f t="shared" si="210"/>
        <v>1</v>
      </c>
      <c r="R51" s="188">
        <v>1</v>
      </c>
      <c r="S51" s="188">
        <f t="shared" si="211"/>
        <v>108</v>
      </c>
      <c r="T51" s="214">
        <f t="shared" si="212"/>
        <v>1</v>
      </c>
      <c r="U51" s="214">
        <f t="shared" si="213"/>
        <v>1</v>
      </c>
      <c r="V51" s="188">
        <v>1</v>
      </c>
      <c r="W51" s="188">
        <f t="shared" si="214"/>
        <v>108</v>
      </c>
      <c r="X51" s="214">
        <f t="shared" si="215"/>
        <v>1</v>
      </c>
      <c r="Y51" s="214">
        <f t="shared" si="216"/>
        <v>1</v>
      </c>
      <c r="Z51" s="224">
        <f>1873512000/1000000000</f>
        <v>1.8735120000000001</v>
      </c>
      <c r="AA51" s="188"/>
      <c r="AB51" s="189">
        <f t="shared" si="120"/>
        <v>0</v>
      </c>
      <c r="AC51" s="250">
        <f t="shared" si="121"/>
        <v>0</v>
      </c>
      <c r="AD51" s="250">
        <f t="shared" si="122"/>
        <v>0</v>
      </c>
      <c r="AE51" s="188"/>
      <c r="AF51" s="188">
        <f t="shared" si="217"/>
        <v>0</v>
      </c>
      <c r="AG51" s="187"/>
      <c r="AH51" s="187"/>
      <c r="AI51" s="188">
        <v>0</v>
      </c>
      <c r="AJ51" s="188">
        <f t="shared" si="218"/>
        <v>0</v>
      </c>
      <c r="AK51" s="188"/>
      <c r="AL51" s="188">
        <v>0</v>
      </c>
      <c r="AM51" s="188">
        <v>0</v>
      </c>
      <c r="AN51" s="217"/>
      <c r="AO51" s="196">
        <f t="shared" si="123"/>
        <v>0</v>
      </c>
      <c r="AP51" s="195"/>
      <c r="AQ51" s="195"/>
      <c r="AR51" s="195"/>
      <c r="AS51" s="195"/>
      <c r="AT51" s="195"/>
      <c r="AU51" s="195"/>
      <c r="AV51" s="195"/>
      <c r="AW51" s="195"/>
      <c r="AX51" s="195"/>
      <c r="AY51" s="195"/>
      <c r="AZ51" s="195"/>
      <c r="BA51" s="195"/>
      <c r="BB51" s="188">
        <f t="shared" si="219"/>
        <v>0</v>
      </c>
      <c r="BC51" s="195"/>
      <c r="BD51" s="196"/>
      <c r="BE51" s="188">
        <f t="shared" si="220"/>
        <v>0</v>
      </c>
      <c r="BF51" s="188">
        <f t="shared" si="221"/>
        <v>0</v>
      </c>
      <c r="BG51" s="188">
        <f t="shared" si="222"/>
        <v>0</v>
      </c>
      <c r="BH51" s="188">
        <f t="shared" si="223"/>
        <v>0</v>
      </c>
      <c r="BI51" s="188">
        <f t="shared" si="224"/>
        <v>0</v>
      </c>
      <c r="BJ51" s="188">
        <f t="shared" si="225"/>
        <v>0</v>
      </c>
      <c r="BK51" s="188">
        <f t="shared" si="124"/>
        <v>0</v>
      </c>
      <c r="BL51" s="195"/>
      <c r="BM51" s="195"/>
      <c r="BN51" s="277">
        <v>25</v>
      </c>
      <c r="BO51" s="283">
        <v>1</v>
      </c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95"/>
      <c r="CB51" s="188">
        <v>0</v>
      </c>
      <c r="CC51" s="195"/>
      <c r="CD51" s="189">
        <f t="shared" si="125"/>
        <v>25</v>
      </c>
      <c r="CE51" s="189">
        <f t="shared" si="191"/>
        <v>25</v>
      </c>
      <c r="CF51" s="189">
        <f t="shared" si="126"/>
        <v>0</v>
      </c>
      <c r="CG51" s="189">
        <f t="shared" si="127"/>
        <v>0</v>
      </c>
      <c r="CH51" s="189">
        <f t="shared" si="128"/>
        <v>0</v>
      </c>
      <c r="CI51" s="189">
        <f t="shared" si="129"/>
        <v>0</v>
      </c>
      <c r="CJ51" s="189">
        <f t="shared" si="130"/>
        <v>0</v>
      </c>
      <c r="CK51" s="189">
        <f t="shared" si="131"/>
        <v>0</v>
      </c>
      <c r="CL51" s="189">
        <f t="shared" si="132"/>
        <v>0</v>
      </c>
      <c r="CM51" s="189">
        <f t="shared" si="133"/>
        <v>0</v>
      </c>
      <c r="CN51" s="189">
        <f t="shared" si="134"/>
        <v>0</v>
      </c>
      <c r="CO51" s="189">
        <f t="shared" si="135"/>
        <v>0</v>
      </c>
      <c r="CP51" s="189">
        <f t="shared" si="136"/>
        <v>0</v>
      </c>
      <c r="CQ51" s="195"/>
      <c r="CR51" s="195"/>
      <c r="CS51" s="195"/>
      <c r="CT51" s="195"/>
      <c r="CU51" s="195"/>
      <c r="CV51" s="195"/>
      <c r="CW51" s="195"/>
      <c r="CX51" s="195"/>
      <c r="CY51" s="195"/>
      <c r="CZ51" s="195"/>
      <c r="DA51" s="195"/>
      <c r="DB51" s="195"/>
      <c r="DC51" s="195"/>
      <c r="DD51" s="195"/>
      <c r="DE51" s="195"/>
      <c r="DF51" s="195"/>
      <c r="DG51" s="195"/>
      <c r="DH51" s="195"/>
      <c r="DI51" s="195"/>
      <c r="DJ51" s="195"/>
      <c r="DK51" s="195"/>
      <c r="DL51" s="195"/>
      <c r="DM51" s="195"/>
      <c r="DN51" s="195"/>
      <c r="DO51" s="195"/>
      <c r="DP51" s="195"/>
      <c r="DQ51" s="195"/>
      <c r="DR51" s="195"/>
      <c r="DS51" s="195"/>
      <c r="DT51" s="195"/>
      <c r="DU51" s="195"/>
      <c r="DV51" s="189">
        <f t="shared" si="226"/>
        <v>0</v>
      </c>
      <c r="DW51" s="189">
        <f t="shared" si="227"/>
        <v>0</v>
      </c>
      <c r="DX51" s="189">
        <f t="shared" si="228"/>
        <v>0</v>
      </c>
      <c r="DY51" s="189">
        <f t="shared" si="229"/>
        <v>0</v>
      </c>
      <c r="DZ51" s="189">
        <f t="shared" si="230"/>
        <v>0</v>
      </c>
      <c r="EA51" s="189">
        <f t="shared" si="231"/>
        <v>0</v>
      </c>
      <c r="EB51" s="189">
        <f t="shared" si="137"/>
        <v>0</v>
      </c>
      <c r="EC51" s="195"/>
      <c r="ED51" s="195"/>
      <c r="EE51" s="195"/>
      <c r="EF51" s="195"/>
      <c r="EG51" s="252">
        <f t="shared" si="138"/>
        <v>0</v>
      </c>
      <c r="EH51" s="252">
        <f t="shared" si="139"/>
        <v>0</v>
      </c>
      <c r="EI51" s="189"/>
      <c r="EJ51" s="189"/>
      <c r="EK51" s="189"/>
      <c r="EL51" s="189"/>
      <c r="EM51" s="189"/>
      <c r="EN51" s="189"/>
      <c r="EO51" s="189"/>
      <c r="EP51" s="189"/>
      <c r="EQ51" s="189"/>
      <c r="ER51" s="189"/>
      <c r="ES51" s="189"/>
      <c r="ET51" s="189"/>
      <c r="EU51" s="189"/>
      <c r="EV51" s="189"/>
      <c r="EW51" s="189"/>
      <c r="EX51" s="189"/>
      <c r="EY51" s="189"/>
      <c r="EZ51" s="189"/>
      <c r="FA51" s="189"/>
      <c r="FB51" s="189"/>
      <c r="FC51" s="189"/>
      <c r="FD51" s="189"/>
      <c r="FE51" s="189"/>
      <c r="FF51" s="189"/>
      <c r="FG51" s="195"/>
      <c r="FH51" s="189"/>
      <c r="FI51" s="189"/>
      <c r="FJ51" s="189"/>
      <c r="FK51" s="189"/>
      <c r="FL51" s="189"/>
      <c r="FM51" s="189"/>
      <c r="FN51" s="189"/>
      <c r="FO51" s="189"/>
      <c r="FP51" s="189"/>
      <c r="FQ51" s="189"/>
      <c r="FR51" s="189"/>
      <c r="FS51" s="189"/>
      <c r="FT51" s="189"/>
      <c r="FU51" s="189"/>
      <c r="FV51" s="189"/>
      <c r="FW51" s="195"/>
      <c r="FX51" s="253">
        <v>1</v>
      </c>
      <c r="FY51" s="189">
        <f t="shared" si="140"/>
        <v>25</v>
      </c>
      <c r="FZ51" s="189">
        <f t="shared" si="240"/>
        <v>25</v>
      </c>
      <c r="GA51" s="189">
        <f t="shared" si="241"/>
        <v>0</v>
      </c>
      <c r="GB51" s="189">
        <f t="shared" si="242"/>
        <v>0</v>
      </c>
      <c r="GC51" s="189">
        <f t="shared" si="243"/>
        <v>0</v>
      </c>
      <c r="GD51" s="189">
        <f t="shared" si="244"/>
        <v>0</v>
      </c>
      <c r="GE51" s="189">
        <f t="shared" si="245"/>
        <v>0</v>
      </c>
      <c r="GF51" s="199"/>
      <c r="GG51" s="189">
        <v>0</v>
      </c>
      <c r="GH51" s="189">
        <v>0</v>
      </c>
      <c r="GI51" s="199"/>
      <c r="GJ51" s="200">
        <f t="shared" si="141"/>
        <v>0</v>
      </c>
      <c r="GK51" s="200">
        <f t="shared" si="142"/>
        <v>0</v>
      </c>
      <c r="GL51" s="195"/>
      <c r="GM51" s="195"/>
      <c r="GN51" s="195"/>
      <c r="GO51" s="189">
        <f t="shared" si="246"/>
        <v>0</v>
      </c>
      <c r="GP51" s="189">
        <f t="shared" si="247"/>
        <v>0</v>
      </c>
      <c r="GQ51" s="189">
        <f t="shared" si="248"/>
        <v>0</v>
      </c>
      <c r="GR51" s="189">
        <f t="shared" si="249"/>
        <v>0</v>
      </c>
      <c r="GS51" s="189">
        <f t="shared" si="250"/>
        <v>0</v>
      </c>
      <c r="GT51" s="189">
        <f t="shared" si="143"/>
        <v>1</v>
      </c>
      <c r="GU51" s="201">
        <f t="shared" si="144"/>
        <v>43243</v>
      </c>
      <c r="GV51" s="189" t="str">
        <f t="shared" si="145"/>
        <v>SELESAI</v>
      </c>
      <c r="GW51" s="189">
        <f t="shared" si="146"/>
        <v>0</v>
      </c>
      <c r="GX51" s="202" t="str">
        <f t="shared" si="147"/>
        <v>SELESAI</v>
      </c>
      <c r="GY51" s="202">
        <f t="shared" si="148"/>
        <v>0</v>
      </c>
      <c r="GZ51" s="203" t="str">
        <f t="shared" si="149"/>
        <v>SELESAI</v>
      </c>
      <c r="HA51" s="204"/>
      <c r="HB51" s="204"/>
      <c r="HC51" s="189">
        <f t="shared" si="251"/>
        <v>0</v>
      </c>
      <c r="HD51" s="189">
        <f t="shared" si="252"/>
        <v>0</v>
      </c>
      <c r="HE51" s="189">
        <f t="shared" si="150"/>
        <v>0</v>
      </c>
      <c r="HF51" s="189">
        <f t="shared" si="151"/>
        <v>0</v>
      </c>
      <c r="HG51" s="189">
        <f t="shared" si="152"/>
        <v>0</v>
      </c>
      <c r="HH51" s="201" t="str">
        <f t="shared" si="46"/>
        <v>TIDAK KONSINYASI</v>
      </c>
      <c r="HI51" s="201" t="str">
        <f t="shared" si="153"/>
        <v>SELESAI</v>
      </c>
      <c r="HJ51" s="205"/>
      <c r="HK51" s="201">
        <f t="shared" si="47"/>
        <v>0</v>
      </c>
      <c r="HL51" s="204"/>
      <c r="HM51" s="204"/>
      <c r="HN51" s="204"/>
      <c r="HO51" s="204"/>
      <c r="HP51" s="203">
        <f t="shared" si="154"/>
        <v>0</v>
      </c>
      <c r="HQ51" s="202">
        <f t="shared" si="155"/>
        <v>0</v>
      </c>
      <c r="HR51" s="202">
        <f t="shared" si="253"/>
        <v>0</v>
      </c>
      <c r="HS51" s="203">
        <f t="shared" si="156"/>
        <v>0</v>
      </c>
      <c r="HT51" s="202">
        <f t="shared" si="157"/>
        <v>0</v>
      </c>
      <c r="HU51" s="202">
        <f t="shared" si="254"/>
        <v>0</v>
      </c>
      <c r="HV51" s="203">
        <f t="shared" si="158"/>
        <v>0</v>
      </c>
      <c r="HW51" s="202">
        <f t="shared" si="50"/>
        <v>0</v>
      </c>
      <c r="HX51" s="202">
        <f t="shared" si="255"/>
        <v>0</v>
      </c>
      <c r="HY51" s="203">
        <f t="shared" si="52"/>
        <v>0</v>
      </c>
      <c r="HZ51" s="202">
        <f t="shared" si="159"/>
        <v>0</v>
      </c>
      <c r="IA51" s="202">
        <f t="shared" si="256"/>
        <v>0</v>
      </c>
      <c r="IB51" s="203">
        <f t="shared" si="160"/>
        <v>0</v>
      </c>
      <c r="IC51" s="202">
        <f t="shared" si="54"/>
        <v>0</v>
      </c>
      <c r="ID51" s="202">
        <f t="shared" si="257"/>
        <v>0</v>
      </c>
      <c r="IE51" s="203">
        <f t="shared" si="56"/>
        <v>0</v>
      </c>
      <c r="IF51" s="202">
        <f t="shared" si="57"/>
        <v>0</v>
      </c>
      <c r="IG51" s="202">
        <f t="shared" si="258"/>
        <v>0</v>
      </c>
      <c r="IH51" s="203">
        <f t="shared" si="161"/>
        <v>0</v>
      </c>
      <c r="II51" s="202">
        <f t="shared" si="162"/>
        <v>0</v>
      </c>
      <c r="IJ51" s="202">
        <f t="shared" si="259"/>
        <v>0</v>
      </c>
      <c r="IK51" s="203">
        <f t="shared" si="60"/>
        <v>0</v>
      </c>
      <c r="IL51" s="202">
        <f t="shared" si="61"/>
        <v>0</v>
      </c>
      <c r="IM51" s="202">
        <f t="shared" si="260"/>
        <v>0</v>
      </c>
      <c r="IN51" s="204"/>
      <c r="IO51" s="203">
        <f t="shared" si="63"/>
        <v>0</v>
      </c>
      <c r="IP51" s="202">
        <f t="shared" si="261"/>
        <v>0</v>
      </c>
      <c r="IQ51" s="202">
        <f t="shared" si="262"/>
        <v>0</v>
      </c>
      <c r="IR51" s="204"/>
      <c r="IS51" s="203"/>
      <c r="IT51" s="202">
        <f t="shared" si="263"/>
        <v>1</v>
      </c>
      <c r="IU51" s="202">
        <f t="shared" si="264"/>
        <v>108</v>
      </c>
      <c r="IV51" s="204"/>
      <c r="IW51" s="203"/>
      <c r="IX51" s="202">
        <f t="shared" si="265"/>
        <v>0</v>
      </c>
      <c r="IY51" s="202">
        <f t="shared" si="266"/>
        <v>0</v>
      </c>
      <c r="IZ51" s="204"/>
      <c r="JA51" s="203"/>
      <c r="JB51" s="202">
        <f t="shared" si="267"/>
        <v>0</v>
      </c>
      <c r="JC51" s="202">
        <f t="shared" si="268"/>
        <v>0</v>
      </c>
      <c r="JD51" s="204"/>
      <c r="JE51" s="203"/>
      <c r="JF51" s="202">
        <f t="shared" si="163"/>
        <v>1</v>
      </c>
      <c r="JG51" s="202">
        <f t="shared" si="72"/>
        <v>108</v>
      </c>
      <c r="JH51" s="204"/>
      <c r="JI51" s="203"/>
      <c r="JJ51" s="202">
        <f t="shared" si="269"/>
        <v>0</v>
      </c>
      <c r="JK51" s="202">
        <f t="shared" si="270"/>
        <v>0</v>
      </c>
      <c r="JL51" s="195"/>
      <c r="JM51" s="203">
        <f t="shared" si="164"/>
        <v>0</v>
      </c>
      <c r="JN51" s="195"/>
      <c r="JO51" s="196">
        <f t="shared" si="75"/>
        <v>1</v>
      </c>
      <c r="JP51" s="206">
        <f t="shared" si="271"/>
        <v>25</v>
      </c>
      <c r="JQ51" s="206">
        <f t="shared" si="272"/>
        <v>1</v>
      </c>
      <c r="JR51" s="206">
        <f t="shared" si="273"/>
        <v>0</v>
      </c>
      <c r="JS51" s="206">
        <f t="shared" si="274"/>
        <v>0</v>
      </c>
      <c r="JT51" s="206">
        <f t="shared" si="275"/>
        <v>0</v>
      </c>
      <c r="JU51" s="206">
        <f t="shared" si="276"/>
        <v>0</v>
      </c>
      <c r="JV51" s="206">
        <f t="shared" si="277"/>
        <v>0</v>
      </c>
      <c r="JW51" s="206">
        <f t="shared" si="278"/>
        <v>0</v>
      </c>
      <c r="JX51" s="206">
        <f t="shared" si="279"/>
        <v>0</v>
      </c>
      <c r="JY51" s="206">
        <f t="shared" si="280"/>
        <v>0</v>
      </c>
      <c r="JZ51" s="206">
        <f t="shared" si="281"/>
        <v>0</v>
      </c>
      <c r="KA51" s="206">
        <f t="shared" si="282"/>
        <v>0</v>
      </c>
      <c r="KB51" s="206">
        <f t="shared" si="283"/>
        <v>0</v>
      </c>
      <c r="KC51" s="195"/>
      <c r="KD51" s="206">
        <f t="shared" si="165"/>
        <v>0</v>
      </c>
      <c r="KE51" s="206">
        <f t="shared" si="90"/>
        <v>0</v>
      </c>
      <c r="KF51" s="206">
        <f t="shared" si="284"/>
        <v>25</v>
      </c>
      <c r="KG51" s="206">
        <f t="shared" si="285"/>
        <v>25</v>
      </c>
      <c r="KH51" s="206">
        <f t="shared" si="286"/>
        <v>0</v>
      </c>
      <c r="KI51" s="206">
        <f t="shared" si="287"/>
        <v>0</v>
      </c>
      <c r="KJ51" s="206">
        <f t="shared" si="288"/>
        <v>0</v>
      </c>
      <c r="KK51" s="206">
        <f t="shared" si="289"/>
        <v>0</v>
      </c>
      <c r="KL51" s="206">
        <f t="shared" si="290"/>
        <v>0</v>
      </c>
      <c r="KM51" s="206">
        <f t="shared" si="291"/>
        <v>0</v>
      </c>
      <c r="KN51" s="221">
        <f t="shared" si="292"/>
        <v>0</v>
      </c>
      <c r="KO51" s="221">
        <f t="shared" si="293"/>
        <v>0</v>
      </c>
      <c r="KP51" s="221">
        <f t="shared" si="294"/>
        <v>0</v>
      </c>
      <c r="KQ51" s="221">
        <f t="shared" si="295"/>
        <v>0</v>
      </c>
      <c r="KR51" s="221">
        <f t="shared" si="296"/>
        <v>0</v>
      </c>
      <c r="KS51" s="195"/>
      <c r="KT51" s="195">
        <f t="shared" si="297"/>
        <v>0</v>
      </c>
      <c r="KU51" s="221"/>
      <c r="KV51" s="221"/>
      <c r="KW51" s="221"/>
      <c r="KX51" s="221"/>
      <c r="KY51" s="221"/>
      <c r="KZ51" s="221"/>
      <c r="LA51" s="221"/>
      <c r="LB51" s="221"/>
      <c r="LC51" s="221"/>
      <c r="LD51" s="221"/>
      <c r="LE51" s="221"/>
      <c r="LF51" s="221"/>
      <c r="LG51" s="221"/>
      <c r="LH51" s="221"/>
      <c r="LI51" s="221"/>
      <c r="LJ51" s="221"/>
      <c r="LK51" s="221"/>
      <c r="LL51" s="221"/>
      <c r="LM51" s="221"/>
      <c r="LN51" s="221"/>
      <c r="LO51" s="221"/>
      <c r="LP51" s="221"/>
      <c r="LQ51" s="221"/>
      <c r="LR51" s="221"/>
      <c r="LS51" s="221"/>
      <c r="LT51" s="221"/>
      <c r="LU51" s="221"/>
      <c r="LV51" s="221"/>
      <c r="LW51" s="221"/>
      <c r="LX51" s="221"/>
      <c r="LY51" s="221"/>
      <c r="LZ51" s="221"/>
      <c r="MA51" s="221"/>
      <c r="MB51" s="221"/>
      <c r="MC51" s="221"/>
      <c r="MD51" s="221"/>
      <c r="ME51" s="221"/>
      <c r="MF51" s="221"/>
      <c r="MG51" s="221"/>
      <c r="MH51" s="221"/>
      <c r="MI51" s="221"/>
      <c r="MJ51" s="221"/>
      <c r="MK51" s="221"/>
      <c r="ML51" s="221"/>
      <c r="MM51" s="221"/>
      <c r="MN51" s="221"/>
      <c r="MO51" s="221"/>
      <c r="MP51" s="221"/>
      <c r="MQ51" s="221"/>
      <c r="MR51" s="221"/>
      <c r="MS51" s="221"/>
      <c r="MT51" s="221"/>
      <c r="MU51" s="221"/>
      <c r="MV51" s="221"/>
      <c r="MW51" s="221"/>
      <c r="MX51" s="221"/>
      <c r="MY51" s="221"/>
      <c r="MZ51" s="221"/>
      <c r="NA51" s="221"/>
      <c r="NB51" s="221"/>
      <c r="NC51" s="221"/>
      <c r="ND51" s="221"/>
      <c r="NE51" s="221"/>
      <c r="NF51" s="221"/>
      <c r="NG51" s="221"/>
      <c r="NH51" s="221"/>
      <c r="NI51" s="221"/>
      <c r="NJ51" s="221"/>
      <c r="NK51" s="221"/>
      <c r="NL51" s="195"/>
      <c r="NM51" s="195">
        <f t="shared" si="166"/>
        <v>0</v>
      </c>
      <c r="NN51" s="195">
        <f t="shared" si="167"/>
        <v>0</v>
      </c>
      <c r="NO51" s="195">
        <f t="shared" si="168"/>
        <v>0</v>
      </c>
      <c r="NP51" s="195">
        <f t="shared" si="169"/>
        <v>0</v>
      </c>
      <c r="NQ51" s="195">
        <f t="shared" si="170"/>
        <v>0</v>
      </c>
      <c r="NR51" s="195">
        <f t="shared" si="171"/>
        <v>0</v>
      </c>
      <c r="NS51" s="195">
        <f t="shared" si="172"/>
        <v>0</v>
      </c>
      <c r="NT51" s="195">
        <f t="shared" si="173"/>
        <v>0</v>
      </c>
      <c r="NU51" s="196">
        <f t="shared" si="174"/>
        <v>0</v>
      </c>
      <c r="NV51" s="195"/>
      <c r="NW51" s="195"/>
      <c r="NX51" s="195"/>
      <c r="NY51" s="196">
        <f t="shared" si="232"/>
        <v>1</v>
      </c>
      <c r="NZ51" s="222">
        <f>705500000/83</f>
        <v>8500000</v>
      </c>
      <c r="OA51" s="195"/>
      <c r="OB51" s="195"/>
      <c r="OC51" s="195"/>
      <c r="OD51" s="195"/>
      <c r="OE51" s="207">
        <f t="shared" si="233"/>
        <v>0</v>
      </c>
      <c r="OF51" s="207">
        <f t="shared" si="234"/>
        <v>0</v>
      </c>
      <c r="OG51" s="207">
        <f t="shared" si="235"/>
        <v>0</v>
      </c>
      <c r="OH51" s="207">
        <f t="shared" si="175"/>
        <v>0</v>
      </c>
      <c r="OI51" s="207">
        <f t="shared" si="236"/>
        <v>0</v>
      </c>
      <c r="OJ51" s="199">
        <f t="shared" si="176"/>
        <v>0</v>
      </c>
      <c r="OK51" s="199">
        <f t="shared" si="177"/>
        <v>0</v>
      </c>
      <c r="OL51" s="199">
        <f t="shared" si="178"/>
        <v>0</v>
      </c>
      <c r="OM51" s="199">
        <f t="shared" si="179"/>
        <v>0</v>
      </c>
      <c r="ON51" s="195"/>
      <c r="OO51" s="207">
        <f t="shared" si="237"/>
        <v>0</v>
      </c>
      <c r="OP51" s="207">
        <f t="shared" si="238"/>
        <v>0</v>
      </c>
      <c r="OQ51" s="207">
        <f t="shared" si="180"/>
        <v>0</v>
      </c>
      <c r="OR51" s="207">
        <f t="shared" si="181"/>
        <v>0</v>
      </c>
      <c r="OS51" s="207">
        <f t="shared" si="182"/>
        <v>0</v>
      </c>
      <c r="OT51" s="199">
        <f t="shared" si="183"/>
        <v>0</v>
      </c>
      <c r="OU51" s="199">
        <f t="shared" si="184"/>
        <v>0</v>
      </c>
      <c r="OV51" s="199">
        <f t="shared" si="185"/>
        <v>0</v>
      </c>
      <c r="OW51" s="199">
        <f t="shared" si="186"/>
        <v>0</v>
      </c>
      <c r="OX51" s="195"/>
      <c r="OY51" s="195"/>
      <c r="OZ51" s="195"/>
      <c r="PA51" s="209"/>
      <c r="PB51" s="209"/>
      <c r="PC51" s="209"/>
      <c r="PD51" s="210">
        <f t="shared" si="113"/>
        <v>0</v>
      </c>
      <c r="PE51" s="210"/>
      <c r="PF51" s="210">
        <f t="shared" si="114"/>
        <v>0</v>
      </c>
      <c r="PG51" s="210">
        <f t="shared" si="115"/>
        <v>0</v>
      </c>
      <c r="PH51" s="210">
        <f t="shared" si="115"/>
        <v>0</v>
      </c>
      <c r="PI51" s="210">
        <f t="shared" si="115"/>
        <v>0</v>
      </c>
      <c r="PJ51" s="210">
        <f t="shared" ref="PJ51:PL107" si="300">IF(PD51=1,$BB51,0)</f>
        <v>0</v>
      </c>
      <c r="PK51" s="210">
        <f t="shared" si="300"/>
        <v>0</v>
      </c>
      <c r="PL51" s="210">
        <f t="shared" si="300"/>
        <v>0</v>
      </c>
      <c r="PM51" s="195"/>
      <c r="PN51" s="195"/>
      <c r="PO51" s="212">
        <f t="shared" si="187"/>
        <v>0</v>
      </c>
      <c r="PP51" s="212">
        <f t="shared" si="188"/>
        <v>0</v>
      </c>
      <c r="PQ51" s="212">
        <f t="shared" si="189"/>
        <v>0</v>
      </c>
    </row>
    <row r="52" spans="1:433 16383:16383" ht="16" x14ac:dyDescent="0.2">
      <c r="A52" s="213">
        <f t="shared" ref="A52" si="301">A51+1</f>
        <v>43</v>
      </c>
      <c r="B52" s="186" t="s">
        <v>414</v>
      </c>
      <c r="C52" s="186">
        <v>45</v>
      </c>
      <c r="D52" s="188">
        <v>1</v>
      </c>
      <c r="E52" s="188">
        <v>85</v>
      </c>
      <c r="F52" s="188">
        <v>1</v>
      </c>
      <c r="G52" s="188">
        <f t="shared" si="239"/>
        <v>85</v>
      </c>
      <c r="H52" s="214">
        <f t="shared" si="203"/>
        <v>1</v>
      </c>
      <c r="I52" s="214">
        <f t="shared" si="204"/>
        <v>1</v>
      </c>
      <c r="J52" s="188">
        <v>1</v>
      </c>
      <c r="K52" s="188">
        <f t="shared" si="205"/>
        <v>85</v>
      </c>
      <c r="L52" s="214">
        <f t="shared" si="206"/>
        <v>1</v>
      </c>
      <c r="M52" s="214">
        <f t="shared" si="207"/>
        <v>1</v>
      </c>
      <c r="N52" s="188">
        <v>1</v>
      </c>
      <c r="O52" s="188">
        <f t="shared" si="208"/>
        <v>85</v>
      </c>
      <c r="P52" s="214">
        <f t="shared" si="209"/>
        <v>1</v>
      </c>
      <c r="Q52" s="214">
        <f t="shared" si="210"/>
        <v>1</v>
      </c>
      <c r="R52" s="188">
        <v>1</v>
      </c>
      <c r="S52" s="188">
        <f t="shared" si="211"/>
        <v>85</v>
      </c>
      <c r="T52" s="214">
        <f t="shared" si="212"/>
        <v>1</v>
      </c>
      <c r="U52" s="214">
        <f t="shared" si="213"/>
        <v>1</v>
      </c>
      <c r="V52" s="188">
        <v>1</v>
      </c>
      <c r="W52" s="188">
        <f t="shared" si="214"/>
        <v>85</v>
      </c>
      <c r="X52" s="214">
        <f t="shared" si="215"/>
        <v>1</v>
      </c>
      <c r="Y52" s="214">
        <f t="shared" si="216"/>
        <v>1</v>
      </c>
      <c r="Z52" s="224">
        <f>1445930000/1000000000</f>
        <v>1.4459299999999999</v>
      </c>
      <c r="AA52" s="188"/>
      <c r="AB52" s="189">
        <f t="shared" si="120"/>
        <v>0</v>
      </c>
      <c r="AC52" s="250">
        <f t="shared" si="121"/>
        <v>0</v>
      </c>
      <c r="AD52" s="250">
        <f t="shared" si="122"/>
        <v>0</v>
      </c>
      <c r="AE52" s="188"/>
      <c r="AF52" s="188">
        <f t="shared" si="217"/>
        <v>0</v>
      </c>
      <c r="AG52" s="187"/>
      <c r="AH52" s="187"/>
      <c r="AI52" s="188">
        <v>0</v>
      </c>
      <c r="AJ52" s="188">
        <f t="shared" si="218"/>
        <v>0</v>
      </c>
      <c r="AK52" s="188"/>
      <c r="AL52" s="188">
        <v>0</v>
      </c>
      <c r="AM52" s="188">
        <v>0</v>
      </c>
      <c r="AN52" s="217"/>
      <c r="AO52" s="196">
        <f t="shared" si="123"/>
        <v>0</v>
      </c>
      <c r="AP52" s="195"/>
      <c r="AQ52" s="195"/>
      <c r="AR52" s="195"/>
      <c r="AS52" s="195"/>
      <c r="AT52" s="195"/>
      <c r="AU52" s="195"/>
      <c r="AV52" s="195"/>
      <c r="AW52" s="195"/>
      <c r="AX52" s="195"/>
      <c r="AY52" s="195"/>
      <c r="AZ52" s="195"/>
      <c r="BA52" s="195"/>
      <c r="BB52" s="188">
        <f t="shared" si="219"/>
        <v>0</v>
      </c>
      <c r="BC52" s="195"/>
      <c r="BD52" s="196"/>
      <c r="BE52" s="188">
        <f t="shared" si="220"/>
        <v>0</v>
      </c>
      <c r="BF52" s="188">
        <f t="shared" si="221"/>
        <v>0</v>
      </c>
      <c r="BG52" s="188">
        <f t="shared" si="222"/>
        <v>0</v>
      </c>
      <c r="BH52" s="188">
        <f t="shared" si="223"/>
        <v>0</v>
      </c>
      <c r="BI52" s="188">
        <f t="shared" si="224"/>
        <v>0</v>
      </c>
      <c r="BJ52" s="188">
        <f t="shared" si="225"/>
        <v>0</v>
      </c>
      <c r="BK52" s="188">
        <f t="shared" si="124"/>
        <v>0</v>
      </c>
      <c r="BL52" s="195"/>
      <c r="BM52" s="195"/>
      <c r="BN52" s="143">
        <v>54</v>
      </c>
      <c r="BO52" s="277">
        <v>1</v>
      </c>
      <c r="BP52" s="188"/>
      <c r="BQ52" s="188"/>
      <c r="BR52" s="188"/>
      <c r="BS52" s="188"/>
      <c r="BT52" s="188"/>
      <c r="BU52" s="188"/>
      <c r="BV52" s="188"/>
      <c r="BW52" s="188"/>
      <c r="BX52" s="188"/>
      <c r="BY52" s="188"/>
      <c r="BZ52" s="188"/>
      <c r="CA52" s="195"/>
      <c r="CB52" s="188">
        <v>0</v>
      </c>
      <c r="CC52" s="195"/>
      <c r="CD52" s="189">
        <f t="shared" si="125"/>
        <v>54</v>
      </c>
      <c r="CE52" s="189">
        <f t="shared" si="191"/>
        <v>54</v>
      </c>
      <c r="CF52" s="189">
        <f t="shared" si="126"/>
        <v>0</v>
      </c>
      <c r="CG52" s="189">
        <f t="shared" si="127"/>
        <v>0</v>
      </c>
      <c r="CH52" s="189">
        <f t="shared" si="128"/>
        <v>0</v>
      </c>
      <c r="CI52" s="189">
        <f t="shared" si="129"/>
        <v>0</v>
      </c>
      <c r="CJ52" s="189">
        <f t="shared" si="130"/>
        <v>0</v>
      </c>
      <c r="CK52" s="189">
        <f t="shared" si="131"/>
        <v>0</v>
      </c>
      <c r="CL52" s="189">
        <f t="shared" si="132"/>
        <v>0</v>
      </c>
      <c r="CM52" s="189">
        <f t="shared" si="133"/>
        <v>0</v>
      </c>
      <c r="CN52" s="189">
        <f t="shared" si="134"/>
        <v>0</v>
      </c>
      <c r="CO52" s="189">
        <f t="shared" si="135"/>
        <v>0</v>
      </c>
      <c r="CP52" s="189">
        <f t="shared" si="136"/>
        <v>0</v>
      </c>
      <c r="CQ52" s="195"/>
      <c r="CR52" s="195"/>
      <c r="CS52" s="195"/>
      <c r="CT52" s="195"/>
      <c r="CU52" s="195"/>
      <c r="CV52" s="195"/>
      <c r="CW52" s="195"/>
      <c r="CX52" s="195"/>
      <c r="CY52" s="195"/>
      <c r="CZ52" s="195"/>
      <c r="DA52" s="195"/>
      <c r="DB52" s="195"/>
      <c r="DC52" s="195"/>
      <c r="DD52" s="195"/>
      <c r="DE52" s="195"/>
      <c r="DF52" s="195"/>
      <c r="DG52" s="195"/>
      <c r="DH52" s="195"/>
      <c r="DI52" s="195"/>
      <c r="DJ52" s="195"/>
      <c r="DK52" s="195"/>
      <c r="DL52" s="195"/>
      <c r="DM52" s="195"/>
      <c r="DN52" s="195"/>
      <c r="DO52" s="195"/>
      <c r="DP52" s="195"/>
      <c r="DQ52" s="195"/>
      <c r="DR52" s="195"/>
      <c r="DS52" s="195"/>
      <c r="DT52" s="195"/>
      <c r="DU52" s="195"/>
      <c r="DV52" s="189">
        <f t="shared" si="226"/>
        <v>0</v>
      </c>
      <c r="DW52" s="189">
        <f t="shared" si="227"/>
        <v>0</v>
      </c>
      <c r="DX52" s="189">
        <f t="shared" si="228"/>
        <v>0</v>
      </c>
      <c r="DY52" s="189">
        <f t="shared" si="229"/>
        <v>0</v>
      </c>
      <c r="DZ52" s="189">
        <f t="shared" si="230"/>
        <v>0</v>
      </c>
      <c r="EA52" s="189">
        <f t="shared" si="231"/>
        <v>0</v>
      </c>
      <c r="EB52" s="189">
        <f t="shared" si="137"/>
        <v>0</v>
      </c>
      <c r="EC52" s="195"/>
      <c r="ED52" s="195"/>
      <c r="EE52" s="195"/>
      <c r="EF52" s="195"/>
      <c r="EG52" s="252">
        <f t="shared" si="138"/>
        <v>0</v>
      </c>
      <c r="EH52" s="252">
        <f t="shared" si="139"/>
        <v>0</v>
      </c>
      <c r="EI52" s="189"/>
      <c r="EJ52" s="189"/>
      <c r="EK52" s="189"/>
      <c r="EL52" s="189"/>
      <c r="EM52" s="189"/>
      <c r="EN52" s="189"/>
      <c r="EO52" s="189"/>
      <c r="EP52" s="189"/>
      <c r="EQ52" s="189"/>
      <c r="ER52" s="189"/>
      <c r="ES52" s="189"/>
      <c r="ET52" s="189"/>
      <c r="EU52" s="189"/>
      <c r="EV52" s="189"/>
      <c r="EW52" s="189"/>
      <c r="EX52" s="189"/>
      <c r="EY52" s="189"/>
      <c r="EZ52" s="189"/>
      <c r="FA52" s="189"/>
      <c r="FB52" s="189"/>
      <c r="FC52" s="189"/>
      <c r="FD52" s="189"/>
      <c r="FE52" s="189"/>
      <c r="FF52" s="189"/>
      <c r="FG52" s="195"/>
      <c r="FH52" s="189"/>
      <c r="FI52" s="189"/>
      <c r="FJ52" s="189"/>
      <c r="FK52" s="189"/>
      <c r="FL52" s="189"/>
      <c r="FM52" s="189"/>
      <c r="FN52" s="189"/>
      <c r="FO52" s="189"/>
      <c r="FP52" s="189"/>
      <c r="FQ52" s="189"/>
      <c r="FR52" s="189"/>
      <c r="FS52" s="189"/>
      <c r="FT52" s="189"/>
      <c r="FU52" s="189"/>
      <c r="FV52" s="189"/>
      <c r="FW52" s="195"/>
      <c r="FX52" s="253">
        <v>1</v>
      </c>
      <c r="FY52" s="189">
        <f t="shared" si="140"/>
        <v>54</v>
      </c>
      <c r="FZ52" s="189">
        <f t="shared" si="240"/>
        <v>54</v>
      </c>
      <c r="GA52" s="189">
        <f t="shared" si="241"/>
        <v>0</v>
      </c>
      <c r="GB52" s="189">
        <f t="shared" si="242"/>
        <v>0</v>
      </c>
      <c r="GC52" s="189">
        <f t="shared" si="243"/>
        <v>0</v>
      </c>
      <c r="GD52" s="189">
        <f t="shared" si="244"/>
        <v>0</v>
      </c>
      <c r="GE52" s="189">
        <f t="shared" si="245"/>
        <v>0</v>
      </c>
      <c r="GF52" s="199"/>
      <c r="GG52" s="189">
        <v>0</v>
      </c>
      <c r="GH52" s="189">
        <v>0</v>
      </c>
      <c r="GI52" s="199"/>
      <c r="GJ52" s="200">
        <f t="shared" si="141"/>
        <v>0</v>
      </c>
      <c r="GK52" s="200">
        <f t="shared" si="142"/>
        <v>0</v>
      </c>
      <c r="GL52" s="195"/>
      <c r="GM52" s="195"/>
      <c r="GN52" s="195"/>
      <c r="GO52" s="189">
        <f t="shared" si="246"/>
        <v>0</v>
      </c>
      <c r="GP52" s="189">
        <f t="shared" si="247"/>
        <v>0</v>
      </c>
      <c r="GQ52" s="189">
        <f t="shared" si="248"/>
        <v>0</v>
      </c>
      <c r="GR52" s="189">
        <f t="shared" si="249"/>
        <v>0</v>
      </c>
      <c r="GS52" s="189">
        <f t="shared" si="250"/>
        <v>0</v>
      </c>
      <c r="GT52" s="189">
        <f t="shared" si="143"/>
        <v>1</v>
      </c>
      <c r="GU52" s="201">
        <f t="shared" si="144"/>
        <v>43243</v>
      </c>
      <c r="GV52" s="189" t="str">
        <f t="shared" si="145"/>
        <v>SELESAI</v>
      </c>
      <c r="GW52" s="189">
        <f t="shared" si="146"/>
        <v>0</v>
      </c>
      <c r="GX52" s="202" t="str">
        <f t="shared" si="147"/>
        <v>SELESAI</v>
      </c>
      <c r="GY52" s="202">
        <f t="shared" si="148"/>
        <v>0</v>
      </c>
      <c r="GZ52" s="203" t="str">
        <f t="shared" si="149"/>
        <v>SELESAI</v>
      </c>
      <c r="HA52" s="204"/>
      <c r="HB52" s="204"/>
      <c r="HC52" s="189">
        <f t="shared" si="251"/>
        <v>0</v>
      </c>
      <c r="HD52" s="189">
        <f t="shared" si="252"/>
        <v>0</v>
      </c>
      <c r="HE52" s="189">
        <f t="shared" si="150"/>
        <v>0</v>
      </c>
      <c r="HF52" s="189">
        <f t="shared" si="151"/>
        <v>0</v>
      </c>
      <c r="HG52" s="189">
        <f t="shared" si="152"/>
        <v>0</v>
      </c>
      <c r="HH52" s="201" t="str">
        <f t="shared" si="46"/>
        <v>TIDAK KONSINYASI</v>
      </c>
      <c r="HI52" s="201" t="str">
        <f t="shared" si="153"/>
        <v>SELESAI</v>
      </c>
      <c r="HJ52" s="205"/>
      <c r="HK52" s="201">
        <f t="shared" si="47"/>
        <v>0</v>
      </c>
      <c r="HL52" s="204"/>
      <c r="HM52" s="204"/>
      <c r="HN52" s="204"/>
      <c r="HO52" s="204"/>
      <c r="HP52" s="203">
        <f t="shared" si="154"/>
        <v>0</v>
      </c>
      <c r="HQ52" s="202">
        <f t="shared" si="155"/>
        <v>0</v>
      </c>
      <c r="HR52" s="202">
        <f t="shared" si="253"/>
        <v>0</v>
      </c>
      <c r="HS52" s="203">
        <f t="shared" si="156"/>
        <v>0</v>
      </c>
      <c r="HT52" s="202">
        <f t="shared" si="157"/>
        <v>0</v>
      </c>
      <c r="HU52" s="202">
        <f t="shared" si="254"/>
        <v>0</v>
      </c>
      <c r="HV52" s="203">
        <f t="shared" si="158"/>
        <v>0</v>
      </c>
      <c r="HW52" s="202">
        <f t="shared" si="50"/>
        <v>0</v>
      </c>
      <c r="HX52" s="202">
        <f t="shared" si="255"/>
        <v>0</v>
      </c>
      <c r="HY52" s="203">
        <f t="shared" si="52"/>
        <v>0</v>
      </c>
      <c r="HZ52" s="202">
        <f t="shared" si="159"/>
        <v>0</v>
      </c>
      <c r="IA52" s="202">
        <f t="shared" si="256"/>
        <v>0</v>
      </c>
      <c r="IB52" s="203">
        <f t="shared" si="160"/>
        <v>0</v>
      </c>
      <c r="IC52" s="202">
        <f t="shared" si="54"/>
        <v>0</v>
      </c>
      <c r="ID52" s="202">
        <f t="shared" si="257"/>
        <v>0</v>
      </c>
      <c r="IE52" s="203">
        <f t="shared" si="56"/>
        <v>0</v>
      </c>
      <c r="IF52" s="202">
        <f t="shared" si="57"/>
        <v>0</v>
      </c>
      <c r="IG52" s="202">
        <f t="shared" si="258"/>
        <v>0</v>
      </c>
      <c r="IH52" s="203">
        <f t="shared" si="161"/>
        <v>0</v>
      </c>
      <c r="II52" s="202">
        <f t="shared" si="162"/>
        <v>0</v>
      </c>
      <c r="IJ52" s="202">
        <f t="shared" si="259"/>
        <v>0</v>
      </c>
      <c r="IK52" s="203">
        <f t="shared" si="60"/>
        <v>0</v>
      </c>
      <c r="IL52" s="202">
        <f t="shared" si="61"/>
        <v>0</v>
      </c>
      <c r="IM52" s="202">
        <f t="shared" si="260"/>
        <v>0</v>
      </c>
      <c r="IN52" s="204"/>
      <c r="IO52" s="203">
        <f t="shared" si="63"/>
        <v>0</v>
      </c>
      <c r="IP52" s="202">
        <f t="shared" si="261"/>
        <v>0</v>
      </c>
      <c r="IQ52" s="202">
        <f t="shared" si="262"/>
        <v>0</v>
      </c>
      <c r="IR52" s="204"/>
      <c r="IS52" s="203"/>
      <c r="IT52" s="202">
        <f t="shared" si="263"/>
        <v>1</v>
      </c>
      <c r="IU52" s="202">
        <f t="shared" si="264"/>
        <v>85</v>
      </c>
      <c r="IV52" s="204"/>
      <c r="IW52" s="203"/>
      <c r="IX52" s="202">
        <f t="shared" si="265"/>
        <v>0</v>
      </c>
      <c r="IY52" s="202">
        <f t="shared" si="266"/>
        <v>0</v>
      </c>
      <c r="IZ52" s="204"/>
      <c r="JA52" s="203"/>
      <c r="JB52" s="202">
        <f t="shared" si="267"/>
        <v>0</v>
      </c>
      <c r="JC52" s="202">
        <f t="shared" si="268"/>
        <v>0</v>
      </c>
      <c r="JD52" s="204"/>
      <c r="JE52" s="203"/>
      <c r="JF52" s="202">
        <f t="shared" si="163"/>
        <v>1</v>
      </c>
      <c r="JG52" s="202">
        <f t="shared" si="72"/>
        <v>85</v>
      </c>
      <c r="JH52" s="204"/>
      <c r="JI52" s="203"/>
      <c r="JJ52" s="202">
        <f t="shared" si="269"/>
        <v>0</v>
      </c>
      <c r="JK52" s="202">
        <f t="shared" si="270"/>
        <v>0</v>
      </c>
      <c r="JL52" s="195"/>
      <c r="JM52" s="203">
        <f t="shared" si="164"/>
        <v>0</v>
      </c>
      <c r="JN52" s="195"/>
      <c r="JO52" s="196">
        <f t="shared" si="75"/>
        <v>1</v>
      </c>
      <c r="JP52" s="206">
        <f t="shared" si="271"/>
        <v>54</v>
      </c>
      <c r="JQ52" s="206">
        <f t="shared" si="272"/>
        <v>1</v>
      </c>
      <c r="JR52" s="206">
        <f t="shared" si="273"/>
        <v>0</v>
      </c>
      <c r="JS52" s="206">
        <f t="shared" si="274"/>
        <v>0</v>
      </c>
      <c r="JT52" s="206">
        <f t="shared" si="275"/>
        <v>0</v>
      </c>
      <c r="JU52" s="206">
        <f t="shared" si="276"/>
        <v>0</v>
      </c>
      <c r="JV52" s="206">
        <f t="shared" si="277"/>
        <v>0</v>
      </c>
      <c r="JW52" s="206">
        <f t="shared" si="278"/>
        <v>0</v>
      </c>
      <c r="JX52" s="206">
        <f t="shared" si="279"/>
        <v>0</v>
      </c>
      <c r="JY52" s="206">
        <f t="shared" si="280"/>
        <v>0</v>
      </c>
      <c r="JZ52" s="206">
        <f t="shared" si="281"/>
        <v>0</v>
      </c>
      <c r="KA52" s="206">
        <f t="shared" si="282"/>
        <v>0</v>
      </c>
      <c r="KB52" s="206">
        <f t="shared" si="283"/>
        <v>0</v>
      </c>
      <c r="KC52" s="195"/>
      <c r="KD52" s="206">
        <f t="shared" si="165"/>
        <v>0</v>
      </c>
      <c r="KE52" s="206">
        <f t="shared" si="90"/>
        <v>0</v>
      </c>
      <c r="KF52" s="206">
        <f t="shared" si="284"/>
        <v>54</v>
      </c>
      <c r="KG52" s="206">
        <f t="shared" si="285"/>
        <v>54</v>
      </c>
      <c r="KH52" s="206">
        <f t="shared" si="286"/>
        <v>0</v>
      </c>
      <c r="KI52" s="206">
        <f t="shared" si="287"/>
        <v>0</v>
      </c>
      <c r="KJ52" s="206">
        <f t="shared" si="288"/>
        <v>0</v>
      </c>
      <c r="KK52" s="206">
        <f t="shared" si="289"/>
        <v>0</v>
      </c>
      <c r="KL52" s="206">
        <f t="shared" si="290"/>
        <v>0</v>
      </c>
      <c r="KM52" s="206">
        <f t="shared" si="291"/>
        <v>0</v>
      </c>
      <c r="KN52" s="221">
        <f t="shared" si="292"/>
        <v>0</v>
      </c>
      <c r="KO52" s="221">
        <f t="shared" si="293"/>
        <v>0</v>
      </c>
      <c r="KP52" s="221">
        <f t="shared" si="294"/>
        <v>0</v>
      </c>
      <c r="KQ52" s="221">
        <f t="shared" si="295"/>
        <v>0</v>
      </c>
      <c r="KR52" s="221">
        <f t="shared" si="296"/>
        <v>0</v>
      </c>
      <c r="KS52" s="195"/>
      <c r="KT52" s="195">
        <f t="shared" si="297"/>
        <v>0</v>
      </c>
      <c r="KU52" s="221"/>
      <c r="KV52" s="221"/>
      <c r="KW52" s="221"/>
      <c r="KX52" s="221"/>
      <c r="KY52" s="221"/>
      <c r="KZ52" s="221"/>
      <c r="LA52" s="221"/>
      <c r="LB52" s="221"/>
      <c r="LC52" s="221"/>
      <c r="LD52" s="221"/>
      <c r="LE52" s="221"/>
      <c r="LF52" s="221"/>
      <c r="LG52" s="221"/>
      <c r="LH52" s="221"/>
      <c r="LI52" s="221"/>
      <c r="LJ52" s="221"/>
      <c r="LK52" s="221"/>
      <c r="LL52" s="221"/>
      <c r="LM52" s="221"/>
      <c r="LN52" s="221"/>
      <c r="LO52" s="221"/>
      <c r="LP52" s="221"/>
      <c r="LQ52" s="221"/>
      <c r="LR52" s="221"/>
      <c r="LS52" s="221"/>
      <c r="LT52" s="221"/>
      <c r="LU52" s="221"/>
      <c r="LV52" s="221"/>
      <c r="LW52" s="221"/>
      <c r="LX52" s="221"/>
      <c r="LY52" s="221"/>
      <c r="LZ52" s="221"/>
      <c r="MA52" s="221"/>
      <c r="MB52" s="221"/>
      <c r="MC52" s="221"/>
      <c r="MD52" s="221"/>
      <c r="ME52" s="221"/>
      <c r="MF52" s="221"/>
      <c r="MG52" s="221"/>
      <c r="MH52" s="221"/>
      <c r="MI52" s="221"/>
      <c r="MJ52" s="221"/>
      <c r="MK52" s="221"/>
      <c r="ML52" s="221"/>
      <c r="MM52" s="221"/>
      <c r="MN52" s="221"/>
      <c r="MO52" s="221"/>
      <c r="MP52" s="221"/>
      <c r="MQ52" s="221"/>
      <c r="MR52" s="221"/>
      <c r="MS52" s="221"/>
      <c r="MT52" s="221"/>
      <c r="MU52" s="221"/>
      <c r="MV52" s="221"/>
      <c r="MW52" s="221"/>
      <c r="MX52" s="221"/>
      <c r="MY52" s="221"/>
      <c r="MZ52" s="221"/>
      <c r="NA52" s="221"/>
      <c r="NB52" s="221"/>
      <c r="NC52" s="221"/>
      <c r="ND52" s="221"/>
      <c r="NE52" s="221"/>
      <c r="NF52" s="221"/>
      <c r="NG52" s="221"/>
      <c r="NH52" s="221"/>
      <c r="NI52" s="221"/>
      <c r="NJ52" s="221"/>
      <c r="NK52" s="221"/>
      <c r="NL52" s="195"/>
      <c r="NM52" s="195">
        <f t="shared" si="166"/>
        <v>0</v>
      </c>
      <c r="NN52" s="195">
        <f t="shared" si="167"/>
        <v>0</v>
      </c>
      <c r="NO52" s="195">
        <f t="shared" si="168"/>
        <v>0</v>
      </c>
      <c r="NP52" s="195">
        <f t="shared" si="169"/>
        <v>0</v>
      </c>
      <c r="NQ52" s="195">
        <f t="shared" si="170"/>
        <v>0</v>
      </c>
      <c r="NR52" s="195">
        <f t="shared" si="171"/>
        <v>0</v>
      </c>
      <c r="NS52" s="195">
        <f t="shared" si="172"/>
        <v>0</v>
      </c>
      <c r="NT52" s="195">
        <f t="shared" si="173"/>
        <v>0</v>
      </c>
      <c r="NU52" s="196">
        <f t="shared" si="174"/>
        <v>0</v>
      </c>
      <c r="NV52" s="195"/>
      <c r="NW52" s="195"/>
      <c r="NX52" s="195"/>
      <c r="NY52" s="196">
        <f t="shared" si="232"/>
        <v>1</v>
      </c>
      <c r="NZ52" s="222">
        <f>705500000/83</f>
        <v>8500000</v>
      </c>
      <c r="OA52" s="195"/>
      <c r="OB52" s="195"/>
      <c r="OC52" s="195"/>
      <c r="OD52" s="195"/>
      <c r="OE52" s="207">
        <f t="shared" si="233"/>
        <v>0</v>
      </c>
      <c r="OF52" s="207">
        <f t="shared" si="234"/>
        <v>0</v>
      </c>
      <c r="OG52" s="207">
        <f t="shared" si="235"/>
        <v>0</v>
      </c>
      <c r="OH52" s="207">
        <f t="shared" si="175"/>
        <v>0</v>
      </c>
      <c r="OI52" s="207">
        <f t="shared" si="236"/>
        <v>0</v>
      </c>
      <c r="OJ52" s="199">
        <f t="shared" si="176"/>
        <v>0</v>
      </c>
      <c r="OK52" s="199">
        <f t="shared" si="177"/>
        <v>0</v>
      </c>
      <c r="OL52" s="199">
        <f t="shared" si="178"/>
        <v>0</v>
      </c>
      <c r="OM52" s="199">
        <f t="shared" si="179"/>
        <v>0</v>
      </c>
      <c r="ON52" s="195"/>
      <c r="OO52" s="207">
        <f t="shared" si="237"/>
        <v>0</v>
      </c>
      <c r="OP52" s="207">
        <f t="shared" si="238"/>
        <v>0</v>
      </c>
      <c r="OQ52" s="207">
        <f t="shared" si="180"/>
        <v>0</v>
      </c>
      <c r="OR52" s="207">
        <f t="shared" si="181"/>
        <v>0</v>
      </c>
      <c r="OS52" s="207">
        <f t="shared" si="182"/>
        <v>0</v>
      </c>
      <c r="OT52" s="199">
        <f t="shared" si="183"/>
        <v>0</v>
      </c>
      <c r="OU52" s="199">
        <f t="shared" si="184"/>
        <v>0</v>
      </c>
      <c r="OV52" s="199">
        <f t="shared" si="185"/>
        <v>0</v>
      </c>
      <c r="OW52" s="199">
        <f t="shared" si="186"/>
        <v>0</v>
      </c>
      <c r="OX52" s="195"/>
      <c r="OY52" s="195"/>
      <c r="OZ52" s="195"/>
      <c r="PA52" s="209"/>
      <c r="PB52" s="209"/>
      <c r="PC52" s="209"/>
      <c r="PD52" s="210">
        <f t="shared" si="113"/>
        <v>0</v>
      </c>
      <c r="PE52" s="210"/>
      <c r="PF52" s="210">
        <f t="shared" si="114"/>
        <v>0</v>
      </c>
      <c r="PG52" s="210">
        <f t="shared" ref="PG52:PI107" si="302">IF(PA52=1,$BB52,0)</f>
        <v>0</v>
      </c>
      <c r="PH52" s="210">
        <f t="shared" si="302"/>
        <v>0</v>
      </c>
      <c r="PI52" s="210">
        <f t="shared" si="302"/>
        <v>0</v>
      </c>
      <c r="PJ52" s="210">
        <f t="shared" si="300"/>
        <v>0</v>
      </c>
      <c r="PK52" s="210">
        <f t="shared" si="300"/>
        <v>0</v>
      </c>
      <c r="PL52" s="210">
        <f t="shared" si="300"/>
        <v>0</v>
      </c>
      <c r="PM52" s="195"/>
      <c r="PN52" s="195"/>
      <c r="PO52" s="212">
        <f t="shared" si="187"/>
        <v>0</v>
      </c>
      <c r="PP52" s="212">
        <f t="shared" si="188"/>
        <v>0</v>
      </c>
      <c r="PQ52" s="212">
        <f t="shared" si="189"/>
        <v>0</v>
      </c>
    </row>
    <row r="53" spans="1:433 16383:16383" ht="16" x14ac:dyDescent="0.2">
      <c r="A53" s="213">
        <f t="shared" si="190"/>
        <v>44</v>
      </c>
      <c r="B53" s="186" t="s">
        <v>123</v>
      </c>
      <c r="C53" s="186">
        <v>46</v>
      </c>
      <c r="D53" s="188">
        <v>1</v>
      </c>
      <c r="E53" s="188">
        <v>78</v>
      </c>
      <c r="F53" s="188">
        <v>1</v>
      </c>
      <c r="G53" s="188">
        <f t="shared" si="239"/>
        <v>78</v>
      </c>
      <c r="H53" s="214">
        <f t="shared" si="203"/>
        <v>1</v>
      </c>
      <c r="I53" s="214">
        <f t="shared" si="204"/>
        <v>1</v>
      </c>
      <c r="J53" s="188">
        <v>1</v>
      </c>
      <c r="K53" s="188">
        <f t="shared" si="205"/>
        <v>78</v>
      </c>
      <c r="L53" s="214">
        <f t="shared" si="206"/>
        <v>1</v>
      </c>
      <c r="M53" s="214">
        <f t="shared" si="207"/>
        <v>1</v>
      </c>
      <c r="N53" s="188">
        <v>1</v>
      </c>
      <c r="O53" s="188">
        <f t="shared" si="208"/>
        <v>78</v>
      </c>
      <c r="P53" s="214">
        <f t="shared" si="209"/>
        <v>1</v>
      </c>
      <c r="Q53" s="214">
        <f t="shared" si="210"/>
        <v>1</v>
      </c>
      <c r="R53" s="188">
        <v>1</v>
      </c>
      <c r="S53" s="188">
        <f t="shared" si="211"/>
        <v>78</v>
      </c>
      <c r="T53" s="214">
        <f t="shared" si="212"/>
        <v>1</v>
      </c>
      <c r="U53" s="214">
        <f t="shared" si="213"/>
        <v>1</v>
      </c>
      <c r="V53" s="188">
        <v>1</v>
      </c>
      <c r="W53" s="188">
        <f t="shared" si="214"/>
        <v>78</v>
      </c>
      <c r="X53" s="214">
        <f t="shared" si="215"/>
        <v>1</v>
      </c>
      <c r="Y53" s="214">
        <f t="shared" si="216"/>
        <v>1</v>
      </c>
      <c r="Z53" s="224">
        <f>1510538000/1000000000</f>
        <v>1.5105379999999999</v>
      </c>
      <c r="AA53" s="188"/>
      <c r="AB53" s="189">
        <f t="shared" si="120"/>
        <v>0</v>
      </c>
      <c r="AC53" s="250">
        <f t="shared" si="121"/>
        <v>0</v>
      </c>
      <c r="AD53" s="250">
        <f t="shared" si="122"/>
        <v>0</v>
      </c>
      <c r="AE53" s="188"/>
      <c r="AF53" s="188">
        <f t="shared" si="217"/>
        <v>0</v>
      </c>
      <c r="AG53" s="187"/>
      <c r="AH53" s="187"/>
      <c r="AI53" s="188">
        <v>0</v>
      </c>
      <c r="AJ53" s="188">
        <f t="shared" si="218"/>
        <v>0</v>
      </c>
      <c r="AK53" s="188"/>
      <c r="AL53" s="188">
        <v>0</v>
      </c>
      <c r="AM53" s="188">
        <v>0</v>
      </c>
      <c r="AN53" s="217"/>
      <c r="AO53" s="196">
        <f t="shared" si="123"/>
        <v>0</v>
      </c>
      <c r="AP53" s="195"/>
      <c r="AQ53" s="195"/>
      <c r="AR53" s="195"/>
      <c r="AS53" s="195"/>
      <c r="AT53" s="195"/>
      <c r="AU53" s="195"/>
      <c r="AV53" s="195"/>
      <c r="AW53" s="195"/>
      <c r="AX53" s="195"/>
      <c r="AY53" s="195"/>
      <c r="AZ53" s="195"/>
      <c r="BA53" s="195"/>
      <c r="BB53" s="188">
        <f t="shared" si="219"/>
        <v>0</v>
      </c>
      <c r="BC53" s="195"/>
      <c r="BD53" s="196"/>
      <c r="BE53" s="188">
        <f t="shared" si="220"/>
        <v>0</v>
      </c>
      <c r="BF53" s="188">
        <f t="shared" si="221"/>
        <v>0</v>
      </c>
      <c r="BG53" s="188">
        <f t="shared" si="222"/>
        <v>0</v>
      </c>
      <c r="BH53" s="188">
        <f t="shared" si="223"/>
        <v>0</v>
      </c>
      <c r="BI53" s="188">
        <f t="shared" si="224"/>
        <v>0</v>
      </c>
      <c r="BJ53" s="188">
        <f t="shared" si="225"/>
        <v>0</v>
      </c>
      <c r="BK53" s="188">
        <f t="shared" si="124"/>
        <v>0</v>
      </c>
      <c r="BL53" s="195"/>
      <c r="BM53" s="195"/>
      <c r="BN53" s="143">
        <v>58</v>
      </c>
      <c r="BO53" s="277">
        <v>1</v>
      </c>
      <c r="BP53" s="188"/>
      <c r="BQ53" s="188"/>
      <c r="BR53" s="188"/>
      <c r="BS53" s="188"/>
      <c r="BT53" s="188"/>
      <c r="BU53" s="188"/>
      <c r="BV53" s="188"/>
      <c r="BW53" s="188"/>
      <c r="BX53" s="188"/>
      <c r="BY53" s="188"/>
      <c r="BZ53" s="188"/>
      <c r="CA53" s="195"/>
      <c r="CB53" s="188">
        <v>0</v>
      </c>
      <c r="CC53" s="195"/>
      <c r="CD53" s="189">
        <f t="shared" si="125"/>
        <v>58</v>
      </c>
      <c r="CE53" s="189">
        <f t="shared" si="191"/>
        <v>58</v>
      </c>
      <c r="CF53" s="189">
        <f t="shared" si="126"/>
        <v>0</v>
      </c>
      <c r="CG53" s="189">
        <f t="shared" si="127"/>
        <v>0</v>
      </c>
      <c r="CH53" s="189">
        <f t="shared" si="128"/>
        <v>0</v>
      </c>
      <c r="CI53" s="189">
        <f t="shared" si="129"/>
        <v>0</v>
      </c>
      <c r="CJ53" s="189">
        <f t="shared" si="130"/>
        <v>0</v>
      </c>
      <c r="CK53" s="189">
        <f t="shared" si="131"/>
        <v>0</v>
      </c>
      <c r="CL53" s="189">
        <f t="shared" si="132"/>
        <v>0</v>
      </c>
      <c r="CM53" s="189">
        <f t="shared" si="133"/>
        <v>0</v>
      </c>
      <c r="CN53" s="189">
        <f t="shared" si="134"/>
        <v>0</v>
      </c>
      <c r="CO53" s="189">
        <f t="shared" si="135"/>
        <v>0</v>
      </c>
      <c r="CP53" s="189">
        <f t="shared" si="136"/>
        <v>0</v>
      </c>
      <c r="CQ53" s="195"/>
      <c r="CR53" s="195"/>
      <c r="CS53" s="195"/>
      <c r="CT53" s="195"/>
      <c r="CU53" s="195"/>
      <c r="CV53" s="195"/>
      <c r="CW53" s="195"/>
      <c r="CX53" s="195"/>
      <c r="CY53" s="195"/>
      <c r="CZ53" s="195"/>
      <c r="DA53" s="195"/>
      <c r="DB53" s="195"/>
      <c r="DC53" s="195"/>
      <c r="DD53" s="195"/>
      <c r="DE53" s="195"/>
      <c r="DF53" s="195"/>
      <c r="DG53" s="195"/>
      <c r="DH53" s="195"/>
      <c r="DI53" s="195"/>
      <c r="DJ53" s="195"/>
      <c r="DK53" s="195"/>
      <c r="DL53" s="195"/>
      <c r="DM53" s="195"/>
      <c r="DN53" s="195"/>
      <c r="DO53" s="195"/>
      <c r="DP53" s="195"/>
      <c r="DQ53" s="195"/>
      <c r="DR53" s="195"/>
      <c r="DS53" s="195"/>
      <c r="DT53" s="195"/>
      <c r="DU53" s="195"/>
      <c r="DV53" s="189">
        <f t="shared" si="226"/>
        <v>0</v>
      </c>
      <c r="DW53" s="189">
        <f t="shared" si="227"/>
        <v>0</v>
      </c>
      <c r="DX53" s="189">
        <f t="shared" si="228"/>
        <v>0</v>
      </c>
      <c r="DY53" s="189">
        <f t="shared" si="229"/>
        <v>0</v>
      </c>
      <c r="DZ53" s="189">
        <f t="shared" si="230"/>
        <v>0</v>
      </c>
      <c r="EA53" s="189">
        <f t="shared" si="231"/>
        <v>0</v>
      </c>
      <c r="EB53" s="189">
        <f t="shared" si="137"/>
        <v>0</v>
      </c>
      <c r="EC53" s="195"/>
      <c r="ED53" s="195"/>
      <c r="EE53" s="195"/>
      <c r="EF53" s="195"/>
      <c r="EG53" s="252">
        <f t="shared" si="138"/>
        <v>0</v>
      </c>
      <c r="EH53" s="252">
        <f t="shared" si="139"/>
        <v>0</v>
      </c>
      <c r="EI53" s="189"/>
      <c r="EJ53" s="189"/>
      <c r="EK53" s="189"/>
      <c r="EL53" s="189"/>
      <c r="EM53" s="189"/>
      <c r="EN53" s="189"/>
      <c r="EO53" s="189"/>
      <c r="EP53" s="189"/>
      <c r="EQ53" s="189"/>
      <c r="ER53" s="189"/>
      <c r="ES53" s="189"/>
      <c r="ET53" s="189"/>
      <c r="EU53" s="189"/>
      <c r="EV53" s="189"/>
      <c r="EW53" s="189"/>
      <c r="EX53" s="189"/>
      <c r="EY53" s="189"/>
      <c r="EZ53" s="189"/>
      <c r="FA53" s="189"/>
      <c r="FB53" s="189"/>
      <c r="FC53" s="189"/>
      <c r="FD53" s="189"/>
      <c r="FE53" s="189"/>
      <c r="FF53" s="189"/>
      <c r="FG53" s="195"/>
      <c r="FH53" s="189"/>
      <c r="FI53" s="189"/>
      <c r="FJ53" s="189"/>
      <c r="FK53" s="189"/>
      <c r="FL53" s="189"/>
      <c r="FM53" s="189"/>
      <c r="FN53" s="189"/>
      <c r="FO53" s="189"/>
      <c r="FP53" s="189"/>
      <c r="FQ53" s="189"/>
      <c r="FR53" s="189"/>
      <c r="FS53" s="189"/>
      <c r="FT53" s="189"/>
      <c r="FU53" s="189"/>
      <c r="FV53" s="189"/>
      <c r="FW53" s="195"/>
      <c r="FX53" s="253">
        <v>1</v>
      </c>
      <c r="FY53" s="189">
        <f t="shared" si="140"/>
        <v>58</v>
      </c>
      <c r="FZ53" s="189">
        <f t="shared" si="240"/>
        <v>58</v>
      </c>
      <c r="GA53" s="189">
        <f t="shared" si="241"/>
        <v>0</v>
      </c>
      <c r="GB53" s="189">
        <f t="shared" si="242"/>
        <v>0</v>
      </c>
      <c r="GC53" s="189">
        <f t="shared" si="243"/>
        <v>0</v>
      </c>
      <c r="GD53" s="189">
        <f t="shared" si="244"/>
        <v>0</v>
      </c>
      <c r="GE53" s="189">
        <f t="shared" si="245"/>
        <v>0</v>
      </c>
      <c r="GF53" s="199"/>
      <c r="GG53" s="189">
        <v>0</v>
      </c>
      <c r="GH53" s="189">
        <v>0</v>
      </c>
      <c r="GI53" s="199"/>
      <c r="GJ53" s="200">
        <f t="shared" si="141"/>
        <v>0</v>
      </c>
      <c r="GK53" s="200">
        <f t="shared" si="142"/>
        <v>0</v>
      </c>
      <c r="GL53" s="195"/>
      <c r="GM53" s="195"/>
      <c r="GN53" s="195"/>
      <c r="GO53" s="189">
        <f t="shared" si="246"/>
        <v>0</v>
      </c>
      <c r="GP53" s="189">
        <f t="shared" si="247"/>
        <v>0</v>
      </c>
      <c r="GQ53" s="189">
        <f t="shared" si="248"/>
        <v>0</v>
      </c>
      <c r="GR53" s="189">
        <f t="shared" si="249"/>
        <v>0</v>
      </c>
      <c r="GS53" s="189">
        <f t="shared" si="250"/>
        <v>0</v>
      </c>
      <c r="GT53" s="189">
        <f t="shared" si="143"/>
        <v>1</v>
      </c>
      <c r="GU53" s="201">
        <f t="shared" si="144"/>
        <v>43243</v>
      </c>
      <c r="GV53" s="189" t="str">
        <f t="shared" si="145"/>
        <v>SELESAI</v>
      </c>
      <c r="GW53" s="189">
        <f t="shared" si="146"/>
        <v>0</v>
      </c>
      <c r="GX53" s="202" t="str">
        <f t="shared" si="147"/>
        <v>SELESAI</v>
      </c>
      <c r="GY53" s="202">
        <f t="shared" si="148"/>
        <v>0</v>
      </c>
      <c r="GZ53" s="203" t="str">
        <f t="shared" si="149"/>
        <v>SELESAI</v>
      </c>
      <c r="HA53" s="204"/>
      <c r="HB53" s="204"/>
      <c r="HC53" s="189">
        <f t="shared" si="251"/>
        <v>0</v>
      </c>
      <c r="HD53" s="189">
        <f t="shared" si="252"/>
        <v>0</v>
      </c>
      <c r="HE53" s="189">
        <f t="shared" si="150"/>
        <v>0</v>
      </c>
      <c r="HF53" s="189">
        <f t="shared" si="151"/>
        <v>0</v>
      </c>
      <c r="HG53" s="189">
        <f t="shared" si="152"/>
        <v>0</v>
      </c>
      <c r="HH53" s="201" t="str">
        <f t="shared" si="46"/>
        <v>TIDAK KONSINYASI</v>
      </c>
      <c r="HI53" s="201" t="str">
        <f t="shared" si="153"/>
        <v>SELESAI</v>
      </c>
      <c r="HJ53" s="205"/>
      <c r="HK53" s="201">
        <f t="shared" si="47"/>
        <v>0</v>
      </c>
      <c r="HL53" s="204"/>
      <c r="HM53" s="204"/>
      <c r="HN53" s="204"/>
      <c r="HO53" s="204"/>
      <c r="HP53" s="203">
        <f t="shared" si="154"/>
        <v>0</v>
      </c>
      <c r="HQ53" s="202">
        <f t="shared" si="155"/>
        <v>0</v>
      </c>
      <c r="HR53" s="202">
        <f t="shared" si="253"/>
        <v>0</v>
      </c>
      <c r="HS53" s="203">
        <f t="shared" si="156"/>
        <v>0</v>
      </c>
      <c r="HT53" s="202">
        <f t="shared" si="157"/>
        <v>0</v>
      </c>
      <c r="HU53" s="202">
        <f t="shared" si="254"/>
        <v>0</v>
      </c>
      <c r="HV53" s="203">
        <f t="shared" si="158"/>
        <v>0</v>
      </c>
      <c r="HW53" s="202">
        <f t="shared" si="50"/>
        <v>0</v>
      </c>
      <c r="HX53" s="202">
        <f t="shared" si="255"/>
        <v>0</v>
      </c>
      <c r="HY53" s="203">
        <f t="shared" si="52"/>
        <v>0</v>
      </c>
      <c r="HZ53" s="202">
        <f t="shared" si="159"/>
        <v>0</v>
      </c>
      <c r="IA53" s="202">
        <f t="shared" si="256"/>
        <v>0</v>
      </c>
      <c r="IB53" s="203">
        <f t="shared" si="160"/>
        <v>0</v>
      </c>
      <c r="IC53" s="202">
        <f t="shared" si="54"/>
        <v>0</v>
      </c>
      <c r="ID53" s="202">
        <f t="shared" si="257"/>
        <v>0</v>
      </c>
      <c r="IE53" s="203">
        <f t="shared" si="56"/>
        <v>0</v>
      </c>
      <c r="IF53" s="202">
        <f t="shared" si="57"/>
        <v>0</v>
      </c>
      <c r="IG53" s="202">
        <f t="shared" si="258"/>
        <v>0</v>
      </c>
      <c r="IH53" s="203">
        <f t="shared" si="161"/>
        <v>0</v>
      </c>
      <c r="II53" s="202">
        <f t="shared" si="162"/>
        <v>0</v>
      </c>
      <c r="IJ53" s="202">
        <f t="shared" si="259"/>
        <v>0</v>
      </c>
      <c r="IK53" s="203">
        <f t="shared" si="60"/>
        <v>0</v>
      </c>
      <c r="IL53" s="202">
        <f t="shared" si="61"/>
        <v>0</v>
      </c>
      <c r="IM53" s="202">
        <f t="shared" si="260"/>
        <v>0</v>
      </c>
      <c r="IN53" s="204"/>
      <c r="IO53" s="203">
        <f t="shared" si="63"/>
        <v>0</v>
      </c>
      <c r="IP53" s="202">
        <f t="shared" si="261"/>
        <v>0</v>
      </c>
      <c r="IQ53" s="202">
        <f t="shared" si="262"/>
        <v>0</v>
      </c>
      <c r="IR53" s="204"/>
      <c r="IS53" s="203"/>
      <c r="IT53" s="202">
        <f t="shared" si="263"/>
        <v>1</v>
      </c>
      <c r="IU53" s="202">
        <f t="shared" si="264"/>
        <v>78</v>
      </c>
      <c r="IV53" s="204"/>
      <c r="IW53" s="203"/>
      <c r="IX53" s="202">
        <f t="shared" si="265"/>
        <v>0</v>
      </c>
      <c r="IY53" s="202">
        <f t="shared" si="266"/>
        <v>0</v>
      </c>
      <c r="IZ53" s="204"/>
      <c r="JA53" s="203"/>
      <c r="JB53" s="202">
        <f t="shared" si="267"/>
        <v>0</v>
      </c>
      <c r="JC53" s="202">
        <f t="shared" si="268"/>
        <v>0</v>
      </c>
      <c r="JD53" s="204"/>
      <c r="JE53" s="203"/>
      <c r="JF53" s="202">
        <f t="shared" si="163"/>
        <v>1</v>
      </c>
      <c r="JG53" s="202">
        <f t="shared" si="72"/>
        <v>78</v>
      </c>
      <c r="JH53" s="204"/>
      <c r="JI53" s="203"/>
      <c r="JJ53" s="202">
        <f t="shared" si="269"/>
        <v>0</v>
      </c>
      <c r="JK53" s="202">
        <f t="shared" si="270"/>
        <v>0</v>
      </c>
      <c r="JL53" s="195"/>
      <c r="JM53" s="203">
        <f t="shared" si="164"/>
        <v>0</v>
      </c>
      <c r="JN53" s="195"/>
      <c r="JO53" s="196">
        <f t="shared" si="75"/>
        <v>1</v>
      </c>
      <c r="JP53" s="206">
        <f t="shared" si="271"/>
        <v>58</v>
      </c>
      <c r="JQ53" s="206">
        <f t="shared" si="272"/>
        <v>1</v>
      </c>
      <c r="JR53" s="206">
        <f t="shared" si="273"/>
        <v>0</v>
      </c>
      <c r="JS53" s="206">
        <f t="shared" si="274"/>
        <v>0</v>
      </c>
      <c r="JT53" s="206">
        <f t="shared" si="275"/>
        <v>0</v>
      </c>
      <c r="JU53" s="206">
        <f t="shared" si="276"/>
        <v>0</v>
      </c>
      <c r="JV53" s="206">
        <f t="shared" si="277"/>
        <v>0</v>
      </c>
      <c r="JW53" s="206">
        <f t="shared" si="278"/>
        <v>0</v>
      </c>
      <c r="JX53" s="206">
        <f t="shared" si="279"/>
        <v>0</v>
      </c>
      <c r="JY53" s="206">
        <f t="shared" si="280"/>
        <v>0</v>
      </c>
      <c r="JZ53" s="206">
        <f t="shared" si="281"/>
        <v>0</v>
      </c>
      <c r="KA53" s="206">
        <f t="shared" si="282"/>
        <v>0</v>
      </c>
      <c r="KB53" s="206">
        <f t="shared" si="283"/>
        <v>0</v>
      </c>
      <c r="KC53" s="195"/>
      <c r="KD53" s="206">
        <f t="shared" si="165"/>
        <v>0</v>
      </c>
      <c r="KE53" s="206">
        <f t="shared" si="90"/>
        <v>0</v>
      </c>
      <c r="KF53" s="206">
        <f t="shared" si="284"/>
        <v>58</v>
      </c>
      <c r="KG53" s="206">
        <f t="shared" si="285"/>
        <v>58</v>
      </c>
      <c r="KH53" s="206">
        <f t="shared" si="286"/>
        <v>0</v>
      </c>
      <c r="KI53" s="206">
        <f t="shared" si="287"/>
        <v>0</v>
      </c>
      <c r="KJ53" s="206">
        <f t="shared" si="288"/>
        <v>0</v>
      </c>
      <c r="KK53" s="206">
        <f t="shared" si="289"/>
        <v>0</v>
      </c>
      <c r="KL53" s="206">
        <f t="shared" si="290"/>
        <v>0</v>
      </c>
      <c r="KM53" s="206">
        <f t="shared" si="291"/>
        <v>0</v>
      </c>
      <c r="KN53" s="221">
        <f t="shared" si="292"/>
        <v>0</v>
      </c>
      <c r="KO53" s="221">
        <f t="shared" si="293"/>
        <v>0</v>
      </c>
      <c r="KP53" s="221">
        <f t="shared" si="294"/>
        <v>0</v>
      </c>
      <c r="KQ53" s="221">
        <f t="shared" si="295"/>
        <v>0</v>
      </c>
      <c r="KR53" s="221">
        <f t="shared" si="296"/>
        <v>0</v>
      </c>
      <c r="KS53" s="195"/>
      <c r="KT53" s="195">
        <f t="shared" si="297"/>
        <v>0</v>
      </c>
      <c r="KU53" s="221"/>
      <c r="KV53" s="221"/>
      <c r="KW53" s="221"/>
      <c r="KX53" s="221"/>
      <c r="KY53" s="221"/>
      <c r="KZ53" s="221"/>
      <c r="LA53" s="221"/>
      <c r="LB53" s="221"/>
      <c r="LC53" s="221"/>
      <c r="LD53" s="221"/>
      <c r="LE53" s="221"/>
      <c r="LF53" s="221"/>
      <c r="LG53" s="221"/>
      <c r="LH53" s="221"/>
      <c r="LI53" s="221"/>
      <c r="LJ53" s="221"/>
      <c r="LK53" s="221"/>
      <c r="LL53" s="221"/>
      <c r="LM53" s="221"/>
      <c r="LN53" s="221"/>
      <c r="LO53" s="221"/>
      <c r="LP53" s="221"/>
      <c r="LQ53" s="221"/>
      <c r="LR53" s="221"/>
      <c r="LS53" s="221"/>
      <c r="LT53" s="221"/>
      <c r="LU53" s="221"/>
      <c r="LV53" s="221"/>
      <c r="LW53" s="221"/>
      <c r="LX53" s="221"/>
      <c r="LY53" s="221"/>
      <c r="LZ53" s="221"/>
      <c r="MA53" s="221"/>
      <c r="MB53" s="221"/>
      <c r="MC53" s="221"/>
      <c r="MD53" s="221"/>
      <c r="ME53" s="221"/>
      <c r="MF53" s="221"/>
      <c r="MG53" s="221"/>
      <c r="MH53" s="221"/>
      <c r="MI53" s="221"/>
      <c r="MJ53" s="221"/>
      <c r="MK53" s="221"/>
      <c r="ML53" s="221"/>
      <c r="MM53" s="221"/>
      <c r="MN53" s="221"/>
      <c r="MO53" s="221"/>
      <c r="MP53" s="221"/>
      <c r="MQ53" s="221"/>
      <c r="MR53" s="221"/>
      <c r="MS53" s="221"/>
      <c r="MT53" s="221"/>
      <c r="MU53" s="221"/>
      <c r="MV53" s="221"/>
      <c r="MW53" s="221"/>
      <c r="MX53" s="221"/>
      <c r="MY53" s="221"/>
      <c r="MZ53" s="221"/>
      <c r="NA53" s="221"/>
      <c r="NB53" s="221"/>
      <c r="NC53" s="221"/>
      <c r="ND53" s="221"/>
      <c r="NE53" s="221"/>
      <c r="NF53" s="221"/>
      <c r="NG53" s="221"/>
      <c r="NH53" s="221"/>
      <c r="NI53" s="221"/>
      <c r="NJ53" s="221"/>
      <c r="NK53" s="221"/>
      <c r="NL53" s="195"/>
      <c r="NM53" s="195">
        <f t="shared" si="166"/>
        <v>0</v>
      </c>
      <c r="NN53" s="195">
        <f t="shared" si="167"/>
        <v>0</v>
      </c>
      <c r="NO53" s="195">
        <f t="shared" si="168"/>
        <v>0</v>
      </c>
      <c r="NP53" s="195">
        <f t="shared" si="169"/>
        <v>0</v>
      </c>
      <c r="NQ53" s="195">
        <f t="shared" si="170"/>
        <v>0</v>
      </c>
      <c r="NR53" s="195">
        <f t="shared" si="171"/>
        <v>0</v>
      </c>
      <c r="NS53" s="195">
        <f t="shared" si="172"/>
        <v>0</v>
      </c>
      <c r="NT53" s="195">
        <f t="shared" si="173"/>
        <v>0</v>
      </c>
      <c r="NU53" s="196">
        <f t="shared" si="174"/>
        <v>0</v>
      </c>
      <c r="NV53" s="195"/>
      <c r="NW53" s="195"/>
      <c r="NX53" s="195"/>
      <c r="NY53" s="196">
        <f t="shared" si="232"/>
        <v>1</v>
      </c>
      <c r="NZ53" s="222">
        <f>705500000/83</f>
        <v>8500000</v>
      </c>
      <c r="OA53" s="195"/>
      <c r="OB53" s="195"/>
      <c r="OC53" s="195"/>
      <c r="OD53" s="195"/>
      <c r="OE53" s="207">
        <f t="shared" si="233"/>
        <v>0</v>
      </c>
      <c r="OF53" s="207">
        <f t="shared" si="234"/>
        <v>0</v>
      </c>
      <c r="OG53" s="207">
        <f t="shared" si="235"/>
        <v>0</v>
      </c>
      <c r="OH53" s="207">
        <f t="shared" si="175"/>
        <v>0</v>
      </c>
      <c r="OI53" s="207">
        <f t="shared" si="236"/>
        <v>0</v>
      </c>
      <c r="OJ53" s="199">
        <f t="shared" si="176"/>
        <v>0</v>
      </c>
      <c r="OK53" s="199">
        <f t="shared" si="177"/>
        <v>0</v>
      </c>
      <c r="OL53" s="199">
        <f t="shared" si="178"/>
        <v>0</v>
      </c>
      <c r="OM53" s="199">
        <f t="shared" si="179"/>
        <v>0</v>
      </c>
      <c r="ON53" s="195"/>
      <c r="OO53" s="207">
        <f t="shared" si="237"/>
        <v>0</v>
      </c>
      <c r="OP53" s="207">
        <f t="shared" si="238"/>
        <v>0</v>
      </c>
      <c r="OQ53" s="207">
        <f t="shared" si="180"/>
        <v>0</v>
      </c>
      <c r="OR53" s="207">
        <f t="shared" si="181"/>
        <v>0</v>
      </c>
      <c r="OS53" s="207">
        <f t="shared" si="182"/>
        <v>0</v>
      </c>
      <c r="OT53" s="199">
        <f t="shared" si="183"/>
        <v>0</v>
      </c>
      <c r="OU53" s="199">
        <f t="shared" si="184"/>
        <v>0</v>
      </c>
      <c r="OV53" s="199">
        <f t="shared" si="185"/>
        <v>0</v>
      </c>
      <c r="OW53" s="199">
        <f t="shared" si="186"/>
        <v>0</v>
      </c>
      <c r="OX53" s="195"/>
      <c r="OY53" s="195"/>
      <c r="OZ53" s="195"/>
      <c r="PA53" s="209"/>
      <c r="PB53" s="209"/>
      <c r="PC53" s="209"/>
      <c r="PD53" s="210">
        <f t="shared" si="113"/>
        <v>0</v>
      </c>
      <c r="PE53" s="210"/>
      <c r="PF53" s="210">
        <f t="shared" si="114"/>
        <v>0</v>
      </c>
      <c r="PG53" s="210">
        <f t="shared" si="302"/>
        <v>0</v>
      </c>
      <c r="PH53" s="210">
        <f t="shared" si="302"/>
        <v>0</v>
      </c>
      <c r="PI53" s="210">
        <f t="shared" si="302"/>
        <v>0</v>
      </c>
      <c r="PJ53" s="210">
        <f t="shared" si="300"/>
        <v>0</v>
      </c>
      <c r="PK53" s="210">
        <f t="shared" si="300"/>
        <v>0</v>
      </c>
      <c r="PL53" s="210">
        <f t="shared" si="300"/>
        <v>0</v>
      </c>
      <c r="PM53" s="195"/>
      <c r="PN53" s="195"/>
      <c r="PO53" s="212">
        <f t="shared" si="187"/>
        <v>0</v>
      </c>
      <c r="PP53" s="212">
        <f t="shared" si="188"/>
        <v>0</v>
      </c>
      <c r="PQ53" s="212">
        <f t="shared" si="189"/>
        <v>0</v>
      </c>
    </row>
    <row r="54" spans="1:433 16383:16383" ht="16" x14ac:dyDescent="0.2">
      <c r="A54" s="213">
        <f t="shared" si="190"/>
        <v>45</v>
      </c>
      <c r="B54" s="186" t="s">
        <v>124</v>
      </c>
      <c r="C54" s="186">
        <v>47</v>
      </c>
      <c r="D54" s="188">
        <v>1</v>
      </c>
      <c r="E54" s="188">
        <v>75</v>
      </c>
      <c r="F54" s="188">
        <v>1</v>
      </c>
      <c r="G54" s="188">
        <f t="shared" si="239"/>
        <v>75</v>
      </c>
      <c r="H54" s="214">
        <f t="shared" si="203"/>
        <v>1</v>
      </c>
      <c r="I54" s="214">
        <f t="shared" si="204"/>
        <v>1</v>
      </c>
      <c r="J54" s="188">
        <v>1</v>
      </c>
      <c r="K54" s="188">
        <f t="shared" si="205"/>
        <v>75</v>
      </c>
      <c r="L54" s="214">
        <f t="shared" si="206"/>
        <v>1</v>
      </c>
      <c r="M54" s="214">
        <f t="shared" si="207"/>
        <v>1</v>
      </c>
      <c r="N54" s="188">
        <v>1</v>
      </c>
      <c r="O54" s="188">
        <f t="shared" si="208"/>
        <v>75</v>
      </c>
      <c r="P54" s="214">
        <f t="shared" si="209"/>
        <v>1</v>
      </c>
      <c r="Q54" s="214">
        <f t="shared" si="210"/>
        <v>1</v>
      </c>
      <c r="R54" s="188">
        <v>1</v>
      </c>
      <c r="S54" s="188">
        <f t="shared" si="211"/>
        <v>75</v>
      </c>
      <c r="T54" s="214">
        <f t="shared" si="212"/>
        <v>1</v>
      </c>
      <c r="U54" s="214">
        <f t="shared" si="213"/>
        <v>1</v>
      </c>
      <c r="V54" s="188">
        <v>1</v>
      </c>
      <c r="W54" s="188">
        <f t="shared" si="214"/>
        <v>75</v>
      </c>
      <c r="X54" s="214">
        <f t="shared" si="215"/>
        <v>1</v>
      </c>
      <c r="Y54" s="214">
        <f t="shared" si="216"/>
        <v>1</v>
      </c>
      <c r="Z54" s="224">
        <f>1524033000/1000000000</f>
        <v>1.524033</v>
      </c>
      <c r="AA54" s="188"/>
      <c r="AB54" s="189">
        <f t="shared" si="120"/>
        <v>0</v>
      </c>
      <c r="AC54" s="250">
        <f t="shared" si="121"/>
        <v>0</v>
      </c>
      <c r="AD54" s="250">
        <f t="shared" si="122"/>
        <v>0</v>
      </c>
      <c r="AE54" s="188"/>
      <c r="AF54" s="188">
        <f t="shared" si="217"/>
        <v>0</v>
      </c>
      <c r="AG54" s="187"/>
      <c r="AH54" s="187"/>
      <c r="AI54" s="188">
        <v>0</v>
      </c>
      <c r="AJ54" s="188">
        <f t="shared" si="218"/>
        <v>0</v>
      </c>
      <c r="AK54" s="188"/>
      <c r="AL54" s="188">
        <v>0</v>
      </c>
      <c r="AM54" s="188">
        <v>0</v>
      </c>
      <c r="AN54" s="217"/>
      <c r="AO54" s="196">
        <f t="shared" si="123"/>
        <v>0</v>
      </c>
      <c r="AP54" s="195"/>
      <c r="AQ54" s="195"/>
      <c r="AR54" s="195"/>
      <c r="AS54" s="195"/>
      <c r="AT54" s="195"/>
      <c r="AU54" s="195"/>
      <c r="AV54" s="195"/>
      <c r="AW54" s="195"/>
      <c r="AX54" s="195"/>
      <c r="AY54" s="195"/>
      <c r="AZ54" s="195"/>
      <c r="BA54" s="195"/>
      <c r="BB54" s="188">
        <f t="shared" si="219"/>
        <v>0</v>
      </c>
      <c r="BC54" s="195"/>
      <c r="BD54" s="196"/>
      <c r="BE54" s="188">
        <f t="shared" si="220"/>
        <v>0</v>
      </c>
      <c r="BF54" s="188">
        <f t="shared" si="221"/>
        <v>0</v>
      </c>
      <c r="BG54" s="188">
        <f t="shared" si="222"/>
        <v>0</v>
      </c>
      <c r="BH54" s="188">
        <f t="shared" si="223"/>
        <v>0</v>
      </c>
      <c r="BI54" s="188">
        <f t="shared" si="224"/>
        <v>0</v>
      </c>
      <c r="BJ54" s="188">
        <f t="shared" si="225"/>
        <v>0</v>
      </c>
      <c r="BK54" s="188">
        <f t="shared" si="124"/>
        <v>0</v>
      </c>
      <c r="BL54" s="195"/>
      <c r="BM54" s="195"/>
      <c r="BN54" s="277">
        <v>52</v>
      </c>
      <c r="BO54" s="283">
        <v>1</v>
      </c>
      <c r="BP54" s="188"/>
      <c r="BQ54" s="188"/>
      <c r="BR54" s="188"/>
      <c r="BS54" s="188"/>
      <c r="BT54" s="188"/>
      <c r="BU54" s="188"/>
      <c r="BV54" s="188"/>
      <c r="BW54" s="188"/>
      <c r="BX54" s="188"/>
      <c r="BY54" s="188"/>
      <c r="BZ54" s="188"/>
      <c r="CA54" s="195"/>
      <c r="CB54" s="188">
        <v>0</v>
      </c>
      <c r="CC54" s="195"/>
      <c r="CD54" s="189">
        <f t="shared" si="125"/>
        <v>52</v>
      </c>
      <c r="CE54" s="189">
        <f t="shared" si="191"/>
        <v>52</v>
      </c>
      <c r="CF54" s="189">
        <f t="shared" si="126"/>
        <v>0</v>
      </c>
      <c r="CG54" s="189">
        <f t="shared" si="127"/>
        <v>0</v>
      </c>
      <c r="CH54" s="189">
        <f t="shared" si="128"/>
        <v>0</v>
      </c>
      <c r="CI54" s="189">
        <f t="shared" si="129"/>
        <v>0</v>
      </c>
      <c r="CJ54" s="189">
        <f t="shared" si="130"/>
        <v>0</v>
      </c>
      <c r="CK54" s="189">
        <f t="shared" si="131"/>
        <v>0</v>
      </c>
      <c r="CL54" s="189">
        <f t="shared" si="132"/>
        <v>0</v>
      </c>
      <c r="CM54" s="189">
        <f t="shared" si="133"/>
        <v>0</v>
      </c>
      <c r="CN54" s="189">
        <f t="shared" si="134"/>
        <v>0</v>
      </c>
      <c r="CO54" s="189">
        <f t="shared" si="135"/>
        <v>0</v>
      </c>
      <c r="CP54" s="189">
        <f t="shared" si="136"/>
        <v>0</v>
      </c>
      <c r="CQ54" s="195"/>
      <c r="CR54" s="195"/>
      <c r="CS54" s="195"/>
      <c r="CT54" s="195"/>
      <c r="CU54" s="195"/>
      <c r="CV54" s="195"/>
      <c r="CW54" s="195"/>
      <c r="CX54" s="195"/>
      <c r="CY54" s="195"/>
      <c r="CZ54" s="195"/>
      <c r="DA54" s="195"/>
      <c r="DB54" s="195"/>
      <c r="DC54" s="195"/>
      <c r="DD54" s="195"/>
      <c r="DE54" s="195"/>
      <c r="DF54" s="195"/>
      <c r="DG54" s="195"/>
      <c r="DH54" s="195"/>
      <c r="DI54" s="195"/>
      <c r="DJ54" s="195"/>
      <c r="DK54" s="195"/>
      <c r="DL54" s="195"/>
      <c r="DM54" s="195"/>
      <c r="DN54" s="195"/>
      <c r="DO54" s="195"/>
      <c r="DP54" s="195"/>
      <c r="DQ54" s="195"/>
      <c r="DR54" s="195"/>
      <c r="DS54" s="195"/>
      <c r="DT54" s="195"/>
      <c r="DU54" s="195"/>
      <c r="DV54" s="189">
        <f t="shared" si="226"/>
        <v>0</v>
      </c>
      <c r="DW54" s="189">
        <f t="shared" si="227"/>
        <v>0</v>
      </c>
      <c r="DX54" s="189">
        <f t="shared" si="228"/>
        <v>0</v>
      </c>
      <c r="DY54" s="189">
        <f t="shared" si="229"/>
        <v>0</v>
      </c>
      <c r="DZ54" s="189">
        <f t="shared" si="230"/>
        <v>0</v>
      </c>
      <c r="EA54" s="189">
        <f t="shared" si="231"/>
        <v>0</v>
      </c>
      <c r="EB54" s="189">
        <f t="shared" si="137"/>
        <v>0</v>
      </c>
      <c r="EC54" s="195"/>
      <c r="ED54" s="195"/>
      <c r="EE54" s="195"/>
      <c r="EF54" s="195"/>
      <c r="EG54" s="252">
        <f t="shared" si="138"/>
        <v>0</v>
      </c>
      <c r="EH54" s="252">
        <f t="shared" si="139"/>
        <v>0</v>
      </c>
      <c r="EI54" s="189"/>
      <c r="EJ54" s="189"/>
      <c r="EK54" s="189"/>
      <c r="EL54" s="189"/>
      <c r="EM54" s="189"/>
      <c r="EN54" s="189"/>
      <c r="EO54" s="189"/>
      <c r="EP54" s="189"/>
      <c r="EQ54" s="189"/>
      <c r="ER54" s="189"/>
      <c r="ES54" s="189"/>
      <c r="ET54" s="189"/>
      <c r="EU54" s="189"/>
      <c r="EV54" s="189"/>
      <c r="EW54" s="189"/>
      <c r="EX54" s="189"/>
      <c r="EY54" s="189"/>
      <c r="EZ54" s="189"/>
      <c r="FA54" s="189"/>
      <c r="FB54" s="189"/>
      <c r="FC54" s="189"/>
      <c r="FD54" s="189"/>
      <c r="FE54" s="189"/>
      <c r="FF54" s="189"/>
      <c r="FG54" s="195"/>
      <c r="FH54" s="189"/>
      <c r="FI54" s="189"/>
      <c r="FJ54" s="189"/>
      <c r="FK54" s="189"/>
      <c r="FL54" s="189"/>
      <c r="FM54" s="189"/>
      <c r="FN54" s="189"/>
      <c r="FO54" s="189"/>
      <c r="FP54" s="189"/>
      <c r="FQ54" s="189"/>
      <c r="FR54" s="189"/>
      <c r="FS54" s="189"/>
      <c r="FT54" s="189"/>
      <c r="FU54" s="189"/>
      <c r="FV54" s="189"/>
      <c r="FW54" s="195"/>
      <c r="FX54" s="253">
        <v>1</v>
      </c>
      <c r="FY54" s="189">
        <f t="shared" si="140"/>
        <v>52</v>
      </c>
      <c r="FZ54" s="189">
        <f t="shared" si="240"/>
        <v>52</v>
      </c>
      <c r="GA54" s="189">
        <f t="shared" si="241"/>
        <v>0</v>
      </c>
      <c r="GB54" s="189">
        <f t="shared" si="242"/>
        <v>0</v>
      </c>
      <c r="GC54" s="189">
        <f t="shared" si="243"/>
        <v>0</v>
      </c>
      <c r="GD54" s="189">
        <f t="shared" si="244"/>
        <v>0</v>
      </c>
      <c r="GE54" s="189">
        <f t="shared" si="245"/>
        <v>0</v>
      </c>
      <c r="GF54" s="199"/>
      <c r="GG54" s="189">
        <v>0</v>
      </c>
      <c r="GH54" s="189">
        <v>0</v>
      </c>
      <c r="GI54" s="199"/>
      <c r="GJ54" s="200">
        <f t="shared" si="141"/>
        <v>0</v>
      </c>
      <c r="GK54" s="200">
        <f t="shared" si="142"/>
        <v>0</v>
      </c>
      <c r="GL54" s="195"/>
      <c r="GM54" s="195"/>
      <c r="GN54" s="195"/>
      <c r="GO54" s="189">
        <f t="shared" si="246"/>
        <v>0</v>
      </c>
      <c r="GP54" s="189">
        <f t="shared" si="247"/>
        <v>0</v>
      </c>
      <c r="GQ54" s="189">
        <f t="shared" si="248"/>
        <v>0</v>
      </c>
      <c r="GR54" s="189">
        <f t="shared" si="249"/>
        <v>0</v>
      </c>
      <c r="GS54" s="189">
        <f t="shared" si="250"/>
        <v>0</v>
      </c>
      <c r="GT54" s="189">
        <f t="shared" si="143"/>
        <v>1</v>
      </c>
      <c r="GU54" s="201">
        <f t="shared" si="144"/>
        <v>43243</v>
      </c>
      <c r="GV54" s="189" t="str">
        <f t="shared" si="145"/>
        <v>SELESAI</v>
      </c>
      <c r="GW54" s="189">
        <f t="shared" si="146"/>
        <v>0</v>
      </c>
      <c r="GX54" s="202" t="str">
        <f t="shared" si="147"/>
        <v>SELESAI</v>
      </c>
      <c r="GY54" s="202">
        <f t="shared" si="148"/>
        <v>0</v>
      </c>
      <c r="GZ54" s="203" t="str">
        <f t="shared" si="149"/>
        <v>SELESAI</v>
      </c>
      <c r="HA54" s="204"/>
      <c r="HB54" s="204"/>
      <c r="HC54" s="189">
        <f t="shared" si="251"/>
        <v>0</v>
      </c>
      <c r="HD54" s="189">
        <f t="shared" si="252"/>
        <v>0</v>
      </c>
      <c r="HE54" s="189">
        <f t="shared" si="150"/>
        <v>0</v>
      </c>
      <c r="HF54" s="189">
        <f t="shared" si="151"/>
        <v>0</v>
      </c>
      <c r="HG54" s="189">
        <f t="shared" si="152"/>
        <v>0</v>
      </c>
      <c r="HH54" s="201" t="str">
        <f t="shared" si="46"/>
        <v>TIDAK KONSINYASI</v>
      </c>
      <c r="HI54" s="201" t="str">
        <f t="shared" si="153"/>
        <v>SELESAI</v>
      </c>
      <c r="HJ54" s="205"/>
      <c r="HK54" s="201">
        <f t="shared" si="47"/>
        <v>0</v>
      </c>
      <c r="HL54" s="204"/>
      <c r="HM54" s="204"/>
      <c r="HN54" s="204"/>
      <c r="HO54" s="204"/>
      <c r="HP54" s="203">
        <f t="shared" si="154"/>
        <v>0</v>
      </c>
      <c r="HQ54" s="202">
        <f t="shared" si="155"/>
        <v>0</v>
      </c>
      <c r="HR54" s="202">
        <f t="shared" si="253"/>
        <v>0</v>
      </c>
      <c r="HS54" s="203">
        <f t="shared" si="156"/>
        <v>0</v>
      </c>
      <c r="HT54" s="202">
        <f t="shared" si="157"/>
        <v>0</v>
      </c>
      <c r="HU54" s="202">
        <f t="shared" si="254"/>
        <v>0</v>
      </c>
      <c r="HV54" s="203">
        <f t="shared" si="158"/>
        <v>0</v>
      </c>
      <c r="HW54" s="202">
        <f t="shared" si="50"/>
        <v>0</v>
      </c>
      <c r="HX54" s="202">
        <f t="shared" si="255"/>
        <v>0</v>
      </c>
      <c r="HY54" s="203">
        <f t="shared" si="52"/>
        <v>0</v>
      </c>
      <c r="HZ54" s="202">
        <f t="shared" si="159"/>
        <v>0</v>
      </c>
      <c r="IA54" s="202">
        <f t="shared" si="256"/>
        <v>0</v>
      </c>
      <c r="IB54" s="203">
        <f t="shared" si="160"/>
        <v>0</v>
      </c>
      <c r="IC54" s="202">
        <f t="shared" si="54"/>
        <v>0</v>
      </c>
      <c r="ID54" s="202">
        <f t="shared" si="257"/>
        <v>0</v>
      </c>
      <c r="IE54" s="203">
        <f t="shared" si="56"/>
        <v>0</v>
      </c>
      <c r="IF54" s="202">
        <f t="shared" si="57"/>
        <v>0</v>
      </c>
      <c r="IG54" s="202">
        <f t="shared" si="258"/>
        <v>0</v>
      </c>
      <c r="IH54" s="203">
        <f t="shared" si="161"/>
        <v>0</v>
      </c>
      <c r="II54" s="202">
        <f t="shared" si="162"/>
        <v>0</v>
      </c>
      <c r="IJ54" s="202">
        <f t="shared" si="259"/>
        <v>0</v>
      </c>
      <c r="IK54" s="203">
        <f t="shared" si="60"/>
        <v>0</v>
      </c>
      <c r="IL54" s="202">
        <f t="shared" si="61"/>
        <v>0</v>
      </c>
      <c r="IM54" s="202">
        <f t="shared" si="260"/>
        <v>0</v>
      </c>
      <c r="IN54" s="204"/>
      <c r="IO54" s="203">
        <f t="shared" si="63"/>
        <v>0</v>
      </c>
      <c r="IP54" s="202">
        <f t="shared" si="261"/>
        <v>0</v>
      </c>
      <c r="IQ54" s="202">
        <f t="shared" si="262"/>
        <v>0</v>
      </c>
      <c r="IR54" s="204"/>
      <c r="IS54" s="203"/>
      <c r="IT54" s="202">
        <f t="shared" si="263"/>
        <v>1</v>
      </c>
      <c r="IU54" s="202">
        <f t="shared" si="264"/>
        <v>75</v>
      </c>
      <c r="IV54" s="204"/>
      <c r="IW54" s="203"/>
      <c r="IX54" s="202">
        <f t="shared" si="265"/>
        <v>0</v>
      </c>
      <c r="IY54" s="202">
        <f t="shared" si="266"/>
        <v>0</v>
      </c>
      <c r="IZ54" s="204"/>
      <c r="JA54" s="203"/>
      <c r="JB54" s="202">
        <f t="shared" si="267"/>
        <v>0</v>
      </c>
      <c r="JC54" s="202">
        <f t="shared" si="268"/>
        <v>0</v>
      </c>
      <c r="JD54" s="204"/>
      <c r="JE54" s="203"/>
      <c r="JF54" s="202">
        <f t="shared" si="163"/>
        <v>1</v>
      </c>
      <c r="JG54" s="202">
        <f t="shared" si="72"/>
        <v>75</v>
      </c>
      <c r="JH54" s="204"/>
      <c r="JI54" s="203"/>
      <c r="JJ54" s="202">
        <f t="shared" si="269"/>
        <v>0</v>
      </c>
      <c r="JK54" s="202">
        <f t="shared" si="270"/>
        <v>0</v>
      </c>
      <c r="JL54" s="195"/>
      <c r="JM54" s="203">
        <f t="shared" si="164"/>
        <v>0</v>
      </c>
      <c r="JN54" s="195"/>
      <c r="JO54" s="196">
        <f t="shared" si="75"/>
        <v>1</v>
      </c>
      <c r="JP54" s="206">
        <f t="shared" si="271"/>
        <v>52</v>
      </c>
      <c r="JQ54" s="206">
        <f t="shared" si="272"/>
        <v>1</v>
      </c>
      <c r="JR54" s="206">
        <f t="shared" si="273"/>
        <v>0</v>
      </c>
      <c r="JS54" s="206">
        <f t="shared" si="274"/>
        <v>0</v>
      </c>
      <c r="JT54" s="206">
        <f t="shared" si="275"/>
        <v>0</v>
      </c>
      <c r="JU54" s="206">
        <f t="shared" si="276"/>
        <v>0</v>
      </c>
      <c r="JV54" s="206">
        <f t="shared" si="277"/>
        <v>0</v>
      </c>
      <c r="JW54" s="206">
        <f t="shared" si="278"/>
        <v>0</v>
      </c>
      <c r="JX54" s="206">
        <f t="shared" si="279"/>
        <v>0</v>
      </c>
      <c r="JY54" s="206">
        <f t="shared" si="280"/>
        <v>0</v>
      </c>
      <c r="JZ54" s="206">
        <f t="shared" si="281"/>
        <v>0</v>
      </c>
      <c r="KA54" s="206">
        <f t="shared" si="282"/>
        <v>0</v>
      </c>
      <c r="KB54" s="206">
        <f t="shared" si="283"/>
        <v>0</v>
      </c>
      <c r="KC54" s="195"/>
      <c r="KD54" s="206">
        <f t="shared" si="165"/>
        <v>0</v>
      </c>
      <c r="KE54" s="206">
        <f t="shared" si="90"/>
        <v>0</v>
      </c>
      <c r="KF54" s="206">
        <f t="shared" si="284"/>
        <v>52</v>
      </c>
      <c r="KG54" s="206">
        <f t="shared" si="285"/>
        <v>52</v>
      </c>
      <c r="KH54" s="206">
        <f t="shared" si="286"/>
        <v>0</v>
      </c>
      <c r="KI54" s="206">
        <f t="shared" si="287"/>
        <v>0</v>
      </c>
      <c r="KJ54" s="206">
        <f t="shared" si="288"/>
        <v>0</v>
      </c>
      <c r="KK54" s="206">
        <f t="shared" si="289"/>
        <v>0</v>
      </c>
      <c r="KL54" s="206">
        <f t="shared" si="290"/>
        <v>0</v>
      </c>
      <c r="KM54" s="206">
        <f t="shared" si="291"/>
        <v>0</v>
      </c>
      <c r="KN54" s="221">
        <f t="shared" si="292"/>
        <v>0</v>
      </c>
      <c r="KO54" s="221">
        <f t="shared" si="293"/>
        <v>0</v>
      </c>
      <c r="KP54" s="221">
        <f t="shared" si="294"/>
        <v>0</v>
      </c>
      <c r="KQ54" s="221">
        <f t="shared" si="295"/>
        <v>0</v>
      </c>
      <c r="KR54" s="221">
        <f t="shared" si="296"/>
        <v>0</v>
      </c>
      <c r="KS54" s="195"/>
      <c r="KT54" s="195">
        <f t="shared" si="297"/>
        <v>0</v>
      </c>
      <c r="KU54" s="221"/>
      <c r="KV54" s="221"/>
      <c r="KW54" s="221"/>
      <c r="KX54" s="221"/>
      <c r="KY54" s="221"/>
      <c r="KZ54" s="221"/>
      <c r="LA54" s="221"/>
      <c r="LB54" s="221"/>
      <c r="LC54" s="221"/>
      <c r="LD54" s="221"/>
      <c r="LE54" s="221"/>
      <c r="LF54" s="221"/>
      <c r="LG54" s="221"/>
      <c r="LH54" s="221"/>
      <c r="LI54" s="221"/>
      <c r="LJ54" s="221"/>
      <c r="LK54" s="221"/>
      <c r="LL54" s="221"/>
      <c r="LM54" s="221"/>
      <c r="LN54" s="221"/>
      <c r="LO54" s="221"/>
      <c r="LP54" s="221"/>
      <c r="LQ54" s="221"/>
      <c r="LR54" s="221"/>
      <c r="LS54" s="221"/>
      <c r="LT54" s="221"/>
      <c r="LU54" s="221"/>
      <c r="LV54" s="221"/>
      <c r="LW54" s="221"/>
      <c r="LX54" s="221"/>
      <c r="LY54" s="221"/>
      <c r="LZ54" s="221"/>
      <c r="MA54" s="221"/>
      <c r="MB54" s="221"/>
      <c r="MC54" s="221"/>
      <c r="MD54" s="221"/>
      <c r="ME54" s="221"/>
      <c r="MF54" s="221"/>
      <c r="MG54" s="221"/>
      <c r="MH54" s="221"/>
      <c r="MI54" s="221"/>
      <c r="MJ54" s="221"/>
      <c r="MK54" s="221"/>
      <c r="ML54" s="221"/>
      <c r="MM54" s="221"/>
      <c r="MN54" s="221"/>
      <c r="MO54" s="221"/>
      <c r="MP54" s="221"/>
      <c r="MQ54" s="221"/>
      <c r="MR54" s="221"/>
      <c r="MS54" s="221"/>
      <c r="MT54" s="221"/>
      <c r="MU54" s="221"/>
      <c r="MV54" s="221"/>
      <c r="MW54" s="221"/>
      <c r="MX54" s="221"/>
      <c r="MY54" s="221"/>
      <c r="MZ54" s="221"/>
      <c r="NA54" s="221"/>
      <c r="NB54" s="221"/>
      <c r="NC54" s="221"/>
      <c r="ND54" s="221"/>
      <c r="NE54" s="221"/>
      <c r="NF54" s="221"/>
      <c r="NG54" s="221"/>
      <c r="NH54" s="221"/>
      <c r="NI54" s="221"/>
      <c r="NJ54" s="221"/>
      <c r="NK54" s="221"/>
      <c r="NL54" s="195"/>
      <c r="NM54" s="195">
        <f t="shared" si="166"/>
        <v>0</v>
      </c>
      <c r="NN54" s="195">
        <f t="shared" si="167"/>
        <v>0</v>
      </c>
      <c r="NO54" s="195">
        <f t="shared" si="168"/>
        <v>0</v>
      </c>
      <c r="NP54" s="195">
        <f t="shared" si="169"/>
        <v>0</v>
      </c>
      <c r="NQ54" s="195">
        <f t="shared" si="170"/>
        <v>0</v>
      </c>
      <c r="NR54" s="195">
        <f t="shared" si="171"/>
        <v>0</v>
      </c>
      <c r="NS54" s="195">
        <f t="shared" si="172"/>
        <v>0</v>
      </c>
      <c r="NT54" s="195">
        <f t="shared" si="173"/>
        <v>0</v>
      </c>
      <c r="NU54" s="196">
        <f t="shared" si="174"/>
        <v>0</v>
      </c>
      <c r="NV54" s="195"/>
      <c r="NW54" s="195"/>
      <c r="NX54" s="195"/>
      <c r="NY54" s="196">
        <f t="shared" si="232"/>
        <v>1</v>
      </c>
      <c r="NZ54" s="222">
        <f>195500000/23</f>
        <v>8500000</v>
      </c>
      <c r="OA54" s="195"/>
      <c r="OB54" s="195"/>
      <c r="OC54" s="195"/>
      <c r="OD54" s="195"/>
      <c r="OE54" s="207">
        <f t="shared" si="233"/>
        <v>0</v>
      </c>
      <c r="OF54" s="207">
        <f t="shared" si="234"/>
        <v>0</v>
      </c>
      <c r="OG54" s="207">
        <f t="shared" si="235"/>
        <v>0</v>
      </c>
      <c r="OH54" s="207">
        <f t="shared" si="175"/>
        <v>0</v>
      </c>
      <c r="OI54" s="207">
        <f t="shared" si="236"/>
        <v>0</v>
      </c>
      <c r="OJ54" s="199">
        <f t="shared" si="176"/>
        <v>0</v>
      </c>
      <c r="OK54" s="199">
        <f t="shared" si="177"/>
        <v>0</v>
      </c>
      <c r="OL54" s="199">
        <f t="shared" si="178"/>
        <v>0</v>
      </c>
      <c r="OM54" s="199">
        <f t="shared" si="179"/>
        <v>0</v>
      </c>
      <c r="ON54" s="195"/>
      <c r="OO54" s="207">
        <f t="shared" si="237"/>
        <v>0</v>
      </c>
      <c r="OP54" s="207">
        <f t="shared" si="238"/>
        <v>0</v>
      </c>
      <c r="OQ54" s="207">
        <f t="shared" si="180"/>
        <v>0</v>
      </c>
      <c r="OR54" s="207">
        <f t="shared" si="181"/>
        <v>0</v>
      </c>
      <c r="OS54" s="207">
        <f t="shared" si="182"/>
        <v>0</v>
      </c>
      <c r="OT54" s="199">
        <f t="shared" si="183"/>
        <v>0</v>
      </c>
      <c r="OU54" s="199">
        <f t="shared" si="184"/>
        <v>0</v>
      </c>
      <c r="OV54" s="199">
        <f t="shared" si="185"/>
        <v>0</v>
      </c>
      <c r="OW54" s="199">
        <f t="shared" si="186"/>
        <v>0</v>
      </c>
      <c r="OX54" s="195"/>
      <c r="OY54" s="195"/>
      <c r="OZ54" s="195"/>
      <c r="PA54" s="209"/>
      <c r="PB54" s="209"/>
      <c r="PC54" s="209"/>
      <c r="PD54" s="210">
        <f t="shared" si="113"/>
        <v>0</v>
      </c>
      <c r="PE54" s="210"/>
      <c r="PF54" s="210">
        <f t="shared" si="114"/>
        <v>0</v>
      </c>
      <c r="PG54" s="210">
        <f t="shared" si="302"/>
        <v>0</v>
      </c>
      <c r="PH54" s="210">
        <f t="shared" si="302"/>
        <v>0</v>
      </c>
      <c r="PI54" s="210">
        <f t="shared" si="302"/>
        <v>0</v>
      </c>
      <c r="PJ54" s="210">
        <f t="shared" si="300"/>
        <v>0</v>
      </c>
      <c r="PK54" s="210">
        <f t="shared" si="300"/>
        <v>0</v>
      </c>
      <c r="PL54" s="210">
        <f t="shared" si="300"/>
        <v>0</v>
      </c>
      <c r="PM54" s="195"/>
      <c r="PN54" s="195"/>
      <c r="PO54" s="212">
        <f t="shared" si="187"/>
        <v>0</v>
      </c>
      <c r="PP54" s="212">
        <f t="shared" si="188"/>
        <v>0</v>
      </c>
      <c r="PQ54" s="212">
        <f t="shared" si="189"/>
        <v>0</v>
      </c>
    </row>
    <row r="55" spans="1:433 16383:16383" ht="16" x14ac:dyDescent="0.2">
      <c r="A55" s="213">
        <f t="shared" ref="A55" si="303">A54+1</f>
        <v>46</v>
      </c>
      <c r="B55" s="186" t="s">
        <v>124</v>
      </c>
      <c r="C55" s="186">
        <v>48</v>
      </c>
      <c r="D55" s="188">
        <v>1</v>
      </c>
      <c r="E55" s="188">
        <v>102</v>
      </c>
      <c r="F55" s="188">
        <v>1</v>
      </c>
      <c r="G55" s="188">
        <f t="shared" si="239"/>
        <v>102</v>
      </c>
      <c r="H55" s="214">
        <f t="shared" si="203"/>
        <v>1</v>
      </c>
      <c r="I55" s="214">
        <f t="shared" si="204"/>
        <v>1</v>
      </c>
      <c r="J55" s="188">
        <v>1</v>
      </c>
      <c r="K55" s="188">
        <f t="shared" si="205"/>
        <v>102</v>
      </c>
      <c r="L55" s="214">
        <f t="shared" si="206"/>
        <v>1</v>
      </c>
      <c r="M55" s="214">
        <f t="shared" si="207"/>
        <v>1</v>
      </c>
      <c r="N55" s="188">
        <v>1</v>
      </c>
      <c r="O55" s="188">
        <f t="shared" si="208"/>
        <v>102</v>
      </c>
      <c r="P55" s="214">
        <f t="shared" si="209"/>
        <v>1</v>
      </c>
      <c r="Q55" s="214">
        <f t="shared" si="210"/>
        <v>1</v>
      </c>
      <c r="R55" s="188">
        <v>1</v>
      </c>
      <c r="S55" s="188">
        <f t="shared" si="211"/>
        <v>102</v>
      </c>
      <c r="T55" s="214">
        <f t="shared" si="212"/>
        <v>1</v>
      </c>
      <c r="U55" s="214">
        <f t="shared" si="213"/>
        <v>1</v>
      </c>
      <c r="V55" s="188">
        <v>1</v>
      </c>
      <c r="W55" s="188">
        <f t="shared" si="214"/>
        <v>102</v>
      </c>
      <c r="X55" s="214">
        <f t="shared" si="215"/>
        <v>1</v>
      </c>
      <c r="Y55" s="214">
        <f t="shared" si="216"/>
        <v>1</v>
      </c>
      <c r="Z55" s="224">
        <f>886282000/1000000000</f>
        <v>0.88628200000000001</v>
      </c>
      <c r="AA55" s="188"/>
      <c r="AB55" s="189">
        <f t="shared" si="120"/>
        <v>0</v>
      </c>
      <c r="AC55" s="250">
        <f t="shared" si="121"/>
        <v>0</v>
      </c>
      <c r="AD55" s="250">
        <f t="shared" si="122"/>
        <v>0</v>
      </c>
      <c r="AE55" s="188"/>
      <c r="AF55" s="188">
        <f t="shared" si="217"/>
        <v>0</v>
      </c>
      <c r="AG55" s="187"/>
      <c r="AH55" s="187"/>
      <c r="AI55" s="188"/>
      <c r="AJ55" s="188"/>
      <c r="AK55" s="188"/>
      <c r="AL55" s="188"/>
      <c r="AM55" s="188"/>
      <c r="AN55" s="217"/>
      <c r="AO55" s="196">
        <f t="shared" si="123"/>
        <v>0</v>
      </c>
      <c r="AP55" s="195"/>
      <c r="AQ55" s="195"/>
      <c r="AR55" s="195"/>
      <c r="AS55" s="195"/>
      <c r="AT55" s="195"/>
      <c r="AU55" s="195"/>
      <c r="AV55" s="195"/>
      <c r="AW55" s="195"/>
      <c r="AX55" s="195"/>
      <c r="AY55" s="195"/>
      <c r="AZ55" s="195"/>
      <c r="BA55" s="195"/>
      <c r="BB55" s="188">
        <f t="shared" si="219"/>
        <v>0</v>
      </c>
      <c r="BC55" s="195"/>
      <c r="BD55" s="196"/>
      <c r="BE55" s="188">
        <f t="shared" si="220"/>
        <v>0</v>
      </c>
      <c r="BF55" s="188">
        <f t="shared" si="221"/>
        <v>0</v>
      </c>
      <c r="BG55" s="188">
        <f t="shared" si="222"/>
        <v>0</v>
      </c>
      <c r="BH55" s="188">
        <f t="shared" si="223"/>
        <v>0</v>
      </c>
      <c r="BI55" s="188">
        <f t="shared" si="224"/>
        <v>0</v>
      </c>
      <c r="BJ55" s="188">
        <f t="shared" si="225"/>
        <v>0</v>
      </c>
      <c r="BK55" s="188">
        <f t="shared" si="124"/>
        <v>0</v>
      </c>
      <c r="BL55" s="195"/>
      <c r="BM55" s="195"/>
      <c r="BN55" s="277">
        <v>78</v>
      </c>
      <c r="BO55" s="283">
        <v>1</v>
      </c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95"/>
      <c r="CB55" s="188">
        <v>0</v>
      </c>
      <c r="CC55" s="195"/>
      <c r="CD55" s="189">
        <f t="shared" si="125"/>
        <v>78</v>
      </c>
      <c r="CE55" s="189">
        <f t="shared" si="191"/>
        <v>78</v>
      </c>
      <c r="CF55" s="189">
        <f t="shared" ref="CF55" si="304">IF(BP55=1,$CD55,0)</f>
        <v>0</v>
      </c>
      <c r="CG55" s="189">
        <f t="shared" ref="CG55" si="305">IF(BQ55=1,$CD55,0)</f>
        <v>0</v>
      </c>
      <c r="CH55" s="189">
        <f t="shared" ref="CH55" si="306">IF(BR55=1,$CD55,0)</f>
        <v>0</v>
      </c>
      <c r="CI55" s="189">
        <f t="shared" ref="CI55" si="307">IF(BS55=1,$CD55,0)</f>
        <v>0</v>
      </c>
      <c r="CJ55" s="189">
        <f t="shared" ref="CJ55" si="308">IF(BT55=1,$CD55,0)</f>
        <v>0</v>
      </c>
      <c r="CK55" s="189">
        <f t="shared" ref="CK55" si="309">IF(BU55=1,$CD55,0)</f>
        <v>0</v>
      </c>
      <c r="CL55" s="189">
        <f t="shared" ref="CL55" si="310">IF(BV55=1,$CD55,0)</f>
        <v>0</v>
      </c>
      <c r="CM55" s="189">
        <f t="shared" ref="CM55" si="311">IF(BW55=1,$CD55,0)</f>
        <v>0</v>
      </c>
      <c r="CN55" s="189">
        <f t="shared" ref="CN55" si="312">IF(BX55=1,$CD55,0)</f>
        <v>0</v>
      </c>
      <c r="CO55" s="189">
        <f t="shared" ref="CO55" si="313">IF(BY55=1,$CD55,0)</f>
        <v>0</v>
      </c>
      <c r="CP55" s="189">
        <f t="shared" ref="CP55" si="314">IF(BZ55=1,$CD55,0)</f>
        <v>0</v>
      </c>
      <c r="CQ55" s="195"/>
      <c r="CR55" s="195"/>
      <c r="CS55" s="195"/>
      <c r="CT55" s="195"/>
      <c r="CU55" s="195"/>
      <c r="CV55" s="195"/>
      <c r="CW55" s="195"/>
      <c r="CX55" s="195"/>
      <c r="CY55" s="195"/>
      <c r="CZ55" s="195"/>
      <c r="DA55" s="195"/>
      <c r="DB55" s="195"/>
      <c r="DC55" s="195"/>
      <c r="DD55" s="195"/>
      <c r="DE55" s="195"/>
      <c r="DF55" s="195"/>
      <c r="DG55" s="195"/>
      <c r="DH55" s="195"/>
      <c r="DI55" s="195"/>
      <c r="DJ55" s="195"/>
      <c r="DK55" s="195"/>
      <c r="DL55" s="195"/>
      <c r="DM55" s="195"/>
      <c r="DN55" s="195"/>
      <c r="DO55" s="195"/>
      <c r="DP55" s="195"/>
      <c r="DQ55" s="195"/>
      <c r="DR55" s="195"/>
      <c r="DS55" s="195"/>
      <c r="DT55" s="195"/>
      <c r="DU55" s="195"/>
      <c r="DV55" s="189">
        <f t="shared" si="226"/>
        <v>0</v>
      </c>
      <c r="DW55" s="189">
        <f t="shared" si="227"/>
        <v>0</v>
      </c>
      <c r="DX55" s="189">
        <f t="shared" si="228"/>
        <v>0</v>
      </c>
      <c r="DY55" s="189">
        <f t="shared" si="229"/>
        <v>0</v>
      </c>
      <c r="DZ55" s="189">
        <f t="shared" si="230"/>
        <v>0</v>
      </c>
      <c r="EA55" s="189">
        <f t="shared" si="231"/>
        <v>0</v>
      </c>
      <c r="EB55" s="189">
        <f t="shared" si="137"/>
        <v>0</v>
      </c>
      <c r="EC55" s="195"/>
      <c r="ED55" s="195"/>
      <c r="EE55" s="195"/>
      <c r="EF55" s="195"/>
      <c r="EG55" s="252">
        <f t="shared" ref="EG55" si="315">IF(AG55="C","C",IF(AG55="D","D",0))</f>
        <v>0</v>
      </c>
      <c r="EH55" s="252">
        <f t="shared" ref="EH55" si="316">CC55</f>
        <v>0</v>
      </c>
      <c r="EI55" s="189"/>
      <c r="EJ55" s="189"/>
      <c r="EK55" s="189"/>
      <c r="EL55" s="189"/>
      <c r="EM55" s="189"/>
      <c r="EN55" s="189"/>
      <c r="EO55" s="189"/>
      <c r="EP55" s="189"/>
      <c r="EQ55" s="189"/>
      <c r="ER55" s="189"/>
      <c r="ES55" s="189"/>
      <c r="ET55" s="189"/>
      <c r="EU55" s="189"/>
      <c r="EV55" s="189"/>
      <c r="EW55" s="189"/>
      <c r="EX55" s="189"/>
      <c r="EY55" s="189"/>
      <c r="EZ55" s="189"/>
      <c r="FA55" s="189"/>
      <c r="FB55" s="189"/>
      <c r="FC55" s="189"/>
      <c r="FD55" s="189"/>
      <c r="FE55" s="189"/>
      <c r="FF55" s="189"/>
      <c r="FG55" s="195"/>
      <c r="FH55" s="189"/>
      <c r="FI55" s="189"/>
      <c r="FJ55" s="189"/>
      <c r="FK55" s="189"/>
      <c r="FL55" s="189"/>
      <c r="FM55" s="189"/>
      <c r="FN55" s="189"/>
      <c r="FO55" s="189"/>
      <c r="FP55" s="189"/>
      <c r="FQ55" s="189"/>
      <c r="FR55" s="189"/>
      <c r="FS55" s="189"/>
      <c r="FT55" s="189"/>
      <c r="FU55" s="189"/>
      <c r="FV55" s="189"/>
      <c r="FW55" s="195"/>
      <c r="FX55" s="253">
        <v>1</v>
      </c>
      <c r="FY55" s="189">
        <f t="shared" ref="FY55" si="317">SUM(FZ55:GE55)</f>
        <v>78</v>
      </c>
      <c r="FZ55" s="189">
        <f t="shared" ref="FZ55" si="318">DI55+CE55</f>
        <v>78</v>
      </c>
      <c r="GA55" s="189">
        <f t="shared" ref="GA55" si="319">DJ55+CF55</f>
        <v>0</v>
      </c>
      <c r="GB55" s="189">
        <f t="shared" ref="GB55" si="320">DK55+CG55</f>
        <v>0</v>
      </c>
      <c r="GC55" s="189">
        <f t="shared" ref="GC55" si="321">DM55+CI55</f>
        <v>0</v>
      </c>
      <c r="GD55" s="189">
        <f t="shared" ref="GD55" si="322">DO55+CK55</f>
        <v>0</v>
      </c>
      <c r="GE55" s="189">
        <f t="shared" ref="GE55" si="323">DT55+CP55</f>
        <v>0</v>
      </c>
      <c r="GF55" s="199"/>
      <c r="GG55" s="189"/>
      <c r="GH55" s="189"/>
      <c r="GI55" s="199"/>
      <c r="GJ55" s="200"/>
      <c r="GK55" s="200"/>
      <c r="GL55" s="195"/>
      <c r="GM55" s="195"/>
      <c r="GN55" s="195"/>
      <c r="GO55" s="189">
        <f t="shared" si="246"/>
        <v>0</v>
      </c>
      <c r="GP55" s="189">
        <f t="shared" si="247"/>
        <v>0</v>
      </c>
      <c r="GQ55" s="189">
        <f t="shared" si="248"/>
        <v>0</v>
      </c>
      <c r="GR55" s="189">
        <f t="shared" si="249"/>
        <v>0</v>
      </c>
      <c r="GS55" s="189">
        <f t="shared" si="250"/>
        <v>0</v>
      </c>
      <c r="GT55" s="189">
        <f t="shared" si="143"/>
        <v>1</v>
      </c>
      <c r="GU55" s="201">
        <f t="shared" si="144"/>
        <v>43243</v>
      </c>
      <c r="GV55" s="189" t="str">
        <f t="shared" si="145"/>
        <v>SELESAI</v>
      </c>
      <c r="GW55" s="189">
        <f t="shared" si="146"/>
        <v>0</v>
      </c>
      <c r="GX55" s="202" t="str">
        <f t="shared" si="147"/>
        <v>SELESAI</v>
      </c>
      <c r="GY55" s="202">
        <f t="shared" si="148"/>
        <v>0</v>
      </c>
      <c r="GZ55" s="203" t="str">
        <f t="shared" si="149"/>
        <v>SELESAI</v>
      </c>
      <c r="HA55" s="204"/>
      <c r="HB55" s="204"/>
      <c r="HC55" s="189">
        <f t="shared" si="251"/>
        <v>0</v>
      </c>
      <c r="HD55" s="189">
        <f t="shared" si="252"/>
        <v>0</v>
      </c>
      <c r="HE55" s="189">
        <f t="shared" si="150"/>
        <v>0</v>
      </c>
      <c r="HF55" s="189">
        <f t="shared" si="151"/>
        <v>0</v>
      </c>
      <c r="HG55" s="189">
        <f t="shared" si="152"/>
        <v>0</v>
      </c>
      <c r="HH55" s="201" t="str">
        <f t="shared" si="46"/>
        <v>TIDAK KONSINYASI</v>
      </c>
      <c r="HI55" s="201" t="str">
        <f t="shared" si="153"/>
        <v>SELESAI</v>
      </c>
      <c r="HJ55" s="205"/>
      <c r="HK55" s="201">
        <f t="shared" si="47"/>
        <v>0</v>
      </c>
      <c r="HL55" s="204"/>
      <c r="HM55" s="204"/>
      <c r="HN55" s="204"/>
      <c r="HO55" s="204"/>
      <c r="HP55" s="203">
        <f t="shared" si="154"/>
        <v>0</v>
      </c>
      <c r="HQ55" s="202">
        <f t="shared" si="155"/>
        <v>0</v>
      </c>
      <c r="HR55" s="202">
        <f t="shared" si="253"/>
        <v>0</v>
      </c>
      <c r="HS55" s="203">
        <f t="shared" si="156"/>
        <v>0</v>
      </c>
      <c r="HT55" s="202">
        <f t="shared" si="157"/>
        <v>0</v>
      </c>
      <c r="HU55" s="202">
        <f t="shared" si="254"/>
        <v>0</v>
      </c>
      <c r="HV55" s="203">
        <f t="shared" si="158"/>
        <v>0</v>
      </c>
      <c r="HW55" s="202">
        <f t="shared" si="50"/>
        <v>0</v>
      </c>
      <c r="HX55" s="202">
        <f t="shared" si="255"/>
        <v>0</v>
      </c>
      <c r="HY55" s="203">
        <f t="shared" si="52"/>
        <v>0</v>
      </c>
      <c r="HZ55" s="202">
        <f t="shared" si="159"/>
        <v>0</v>
      </c>
      <c r="IA55" s="202">
        <f t="shared" si="256"/>
        <v>0</v>
      </c>
      <c r="IB55" s="203">
        <f t="shared" si="160"/>
        <v>0</v>
      </c>
      <c r="IC55" s="202">
        <f t="shared" si="54"/>
        <v>0</v>
      </c>
      <c r="ID55" s="202">
        <f t="shared" si="257"/>
        <v>0</v>
      </c>
      <c r="IE55" s="203">
        <f t="shared" si="56"/>
        <v>0</v>
      </c>
      <c r="IF55" s="202">
        <f t="shared" si="57"/>
        <v>0</v>
      </c>
      <c r="IG55" s="202">
        <f t="shared" si="258"/>
        <v>0</v>
      </c>
      <c r="IH55" s="203">
        <f t="shared" si="161"/>
        <v>0</v>
      </c>
      <c r="II55" s="202">
        <f t="shared" si="162"/>
        <v>0</v>
      </c>
      <c r="IJ55" s="202">
        <f t="shared" si="259"/>
        <v>0</v>
      </c>
      <c r="IK55" s="203">
        <f t="shared" si="60"/>
        <v>0</v>
      </c>
      <c r="IL55" s="202">
        <f t="shared" si="61"/>
        <v>0</v>
      </c>
      <c r="IM55" s="202">
        <f t="shared" si="260"/>
        <v>0</v>
      </c>
      <c r="IN55" s="204"/>
      <c r="IO55" s="203">
        <f t="shared" si="63"/>
        <v>0</v>
      </c>
      <c r="IP55" s="202">
        <f t="shared" si="261"/>
        <v>0</v>
      </c>
      <c r="IQ55" s="202">
        <f t="shared" si="262"/>
        <v>0</v>
      </c>
      <c r="IR55" s="204"/>
      <c r="IS55" s="203"/>
      <c r="IT55" s="202">
        <f t="shared" si="263"/>
        <v>1</v>
      </c>
      <c r="IU55" s="202">
        <f t="shared" si="264"/>
        <v>102</v>
      </c>
      <c r="IV55" s="204"/>
      <c r="IW55" s="203"/>
      <c r="IX55" s="202">
        <f t="shared" si="265"/>
        <v>0</v>
      </c>
      <c r="IY55" s="202">
        <f t="shared" si="266"/>
        <v>0</v>
      </c>
      <c r="IZ55" s="204"/>
      <c r="JA55" s="203"/>
      <c r="JB55" s="202">
        <f t="shared" si="267"/>
        <v>0</v>
      </c>
      <c r="JC55" s="202">
        <f t="shared" si="268"/>
        <v>0</v>
      </c>
      <c r="JD55" s="204"/>
      <c r="JE55" s="203"/>
      <c r="JF55" s="202">
        <f t="shared" si="163"/>
        <v>1</v>
      </c>
      <c r="JG55" s="202">
        <f t="shared" si="72"/>
        <v>102</v>
      </c>
      <c r="JH55" s="204"/>
      <c r="JI55" s="203"/>
      <c r="JJ55" s="202">
        <f t="shared" si="269"/>
        <v>0</v>
      </c>
      <c r="JK55" s="202">
        <f t="shared" si="270"/>
        <v>0</v>
      </c>
      <c r="JL55" s="195"/>
      <c r="JM55" s="203">
        <f t="shared" si="164"/>
        <v>0</v>
      </c>
      <c r="JN55" s="195"/>
      <c r="JO55" s="196">
        <f t="shared" si="75"/>
        <v>1</v>
      </c>
      <c r="JP55" s="206">
        <f t="shared" si="271"/>
        <v>78</v>
      </c>
      <c r="JQ55" s="206">
        <f t="shared" si="272"/>
        <v>1</v>
      </c>
      <c r="JR55" s="206">
        <f t="shared" si="273"/>
        <v>0</v>
      </c>
      <c r="JS55" s="206">
        <f t="shared" si="274"/>
        <v>0</v>
      </c>
      <c r="JT55" s="206">
        <f t="shared" si="275"/>
        <v>0</v>
      </c>
      <c r="JU55" s="206">
        <f t="shared" si="276"/>
        <v>0</v>
      </c>
      <c r="JV55" s="206">
        <f t="shared" si="277"/>
        <v>0</v>
      </c>
      <c r="JW55" s="206">
        <f t="shared" si="278"/>
        <v>0</v>
      </c>
      <c r="JX55" s="206">
        <f t="shared" si="279"/>
        <v>0</v>
      </c>
      <c r="JY55" s="206">
        <f t="shared" si="280"/>
        <v>0</v>
      </c>
      <c r="JZ55" s="206">
        <f t="shared" si="281"/>
        <v>0</v>
      </c>
      <c r="KA55" s="206">
        <f t="shared" si="282"/>
        <v>0</v>
      </c>
      <c r="KB55" s="206">
        <f t="shared" si="283"/>
        <v>0</v>
      </c>
      <c r="KC55" s="195"/>
      <c r="KD55" s="206">
        <f t="shared" si="165"/>
        <v>0</v>
      </c>
      <c r="KE55" s="206">
        <f t="shared" si="90"/>
        <v>0</v>
      </c>
      <c r="KF55" s="206">
        <f t="shared" si="284"/>
        <v>78</v>
      </c>
      <c r="KG55" s="206">
        <f t="shared" si="285"/>
        <v>78</v>
      </c>
      <c r="KH55" s="206">
        <f t="shared" si="286"/>
        <v>0</v>
      </c>
      <c r="KI55" s="206">
        <f t="shared" si="287"/>
        <v>0</v>
      </c>
      <c r="KJ55" s="206">
        <f t="shared" si="288"/>
        <v>0</v>
      </c>
      <c r="KK55" s="206">
        <f t="shared" si="289"/>
        <v>0</v>
      </c>
      <c r="KL55" s="206">
        <f t="shared" si="290"/>
        <v>0</v>
      </c>
      <c r="KM55" s="206">
        <f t="shared" si="291"/>
        <v>0</v>
      </c>
      <c r="KN55" s="221">
        <f t="shared" si="292"/>
        <v>0</v>
      </c>
      <c r="KO55" s="221">
        <f t="shared" si="293"/>
        <v>0</v>
      </c>
      <c r="KP55" s="221">
        <f t="shared" si="294"/>
        <v>0</v>
      </c>
      <c r="KQ55" s="221">
        <f t="shared" si="295"/>
        <v>0</v>
      </c>
      <c r="KR55" s="221">
        <f t="shared" si="296"/>
        <v>0</v>
      </c>
      <c r="KS55" s="195"/>
      <c r="KT55" s="195">
        <f t="shared" si="297"/>
        <v>0</v>
      </c>
      <c r="KU55" s="221"/>
      <c r="KV55" s="221"/>
      <c r="KW55" s="221"/>
      <c r="KX55" s="221"/>
      <c r="KY55" s="221"/>
      <c r="KZ55" s="221"/>
      <c r="LA55" s="221"/>
      <c r="LB55" s="221"/>
      <c r="LC55" s="221"/>
      <c r="LD55" s="221"/>
      <c r="LE55" s="221"/>
      <c r="LF55" s="221"/>
      <c r="LG55" s="221"/>
      <c r="LH55" s="221"/>
      <c r="LI55" s="221"/>
      <c r="LJ55" s="221"/>
      <c r="LK55" s="221"/>
      <c r="LL55" s="221"/>
      <c r="LM55" s="221"/>
      <c r="LN55" s="221"/>
      <c r="LO55" s="221"/>
      <c r="LP55" s="221"/>
      <c r="LQ55" s="221"/>
      <c r="LR55" s="221"/>
      <c r="LS55" s="221"/>
      <c r="LT55" s="221"/>
      <c r="LU55" s="221"/>
      <c r="LV55" s="221"/>
      <c r="LW55" s="221"/>
      <c r="LX55" s="221"/>
      <c r="LY55" s="221"/>
      <c r="LZ55" s="221"/>
      <c r="MA55" s="221"/>
      <c r="MB55" s="221"/>
      <c r="MC55" s="221"/>
      <c r="MD55" s="221"/>
      <c r="ME55" s="221"/>
      <c r="MF55" s="221"/>
      <c r="MG55" s="221"/>
      <c r="MH55" s="221"/>
      <c r="MI55" s="221"/>
      <c r="MJ55" s="221"/>
      <c r="MK55" s="221"/>
      <c r="ML55" s="221"/>
      <c r="MM55" s="221"/>
      <c r="MN55" s="221"/>
      <c r="MO55" s="221"/>
      <c r="MP55" s="221"/>
      <c r="MQ55" s="221"/>
      <c r="MR55" s="221"/>
      <c r="MS55" s="221"/>
      <c r="MT55" s="221"/>
      <c r="MU55" s="221"/>
      <c r="MV55" s="221"/>
      <c r="MW55" s="221"/>
      <c r="MX55" s="221"/>
      <c r="MY55" s="221"/>
      <c r="MZ55" s="221"/>
      <c r="NA55" s="221"/>
      <c r="NB55" s="221"/>
      <c r="NC55" s="221"/>
      <c r="ND55" s="221"/>
      <c r="NE55" s="221"/>
      <c r="NF55" s="221"/>
      <c r="NG55" s="221"/>
      <c r="NH55" s="221"/>
      <c r="NI55" s="221"/>
      <c r="NJ55" s="221"/>
      <c r="NK55" s="221"/>
      <c r="NL55" s="195"/>
      <c r="NM55" s="195">
        <f t="shared" si="166"/>
        <v>0</v>
      </c>
      <c r="NN55" s="195">
        <f t="shared" si="167"/>
        <v>0</v>
      </c>
      <c r="NO55" s="195">
        <f t="shared" si="168"/>
        <v>0</v>
      </c>
      <c r="NP55" s="195">
        <f t="shared" si="169"/>
        <v>0</v>
      </c>
      <c r="NQ55" s="195">
        <f t="shared" si="170"/>
        <v>0</v>
      </c>
      <c r="NR55" s="195">
        <f t="shared" si="171"/>
        <v>0</v>
      </c>
      <c r="NS55" s="195">
        <f t="shared" si="172"/>
        <v>0</v>
      </c>
      <c r="NT55" s="195">
        <f t="shared" si="173"/>
        <v>0</v>
      </c>
      <c r="NU55" s="196">
        <f t="shared" si="174"/>
        <v>0</v>
      </c>
      <c r="NV55" s="195"/>
      <c r="NW55" s="195"/>
      <c r="NX55" s="195"/>
      <c r="NY55" s="196">
        <f t="shared" si="232"/>
        <v>1</v>
      </c>
      <c r="NZ55" s="222">
        <f>199920000/24</f>
        <v>8330000</v>
      </c>
      <c r="OA55" s="195"/>
      <c r="OB55" s="195"/>
      <c r="OC55" s="195"/>
      <c r="OD55" s="195"/>
      <c r="OE55" s="207">
        <f t="shared" si="233"/>
        <v>0</v>
      </c>
      <c r="OF55" s="207">
        <f t="shared" si="234"/>
        <v>0</v>
      </c>
      <c r="OG55" s="207">
        <f t="shared" si="235"/>
        <v>0</v>
      </c>
      <c r="OH55" s="207">
        <f t="shared" si="175"/>
        <v>0</v>
      </c>
      <c r="OI55" s="207">
        <f t="shared" si="236"/>
        <v>0</v>
      </c>
      <c r="OJ55" s="199">
        <f t="shared" si="176"/>
        <v>0</v>
      </c>
      <c r="OK55" s="199">
        <f t="shared" si="177"/>
        <v>0</v>
      </c>
      <c r="OL55" s="199">
        <f t="shared" si="178"/>
        <v>0</v>
      </c>
      <c r="OM55" s="199">
        <f t="shared" si="179"/>
        <v>0</v>
      </c>
      <c r="ON55" s="195"/>
      <c r="OO55" s="207">
        <f t="shared" si="237"/>
        <v>0</v>
      </c>
      <c r="OP55" s="207">
        <f t="shared" si="238"/>
        <v>0</v>
      </c>
      <c r="OQ55" s="207">
        <f t="shared" si="180"/>
        <v>0</v>
      </c>
      <c r="OR55" s="207">
        <f t="shared" si="181"/>
        <v>0</v>
      </c>
      <c r="OS55" s="207">
        <f t="shared" si="182"/>
        <v>0</v>
      </c>
      <c r="OT55" s="199">
        <f t="shared" si="183"/>
        <v>0</v>
      </c>
      <c r="OU55" s="199">
        <f t="shared" si="184"/>
        <v>0</v>
      </c>
      <c r="OV55" s="199">
        <f t="shared" si="185"/>
        <v>0</v>
      </c>
      <c r="OW55" s="199">
        <f t="shared" si="186"/>
        <v>0</v>
      </c>
      <c r="OX55" s="195"/>
      <c r="OY55" s="195"/>
      <c r="OZ55" s="195"/>
      <c r="PA55" s="209"/>
      <c r="PB55" s="209"/>
      <c r="PC55" s="209"/>
      <c r="PD55" s="210">
        <f t="shared" si="113"/>
        <v>0</v>
      </c>
      <c r="PE55" s="210"/>
      <c r="PF55" s="210">
        <f t="shared" si="114"/>
        <v>0</v>
      </c>
      <c r="PG55" s="210">
        <f t="shared" si="302"/>
        <v>0</v>
      </c>
      <c r="PH55" s="210">
        <f t="shared" si="302"/>
        <v>0</v>
      </c>
      <c r="PI55" s="210">
        <f t="shared" si="302"/>
        <v>0</v>
      </c>
      <c r="PJ55" s="210">
        <f t="shared" si="300"/>
        <v>0</v>
      </c>
      <c r="PK55" s="210">
        <f t="shared" si="300"/>
        <v>0</v>
      </c>
      <c r="PL55" s="210">
        <f t="shared" si="300"/>
        <v>0</v>
      </c>
      <c r="PM55" s="195"/>
      <c r="PN55" s="195"/>
      <c r="PO55" s="212">
        <f t="shared" si="187"/>
        <v>0</v>
      </c>
      <c r="PP55" s="212">
        <f t="shared" si="188"/>
        <v>0</v>
      </c>
      <c r="PQ55" s="212">
        <f t="shared" si="189"/>
        <v>0</v>
      </c>
    </row>
    <row r="56" spans="1:433 16383:16383" ht="16" x14ac:dyDescent="0.2">
      <c r="A56" s="213">
        <f t="shared" si="190"/>
        <v>47</v>
      </c>
      <c r="B56" s="186" t="s">
        <v>125</v>
      </c>
      <c r="C56" s="186">
        <v>50</v>
      </c>
      <c r="D56" s="188">
        <v>1</v>
      </c>
      <c r="E56" s="188">
        <v>39</v>
      </c>
      <c r="F56" s="188">
        <v>1</v>
      </c>
      <c r="G56" s="188">
        <f t="shared" si="239"/>
        <v>39</v>
      </c>
      <c r="H56" s="214">
        <f t="shared" si="203"/>
        <v>1</v>
      </c>
      <c r="I56" s="214">
        <f t="shared" si="204"/>
        <v>1</v>
      </c>
      <c r="J56" s="188">
        <v>1</v>
      </c>
      <c r="K56" s="188">
        <f t="shared" si="205"/>
        <v>39</v>
      </c>
      <c r="L56" s="214">
        <f t="shared" si="206"/>
        <v>1</v>
      </c>
      <c r="M56" s="214">
        <f t="shared" si="207"/>
        <v>1</v>
      </c>
      <c r="N56" s="188">
        <v>1</v>
      </c>
      <c r="O56" s="188">
        <f t="shared" si="208"/>
        <v>39</v>
      </c>
      <c r="P56" s="214">
        <f t="shared" si="209"/>
        <v>1</v>
      </c>
      <c r="Q56" s="214">
        <f t="shared" si="210"/>
        <v>1</v>
      </c>
      <c r="R56" s="188">
        <v>1</v>
      </c>
      <c r="S56" s="188">
        <f t="shared" si="211"/>
        <v>39</v>
      </c>
      <c r="T56" s="214">
        <f t="shared" si="212"/>
        <v>1</v>
      </c>
      <c r="U56" s="214">
        <f t="shared" si="213"/>
        <v>1</v>
      </c>
      <c r="V56" s="188"/>
      <c r="W56" s="188">
        <f t="shared" si="214"/>
        <v>0</v>
      </c>
      <c r="X56" s="214">
        <f t="shared" si="215"/>
        <v>0</v>
      </c>
      <c r="Y56" s="214">
        <f t="shared" si="216"/>
        <v>0</v>
      </c>
      <c r="Z56" s="224"/>
      <c r="AA56" s="188">
        <v>1</v>
      </c>
      <c r="AB56" s="189">
        <f t="shared" si="120"/>
        <v>39</v>
      </c>
      <c r="AC56" s="250">
        <f t="shared" si="121"/>
        <v>1</v>
      </c>
      <c r="AD56" s="250">
        <f t="shared" si="122"/>
        <v>1</v>
      </c>
      <c r="AE56" s="224">
        <f>995517000/1000000000</f>
        <v>0.99551699999999999</v>
      </c>
      <c r="AF56" s="188">
        <f t="shared" si="217"/>
        <v>1</v>
      </c>
      <c r="AG56" s="188" t="s">
        <v>302</v>
      </c>
      <c r="AH56" s="188" t="s">
        <v>303</v>
      </c>
      <c r="AI56" s="188">
        <v>0</v>
      </c>
      <c r="AJ56" s="188">
        <f t="shared" si="218"/>
        <v>0</v>
      </c>
      <c r="AK56" s="188"/>
      <c r="AL56" s="188">
        <v>0</v>
      </c>
      <c r="AM56" s="188">
        <v>0</v>
      </c>
      <c r="AN56" s="217"/>
      <c r="AO56" s="196">
        <f t="shared" si="123"/>
        <v>0</v>
      </c>
      <c r="AP56" s="195"/>
      <c r="AQ56" s="195"/>
      <c r="AR56" s="195"/>
      <c r="AS56" s="195"/>
      <c r="AT56" s="195"/>
      <c r="AU56" s="195"/>
      <c r="AV56" s="195"/>
      <c r="AW56" s="195"/>
      <c r="AX56" s="195"/>
      <c r="AY56" s="195"/>
      <c r="AZ56" s="195"/>
      <c r="BA56" s="195"/>
      <c r="BB56" s="188">
        <f t="shared" si="219"/>
        <v>0</v>
      </c>
      <c r="BC56" s="195"/>
      <c r="BD56" s="196"/>
      <c r="BE56" s="188">
        <f t="shared" si="220"/>
        <v>39</v>
      </c>
      <c r="BF56" s="188">
        <f t="shared" si="221"/>
        <v>0</v>
      </c>
      <c r="BG56" s="188">
        <f t="shared" si="222"/>
        <v>0</v>
      </c>
      <c r="BH56" s="188">
        <f t="shared" si="223"/>
        <v>0</v>
      </c>
      <c r="BI56" s="188">
        <f t="shared" si="224"/>
        <v>39</v>
      </c>
      <c r="BJ56" s="188">
        <f t="shared" si="225"/>
        <v>0</v>
      </c>
      <c r="BK56" s="188">
        <f t="shared" si="124"/>
        <v>39</v>
      </c>
      <c r="BL56" s="195"/>
      <c r="BM56" s="195"/>
      <c r="BN56" s="277"/>
      <c r="BO56" s="283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95"/>
      <c r="CB56" s="188">
        <v>0</v>
      </c>
      <c r="CC56" s="195"/>
      <c r="CD56" s="189">
        <f t="shared" si="125"/>
        <v>0</v>
      </c>
      <c r="CE56" s="189">
        <f t="shared" si="191"/>
        <v>0</v>
      </c>
      <c r="CF56" s="189">
        <f t="shared" si="126"/>
        <v>0</v>
      </c>
      <c r="CG56" s="189">
        <f t="shared" si="127"/>
        <v>0</v>
      </c>
      <c r="CH56" s="189">
        <f t="shared" si="128"/>
        <v>0</v>
      </c>
      <c r="CI56" s="189">
        <f t="shared" si="129"/>
        <v>0</v>
      </c>
      <c r="CJ56" s="189">
        <f t="shared" si="130"/>
        <v>0</v>
      </c>
      <c r="CK56" s="189">
        <f t="shared" si="131"/>
        <v>0</v>
      </c>
      <c r="CL56" s="189">
        <f t="shared" si="132"/>
        <v>0</v>
      </c>
      <c r="CM56" s="189">
        <f t="shared" si="133"/>
        <v>0</v>
      </c>
      <c r="CN56" s="189">
        <f t="shared" si="134"/>
        <v>0</v>
      </c>
      <c r="CO56" s="189">
        <f t="shared" si="135"/>
        <v>0</v>
      </c>
      <c r="CP56" s="189">
        <f t="shared" si="136"/>
        <v>0</v>
      </c>
      <c r="CQ56" s="195"/>
      <c r="CR56" s="195"/>
      <c r="CS56" s="195"/>
      <c r="CT56" s="195"/>
      <c r="CU56" s="195"/>
      <c r="CV56" s="195"/>
      <c r="CW56" s="195"/>
      <c r="CX56" s="195"/>
      <c r="CY56" s="195"/>
      <c r="CZ56" s="195"/>
      <c r="DA56" s="195"/>
      <c r="DB56" s="195"/>
      <c r="DC56" s="195"/>
      <c r="DD56" s="195"/>
      <c r="DE56" s="195"/>
      <c r="DF56" s="195"/>
      <c r="DG56" s="195"/>
      <c r="DH56" s="195"/>
      <c r="DI56" s="195"/>
      <c r="DJ56" s="195"/>
      <c r="DK56" s="195"/>
      <c r="DL56" s="195"/>
      <c r="DM56" s="195"/>
      <c r="DN56" s="195"/>
      <c r="DO56" s="195"/>
      <c r="DP56" s="195"/>
      <c r="DQ56" s="195"/>
      <c r="DR56" s="195"/>
      <c r="DS56" s="195"/>
      <c r="DT56" s="195"/>
      <c r="DU56" s="195"/>
      <c r="DV56" s="189">
        <f t="shared" si="226"/>
        <v>0</v>
      </c>
      <c r="DW56" s="189">
        <f t="shared" si="227"/>
        <v>0</v>
      </c>
      <c r="DX56" s="189">
        <f t="shared" si="228"/>
        <v>0</v>
      </c>
      <c r="DY56" s="189">
        <f t="shared" si="229"/>
        <v>0</v>
      </c>
      <c r="DZ56" s="189">
        <f t="shared" si="230"/>
        <v>0</v>
      </c>
      <c r="EA56" s="189">
        <f t="shared" si="231"/>
        <v>0</v>
      </c>
      <c r="EB56" s="189">
        <f t="shared" si="137"/>
        <v>0</v>
      </c>
      <c r="EC56" s="195"/>
      <c r="ED56" s="195"/>
      <c r="EE56" s="195"/>
      <c r="EF56" s="195"/>
      <c r="EG56" s="252" t="str">
        <f t="shared" si="138"/>
        <v>D</v>
      </c>
      <c r="EH56" s="252">
        <f t="shared" si="139"/>
        <v>0</v>
      </c>
      <c r="EI56" s="189">
        <v>1</v>
      </c>
      <c r="EJ56" s="189">
        <v>1</v>
      </c>
      <c r="EK56" s="189"/>
      <c r="EL56" s="189"/>
      <c r="EM56" s="189"/>
      <c r="EN56" s="189"/>
      <c r="EO56" s="189"/>
      <c r="EP56" s="189"/>
      <c r="EQ56" s="189">
        <v>1</v>
      </c>
      <c r="ER56" s="189">
        <v>1</v>
      </c>
      <c r="ES56" s="189">
        <v>1</v>
      </c>
      <c r="ET56" s="189"/>
      <c r="EU56" s="189"/>
      <c r="EV56" s="188">
        <v>1</v>
      </c>
      <c r="EW56" s="189"/>
      <c r="EX56" s="189"/>
      <c r="EY56" s="189"/>
      <c r="EZ56" s="188">
        <v>1</v>
      </c>
      <c r="FA56" s="189">
        <v>1</v>
      </c>
      <c r="FB56" s="189">
        <v>1</v>
      </c>
      <c r="FC56" s="189">
        <v>1</v>
      </c>
      <c r="FD56" s="189"/>
      <c r="FE56" s="189"/>
      <c r="FF56" s="189"/>
      <c r="FG56" s="195"/>
      <c r="FH56" s="189"/>
      <c r="FI56" s="189"/>
      <c r="FJ56" s="189"/>
      <c r="FK56" s="189"/>
      <c r="FL56" s="189"/>
      <c r="FM56" s="189"/>
      <c r="FN56" s="189"/>
      <c r="FO56" s="189"/>
      <c r="FP56" s="189"/>
      <c r="FQ56" s="189"/>
      <c r="FR56" s="189"/>
      <c r="FS56" s="189"/>
      <c r="FT56" s="189"/>
      <c r="FU56" s="189"/>
      <c r="FV56" s="189"/>
      <c r="FW56" s="195"/>
      <c r="FX56" s="253"/>
      <c r="FY56" s="189">
        <f t="shared" si="140"/>
        <v>0</v>
      </c>
      <c r="FZ56" s="189">
        <f t="shared" ref="FZ56:FZ73" si="324">DI56+CE56</f>
        <v>0</v>
      </c>
      <c r="GA56" s="189">
        <f t="shared" ref="GA56:GA73" si="325">DJ56+CF56</f>
        <v>0</v>
      </c>
      <c r="GB56" s="189">
        <f t="shared" ref="GB56:GB73" si="326">DK56+CG56</f>
        <v>0</v>
      </c>
      <c r="GC56" s="189">
        <f t="shared" ref="GC56:GC73" si="327">DM56+CI56</f>
        <v>0</v>
      </c>
      <c r="GD56" s="189">
        <f t="shared" ref="GD56:GD73" si="328">DO56+CK56</f>
        <v>0</v>
      </c>
      <c r="GE56" s="189">
        <f t="shared" ref="GE56:GE73" si="329">DT56+CP56</f>
        <v>0</v>
      </c>
      <c r="GF56" s="199"/>
      <c r="GG56" s="189">
        <v>0</v>
      </c>
      <c r="GH56" s="189">
        <v>0</v>
      </c>
      <c r="GI56" s="199"/>
      <c r="GJ56" s="200">
        <f t="shared" si="141"/>
        <v>0</v>
      </c>
      <c r="GK56" s="200">
        <f t="shared" si="142"/>
        <v>0</v>
      </c>
      <c r="GL56" s="195"/>
      <c r="GM56" s="195"/>
      <c r="GN56" s="195"/>
      <c r="GO56" s="189">
        <f t="shared" si="246"/>
        <v>0</v>
      </c>
      <c r="GP56" s="189">
        <f t="shared" si="247"/>
        <v>0</v>
      </c>
      <c r="GQ56" s="189">
        <f t="shared" si="248"/>
        <v>0</v>
      </c>
      <c r="GR56" s="189">
        <f t="shared" si="249"/>
        <v>0</v>
      </c>
      <c r="GS56" s="189">
        <f t="shared" si="250"/>
        <v>1</v>
      </c>
      <c r="GT56" s="189">
        <f t="shared" si="143"/>
        <v>0</v>
      </c>
      <c r="GU56" s="201">
        <f t="shared" si="144"/>
        <v>43243</v>
      </c>
      <c r="GV56" s="189" t="str">
        <f t="shared" si="145"/>
        <v>UGR</v>
      </c>
      <c r="GW56" s="189">
        <f t="shared" si="146"/>
        <v>1</v>
      </c>
      <c r="GX56" s="202" t="str">
        <f t="shared" si="147"/>
        <v>UGR</v>
      </c>
      <c r="GY56" s="202">
        <f t="shared" si="148"/>
        <v>14</v>
      </c>
      <c r="GZ56" s="203">
        <f t="shared" si="149"/>
        <v>43257</v>
      </c>
      <c r="HA56" s="204"/>
      <c r="HB56" s="204"/>
      <c r="HC56" s="189">
        <f t="shared" si="251"/>
        <v>1</v>
      </c>
      <c r="HD56" s="189">
        <f t="shared" si="252"/>
        <v>0</v>
      </c>
      <c r="HE56" s="189">
        <f t="shared" si="150"/>
        <v>1</v>
      </c>
      <c r="HF56" s="189">
        <f t="shared" si="151"/>
        <v>0</v>
      </c>
      <c r="HG56" s="189">
        <f t="shared" si="152"/>
        <v>1</v>
      </c>
      <c r="HH56" s="201">
        <f t="shared" si="46"/>
        <v>43288</v>
      </c>
      <c r="HI56" s="201">
        <f t="shared" si="153"/>
        <v>43302</v>
      </c>
      <c r="HJ56" s="205"/>
      <c r="HK56" s="201">
        <f t="shared" si="47"/>
        <v>43302</v>
      </c>
      <c r="HL56" s="204"/>
      <c r="HM56" s="204"/>
      <c r="HN56" s="204"/>
      <c r="HO56" s="204"/>
      <c r="HP56" s="203">
        <f t="shared" si="154"/>
        <v>0</v>
      </c>
      <c r="HQ56" s="202">
        <f t="shared" si="155"/>
        <v>0</v>
      </c>
      <c r="HR56" s="202">
        <f t="shared" si="253"/>
        <v>0</v>
      </c>
      <c r="HS56" s="203">
        <f t="shared" si="156"/>
        <v>43288</v>
      </c>
      <c r="HT56" s="202">
        <f t="shared" si="157"/>
        <v>1</v>
      </c>
      <c r="HU56" s="202">
        <f t="shared" si="254"/>
        <v>39</v>
      </c>
      <c r="HV56" s="203">
        <f t="shared" si="158"/>
        <v>0</v>
      </c>
      <c r="HW56" s="202">
        <f t="shared" si="50"/>
        <v>0</v>
      </c>
      <c r="HX56" s="202">
        <f t="shared" si="255"/>
        <v>0</v>
      </c>
      <c r="HY56" s="203">
        <f t="shared" si="52"/>
        <v>0</v>
      </c>
      <c r="HZ56" s="202">
        <f t="shared" si="159"/>
        <v>0</v>
      </c>
      <c r="IA56" s="202">
        <f t="shared" si="256"/>
        <v>0</v>
      </c>
      <c r="IB56" s="203">
        <f t="shared" si="160"/>
        <v>0</v>
      </c>
      <c r="IC56" s="202">
        <f t="shared" si="54"/>
        <v>0</v>
      </c>
      <c r="ID56" s="202">
        <f t="shared" si="257"/>
        <v>0</v>
      </c>
      <c r="IE56" s="203">
        <f t="shared" si="56"/>
        <v>0</v>
      </c>
      <c r="IF56" s="202">
        <f t="shared" si="57"/>
        <v>0</v>
      </c>
      <c r="IG56" s="202">
        <f t="shared" si="258"/>
        <v>0</v>
      </c>
      <c r="IH56" s="203">
        <f t="shared" si="161"/>
        <v>0</v>
      </c>
      <c r="II56" s="202">
        <f t="shared" si="162"/>
        <v>0</v>
      </c>
      <c r="IJ56" s="202">
        <f t="shared" si="259"/>
        <v>0</v>
      </c>
      <c r="IK56" s="203">
        <f t="shared" si="60"/>
        <v>0</v>
      </c>
      <c r="IL56" s="202">
        <f t="shared" si="61"/>
        <v>0</v>
      </c>
      <c r="IM56" s="202">
        <f t="shared" si="260"/>
        <v>0</v>
      </c>
      <c r="IN56" s="204"/>
      <c r="IO56" s="203">
        <f t="shared" si="63"/>
        <v>0</v>
      </c>
      <c r="IP56" s="202">
        <f t="shared" si="261"/>
        <v>0</v>
      </c>
      <c r="IQ56" s="202">
        <f t="shared" si="262"/>
        <v>0</v>
      </c>
      <c r="IR56" s="204"/>
      <c r="IS56" s="203"/>
      <c r="IT56" s="202">
        <f t="shared" si="263"/>
        <v>0</v>
      </c>
      <c r="IU56" s="202">
        <f t="shared" si="264"/>
        <v>0</v>
      </c>
      <c r="IV56" s="204"/>
      <c r="IW56" s="203"/>
      <c r="IX56" s="202">
        <f t="shared" si="265"/>
        <v>1</v>
      </c>
      <c r="IY56" s="202">
        <f t="shared" si="266"/>
        <v>39</v>
      </c>
      <c r="IZ56" s="204"/>
      <c r="JA56" s="203"/>
      <c r="JB56" s="202">
        <f t="shared" si="267"/>
        <v>0</v>
      </c>
      <c r="JC56" s="202">
        <f t="shared" si="268"/>
        <v>0</v>
      </c>
      <c r="JD56" s="204"/>
      <c r="JE56" s="203"/>
      <c r="JF56" s="202">
        <f t="shared" si="163"/>
        <v>2</v>
      </c>
      <c r="JG56" s="202">
        <f t="shared" si="72"/>
        <v>78</v>
      </c>
      <c r="JH56" s="204"/>
      <c r="JI56" s="203"/>
      <c r="JJ56" s="202">
        <f t="shared" si="269"/>
        <v>1</v>
      </c>
      <c r="JK56" s="202">
        <f t="shared" si="270"/>
        <v>39</v>
      </c>
      <c r="JL56" s="195"/>
      <c r="JM56" s="203">
        <f t="shared" si="164"/>
        <v>43288</v>
      </c>
      <c r="JN56" s="195"/>
      <c r="JO56" s="196">
        <f t="shared" si="75"/>
        <v>0</v>
      </c>
      <c r="JP56" s="206">
        <f t="shared" si="271"/>
        <v>0</v>
      </c>
      <c r="JQ56" s="206">
        <f t="shared" si="272"/>
        <v>0</v>
      </c>
      <c r="JR56" s="206">
        <f t="shared" si="273"/>
        <v>0</v>
      </c>
      <c r="JS56" s="206">
        <f t="shared" si="274"/>
        <v>0</v>
      </c>
      <c r="JT56" s="206">
        <f t="shared" si="275"/>
        <v>0</v>
      </c>
      <c r="JU56" s="206">
        <f t="shared" si="276"/>
        <v>0</v>
      </c>
      <c r="JV56" s="206">
        <f t="shared" si="277"/>
        <v>0</v>
      </c>
      <c r="JW56" s="206">
        <f t="shared" si="278"/>
        <v>0</v>
      </c>
      <c r="JX56" s="206">
        <f t="shared" si="279"/>
        <v>0</v>
      </c>
      <c r="JY56" s="206">
        <f t="shared" si="280"/>
        <v>0</v>
      </c>
      <c r="JZ56" s="206">
        <f t="shared" si="281"/>
        <v>0</v>
      </c>
      <c r="KA56" s="206">
        <f t="shared" si="282"/>
        <v>0</v>
      </c>
      <c r="KB56" s="206">
        <f t="shared" si="283"/>
        <v>0</v>
      </c>
      <c r="KC56" s="195"/>
      <c r="KD56" s="206">
        <f t="shared" si="165"/>
        <v>0</v>
      </c>
      <c r="KE56" s="206">
        <f t="shared" si="90"/>
        <v>0</v>
      </c>
      <c r="KF56" s="206">
        <f t="shared" si="284"/>
        <v>0</v>
      </c>
      <c r="KG56" s="206">
        <f t="shared" si="285"/>
        <v>0</v>
      </c>
      <c r="KH56" s="206">
        <f t="shared" si="286"/>
        <v>0</v>
      </c>
      <c r="KI56" s="206">
        <f t="shared" si="287"/>
        <v>0</v>
      </c>
      <c r="KJ56" s="206">
        <f t="shared" si="288"/>
        <v>0</v>
      </c>
      <c r="KK56" s="206">
        <f t="shared" si="289"/>
        <v>0</v>
      </c>
      <c r="KL56" s="206">
        <f t="shared" si="290"/>
        <v>0</v>
      </c>
      <c r="KM56" s="206">
        <f t="shared" si="291"/>
        <v>0</v>
      </c>
      <c r="KN56" s="221">
        <f t="shared" si="292"/>
        <v>0</v>
      </c>
      <c r="KO56" s="221">
        <f t="shared" si="293"/>
        <v>0</v>
      </c>
      <c r="KP56" s="221">
        <f t="shared" si="294"/>
        <v>0</v>
      </c>
      <c r="KQ56" s="221">
        <f t="shared" si="295"/>
        <v>0</v>
      </c>
      <c r="KR56" s="221">
        <f t="shared" si="296"/>
        <v>0</v>
      </c>
      <c r="KS56" s="195"/>
      <c r="KT56" s="195">
        <f t="shared" si="297"/>
        <v>0</v>
      </c>
      <c r="KU56" s="221"/>
      <c r="KV56" s="221"/>
      <c r="KW56" s="221"/>
      <c r="KX56" s="221"/>
      <c r="KY56" s="221"/>
      <c r="KZ56" s="221"/>
      <c r="LA56" s="221"/>
      <c r="LB56" s="221"/>
      <c r="LC56" s="221"/>
      <c r="LD56" s="221"/>
      <c r="LE56" s="221"/>
      <c r="LF56" s="221"/>
      <c r="LG56" s="221"/>
      <c r="LH56" s="221"/>
      <c r="LI56" s="221"/>
      <c r="LJ56" s="221"/>
      <c r="LK56" s="221"/>
      <c r="LL56" s="221"/>
      <c r="LM56" s="221"/>
      <c r="LN56" s="221"/>
      <c r="LO56" s="221"/>
      <c r="LP56" s="221"/>
      <c r="LQ56" s="221"/>
      <c r="LR56" s="221"/>
      <c r="LS56" s="221"/>
      <c r="LT56" s="221"/>
      <c r="LU56" s="221"/>
      <c r="LV56" s="221"/>
      <c r="LW56" s="221"/>
      <c r="LX56" s="221"/>
      <c r="LY56" s="221"/>
      <c r="LZ56" s="221"/>
      <c r="MA56" s="221"/>
      <c r="MB56" s="221"/>
      <c r="MC56" s="221"/>
      <c r="MD56" s="221"/>
      <c r="ME56" s="221"/>
      <c r="MF56" s="221"/>
      <c r="MG56" s="221"/>
      <c r="MH56" s="221"/>
      <c r="MI56" s="221"/>
      <c r="MJ56" s="221"/>
      <c r="MK56" s="221"/>
      <c r="ML56" s="221"/>
      <c r="MM56" s="221"/>
      <c r="MN56" s="221"/>
      <c r="MO56" s="221"/>
      <c r="MP56" s="221"/>
      <c r="MQ56" s="221"/>
      <c r="MR56" s="221"/>
      <c r="MS56" s="221"/>
      <c r="MT56" s="221"/>
      <c r="MU56" s="221"/>
      <c r="MV56" s="221"/>
      <c r="MW56" s="221"/>
      <c r="MX56" s="221"/>
      <c r="MY56" s="221"/>
      <c r="MZ56" s="221"/>
      <c r="NA56" s="221"/>
      <c r="NB56" s="221"/>
      <c r="NC56" s="221"/>
      <c r="ND56" s="221"/>
      <c r="NE56" s="221"/>
      <c r="NF56" s="221"/>
      <c r="NG56" s="221"/>
      <c r="NH56" s="221"/>
      <c r="NI56" s="221"/>
      <c r="NJ56" s="221"/>
      <c r="NK56" s="221"/>
      <c r="NL56" s="195"/>
      <c r="NM56" s="195">
        <f t="shared" si="166"/>
        <v>0</v>
      </c>
      <c r="NN56" s="195">
        <f t="shared" si="167"/>
        <v>0</v>
      </c>
      <c r="NO56" s="195">
        <f t="shared" si="168"/>
        <v>0</v>
      </c>
      <c r="NP56" s="195">
        <f t="shared" si="169"/>
        <v>0</v>
      </c>
      <c r="NQ56" s="195">
        <f t="shared" si="170"/>
        <v>0</v>
      </c>
      <c r="NR56" s="195">
        <f t="shared" si="171"/>
        <v>0</v>
      </c>
      <c r="NS56" s="195">
        <f t="shared" si="172"/>
        <v>0</v>
      </c>
      <c r="NT56" s="195">
        <f t="shared" si="173"/>
        <v>0</v>
      </c>
      <c r="NU56" s="196">
        <f t="shared" si="174"/>
        <v>0</v>
      </c>
      <c r="NV56" s="195"/>
      <c r="NW56" s="195"/>
      <c r="NX56" s="195"/>
      <c r="NY56" s="196">
        <f t="shared" si="232"/>
        <v>0</v>
      </c>
      <c r="NZ56" s="222"/>
      <c r="OA56" s="195"/>
      <c r="OB56" s="195"/>
      <c r="OC56" s="195"/>
      <c r="OD56" s="195"/>
      <c r="OE56" s="207">
        <f t="shared" si="233"/>
        <v>0</v>
      </c>
      <c r="OF56" s="207">
        <f t="shared" si="234"/>
        <v>0</v>
      </c>
      <c r="OG56" s="207">
        <f t="shared" si="235"/>
        <v>0</v>
      </c>
      <c r="OH56" s="207">
        <f t="shared" si="175"/>
        <v>1</v>
      </c>
      <c r="OI56" s="207">
        <f t="shared" si="236"/>
        <v>0</v>
      </c>
      <c r="OJ56" s="199">
        <f t="shared" si="176"/>
        <v>0</v>
      </c>
      <c r="OK56" s="199">
        <f t="shared" si="177"/>
        <v>0</v>
      </c>
      <c r="OL56" s="199">
        <f t="shared" si="178"/>
        <v>0</v>
      </c>
      <c r="OM56" s="199">
        <f t="shared" si="179"/>
        <v>0</v>
      </c>
      <c r="ON56" s="195"/>
      <c r="OO56" s="207">
        <f t="shared" si="237"/>
        <v>0</v>
      </c>
      <c r="OP56" s="207">
        <f t="shared" si="238"/>
        <v>0</v>
      </c>
      <c r="OQ56" s="207">
        <f t="shared" si="180"/>
        <v>0</v>
      </c>
      <c r="OR56" s="207">
        <f t="shared" si="181"/>
        <v>1</v>
      </c>
      <c r="OS56" s="207">
        <f t="shared" si="182"/>
        <v>0</v>
      </c>
      <c r="OT56" s="199">
        <f t="shared" si="183"/>
        <v>0</v>
      </c>
      <c r="OU56" s="199">
        <f t="shared" si="184"/>
        <v>0</v>
      </c>
      <c r="OV56" s="199">
        <f t="shared" si="185"/>
        <v>0</v>
      </c>
      <c r="OW56" s="199">
        <f t="shared" si="186"/>
        <v>0</v>
      </c>
      <c r="OX56" s="195"/>
      <c r="OY56" s="195"/>
      <c r="OZ56" s="195"/>
      <c r="PA56" s="209"/>
      <c r="PB56" s="209"/>
      <c r="PC56" s="209"/>
      <c r="PD56" s="210">
        <f t="shared" si="113"/>
        <v>0</v>
      </c>
      <c r="PE56" s="210"/>
      <c r="PF56" s="210">
        <f t="shared" si="114"/>
        <v>0</v>
      </c>
      <c r="PG56" s="210">
        <f t="shared" si="302"/>
        <v>0</v>
      </c>
      <c r="PH56" s="210">
        <f t="shared" si="302"/>
        <v>0</v>
      </c>
      <c r="PI56" s="210">
        <f t="shared" si="302"/>
        <v>0</v>
      </c>
      <c r="PJ56" s="210">
        <f t="shared" si="300"/>
        <v>0</v>
      </c>
      <c r="PK56" s="210">
        <f t="shared" si="300"/>
        <v>0</v>
      </c>
      <c r="PL56" s="210">
        <f t="shared" si="300"/>
        <v>0</v>
      </c>
      <c r="PM56" s="195"/>
      <c r="PN56" s="195"/>
      <c r="PO56" s="212">
        <f t="shared" si="187"/>
        <v>39</v>
      </c>
      <c r="PP56" s="212">
        <f t="shared" si="188"/>
        <v>0</v>
      </c>
      <c r="PQ56" s="212">
        <f t="shared" si="189"/>
        <v>0</v>
      </c>
      <c r="XFC56">
        <v>995517000</v>
      </c>
    </row>
    <row r="57" spans="1:433 16383:16383" ht="16" x14ac:dyDescent="0.2">
      <c r="A57" s="213">
        <f t="shared" si="190"/>
        <v>48</v>
      </c>
      <c r="B57" s="186" t="s">
        <v>126</v>
      </c>
      <c r="C57" s="186">
        <v>49</v>
      </c>
      <c r="D57" s="188">
        <v>1</v>
      </c>
      <c r="E57" s="188">
        <v>32</v>
      </c>
      <c r="F57" s="188">
        <v>1</v>
      </c>
      <c r="G57" s="188">
        <f t="shared" si="239"/>
        <v>32</v>
      </c>
      <c r="H57" s="214">
        <f t="shared" si="203"/>
        <v>1</v>
      </c>
      <c r="I57" s="214">
        <f t="shared" si="204"/>
        <v>1</v>
      </c>
      <c r="J57" s="188">
        <v>1</v>
      </c>
      <c r="K57" s="188">
        <f t="shared" si="205"/>
        <v>32</v>
      </c>
      <c r="L57" s="214">
        <f t="shared" si="206"/>
        <v>1</v>
      </c>
      <c r="M57" s="214">
        <f t="shared" si="207"/>
        <v>1</v>
      </c>
      <c r="N57" s="188">
        <v>1</v>
      </c>
      <c r="O57" s="188">
        <f t="shared" si="208"/>
        <v>32</v>
      </c>
      <c r="P57" s="214">
        <f t="shared" si="209"/>
        <v>1</v>
      </c>
      <c r="Q57" s="214">
        <f t="shared" si="210"/>
        <v>1</v>
      </c>
      <c r="R57" s="188">
        <v>1</v>
      </c>
      <c r="S57" s="188">
        <f t="shared" si="211"/>
        <v>32</v>
      </c>
      <c r="T57" s="214">
        <f t="shared" si="212"/>
        <v>1</v>
      </c>
      <c r="U57" s="214">
        <f t="shared" si="213"/>
        <v>1</v>
      </c>
      <c r="V57" s="188">
        <v>1</v>
      </c>
      <c r="W57" s="188">
        <f t="shared" si="214"/>
        <v>32</v>
      </c>
      <c r="X57" s="214">
        <f t="shared" si="215"/>
        <v>1</v>
      </c>
      <c r="Y57" s="214">
        <f t="shared" si="216"/>
        <v>1</v>
      </c>
      <c r="Z57" s="224">
        <f>1108378000/1000000000</f>
        <v>1.1083780000000001</v>
      </c>
      <c r="AA57" s="188"/>
      <c r="AB57" s="189">
        <f t="shared" si="120"/>
        <v>0</v>
      </c>
      <c r="AC57" s="250">
        <f t="shared" si="121"/>
        <v>0</v>
      </c>
      <c r="AD57" s="250">
        <f t="shared" si="122"/>
        <v>0</v>
      </c>
      <c r="AE57" s="188"/>
      <c r="AF57" s="188">
        <f t="shared" si="217"/>
        <v>0</v>
      </c>
      <c r="AG57" s="187"/>
      <c r="AH57" s="187"/>
      <c r="AI57" s="188">
        <v>0</v>
      </c>
      <c r="AJ57" s="188">
        <f t="shared" si="218"/>
        <v>0</v>
      </c>
      <c r="AK57" s="188"/>
      <c r="AL57" s="188">
        <v>0</v>
      </c>
      <c r="AM57" s="188">
        <v>0</v>
      </c>
      <c r="AN57" s="217"/>
      <c r="AO57" s="196">
        <f t="shared" si="123"/>
        <v>0</v>
      </c>
      <c r="AP57" s="195"/>
      <c r="AQ57" s="195"/>
      <c r="AR57" s="195"/>
      <c r="AS57" s="195"/>
      <c r="AT57" s="195"/>
      <c r="AU57" s="195"/>
      <c r="AV57" s="195"/>
      <c r="AW57" s="195"/>
      <c r="AX57" s="195"/>
      <c r="AY57" s="195"/>
      <c r="AZ57" s="195"/>
      <c r="BA57" s="195"/>
      <c r="BB57" s="188">
        <f t="shared" si="219"/>
        <v>0</v>
      </c>
      <c r="BC57" s="195"/>
      <c r="BD57" s="196"/>
      <c r="BE57" s="188">
        <f t="shared" si="220"/>
        <v>0</v>
      </c>
      <c r="BF57" s="188">
        <f t="shared" si="221"/>
        <v>0</v>
      </c>
      <c r="BG57" s="188">
        <f t="shared" si="222"/>
        <v>0</v>
      </c>
      <c r="BH57" s="188">
        <f t="shared" si="223"/>
        <v>0</v>
      </c>
      <c r="BI57" s="188">
        <f t="shared" si="224"/>
        <v>0</v>
      </c>
      <c r="BJ57" s="188">
        <f t="shared" si="225"/>
        <v>0</v>
      </c>
      <c r="BK57" s="188">
        <f t="shared" si="124"/>
        <v>0</v>
      </c>
      <c r="BL57" s="195"/>
      <c r="BM57" s="195"/>
      <c r="BN57" s="277"/>
      <c r="BO57" s="283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95"/>
      <c r="CB57" s="188">
        <v>0</v>
      </c>
      <c r="CC57" s="195"/>
      <c r="CD57" s="189">
        <f t="shared" si="125"/>
        <v>0</v>
      </c>
      <c r="CE57" s="189">
        <f t="shared" si="191"/>
        <v>0</v>
      </c>
      <c r="CF57" s="189">
        <f t="shared" si="126"/>
        <v>0</v>
      </c>
      <c r="CG57" s="189">
        <f t="shared" si="127"/>
        <v>0</v>
      </c>
      <c r="CH57" s="189">
        <f t="shared" si="128"/>
        <v>0</v>
      </c>
      <c r="CI57" s="189">
        <f t="shared" si="129"/>
        <v>0</v>
      </c>
      <c r="CJ57" s="189">
        <f t="shared" si="130"/>
        <v>0</v>
      </c>
      <c r="CK57" s="189">
        <f t="shared" si="131"/>
        <v>0</v>
      </c>
      <c r="CL57" s="189">
        <f t="shared" si="132"/>
        <v>0</v>
      </c>
      <c r="CM57" s="189">
        <f t="shared" si="133"/>
        <v>0</v>
      </c>
      <c r="CN57" s="189">
        <f t="shared" si="134"/>
        <v>0</v>
      </c>
      <c r="CO57" s="189">
        <f t="shared" si="135"/>
        <v>0</v>
      </c>
      <c r="CP57" s="189">
        <f t="shared" si="136"/>
        <v>0</v>
      </c>
      <c r="CQ57" s="195"/>
      <c r="CR57" s="195"/>
      <c r="CS57" s="195"/>
      <c r="CT57" s="195"/>
      <c r="CU57" s="195"/>
      <c r="CV57" s="195"/>
      <c r="CW57" s="195"/>
      <c r="CX57" s="195"/>
      <c r="CY57" s="195"/>
      <c r="CZ57" s="195"/>
      <c r="DA57" s="195"/>
      <c r="DB57" s="195"/>
      <c r="DC57" s="195"/>
      <c r="DD57" s="195"/>
      <c r="DE57" s="195"/>
      <c r="DF57" s="195"/>
      <c r="DG57" s="195"/>
      <c r="DH57" s="195"/>
      <c r="DI57" s="195"/>
      <c r="DJ57" s="195"/>
      <c r="DK57" s="195"/>
      <c r="DL57" s="195"/>
      <c r="DM57" s="195"/>
      <c r="DN57" s="195"/>
      <c r="DO57" s="195"/>
      <c r="DP57" s="195"/>
      <c r="DQ57" s="195"/>
      <c r="DR57" s="195"/>
      <c r="DS57" s="195"/>
      <c r="DT57" s="195"/>
      <c r="DU57" s="195"/>
      <c r="DV57" s="189">
        <f t="shared" si="226"/>
        <v>0</v>
      </c>
      <c r="DW57" s="189">
        <f t="shared" si="227"/>
        <v>0</v>
      </c>
      <c r="DX57" s="189">
        <f t="shared" si="228"/>
        <v>0</v>
      </c>
      <c r="DY57" s="189">
        <f t="shared" si="229"/>
        <v>0</v>
      </c>
      <c r="DZ57" s="189">
        <f t="shared" si="230"/>
        <v>0</v>
      </c>
      <c r="EA57" s="189">
        <f t="shared" si="231"/>
        <v>0</v>
      </c>
      <c r="EB57" s="189">
        <f t="shared" si="137"/>
        <v>0</v>
      </c>
      <c r="EC57" s="195"/>
      <c r="ED57" s="195"/>
      <c r="EE57" s="195"/>
      <c r="EF57" s="195"/>
      <c r="EG57" s="252">
        <f t="shared" si="138"/>
        <v>0</v>
      </c>
      <c r="EH57" s="252">
        <f t="shared" si="139"/>
        <v>0</v>
      </c>
      <c r="EI57" s="189"/>
      <c r="EJ57" s="189"/>
      <c r="EK57" s="189"/>
      <c r="EL57" s="189"/>
      <c r="EM57" s="189"/>
      <c r="EN57" s="189"/>
      <c r="EO57" s="189"/>
      <c r="EP57" s="189"/>
      <c r="EQ57" s="189"/>
      <c r="ER57" s="189"/>
      <c r="ES57" s="189"/>
      <c r="ET57" s="189"/>
      <c r="EU57" s="189"/>
      <c r="EV57" s="189"/>
      <c r="EW57" s="189"/>
      <c r="EX57" s="189"/>
      <c r="EY57" s="189"/>
      <c r="EZ57" s="189"/>
      <c r="FA57" s="189"/>
      <c r="FB57" s="189"/>
      <c r="FC57" s="189"/>
      <c r="FD57" s="189"/>
      <c r="FE57" s="189"/>
      <c r="FF57" s="189"/>
      <c r="FG57" s="195"/>
      <c r="FH57" s="189"/>
      <c r="FI57" s="189"/>
      <c r="FJ57" s="189"/>
      <c r="FK57" s="189"/>
      <c r="FL57" s="189"/>
      <c r="FM57" s="189"/>
      <c r="FN57" s="189"/>
      <c r="FO57" s="189"/>
      <c r="FP57" s="189"/>
      <c r="FQ57" s="189"/>
      <c r="FR57" s="189"/>
      <c r="FS57" s="189"/>
      <c r="FT57" s="189"/>
      <c r="FU57" s="189"/>
      <c r="FV57" s="189"/>
      <c r="FW57" s="195"/>
      <c r="FX57" s="253"/>
      <c r="FY57" s="189">
        <f t="shared" si="140"/>
        <v>0</v>
      </c>
      <c r="FZ57" s="189">
        <f t="shared" si="324"/>
        <v>0</v>
      </c>
      <c r="GA57" s="189">
        <f t="shared" si="325"/>
        <v>0</v>
      </c>
      <c r="GB57" s="189">
        <f t="shared" si="326"/>
        <v>0</v>
      </c>
      <c r="GC57" s="189">
        <f t="shared" si="327"/>
        <v>0</v>
      </c>
      <c r="GD57" s="189">
        <f t="shared" si="328"/>
        <v>0</v>
      </c>
      <c r="GE57" s="189">
        <f t="shared" si="329"/>
        <v>0</v>
      </c>
      <c r="GF57" s="199"/>
      <c r="GG57" s="189">
        <v>0</v>
      </c>
      <c r="GH57" s="189">
        <v>0</v>
      </c>
      <c r="GI57" s="199"/>
      <c r="GJ57" s="200">
        <f t="shared" si="141"/>
        <v>0</v>
      </c>
      <c r="GK57" s="200">
        <f t="shared" si="142"/>
        <v>0</v>
      </c>
      <c r="GL57" s="195"/>
      <c r="GM57" s="195"/>
      <c r="GN57" s="195"/>
      <c r="GO57" s="189">
        <f t="shared" si="246"/>
        <v>0</v>
      </c>
      <c r="GP57" s="189">
        <f t="shared" si="247"/>
        <v>0</v>
      </c>
      <c r="GQ57" s="189">
        <f t="shared" si="248"/>
        <v>0</v>
      </c>
      <c r="GR57" s="189">
        <f t="shared" si="249"/>
        <v>0</v>
      </c>
      <c r="GS57" s="189">
        <f t="shared" si="250"/>
        <v>0</v>
      </c>
      <c r="GT57" s="189">
        <f t="shared" si="143"/>
        <v>1</v>
      </c>
      <c r="GU57" s="201">
        <f t="shared" si="144"/>
        <v>43243</v>
      </c>
      <c r="GV57" s="189" t="str">
        <f t="shared" si="145"/>
        <v>SELESAI</v>
      </c>
      <c r="GW57" s="189">
        <f t="shared" si="146"/>
        <v>0</v>
      </c>
      <c r="GX57" s="202" t="str">
        <f t="shared" si="147"/>
        <v>SELESAI</v>
      </c>
      <c r="GY57" s="202">
        <f t="shared" si="148"/>
        <v>0</v>
      </c>
      <c r="GZ57" s="203" t="str">
        <f t="shared" si="149"/>
        <v>SELESAI</v>
      </c>
      <c r="HA57" s="204"/>
      <c r="HB57" s="204"/>
      <c r="HC57" s="189">
        <f t="shared" si="251"/>
        <v>0</v>
      </c>
      <c r="HD57" s="189">
        <f t="shared" si="252"/>
        <v>0</v>
      </c>
      <c r="HE57" s="189">
        <f t="shared" si="150"/>
        <v>0</v>
      </c>
      <c r="HF57" s="189">
        <f t="shared" si="151"/>
        <v>0</v>
      </c>
      <c r="HG57" s="189">
        <f t="shared" si="152"/>
        <v>0</v>
      </c>
      <c r="HH57" s="201" t="str">
        <f t="shared" si="46"/>
        <v>TIDAK KONSINYASI</v>
      </c>
      <c r="HI57" s="201" t="str">
        <f t="shared" si="153"/>
        <v>SELESAI</v>
      </c>
      <c r="HJ57" s="205"/>
      <c r="HK57" s="201">
        <f t="shared" si="47"/>
        <v>0</v>
      </c>
      <c r="HL57" s="204"/>
      <c r="HM57" s="204"/>
      <c r="HN57" s="204"/>
      <c r="HO57" s="204"/>
      <c r="HP57" s="203">
        <f t="shared" si="154"/>
        <v>0</v>
      </c>
      <c r="HQ57" s="202">
        <f t="shared" si="155"/>
        <v>0</v>
      </c>
      <c r="HR57" s="202">
        <f t="shared" si="253"/>
        <v>0</v>
      </c>
      <c r="HS57" s="203">
        <f t="shared" si="156"/>
        <v>0</v>
      </c>
      <c r="HT57" s="202">
        <f t="shared" si="157"/>
        <v>0</v>
      </c>
      <c r="HU57" s="202">
        <f t="shared" si="254"/>
        <v>0</v>
      </c>
      <c r="HV57" s="203">
        <f t="shared" si="158"/>
        <v>0</v>
      </c>
      <c r="HW57" s="202">
        <f t="shared" si="50"/>
        <v>0</v>
      </c>
      <c r="HX57" s="202">
        <f t="shared" si="255"/>
        <v>0</v>
      </c>
      <c r="HY57" s="203">
        <f t="shared" si="52"/>
        <v>0</v>
      </c>
      <c r="HZ57" s="202">
        <f t="shared" si="159"/>
        <v>0</v>
      </c>
      <c r="IA57" s="202">
        <f t="shared" si="256"/>
        <v>0</v>
      </c>
      <c r="IB57" s="203">
        <f t="shared" si="160"/>
        <v>0</v>
      </c>
      <c r="IC57" s="202">
        <f t="shared" si="54"/>
        <v>0</v>
      </c>
      <c r="ID57" s="202">
        <f t="shared" si="257"/>
        <v>0</v>
      </c>
      <c r="IE57" s="203">
        <f t="shared" si="56"/>
        <v>0</v>
      </c>
      <c r="IF57" s="202">
        <f t="shared" si="57"/>
        <v>0</v>
      </c>
      <c r="IG57" s="202">
        <f t="shared" si="258"/>
        <v>0</v>
      </c>
      <c r="IH57" s="203">
        <f t="shared" si="161"/>
        <v>0</v>
      </c>
      <c r="II57" s="202">
        <f t="shared" si="162"/>
        <v>0</v>
      </c>
      <c r="IJ57" s="202">
        <f t="shared" si="259"/>
        <v>0</v>
      </c>
      <c r="IK57" s="203">
        <f t="shared" si="60"/>
        <v>0</v>
      </c>
      <c r="IL57" s="202">
        <f t="shared" si="61"/>
        <v>0</v>
      </c>
      <c r="IM57" s="202">
        <f t="shared" si="260"/>
        <v>0</v>
      </c>
      <c r="IN57" s="204"/>
      <c r="IO57" s="203">
        <f t="shared" si="63"/>
        <v>0</v>
      </c>
      <c r="IP57" s="202">
        <f t="shared" si="261"/>
        <v>0</v>
      </c>
      <c r="IQ57" s="202">
        <f t="shared" si="262"/>
        <v>0</v>
      </c>
      <c r="IR57" s="204"/>
      <c r="IS57" s="203"/>
      <c r="IT57" s="202">
        <f t="shared" si="263"/>
        <v>1</v>
      </c>
      <c r="IU57" s="202">
        <f t="shared" si="264"/>
        <v>32</v>
      </c>
      <c r="IV57" s="204"/>
      <c r="IW57" s="203"/>
      <c r="IX57" s="202">
        <f t="shared" si="265"/>
        <v>0</v>
      </c>
      <c r="IY57" s="202">
        <f t="shared" si="266"/>
        <v>0</v>
      </c>
      <c r="IZ57" s="204"/>
      <c r="JA57" s="203"/>
      <c r="JB57" s="202">
        <f t="shared" si="267"/>
        <v>0</v>
      </c>
      <c r="JC57" s="202">
        <f t="shared" si="268"/>
        <v>0</v>
      </c>
      <c r="JD57" s="204"/>
      <c r="JE57" s="203"/>
      <c r="JF57" s="202">
        <f t="shared" si="163"/>
        <v>1</v>
      </c>
      <c r="JG57" s="202">
        <f t="shared" si="72"/>
        <v>32</v>
      </c>
      <c r="JH57" s="204"/>
      <c r="JI57" s="203"/>
      <c r="JJ57" s="202">
        <f t="shared" si="269"/>
        <v>0</v>
      </c>
      <c r="JK57" s="202">
        <f t="shared" si="270"/>
        <v>0</v>
      </c>
      <c r="JL57" s="195"/>
      <c r="JM57" s="203">
        <f t="shared" si="164"/>
        <v>0</v>
      </c>
      <c r="JN57" s="195"/>
      <c r="JO57" s="196">
        <f t="shared" si="75"/>
        <v>0</v>
      </c>
      <c r="JP57" s="206">
        <f t="shared" si="271"/>
        <v>0</v>
      </c>
      <c r="JQ57" s="206">
        <f t="shared" si="272"/>
        <v>0</v>
      </c>
      <c r="JR57" s="206">
        <f t="shared" si="273"/>
        <v>0</v>
      </c>
      <c r="JS57" s="206">
        <f t="shared" si="274"/>
        <v>0</v>
      </c>
      <c r="JT57" s="206">
        <f t="shared" si="275"/>
        <v>0</v>
      </c>
      <c r="JU57" s="206">
        <f t="shared" si="276"/>
        <v>0</v>
      </c>
      <c r="JV57" s="206">
        <f t="shared" si="277"/>
        <v>0</v>
      </c>
      <c r="JW57" s="206">
        <f t="shared" si="278"/>
        <v>0</v>
      </c>
      <c r="JX57" s="206">
        <f t="shared" si="279"/>
        <v>0</v>
      </c>
      <c r="JY57" s="206">
        <f t="shared" si="280"/>
        <v>0</v>
      </c>
      <c r="JZ57" s="206">
        <f t="shared" si="281"/>
        <v>0</v>
      </c>
      <c r="KA57" s="206">
        <f t="shared" si="282"/>
        <v>0</v>
      </c>
      <c r="KB57" s="206">
        <f t="shared" si="283"/>
        <v>0</v>
      </c>
      <c r="KC57" s="195"/>
      <c r="KD57" s="206">
        <f t="shared" si="165"/>
        <v>0</v>
      </c>
      <c r="KE57" s="206">
        <f t="shared" si="90"/>
        <v>0</v>
      </c>
      <c r="KF57" s="206">
        <f t="shared" si="284"/>
        <v>0</v>
      </c>
      <c r="KG57" s="206">
        <f t="shared" si="285"/>
        <v>0</v>
      </c>
      <c r="KH57" s="206">
        <f t="shared" si="286"/>
        <v>0</v>
      </c>
      <c r="KI57" s="206">
        <f t="shared" si="287"/>
        <v>0</v>
      </c>
      <c r="KJ57" s="206">
        <f t="shared" si="288"/>
        <v>0</v>
      </c>
      <c r="KK57" s="206">
        <f t="shared" si="289"/>
        <v>0</v>
      </c>
      <c r="KL57" s="206">
        <f t="shared" si="290"/>
        <v>0</v>
      </c>
      <c r="KM57" s="206">
        <f t="shared" si="291"/>
        <v>0</v>
      </c>
      <c r="KN57" s="221">
        <f t="shared" si="292"/>
        <v>0</v>
      </c>
      <c r="KO57" s="221">
        <f t="shared" si="293"/>
        <v>0</v>
      </c>
      <c r="KP57" s="221">
        <f t="shared" si="294"/>
        <v>0</v>
      </c>
      <c r="KQ57" s="221">
        <f t="shared" si="295"/>
        <v>0</v>
      </c>
      <c r="KR57" s="221">
        <f t="shared" si="296"/>
        <v>0</v>
      </c>
      <c r="KS57" s="195"/>
      <c r="KT57" s="195">
        <f t="shared" si="297"/>
        <v>0</v>
      </c>
      <c r="KU57" s="221"/>
      <c r="KV57" s="221"/>
      <c r="KW57" s="221"/>
      <c r="KX57" s="221"/>
      <c r="KY57" s="221"/>
      <c r="KZ57" s="221"/>
      <c r="LA57" s="221"/>
      <c r="LB57" s="221"/>
      <c r="LC57" s="221"/>
      <c r="LD57" s="221"/>
      <c r="LE57" s="221"/>
      <c r="LF57" s="221"/>
      <c r="LG57" s="221"/>
      <c r="LH57" s="221"/>
      <c r="LI57" s="221"/>
      <c r="LJ57" s="221"/>
      <c r="LK57" s="221"/>
      <c r="LL57" s="221"/>
      <c r="LM57" s="221"/>
      <c r="LN57" s="221"/>
      <c r="LO57" s="221"/>
      <c r="LP57" s="221"/>
      <c r="LQ57" s="221"/>
      <c r="LR57" s="221"/>
      <c r="LS57" s="221"/>
      <c r="LT57" s="221"/>
      <c r="LU57" s="221"/>
      <c r="LV57" s="221"/>
      <c r="LW57" s="221"/>
      <c r="LX57" s="221"/>
      <c r="LY57" s="221"/>
      <c r="LZ57" s="221"/>
      <c r="MA57" s="221"/>
      <c r="MB57" s="221"/>
      <c r="MC57" s="221"/>
      <c r="MD57" s="221"/>
      <c r="ME57" s="221"/>
      <c r="MF57" s="221"/>
      <c r="MG57" s="221"/>
      <c r="MH57" s="221"/>
      <c r="MI57" s="221"/>
      <c r="MJ57" s="221"/>
      <c r="MK57" s="221"/>
      <c r="ML57" s="221"/>
      <c r="MM57" s="221"/>
      <c r="MN57" s="221"/>
      <c r="MO57" s="221"/>
      <c r="MP57" s="221"/>
      <c r="MQ57" s="221"/>
      <c r="MR57" s="221"/>
      <c r="MS57" s="221"/>
      <c r="MT57" s="221"/>
      <c r="MU57" s="221"/>
      <c r="MV57" s="221"/>
      <c r="MW57" s="221"/>
      <c r="MX57" s="221"/>
      <c r="MY57" s="221"/>
      <c r="MZ57" s="221"/>
      <c r="NA57" s="221"/>
      <c r="NB57" s="221"/>
      <c r="NC57" s="221"/>
      <c r="ND57" s="221"/>
      <c r="NE57" s="221"/>
      <c r="NF57" s="221"/>
      <c r="NG57" s="221"/>
      <c r="NH57" s="221"/>
      <c r="NI57" s="221"/>
      <c r="NJ57" s="221"/>
      <c r="NK57" s="221"/>
      <c r="NL57" s="195"/>
      <c r="NM57" s="195">
        <f t="shared" si="166"/>
        <v>0</v>
      </c>
      <c r="NN57" s="195">
        <f t="shared" si="167"/>
        <v>0</v>
      </c>
      <c r="NO57" s="195">
        <f t="shared" si="168"/>
        <v>0</v>
      </c>
      <c r="NP57" s="195">
        <f t="shared" si="169"/>
        <v>0</v>
      </c>
      <c r="NQ57" s="195">
        <f t="shared" si="170"/>
        <v>0</v>
      </c>
      <c r="NR57" s="195">
        <f t="shared" si="171"/>
        <v>0</v>
      </c>
      <c r="NS57" s="195">
        <f t="shared" si="172"/>
        <v>0</v>
      </c>
      <c r="NT57" s="195">
        <f t="shared" si="173"/>
        <v>0</v>
      </c>
      <c r="NU57" s="196">
        <f t="shared" si="174"/>
        <v>0</v>
      </c>
      <c r="NV57" s="195"/>
      <c r="NW57" s="195"/>
      <c r="NX57" s="195"/>
      <c r="NY57" s="196">
        <f t="shared" si="232"/>
        <v>1</v>
      </c>
      <c r="NZ57" s="222">
        <f>266560000/32</f>
        <v>8330000</v>
      </c>
      <c r="OA57" s="195"/>
      <c r="OB57" s="195"/>
      <c r="OC57" s="195"/>
      <c r="OD57" s="195"/>
      <c r="OE57" s="207">
        <f t="shared" si="233"/>
        <v>0</v>
      </c>
      <c r="OF57" s="207">
        <f t="shared" si="234"/>
        <v>0</v>
      </c>
      <c r="OG57" s="207">
        <f t="shared" si="235"/>
        <v>0</v>
      </c>
      <c r="OH57" s="207">
        <f t="shared" si="175"/>
        <v>0</v>
      </c>
      <c r="OI57" s="207">
        <f t="shared" si="236"/>
        <v>0</v>
      </c>
      <c r="OJ57" s="199">
        <f t="shared" si="176"/>
        <v>0</v>
      </c>
      <c r="OK57" s="199">
        <f t="shared" si="177"/>
        <v>0</v>
      </c>
      <c r="OL57" s="199">
        <f t="shared" si="178"/>
        <v>0</v>
      </c>
      <c r="OM57" s="199">
        <f t="shared" si="179"/>
        <v>0</v>
      </c>
      <c r="ON57" s="195"/>
      <c r="OO57" s="207">
        <f t="shared" si="237"/>
        <v>0</v>
      </c>
      <c r="OP57" s="207">
        <f t="shared" si="238"/>
        <v>0</v>
      </c>
      <c r="OQ57" s="207">
        <f t="shared" si="180"/>
        <v>0</v>
      </c>
      <c r="OR57" s="207">
        <f t="shared" si="181"/>
        <v>0</v>
      </c>
      <c r="OS57" s="207">
        <f t="shared" si="182"/>
        <v>0</v>
      </c>
      <c r="OT57" s="199">
        <f t="shared" si="183"/>
        <v>0</v>
      </c>
      <c r="OU57" s="199">
        <f t="shared" si="184"/>
        <v>0</v>
      </c>
      <c r="OV57" s="199">
        <f t="shared" si="185"/>
        <v>0</v>
      </c>
      <c r="OW57" s="199">
        <f t="shared" si="186"/>
        <v>0</v>
      </c>
      <c r="OX57" s="195"/>
      <c r="OY57" s="195"/>
      <c r="OZ57" s="195"/>
      <c r="PA57" s="209"/>
      <c r="PB57" s="209"/>
      <c r="PC57" s="209"/>
      <c r="PD57" s="210">
        <f t="shared" si="113"/>
        <v>0</v>
      </c>
      <c r="PE57" s="210"/>
      <c r="PF57" s="210">
        <f t="shared" si="114"/>
        <v>0</v>
      </c>
      <c r="PG57" s="210">
        <f t="shared" si="302"/>
        <v>0</v>
      </c>
      <c r="PH57" s="210">
        <f t="shared" si="302"/>
        <v>0</v>
      </c>
      <c r="PI57" s="210">
        <f t="shared" si="302"/>
        <v>0</v>
      </c>
      <c r="PJ57" s="210">
        <f t="shared" si="300"/>
        <v>0</v>
      </c>
      <c r="PK57" s="210">
        <f t="shared" si="300"/>
        <v>0</v>
      </c>
      <c r="PL57" s="210">
        <f t="shared" si="300"/>
        <v>0</v>
      </c>
      <c r="PM57" s="195"/>
      <c r="PN57" s="195"/>
      <c r="PO57" s="212">
        <f t="shared" si="187"/>
        <v>0</v>
      </c>
      <c r="PP57" s="212">
        <f t="shared" si="188"/>
        <v>0</v>
      </c>
      <c r="PQ57" s="212">
        <f t="shared" si="189"/>
        <v>0</v>
      </c>
    </row>
    <row r="58" spans="1:433 16383:16383" ht="16" x14ac:dyDescent="0.2">
      <c r="A58" s="213">
        <f t="shared" ref="A58" si="330">A57+1</f>
        <v>49</v>
      </c>
      <c r="B58" s="186" t="s">
        <v>127</v>
      </c>
      <c r="C58" s="186">
        <v>51</v>
      </c>
      <c r="D58" s="188">
        <v>1</v>
      </c>
      <c r="E58" s="188">
        <v>27</v>
      </c>
      <c r="F58" s="188">
        <v>1</v>
      </c>
      <c r="G58" s="188">
        <f t="shared" si="239"/>
        <v>27</v>
      </c>
      <c r="H58" s="214">
        <f t="shared" si="203"/>
        <v>1</v>
      </c>
      <c r="I58" s="214">
        <f t="shared" si="204"/>
        <v>1</v>
      </c>
      <c r="J58" s="188">
        <v>1</v>
      </c>
      <c r="K58" s="188">
        <f t="shared" si="205"/>
        <v>27</v>
      </c>
      <c r="L58" s="214">
        <f t="shared" si="206"/>
        <v>1</v>
      </c>
      <c r="M58" s="214">
        <f t="shared" si="207"/>
        <v>1</v>
      </c>
      <c r="N58" s="188">
        <v>1</v>
      </c>
      <c r="O58" s="188">
        <f t="shared" si="208"/>
        <v>27</v>
      </c>
      <c r="P58" s="214">
        <f t="shared" si="209"/>
        <v>1</v>
      </c>
      <c r="Q58" s="214">
        <f t="shared" si="210"/>
        <v>1</v>
      </c>
      <c r="R58" s="188">
        <v>1</v>
      </c>
      <c r="S58" s="188">
        <f t="shared" si="211"/>
        <v>27</v>
      </c>
      <c r="T58" s="214">
        <f t="shared" si="212"/>
        <v>1</v>
      </c>
      <c r="U58" s="214">
        <f t="shared" si="213"/>
        <v>1</v>
      </c>
      <c r="V58" s="188">
        <v>1</v>
      </c>
      <c r="W58" s="188">
        <f t="shared" si="214"/>
        <v>27</v>
      </c>
      <c r="X58" s="214">
        <f t="shared" si="215"/>
        <v>1</v>
      </c>
      <c r="Y58" s="214">
        <f t="shared" si="216"/>
        <v>1</v>
      </c>
      <c r="Z58" s="224">
        <f>950122000/1000000000</f>
        <v>0.95012200000000002</v>
      </c>
      <c r="AA58" s="188"/>
      <c r="AB58" s="189">
        <f t="shared" si="120"/>
        <v>0</v>
      </c>
      <c r="AC58" s="250">
        <f t="shared" si="121"/>
        <v>0</v>
      </c>
      <c r="AD58" s="250">
        <f t="shared" si="122"/>
        <v>0</v>
      </c>
      <c r="AE58" s="188"/>
      <c r="AF58" s="188">
        <f t="shared" si="217"/>
        <v>0</v>
      </c>
      <c r="AG58" s="187"/>
      <c r="AH58" s="187"/>
      <c r="AI58" s="188">
        <v>0</v>
      </c>
      <c r="AJ58" s="188">
        <f t="shared" si="218"/>
        <v>0</v>
      </c>
      <c r="AK58" s="188"/>
      <c r="AL58" s="188">
        <v>0</v>
      </c>
      <c r="AM58" s="188">
        <v>0</v>
      </c>
      <c r="AN58" s="217"/>
      <c r="AO58" s="196">
        <f t="shared" si="123"/>
        <v>0</v>
      </c>
      <c r="AP58" s="195"/>
      <c r="AQ58" s="195"/>
      <c r="AR58" s="195"/>
      <c r="AS58" s="195"/>
      <c r="AT58" s="195"/>
      <c r="AU58" s="195"/>
      <c r="AV58" s="195"/>
      <c r="AW58" s="195"/>
      <c r="AX58" s="195"/>
      <c r="AY58" s="195"/>
      <c r="AZ58" s="195"/>
      <c r="BA58" s="195"/>
      <c r="BB58" s="188">
        <f t="shared" si="219"/>
        <v>0</v>
      </c>
      <c r="BC58" s="195"/>
      <c r="BD58" s="196"/>
      <c r="BE58" s="188">
        <f t="shared" si="220"/>
        <v>0</v>
      </c>
      <c r="BF58" s="188">
        <f t="shared" si="221"/>
        <v>0</v>
      </c>
      <c r="BG58" s="188">
        <f t="shared" si="222"/>
        <v>0</v>
      </c>
      <c r="BH58" s="188">
        <f t="shared" si="223"/>
        <v>0</v>
      </c>
      <c r="BI58" s="188">
        <f t="shared" si="224"/>
        <v>0</v>
      </c>
      <c r="BJ58" s="188">
        <f t="shared" si="225"/>
        <v>0</v>
      </c>
      <c r="BK58" s="188">
        <f t="shared" si="124"/>
        <v>0</v>
      </c>
      <c r="BL58" s="195"/>
      <c r="BM58" s="195"/>
      <c r="BN58" s="277"/>
      <c r="BO58" s="283"/>
      <c r="BP58" s="188"/>
      <c r="BQ58" s="188"/>
      <c r="BR58" s="188"/>
      <c r="BS58" s="188"/>
      <c r="BT58" s="188"/>
      <c r="BU58" s="188"/>
      <c r="BV58" s="188"/>
      <c r="BW58" s="188"/>
      <c r="BX58" s="188"/>
      <c r="BY58" s="188"/>
      <c r="BZ58" s="188"/>
      <c r="CA58" s="195"/>
      <c r="CB58" s="188">
        <v>0</v>
      </c>
      <c r="CC58" s="195"/>
      <c r="CD58" s="189">
        <f t="shared" si="125"/>
        <v>0</v>
      </c>
      <c r="CE58" s="189">
        <f t="shared" si="191"/>
        <v>0</v>
      </c>
      <c r="CF58" s="189">
        <f t="shared" si="126"/>
        <v>0</v>
      </c>
      <c r="CG58" s="189">
        <f t="shared" si="127"/>
        <v>0</v>
      </c>
      <c r="CH58" s="189">
        <f t="shared" si="128"/>
        <v>0</v>
      </c>
      <c r="CI58" s="189">
        <f t="shared" si="129"/>
        <v>0</v>
      </c>
      <c r="CJ58" s="189">
        <f t="shared" si="130"/>
        <v>0</v>
      </c>
      <c r="CK58" s="189">
        <f t="shared" si="131"/>
        <v>0</v>
      </c>
      <c r="CL58" s="189">
        <f t="shared" si="132"/>
        <v>0</v>
      </c>
      <c r="CM58" s="189">
        <f t="shared" si="133"/>
        <v>0</v>
      </c>
      <c r="CN58" s="189">
        <f t="shared" si="134"/>
        <v>0</v>
      </c>
      <c r="CO58" s="189">
        <f t="shared" si="135"/>
        <v>0</v>
      </c>
      <c r="CP58" s="189">
        <f t="shared" si="136"/>
        <v>0</v>
      </c>
      <c r="CQ58" s="195"/>
      <c r="CR58" s="195"/>
      <c r="CS58" s="195"/>
      <c r="CT58" s="195"/>
      <c r="CU58" s="195"/>
      <c r="CV58" s="195"/>
      <c r="CW58" s="195"/>
      <c r="CX58" s="195"/>
      <c r="CY58" s="195"/>
      <c r="CZ58" s="195"/>
      <c r="DA58" s="195"/>
      <c r="DB58" s="195"/>
      <c r="DC58" s="195"/>
      <c r="DD58" s="195"/>
      <c r="DE58" s="195"/>
      <c r="DF58" s="195"/>
      <c r="DG58" s="195"/>
      <c r="DH58" s="195"/>
      <c r="DI58" s="195"/>
      <c r="DJ58" s="195"/>
      <c r="DK58" s="195"/>
      <c r="DL58" s="195"/>
      <c r="DM58" s="195"/>
      <c r="DN58" s="195"/>
      <c r="DO58" s="195"/>
      <c r="DP58" s="195"/>
      <c r="DQ58" s="195"/>
      <c r="DR58" s="195"/>
      <c r="DS58" s="195"/>
      <c r="DT58" s="195"/>
      <c r="DU58" s="195"/>
      <c r="DV58" s="189">
        <f t="shared" si="226"/>
        <v>0</v>
      </c>
      <c r="DW58" s="189">
        <f t="shared" si="227"/>
        <v>0</v>
      </c>
      <c r="DX58" s="189">
        <f t="shared" si="228"/>
        <v>0</v>
      </c>
      <c r="DY58" s="189">
        <f t="shared" si="229"/>
        <v>0</v>
      </c>
      <c r="DZ58" s="189">
        <f t="shared" si="230"/>
        <v>0</v>
      </c>
      <c r="EA58" s="189">
        <f t="shared" si="231"/>
        <v>0</v>
      </c>
      <c r="EB58" s="189">
        <f t="shared" si="137"/>
        <v>0</v>
      </c>
      <c r="EC58" s="195"/>
      <c r="ED58" s="195"/>
      <c r="EE58" s="195"/>
      <c r="EF58" s="195"/>
      <c r="EG58" s="252">
        <f t="shared" si="138"/>
        <v>0</v>
      </c>
      <c r="EH58" s="252">
        <f t="shared" si="139"/>
        <v>0</v>
      </c>
      <c r="EI58" s="189"/>
      <c r="EJ58" s="189"/>
      <c r="EK58" s="189"/>
      <c r="EL58" s="189"/>
      <c r="EM58" s="189"/>
      <c r="EN58" s="189"/>
      <c r="EO58" s="189"/>
      <c r="EP58" s="189"/>
      <c r="EQ58" s="189"/>
      <c r="ER58" s="189"/>
      <c r="ES58" s="189"/>
      <c r="ET58" s="189"/>
      <c r="EU58" s="189"/>
      <c r="EV58" s="189"/>
      <c r="EW58" s="189"/>
      <c r="EX58" s="189"/>
      <c r="EY58" s="189"/>
      <c r="EZ58" s="189"/>
      <c r="FA58" s="189"/>
      <c r="FB58" s="189"/>
      <c r="FC58" s="189"/>
      <c r="FD58" s="189"/>
      <c r="FE58" s="189"/>
      <c r="FF58" s="189"/>
      <c r="FG58" s="195"/>
      <c r="FH58" s="189"/>
      <c r="FI58" s="189"/>
      <c r="FJ58" s="189"/>
      <c r="FK58" s="189"/>
      <c r="FL58" s="189"/>
      <c r="FM58" s="189"/>
      <c r="FN58" s="189"/>
      <c r="FO58" s="189"/>
      <c r="FP58" s="189"/>
      <c r="FQ58" s="189"/>
      <c r="FR58" s="189"/>
      <c r="FS58" s="189"/>
      <c r="FT58" s="189"/>
      <c r="FU58" s="189"/>
      <c r="FV58" s="189"/>
      <c r="FW58" s="195"/>
      <c r="FX58" s="253"/>
      <c r="FY58" s="189">
        <f t="shared" si="140"/>
        <v>0</v>
      </c>
      <c r="FZ58" s="189">
        <f t="shared" si="324"/>
        <v>0</v>
      </c>
      <c r="GA58" s="189">
        <f t="shared" si="325"/>
        <v>0</v>
      </c>
      <c r="GB58" s="189">
        <f t="shared" si="326"/>
        <v>0</v>
      </c>
      <c r="GC58" s="189">
        <f t="shared" si="327"/>
        <v>0</v>
      </c>
      <c r="GD58" s="189">
        <f t="shared" si="328"/>
        <v>0</v>
      </c>
      <c r="GE58" s="189">
        <f t="shared" si="329"/>
        <v>0</v>
      </c>
      <c r="GF58" s="199"/>
      <c r="GG58" s="189">
        <v>0</v>
      </c>
      <c r="GH58" s="189">
        <v>0</v>
      </c>
      <c r="GI58" s="199"/>
      <c r="GJ58" s="200">
        <f t="shared" si="141"/>
        <v>0</v>
      </c>
      <c r="GK58" s="200">
        <f t="shared" si="142"/>
        <v>0</v>
      </c>
      <c r="GL58" s="195"/>
      <c r="GM58" s="195"/>
      <c r="GN58" s="195"/>
      <c r="GO58" s="189">
        <f t="shared" si="246"/>
        <v>0</v>
      </c>
      <c r="GP58" s="189">
        <f t="shared" si="247"/>
        <v>0</v>
      </c>
      <c r="GQ58" s="189">
        <f t="shared" si="248"/>
        <v>0</v>
      </c>
      <c r="GR58" s="189">
        <f t="shared" si="249"/>
        <v>0</v>
      </c>
      <c r="GS58" s="189">
        <f t="shared" si="250"/>
        <v>0</v>
      </c>
      <c r="GT58" s="189">
        <f t="shared" si="143"/>
        <v>1</v>
      </c>
      <c r="GU58" s="201">
        <f t="shared" si="144"/>
        <v>43243</v>
      </c>
      <c r="GV58" s="189" t="str">
        <f t="shared" si="145"/>
        <v>SELESAI</v>
      </c>
      <c r="GW58" s="189">
        <f t="shared" si="146"/>
        <v>0</v>
      </c>
      <c r="GX58" s="202" t="str">
        <f t="shared" si="147"/>
        <v>SELESAI</v>
      </c>
      <c r="GY58" s="202">
        <f t="shared" si="148"/>
        <v>0</v>
      </c>
      <c r="GZ58" s="203" t="str">
        <f t="shared" si="149"/>
        <v>SELESAI</v>
      </c>
      <c r="HA58" s="204"/>
      <c r="HB58" s="204"/>
      <c r="HC58" s="189">
        <f t="shared" si="251"/>
        <v>0</v>
      </c>
      <c r="HD58" s="189">
        <f t="shared" si="252"/>
        <v>0</v>
      </c>
      <c r="HE58" s="189">
        <f t="shared" si="150"/>
        <v>0</v>
      </c>
      <c r="HF58" s="189">
        <f t="shared" si="151"/>
        <v>0</v>
      </c>
      <c r="HG58" s="189">
        <f t="shared" si="152"/>
        <v>0</v>
      </c>
      <c r="HH58" s="201" t="str">
        <f t="shared" si="46"/>
        <v>TIDAK KONSINYASI</v>
      </c>
      <c r="HI58" s="201" t="str">
        <f t="shared" si="153"/>
        <v>SELESAI</v>
      </c>
      <c r="HJ58" s="205"/>
      <c r="HK58" s="201">
        <f t="shared" si="47"/>
        <v>0</v>
      </c>
      <c r="HL58" s="204"/>
      <c r="HM58" s="204"/>
      <c r="HN58" s="204"/>
      <c r="HO58" s="204"/>
      <c r="HP58" s="203">
        <f t="shared" si="154"/>
        <v>0</v>
      </c>
      <c r="HQ58" s="202">
        <f t="shared" si="155"/>
        <v>0</v>
      </c>
      <c r="HR58" s="202">
        <f t="shared" si="253"/>
        <v>0</v>
      </c>
      <c r="HS58" s="203">
        <f t="shared" si="156"/>
        <v>0</v>
      </c>
      <c r="HT58" s="202">
        <f t="shared" si="157"/>
        <v>0</v>
      </c>
      <c r="HU58" s="202">
        <f t="shared" si="254"/>
        <v>0</v>
      </c>
      <c r="HV58" s="203">
        <f t="shared" si="158"/>
        <v>0</v>
      </c>
      <c r="HW58" s="202">
        <f t="shared" si="50"/>
        <v>0</v>
      </c>
      <c r="HX58" s="202">
        <f t="shared" si="255"/>
        <v>0</v>
      </c>
      <c r="HY58" s="203">
        <f t="shared" si="52"/>
        <v>0</v>
      </c>
      <c r="HZ58" s="202">
        <f t="shared" si="159"/>
        <v>0</v>
      </c>
      <c r="IA58" s="202">
        <f t="shared" si="256"/>
        <v>0</v>
      </c>
      <c r="IB58" s="203">
        <f t="shared" si="160"/>
        <v>0</v>
      </c>
      <c r="IC58" s="202">
        <f t="shared" si="54"/>
        <v>0</v>
      </c>
      <c r="ID58" s="202">
        <f t="shared" si="257"/>
        <v>0</v>
      </c>
      <c r="IE58" s="203">
        <f t="shared" si="56"/>
        <v>0</v>
      </c>
      <c r="IF58" s="202">
        <f t="shared" si="57"/>
        <v>0</v>
      </c>
      <c r="IG58" s="202">
        <f t="shared" si="258"/>
        <v>0</v>
      </c>
      <c r="IH58" s="203">
        <f t="shared" si="161"/>
        <v>0</v>
      </c>
      <c r="II58" s="202">
        <f t="shared" si="162"/>
        <v>0</v>
      </c>
      <c r="IJ58" s="202">
        <f t="shared" si="259"/>
        <v>0</v>
      </c>
      <c r="IK58" s="203">
        <f t="shared" si="60"/>
        <v>0</v>
      </c>
      <c r="IL58" s="202">
        <f t="shared" si="61"/>
        <v>0</v>
      </c>
      <c r="IM58" s="202">
        <f t="shared" si="260"/>
        <v>0</v>
      </c>
      <c r="IN58" s="204"/>
      <c r="IO58" s="203">
        <f t="shared" si="63"/>
        <v>0</v>
      </c>
      <c r="IP58" s="202">
        <f t="shared" si="261"/>
        <v>0</v>
      </c>
      <c r="IQ58" s="202">
        <f t="shared" si="262"/>
        <v>0</v>
      </c>
      <c r="IR58" s="204"/>
      <c r="IS58" s="203"/>
      <c r="IT58" s="202">
        <f t="shared" si="263"/>
        <v>1</v>
      </c>
      <c r="IU58" s="202">
        <f t="shared" si="264"/>
        <v>27</v>
      </c>
      <c r="IV58" s="204"/>
      <c r="IW58" s="203"/>
      <c r="IX58" s="202">
        <f t="shared" si="265"/>
        <v>0</v>
      </c>
      <c r="IY58" s="202">
        <f t="shared" si="266"/>
        <v>0</v>
      </c>
      <c r="IZ58" s="204"/>
      <c r="JA58" s="203"/>
      <c r="JB58" s="202">
        <f t="shared" si="267"/>
        <v>0</v>
      </c>
      <c r="JC58" s="202">
        <f t="shared" si="268"/>
        <v>0</v>
      </c>
      <c r="JD58" s="204"/>
      <c r="JE58" s="203"/>
      <c r="JF58" s="202">
        <f t="shared" si="163"/>
        <v>1</v>
      </c>
      <c r="JG58" s="202">
        <f t="shared" si="72"/>
        <v>27</v>
      </c>
      <c r="JH58" s="204"/>
      <c r="JI58" s="203"/>
      <c r="JJ58" s="202">
        <f t="shared" si="269"/>
        <v>0</v>
      </c>
      <c r="JK58" s="202">
        <f t="shared" si="270"/>
        <v>0</v>
      </c>
      <c r="JL58" s="195"/>
      <c r="JM58" s="203">
        <f t="shared" si="164"/>
        <v>0</v>
      </c>
      <c r="JN58" s="195"/>
      <c r="JO58" s="196">
        <f t="shared" si="75"/>
        <v>0</v>
      </c>
      <c r="JP58" s="206">
        <f t="shared" si="271"/>
        <v>0</v>
      </c>
      <c r="JQ58" s="206">
        <f t="shared" si="272"/>
        <v>0</v>
      </c>
      <c r="JR58" s="206">
        <f t="shared" si="273"/>
        <v>0</v>
      </c>
      <c r="JS58" s="206">
        <f t="shared" si="274"/>
        <v>0</v>
      </c>
      <c r="JT58" s="206">
        <f t="shared" si="275"/>
        <v>0</v>
      </c>
      <c r="JU58" s="206">
        <f t="shared" si="276"/>
        <v>0</v>
      </c>
      <c r="JV58" s="206">
        <f t="shared" si="277"/>
        <v>0</v>
      </c>
      <c r="JW58" s="206">
        <f t="shared" si="278"/>
        <v>0</v>
      </c>
      <c r="JX58" s="206">
        <f t="shared" si="279"/>
        <v>0</v>
      </c>
      <c r="JY58" s="206">
        <f t="shared" si="280"/>
        <v>0</v>
      </c>
      <c r="JZ58" s="206">
        <f t="shared" si="281"/>
        <v>0</v>
      </c>
      <c r="KA58" s="206">
        <f t="shared" si="282"/>
        <v>0</v>
      </c>
      <c r="KB58" s="206">
        <f t="shared" si="283"/>
        <v>0</v>
      </c>
      <c r="KC58" s="195"/>
      <c r="KD58" s="206">
        <f t="shared" si="165"/>
        <v>0</v>
      </c>
      <c r="KE58" s="206">
        <f t="shared" si="90"/>
        <v>0</v>
      </c>
      <c r="KF58" s="206">
        <f t="shared" si="284"/>
        <v>0</v>
      </c>
      <c r="KG58" s="206">
        <f t="shared" si="285"/>
        <v>0</v>
      </c>
      <c r="KH58" s="206">
        <f t="shared" si="286"/>
        <v>0</v>
      </c>
      <c r="KI58" s="206">
        <f t="shared" si="287"/>
        <v>0</v>
      </c>
      <c r="KJ58" s="206">
        <f t="shared" si="288"/>
        <v>0</v>
      </c>
      <c r="KK58" s="206">
        <f t="shared" si="289"/>
        <v>0</v>
      </c>
      <c r="KL58" s="206">
        <f t="shared" si="290"/>
        <v>0</v>
      </c>
      <c r="KM58" s="206">
        <f t="shared" si="291"/>
        <v>0</v>
      </c>
      <c r="KN58" s="221">
        <f t="shared" si="292"/>
        <v>0</v>
      </c>
      <c r="KO58" s="221">
        <f t="shared" si="293"/>
        <v>0</v>
      </c>
      <c r="KP58" s="221">
        <f t="shared" si="294"/>
        <v>0</v>
      </c>
      <c r="KQ58" s="221">
        <f t="shared" si="295"/>
        <v>0</v>
      </c>
      <c r="KR58" s="221">
        <f t="shared" si="296"/>
        <v>0</v>
      </c>
      <c r="KS58" s="195"/>
      <c r="KT58" s="195">
        <f t="shared" si="297"/>
        <v>0</v>
      </c>
      <c r="KU58" s="221"/>
      <c r="KV58" s="221"/>
      <c r="KW58" s="221"/>
      <c r="KX58" s="221"/>
      <c r="KY58" s="221"/>
      <c r="KZ58" s="221"/>
      <c r="LA58" s="221"/>
      <c r="LB58" s="221"/>
      <c r="LC58" s="221"/>
      <c r="LD58" s="221"/>
      <c r="LE58" s="221"/>
      <c r="LF58" s="221"/>
      <c r="LG58" s="221"/>
      <c r="LH58" s="221"/>
      <c r="LI58" s="221"/>
      <c r="LJ58" s="221"/>
      <c r="LK58" s="221"/>
      <c r="LL58" s="221"/>
      <c r="LM58" s="221"/>
      <c r="LN58" s="221"/>
      <c r="LO58" s="221"/>
      <c r="LP58" s="221"/>
      <c r="LQ58" s="221"/>
      <c r="LR58" s="221"/>
      <c r="LS58" s="221"/>
      <c r="LT58" s="221"/>
      <c r="LU58" s="221"/>
      <c r="LV58" s="221"/>
      <c r="LW58" s="221"/>
      <c r="LX58" s="221"/>
      <c r="LY58" s="221"/>
      <c r="LZ58" s="221"/>
      <c r="MA58" s="221"/>
      <c r="MB58" s="221"/>
      <c r="MC58" s="221"/>
      <c r="MD58" s="221"/>
      <c r="ME58" s="221"/>
      <c r="MF58" s="221"/>
      <c r="MG58" s="221"/>
      <c r="MH58" s="221"/>
      <c r="MI58" s="221"/>
      <c r="MJ58" s="221"/>
      <c r="MK58" s="221"/>
      <c r="ML58" s="221"/>
      <c r="MM58" s="221"/>
      <c r="MN58" s="221"/>
      <c r="MO58" s="221"/>
      <c r="MP58" s="221"/>
      <c r="MQ58" s="221"/>
      <c r="MR58" s="221"/>
      <c r="MS58" s="221"/>
      <c r="MT58" s="221"/>
      <c r="MU58" s="221"/>
      <c r="MV58" s="221"/>
      <c r="MW58" s="221"/>
      <c r="MX58" s="221"/>
      <c r="MY58" s="221"/>
      <c r="MZ58" s="221"/>
      <c r="NA58" s="221"/>
      <c r="NB58" s="221"/>
      <c r="NC58" s="221"/>
      <c r="ND58" s="221"/>
      <c r="NE58" s="221"/>
      <c r="NF58" s="221"/>
      <c r="NG58" s="221"/>
      <c r="NH58" s="221"/>
      <c r="NI58" s="221"/>
      <c r="NJ58" s="221"/>
      <c r="NK58" s="221"/>
      <c r="NL58" s="195"/>
      <c r="NM58" s="195">
        <f t="shared" si="166"/>
        <v>0</v>
      </c>
      <c r="NN58" s="195">
        <f t="shared" si="167"/>
        <v>0</v>
      </c>
      <c r="NO58" s="195">
        <f t="shared" si="168"/>
        <v>0</v>
      </c>
      <c r="NP58" s="195">
        <f t="shared" si="169"/>
        <v>0</v>
      </c>
      <c r="NQ58" s="195">
        <f t="shared" si="170"/>
        <v>0</v>
      </c>
      <c r="NR58" s="195">
        <f t="shared" si="171"/>
        <v>0</v>
      </c>
      <c r="NS58" s="195">
        <f t="shared" si="172"/>
        <v>0</v>
      </c>
      <c r="NT58" s="195">
        <f t="shared" si="173"/>
        <v>0</v>
      </c>
      <c r="NU58" s="196">
        <f t="shared" si="174"/>
        <v>0</v>
      </c>
      <c r="NV58" s="195"/>
      <c r="NW58" s="195"/>
      <c r="NX58" s="195"/>
      <c r="NY58" s="196">
        <f t="shared" si="232"/>
        <v>1</v>
      </c>
      <c r="NZ58" s="222">
        <f>266560000/32</f>
        <v>8330000</v>
      </c>
      <c r="OA58" s="195"/>
      <c r="OB58" s="195"/>
      <c r="OC58" s="195"/>
      <c r="OD58" s="195"/>
      <c r="OE58" s="207">
        <f t="shared" si="233"/>
        <v>0</v>
      </c>
      <c r="OF58" s="207">
        <f t="shared" si="234"/>
        <v>0</v>
      </c>
      <c r="OG58" s="207">
        <f t="shared" si="235"/>
        <v>0</v>
      </c>
      <c r="OH58" s="207">
        <f t="shared" si="175"/>
        <v>0</v>
      </c>
      <c r="OI58" s="207">
        <f t="shared" si="236"/>
        <v>0</v>
      </c>
      <c r="OJ58" s="199">
        <f t="shared" si="176"/>
        <v>0</v>
      </c>
      <c r="OK58" s="199">
        <f t="shared" si="177"/>
        <v>0</v>
      </c>
      <c r="OL58" s="199">
        <f t="shared" si="178"/>
        <v>0</v>
      </c>
      <c r="OM58" s="199">
        <f t="shared" si="179"/>
        <v>0</v>
      </c>
      <c r="ON58" s="195"/>
      <c r="OO58" s="207">
        <f t="shared" si="237"/>
        <v>0</v>
      </c>
      <c r="OP58" s="207">
        <f t="shared" si="238"/>
        <v>0</v>
      </c>
      <c r="OQ58" s="207">
        <f t="shared" si="180"/>
        <v>0</v>
      </c>
      <c r="OR58" s="207">
        <f t="shared" si="181"/>
        <v>0</v>
      </c>
      <c r="OS58" s="207">
        <f t="shared" si="182"/>
        <v>0</v>
      </c>
      <c r="OT58" s="199">
        <f t="shared" si="183"/>
        <v>0</v>
      </c>
      <c r="OU58" s="199">
        <f t="shared" si="184"/>
        <v>0</v>
      </c>
      <c r="OV58" s="199">
        <f t="shared" si="185"/>
        <v>0</v>
      </c>
      <c r="OW58" s="199">
        <f t="shared" si="186"/>
        <v>0</v>
      </c>
      <c r="OX58" s="195"/>
      <c r="OY58" s="195"/>
      <c r="OZ58" s="195"/>
      <c r="PA58" s="209"/>
      <c r="PB58" s="209"/>
      <c r="PC58" s="209"/>
      <c r="PD58" s="210">
        <f t="shared" si="113"/>
        <v>0</v>
      </c>
      <c r="PE58" s="210"/>
      <c r="PF58" s="210">
        <f t="shared" si="114"/>
        <v>0</v>
      </c>
      <c r="PG58" s="210">
        <f t="shared" si="302"/>
        <v>0</v>
      </c>
      <c r="PH58" s="210">
        <f t="shared" si="302"/>
        <v>0</v>
      </c>
      <c r="PI58" s="210">
        <f t="shared" si="302"/>
        <v>0</v>
      </c>
      <c r="PJ58" s="210">
        <f t="shared" si="300"/>
        <v>0</v>
      </c>
      <c r="PK58" s="210">
        <f t="shared" si="300"/>
        <v>0</v>
      </c>
      <c r="PL58" s="210">
        <f t="shared" si="300"/>
        <v>0</v>
      </c>
      <c r="PM58" s="195"/>
      <c r="PN58" s="195"/>
      <c r="PO58" s="212">
        <f t="shared" si="187"/>
        <v>0</v>
      </c>
      <c r="PP58" s="212">
        <f t="shared" si="188"/>
        <v>0</v>
      </c>
      <c r="PQ58" s="212">
        <f t="shared" si="189"/>
        <v>0</v>
      </c>
    </row>
    <row r="59" spans="1:433 16383:16383" ht="16" x14ac:dyDescent="0.2">
      <c r="A59" s="213">
        <f t="shared" si="190"/>
        <v>50</v>
      </c>
      <c r="B59" s="186" t="s">
        <v>128</v>
      </c>
      <c r="C59" s="186">
        <v>52</v>
      </c>
      <c r="D59" s="188">
        <v>1</v>
      </c>
      <c r="E59" s="188">
        <v>120</v>
      </c>
      <c r="F59" s="188">
        <v>1</v>
      </c>
      <c r="G59" s="188">
        <f t="shared" si="239"/>
        <v>120</v>
      </c>
      <c r="H59" s="214">
        <f t="shared" ref="H59" si="331">F59/$D59</f>
        <v>1</v>
      </c>
      <c r="I59" s="214">
        <f t="shared" ref="I59" si="332">G59/$E59</f>
        <v>1</v>
      </c>
      <c r="J59" s="188">
        <v>1</v>
      </c>
      <c r="K59" s="188">
        <f t="shared" ref="K59" si="333">IF(J59=D59,E59,0)</f>
        <v>120</v>
      </c>
      <c r="L59" s="214">
        <f t="shared" ref="L59" si="334">J59/$D59</f>
        <v>1</v>
      </c>
      <c r="M59" s="214">
        <f t="shared" ref="M59" si="335">K59/$E59</f>
        <v>1</v>
      </c>
      <c r="N59" s="188">
        <v>1</v>
      </c>
      <c r="O59" s="188">
        <f t="shared" ref="O59" si="336">IF(N59=D59,E59,0)</f>
        <v>120</v>
      </c>
      <c r="P59" s="214">
        <f t="shared" ref="P59" si="337">N59/$D59</f>
        <v>1</v>
      </c>
      <c r="Q59" s="214">
        <f t="shared" ref="Q59" si="338">O59/$E59</f>
        <v>1</v>
      </c>
      <c r="R59" s="188">
        <v>1</v>
      </c>
      <c r="S59" s="188">
        <f t="shared" ref="S59" si="339">IF(R59=D59,E59,0)</f>
        <v>120</v>
      </c>
      <c r="T59" s="214">
        <f t="shared" ref="T59" si="340">R59/$D59</f>
        <v>1</v>
      </c>
      <c r="U59" s="214">
        <f t="shared" ref="U59" si="341">S59/$E59</f>
        <v>1</v>
      </c>
      <c r="V59" s="188">
        <v>1</v>
      </c>
      <c r="W59" s="188">
        <f t="shared" ref="W59" si="342">IF(V59=D59,E59,0)</f>
        <v>120</v>
      </c>
      <c r="X59" s="214">
        <f t="shared" ref="X59" si="343">V59/$D59</f>
        <v>1</v>
      </c>
      <c r="Y59" s="214">
        <f t="shared" ref="Y59" si="344">W59/$E59</f>
        <v>1</v>
      </c>
      <c r="Z59" s="224">
        <f>1645625000/1000000000</f>
        <v>1.6456249999999999</v>
      </c>
      <c r="AA59" s="188"/>
      <c r="AB59" s="189">
        <f t="shared" ref="AB59" si="345">IF(AA59=D59,E59,0)</f>
        <v>0</v>
      </c>
      <c r="AC59" s="250">
        <f t="shared" ref="AC59" si="346">AA59/$D59</f>
        <v>0</v>
      </c>
      <c r="AD59" s="250">
        <f t="shared" ref="AD59" si="347">AB59/$E59</f>
        <v>0</v>
      </c>
      <c r="AE59" s="188"/>
      <c r="AF59" s="188">
        <f t="shared" ref="AF59" si="348">R59-V59</f>
        <v>0</v>
      </c>
      <c r="AG59" s="187"/>
      <c r="AH59" s="187"/>
      <c r="AI59" s="188">
        <v>0</v>
      </c>
      <c r="AJ59" s="188">
        <f t="shared" ref="AJ59" si="349">IF(AI59=D59,E59,0)</f>
        <v>0</v>
      </c>
      <c r="AK59" s="188"/>
      <c r="AL59" s="188">
        <v>0</v>
      </c>
      <c r="AM59" s="188">
        <v>0</v>
      </c>
      <c r="AN59" s="217"/>
      <c r="AO59" s="196">
        <f t="shared" si="123"/>
        <v>0</v>
      </c>
      <c r="AP59" s="195"/>
      <c r="AQ59" s="195"/>
      <c r="AR59" s="195"/>
      <c r="AS59" s="195"/>
      <c r="AT59" s="195"/>
      <c r="AU59" s="195"/>
      <c r="AV59" s="195"/>
      <c r="AW59" s="195"/>
      <c r="AX59" s="195"/>
      <c r="AY59" s="195"/>
      <c r="AZ59" s="195"/>
      <c r="BA59" s="195"/>
      <c r="BB59" s="188">
        <f t="shared" ref="BB59" si="350">IF(AN59=1,G59,0)</f>
        <v>0</v>
      </c>
      <c r="BC59" s="195"/>
      <c r="BD59" s="196"/>
      <c r="BE59" s="188">
        <f t="shared" ref="BE59" si="351">IF(AF59=1,S59,0)</f>
        <v>0</v>
      </c>
      <c r="BF59" s="188">
        <f t="shared" ref="BF59" si="352">IF(AG59="A",S59,0)</f>
        <v>0</v>
      </c>
      <c r="BG59" s="188">
        <f t="shared" ref="BG59" si="353">IF(AG59="B",S59,0)</f>
        <v>0</v>
      </c>
      <c r="BH59" s="188">
        <f t="shared" ref="BH59" si="354">IF(AG59="C",S59,0)</f>
        <v>0</v>
      </c>
      <c r="BI59" s="188">
        <f t="shared" ref="BI59" si="355">IF(AG59="D",S59,0)</f>
        <v>0</v>
      </c>
      <c r="BJ59" s="188">
        <f t="shared" ref="BJ59" si="356">IF(AG59="E",S59,0)</f>
        <v>0</v>
      </c>
      <c r="BK59" s="188">
        <f t="shared" ref="BK59" si="357">SUM(BF59:BJ59)</f>
        <v>0</v>
      </c>
      <c r="BL59" s="195"/>
      <c r="BM59" s="195"/>
      <c r="BN59" s="277">
        <v>93</v>
      </c>
      <c r="BO59" s="277">
        <v>1</v>
      </c>
      <c r="BP59" s="188"/>
      <c r="BQ59" s="188"/>
      <c r="BR59" s="188"/>
      <c r="BS59" s="188"/>
      <c r="BT59" s="188"/>
      <c r="BU59" s="188"/>
      <c r="BV59" s="188"/>
      <c r="BW59" s="188"/>
      <c r="BX59" s="188"/>
      <c r="BY59" s="188"/>
      <c r="BZ59" s="188"/>
      <c r="CA59" s="195"/>
      <c r="CB59" s="188">
        <v>0</v>
      </c>
      <c r="CC59" s="195"/>
      <c r="CD59" s="189">
        <f t="shared" si="125"/>
        <v>93</v>
      </c>
      <c r="CE59" s="189">
        <f t="shared" si="191"/>
        <v>93</v>
      </c>
      <c r="CF59" s="189">
        <f t="shared" si="126"/>
        <v>0</v>
      </c>
      <c r="CG59" s="189">
        <f t="shared" si="127"/>
        <v>0</v>
      </c>
      <c r="CH59" s="189">
        <f t="shared" si="128"/>
        <v>0</v>
      </c>
      <c r="CI59" s="189">
        <f t="shared" si="129"/>
        <v>0</v>
      </c>
      <c r="CJ59" s="189">
        <f t="shared" si="130"/>
        <v>0</v>
      </c>
      <c r="CK59" s="189">
        <f t="shared" si="131"/>
        <v>0</v>
      </c>
      <c r="CL59" s="189">
        <f t="shared" si="132"/>
        <v>0</v>
      </c>
      <c r="CM59" s="189">
        <f t="shared" si="133"/>
        <v>0</v>
      </c>
      <c r="CN59" s="189">
        <f t="shared" si="134"/>
        <v>0</v>
      </c>
      <c r="CO59" s="189">
        <f t="shared" si="135"/>
        <v>0</v>
      </c>
      <c r="CP59" s="189">
        <f t="shared" si="136"/>
        <v>0</v>
      </c>
      <c r="CQ59" s="195"/>
      <c r="CR59" s="195"/>
      <c r="CS59" s="195"/>
      <c r="CT59" s="195"/>
      <c r="CU59" s="195"/>
      <c r="CV59" s="195"/>
      <c r="CW59" s="195"/>
      <c r="CX59" s="195"/>
      <c r="CY59" s="195"/>
      <c r="CZ59" s="195"/>
      <c r="DA59" s="195"/>
      <c r="DB59" s="195"/>
      <c r="DC59" s="195"/>
      <c r="DD59" s="195"/>
      <c r="DE59" s="195"/>
      <c r="DF59" s="195"/>
      <c r="DG59" s="195"/>
      <c r="DH59" s="195"/>
      <c r="DI59" s="195"/>
      <c r="DJ59" s="195"/>
      <c r="DK59" s="195"/>
      <c r="DL59" s="195"/>
      <c r="DM59" s="195"/>
      <c r="DN59" s="195"/>
      <c r="DO59" s="195"/>
      <c r="DP59" s="195"/>
      <c r="DQ59" s="195"/>
      <c r="DR59" s="195"/>
      <c r="DS59" s="195"/>
      <c r="DT59" s="195"/>
      <c r="DU59" s="195"/>
      <c r="DV59" s="189">
        <f t="shared" si="226"/>
        <v>0</v>
      </c>
      <c r="DW59" s="189">
        <f t="shared" si="227"/>
        <v>0</v>
      </c>
      <c r="DX59" s="189">
        <f t="shared" si="228"/>
        <v>0</v>
      </c>
      <c r="DY59" s="189">
        <f t="shared" si="229"/>
        <v>0</v>
      </c>
      <c r="DZ59" s="189">
        <f t="shared" si="230"/>
        <v>0</v>
      </c>
      <c r="EA59" s="189">
        <f t="shared" si="231"/>
        <v>0</v>
      </c>
      <c r="EB59" s="189">
        <f t="shared" si="137"/>
        <v>0</v>
      </c>
      <c r="EC59" s="195"/>
      <c r="ED59" s="195"/>
      <c r="EE59" s="195"/>
      <c r="EF59" s="195"/>
      <c r="EG59" s="252">
        <f t="shared" si="138"/>
        <v>0</v>
      </c>
      <c r="EH59" s="252">
        <f t="shared" si="139"/>
        <v>0</v>
      </c>
      <c r="EI59" s="189"/>
      <c r="EJ59" s="189"/>
      <c r="EK59" s="189"/>
      <c r="EL59" s="189"/>
      <c r="EM59" s="189"/>
      <c r="EN59" s="189"/>
      <c r="EO59" s="189"/>
      <c r="EP59" s="189"/>
      <c r="EQ59" s="189"/>
      <c r="ER59" s="189"/>
      <c r="ES59" s="189"/>
      <c r="ET59" s="189"/>
      <c r="EU59" s="189"/>
      <c r="EV59" s="189"/>
      <c r="EW59" s="189"/>
      <c r="EX59" s="189"/>
      <c r="EY59" s="189"/>
      <c r="EZ59" s="189"/>
      <c r="FA59" s="189"/>
      <c r="FB59" s="189"/>
      <c r="FC59" s="189"/>
      <c r="FD59" s="189"/>
      <c r="FE59" s="189"/>
      <c r="FF59" s="189"/>
      <c r="FG59" s="195"/>
      <c r="FH59" s="189"/>
      <c r="FI59" s="189"/>
      <c r="FJ59" s="189"/>
      <c r="FK59" s="189"/>
      <c r="FL59" s="189"/>
      <c r="FM59" s="189"/>
      <c r="FN59" s="189"/>
      <c r="FO59" s="189"/>
      <c r="FP59" s="189"/>
      <c r="FQ59" s="189"/>
      <c r="FR59" s="189"/>
      <c r="FS59" s="189"/>
      <c r="FT59" s="189"/>
      <c r="FU59" s="189"/>
      <c r="FV59" s="189"/>
      <c r="FW59" s="195"/>
      <c r="FX59" s="253">
        <v>1</v>
      </c>
      <c r="FY59" s="189">
        <f t="shared" si="140"/>
        <v>93</v>
      </c>
      <c r="FZ59" s="189">
        <f t="shared" si="324"/>
        <v>93</v>
      </c>
      <c r="GA59" s="189">
        <f t="shared" si="325"/>
        <v>0</v>
      </c>
      <c r="GB59" s="189">
        <f t="shared" si="326"/>
        <v>0</v>
      </c>
      <c r="GC59" s="189">
        <f t="shared" si="327"/>
        <v>0</v>
      </c>
      <c r="GD59" s="189">
        <f t="shared" si="328"/>
        <v>0</v>
      </c>
      <c r="GE59" s="189">
        <f t="shared" si="329"/>
        <v>0</v>
      </c>
      <c r="GF59" s="199"/>
      <c r="GG59" s="189">
        <v>0</v>
      </c>
      <c r="GH59" s="189">
        <v>0</v>
      </c>
      <c r="GI59" s="199"/>
      <c r="GJ59" s="200">
        <f t="shared" si="141"/>
        <v>0</v>
      </c>
      <c r="GK59" s="200">
        <f t="shared" si="142"/>
        <v>0</v>
      </c>
      <c r="GL59" s="195"/>
      <c r="GM59" s="195"/>
      <c r="GN59" s="195"/>
      <c r="GO59" s="189">
        <f t="shared" si="246"/>
        <v>0</v>
      </c>
      <c r="GP59" s="189">
        <f t="shared" si="247"/>
        <v>0</v>
      </c>
      <c r="GQ59" s="189">
        <f t="shared" si="248"/>
        <v>0</v>
      </c>
      <c r="GR59" s="189">
        <f t="shared" si="249"/>
        <v>0</v>
      </c>
      <c r="GS59" s="189">
        <f t="shared" si="250"/>
        <v>0</v>
      </c>
      <c r="GT59" s="189">
        <f t="shared" si="143"/>
        <v>1</v>
      </c>
      <c r="GU59" s="201">
        <f t="shared" si="144"/>
        <v>43243</v>
      </c>
      <c r="GV59" s="189" t="str">
        <f t="shared" si="145"/>
        <v>SELESAI</v>
      </c>
      <c r="GW59" s="189">
        <f t="shared" si="146"/>
        <v>0</v>
      </c>
      <c r="GX59" s="202" t="str">
        <f t="shared" si="147"/>
        <v>SELESAI</v>
      </c>
      <c r="GY59" s="202">
        <f t="shared" si="148"/>
        <v>0</v>
      </c>
      <c r="GZ59" s="203" t="str">
        <f t="shared" si="149"/>
        <v>SELESAI</v>
      </c>
      <c r="HA59" s="204"/>
      <c r="HB59" s="204"/>
      <c r="HC59" s="189">
        <f t="shared" si="251"/>
        <v>0</v>
      </c>
      <c r="HD59" s="189">
        <f t="shared" si="252"/>
        <v>0</v>
      </c>
      <c r="HE59" s="189">
        <f t="shared" si="150"/>
        <v>0</v>
      </c>
      <c r="HF59" s="189">
        <f t="shared" si="151"/>
        <v>0</v>
      </c>
      <c r="HG59" s="189">
        <f t="shared" si="152"/>
        <v>0</v>
      </c>
      <c r="HH59" s="201" t="str">
        <f t="shared" si="46"/>
        <v>TIDAK KONSINYASI</v>
      </c>
      <c r="HI59" s="201" t="str">
        <f t="shared" si="153"/>
        <v>SELESAI</v>
      </c>
      <c r="HJ59" s="205"/>
      <c r="HK59" s="201">
        <f t="shared" si="47"/>
        <v>0</v>
      </c>
      <c r="HL59" s="204"/>
      <c r="HM59" s="204"/>
      <c r="HN59" s="204"/>
      <c r="HO59" s="204"/>
      <c r="HP59" s="203">
        <f t="shared" si="154"/>
        <v>0</v>
      </c>
      <c r="HQ59" s="202">
        <f t="shared" si="155"/>
        <v>0</v>
      </c>
      <c r="HR59" s="202">
        <f t="shared" si="253"/>
        <v>0</v>
      </c>
      <c r="HS59" s="203">
        <f t="shared" si="156"/>
        <v>0</v>
      </c>
      <c r="HT59" s="202">
        <f t="shared" si="157"/>
        <v>0</v>
      </c>
      <c r="HU59" s="202">
        <f t="shared" si="254"/>
        <v>0</v>
      </c>
      <c r="HV59" s="203">
        <f t="shared" si="158"/>
        <v>0</v>
      </c>
      <c r="HW59" s="202">
        <f t="shared" si="50"/>
        <v>0</v>
      </c>
      <c r="HX59" s="202">
        <f t="shared" si="255"/>
        <v>0</v>
      </c>
      <c r="HY59" s="203">
        <f t="shared" si="52"/>
        <v>0</v>
      </c>
      <c r="HZ59" s="202">
        <f t="shared" si="159"/>
        <v>0</v>
      </c>
      <c r="IA59" s="202">
        <f t="shared" si="256"/>
        <v>0</v>
      </c>
      <c r="IB59" s="203">
        <f t="shared" si="160"/>
        <v>0</v>
      </c>
      <c r="IC59" s="202">
        <f t="shared" si="54"/>
        <v>0</v>
      </c>
      <c r="ID59" s="202">
        <f t="shared" si="257"/>
        <v>0</v>
      </c>
      <c r="IE59" s="203">
        <f t="shared" si="56"/>
        <v>0</v>
      </c>
      <c r="IF59" s="202">
        <f t="shared" si="57"/>
        <v>0</v>
      </c>
      <c r="IG59" s="202">
        <f t="shared" si="258"/>
        <v>0</v>
      </c>
      <c r="IH59" s="203">
        <f t="shared" si="161"/>
        <v>0</v>
      </c>
      <c r="II59" s="202">
        <f t="shared" si="162"/>
        <v>0</v>
      </c>
      <c r="IJ59" s="202">
        <f t="shared" si="259"/>
        <v>0</v>
      </c>
      <c r="IK59" s="203">
        <f t="shared" si="60"/>
        <v>0</v>
      </c>
      <c r="IL59" s="202">
        <f t="shared" si="61"/>
        <v>0</v>
      </c>
      <c r="IM59" s="202">
        <f t="shared" si="260"/>
        <v>0</v>
      </c>
      <c r="IN59" s="204"/>
      <c r="IO59" s="203">
        <f t="shared" si="63"/>
        <v>0</v>
      </c>
      <c r="IP59" s="202">
        <f t="shared" si="261"/>
        <v>0</v>
      </c>
      <c r="IQ59" s="202">
        <f t="shared" si="262"/>
        <v>0</v>
      </c>
      <c r="IR59" s="204"/>
      <c r="IS59" s="203"/>
      <c r="IT59" s="202">
        <f t="shared" si="263"/>
        <v>1</v>
      </c>
      <c r="IU59" s="202">
        <f t="shared" si="264"/>
        <v>120</v>
      </c>
      <c r="IV59" s="204"/>
      <c r="IW59" s="203"/>
      <c r="IX59" s="202">
        <f t="shared" si="265"/>
        <v>0</v>
      </c>
      <c r="IY59" s="202">
        <f t="shared" si="266"/>
        <v>0</v>
      </c>
      <c r="IZ59" s="204"/>
      <c r="JA59" s="203"/>
      <c r="JB59" s="202">
        <f t="shared" si="267"/>
        <v>0</v>
      </c>
      <c r="JC59" s="202">
        <f t="shared" si="268"/>
        <v>0</v>
      </c>
      <c r="JD59" s="204"/>
      <c r="JE59" s="203"/>
      <c r="JF59" s="202">
        <f t="shared" si="163"/>
        <v>1</v>
      </c>
      <c r="JG59" s="202">
        <f t="shared" si="72"/>
        <v>120</v>
      </c>
      <c r="JH59" s="204"/>
      <c r="JI59" s="203"/>
      <c r="JJ59" s="202">
        <f t="shared" si="269"/>
        <v>0</v>
      </c>
      <c r="JK59" s="202">
        <f t="shared" si="270"/>
        <v>0</v>
      </c>
      <c r="JL59" s="195"/>
      <c r="JM59" s="203">
        <f t="shared" si="164"/>
        <v>0</v>
      </c>
      <c r="JN59" s="195"/>
      <c r="JO59" s="196">
        <f t="shared" si="75"/>
        <v>1</v>
      </c>
      <c r="JP59" s="206">
        <f t="shared" si="271"/>
        <v>93</v>
      </c>
      <c r="JQ59" s="206">
        <f t="shared" si="272"/>
        <v>1</v>
      </c>
      <c r="JR59" s="206">
        <f t="shared" si="273"/>
        <v>0</v>
      </c>
      <c r="JS59" s="206">
        <f t="shared" si="274"/>
        <v>0</v>
      </c>
      <c r="JT59" s="206">
        <f t="shared" si="275"/>
        <v>0</v>
      </c>
      <c r="JU59" s="206">
        <f t="shared" si="276"/>
        <v>0</v>
      </c>
      <c r="JV59" s="206">
        <f t="shared" si="277"/>
        <v>0</v>
      </c>
      <c r="JW59" s="206">
        <f t="shared" si="278"/>
        <v>0</v>
      </c>
      <c r="JX59" s="206">
        <f t="shared" si="279"/>
        <v>0</v>
      </c>
      <c r="JY59" s="206">
        <f t="shared" si="280"/>
        <v>0</v>
      </c>
      <c r="JZ59" s="206">
        <f t="shared" si="281"/>
        <v>0</v>
      </c>
      <c r="KA59" s="206">
        <f t="shared" si="282"/>
        <v>0</v>
      </c>
      <c r="KB59" s="206">
        <f t="shared" si="283"/>
        <v>0</v>
      </c>
      <c r="KC59" s="195"/>
      <c r="KD59" s="206">
        <f t="shared" si="165"/>
        <v>0</v>
      </c>
      <c r="KE59" s="206">
        <f t="shared" si="90"/>
        <v>0</v>
      </c>
      <c r="KF59" s="206">
        <f t="shared" si="284"/>
        <v>93</v>
      </c>
      <c r="KG59" s="206">
        <f t="shared" si="285"/>
        <v>93</v>
      </c>
      <c r="KH59" s="206">
        <f t="shared" si="286"/>
        <v>0</v>
      </c>
      <c r="KI59" s="206">
        <f t="shared" si="287"/>
        <v>0</v>
      </c>
      <c r="KJ59" s="206">
        <f t="shared" si="288"/>
        <v>0</v>
      </c>
      <c r="KK59" s="206">
        <f t="shared" si="289"/>
        <v>0</v>
      </c>
      <c r="KL59" s="206">
        <f t="shared" si="290"/>
        <v>0</v>
      </c>
      <c r="KM59" s="206">
        <f t="shared" si="291"/>
        <v>0</v>
      </c>
      <c r="KN59" s="221">
        <f t="shared" si="292"/>
        <v>0</v>
      </c>
      <c r="KO59" s="221">
        <f t="shared" si="293"/>
        <v>0</v>
      </c>
      <c r="KP59" s="221">
        <f t="shared" si="294"/>
        <v>0</v>
      </c>
      <c r="KQ59" s="221">
        <f t="shared" si="295"/>
        <v>0</v>
      </c>
      <c r="KR59" s="221">
        <f t="shared" si="296"/>
        <v>0</v>
      </c>
      <c r="KS59" s="195"/>
      <c r="KT59" s="195">
        <f t="shared" si="297"/>
        <v>0</v>
      </c>
      <c r="KU59" s="221"/>
      <c r="KV59" s="221"/>
      <c r="KW59" s="221"/>
      <c r="KX59" s="221"/>
      <c r="KY59" s="221"/>
      <c r="KZ59" s="221"/>
      <c r="LA59" s="221"/>
      <c r="LB59" s="221"/>
      <c r="LC59" s="221"/>
      <c r="LD59" s="221"/>
      <c r="LE59" s="221"/>
      <c r="LF59" s="221"/>
      <c r="LG59" s="221"/>
      <c r="LH59" s="221"/>
      <c r="LI59" s="221"/>
      <c r="LJ59" s="221"/>
      <c r="LK59" s="221"/>
      <c r="LL59" s="221"/>
      <c r="LM59" s="221"/>
      <c r="LN59" s="221"/>
      <c r="LO59" s="221"/>
      <c r="LP59" s="221"/>
      <c r="LQ59" s="221"/>
      <c r="LR59" s="221"/>
      <c r="LS59" s="221"/>
      <c r="LT59" s="221"/>
      <c r="LU59" s="221"/>
      <c r="LV59" s="221"/>
      <c r="LW59" s="221"/>
      <c r="LX59" s="221"/>
      <c r="LY59" s="221"/>
      <c r="LZ59" s="221"/>
      <c r="MA59" s="221"/>
      <c r="MB59" s="221"/>
      <c r="MC59" s="221"/>
      <c r="MD59" s="221"/>
      <c r="ME59" s="221"/>
      <c r="MF59" s="221"/>
      <c r="MG59" s="221"/>
      <c r="MH59" s="221"/>
      <c r="MI59" s="221"/>
      <c r="MJ59" s="221"/>
      <c r="MK59" s="221"/>
      <c r="ML59" s="221"/>
      <c r="MM59" s="221"/>
      <c r="MN59" s="221"/>
      <c r="MO59" s="221"/>
      <c r="MP59" s="221"/>
      <c r="MQ59" s="221"/>
      <c r="MR59" s="221"/>
      <c r="MS59" s="221"/>
      <c r="MT59" s="221"/>
      <c r="MU59" s="221"/>
      <c r="MV59" s="221"/>
      <c r="MW59" s="221"/>
      <c r="MX59" s="221"/>
      <c r="MY59" s="221"/>
      <c r="MZ59" s="221"/>
      <c r="NA59" s="221"/>
      <c r="NB59" s="221"/>
      <c r="NC59" s="221"/>
      <c r="ND59" s="221"/>
      <c r="NE59" s="221"/>
      <c r="NF59" s="221"/>
      <c r="NG59" s="221"/>
      <c r="NH59" s="221"/>
      <c r="NI59" s="221"/>
      <c r="NJ59" s="221"/>
      <c r="NK59" s="221"/>
      <c r="NL59" s="195"/>
      <c r="NM59" s="195">
        <f t="shared" si="166"/>
        <v>0</v>
      </c>
      <c r="NN59" s="195">
        <f t="shared" si="167"/>
        <v>0</v>
      </c>
      <c r="NO59" s="195">
        <f t="shared" si="168"/>
        <v>0</v>
      </c>
      <c r="NP59" s="195">
        <f t="shared" si="169"/>
        <v>0</v>
      </c>
      <c r="NQ59" s="195">
        <f t="shared" si="170"/>
        <v>0</v>
      </c>
      <c r="NR59" s="195">
        <f t="shared" si="171"/>
        <v>0</v>
      </c>
      <c r="NS59" s="195">
        <f t="shared" si="172"/>
        <v>0</v>
      </c>
      <c r="NT59" s="195">
        <f t="shared" si="173"/>
        <v>0</v>
      </c>
      <c r="NU59" s="196">
        <f t="shared" si="174"/>
        <v>0</v>
      </c>
      <c r="NV59" s="195"/>
      <c r="NW59" s="195"/>
      <c r="NX59" s="195"/>
      <c r="NY59" s="196">
        <f t="shared" si="232"/>
        <v>1</v>
      </c>
      <c r="NZ59" s="222">
        <f>224910000/27</f>
        <v>8330000</v>
      </c>
      <c r="OA59" s="195"/>
      <c r="OB59" s="195"/>
      <c r="OC59" s="195"/>
      <c r="OD59" s="195"/>
      <c r="OE59" s="207">
        <f t="shared" si="233"/>
        <v>0</v>
      </c>
      <c r="OF59" s="207">
        <f t="shared" si="234"/>
        <v>0</v>
      </c>
      <c r="OG59" s="207">
        <f t="shared" si="235"/>
        <v>0</v>
      </c>
      <c r="OH59" s="207">
        <f t="shared" si="175"/>
        <v>0</v>
      </c>
      <c r="OI59" s="207">
        <f t="shared" si="236"/>
        <v>0</v>
      </c>
      <c r="OJ59" s="199">
        <f t="shared" si="176"/>
        <v>0</v>
      </c>
      <c r="OK59" s="199">
        <f t="shared" si="177"/>
        <v>0</v>
      </c>
      <c r="OL59" s="199">
        <f t="shared" si="178"/>
        <v>0</v>
      </c>
      <c r="OM59" s="199">
        <f t="shared" si="179"/>
        <v>0</v>
      </c>
      <c r="ON59" s="195"/>
      <c r="OO59" s="207">
        <f t="shared" si="237"/>
        <v>0</v>
      </c>
      <c r="OP59" s="207">
        <f t="shared" si="238"/>
        <v>0</v>
      </c>
      <c r="OQ59" s="207">
        <f t="shared" si="180"/>
        <v>0</v>
      </c>
      <c r="OR59" s="207">
        <f t="shared" si="181"/>
        <v>0</v>
      </c>
      <c r="OS59" s="207">
        <f t="shared" si="182"/>
        <v>0</v>
      </c>
      <c r="OT59" s="199">
        <f t="shared" si="183"/>
        <v>0</v>
      </c>
      <c r="OU59" s="199">
        <f t="shared" si="184"/>
        <v>0</v>
      </c>
      <c r="OV59" s="199">
        <f t="shared" si="185"/>
        <v>0</v>
      </c>
      <c r="OW59" s="199">
        <f t="shared" si="186"/>
        <v>0</v>
      </c>
      <c r="OX59" s="195"/>
      <c r="OY59" s="195"/>
      <c r="OZ59" s="195"/>
      <c r="PA59" s="209"/>
      <c r="PB59" s="209"/>
      <c r="PC59" s="209"/>
      <c r="PD59" s="210">
        <f t="shared" si="113"/>
        <v>0</v>
      </c>
      <c r="PE59" s="210"/>
      <c r="PF59" s="210">
        <f t="shared" si="114"/>
        <v>0</v>
      </c>
      <c r="PG59" s="210">
        <f t="shared" si="302"/>
        <v>0</v>
      </c>
      <c r="PH59" s="210">
        <f t="shared" si="302"/>
        <v>0</v>
      </c>
      <c r="PI59" s="210">
        <f t="shared" si="302"/>
        <v>0</v>
      </c>
      <c r="PJ59" s="210">
        <f t="shared" si="300"/>
        <v>0</v>
      </c>
      <c r="PK59" s="210">
        <f t="shared" si="300"/>
        <v>0</v>
      </c>
      <c r="PL59" s="210">
        <f t="shared" si="300"/>
        <v>0</v>
      </c>
      <c r="PM59" s="195"/>
      <c r="PN59" s="195"/>
      <c r="PO59" s="212">
        <f t="shared" si="187"/>
        <v>0</v>
      </c>
      <c r="PP59" s="212">
        <f t="shared" si="188"/>
        <v>0</v>
      </c>
      <c r="PQ59" s="212">
        <f t="shared" si="189"/>
        <v>0</v>
      </c>
    </row>
    <row r="60" spans="1:433 16383:16383" ht="16" x14ac:dyDescent="0.2">
      <c r="A60" s="213">
        <f t="shared" si="190"/>
        <v>51</v>
      </c>
      <c r="B60" s="186" t="s">
        <v>129</v>
      </c>
      <c r="C60" s="186">
        <v>53</v>
      </c>
      <c r="D60" s="188">
        <v>1</v>
      </c>
      <c r="E60" s="188">
        <v>36</v>
      </c>
      <c r="F60" s="188">
        <v>1</v>
      </c>
      <c r="G60" s="188">
        <f t="shared" si="239"/>
        <v>36</v>
      </c>
      <c r="H60" s="214">
        <f t="shared" si="203"/>
        <v>1</v>
      </c>
      <c r="I60" s="214">
        <f t="shared" si="204"/>
        <v>1</v>
      </c>
      <c r="J60" s="188">
        <v>1</v>
      </c>
      <c r="K60" s="188">
        <f t="shared" si="205"/>
        <v>36</v>
      </c>
      <c r="L60" s="214">
        <f t="shared" si="206"/>
        <v>1</v>
      </c>
      <c r="M60" s="214">
        <f t="shared" si="207"/>
        <v>1</v>
      </c>
      <c r="N60" s="188">
        <v>1</v>
      </c>
      <c r="O60" s="188">
        <f t="shared" si="208"/>
        <v>36</v>
      </c>
      <c r="P60" s="214">
        <f t="shared" si="209"/>
        <v>1</v>
      </c>
      <c r="Q60" s="214">
        <f t="shared" si="210"/>
        <v>1</v>
      </c>
      <c r="R60" s="188">
        <v>1</v>
      </c>
      <c r="S60" s="188">
        <f t="shared" si="211"/>
        <v>36</v>
      </c>
      <c r="T60" s="214">
        <f t="shared" si="212"/>
        <v>1</v>
      </c>
      <c r="U60" s="214">
        <f t="shared" si="213"/>
        <v>1</v>
      </c>
      <c r="V60" s="188"/>
      <c r="W60" s="188">
        <f t="shared" si="214"/>
        <v>0</v>
      </c>
      <c r="X60" s="214">
        <f t="shared" si="215"/>
        <v>0</v>
      </c>
      <c r="Y60" s="214">
        <f t="shared" si="216"/>
        <v>0</v>
      </c>
      <c r="Z60" s="224"/>
      <c r="AA60" s="188">
        <v>1</v>
      </c>
      <c r="AB60" s="189">
        <f t="shared" si="120"/>
        <v>36</v>
      </c>
      <c r="AC60" s="250">
        <f t="shared" si="121"/>
        <v>1</v>
      </c>
      <c r="AD60" s="250">
        <f t="shared" si="122"/>
        <v>1</v>
      </c>
      <c r="AE60" s="224">
        <f>902277000/1000000000</f>
        <v>0.902277</v>
      </c>
      <c r="AF60" s="188">
        <f t="shared" si="217"/>
        <v>1</v>
      </c>
      <c r="AG60" s="187" t="s">
        <v>343</v>
      </c>
      <c r="AH60" s="187" t="s">
        <v>303</v>
      </c>
      <c r="AI60" s="188">
        <v>0</v>
      </c>
      <c r="AJ60" s="188">
        <f t="shared" si="218"/>
        <v>0</v>
      </c>
      <c r="AK60" s="188"/>
      <c r="AL60" s="188">
        <v>0</v>
      </c>
      <c r="AM60" s="188">
        <v>0</v>
      </c>
      <c r="AN60" s="217"/>
      <c r="AO60" s="196">
        <f t="shared" si="123"/>
        <v>0</v>
      </c>
      <c r="AP60" s="195"/>
      <c r="AQ60" s="195"/>
      <c r="AR60" s="195"/>
      <c r="AS60" s="195"/>
      <c r="AT60" s="195"/>
      <c r="AU60" s="195"/>
      <c r="AV60" s="195"/>
      <c r="AW60" s="195"/>
      <c r="AX60" s="195"/>
      <c r="AY60" s="195"/>
      <c r="AZ60" s="195"/>
      <c r="BA60" s="195"/>
      <c r="BB60" s="188">
        <f t="shared" si="219"/>
        <v>0</v>
      </c>
      <c r="BC60" s="195"/>
      <c r="BD60" s="196"/>
      <c r="BE60" s="188">
        <f t="shared" si="220"/>
        <v>36</v>
      </c>
      <c r="BF60" s="188">
        <f t="shared" si="221"/>
        <v>0</v>
      </c>
      <c r="BG60" s="188">
        <f t="shared" si="222"/>
        <v>0</v>
      </c>
      <c r="BH60" s="188">
        <f t="shared" si="223"/>
        <v>36</v>
      </c>
      <c r="BI60" s="188">
        <f t="shared" si="224"/>
        <v>0</v>
      </c>
      <c r="BJ60" s="188">
        <f t="shared" si="225"/>
        <v>0</v>
      </c>
      <c r="BK60" s="188">
        <f t="shared" si="124"/>
        <v>36</v>
      </c>
      <c r="BL60" s="195"/>
      <c r="BM60" s="195"/>
      <c r="BN60" s="143"/>
      <c r="BO60" s="277"/>
      <c r="BP60" s="188"/>
      <c r="BQ60" s="188"/>
      <c r="BR60" s="188"/>
      <c r="BS60" s="188"/>
      <c r="BT60" s="188"/>
      <c r="BU60" s="188"/>
      <c r="BV60" s="188"/>
      <c r="BW60" s="188"/>
      <c r="BX60" s="188"/>
      <c r="BY60" s="188"/>
      <c r="BZ60" s="188"/>
      <c r="CA60" s="195"/>
      <c r="CB60" s="188">
        <v>0</v>
      </c>
      <c r="CC60" s="195"/>
      <c r="CD60" s="189">
        <f t="shared" si="125"/>
        <v>0</v>
      </c>
      <c r="CE60" s="189">
        <f t="shared" si="191"/>
        <v>0</v>
      </c>
      <c r="CF60" s="189">
        <f t="shared" si="126"/>
        <v>0</v>
      </c>
      <c r="CG60" s="189">
        <f t="shared" si="127"/>
        <v>0</v>
      </c>
      <c r="CH60" s="189">
        <f t="shared" si="128"/>
        <v>0</v>
      </c>
      <c r="CI60" s="189">
        <f t="shared" si="129"/>
        <v>0</v>
      </c>
      <c r="CJ60" s="189">
        <f t="shared" si="130"/>
        <v>0</v>
      </c>
      <c r="CK60" s="189">
        <f t="shared" si="131"/>
        <v>0</v>
      </c>
      <c r="CL60" s="189">
        <f t="shared" si="132"/>
        <v>0</v>
      </c>
      <c r="CM60" s="189">
        <f t="shared" si="133"/>
        <v>0</v>
      </c>
      <c r="CN60" s="189">
        <f t="shared" si="134"/>
        <v>0</v>
      </c>
      <c r="CO60" s="189">
        <f t="shared" si="135"/>
        <v>0</v>
      </c>
      <c r="CP60" s="189">
        <f t="shared" si="136"/>
        <v>0</v>
      </c>
      <c r="CQ60" s="195"/>
      <c r="CR60" s="195"/>
      <c r="CS60" s="195"/>
      <c r="CT60" s="195"/>
      <c r="CU60" s="195"/>
      <c r="CV60" s="195"/>
      <c r="CW60" s="195"/>
      <c r="CX60" s="195"/>
      <c r="CY60" s="195"/>
      <c r="CZ60" s="195"/>
      <c r="DA60" s="195"/>
      <c r="DB60" s="195"/>
      <c r="DC60" s="195"/>
      <c r="DD60" s="195"/>
      <c r="DE60" s="195"/>
      <c r="DF60" s="195"/>
      <c r="DG60" s="195"/>
      <c r="DH60" s="195"/>
      <c r="DI60" s="195"/>
      <c r="DJ60" s="195"/>
      <c r="DK60" s="195"/>
      <c r="DL60" s="195"/>
      <c r="DM60" s="195"/>
      <c r="DN60" s="195"/>
      <c r="DO60" s="195"/>
      <c r="DP60" s="195"/>
      <c r="DQ60" s="195"/>
      <c r="DR60" s="195"/>
      <c r="DS60" s="195"/>
      <c r="DT60" s="195"/>
      <c r="DU60" s="195"/>
      <c r="DV60" s="189">
        <f t="shared" si="226"/>
        <v>0</v>
      </c>
      <c r="DW60" s="189">
        <f t="shared" si="227"/>
        <v>0</v>
      </c>
      <c r="DX60" s="189">
        <f t="shared" si="228"/>
        <v>0</v>
      </c>
      <c r="DY60" s="189">
        <f t="shared" si="229"/>
        <v>0</v>
      </c>
      <c r="DZ60" s="189">
        <f t="shared" si="230"/>
        <v>0</v>
      </c>
      <c r="EA60" s="189">
        <f t="shared" si="231"/>
        <v>0</v>
      </c>
      <c r="EB60" s="189">
        <f t="shared" si="137"/>
        <v>0</v>
      </c>
      <c r="EC60" s="195"/>
      <c r="ED60" s="195"/>
      <c r="EE60" s="195"/>
      <c r="EF60" s="195"/>
      <c r="EG60" s="252" t="str">
        <f t="shared" si="138"/>
        <v>C</v>
      </c>
      <c r="EH60" s="252">
        <f t="shared" si="139"/>
        <v>0</v>
      </c>
      <c r="EI60" s="189">
        <v>1</v>
      </c>
      <c r="EJ60" s="189">
        <v>1</v>
      </c>
      <c r="EK60" s="189"/>
      <c r="EL60" s="189"/>
      <c r="EM60" s="189"/>
      <c r="EN60" s="189"/>
      <c r="EO60" s="189"/>
      <c r="EP60" s="189"/>
      <c r="EQ60" s="189">
        <v>1</v>
      </c>
      <c r="ER60" s="189">
        <v>1</v>
      </c>
      <c r="ES60" s="189">
        <v>1</v>
      </c>
      <c r="ET60" s="189"/>
      <c r="EU60" s="189"/>
      <c r="EV60" s="189">
        <v>1</v>
      </c>
      <c r="EW60" s="189"/>
      <c r="EX60" s="189"/>
      <c r="EY60" s="189"/>
      <c r="EZ60" s="189">
        <v>1</v>
      </c>
      <c r="FA60" s="189">
        <v>1</v>
      </c>
      <c r="FB60" s="189">
        <v>1</v>
      </c>
      <c r="FC60" s="189"/>
      <c r="FD60" s="189"/>
      <c r="FE60" s="168">
        <v>1</v>
      </c>
      <c r="FF60" s="168">
        <v>1</v>
      </c>
      <c r="FG60" s="195"/>
      <c r="FH60" s="189"/>
      <c r="FI60" s="189"/>
      <c r="FJ60" s="189"/>
      <c r="FK60" s="189"/>
      <c r="FL60" s="189"/>
      <c r="FM60" s="189"/>
      <c r="FN60" s="189"/>
      <c r="FO60" s="189"/>
      <c r="FP60" s="189"/>
      <c r="FQ60" s="189"/>
      <c r="FR60" s="189"/>
      <c r="FS60" s="189"/>
      <c r="FT60" s="189"/>
      <c r="FU60" s="189"/>
      <c r="FV60" s="189"/>
      <c r="FW60" s="195"/>
      <c r="FX60" s="253"/>
      <c r="FY60" s="189">
        <f t="shared" si="140"/>
        <v>0</v>
      </c>
      <c r="FZ60" s="189">
        <f t="shared" si="324"/>
        <v>0</v>
      </c>
      <c r="GA60" s="189">
        <f t="shared" si="325"/>
        <v>0</v>
      </c>
      <c r="GB60" s="189">
        <f t="shared" si="326"/>
        <v>0</v>
      </c>
      <c r="GC60" s="189">
        <f t="shared" si="327"/>
        <v>0</v>
      </c>
      <c r="GD60" s="189">
        <f t="shared" si="328"/>
        <v>0</v>
      </c>
      <c r="GE60" s="189">
        <f t="shared" si="329"/>
        <v>0</v>
      </c>
      <c r="GF60" s="199"/>
      <c r="GG60" s="189">
        <v>0</v>
      </c>
      <c r="GH60" s="189">
        <v>0</v>
      </c>
      <c r="GI60" s="199"/>
      <c r="GJ60" s="200">
        <f t="shared" si="141"/>
        <v>0</v>
      </c>
      <c r="GK60" s="200">
        <f t="shared" si="142"/>
        <v>0</v>
      </c>
      <c r="GL60" s="195"/>
      <c r="GM60" s="195"/>
      <c r="GN60" s="195"/>
      <c r="GO60" s="189">
        <f t="shared" si="246"/>
        <v>0</v>
      </c>
      <c r="GP60" s="189">
        <f t="shared" si="247"/>
        <v>0</v>
      </c>
      <c r="GQ60" s="189">
        <f t="shared" si="248"/>
        <v>0</v>
      </c>
      <c r="GR60" s="189">
        <f t="shared" si="249"/>
        <v>0</v>
      </c>
      <c r="GS60" s="189">
        <f t="shared" si="250"/>
        <v>1</v>
      </c>
      <c r="GT60" s="189">
        <f t="shared" si="143"/>
        <v>0</v>
      </c>
      <c r="GU60" s="201">
        <f t="shared" si="144"/>
        <v>43243</v>
      </c>
      <c r="GV60" s="189" t="str">
        <f t="shared" si="145"/>
        <v>UGR</v>
      </c>
      <c r="GW60" s="189">
        <f t="shared" si="146"/>
        <v>1</v>
      </c>
      <c r="GX60" s="202" t="str">
        <f t="shared" si="147"/>
        <v>UGR</v>
      </c>
      <c r="GY60" s="202">
        <f t="shared" si="148"/>
        <v>14</v>
      </c>
      <c r="GZ60" s="203">
        <f t="shared" si="149"/>
        <v>43257</v>
      </c>
      <c r="HA60" s="204"/>
      <c r="HB60" s="204"/>
      <c r="HC60" s="189">
        <f t="shared" si="251"/>
        <v>1</v>
      </c>
      <c r="HD60" s="189">
        <f t="shared" si="252"/>
        <v>0</v>
      </c>
      <c r="HE60" s="189">
        <f t="shared" si="150"/>
        <v>1</v>
      </c>
      <c r="HF60" s="189">
        <f t="shared" si="151"/>
        <v>0</v>
      </c>
      <c r="HG60" s="189">
        <f t="shared" si="152"/>
        <v>1</v>
      </c>
      <c r="HH60" s="201">
        <f t="shared" si="46"/>
        <v>43288</v>
      </c>
      <c r="HI60" s="201">
        <f t="shared" si="153"/>
        <v>43302</v>
      </c>
      <c r="HJ60" s="205"/>
      <c r="HK60" s="201">
        <f t="shared" si="47"/>
        <v>43302</v>
      </c>
      <c r="HL60" s="204"/>
      <c r="HM60" s="204"/>
      <c r="HN60" s="204"/>
      <c r="HO60" s="204"/>
      <c r="HP60" s="203">
        <f t="shared" si="154"/>
        <v>0</v>
      </c>
      <c r="HQ60" s="202">
        <f t="shared" si="155"/>
        <v>0</v>
      </c>
      <c r="HR60" s="202">
        <f t="shared" si="253"/>
        <v>0</v>
      </c>
      <c r="HS60" s="203">
        <f t="shared" si="156"/>
        <v>43288</v>
      </c>
      <c r="HT60" s="202">
        <f t="shared" si="157"/>
        <v>1</v>
      </c>
      <c r="HU60" s="202">
        <f t="shared" si="254"/>
        <v>36</v>
      </c>
      <c r="HV60" s="203">
        <f t="shared" si="158"/>
        <v>0</v>
      </c>
      <c r="HW60" s="202">
        <f t="shared" si="50"/>
        <v>0</v>
      </c>
      <c r="HX60" s="202">
        <f t="shared" si="255"/>
        <v>0</v>
      </c>
      <c r="HY60" s="203">
        <f t="shared" si="52"/>
        <v>0</v>
      </c>
      <c r="HZ60" s="202">
        <f t="shared" si="159"/>
        <v>0</v>
      </c>
      <c r="IA60" s="202">
        <f t="shared" si="256"/>
        <v>0</v>
      </c>
      <c r="IB60" s="203">
        <f t="shared" si="160"/>
        <v>0</v>
      </c>
      <c r="IC60" s="202">
        <f t="shared" si="54"/>
        <v>0</v>
      </c>
      <c r="ID60" s="202">
        <f t="shared" si="257"/>
        <v>0</v>
      </c>
      <c r="IE60" s="203">
        <f t="shared" si="56"/>
        <v>0</v>
      </c>
      <c r="IF60" s="202">
        <f t="shared" si="57"/>
        <v>0</v>
      </c>
      <c r="IG60" s="202">
        <f t="shared" si="258"/>
        <v>0</v>
      </c>
      <c r="IH60" s="203">
        <f t="shared" si="161"/>
        <v>0</v>
      </c>
      <c r="II60" s="202">
        <f t="shared" si="162"/>
        <v>0</v>
      </c>
      <c r="IJ60" s="202">
        <f t="shared" si="259"/>
        <v>0</v>
      </c>
      <c r="IK60" s="203">
        <f t="shared" si="60"/>
        <v>0</v>
      </c>
      <c r="IL60" s="202">
        <f t="shared" si="61"/>
        <v>0</v>
      </c>
      <c r="IM60" s="202">
        <f t="shared" si="260"/>
        <v>0</v>
      </c>
      <c r="IN60" s="204"/>
      <c r="IO60" s="203">
        <f t="shared" si="63"/>
        <v>0</v>
      </c>
      <c r="IP60" s="202">
        <f t="shared" si="261"/>
        <v>0</v>
      </c>
      <c r="IQ60" s="202">
        <f t="shared" si="262"/>
        <v>0</v>
      </c>
      <c r="IR60" s="204"/>
      <c r="IS60" s="203"/>
      <c r="IT60" s="202">
        <f t="shared" si="263"/>
        <v>0</v>
      </c>
      <c r="IU60" s="202">
        <f t="shared" si="264"/>
        <v>0</v>
      </c>
      <c r="IV60" s="204"/>
      <c r="IW60" s="203"/>
      <c r="IX60" s="202">
        <f t="shared" si="265"/>
        <v>1</v>
      </c>
      <c r="IY60" s="202">
        <f t="shared" si="266"/>
        <v>36</v>
      </c>
      <c r="IZ60" s="204"/>
      <c r="JA60" s="203"/>
      <c r="JB60" s="202">
        <f t="shared" si="267"/>
        <v>0</v>
      </c>
      <c r="JC60" s="202">
        <f t="shared" si="268"/>
        <v>0</v>
      </c>
      <c r="JD60" s="204"/>
      <c r="JE60" s="203"/>
      <c r="JF60" s="202">
        <f t="shared" si="163"/>
        <v>2</v>
      </c>
      <c r="JG60" s="202">
        <f t="shared" si="72"/>
        <v>72</v>
      </c>
      <c r="JH60" s="204"/>
      <c r="JI60" s="203"/>
      <c r="JJ60" s="202">
        <f t="shared" si="269"/>
        <v>1</v>
      </c>
      <c r="JK60" s="202">
        <f t="shared" si="270"/>
        <v>36</v>
      </c>
      <c r="JL60" s="195"/>
      <c r="JM60" s="203">
        <f t="shared" si="164"/>
        <v>43288</v>
      </c>
      <c r="JN60" s="195"/>
      <c r="JO60" s="196">
        <f t="shared" si="75"/>
        <v>0</v>
      </c>
      <c r="JP60" s="206">
        <f t="shared" si="271"/>
        <v>0</v>
      </c>
      <c r="JQ60" s="206">
        <f t="shared" si="272"/>
        <v>0</v>
      </c>
      <c r="JR60" s="206">
        <f t="shared" si="273"/>
        <v>0</v>
      </c>
      <c r="JS60" s="206">
        <f t="shared" si="274"/>
        <v>0</v>
      </c>
      <c r="JT60" s="206">
        <f t="shared" si="275"/>
        <v>0</v>
      </c>
      <c r="JU60" s="206">
        <f t="shared" si="276"/>
        <v>0</v>
      </c>
      <c r="JV60" s="206">
        <f t="shared" si="277"/>
        <v>0</v>
      </c>
      <c r="JW60" s="206">
        <f t="shared" si="278"/>
        <v>0</v>
      </c>
      <c r="JX60" s="206">
        <f t="shared" si="279"/>
        <v>0</v>
      </c>
      <c r="JY60" s="206">
        <f t="shared" si="280"/>
        <v>0</v>
      </c>
      <c r="JZ60" s="206">
        <f t="shared" si="281"/>
        <v>0</v>
      </c>
      <c r="KA60" s="206">
        <f t="shared" si="282"/>
        <v>0</v>
      </c>
      <c r="KB60" s="206">
        <f t="shared" si="283"/>
        <v>0</v>
      </c>
      <c r="KC60" s="195"/>
      <c r="KD60" s="206">
        <f t="shared" si="165"/>
        <v>0</v>
      </c>
      <c r="KE60" s="206">
        <f t="shared" si="90"/>
        <v>0</v>
      </c>
      <c r="KF60" s="206">
        <f t="shared" si="284"/>
        <v>0</v>
      </c>
      <c r="KG60" s="206">
        <f t="shared" si="285"/>
        <v>0</v>
      </c>
      <c r="KH60" s="206">
        <f t="shared" si="286"/>
        <v>0</v>
      </c>
      <c r="KI60" s="206">
        <f t="shared" si="287"/>
        <v>0</v>
      </c>
      <c r="KJ60" s="206">
        <f t="shared" si="288"/>
        <v>0</v>
      </c>
      <c r="KK60" s="206">
        <f t="shared" si="289"/>
        <v>0</v>
      </c>
      <c r="KL60" s="206">
        <f t="shared" si="290"/>
        <v>0</v>
      </c>
      <c r="KM60" s="206">
        <f t="shared" si="291"/>
        <v>0</v>
      </c>
      <c r="KN60" s="221">
        <f t="shared" si="292"/>
        <v>0</v>
      </c>
      <c r="KO60" s="221">
        <f t="shared" si="293"/>
        <v>0</v>
      </c>
      <c r="KP60" s="221">
        <f t="shared" si="294"/>
        <v>0</v>
      </c>
      <c r="KQ60" s="221">
        <f t="shared" si="295"/>
        <v>0</v>
      </c>
      <c r="KR60" s="221">
        <f t="shared" si="296"/>
        <v>0</v>
      </c>
      <c r="KS60" s="195"/>
      <c r="KT60" s="195">
        <f t="shared" si="297"/>
        <v>0</v>
      </c>
      <c r="KU60" s="221"/>
      <c r="KV60" s="221"/>
      <c r="KW60" s="221"/>
      <c r="KX60" s="221"/>
      <c r="KY60" s="221"/>
      <c r="KZ60" s="221"/>
      <c r="LA60" s="221"/>
      <c r="LB60" s="221"/>
      <c r="LC60" s="221"/>
      <c r="LD60" s="221"/>
      <c r="LE60" s="221"/>
      <c r="LF60" s="221"/>
      <c r="LG60" s="221"/>
      <c r="LH60" s="221"/>
      <c r="LI60" s="221"/>
      <c r="LJ60" s="221"/>
      <c r="LK60" s="221"/>
      <c r="LL60" s="221"/>
      <c r="LM60" s="221"/>
      <c r="LN60" s="221"/>
      <c r="LO60" s="221"/>
      <c r="LP60" s="221"/>
      <c r="LQ60" s="221"/>
      <c r="LR60" s="221"/>
      <c r="LS60" s="221"/>
      <c r="LT60" s="221"/>
      <c r="LU60" s="221"/>
      <c r="LV60" s="221"/>
      <c r="LW60" s="221"/>
      <c r="LX60" s="221"/>
      <c r="LY60" s="221"/>
      <c r="LZ60" s="221"/>
      <c r="MA60" s="221"/>
      <c r="MB60" s="221"/>
      <c r="MC60" s="221"/>
      <c r="MD60" s="221"/>
      <c r="ME60" s="221"/>
      <c r="MF60" s="221"/>
      <c r="MG60" s="221"/>
      <c r="MH60" s="221"/>
      <c r="MI60" s="221"/>
      <c r="MJ60" s="221"/>
      <c r="MK60" s="221"/>
      <c r="ML60" s="221"/>
      <c r="MM60" s="221"/>
      <c r="MN60" s="221"/>
      <c r="MO60" s="221"/>
      <c r="MP60" s="221"/>
      <c r="MQ60" s="221"/>
      <c r="MR60" s="221"/>
      <c r="MS60" s="221"/>
      <c r="MT60" s="221"/>
      <c r="MU60" s="221"/>
      <c r="MV60" s="221"/>
      <c r="MW60" s="221"/>
      <c r="MX60" s="221"/>
      <c r="MY60" s="221"/>
      <c r="MZ60" s="221"/>
      <c r="NA60" s="221"/>
      <c r="NB60" s="221"/>
      <c r="NC60" s="221"/>
      <c r="ND60" s="221"/>
      <c r="NE60" s="221"/>
      <c r="NF60" s="221"/>
      <c r="NG60" s="221"/>
      <c r="NH60" s="221"/>
      <c r="NI60" s="221"/>
      <c r="NJ60" s="221"/>
      <c r="NK60" s="221"/>
      <c r="NL60" s="195"/>
      <c r="NM60" s="195">
        <f t="shared" si="166"/>
        <v>0</v>
      </c>
      <c r="NN60" s="195">
        <f t="shared" si="167"/>
        <v>0</v>
      </c>
      <c r="NO60" s="195">
        <f t="shared" si="168"/>
        <v>0</v>
      </c>
      <c r="NP60" s="195">
        <f t="shared" si="169"/>
        <v>0</v>
      </c>
      <c r="NQ60" s="195">
        <f t="shared" si="170"/>
        <v>0</v>
      </c>
      <c r="NR60" s="195">
        <f t="shared" si="171"/>
        <v>0</v>
      </c>
      <c r="NS60" s="195">
        <f t="shared" si="172"/>
        <v>0</v>
      </c>
      <c r="NT60" s="195">
        <f t="shared" si="173"/>
        <v>0</v>
      </c>
      <c r="NU60" s="196">
        <f t="shared" si="174"/>
        <v>0</v>
      </c>
      <c r="NV60" s="195"/>
      <c r="NW60" s="195"/>
      <c r="NX60" s="195"/>
      <c r="NY60" s="196">
        <f t="shared" si="232"/>
        <v>0</v>
      </c>
      <c r="NZ60" s="222">
        <f>224910000/27</f>
        <v>8330000</v>
      </c>
      <c r="OA60" s="195">
        <f>29988/36</f>
        <v>833</v>
      </c>
      <c r="OB60" s="195"/>
      <c r="OC60" s="195"/>
      <c r="OD60" s="195"/>
      <c r="OE60" s="207">
        <f t="shared" si="233"/>
        <v>0</v>
      </c>
      <c r="OF60" s="207">
        <f t="shared" si="234"/>
        <v>0</v>
      </c>
      <c r="OG60" s="207">
        <f t="shared" si="235"/>
        <v>0</v>
      </c>
      <c r="OH60" s="207">
        <f t="shared" si="175"/>
        <v>1</v>
      </c>
      <c r="OI60" s="207">
        <f t="shared" si="236"/>
        <v>0</v>
      </c>
      <c r="OJ60" s="199">
        <f t="shared" si="176"/>
        <v>0</v>
      </c>
      <c r="OK60" s="199">
        <f t="shared" si="177"/>
        <v>0</v>
      </c>
      <c r="OL60" s="199">
        <f t="shared" si="178"/>
        <v>0</v>
      </c>
      <c r="OM60" s="199">
        <f t="shared" si="179"/>
        <v>0</v>
      </c>
      <c r="ON60" s="195"/>
      <c r="OO60" s="207">
        <f t="shared" si="237"/>
        <v>0</v>
      </c>
      <c r="OP60" s="207">
        <f t="shared" si="238"/>
        <v>0</v>
      </c>
      <c r="OQ60" s="207">
        <f t="shared" si="180"/>
        <v>0</v>
      </c>
      <c r="OR60" s="207">
        <f t="shared" si="181"/>
        <v>1</v>
      </c>
      <c r="OS60" s="207">
        <f t="shared" si="182"/>
        <v>0</v>
      </c>
      <c r="OT60" s="199">
        <f t="shared" si="183"/>
        <v>0</v>
      </c>
      <c r="OU60" s="199">
        <f t="shared" si="184"/>
        <v>0</v>
      </c>
      <c r="OV60" s="199">
        <f t="shared" si="185"/>
        <v>0</v>
      </c>
      <c r="OW60" s="199">
        <f t="shared" si="186"/>
        <v>0</v>
      </c>
      <c r="OX60" s="195"/>
      <c r="OY60" s="195"/>
      <c r="OZ60" s="195"/>
      <c r="PA60" s="209"/>
      <c r="PB60" s="209"/>
      <c r="PC60" s="209"/>
      <c r="PD60" s="210">
        <f t="shared" si="113"/>
        <v>0</v>
      </c>
      <c r="PE60" s="210"/>
      <c r="PF60" s="210">
        <f t="shared" si="114"/>
        <v>0</v>
      </c>
      <c r="PG60" s="210">
        <f t="shared" si="302"/>
        <v>0</v>
      </c>
      <c r="PH60" s="210">
        <f t="shared" si="302"/>
        <v>0</v>
      </c>
      <c r="PI60" s="210">
        <f t="shared" si="302"/>
        <v>0</v>
      </c>
      <c r="PJ60" s="210">
        <f t="shared" si="300"/>
        <v>0</v>
      </c>
      <c r="PK60" s="210">
        <f t="shared" si="300"/>
        <v>0</v>
      </c>
      <c r="PL60" s="210">
        <f t="shared" si="300"/>
        <v>0</v>
      </c>
      <c r="PM60" s="195"/>
      <c r="PN60" s="195"/>
      <c r="PO60" s="212">
        <f t="shared" si="187"/>
        <v>0</v>
      </c>
      <c r="PP60" s="212">
        <f t="shared" si="188"/>
        <v>36</v>
      </c>
      <c r="PQ60" s="212">
        <f t="shared" si="189"/>
        <v>0</v>
      </c>
    </row>
    <row r="61" spans="1:433 16383:16383" ht="16" x14ac:dyDescent="0.2">
      <c r="A61" s="213">
        <f t="shared" ref="A61" si="358">A60+1</f>
        <v>52</v>
      </c>
      <c r="B61" s="186" t="s">
        <v>130</v>
      </c>
      <c r="C61" s="186">
        <v>54</v>
      </c>
      <c r="D61" s="188">
        <v>1</v>
      </c>
      <c r="E61" s="188">
        <v>27</v>
      </c>
      <c r="F61" s="188">
        <v>1</v>
      </c>
      <c r="G61" s="188">
        <f t="shared" si="239"/>
        <v>27</v>
      </c>
      <c r="H61" s="214">
        <f t="shared" si="203"/>
        <v>1</v>
      </c>
      <c r="I61" s="214">
        <f t="shared" si="204"/>
        <v>1</v>
      </c>
      <c r="J61" s="188">
        <v>1</v>
      </c>
      <c r="K61" s="188">
        <f t="shared" si="205"/>
        <v>27</v>
      </c>
      <c r="L61" s="214">
        <f t="shared" si="206"/>
        <v>1</v>
      </c>
      <c r="M61" s="214">
        <f t="shared" si="207"/>
        <v>1</v>
      </c>
      <c r="N61" s="188">
        <v>1</v>
      </c>
      <c r="O61" s="188">
        <f t="shared" si="208"/>
        <v>27</v>
      </c>
      <c r="P61" s="214">
        <f t="shared" si="209"/>
        <v>1</v>
      </c>
      <c r="Q61" s="214">
        <f t="shared" si="210"/>
        <v>1</v>
      </c>
      <c r="R61" s="188">
        <v>1</v>
      </c>
      <c r="S61" s="188">
        <f t="shared" si="211"/>
        <v>27</v>
      </c>
      <c r="T61" s="214">
        <f t="shared" si="212"/>
        <v>1</v>
      </c>
      <c r="U61" s="214">
        <f t="shared" si="213"/>
        <v>1</v>
      </c>
      <c r="V61" s="188">
        <v>1</v>
      </c>
      <c r="W61" s="188">
        <f t="shared" si="214"/>
        <v>27</v>
      </c>
      <c r="X61" s="214">
        <f t="shared" si="215"/>
        <v>1</v>
      </c>
      <c r="Y61" s="214">
        <f t="shared" si="216"/>
        <v>1</v>
      </c>
      <c r="Z61" s="224">
        <f>789993000/1000000000</f>
        <v>0.78999299999999995</v>
      </c>
      <c r="AA61" s="188"/>
      <c r="AB61" s="189">
        <f t="shared" si="120"/>
        <v>0</v>
      </c>
      <c r="AC61" s="250">
        <f t="shared" si="121"/>
        <v>0</v>
      </c>
      <c r="AD61" s="250">
        <f t="shared" si="122"/>
        <v>0</v>
      </c>
      <c r="AE61" s="188"/>
      <c r="AF61" s="188">
        <f t="shared" si="217"/>
        <v>0</v>
      </c>
      <c r="AG61" s="187"/>
      <c r="AH61" s="187"/>
      <c r="AI61" s="188">
        <v>0</v>
      </c>
      <c r="AJ61" s="188">
        <f t="shared" si="218"/>
        <v>0</v>
      </c>
      <c r="AK61" s="188"/>
      <c r="AL61" s="188">
        <v>0</v>
      </c>
      <c r="AM61" s="188">
        <v>0</v>
      </c>
      <c r="AN61" s="217"/>
      <c r="AO61" s="196">
        <f t="shared" si="123"/>
        <v>0</v>
      </c>
      <c r="AP61" s="195"/>
      <c r="AQ61" s="195"/>
      <c r="AR61" s="195"/>
      <c r="AS61" s="195"/>
      <c r="AT61" s="195"/>
      <c r="AU61" s="195"/>
      <c r="AV61" s="195"/>
      <c r="AW61" s="195"/>
      <c r="AX61" s="195"/>
      <c r="AY61" s="195"/>
      <c r="AZ61" s="195"/>
      <c r="BA61" s="195"/>
      <c r="BB61" s="188">
        <f t="shared" si="219"/>
        <v>0</v>
      </c>
      <c r="BC61" s="195"/>
      <c r="BD61" s="196"/>
      <c r="BE61" s="188">
        <f t="shared" si="220"/>
        <v>0</v>
      </c>
      <c r="BF61" s="188">
        <f t="shared" si="221"/>
        <v>0</v>
      </c>
      <c r="BG61" s="188">
        <f t="shared" si="222"/>
        <v>0</v>
      </c>
      <c r="BH61" s="188">
        <f t="shared" si="223"/>
        <v>0</v>
      </c>
      <c r="BI61" s="188">
        <f t="shared" si="224"/>
        <v>0</v>
      </c>
      <c r="BJ61" s="188">
        <f t="shared" si="225"/>
        <v>0</v>
      </c>
      <c r="BK61" s="188">
        <f t="shared" si="124"/>
        <v>0</v>
      </c>
      <c r="BL61" s="195"/>
      <c r="BM61" s="195"/>
      <c r="BN61" s="143"/>
      <c r="BO61" s="277"/>
      <c r="BP61" s="188"/>
      <c r="BQ61" s="188"/>
      <c r="BR61" s="188"/>
      <c r="BS61" s="188"/>
      <c r="BT61" s="188"/>
      <c r="BU61" s="188"/>
      <c r="BV61" s="188"/>
      <c r="BW61" s="188"/>
      <c r="BX61" s="188"/>
      <c r="BY61" s="188"/>
      <c r="BZ61" s="188"/>
      <c r="CA61" s="195"/>
      <c r="CB61" s="188">
        <v>0</v>
      </c>
      <c r="CC61" s="195"/>
      <c r="CD61" s="189">
        <f t="shared" si="125"/>
        <v>0</v>
      </c>
      <c r="CE61" s="189">
        <f t="shared" si="191"/>
        <v>0</v>
      </c>
      <c r="CF61" s="189">
        <f t="shared" si="126"/>
        <v>0</v>
      </c>
      <c r="CG61" s="189">
        <f t="shared" si="127"/>
        <v>0</v>
      </c>
      <c r="CH61" s="189">
        <f t="shared" si="128"/>
        <v>0</v>
      </c>
      <c r="CI61" s="189">
        <f t="shared" si="129"/>
        <v>0</v>
      </c>
      <c r="CJ61" s="189">
        <f t="shared" si="130"/>
        <v>0</v>
      </c>
      <c r="CK61" s="189">
        <f t="shared" si="131"/>
        <v>0</v>
      </c>
      <c r="CL61" s="189">
        <f t="shared" si="132"/>
        <v>0</v>
      </c>
      <c r="CM61" s="189">
        <f t="shared" si="133"/>
        <v>0</v>
      </c>
      <c r="CN61" s="189">
        <f t="shared" si="134"/>
        <v>0</v>
      </c>
      <c r="CO61" s="189">
        <f t="shared" si="135"/>
        <v>0</v>
      </c>
      <c r="CP61" s="189">
        <f t="shared" si="136"/>
        <v>0</v>
      </c>
      <c r="CQ61" s="195"/>
      <c r="CR61" s="195"/>
      <c r="CS61" s="195"/>
      <c r="CT61" s="195"/>
      <c r="CU61" s="195"/>
      <c r="CV61" s="195"/>
      <c r="CW61" s="195"/>
      <c r="CX61" s="195"/>
      <c r="CY61" s="195"/>
      <c r="CZ61" s="195"/>
      <c r="DA61" s="195"/>
      <c r="DB61" s="195"/>
      <c r="DC61" s="195"/>
      <c r="DD61" s="195"/>
      <c r="DE61" s="195"/>
      <c r="DF61" s="195"/>
      <c r="DG61" s="195"/>
      <c r="DH61" s="195"/>
      <c r="DI61" s="195"/>
      <c r="DJ61" s="195"/>
      <c r="DK61" s="195"/>
      <c r="DL61" s="195"/>
      <c r="DM61" s="195"/>
      <c r="DN61" s="195"/>
      <c r="DO61" s="195"/>
      <c r="DP61" s="195"/>
      <c r="DQ61" s="195"/>
      <c r="DR61" s="195"/>
      <c r="DS61" s="195"/>
      <c r="DT61" s="195"/>
      <c r="DU61" s="195"/>
      <c r="DV61" s="189">
        <f t="shared" si="226"/>
        <v>0</v>
      </c>
      <c r="DW61" s="189">
        <f t="shared" si="227"/>
        <v>0</v>
      </c>
      <c r="DX61" s="189">
        <f t="shared" si="228"/>
        <v>0</v>
      </c>
      <c r="DY61" s="189">
        <f t="shared" si="229"/>
        <v>0</v>
      </c>
      <c r="DZ61" s="189">
        <f t="shared" si="230"/>
        <v>0</v>
      </c>
      <c r="EA61" s="189">
        <f t="shared" si="231"/>
        <v>0</v>
      </c>
      <c r="EB61" s="189">
        <f t="shared" si="137"/>
        <v>0</v>
      </c>
      <c r="EC61" s="195"/>
      <c r="ED61" s="195"/>
      <c r="EE61" s="195"/>
      <c r="EF61" s="195"/>
      <c r="EG61" s="252">
        <f t="shared" si="138"/>
        <v>0</v>
      </c>
      <c r="EH61" s="252">
        <f t="shared" si="139"/>
        <v>0</v>
      </c>
      <c r="EI61" s="189"/>
      <c r="EJ61" s="189"/>
      <c r="EK61" s="189"/>
      <c r="EL61" s="189"/>
      <c r="EM61" s="189"/>
      <c r="EN61" s="189"/>
      <c r="EO61" s="189"/>
      <c r="EP61" s="189"/>
      <c r="EQ61" s="189"/>
      <c r="ER61" s="189"/>
      <c r="ES61" s="189"/>
      <c r="ET61" s="189"/>
      <c r="EU61" s="189"/>
      <c r="EV61" s="189"/>
      <c r="EW61" s="189"/>
      <c r="EX61" s="189"/>
      <c r="EY61" s="189"/>
      <c r="EZ61" s="189"/>
      <c r="FA61" s="189"/>
      <c r="FB61" s="189"/>
      <c r="FC61" s="189"/>
      <c r="FD61" s="189"/>
      <c r="FE61" s="189"/>
      <c r="FF61" s="189"/>
      <c r="FG61" s="195"/>
      <c r="FH61" s="189"/>
      <c r="FI61" s="189"/>
      <c r="FJ61" s="189"/>
      <c r="FK61" s="189"/>
      <c r="FL61" s="189"/>
      <c r="FM61" s="189"/>
      <c r="FN61" s="189"/>
      <c r="FO61" s="189"/>
      <c r="FP61" s="189"/>
      <c r="FQ61" s="189"/>
      <c r="FR61" s="189"/>
      <c r="FS61" s="189"/>
      <c r="FT61" s="189"/>
      <c r="FU61" s="189"/>
      <c r="FV61" s="189"/>
      <c r="FW61" s="195"/>
      <c r="FX61" s="253"/>
      <c r="FY61" s="189">
        <f t="shared" si="140"/>
        <v>0</v>
      </c>
      <c r="FZ61" s="189">
        <f t="shared" si="324"/>
        <v>0</v>
      </c>
      <c r="GA61" s="189">
        <f t="shared" si="325"/>
        <v>0</v>
      </c>
      <c r="GB61" s="189">
        <f t="shared" si="326"/>
        <v>0</v>
      </c>
      <c r="GC61" s="189">
        <f t="shared" si="327"/>
        <v>0</v>
      </c>
      <c r="GD61" s="189">
        <f t="shared" si="328"/>
        <v>0</v>
      </c>
      <c r="GE61" s="189">
        <f t="shared" si="329"/>
        <v>0</v>
      </c>
      <c r="GF61" s="199"/>
      <c r="GG61" s="189">
        <v>0</v>
      </c>
      <c r="GH61" s="189">
        <v>0</v>
      </c>
      <c r="GI61" s="199"/>
      <c r="GJ61" s="200">
        <f t="shared" si="141"/>
        <v>0</v>
      </c>
      <c r="GK61" s="200">
        <f t="shared" si="142"/>
        <v>0</v>
      </c>
      <c r="GL61" s="195"/>
      <c r="GM61" s="195"/>
      <c r="GN61" s="195"/>
      <c r="GO61" s="189">
        <f t="shared" si="246"/>
        <v>0</v>
      </c>
      <c r="GP61" s="189">
        <f t="shared" si="247"/>
        <v>0</v>
      </c>
      <c r="GQ61" s="189">
        <f t="shared" si="248"/>
        <v>0</v>
      </c>
      <c r="GR61" s="189">
        <f t="shared" si="249"/>
        <v>0</v>
      </c>
      <c r="GS61" s="189">
        <f t="shared" si="250"/>
        <v>0</v>
      </c>
      <c r="GT61" s="189">
        <f t="shared" si="143"/>
        <v>1</v>
      </c>
      <c r="GU61" s="201">
        <f t="shared" si="144"/>
        <v>43243</v>
      </c>
      <c r="GV61" s="189" t="str">
        <f t="shared" si="145"/>
        <v>SELESAI</v>
      </c>
      <c r="GW61" s="189">
        <f t="shared" si="146"/>
        <v>0</v>
      </c>
      <c r="GX61" s="202" t="str">
        <f t="shared" si="147"/>
        <v>SELESAI</v>
      </c>
      <c r="GY61" s="202">
        <f t="shared" si="148"/>
        <v>0</v>
      </c>
      <c r="GZ61" s="203" t="str">
        <f t="shared" si="149"/>
        <v>SELESAI</v>
      </c>
      <c r="HA61" s="204"/>
      <c r="HB61" s="204"/>
      <c r="HC61" s="189">
        <f t="shared" si="251"/>
        <v>0</v>
      </c>
      <c r="HD61" s="189">
        <f t="shared" si="252"/>
        <v>0</v>
      </c>
      <c r="HE61" s="189">
        <f t="shared" si="150"/>
        <v>0</v>
      </c>
      <c r="HF61" s="189">
        <f t="shared" si="151"/>
        <v>0</v>
      </c>
      <c r="HG61" s="189">
        <f t="shared" si="152"/>
        <v>0</v>
      </c>
      <c r="HH61" s="201" t="str">
        <f t="shared" si="46"/>
        <v>TIDAK KONSINYASI</v>
      </c>
      <c r="HI61" s="201" t="str">
        <f t="shared" si="153"/>
        <v>SELESAI</v>
      </c>
      <c r="HJ61" s="205"/>
      <c r="HK61" s="201">
        <f t="shared" si="47"/>
        <v>0</v>
      </c>
      <c r="HL61" s="204"/>
      <c r="HM61" s="204"/>
      <c r="HN61" s="204"/>
      <c r="HO61" s="204"/>
      <c r="HP61" s="203">
        <f t="shared" si="154"/>
        <v>0</v>
      </c>
      <c r="HQ61" s="202">
        <f t="shared" si="155"/>
        <v>0</v>
      </c>
      <c r="HR61" s="202">
        <f t="shared" si="253"/>
        <v>0</v>
      </c>
      <c r="HS61" s="203">
        <f t="shared" si="156"/>
        <v>0</v>
      </c>
      <c r="HT61" s="202">
        <f t="shared" si="157"/>
        <v>0</v>
      </c>
      <c r="HU61" s="202">
        <f t="shared" si="254"/>
        <v>0</v>
      </c>
      <c r="HV61" s="203">
        <f t="shared" si="158"/>
        <v>0</v>
      </c>
      <c r="HW61" s="202">
        <f t="shared" si="50"/>
        <v>0</v>
      </c>
      <c r="HX61" s="202">
        <f t="shared" si="255"/>
        <v>0</v>
      </c>
      <c r="HY61" s="203">
        <f t="shared" si="52"/>
        <v>0</v>
      </c>
      <c r="HZ61" s="202">
        <f t="shared" si="159"/>
        <v>0</v>
      </c>
      <c r="IA61" s="202">
        <f t="shared" si="256"/>
        <v>0</v>
      </c>
      <c r="IB61" s="203">
        <f t="shared" si="160"/>
        <v>0</v>
      </c>
      <c r="IC61" s="202">
        <f t="shared" si="54"/>
        <v>0</v>
      </c>
      <c r="ID61" s="202">
        <f t="shared" si="257"/>
        <v>0</v>
      </c>
      <c r="IE61" s="203">
        <f t="shared" si="56"/>
        <v>0</v>
      </c>
      <c r="IF61" s="202">
        <f t="shared" si="57"/>
        <v>0</v>
      </c>
      <c r="IG61" s="202">
        <f t="shared" si="258"/>
        <v>0</v>
      </c>
      <c r="IH61" s="203">
        <f t="shared" si="161"/>
        <v>0</v>
      </c>
      <c r="II61" s="202">
        <f t="shared" si="162"/>
        <v>0</v>
      </c>
      <c r="IJ61" s="202">
        <f t="shared" si="259"/>
        <v>0</v>
      </c>
      <c r="IK61" s="203">
        <f t="shared" si="60"/>
        <v>0</v>
      </c>
      <c r="IL61" s="202">
        <f t="shared" si="61"/>
        <v>0</v>
      </c>
      <c r="IM61" s="202">
        <f t="shared" si="260"/>
        <v>0</v>
      </c>
      <c r="IN61" s="204"/>
      <c r="IO61" s="203">
        <f t="shared" si="63"/>
        <v>0</v>
      </c>
      <c r="IP61" s="202">
        <f t="shared" si="261"/>
        <v>0</v>
      </c>
      <c r="IQ61" s="202">
        <f t="shared" si="262"/>
        <v>0</v>
      </c>
      <c r="IR61" s="204"/>
      <c r="IS61" s="203"/>
      <c r="IT61" s="202">
        <f t="shared" si="263"/>
        <v>1</v>
      </c>
      <c r="IU61" s="202">
        <f t="shared" si="264"/>
        <v>27</v>
      </c>
      <c r="IV61" s="204"/>
      <c r="IW61" s="203"/>
      <c r="IX61" s="202">
        <f t="shared" si="265"/>
        <v>0</v>
      </c>
      <c r="IY61" s="202">
        <f t="shared" si="266"/>
        <v>0</v>
      </c>
      <c r="IZ61" s="204"/>
      <c r="JA61" s="203"/>
      <c r="JB61" s="202">
        <f t="shared" si="267"/>
        <v>0</v>
      </c>
      <c r="JC61" s="202">
        <f t="shared" si="268"/>
        <v>0</v>
      </c>
      <c r="JD61" s="204"/>
      <c r="JE61" s="203"/>
      <c r="JF61" s="202">
        <f t="shared" si="163"/>
        <v>1</v>
      </c>
      <c r="JG61" s="202">
        <f t="shared" si="72"/>
        <v>27</v>
      </c>
      <c r="JH61" s="204"/>
      <c r="JI61" s="203"/>
      <c r="JJ61" s="202">
        <f t="shared" si="269"/>
        <v>0</v>
      </c>
      <c r="JK61" s="202">
        <f t="shared" si="270"/>
        <v>0</v>
      </c>
      <c r="JL61" s="195"/>
      <c r="JM61" s="203">
        <f t="shared" si="164"/>
        <v>0</v>
      </c>
      <c r="JN61" s="195"/>
      <c r="JO61" s="196">
        <f t="shared" si="75"/>
        <v>0</v>
      </c>
      <c r="JP61" s="206">
        <f t="shared" si="271"/>
        <v>0</v>
      </c>
      <c r="JQ61" s="206">
        <f t="shared" si="272"/>
        <v>0</v>
      </c>
      <c r="JR61" s="206">
        <f t="shared" si="273"/>
        <v>0</v>
      </c>
      <c r="JS61" s="206">
        <f t="shared" si="274"/>
        <v>0</v>
      </c>
      <c r="JT61" s="206">
        <f t="shared" si="275"/>
        <v>0</v>
      </c>
      <c r="JU61" s="206">
        <f t="shared" si="276"/>
        <v>0</v>
      </c>
      <c r="JV61" s="206">
        <f t="shared" si="277"/>
        <v>0</v>
      </c>
      <c r="JW61" s="206">
        <f t="shared" si="278"/>
        <v>0</v>
      </c>
      <c r="JX61" s="206">
        <f t="shared" si="279"/>
        <v>0</v>
      </c>
      <c r="JY61" s="206">
        <f t="shared" si="280"/>
        <v>0</v>
      </c>
      <c r="JZ61" s="206">
        <f t="shared" si="281"/>
        <v>0</v>
      </c>
      <c r="KA61" s="206">
        <f t="shared" si="282"/>
        <v>0</v>
      </c>
      <c r="KB61" s="206">
        <f t="shared" si="283"/>
        <v>0</v>
      </c>
      <c r="KC61" s="195"/>
      <c r="KD61" s="206">
        <f t="shared" si="165"/>
        <v>0</v>
      </c>
      <c r="KE61" s="206">
        <f t="shared" si="90"/>
        <v>0</v>
      </c>
      <c r="KF61" s="206">
        <f t="shared" si="284"/>
        <v>0</v>
      </c>
      <c r="KG61" s="206">
        <f t="shared" si="285"/>
        <v>0</v>
      </c>
      <c r="KH61" s="206">
        <f t="shared" si="286"/>
        <v>0</v>
      </c>
      <c r="KI61" s="206">
        <f t="shared" si="287"/>
        <v>0</v>
      </c>
      <c r="KJ61" s="206">
        <f t="shared" si="288"/>
        <v>0</v>
      </c>
      <c r="KK61" s="206">
        <f t="shared" si="289"/>
        <v>0</v>
      </c>
      <c r="KL61" s="206">
        <f t="shared" si="290"/>
        <v>0</v>
      </c>
      <c r="KM61" s="206">
        <f t="shared" si="291"/>
        <v>0</v>
      </c>
      <c r="KN61" s="221">
        <f t="shared" si="292"/>
        <v>0</v>
      </c>
      <c r="KO61" s="221">
        <f t="shared" si="293"/>
        <v>0</v>
      </c>
      <c r="KP61" s="221">
        <f t="shared" si="294"/>
        <v>0</v>
      </c>
      <c r="KQ61" s="221">
        <f t="shared" si="295"/>
        <v>0</v>
      </c>
      <c r="KR61" s="221">
        <f t="shared" si="296"/>
        <v>0</v>
      </c>
      <c r="KS61" s="195"/>
      <c r="KT61" s="195">
        <f t="shared" si="297"/>
        <v>0</v>
      </c>
      <c r="KU61" s="221"/>
      <c r="KV61" s="221"/>
      <c r="KW61" s="221"/>
      <c r="KX61" s="221"/>
      <c r="KY61" s="221"/>
      <c r="KZ61" s="221"/>
      <c r="LA61" s="221"/>
      <c r="LB61" s="221"/>
      <c r="LC61" s="221"/>
      <c r="LD61" s="221"/>
      <c r="LE61" s="221"/>
      <c r="LF61" s="221"/>
      <c r="LG61" s="221"/>
      <c r="LH61" s="221"/>
      <c r="LI61" s="221"/>
      <c r="LJ61" s="221"/>
      <c r="LK61" s="221"/>
      <c r="LL61" s="221"/>
      <c r="LM61" s="221"/>
      <c r="LN61" s="221"/>
      <c r="LO61" s="221"/>
      <c r="LP61" s="221"/>
      <c r="LQ61" s="221"/>
      <c r="LR61" s="221"/>
      <c r="LS61" s="221"/>
      <c r="LT61" s="221"/>
      <c r="LU61" s="221"/>
      <c r="LV61" s="221"/>
      <c r="LW61" s="221"/>
      <c r="LX61" s="221"/>
      <c r="LY61" s="221"/>
      <c r="LZ61" s="221"/>
      <c r="MA61" s="221"/>
      <c r="MB61" s="221"/>
      <c r="MC61" s="221"/>
      <c r="MD61" s="221"/>
      <c r="ME61" s="221"/>
      <c r="MF61" s="221"/>
      <c r="MG61" s="221"/>
      <c r="MH61" s="221"/>
      <c r="MI61" s="221"/>
      <c r="MJ61" s="221"/>
      <c r="MK61" s="221"/>
      <c r="ML61" s="221"/>
      <c r="MM61" s="221"/>
      <c r="MN61" s="221"/>
      <c r="MO61" s="221"/>
      <c r="MP61" s="221"/>
      <c r="MQ61" s="221"/>
      <c r="MR61" s="221"/>
      <c r="MS61" s="221"/>
      <c r="MT61" s="221"/>
      <c r="MU61" s="221"/>
      <c r="MV61" s="221"/>
      <c r="MW61" s="221"/>
      <c r="MX61" s="221"/>
      <c r="MY61" s="221"/>
      <c r="MZ61" s="221"/>
      <c r="NA61" s="221"/>
      <c r="NB61" s="221"/>
      <c r="NC61" s="221"/>
      <c r="ND61" s="221"/>
      <c r="NE61" s="221"/>
      <c r="NF61" s="221"/>
      <c r="NG61" s="221"/>
      <c r="NH61" s="221"/>
      <c r="NI61" s="221"/>
      <c r="NJ61" s="221"/>
      <c r="NK61" s="221"/>
      <c r="NL61" s="195"/>
      <c r="NM61" s="195">
        <f t="shared" si="166"/>
        <v>0</v>
      </c>
      <c r="NN61" s="195">
        <f t="shared" si="167"/>
        <v>0</v>
      </c>
      <c r="NO61" s="195">
        <f t="shared" si="168"/>
        <v>0</v>
      </c>
      <c r="NP61" s="195">
        <f t="shared" si="169"/>
        <v>0</v>
      </c>
      <c r="NQ61" s="195">
        <f t="shared" si="170"/>
        <v>0</v>
      </c>
      <c r="NR61" s="195">
        <f t="shared" si="171"/>
        <v>0</v>
      </c>
      <c r="NS61" s="195">
        <f t="shared" si="172"/>
        <v>0</v>
      </c>
      <c r="NT61" s="195">
        <f t="shared" si="173"/>
        <v>0</v>
      </c>
      <c r="NU61" s="196">
        <f t="shared" si="174"/>
        <v>0</v>
      </c>
      <c r="NV61" s="195"/>
      <c r="NW61" s="195"/>
      <c r="NX61" s="195"/>
      <c r="NY61" s="196">
        <f t="shared" si="232"/>
        <v>1</v>
      </c>
      <c r="NZ61" s="222">
        <f>467500000/55</f>
        <v>8500000</v>
      </c>
      <c r="OA61" s="195"/>
      <c r="OB61" s="195"/>
      <c r="OC61" s="195"/>
      <c r="OD61" s="195"/>
      <c r="OE61" s="207">
        <f t="shared" si="233"/>
        <v>0</v>
      </c>
      <c r="OF61" s="207">
        <f t="shared" si="234"/>
        <v>0</v>
      </c>
      <c r="OG61" s="207">
        <f t="shared" si="235"/>
        <v>0</v>
      </c>
      <c r="OH61" s="207">
        <f t="shared" si="175"/>
        <v>0</v>
      </c>
      <c r="OI61" s="207">
        <f t="shared" si="236"/>
        <v>0</v>
      </c>
      <c r="OJ61" s="199">
        <f t="shared" si="176"/>
        <v>0</v>
      </c>
      <c r="OK61" s="199">
        <f t="shared" si="177"/>
        <v>0</v>
      </c>
      <c r="OL61" s="199">
        <f t="shared" si="178"/>
        <v>0</v>
      </c>
      <c r="OM61" s="199">
        <f t="shared" si="179"/>
        <v>0</v>
      </c>
      <c r="ON61" s="195"/>
      <c r="OO61" s="207">
        <f t="shared" si="237"/>
        <v>0</v>
      </c>
      <c r="OP61" s="207">
        <f t="shared" si="238"/>
        <v>0</v>
      </c>
      <c r="OQ61" s="207">
        <f t="shared" si="180"/>
        <v>0</v>
      </c>
      <c r="OR61" s="207">
        <f t="shared" si="181"/>
        <v>0</v>
      </c>
      <c r="OS61" s="207">
        <f t="shared" si="182"/>
        <v>0</v>
      </c>
      <c r="OT61" s="199">
        <f t="shared" si="183"/>
        <v>0</v>
      </c>
      <c r="OU61" s="199">
        <f t="shared" si="184"/>
        <v>0</v>
      </c>
      <c r="OV61" s="199">
        <f t="shared" si="185"/>
        <v>0</v>
      </c>
      <c r="OW61" s="199">
        <f t="shared" si="186"/>
        <v>0</v>
      </c>
      <c r="OX61" s="195"/>
      <c r="OY61" s="195"/>
      <c r="OZ61" s="195"/>
      <c r="PA61" s="209"/>
      <c r="PB61" s="209"/>
      <c r="PC61" s="209"/>
      <c r="PD61" s="210">
        <f t="shared" si="113"/>
        <v>0</v>
      </c>
      <c r="PE61" s="210"/>
      <c r="PF61" s="210">
        <f t="shared" si="114"/>
        <v>0</v>
      </c>
      <c r="PG61" s="210">
        <f t="shared" si="302"/>
        <v>0</v>
      </c>
      <c r="PH61" s="210">
        <f t="shared" si="302"/>
        <v>0</v>
      </c>
      <c r="PI61" s="210">
        <f t="shared" si="302"/>
        <v>0</v>
      </c>
      <c r="PJ61" s="210">
        <f t="shared" si="300"/>
        <v>0</v>
      </c>
      <c r="PK61" s="210">
        <f t="shared" si="300"/>
        <v>0</v>
      </c>
      <c r="PL61" s="210">
        <f t="shared" si="300"/>
        <v>0</v>
      </c>
      <c r="PM61" s="195"/>
      <c r="PN61" s="195"/>
      <c r="PO61" s="212">
        <f t="shared" si="187"/>
        <v>0</v>
      </c>
      <c r="PP61" s="212">
        <f t="shared" si="188"/>
        <v>0</v>
      </c>
      <c r="PQ61" s="212">
        <f t="shared" si="189"/>
        <v>0</v>
      </c>
    </row>
    <row r="62" spans="1:433 16383:16383" ht="16" x14ac:dyDescent="0.2">
      <c r="A62" s="213">
        <f t="shared" si="190"/>
        <v>53</v>
      </c>
      <c r="B62" s="186" t="s">
        <v>131</v>
      </c>
      <c r="C62" s="186">
        <v>55</v>
      </c>
      <c r="D62" s="188">
        <v>1</v>
      </c>
      <c r="E62" s="188">
        <v>55</v>
      </c>
      <c r="F62" s="188">
        <v>1</v>
      </c>
      <c r="G62" s="188">
        <f t="shared" si="239"/>
        <v>55</v>
      </c>
      <c r="H62" s="214">
        <f t="shared" si="203"/>
        <v>1</v>
      </c>
      <c r="I62" s="214">
        <f t="shared" si="204"/>
        <v>1</v>
      </c>
      <c r="J62" s="188">
        <v>1</v>
      </c>
      <c r="K62" s="188">
        <f t="shared" si="205"/>
        <v>55</v>
      </c>
      <c r="L62" s="214">
        <f t="shared" si="206"/>
        <v>1</v>
      </c>
      <c r="M62" s="214">
        <f t="shared" si="207"/>
        <v>1</v>
      </c>
      <c r="N62" s="188">
        <v>1</v>
      </c>
      <c r="O62" s="188">
        <f t="shared" si="208"/>
        <v>55</v>
      </c>
      <c r="P62" s="214">
        <f t="shared" si="209"/>
        <v>1</v>
      </c>
      <c r="Q62" s="214">
        <f t="shared" si="210"/>
        <v>1</v>
      </c>
      <c r="R62" s="188">
        <v>1</v>
      </c>
      <c r="S62" s="188">
        <f t="shared" si="211"/>
        <v>55</v>
      </c>
      <c r="T62" s="214">
        <f t="shared" si="212"/>
        <v>1</v>
      </c>
      <c r="U62" s="214">
        <f t="shared" si="213"/>
        <v>1</v>
      </c>
      <c r="V62" s="188">
        <v>1</v>
      </c>
      <c r="W62" s="188">
        <f t="shared" si="214"/>
        <v>55</v>
      </c>
      <c r="X62" s="214">
        <f t="shared" si="215"/>
        <v>1</v>
      </c>
      <c r="Y62" s="214">
        <f t="shared" si="216"/>
        <v>1</v>
      </c>
      <c r="Z62" s="224">
        <f>1629125000/1000000000</f>
        <v>1.6291249999999999</v>
      </c>
      <c r="AA62" s="188"/>
      <c r="AB62" s="189">
        <f t="shared" si="120"/>
        <v>0</v>
      </c>
      <c r="AC62" s="250">
        <f t="shared" si="121"/>
        <v>0</v>
      </c>
      <c r="AD62" s="250">
        <f t="shared" si="122"/>
        <v>0</v>
      </c>
      <c r="AE62" s="188"/>
      <c r="AF62" s="188">
        <f t="shared" si="217"/>
        <v>0</v>
      </c>
      <c r="AG62" s="187"/>
      <c r="AH62" s="187"/>
      <c r="AI62" s="188">
        <v>0</v>
      </c>
      <c r="AJ62" s="188">
        <f t="shared" si="218"/>
        <v>0</v>
      </c>
      <c r="AK62" s="188"/>
      <c r="AL62" s="188">
        <v>0</v>
      </c>
      <c r="AM62" s="188">
        <v>0</v>
      </c>
      <c r="AN62" s="217"/>
      <c r="AO62" s="196">
        <f t="shared" si="123"/>
        <v>0</v>
      </c>
      <c r="AP62" s="195"/>
      <c r="AQ62" s="195"/>
      <c r="AR62" s="195"/>
      <c r="AS62" s="195"/>
      <c r="AT62" s="195"/>
      <c r="AU62" s="195"/>
      <c r="AV62" s="195"/>
      <c r="AW62" s="195"/>
      <c r="AX62" s="195"/>
      <c r="AY62" s="195"/>
      <c r="AZ62" s="195"/>
      <c r="BA62" s="195"/>
      <c r="BB62" s="188">
        <f t="shared" si="219"/>
        <v>0</v>
      </c>
      <c r="BC62" s="195"/>
      <c r="BD62" s="196"/>
      <c r="BE62" s="188">
        <f t="shared" si="220"/>
        <v>0</v>
      </c>
      <c r="BF62" s="188">
        <f t="shared" si="221"/>
        <v>0</v>
      </c>
      <c r="BG62" s="188">
        <f t="shared" si="222"/>
        <v>0</v>
      </c>
      <c r="BH62" s="188">
        <f t="shared" si="223"/>
        <v>0</v>
      </c>
      <c r="BI62" s="188">
        <f t="shared" si="224"/>
        <v>0</v>
      </c>
      <c r="BJ62" s="188">
        <f t="shared" si="225"/>
        <v>0</v>
      </c>
      <c r="BK62" s="188">
        <f t="shared" si="124"/>
        <v>0</v>
      </c>
      <c r="BL62" s="195"/>
      <c r="BM62" s="195"/>
      <c r="BN62" s="277"/>
      <c r="BO62" s="283"/>
      <c r="BP62" s="188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95"/>
      <c r="CB62" s="188">
        <v>0</v>
      </c>
      <c r="CC62" s="195"/>
      <c r="CD62" s="189">
        <f t="shared" si="125"/>
        <v>0</v>
      </c>
      <c r="CE62" s="189">
        <f t="shared" si="191"/>
        <v>0</v>
      </c>
      <c r="CF62" s="189">
        <f t="shared" si="126"/>
        <v>0</v>
      </c>
      <c r="CG62" s="189">
        <f t="shared" si="127"/>
        <v>0</v>
      </c>
      <c r="CH62" s="189">
        <f t="shared" si="128"/>
        <v>0</v>
      </c>
      <c r="CI62" s="189">
        <f t="shared" si="129"/>
        <v>0</v>
      </c>
      <c r="CJ62" s="189">
        <f t="shared" si="130"/>
        <v>0</v>
      </c>
      <c r="CK62" s="189">
        <f t="shared" si="131"/>
        <v>0</v>
      </c>
      <c r="CL62" s="189">
        <f t="shared" si="132"/>
        <v>0</v>
      </c>
      <c r="CM62" s="189">
        <f t="shared" si="133"/>
        <v>0</v>
      </c>
      <c r="CN62" s="189">
        <f t="shared" si="134"/>
        <v>0</v>
      </c>
      <c r="CO62" s="189">
        <f t="shared" si="135"/>
        <v>0</v>
      </c>
      <c r="CP62" s="189">
        <f t="shared" si="136"/>
        <v>0</v>
      </c>
      <c r="CQ62" s="195"/>
      <c r="CR62" s="195"/>
      <c r="CS62" s="195"/>
      <c r="CT62" s="195"/>
      <c r="CU62" s="195"/>
      <c r="CV62" s="195"/>
      <c r="CW62" s="195"/>
      <c r="CX62" s="195"/>
      <c r="CY62" s="195"/>
      <c r="CZ62" s="195"/>
      <c r="DA62" s="195"/>
      <c r="DB62" s="195"/>
      <c r="DC62" s="195"/>
      <c r="DD62" s="195"/>
      <c r="DE62" s="195"/>
      <c r="DF62" s="195"/>
      <c r="DG62" s="195"/>
      <c r="DH62" s="195"/>
      <c r="DI62" s="195"/>
      <c r="DJ62" s="195"/>
      <c r="DK62" s="195"/>
      <c r="DL62" s="195"/>
      <c r="DM62" s="195"/>
      <c r="DN62" s="195"/>
      <c r="DO62" s="195"/>
      <c r="DP62" s="195"/>
      <c r="DQ62" s="195"/>
      <c r="DR62" s="195"/>
      <c r="DS62" s="195"/>
      <c r="DT62" s="195"/>
      <c r="DU62" s="195"/>
      <c r="DV62" s="189">
        <f t="shared" si="226"/>
        <v>0</v>
      </c>
      <c r="DW62" s="189">
        <f t="shared" si="227"/>
        <v>0</v>
      </c>
      <c r="DX62" s="189">
        <f t="shared" si="228"/>
        <v>0</v>
      </c>
      <c r="DY62" s="189">
        <f t="shared" si="229"/>
        <v>0</v>
      </c>
      <c r="DZ62" s="189">
        <f t="shared" si="230"/>
        <v>0</v>
      </c>
      <c r="EA62" s="189">
        <f t="shared" si="231"/>
        <v>0</v>
      </c>
      <c r="EB62" s="189">
        <f t="shared" si="137"/>
        <v>0</v>
      </c>
      <c r="EC62" s="195"/>
      <c r="ED62" s="195"/>
      <c r="EE62" s="195"/>
      <c r="EF62" s="195"/>
      <c r="EG62" s="252">
        <f t="shared" si="138"/>
        <v>0</v>
      </c>
      <c r="EH62" s="252">
        <f t="shared" si="139"/>
        <v>0</v>
      </c>
      <c r="EI62" s="189"/>
      <c r="EJ62" s="189"/>
      <c r="EK62" s="189"/>
      <c r="EL62" s="189"/>
      <c r="EM62" s="189"/>
      <c r="EN62" s="189"/>
      <c r="EO62" s="189"/>
      <c r="EP62" s="189"/>
      <c r="EQ62" s="189"/>
      <c r="ER62" s="189"/>
      <c r="ES62" s="189"/>
      <c r="ET62" s="189"/>
      <c r="EU62" s="189"/>
      <c r="EV62" s="189"/>
      <c r="EW62" s="189"/>
      <c r="EX62" s="189"/>
      <c r="EY62" s="189"/>
      <c r="EZ62" s="189"/>
      <c r="FA62" s="189"/>
      <c r="FB62" s="189"/>
      <c r="FC62" s="189"/>
      <c r="FD62" s="189"/>
      <c r="FE62" s="189"/>
      <c r="FF62" s="189"/>
      <c r="FG62" s="195"/>
      <c r="FH62" s="189"/>
      <c r="FI62" s="189"/>
      <c r="FJ62" s="189"/>
      <c r="FK62" s="189"/>
      <c r="FL62" s="189"/>
      <c r="FM62" s="189"/>
      <c r="FN62" s="189"/>
      <c r="FO62" s="189"/>
      <c r="FP62" s="189"/>
      <c r="FQ62" s="189"/>
      <c r="FR62" s="189"/>
      <c r="FS62" s="189"/>
      <c r="FT62" s="189"/>
      <c r="FU62" s="189"/>
      <c r="FV62" s="189"/>
      <c r="FW62" s="195"/>
      <c r="FX62" s="253"/>
      <c r="FY62" s="189">
        <f t="shared" si="140"/>
        <v>0</v>
      </c>
      <c r="FZ62" s="189">
        <f t="shared" si="324"/>
        <v>0</v>
      </c>
      <c r="GA62" s="189">
        <f t="shared" si="325"/>
        <v>0</v>
      </c>
      <c r="GB62" s="189">
        <f t="shared" si="326"/>
        <v>0</v>
      </c>
      <c r="GC62" s="189">
        <f t="shared" si="327"/>
        <v>0</v>
      </c>
      <c r="GD62" s="189">
        <f t="shared" si="328"/>
        <v>0</v>
      </c>
      <c r="GE62" s="189">
        <f t="shared" si="329"/>
        <v>0</v>
      </c>
      <c r="GF62" s="199"/>
      <c r="GG62" s="189">
        <v>0</v>
      </c>
      <c r="GH62" s="189">
        <v>0</v>
      </c>
      <c r="GI62" s="199"/>
      <c r="GJ62" s="200">
        <f t="shared" si="141"/>
        <v>0</v>
      </c>
      <c r="GK62" s="200">
        <f t="shared" si="142"/>
        <v>0</v>
      </c>
      <c r="GL62" s="195"/>
      <c r="GM62" s="195"/>
      <c r="GN62" s="195"/>
      <c r="GO62" s="189">
        <f t="shared" si="246"/>
        <v>0</v>
      </c>
      <c r="GP62" s="189">
        <f t="shared" si="247"/>
        <v>0</v>
      </c>
      <c r="GQ62" s="189">
        <f t="shared" si="248"/>
        <v>0</v>
      </c>
      <c r="GR62" s="189">
        <f t="shared" si="249"/>
        <v>0</v>
      </c>
      <c r="GS62" s="189">
        <f t="shared" si="250"/>
        <v>0</v>
      </c>
      <c r="GT62" s="189">
        <f t="shared" si="143"/>
        <v>1</v>
      </c>
      <c r="GU62" s="201">
        <f t="shared" si="144"/>
        <v>43243</v>
      </c>
      <c r="GV62" s="189" t="str">
        <f t="shared" si="145"/>
        <v>SELESAI</v>
      </c>
      <c r="GW62" s="189">
        <f t="shared" si="146"/>
        <v>0</v>
      </c>
      <c r="GX62" s="202" t="str">
        <f t="shared" si="147"/>
        <v>SELESAI</v>
      </c>
      <c r="GY62" s="202">
        <f t="shared" si="148"/>
        <v>0</v>
      </c>
      <c r="GZ62" s="203" t="str">
        <f t="shared" si="149"/>
        <v>SELESAI</v>
      </c>
      <c r="HA62" s="204"/>
      <c r="HB62" s="204"/>
      <c r="HC62" s="189">
        <f t="shared" si="251"/>
        <v>0</v>
      </c>
      <c r="HD62" s="189">
        <f t="shared" si="252"/>
        <v>0</v>
      </c>
      <c r="HE62" s="189">
        <f t="shared" si="150"/>
        <v>0</v>
      </c>
      <c r="HF62" s="189">
        <f t="shared" si="151"/>
        <v>0</v>
      </c>
      <c r="HG62" s="189">
        <f t="shared" si="152"/>
        <v>0</v>
      </c>
      <c r="HH62" s="201" t="str">
        <f t="shared" si="46"/>
        <v>TIDAK KONSINYASI</v>
      </c>
      <c r="HI62" s="201" t="str">
        <f t="shared" si="153"/>
        <v>SELESAI</v>
      </c>
      <c r="HJ62" s="205"/>
      <c r="HK62" s="201">
        <f t="shared" si="47"/>
        <v>0</v>
      </c>
      <c r="HL62" s="204"/>
      <c r="HM62" s="204"/>
      <c r="HN62" s="204"/>
      <c r="HO62" s="204"/>
      <c r="HP62" s="203">
        <f t="shared" si="154"/>
        <v>0</v>
      </c>
      <c r="HQ62" s="202">
        <f t="shared" si="155"/>
        <v>0</v>
      </c>
      <c r="HR62" s="202">
        <f t="shared" si="253"/>
        <v>0</v>
      </c>
      <c r="HS62" s="203">
        <f t="shared" si="156"/>
        <v>0</v>
      </c>
      <c r="HT62" s="202">
        <f t="shared" si="157"/>
        <v>0</v>
      </c>
      <c r="HU62" s="202">
        <f t="shared" si="254"/>
        <v>0</v>
      </c>
      <c r="HV62" s="203">
        <f t="shared" si="158"/>
        <v>0</v>
      </c>
      <c r="HW62" s="202">
        <f t="shared" si="50"/>
        <v>0</v>
      </c>
      <c r="HX62" s="202">
        <f t="shared" si="255"/>
        <v>0</v>
      </c>
      <c r="HY62" s="203">
        <f t="shared" si="52"/>
        <v>0</v>
      </c>
      <c r="HZ62" s="202">
        <f t="shared" si="159"/>
        <v>0</v>
      </c>
      <c r="IA62" s="202">
        <f t="shared" si="256"/>
        <v>0</v>
      </c>
      <c r="IB62" s="203">
        <f t="shared" si="160"/>
        <v>0</v>
      </c>
      <c r="IC62" s="202">
        <f t="shared" si="54"/>
        <v>0</v>
      </c>
      <c r="ID62" s="202">
        <f t="shared" si="257"/>
        <v>0</v>
      </c>
      <c r="IE62" s="203">
        <f t="shared" si="56"/>
        <v>0</v>
      </c>
      <c r="IF62" s="202">
        <f t="shared" si="57"/>
        <v>0</v>
      </c>
      <c r="IG62" s="202">
        <f t="shared" si="258"/>
        <v>0</v>
      </c>
      <c r="IH62" s="203">
        <f t="shared" si="161"/>
        <v>0</v>
      </c>
      <c r="II62" s="202">
        <f t="shared" si="162"/>
        <v>0</v>
      </c>
      <c r="IJ62" s="202">
        <f t="shared" si="259"/>
        <v>0</v>
      </c>
      <c r="IK62" s="203">
        <f t="shared" si="60"/>
        <v>0</v>
      </c>
      <c r="IL62" s="202">
        <f t="shared" si="61"/>
        <v>0</v>
      </c>
      <c r="IM62" s="202">
        <f t="shared" si="260"/>
        <v>0</v>
      </c>
      <c r="IN62" s="204"/>
      <c r="IO62" s="203">
        <f t="shared" si="63"/>
        <v>0</v>
      </c>
      <c r="IP62" s="202">
        <f t="shared" si="261"/>
        <v>0</v>
      </c>
      <c r="IQ62" s="202">
        <f t="shared" si="262"/>
        <v>0</v>
      </c>
      <c r="IR62" s="204"/>
      <c r="IS62" s="203"/>
      <c r="IT62" s="202">
        <f t="shared" si="263"/>
        <v>1</v>
      </c>
      <c r="IU62" s="202">
        <f t="shared" si="264"/>
        <v>55</v>
      </c>
      <c r="IV62" s="204"/>
      <c r="IW62" s="203"/>
      <c r="IX62" s="202">
        <f t="shared" si="265"/>
        <v>0</v>
      </c>
      <c r="IY62" s="202">
        <f t="shared" si="266"/>
        <v>0</v>
      </c>
      <c r="IZ62" s="204"/>
      <c r="JA62" s="203"/>
      <c r="JB62" s="202">
        <f t="shared" si="267"/>
        <v>0</v>
      </c>
      <c r="JC62" s="202">
        <f t="shared" si="268"/>
        <v>0</v>
      </c>
      <c r="JD62" s="204"/>
      <c r="JE62" s="203"/>
      <c r="JF62" s="202">
        <f t="shared" si="163"/>
        <v>1</v>
      </c>
      <c r="JG62" s="202">
        <f t="shared" si="72"/>
        <v>55</v>
      </c>
      <c r="JH62" s="204"/>
      <c r="JI62" s="203"/>
      <c r="JJ62" s="202">
        <f t="shared" si="269"/>
        <v>0</v>
      </c>
      <c r="JK62" s="202">
        <f t="shared" si="270"/>
        <v>0</v>
      </c>
      <c r="JL62" s="195"/>
      <c r="JM62" s="203">
        <f t="shared" si="164"/>
        <v>0</v>
      </c>
      <c r="JN62" s="195"/>
      <c r="JO62" s="196">
        <f t="shared" si="75"/>
        <v>0</v>
      </c>
      <c r="JP62" s="206">
        <f t="shared" si="271"/>
        <v>0</v>
      </c>
      <c r="JQ62" s="206">
        <f t="shared" si="272"/>
        <v>0</v>
      </c>
      <c r="JR62" s="206">
        <f t="shared" si="273"/>
        <v>0</v>
      </c>
      <c r="JS62" s="206">
        <f t="shared" si="274"/>
        <v>0</v>
      </c>
      <c r="JT62" s="206">
        <f t="shared" si="275"/>
        <v>0</v>
      </c>
      <c r="JU62" s="206">
        <f t="shared" si="276"/>
        <v>0</v>
      </c>
      <c r="JV62" s="206">
        <f t="shared" si="277"/>
        <v>0</v>
      </c>
      <c r="JW62" s="206">
        <f t="shared" si="278"/>
        <v>0</v>
      </c>
      <c r="JX62" s="206">
        <f t="shared" si="279"/>
        <v>0</v>
      </c>
      <c r="JY62" s="206">
        <f t="shared" si="280"/>
        <v>0</v>
      </c>
      <c r="JZ62" s="206">
        <f t="shared" si="281"/>
        <v>0</v>
      </c>
      <c r="KA62" s="206">
        <f t="shared" si="282"/>
        <v>0</v>
      </c>
      <c r="KB62" s="206">
        <f t="shared" si="283"/>
        <v>0</v>
      </c>
      <c r="KC62" s="195"/>
      <c r="KD62" s="206">
        <f t="shared" si="165"/>
        <v>0</v>
      </c>
      <c r="KE62" s="206">
        <f t="shared" si="90"/>
        <v>0</v>
      </c>
      <c r="KF62" s="206">
        <f t="shared" si="284"/>
        <v>0</v>
      </c>
      <c r="KG62" s="206">
        <f t="shared" si="285"/>
        <v>0</v>
      </c>
      <c r="KH62" s="206">
        <f t="shared" si="286"/>
        <v>0</v>
      </c>
      <c r="KI62" s="206">
        <f t="shared" si="287"/>
        <v>0</v>
      </c>
      <c r="KJ62" s="206">
        <f t="shared" si="288"/>
        <v>0</v>
      </c>
      <c r="KK62" s="206">
        <f t="shared" si="289"/>
        <v>0</v>
      </c>
      <c r="KL62" s="206">
        <f t="shared" si="290"/>
        <v>0</v>
      </c>
      <c r="KM62" s="206">
        <f t="shared" si="291"/>
        <v>0</v>
      </c>
      <c r="KN62" s="221">
        <f t="shared" si="292"/>
        <v>0</v>
      </c>
      <c r="KO62" s="221">
        <f t="shared" si="293"/>
        <v>0</v>
      </c>
      <c r="KP62" s="221">
        <f t="shared" si="294"/>
        <v>0</v>
      </c>
      <c r="KQ62" s="221">
        <f t="shared" si="295"/>
        <v>0</v>
      </c>
      <c r="KR62" s="221">
        <f t="shared" si="296"/>
        <v>0</v>
      </c>
      <c r="KS62" s="195"/>
      <c r="KT62" s="195">
        <f t="shared" si="297"/>
        <v>0</v>
      </c>
      <c r="KU62" s="221"/>
      <c r="KV62" s="221"/>
      <c r="KW62" s="221"/>
      <c r="KX62" s="221"/>
      <c r="KY62" s="221"/>
      <c r="KZ62" s="221"/>
      <c r="LA62" s="221"/>
      <c r="LB62" s="221"/>
      <c r="LC62" s="221"/>
      <c r="LD62" s="221"/>
      <c r="LE62" s="221"/>
      <c r="LF62" s="221"/>
      <c r="LG62" s="221"/>
      <c r="LH62" s="221"/>
      <c r="LI62" s="221"/>
      <c r="LJ62" s="221"/>
      <c r="LK62" s="221"/>
      <c r="LL62" s="221"/>
      <c r="LM62" s="221"/>
      <c r="LN62" s="221"/>
      <c r="LO62" s="221"/>
      <c r="LP62" s="221"/>
      <c r="LQ62" s="221"/>
      <c r="LR62" s="221"/>
      <c r="LS62" s="221"/>
      <c r="LT62" s="221"/>
      <c r="LU62" s="221"/>
      <c r="LV62" s="221"/>
      <c r="LW62" s="221"/>
      <c r="LX62" s="221"/>
      <c r="LY62" s="221"/>
      <c r="LZ62" s="221"/>
      <c r="MA62" s="221"/>
      <c r="MB62" s="221"/>
      <c r="MC62" s="221"/>
      <c r="MD62" s="221"/>
      <c r="ME62" s="221"/>
      <c r="MF62" s="221"/>
      <c r="MG62" s="221"/>
      <c r="MH62" s="221"/>
      <c r="MI62" s="221"/>
      <c r="MJ62" s="221"/>
      <c r="MK62" s="221"/>
      <c r="ML62" s="221"/>
      <c r="MM62" s="221"/>
      <c r="MN62" s="221"/>
      <c r="MO62" s="221"/>
      <c r="MP62" s="221"/>
      <c r="MQ62" s="221"/>
      <c r="MR62" s="221"/>
      <c r="MS62" s="221"/>
      <c r="MT62" s="221"/>
      <c r="MU62" s="221"/>
      <c r="MV62" s="221"/>
      <c r="MW62" s="221"/>
      <c r="MX62" s="221"/>
      <c r="MY62" s="221"/>
      <c r="MZ62" s="221"/>
      <c r="NA62" s="221"/>
      <c r="NB62" s="221"/>
      <c r="NC62" s="221"/>
      <c r="ND62" s="221"/>
      <c r="NE62" s="221"/>
      <c r="NF62" s="221"/>
      <c r="NG62" s="221"/>
      <c r="NH62" s="221"/>
      <c r="NI62" s="221"/>
      <c r="NJ62" s="221"/>
      <c r="NK62" s="221"/>
      <c r="NL62" s="195"/>
      <c r="NM62" s="195">
        <f t="shared" si="166"/>
        <v>0</v>
      </c>
      <c r="NN62" s="195">
        <f t="shared" si="167"/>
        <v>0</v>
      </c>
      <c r="NO62" s="195">
        <f t="shared" si="168"/>
        <v>0</v>
      </c>
      <c r="NP62" s="195">
        <f t="shared" si="169"/>
        <v>0</v>
      </c>
      <c r="NQ62" s="195">
        <f t="shared" si="170"/>
        <v>0</v>
      </c>
      <c r="NR62" s="195">
        <f t="shared" si="171"/>
        <v>0</v>
      </c>
      <c r="NS62" s="195">
        <f t="shared" si="172"/>
        <v>0</v>
      </c>
      <c r="NT62" s="195">
        <f t="shared" si="173"/>
        <v>0</v>
      </c>
      <c r="NU62" s="196">
        <f t="shared" si="174"/>
        <v>0</v>
      </c>
      <c r="NV62" s="195"/>
      <c r="NW62" s="195"/>
      <c r="NX62" s="195"/>
      <c r="NY62" s="196">
        <f t="shared" si="232"/>
        <v>1</v>
      </c>
      <c r="NZ62" s="222">
        <f>467500000/55</f>
        <v>8500000</v>
      </c>
      <c r="OA62" s="195"/>
      <c r="OB62" s="195"/>
      <c r="OC62" s="195"/>
      <c r="OD62" s="195"/>
      <c r="OE62" s="207">
        <f t="shared" si="233"/>
        <v>0</v>
      </c>
      <c r="OF62" s="207">
        <f t="shared" si="234"/>
        <v>0</v>
      </c>
      <c r="OG62" s="207">
        <f t="shared" si="235"/>
        <v>0</v>
      </c>
      <c r="OH62" s="207">
        <f t="shared" si="175"/>
        <v>0</v>
      </c>
      <c r="OI62" s="207">
        <f t="shared" si="236"/>
        <v>0</v>
      </c>
      <c r="OJ62" s="199">
        <f t="shared" si="176"/>
        <v>0</v>
      </c>
      <c r="OK62" s="199">
        <f t="shared" si="177"/>
        <v>0</v>
      </c>
      <c r="OL62" s="199">
        <f t="shared" si="178"/>
        <v>0</v>
      </c>
      <c r="OM62" s="199">
        <f t="shared" si="179"/>
        <v>0</v>
      </c>
      <c r="ON62" s="195"/>
      <c r="OO62" s="207">
        <f t="shared" si="237"/>
        <v>0</v>
      </c>
      <c r="OP62" s="207">
        <f t="shared" si="238"/>
        <v>0</v>
      </c>
      <c r="OQ62" s="207">
        <f t="shared" si="180"/>
        <v>0</v>
      </c>
      <c r="OR62" s="207">
        <f t="shared" si="181"/>
        <v>0</v>
      </c>
      <c r="OS62" s="207">
        <f t="shared" si="182"/>
        <v>0</v>
      </c>
      <c r="OT62" s="199">
        <f t="shared" si="183"/>
        <v>0</v>
      </c>
      <c r="OU62" s="199">
        <f t="shared" si="184"/>
        <v>0</v>
      </c>
      <c r="OV62" s="199">
        <f t="shared" si="185"/>
        <v>0</v>
      </c>
      <c r="OW62" s="199">
        <f t="shared" si="186"/>
        <v>0</v>
      </c>
      <c r="OX62" s="195"/>
      <c r="OY62" s="195"/>
      <c r="OZ62" s="195"/>
      <c r="PA62" s="209"/>
      <c r="PB62" s="209"/>
      <c r="PC62" s="209"/>
      <c r="PD62" s="210">
        <f t="shared" si="113"/>
        <v>0</v>
      </c>
      <c r="PE62" s="210"/>
      <c r="PF62" s="210">
        <f t="shared" si="114"/>
        <v>0</v>
      </c>
      <c r="PG62" s="210">
        <f t="shared" si="302"/>
        <v>0</v>
      </c>
      <c r="PH62" s="210">
        <f t="shared" si="302"/>
        <v>0</v>
      </c>
      <c r="PI62" s="210">
        <f t="shared" si="302"/>
        <v>0</v>
      </c>
      <c r="PJ62" s="210">
        <f t="shared" si="300"/>
        <v>0</v>
      </c>
      <c r="PK62" s="210">
        <f t="shared" si="300"/>
        <v>0</v>
      </c>
      <c r="PL62" s="210">
        <f t="shared" si="300"/>
        <v>0</v>
      </c>
      <c r="PM62" s="195"/>
      <c r="PN62" s="195"/>
      <c r="PO62" s="212">
        <f t="shared" si="187"/>
        <v>0</v>
      </c>
      <c r="PP62" s="212">
        <f t="shared" si="188"/>
        <v>0</v>
      </c>
      <c r="PQ62" s="212">
        <f t="shared" si="189"/>
        <v>0</v>
      </c>
    </row>
    <row r="63" spans="1:433 16383:16383" ht="16" x14ac:dyDescent="0.2">
      <c r="A63" s="213">
        <f t="shared" si="190"/>
        <v>54</v>
      </c>
      <c r="B63" s="186" t="s">
        <v>132</v>
      </c>
      <c r="C63" s="186">
        <v>56</v>
      </c>
      <c r="D63" s="188">
        <v>1</v>
      </c>
      <c r="E63" s="188">
        <v>16</v>
      </c>
      <c r="F63" s="188">
        <v>1</v>
      </c>
      <c r="G63" s="188">
        <f t="shared" si="239"/>
        <v>16</v>
      </c>
      <c r="H63" s="214">
        <f t="shared" si="203"/>
        <v>1</v>
      </c>
      <c r="I63" s="214">
        <f t="shared" si="204"/>
        <v>1</v>
      </c>
      <c r="J63" s="188">
        <v>1</v>
      </c>
      <c r="K63" s="188">
        <f t="shared" si="205"/>
        <v>16</v>
      </c>
      <c r="L63" s="214">
        <f t="shared" si="206"/>
        <v>1</v>
      </c>
      <c r="M63" s="214">
        <f t="shared" si="207"/>
        <v>1</v>
      </c>
      <c r="N63" s="188">
        <v>1</v>
      </c>
      <c r="O63" s="188">
        <f t="shared" si="208"/>
        <v>16</v>
      </c>
      <c r="P63" s="214">
        <f t="shared" si="209"/>
        <v>1</v>
      </c>
      <c r="Q63" s="214">
        <f t="shared" si="210"/>
        <v>1</v>
      </c>
      <c r="R63" s="188">
        <v>1</v>
      </c>
      <c r="S63" s="188">
        <f t="shared" si="211"/>
        <v>16</v>
      </c>
      <c r="T63" s="214">
        <f t="shared" si="212"/>
        <v>1</v>
      </c>
      <c r="U63" s="214">
        <f t="shared" si="213"/>
        <v>1</v>
      </c>
      <c r="V63" s="188">
        <v>1</v>
      </c>
      <c r="W63" s="188">
        <f t="shared" si="214"/>
        <v>16</v>
      </c>
      <c r="X63" s="214">
        <f t="shared" si="215"/>
        <v>1</v>
      </c>
      <c r="Y63" s="214">
        <f t="shared" si="216"/>
        <v>1</v>
      </c>
      <c r="Z63" s="224">
        <f>531131000/1000000000</f>
        <v>0.53113100000000002</v>
      </c>
      <c r="AA63" s="188"/>
      <c r="AB63" s="189">
        <f t="shared" si="120"/>
        <v>0</v>
      </c>
      <c r="AC63" s="250">
        <f t="shared" si="121"/>
        <v>0</v>
      </c>
      <c r="AD63" s="250">
        <f t="shared" si="122"/>
        <v>0</v>
      </c>
      <c r="AE63" s="188"/>
      <c r="AF63" s="188">
        <f t="shared" si="217"/>
        <v>0</v>
      </c>
      <c r="AG63" s="187"/>
      <c r="AH63" s="187"/>
      <c r="AI63" s="188">
        <v>0</v>
      </c>
      <c r="AJ63" s="188">
        <f t="shared" si="218"/>
        <v>0</v>
      </c>
      <c r="AK63" s="188"/>
      <c r="AL63" s="188">
        <v>0</v>
      </c>
      <c r="AM63" s="188">
        <v>0</v>
      </c>
      <c r="AN63" s="217"/>
      <c r="AO63" s="196">
        <f t="shared" si="123"/>
        <v>0</v>
      </c>
      <c r="AP63" s="195"/>
      <c r="AQ63" s="195"/>
      <c r="AR63" s="195"/>
      <c r="AS63" s="195"/>
      <c r="AT63" s="195"/>
      <c r="AU63" s="195"/>
      <c r="AV63" s="195"/>
      <c r="AW63" s="195"/>
      <c r="AX63" s="195"/>
      <c r="AY63" s="195"/>
      <c r="AZ63" s="195"/>
      <c r="BA63" s="195"/>
      <c r="BB63" s="188">
        <f t="shared" si="219"/>
        <v>0</v>
      </c>
      <c r="BC63" s="195"/>
      <c r="BD63" s="196"/>
      <c r="BE63" s="188">
        <f t="shared" si="220"/>
        <v>0</v>
      </c>
      <c r="BF63" s="188">
        <f t="shared" si="221"/>
        <v>0</v>
      </c>
      <c r="BG63" s="188">
        <f t="shared" si="222"/>
        <v>0</v>
      </c>
      <c r="BH63" s="188">
        <f t="shared" si="223"/>
        <v>0</v>
      </c>
      <c r="BI63" s="188">
        <f t="shared" si="224"/>
        <v>0</v>
      </c>
      <c r="BJ63" s="188">
        <f t="shared" si="225"/>
        <v>0</v>
      </c>
      <c r="BK63" s="188">
        <f t="shared" si="124"/>
        <v>0</v>
      </c>
      <c r="BL63" s="195"/>
      <c r="BM63" s="195"/>
      <c r="BN63" s="143"/>
      <c r="BO63" s="277"/>
      <c r="BP63" s="188"/>
      <c r="BQ63" s="188"/>
      <c r="BR63" s="188"/>
      <c r="BS63" s="188"/>
      <c r="BT63" s="188"/>
      <c r="BU63" s="188"/>
      <c r="BV63" s="188"/>
      <c r="BW63" s="188"/>
      <c r="BX63" s="188"/>
      <c r="BY63" s="188"/>
      <c r="BZ63" s="188"/>
      <c r="CA63" s="195"/>
      <c r="CB63" s="188">
        <v>0</v>
      </c>
      <c r="CC63" s="195"/>
      <c r="CD63" s="189">
        <f t="shared" si="125"/>
        <v>0</v>
      </c>
      <c r="CE63" s="189">
        <f t="shared" si="191"/>
        <v>0</v>
      </c>
      <c r="CF63" s="189">
        <f t="shared" si="126"/>
        <v>0</v>
      </c>
      <c r="CG63" s="189">
        <f t="shared" si="127"/>
        <v>0</v>
      </c>
      <c r="CH63" s="189">
        <f t="shared" si="128"/>
        <v>0</v>
      </c>
      <c r="CI63" s="189">
        <f t="shared" si="129"/>
        <v>0</v>
      </c>
      <c r="CJ63" s="189">
        <f t="shared" si="130"/>
        <v>0</v>
      </c>
      <c r="CK63" s="189">
        <f t="shared" si="131"/>
        <v>0</v>
      </c>
      <c r="CL63" s="189">
        <f t="shared" si="132"/>
        <v>0</v>
      </c>
      <c r="CM63" s="189">
        <f t="shared" si="133"/>
        <v>0</v>
      </c>
      <c r="CN63" s="189">
        <f t="shared" si="134"/>
        <v>0</v>
      </c>
      <c r="CO63" s="189">
        <f t="shared" si="135"/>
        <v>0</v>
      </c>
      <c r="CP63" s="189">
        <f t="shared" si="136"/>
        <v>0</v>
      </c>
      <c r="CQ63" s="195"/>
      <c r="CR63" s="195"/>
      <c r="CS63" s="195"/>
      <c r="CT63" s="195"/>
      <c r="CU63" s="195"/>
      <c r="CV63" s="195"/>
      <c r="CW63" s="195"/>
      <c r="CX63" s="195"/>
      <c r="CY63" s="195"/>
      <c r="CZ63" s="195"/>
      <c r="DA63" s="195"/>
      <c r="DB63" s="195"/>
      <c r="DC63" s="195"/>
      <c r="DD63" s="195"/>
      <c r="DE63" s="195"/>
      <c r="DF63" s="195"/>
      <c r="DG63" s="195"/>
      <c r="DH63" s="195"/>
      <c r="DI63" s="195"/>
      <c r="DJ63" s="195"/>
      <c r="DK63" s="195"/>
      <c r="DL63" s="195"/>
      <c r="DM63" s="195"/>
      <c r="DN63" s="195"/>
      <c r="DO63" s="195"/>
      <c r="DP63" s="195"/>
      <c r="DQ63" s="195"/>
      <c r="DR63" s="195"/>
      <c r="DS63" s="195"/>
      <c r="DT63" s="195"/>
      <c r="DU63" s="195"/>
      <c r="DV63" s="189">
        <f t="shared" si="226"/>
        <v>0</v>
      </c>
      <c r="DW63" s="189">
        <f t="shared" si="227"/>
        <v>0</v>
      </c>
      <c r="DX63" s="189">
        <f t="shared" si="228"/>
        <v>0</v>
      </c>
      <c r="DY63" s="189">
        <f t="shared" si="229"/>
        <v>0</v>
      </c>
      <c r="DZ63" s="189">
        <f t="shared" si="230"/>
        <v>0</v>
      </c>
      <c r="EA63" s="189">
        <f t="shared" si="231"/>
        <v>0</v>
      </c>
      <c r="EB63" s="189">
        <f t="shared" si="137"/>
        <v>0</v>
      </c>
      <c r="EC63" s="195"/>
      <c r="ED63" s="195"/>
      <c r="EE63" s="195"/>
      <c r="EF63" s="195"/>
      <c r="EG63" s="252">
        <f t="shared" si="138"/>
        <v>0</v>
      </c>
      <c r="EH63" s="252">
        <f t="shared" si="139"/>
        <v>0</v>
      </c>
      <c r="EI63" s="189"/>
      <c r="EJ63" s="189"/>
      <c r="EK63" s="189"/>
      <c r="EL63" s="189"/>
      <c r="EM63" s="189"/>
      <c r="EN63" s="189"/>
      <c r="EO63" s="189"/>
      <c r="EP63" s="189"/>
      <c r="EQ63" s="189"/>
      <c r="ER63" s="189"/>
      <c r="ES63" s="189"/>
      <c r="ET63" s="189"/>
      <c r="EU63" s="189"/>
      <c r="EV63" s="189"/>
      <c r="EW63" s="189"/>
      <c r="EX63" s="189"/>
      <c r="EY63" s="189"/>
      <c r="EZ63" s="189"/>
      <c r="FA63" s="189"/>
      <c r="FB63" s="189"/>
      <c r="FC63" s="189"/>
      <c r="FD63" s="189"/>
      <c r="FE63" s="189"/>
      <c r="FF63" s="189"/>
      <c r="FG63" s="195"/>
      <c r="FH63" s="189"/>
      <c r="FI63" s="189"/>
      <c r="FJ63" s="189"/>
      <c r="FK63" s="189"/>
      <c r="FL63" s="189"/>
      <c r="FM63" s="189"/>
      <c r="FN63" s="189"/>
      <c r="FO63" s="189"/>
      <c r="FP63" s="189"/>
      <c r="FQ63" s="189"/>
      <c r="FR63" s="189"/>
      <c r="FS63" s="189"/>
      <c r="FT63" s="189"/>
      <c r="FU63" s="189"/>
      <c r="FV63" s="189"/>
      <c r="FW63" s="195"/>
      <c r="FX63" s="253"/>
      <c r="FY63" s="189">
        <f t="shared" si="140"/>
        <v>0</v>
      </c>
      <c r="FZ63" s="189">
        <f t="shared" si="324"/>
        <v>0</v>
      </c>
      <c r="GA63" s="189">
        <f t="shared" si="325"/>
        <v>0</v>
      </c>
      <c r="GB63" s="189">
        <f t="shared" si="326"/>
        <v>0</v>
      </c>
      <c r="GC63" s="189">
        <f t="shared" si="327"/>
        <v>0</v>
      </c>
      <c r="GD63" s="189">
        <f t="shared" si="328"/>
        <v>0</v>
      </c>
      <c r="GE63" s="189">
        <f t="shared" si="329"/>
        <v>0</v>
      </c>
      <c r="GF63" s="199"/>
      <c r="GG63" s="189">
        <v>0</v>
      </c>
      <c r="GH63" s="189">
        <v>0</v>
      </c>
      <c r="GI63" s="199"/>
      <c r="GJ63" s="200">
        <f t="shared" si="141"/>
        <v>0</v>
      </c>
      <c r="GK63" s="200">
        <f t="shared" si="142"/>
        <v>0</v>
      </c>
      <c r="GL63" s="195"/>
      <c r="GM63" s="195"/>
      <c r="GN63" s="195"/>
      <c r="GO63" s="189">
        <f t="shared" si="246"/>
        <v>0</v>
      </c>
      <c r="GP63" s="189">
        <f t="shared" si="247"/>
        <v>0</v>
      </c>
      <c r="GQ63" s="189">
        <f t="shared" si="248"/>
        <v>0</v>
      </c>
      <c r="GR63" s="189">
        <f t="shared" si="249"/>
        <v>0</v>
      </c>
      <c r="GS63" s="189">
        <f t="shared" si="250"/>
        <v>0</v>
      </c>
      <c r="GT63" s="189">
        <f t="shared" si="143"/>
        <v>1</v>
      </c>
      <c r="GU63" s="201">
        <f t="shared" si="144"/>
        <v>43243</v>
      </c>
      <c r="GV63" s="189" t="str">
        <f t="shared" si="145"/>
        <v>SELESAI</v>
      </c>
      <c r="GW63" s="189">
        <f t="shared" si="146"/>
        <v>0</v>
      </c>
      <c r="GX63" s="202" t="str">
        <f t="shared" si="147"/>
        <v>SELESAI</v>
      </c>
      <c r="GY63" s="202">
        <f t="shared" si="148"/>
        <v>0</v>
      </c>
      <c r="GZ63" s="203" t="str">
        <f t="shared" si="149"/>
        <v>SELESAI</v>
      </c>
      <c r="HA63" s="204"/>
      <c r="HB63" s="204"/>
      <c r="HC63" s="189">
        <f t="shared" si="251"/>
        <v>0</v>
      </c>
      <c r="HD63" s="189">
        <f t="shared" si="252"/>
        <v>0</v>
      </c>
      <c r="HE63" s="189">
        <f t="shared" si="150"/>
        <v>0</v>
      </c>
      <c r="HF63" s="189">
        <f t="shared" si="151"/>
        <v>0</v>
      </c>
      <c r="HG63" s="189">
        <f t="shared" si="152"/>
        <v>0</v>
      </c>
      <c r="HH63" s="201" t="str">
        <f t="shared" si="46"/>
        <v>TIDAK KONSINYASI</v>
      </c>
      <c r="HI63" s="201" t="str">
        <f t="shared" si="153"/>
        <v>SELESAI</v>
      </c>
      <c r="HJ63" s="205"/>
      <c r="HK63" s="201">
        <f t="shared" si="47"/>
        <v>0</v>
      </c>
      <c r="HL63" s="204"/>
      <c r="HM63" s="204"/>
      <c r="HN63" s="204"/>
      <c r="HO63" s="204"/>
      <c r="HP63" s="203">
        <f t="shared" si="154"/>
        <v>0</v>
      </c>
      <c r="HQ63" s="202">
        <f t="shared" si="155"/>
        <v>0</v>
      </c>
      <c r="HR63" s="202">
        <f t="shared" si="253"/>
        <v>0</v>
      </c>
      <c r="HS63" s="203">
        <f t="shared" si="156"/>
        <v>0</v>
      </c>
      <c r="HT63" s="202">
        <f t="shared" si="157"/>
        <v>0</v>
      </c>
      <c r="HU63" s="202">
        <f t="shared" si="254"/>
        <v>0</v>
      </c>
      <c r="HV63" s="203">
        <f t="shared" si="158"/>
        <v>0</v>
      </c>
      <c r="HW63" s="202">
        <f t="shared" si="50"/>
        <v>0</v>
      </c>
      <c r="HX63" s="202">
        <f t="shared" si="255"/>
        <v>0</v>
      </c>
      <c r="HY63" s="203">
        <f t="shared" si="52"/>
        <v>0</v>
      </c>
      <c r="HZ63" s="202">
        <f t="shared" si="159"/>
        <v>0</v>
      </c>
      <c r="IA63" s="202">
        <f t="shared" si="256"/>
        <v>0</v>
      </c>
      <c r="IB63" s="203">
        <f t="shared" si="160"/>
        <v>0</v>
      </c>
      <c r="IC63" s="202">
        <f t="shared" si="54"/>
        <v>0</v>
      </c>
      <c r="ID63" s="202">
        <f t="shared" si="257"/>
        <v>0</v>
      </c>
      <c r="IE63" s="203">
        <f t="shared" si="56"/>
        <v>0</v>
      </c>
      <c r="IF63" s="202">
        <f t="shared" si="57"/>
        <v>0</v>
      </c>
      <c r="IG63" s="202">
        <f t="shared" si="258"/>
        <v>0</v>
      </c>
      <c r="IH63" s="203">
        <f t="shared" si="161"/>
        <v>0</v>
      </c>
      <c r="II63" s="202">
        <f t="shared" si="162"/>
        <v>0</v>
      </c>
      <c r="IJ63" s="202">
        <f t="shared" si="259"/>
        <v>0</v>
      </c>
      <c r="IK63" s="203">
        <f t="shared" si="60"/>
        <v>0</v>
      </c>
      <c r="IL63" s="202">
        <f t="shared" si="61"/>
        <v>0</v>
      </c>
      <c r="IM63" s="202">
        <f t="shared" si="260"/>
        <v>0</v>
      </c>
      <c r="IN63" s="204"/>
      <c r="IO63" s="203">
        <f t="shared" si="63"/>
        <v>0</v>
      </c>
      <c r="IP63" s="202">
        <f t="shared" si="261"/>
        <v>0</v>
      </c>
      <c r="IQ63" s="202">
        <f t="shared" si="262"/>
        <v>0</v>
      </c>
      <c r="IR63" s="204"/>
      <c r="IS63" s="203"/>
      <c r="IT63" s="202">
        <f t="shared" si="263"/>
        <v>1</v>
      </c>
      <c r="IU63" s="202">
        <f t="shared" si="264"/>
        <v>16</v>
      </c>
      <c r="IV63" s="204"/>
      <c r="IW63" s="203"/>
      <c r="IX63" s="202">
        <f t="shared" si="265"/>
        <v>0</v>
      </c>
      <c r="IY63" s="202">
        <f t="shared" si="266"/>
        <v>0</v>
      </c>
      <c r="IZ63" s="204"/>
      <c r="JA63" s="203"/>
      <c r="JB63" s="202">
        <f t="shared" si="267"/>
        <v>0</v>
      </c>
      <c r="JC63" s="202">
        <f t="shared" si="268"/>
        <v>0</v>
      </c>
      <c r="JD63" s="204"/>
      <c r="JE63" s="203"/>
      <c r="JF63" s="202">
        <f t="shared" si="163"/>
        <v>1</v>
      </c>
      <c r="JG63" s="202">
        <f t="shared" si="72"/>
        <v>16</v>
      </c>
      <c r="JH63" s="204"/>
      <c r="JI63" s="203"/>
      <c r="JJ63" s="202">
        <f t="shared" si="269"/>
        <v>0</v>
      </c>
      <c r="JK63" s="202">
        <f t="shared" si="270"/>
        <v>0</v>
      </c>
      <c r="JL63" s="195"/>
      <c r="JM63" s="203">
        <f t="shared" si="164"/>
        <v>0</v>
      </c>
      <c r="JN63" s="195"/>
      <c r="JO63" s="196">
        <f t="shared" si="75"/>
        <v>0</v>
      </c>
      <c r="JP63" s="206">
        <f t="shared" si="271"/>
        <v>0</v>
      </c>
      <c r="JQ63" s="206">
        <f t="shared" si="272"/>
        <v>0</v>
      </c>
      <c r="JR63" s="206">
        <f t="shared" si="273"/>
        <v>0</v>
      </c>
      <c r="JS63" s="206">
        <f t="shared" si="274"/>
        <v>0</v>
      </c>
      <c r="JT63" s="206">
        <f t="shared" si="275"/>
        <v>0</v>
      </c>
      <c r="JU63" s="206">
        <f t="shared" si="276"/>
        <v>0</v>
      </c>
      <c r="JV63" s="206">
        <f t="shared" si="277"/>
        <v>0</v>
      </c>
      <c r="JW63" s="206">
        <f t="shared" si="278"/>
        <v>0</v>
      </c>
      <c r="JX63" s="206">
        <f t="shared" si="279"/>
        <v>0</v>
      </c>
      <c r="JY63" s="206">
        <f t="shared" si="280"/>
        <v>0</v>
      </c>
      <c r="JZ63" s="206">
        <f t="shared" si="281"/>
        <v>0</v>
      </c>
      <c r="KA63" s="206">
        <f t="shared" si="282"/>
        <v>0</v>
      </c>
      <c r="KB63" s="206">
        <f t="shared" si="283"/>
        <v>0</v>
      </c>
      <c r="KC63" s="195"/>
      <c r="KD63" s="206">
        <f t="shared" si="165"/>
        <v>0</v>
      </c>
      <c r="KE63" s="206">
        <f t="shared" si="90"/>
        <v>0</v>
      </c>
      <c r="KF63" s="206">
        <f t="shared" si="284"/>
        <v>0</v>
      </c>
      <c r="KG63" s="206">
        <f t="shared" si="285"/>
        <v>0</v>
      </c>
      <c r="KH63" s="206">
        <f t="shared" si="286"/>
        <v>0</v>
      </c>
      <c r="KI63" s="206">
        <f t="shared" si="287"/>
        <v>0</v>
      </c>
      <c r="KJ63" s="206">
        <f t="shared" si="288"/>
        <v>0</v>
      </c>
      <c r="KK63" s="206">
        <f t="shared" si="289"/>
        <v>0</v>
      </c>
      <c r="KL63" s="206">
        <f t="shared" si="290"/>
        <v>0</v>
      </c>
      <c r="KM63" s="206">
        <f t="shared" si="291"/>
        <v>0</v>
      </c>
      <c r="KN63" s="221">
        <f t="shared" si="292"/>
        <v>0</v>
      </c>
      <c r="KO63" s="221">
        <f t="shared" si="293"/>
        <v>0</v>
      </c>
      <c r="KP63" s="221">
        <f t="shared" si="294"/>
        <v>0</v>
      </c>
      <c r="KQ63" s="221">
        <f t="shared" si="295"/>
        <v>0</v>
      </c>
      <c r="KR63" s="221">
        <f t="shared" si="296"/>
        <v>0</v>
      </c>
      <c r="KS63" s="195"/>
      <c r="KT63" s="195">
        <f t="shared" si="297"/>
        <v>0</v>
      </c>
      <c r="KU63" s="221"/>
      <c r="KV63" s="221"/>
      <c r="KW63" s="221"/>
      <c r="KX63" s="221"/>
      <c r="KY63" s="221"/>
      <c r="KZ63" s="221"/>
      <c r="LA63" s="221"/>
      <c r="LB63" s="221"/>
      <c r="LC63" s="221"/>
      <c r="LD63" s="221"/>
      <c r="LE63" s="221"/>
      <c r="LF63" s="221"/>
      <c r="LG63" s="221"/>
      <c r="LH63" s="221"/>
      <c r="LI63" s="221"/>
      <c r="LJ63" s="221"/>
      <c r="LK63" s="221"/>
      <c r="LL63" s="221"/>
      <c r="LM63" s="221"/>
      <c r="LN63" s="221"/>
      <c r="LO63" s="221"/>
      <c r="LP63" s="221"/>
      <c r="LQ63" s="221"/>
      <c r="LR63" s="221"/>
      <c r="LS63" s="221"/>
      <c r="LT63" s="221"/>
      <c r="LU63" s="221"/>
      <c r="LV63" s="221"/>
      <c r="LW63" s="221"/>
      <c r="LX63" s="221"/>
      <c r="LY63" s="221"/>
      <c r="LZ63" s="221"/>
      <c r="MA63" s="221"/>
      <c r="MB63" s="221"/>
      <c r="MC63" s="221"/>
      <c r="MD63" s="221"/>
      <c r="ME63" s="221"/>
      <c r="MF63" s="221"/>
      <c r="MG63" s="221"/>
      <c r="MH63" s="221"/>
      <c r="MI63" s="221"/>
      <c r="MJ63" s="221"/>
      <c r="MK63" s="221"/>
      <c r="ML63" s="221"/>
      <c r="MM63" s="221"/>
      <c r="MN63" s="221"/>
      <c r="MO63" s="221"/>
      <c r="MP63" s="221"/>
      <c r="MQ63" s="221"/>
      <c r="MR63" s="221"/>
      <c r="MS63" s="221"/>
      <c r="MT63" s="221"/>
      <c r="MU63" s="221"/>
      <c r="MV63" s="221"/>
      <c r="MW63" s="221"/>
      <c r="MX63" s="221"/>
      <c r="MY63" s="221"/>
      <c r="MZ63" s="221"/>
      <c r="NA63" s="221"/>
      <c r="NB63" s="221"/>
      <c r="NC63" s="221"/>
      <c r="ND63" s="221"/>
      <c r="NE63" s="221"/>
      <c r="NF63" s="221"/>
      <c r="NG63" s="221"/>
      <c r="NH63" s="221"/>
      <c r="NI63" s="221"/>
      <c r="NJ63" s="221"/>
      <c r="NK63" s="221"/>
      <c r="NL63" s="195"/>
      <c r="NM63" s="195">
        <f t="shared" si="166"/>
        <v>0</v>
      </c>
      <c r="NN63" s="195">
        <f t="shared" si="167"/>
        <v>0</v>
      </c>
      <c r="NO63" s="195">
        <f t="shared" si="168"/>
        <v>0</v>
      </c>
      <c r="NP63" s="195">
        <f t="shared" si="169"/>
        <v>0</v>
      </c>
      <c r="NQ63" s="195">
        <f t="shared" si="170"/>
        <v>0</v>
      </c>
      <c r="NR63" s="195">
        <f t="shared" si="171"/>
        <v>0</v>
      </c>
      <c r="NS63" s="195">
        <f t="shared" si="172"/>
        <v>0</v>
      </c>
      <c r="NT63" s="195">
        <f t="shared" si="173"/>
        <v>0</v>
      </c>
      <c r="NU63" s="196">
        <f t="shared" si="174"/>
        <v>0</v>
      </c>
      <c r="NV63" s="195"/>
      <c r="NW63" s="195"/>
      <c r="NX63" s="195"/>
      <c r="NY63" s="196">
        <f t="shared" si="232"/>
        <v>1</v>
      </c>
      <c r="NZ63" s="222">
        <f>133280000/16</f>
        <v>8330000</v>
      </c>
      <c r="OA63" s="195"/>
      <c r="OB63" s="195"/>
      <c r="OC63" s="195"/>
      <c r="OD63" s="195"/>
      <c r="OE63" s="207">
        <f t="shared" si="233"/>
        <v>0</v>
      </c>
      <c r="OF63" s="207">
        <f t="shared" si="234"/>
        <v>0</v>
      </c>
      <c r="OG63" s="207">
        <f t="shared" si="235"/>
        <v>0</v>
      </c>
      <c r="OH63" s="207">
        <f t="shared" si="175"/>
        <v>0</v>
      </c>
      <c r="OI63" s="207">
        <f t="shared" si="236"/>
        <v>0</v>
      </c>
      <c r="OJ63" s="199">
        <f t="shared" si="176"/>
        <v>0</v>
      </c>
      <c r="OK63" s="199">
        <f t="shared" si="177"/>
        <v>0</v>
      </c>
      <c r="OL63" s="199">
        <f t="shared" si="178"/>
        <v>0</v>
      </c>
      <c r="OM63" s="199">
        <f t="shared" si="179"/>
        <v>0</v>
      </c>
      <c r="ON63" s="195"/>
      <c r="OO63" s="207">
        <f t="shared" si="237"/>
        <v>0</v>
      </c>
      <c r="OP63" s="207">
        <f t="shared" si="238"/>
        <v>0</v>
      </c>
      <c r="OQ63" s="207">
        <f t="shared" si="180"/>
        <v>0</v>
      </c>
      <c r="OR63" s="207">
        <f t="shared" si="181"/>
        <v>0</v>
      </c>
      <c r="OS63" s="207">
        <f t="shared" si="182"/>
        <v>0</v>
      </c>
      <c r="OT63" s="199">
        <f t="shared" si="183"/>
        <v>0</v>
      </c>
      <c r="OU63" s="199">
        <f t="shared" si="184"/>
        <v>0</v>
      </c>
      <c r="OV63" s="199">
        <f t="shared" si="185"/>
        <v>0</v>
      </c>
      <c r="OW63" s="199">
        <f t="shared" si="186"/>
        <v>0</v>
      </c>
      <c r="OX63" s="195"/>
      <c r="OY63" s="195"/>
      <c r="OZ63" s="195"/>
      <c r="PA63" s="209"/>
      <c r="PB63" s="209"/>
      <c r="PC63" s="209"/>
      <c r="PD63" s="210">
        <f t="shared" si="113"/>
        <v>0</v>
      </c>
      <c r="PE63" s="210"/>
      <c r="PF63" s="210">
        <f t="shared" si="114"/>
        <v>0</v>
      </c>
      <c r="PG63" s="210">
        <f t="shared" si="302"/>
        <v>0</v>
      </c>
      <c r="PH63" s="210">
        <f t="shared" si="302"/>
        <v>0</v>
      </c>
      <c r="PI63" s="210">
        <f t="shared" si="302"/>
        <v>0</v>
      </c>
      <c r="PJ63" s="210">
        <f t="shared" si="300"/>
        <v>0</v>
      </c>
      <c r="PK63" s="210">
        <f t="shared" si="300"/>
        <v>0</v>
      </c>
      <c r="PL63" s="210">
        <f t="shared" si="300"/>
        <v>0</v>
      </c>
      <c r="PM63" s="195"/>
      <c r="PN63" s="195"/>
      <c r="PO63" s="212">
        <f t="shared" si="187"/>
        <v>0</v>
      </c>
      <c r="PP63" s="212">
        <f t="shared" si="188"/>
        <v>0</v>
      </c>
      <c r="PQ63" s="212">
        <f t="shared" si="189"/>
        <v>0</v>
      </c>
    </row>
    <row r="64" spans="1:433 16383:16383" ht="16" x14ac:dyDescent="0.2">
      <c r="A64" s="213">
        <f t="shared" ref="A64" si="359">A63+1</f>
        <v>55</v>
      </c>
      <c r="B64" s="186" t="s">
        <v>133</v>
      </c>
      <c r="C64" s="186">
        <v>57</v>
      </c>
      <c r="D64" s="188">
        <v>1</v>
      </c>
      <c r="E64" s="188">
        <v>36</v>
      </c>
      <c r="F64" s="188">
        <v>1</v>
      </c>
      <c r="G64" s="188">
        <f t="shared" si="239"/>
        <v>36</v>
      </c>
      <c r="H64" s="214">
        <f t="shared" si="203"/>
        <v>1</v>
      </c>
      <c r="I64" s="214">
        <f t="shared" si="204"/>
        <v>1</v>
      </c>
      <c r="J64" s="188">
        <v>1</v>
      </c>
      <c r="K64" s="188">
        <f t="shared" si="205"/>
        <v>36</v>
      </c>
      <c r="L64" s="214">
        <f t="shared" si="206"/>
        <v>1</v>
      </c>
      <c r="M64" s="214">
        <f t="shared" si="207"/>
        <v>1</v>
      </c>
      <c r="N64" s="188">
        <v>1</v>
      </c>
      <c r="O64" s="188">
        <f t="shared" si="208"/>
        <v>36</v>
      </c>
      <c r="P64" s="214">
        <f t="shared" si="209"/>
        <v>1</v>
      </c>
      <c r="Q64" s="214">
        <f t="shared" si="210"/>
        <v>1</v>
      </c>
      <c r="R64" s="188">
        <v>1</v>
      </c>
      <c r="S64" s="188">
        <f t="shared" si="211"/>
        <v>36</v>
      </c>
      <c r="T64" s="214">
        <f t="shared" si="212"/>
        <v>1</v>
      </c>
      <c r="U64" s="214">
        <f t="shared" si="213"/>
        <v>1</v>
      </c>
      <c r="V64" s="188">
        <v>1</v>
      </c>
      <c r="W64" s="188">
        <f t="shared" si="214"/>
        <v>36</v>
      </c>
      <c r="X64" s="214">
        <f t="shared" si="215"/>
        <v>1</v>
      </c>
      <c r="Y64" s="214">
        <f t="shared" si="216"/>
        <v>1</v>
      </c>
      <c r="Z64" s="224">
        <f>333645000/1000000000</f>
        <v>0.33364500000000002</v>
      </c>
      <c r="AA64" s="188"/>
      <c r="AB64" s="189">
        <f t="shared" si="120"/>
        <v>0</v>
      </c>
      <c r="AC64" s="250">
        <f t="shared" si="121"/>
        <v>0</v>
      </c>
      <c r="AD64" s="250">
        <f t="shared" si="122"/>
        <v>0</v>
      </c>
      <c r="AE64" s="188"/>
      <c r="AF64" s="188">
        <f t="shared" si="217"/>
        <v>0</v>
      </c>
      <c r="AG64" s="187"/>
      <c r="AH64" s="187"/>
      <c r="AI64" s="188">
        <v>0</v>
      </c>
      <c r="AJ64" s="188">
        <f t="shared" si="218"/>
        <v>0</v>
      </c>
      <c r="AK64" s="188"/>
      <c r="AL64" s="188">
        <v>0</v>
      </c>
      <c r="AM64" s="188">
        <v>0</v>
      </c>
      <c r="AN64" s="217"/>
      <c r="AO64" s="196">
        <f t="shared" si="123"/>
        <v>0</v>
      </c>
      <c r="AP64" s="195"/>
      <c r="AQ64" s="195"/>
      <c r="AR64" s="195"/>
      <c r="AS64" s="195"/>
      <c r="AT64" s="195"/>
      <c r="AU64" s="195"/>
      <c r="AV64" s="195"/>
      <c r="AW64" s="195"/>
      <c r="AX64" s="195"/>
      <c r="AY64" s="195"/>
      <c r="AZ64" s="195"/>
      <c r="BA64" s="195"/>
      <c r="BB64" s="188">
        <f t="shared" si="219"/>
        <v>0</v>
      </c>
      <c r="BC64" s="195"/>
      <c r="BD64" s="196"/>
      <c r="BE64" s="188">
        <f t="shared" si="220"/>
        <v>0</v>
      </c>
      <c r="BF64" s="188">
        <f t="shared" si="221"/>
        <v>0</v>
      </c>
      <c r="BG64" s="188">
        <f t="shared" si="222"/>
        <v>0</v>
      </c>
      <c r="BH64" s="188">
        <f t="shared" si="223"/>
        <v>0</v>
      </c>
      <c r="BI64" s="188">
        <f t="shared" si="224"/>
        <v>0</v>
      </c>
      <c r="BJ64" s="188">
        <f t="shared" si="225"/>
        <v>0</v>
      </c>
      <c r="BK64" s="188">
        <f t="shared" si="124"/>
        <v>0</v>
      </c>
      <c r="BL64" s="195"/>
      <c r="BM64" s="195"/>
      <c r="BN64" s="143"/>
      <c r="BO64" s="277"/>
      <c r="BP64" s="188"/>
      <c r="BQ64" s="188"/>
      <c r="BR64" s="188"/>
      <c r="BS64" s="188"/>
      <c r="BT64" s="188"/>
      <c r="BU64" s="188"/>
      <c r="BV64" s="188"/>
      <c r="BW64" s="188"/>
      <c r="BX64" s="188"/>
      <c r="BY64" s="188"/>
      <c r="BZ64" s="188"/>
      <c r="CA64" s="195"/>
      <c r="CB64" s="188">
        <v>0</v>
      </c>
      <c r="CC64" s="195"/>
      <c r="CD64" s="189">
        <f t="shared" si="125"/>
        <v>0</v>
      </c>
      <c r="CE64" s="189">
        <f t="shared" si="191"/>
        <v>0</v>
      </c>
      <c r="CF64" s="189">
        <f t="shared" si="126"/>
        <v>0</v>
      </c>
      <c r="CG64" s="189">
        <f t="shared" si="127"/>
        <v>0</v>
      </c>
      <c r="CH64" s="189">
        <f t="shared" si="128"/>
        <v>0</v>
      </c>
      <c r="CI64" s="189">
        <f t="shared" si="129"/>
        <v>0</v>
      </c>
      <c r="CJ64" s="189">
        <f t="shared" si="130"/>
        <v>0</v>
      </c>
      <c r="CK64" s="189">
        <f t="shared" si="131"/>
        <v>0</v>
      </c>
      <c r="CL64" s="189">
        <f t="shared" si="132"/>
        <v>0</v>
      </c>
      <c r="CM64" s="189">
        <f t="shared" si="133"/>
        <v>0</v>
      </c>
      <c r="CN64" s="189">
        <f t="shared" si="134"/>
        <v>0</v>
      </c>
      <c r="CO64" s="189">
        <f t="shared" si="135"/>
        <v>0</v>
      </c>
      <c r="CP64" s="189">
        <f t="shared" si="136"/>
        <v>0</v>
      </c>
      <c r="CQ64" s="195"/>
      <c r="CR64" s="195"/>
      <c r="CS64" s="195"/>
      <c r="CT64" s="195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195"/>
      <c r="DM64" s="195"/>
      <c r="DN64" s="195"/>
      <c r="DO64" s="195"/>
      <c r="DP64" s="195"/>
      <c r="DQ64" s="195"/>
      <c r="DR64" s="195"/>
      <c r="DS64" s="195"/>
      <c r="DT64" s="195"/>
      <c r="DU64" s="195"/>
      <c r="DV64" s="189">
        <f t="shared" si="226"/>
        <v>0</v>
      </c>
      <c r="DW64" s="189">
        <f t="shared" si="227"/>
        <v>0</v>
      </c>
      <c r="DX64" s="189">
        <f t="shared" si="228"/>
        <v>0</v>
      </c>
      <c r="DY64" s="189">
        <f t="shared" si="229"/>
        <v>0</v>
      </c>
      <c r="DZ64" s="189">
        <f t="shared" si="230"/>
        <v>0</v>
      </c>
      <c r="EA64" s="189">
        <f t="shared" si="231"/>
        <v>0</v>
      </c>
      <c r="EB64" s="189">
        <f t="shared" si="137"/>
        <v>0</v>
      </c>
      <c r="EC64" s="195"/>
      <c r="ED64" s="195"/>
      <c r="EE64" s="195"/>
      <c r="EF64" s="195"/>
      <c r="EG64" s="252">
        <f t="shared" si="138"/>
        <v>0</v>
      </c>
      <c r="EH64" s="252">
        <f t="shared" si="139"/>
        <v>0</v>
      </c>
      <c r="EI64" s="189"/>
      <c r="EJ64" s="189"/>
      <c r="EK64" s="189"/>
      <c r="EL64" s="189"/>
      <c r="EM64" s="189"/>
      <c r="EN64" s="189"/>
      <c r="EO64" s="189"/>
      <c r="EP64" s="189"/>
      <c r="EQ64" s="189"/>
      <c r="ER64" s="189"/>
      <c r="ES64" s="189"/>
      <c r="ET64" s="189"/>
      <c r="EU64" s="189"/>
      <c r="EV64" s="189"/>
      <c r="EW64" s="189"/>
      <c r="EX64" s="189"/>
      <c r="EY64" s="189"/>
      <c r="EZ64" s="189"/>
      <c r="FA64" s="189"/>
      <c r="FB64" s="189"/>
      <c r="FC64" s="189"/>
      <c r="FD64" s="189"/>
      <c r="FE64" s="189"/>
      <c r="FF64" s="189"/>
      <c r="FG64" s="195"/>
      <c r="FH64" s="189"/>
      <c r="FI64" s="189"/>
      <c r="FJ64" s="189"/>
      <c r="FK64" s="189"/>
      <c r="FL64" s="189"/>
      <c r="FM64" s="189"/>
      <c r="FN64" s="189"/>
      <c r="FO64" s="189"/>
      <c r="FP64" s="189"/>
      <c r="FQ64" s="189"/>
      <c r="FR64" s="189"/>
      <c r="FS64" s="189"/>
      <c r="FT64" s="189"/>
      <c r="FU64" s="189"/>
      <c r="FV64" s="189"/>
      <c r="FW64" s="195"/>
      <c r="FX64" s="253"/>
      <c r="FY64" s="189">
        <f t="shared" si="140"/>
        <v>0</v>
      </c>
      <c r="FZ64" s="189">
        <f t="shared" si="324"/>
        <v>0</v>
      </c>
      <c r="GA64" s="189">
        <f t="shared" si="325"/>
        <v>0</v>
      </c>
      <c r="GB64" s="189">
        <f t="shared" si="326"/>
        <v>0</v>
      </c>
      <c r="GC64" s="189">
        <f t="shared" si="327"/>
        <v>0</v>
      </c>
      <c r="GD64" s="189">
        <f t="shared" si="328"/>
        <v>0</v>
      </c>
      <c r="GE64" s="189">
        <f t="shared" si="329"/>
        <v>0</v>
      </c>
      <c r="GF64" s="199"/>
      <c r="GG64" s="189">
        <v>0</v>
      </c>
      <c r="GH64" s="189">
        <v>0</v>
      </c>
      <c r="GI64" s="199"/>
      <c r="GJ64" s="200">
        <f t="shared" si="141"/>
        <v>0</v>
      </c>
      <c r="GK64" s="200">
        <f t="shared" si="142"/>
        <v>0</v>
      </c>
      <c r="GL64" s="195"/>
      <c r="GM64" s="195"/>
      <c r="GN64" s="195"/>
      <c r="GO64" s="189">
        <f t="shared" si="246"/>
        <v>0</v>
      </c>
      <c r="GP64" s="189">
        <f t="shared" si="247"/>
        <v>0</v>
      </c>
      <c r="GQ64" s="189">
        <f t="shared" si="248"/>
        <v>0</v>
      </c>
      <c r="GR64" s="189">
        <f t="shared" si="249"/>
        <v>0</v>
      </c>
      <c r="GS64" s="189">
        <f t="shared" si="250"/>
        <v>0</v>
      </c>
      <c r="GT64" s="189">
        <f t="shared" si="143"/>
        <v>1</v>
      </c>
      <c r="GU64" s="201">
        <f t="shared" si="144"/>
        <v>43243</v>
      </c>
      <c r="GV64" s="189" t="str">
        <f t="shared" si="145"/>
        <v>SELESAI</v>
      </c>
      <c r="GW64" s="189">
        <f t="shared" si="146"/>
        <v>0</v>
      </c>
      <c r="GX64" s="202" t="str">
        <f t="shared" si="147"/>
        <v>SELESAI</v>
      </c>
      <c r="GY64" s="202">
        <f t="shared" si="148"/>
        <v>0</v>
      </c>
      <c r="GZ64" s="203" t="str">
        <f t="shared" si="149"/>
        <v>SELESAI</v>
      </c>
      <c r="HA64" s="204"/>
      <c r="HB64" s="204"/>
      <c r="HC64" s="189">
        <f t="shared" si="251"/>
        <v>0</v>
      </c>
      <c r="HD64" s="189">
        <f t="shared" si="252"/>
        <v>0</v>
      </c>
      <c r="HE64" s="189">
        <f t="shared" si="150"/>
        <v>0</v>
      </c>
      <c r="HF64" s="189">
        <f t="shared" si="151"/>
        <v>0</v>
      </c>
      <c r="HG64" s="189">
        <f t="shared" si="152"/>
        <v>0</v>
      </c>
      <c r="HH64" s="201" t="str">
        <f t="shared" si="46"/>
        <v>TIDAK KONSINYASI</v>
      </c>
      <c r="HI64" s="201" t="str">
        <f t="shared" si="153"/>
        <v>SELESAI</v>
      </c>
      <c r="HJ64" s="205"/>
      <c r="HK64" s="201">
        <f t="shared" si="47"/>
        <v>0</v>
      </c>
      <c r="HL64" s="204"/>
      <c r="HM64" s="204"/>
      <c r="HN64" s="204"/>
      <c r="HO64" s="204"/>
      <c r="HP64" s="203">
        <f t="shared" si="154"/>
        <v>0</v>
      </c>
      <c r="HQ64" s="202">
        <f t="shared" si="155"/>
        <v>0</v>
      </c>
      <c r="HR64" s="202">
        <f t="shared" si="253"/>
        <v>0</v>
      </c>
      <c r="HS64" s="203">
        <f t="shared" si="156"/>
        <v>0</v>
      </c>
      <c r="HT64" s="202">
        <f t="shared" si="157"/>
        <v>0</v>
      </c>
      <c r="HU64" s="202">
        <f t="shared" si="254"/>
        <v>0</v>
      </c>
      <c r="HV64" s="203">
        <f t="shared" si="158"/>
        <v>0</v>
      </c>
      <c r="HW64" s="202">
        <f t="shared" si="50"/>
        <v>0</v>
      </c>
      <c r="HX64" s="202">
        <f t="shared" si="255"/>
        <v>0</v>
      </c>
      <c r="HY64" s="203">
        <f t="shared" si="52"/>
        <v>0</v>
      </c>
      <c r="HZ64" s="202">
        <f t="shared" si="159"/>
        <v>0</v>
      </c>
      <c r="IA64" s="202">
        <f t="shared" si="256"/>
        <v>0</v>
      </c>
      <c r="IB64" s="203">
        <f t="shared" si="160"/>
        <v>0</v>
      </c>
      <c r="IC64" s="202">
        <f t="shared" si="54"/>
        <v>0</v>
      </c>
      <c r="ID64" s="202">
        <f t="shared" si="257"/>
        <v>0</v>
      </c>
      <c r="IE64" s="203">
        <f t="shared" si="56"/>
        <v>0</v>
      </c>
      <c r="IF64" s="202">
        <f t="shared" si="57"/>
        <v>0</v>
      </c>
      <c r="IG64" s="202">
        <f t="shared" si="258"/>
        <v>0</v>
      </c>
      <c r="IH64" s="203">
        <f t="shared" si="161"/>
        <v>0</v>
      </c>
      <c r="II64" s="202">
        <f t="shared" si="162"/>
        <v>0</v>
      </c>
      <c r="IJ64" s="202">
        <f t="shared" si="259"/>
        <v>0</v>
      </c>
      <c r="IK64" s="203">
        <f t="shared" si="60"/>
        <v>0</v>
      </c>
      <c r="IL64" s="202">
        <f t="shared" si="61"/>
        <v>0</v>
      </c>
      <c r="IM64" s="202">
        <f t="shared" si="260"/>
        <v>0</v>
      </c>
      <c r="IN64" s="204"/>
      <c r="IO64" s="203">
        <f t="shared" si="63"/>
        <v>0</v>
      </c>
      <c r="IP64" s="202">
        <f t="shared" si="261"/>
        <v>0</v>
      </c>
      <c r="IQ64" s="202">
        <f t="shared" si="262"/>
        <v>0</v>
      </c>
      <c r="IR64" s="204"/>
      <c r="IS64" s="203"/>
      <c r="IT64" s="202">
        <f t="shared" si="263"/>
        <v>1</v>
      </c>
      <c r="IU64" s="202">
        <f t="shared" si="264"/>
        <v>36</v>
      </c>
      <c r="IV64" s="204"/>
      <c r="IW64" s="203"/>
      <c r="IX64" s="202">
        <f t="shared" si="265"/>
        <v>0</v>
      </c>
      <c r="IY64" s="202">
        <f t="shared" si="266"/>
        <v>0</v>
      </c>
      <c r="IZ64" s="204"/>
      <c r="JA64" s="203"/>
      <c r="JB64" s="202">
        <f t="shared" si="267"/>
        <v>0</v>
      </c>
      <c r="JC64" s="202">
        <f t="shared" si="268"/>
        <v>0</v>
      </c>
      <c r="JD64" s="204"/>
      <c r="JE64" s="203"/>
      <c r="JF64" s="202">
        <f t="shared" si="163"/>
        <v>1</v>
      </c>
      <c r="JG64" s="202">
        <f t="shared" si="72"/>
        <v>36</v>
      </c>
      <c r="JH64" s="204"/>
      <c r="JI64" s="203"/>
      <c r="JJ64" s="202">
        <f t="shared" si="269"/>
        <v>0</v>
      </c>
      <c r="JK64" s="202">
        <f t="shared" si="270"/>
        <v>0</v>
      </c>
      <c r="JL64" s="195"/>
      <c r="JM64" s="203">
        <f t="shared" si="164"/>
        <v>0</v>
      </c>
      <c r="JN64" s="195"/>
      <c r="JO64" s="196">
        <f t="shared" si="75"/>
        <v>0</v>
      </c>
      <c r="JP64" s="206">
        <f t="shared" si="271"/>
        <v>0</v>
      </c>
      <c r="JQ64" s="206">
        <f t="shared" si="272"/>
        <v>0</v>
      </c>
      <c r="JR64" s="206">
        <f t="shared" si="273"/>
        <v>0</v>
      </c>
      <c r="JS64" s="206">
        <f t="shared" si="274"/>
        <v>0</v>
      </c>
      <c r="JT64" s="206">
        <f t="shared" si="275"/>
        <v>0</v>
      </c>
      <c r="JU64" s="206">
        <f t="shared" si="276"/>
        <v>0</v>
      </c>
      <c r="JV64" s="206">
        <f t="shared" si="277"/>
        <v>0</v>
      </c>
      <c r="JW64" s="206">
        <f t="shared" si="278"/>
        <v>0</v>
      </c>
      <c r="JX64" s="206">
        <f t="shared" si="279"/>
        <v>0</v>
      </c>
      <c r="JY64" s="206">
        <f t="shared" si="280"/>
        <v>0</v>
      </c>
      <c r="JZ64" s="206">
        <f t="shared" si="281"/>
        <v>0</v>
      </c>
      <c r="KA64" s="206">
        <f t="shared" si="282"/>
        <v>0</v>
      </c>
      <c r="KB64" s="206">
        <f t="shared" si="283"/>
        <v>0</v>
      </c>
      <c r="KC64" s="195"/>
      <c r="KD64" s="206">
        <f t="shared" si="165"/>
        <v>0</v>
      </c>
      <c r="KE64" s="206">
        <f t="shared" si="90"/>
        <v>0</v>
      </c>
      <c r="KF64" s="206">
        <f t="shared" si="284"/>
        <v>0</v>
      </c>
      <c r="KG64" s="206">
        <f t="shared" si="285"/>
        <v>0</v>
      </c>
      <c r="KH64" s="206">
        <f t="shared" si="286"/>
        <v>0</v>
      </c>
      <c r="KI64" s="206">
        <f t="shared" si="287"/>
        <v>0</v>
      </c>
      <c r="KJ64" s="206">
        <f t="shared" si="288"/>
        <v>0</v>
      </c>
      <c r="KK64" s="206">
        <f t="shared" si="289"/>
        <v>0</v>
      </c>
      <c r="KL64" s="206">
        <f t="shared" si="290"/>
        <v>0</v>
      </c>
      <c r="KM64" s="206">
        <f t="shared" si="291"/>
        <v>0</v>
      </c>
      <c r="KN64" s="221">
        <f t="shared" si="292"/>
        <v>0</v>
      </c>
      <c r="KO64" s="221">
        <f t="shared" si="293"/>
        <v>0</v>
      </c>
      <c r="KP64" s="221">
        <f t="shared" si="294"/>
        <v>0</v>
      </c>
      <c r="KQ64" s="221">
        <f t="shared" si="295"/>
        <v>0</v>
      </c>
      <c r="KR64" s="221">
        <f t="shared" si="296"/>
        <v>0</v>
      </c>
      <c r="KS64" s="195"/>
      <c r="KT64" s="195">
        <f t="shared" si="297"/>
        <v>0</v>
      </c>
      <c r="KU64" s="221"/>
      <c r="KV64" s="221"/>
      <c r="KW64" s="221"/>
      <c r="KX64" s="221"/>
      <c r="KY64" s="221"/>
      <c r="KZ64" s="221"/>
      <c r="LA64" s="221"/>
      <c r="LB64" s="221"/>
      <c r="LC64" s="221"/>
      <c r="LD64" s="221"/>
      <c r="LE64" s="221"/>
      <c r="LF64" s="221"/>
      <c r="LG64" s="221"/>
      <c r="LH64" s="221"/>
      <c r="LI64" s="221"/>
      <c r="LJ64" s="221"/>
      <c r="LK64" s="221"/>
      <c r="LL64" s="221"/>
      <c r="LM64" s="221"/>
      <c r="LN64" s="221"/>
      <c r="LO64" s="221"/>
      <c r="LP64" s="221"/>
      <c r="LQ64" s="221"/>
      <c r="LR64" s="221"/>
      <c r="LS64" s="221"/>
      <c r="LT64" s="221"/>
      <c r="LU64" s="221"/>
      <c r="LV64" s="221"/>
      <c r="LW64" s="221"/>
      <c r="LX64" s="221"/>
      <c r="LY64" s="221"/>
      <c r="LZ64" s="221"/>
      <c r="MA64" s="221"/>
      <c r="MB64" s="221"/>
      <c r="MC64" s="221"/>
      <c r="MD64" s="221"/>
      <c r="ME64" s="221"/>
      <c r="MF64" s="221"/>
      <c r="MG64" s="221"/>
      <c r="MH64" s="221"/>
      <c r="MI64" s="221"/>
      <c r="MJ64" s="221"/>
      <c r="MK64" s="221"/>
      <c r="ML64" s="221"/>
      <c r="MM64" s="221"/>
      <c r="MN64" s="221"/>
      <c r="MO64" s="221"/>
      <c r="MP64" s="221"/>
      <c r="MQ64" s="221"/>
      <c r="MR64" s="221"/>
      <c r="MS64" s="221"/>
      <c r="MT64" s="221"/>
      <c r="MU64" s="221"/>
      <c r="MV64" s="221"/>
      <c r="MW64" s="221"/>
      <c r="MX64" s="221"/>
      <c r="MY64" s="221"/>
      <c r="MZ64" s="221"/>
      <c r="NA64" s="221"/>
      <c r="NB64" s="221"/>
      <c r="NC64" s="221"/>
      <c r="ND64" s="221"/>
      <c r="NE64" s="221"/>
      <c r="NF64" s="221"/>
      <c r="NG64" s="221"/>
      <c r="NH64" s="221"/>
      <c r="NI64" s="221"/>
      <c r="NJ64" s="221"/>
      <c r="NK64" s="221"/>
      <c r="NL64" s="195"/>
      <c r="NM64" s="195">
        <f t="shared" si="166"/>
        <v>0</v>
      </c>
      <c r="NN64" s="195">
        <f t="shared" si="167"/>
        <v>0</v>
      </c>
      <c r="NO64" s="195">
        <f t="shared" si="168"/>
        <v>0</v>
      </c>
      <c r="NP64" s="195">
        <f t="shared" si="169"/>
        <v>0</v>
      </c>
      <c r="NQ64" s="195">
        <f t="shared" si="170"/>
        <v>0</v>
      </c>
      <c r="NR64" s="195">
        <f t="shared" si="171"/>
        <v>0</v>
      </c>
      <c r="NS64" s="195">
        <f t="shared" si="172"/>
        <v>0</v>
      </c>
      <c r="NT64" s="195">
        <f t="shared" si="173"/>
        <v>0</v>
      </c>
      <c r="NU64" s="196">
        <f t="shared" si="174"/>
        <v>0</v>
      </c>
      <c r="NV64" s="195"/>
      <c r="NW64" s="195"/>
      <c r="NX64" s="195"/>
      <c r="NY64" s="196">
        <f t="shared" si="232"/>
        <v>1</v>
      </c>
      <c r="NZ64" s="222">
        <v>8500000</v>
      </c>
      <c r="OA64" s="195"/>
      <c r="OB64" s="195"/>
      <c r="OC64" s="195"/>
      <c r="OD64" s="195"/>
      <c r="OE64" s="207">
        <f t="shared" si="233"/>
        <v>0</v>
      </c>
      <c r="OF64" s="207">
        <f t="shared" si="234"/>
        <v>0</v>
      </c>
      <c r="OG64" s="207">
        <f t="shared" si="235"/>
        <v>0</v>
      </c>
      <c r="OH64" s="207">
        <f t="shared" si="175"/>
        <v>0</v>
      </c>
      <c r="OI64" s="207">
        <f t="shared" si="236"/>
        <v>0</v>
      </c>
      <c r="OJ64" s="199">
        <f t="shared" si="176"/>
        <v>0</v>
      </c>
      <c r="OK64" s="199">
        <f t="shared" si="177"/>
        <v>0</v>
      </c>
      <c r="OL64" s="199">
        <f t="shared" si="178"/>
        <v>0</v>
      </c>
      <c r="OM64" s="199">
        <f t="shared" si="179"/>
        <v>0</v>
      </c>
      <c r="ON64" s="195"/>
      <c r="OO64" s="207">
        <f t="shared" si="237"/>
        <v>0</v>
      </c>
      <c r="OP64" s="207">
        <f t="shared" si="238"/>
        <v>0</v>
      </c>
      <c r="OQ64" s="207">
        <f t="shared" si="180"/>
        <v>0</v>
      </c>
      <c r="OR64" s="207">
        <f t="shared" si="181"/>
        <v>0</v>
      </c>
      <c r="OS64" s="207">
        <f t="shared" si="182"/>
        <v>0</v>
      </c>
      <c r="OT64" s="199">
        <f t="shared" si="183"/>
        <v>0</v>
      </c>
      <c r="OU64" s="199">
        <f t="shared" si="184"/>
        <v>0</v>
      </c>
      <c r="OV64" s="199">
        <f t="shared" si="185"/>
        <v>0</v>
      </c>
      <c r="OW64" s="199">
        <f t="shared" si="186"/>
        <v>0</v>
      </c>
      <c r="OX64" s="195"/>
      <c r="OY64" s="195"/>
      <c r="OZ64" s="195"/>
      <c r="PA64" s="209"/>
      <c r="PB64" s="209"/>
      <c r="PC64" s="209"/>
      <c r="PD64" s="210">
        <f t="shared" si="113"/>
        <v>0</v>
      </c>
      <c r="PE64" s="210"/>
      <c r="PF64" s="210">
        <f t="shared" si="114"/>
        <v>0</v>
      </c>
      <c r="PG64" s="210">
        <f t="shared" si="302"/>
        <v>0</v>
      </c>
      <c r="PH64" s="210">
        <f t="shared" si="302"/>
        <v>0</v>
      </c>
      <c r="PI64" s="210">
        <f t="shared" si="302"/>
        <v>0</v>
      </c>
      <c r="PJ64" s="210">
        <f t="shared" si="300"/>
        <v>0</v>
      </c>
      <c r="PK64" s="210">
        <f t="shared" si="300"/>
        <v>0</v>
      </c>
      <c r="PL64" s="210">
        <f t="shared" si="300"/>
        <v>0</v>
      </c>
      <c r="PM64" s="195"/>
      <c r="PN64" s="195"/>
      <c r="PO64" s="212">
        <f t="shared" si="187"/>
        <v>0</v>
      </c>
      <c r="PP64" s="212">
        <f t="shared" si="188"/>
        <v>0</v>
      </c>
      <c r="PQ64" s="212">
        <f t="shared" si="189"/>
        <v>0</v>
      </c>
    </row>
    <row r="65" spans="1:433 16383:16384" ht="16" x14ac:dyDescent="0.2">
      <c r="A65" s="213">
        <f t="shared" si="190"/>
        <v>56</v>
      </c>
      <c r="B65" s="186" t="s">
        <v>415</v>
      </c>
      <c r="C65" s="186">
        <v>58</v>
      </c>
      <c r="D65" s="188">
        <v>1</v>
      </c>
      <c r="E65" s="188">
        <v>50</v>
      </c>
      <c r="F65" s="188">
        <v>1</v>
      </c>
      <c r="G65" s="188">
        <f t="shared" si="239"/>
        <v>50</v>
      </c>
      <c r="H65" s="214">
        <f t="shared" si="203"/>
        <v>1</v>
      </c>
      <c r="I65" s="214">
        <f t="shared" si="204"/>
        <v>1</v>
      </c>
      <c r="J65" s="188">
        <v>1</v>
      </c>
      <c r="K65" s="188">
        <f t="shared" si="205"/>
        <v>50</v>
      </c>
      <c r="L65" s="214">
        <f t="shared" si="206"/>
        <v>1</v>
      </c>
      <c r="M65" s="214">
        <f t="shared" si="207"/>
        <v>1</v>
      </c>
      <c r="N65" s="188">
        <v>1</v>
      </c>
      <c r="O65" s="188">
        <f t="shared" si="208"/>
        <v>50</v>
      </c>
      <c r="P65" s="214">
        <f t="shared" si="209"/>
        <v>1</v>
      </c>
      <c r="Q65" s="214">
        <f t="shared" si="210"/>
        <v>1</v>
      </c>
      <c r="R65" s="188">
        <v>1</v>
      </c>
      <c r="S65" s="188">
        <f t="shared" si="211"/>
        <v>50</v>
      </c>
      <c r="T65" s="214">
        <f t="shared" si="212"/>
        <v>1</v>
      </c>
      <c r="U65" s="214">
        <f t="shared" si="213"/>
        <v>1</v>
      </c>
      <c r="V65" s="188">
        <v>1</v>
      </c>
      <c r="W65" s="188">
        <f t="shared" si="214"/>
        <v>50</v>
      </c>
      <c r="X65" s="214">
        <f t="shared" si="215"/>
        <v>1</v>
      </c>
      <c r="Y65" s="214">
        <f t="shared" si="216"/>
        <v>1</v>
      </c>
      <c r="Z65" s="224">
        <f>719924000/1000000000</f>
        <v>0.71992400000000001</v>
      </c>
      <c r="AA65" s="188"/>
      <c r="AB65" s="189">
        <f t="shared" si="120"/>
        <v>0</v>
      </c>
      <c r="AC65" s="250">
        <f t="shared" si="121"/>
        <v>0</v>
      </c>
      <c r="AD65" s="250">
        <f t="shared" si="122"/>
        <v>0</v>
      </c>
      <c r="AE65" s="188"/>
      <c r="AF65" s="188">
        <f t="shared" si="217"/>
        <v>0</v>
      </c>
      <c r="AG65" s="187"/>
      <c r="AH65" s="187"/>
      <c r="AI65" s="188">
        <v>0</v>
      </c>
      <c r="AJ65" s="188">
        <f t="shared" si="218"/>
        <v>0</v>
      </c>
      <c r="AK65" s="188"/>
      <c r="AL65" s="188">
        <v>0</v>
      </c>
      <c r="AM65" s="188">
        <v>0</v>
      </c>
      <c r="AN65" s="217"/>
      <c r="AO65" s="196">
        <f t="shared" si="123"/>
        <v>0</v>
      </c>
      <c r="AP65" s="195"/>
      <c r="AQ65" s="195"/>
      <c r="AR65" s="195"/>
      <c r="AS65" s="195"/>
      <c r="AT65" s="195"/>
      <c r="AU65" s="195"/>
      <c r="AV65" s="195"/>
      <c r="AW65" s="195"/>
      <c r="AX65" s="195"/>
      <c r="AY65" s="195"/>
      <c r="AZ65" s="195"/>
      <c r="BA65" s="195"/>
      <c r="BB65" s="188">
        <f t="shared" si="219"/>
        <v>0</v>
      </c>
      <c r="BC65" s="195"/>
      <c r="BD65" s="196"/>
      <c r="BE65" s="188">
        <f t="shared" si="220"/>
        <v>0</v>
      </c>
      <c r="BF65" s="188">
        <f t="shared" si="221"/>
        <v>0</v>
      </c>
      <c r="BG65" s="188">
        <f t="shared" si="222"/>
        <v>0</v>
      </c>
      <c r="BH65" s="188">
        <f t="shared" si="223"/>
        <v>0</v>
      </c>
      <c r="BI65" s="188">
        <f t="shared" si="224"/>
        <v>0</v>
      </c>
      <c r="BJ65" s="188">
        <f t="shared" si="225"/>
        <v>0</v>
      </c>
      <c r="BK65" s="188">
        <f t="shared" si="124"/>
        <v>0</v>
      </c>
      <c r="BL65" s="195"/>
      <c r="BM65" s="195"/>
      <c r="BN65" s="143"/>
      <c r="BO65" s="277"/>
      <c r="BP65" s="188"/>
      <c r="BQ65" s="188"/>
      <c r="BR65" s="188"/>
      <c r="BS65" s="188"/>
      <c r="BT65" s="188"/>
      <c r="BU65" s="188"/>
      <c r="BV65" s="188"/>
      <c r="BW65" s="188"/>
      <c r="BX65" s="188"/>
      <c r="BY65" s="188"/>
      <c r="BZ65" s="188"/>
      <c r="CA65" s="195"/>
      <c r="CB65" s="188">
        <v>0</v>
      </c>
      <c r="CC65" s="195"/>
      <c r="CD65" s="189">
        <f t="shared" si="125"/>
        <v>0</v>
      </c>
      <c r="CE65" s="189">
        <f t="shared" si="191"/>
        <v>0</v>
      </c>
      <c r="CF65" s="189">
        <f t="shared" si="126"/>
        <v>0</v>
      </c>
      <c r="CG65" s="189">
        <f t="shared" si="127"/>
        <v>0</v>
      </c>
      <c r="CH65" s="189">
        <f t="shared" si="128"/>
        <v>0</v>
      </c>
      <c r="CI65" s="189">
        <f t="shared" si="129"/>
        <v>0</v>
      </c>
      <c r="CJ65" s="189">
        <f t="shared" si="130"/>
        <v>0</v>
      </c>
      <c r="CK65" s="189">
        <f t="shared" si="131"/>
        <v>0</v>
      </c>
      <c r="CL65" s="189">
        <f t="shared" si="132"/>
        <v>0</v>
      </c>
      <c r="CM65" s="189">
        <f t="shared" si="133"/>
        <v>0</v>
      </c>
      <c r="CN65" s="189">
        <f t="shared" si="134"/>
        <v>0</v>
      </c>
      <c r="CO65" s="189">
        <f t="shared" si="135"/>
        <v>0</v>
      </c>
      <c r="CP65" s="189">
        <f t="shared" si="136"/>
        <v>0</v>
      </c>
      <c r="CQ65" s="195"/>
      <c r="CR65" s="195"/>
      <c r="CS65" s="195"/>
      <c r="CT65" s="195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195"/>
      <c r="DM65" s="195"/>
      <c r="DN65" s="195"/>
      <c r="DO65" s="195"/>
      <c r="DP65" s="195"/>
      <c r="DQ65" s="195"/>
      <c r="DR65" s="195"/>
      <c r="DS65" s="195"/>
      <c r="DT65" s="195"/>
      <c r="DU65" s="195"/>
      <c r="DV65" s="189">
        <f t="shared" si="226"/>
        <v>0</v>
      </c>
      <c r="DW65" s="189">
        <f t="shared" si="227"/>
        <v>0</v>
      </c>
      <c r="DX65" s="189">
        <f t="shared" si="228"/>
        <v>0</v>
      </c>
      <c r="DY65" s="189">
        <f t="shared" si="229"/>
        <v>0</v>
      </c>
      <c r="DZ65" s="189">
        <f t="shared" si="230"/>
        <v>0</v>
      </c>
      <c r="EA65" s="189">
        <f t="shared" si="231"/>
        <v>0</v>
      </c>
      <c r="EB65" s="189">
        <f t="shared" si="137"/>
        <v>0</v>
      </c>
      <c r="EC65" s="195"/>
      <c r="ED65" s="195"/>
      <c r="EE65" s="195"/>
      <c r="EF65" s="195"/>
      <c r="EG65" s="252">
        <f t="shared" si="138"/>
        <v>0</v>
      </c>
      <c r="EH65" s="252">
        <f t="shared" si="139"/>
        <v>0</v>
      </c>
      <c r="EI65" s="189"/>
      <c r="EJ65" s="189"/>
      <c r="EK65" s="189"/>
      <c r="EL65" s="189"/>
      <c r="EM65" s="189"/>
      <c r="EN65" s="189"/>
      <c r="EO65" s="189"/>
      <c r="EP65" s="189"/>
      <c r="EQ65" s="189"/>
      <c r="ER65" s="189"/>
      <c r="ES65" s="189"/>
      <c r="ET65" s="189"/>
      <c r="EU65" s="189"/>
      <c r="EV65" s="189"/>
      <c r="EW65" s="189"/>
      <c r="EX65" s="189"/>
      <c r="EY65" s="189"/>
      <c r="EZ65" s="189"/>
      <c r="FA65" s="189"/>
      <c r="FB65" s="189"/>
      <c r="FC65" s="189"/>
      <c r="FD65" s="189"/>
      <c r="FE65" s="189"/>
      <c r="FF65" s="189"/>
      <c r="FG65" s="195"/>
      <c r="FH65" s="189"/>
      <c r="FI65" s="189"/>
      <c r="FJ65" s="189"/>
      <c r="FK65" s="189"/>
      <c r="FL65" s="189"/>
      <c r="FM65" s="189"/>
      <c r="FN65" s="189"/>
      <c r="FO65" s="189"/>
      <c r="FP65" s="189"/>
      <c r="FQ65" s="189"/>
      <c r="FR65" s="189"/>
      <c r="FS65" s="189"/>
      <c r="FT65" s="189"/>
      <c r="FU65" s="189"/>
      <c r="FV65" s="189"/>
      <c r="FW65" s="195"/>
      <c r="FX65" s="253"/>
      <c r="FY65" s="189">
        <f t="shared" si="140"/>
        <v>0</v>
      </c>
      <c r="FZ65" s="189">
        <f t="shared" si="324"/>
        <v>0</v>
      </c>
      <c r="GA65" s="189">
        <f t="shared" si="325"/>
        <v>0</v>
      </c>
      <c r="GB65" s="189">
        <f t="shared" si="326"/>
        <v>0</v>
      </c>
      <c r="GC65" s="189">
        <f t="shared" si="327"/>
        <v>0</v>
      </c>
      <c r="GD65" s="189">
        <f t="shared" si="328"/>
        <v>0</v>
      </c>
      <c r="GE65" s="189">
        <f t="shared" si="329"/>
        <v>0</v>
      </c>
      <c r="GF65" s="199"/>
      <c r="GG65" s="189">
        <v>0</v>
      </c>
      <c r="GH65" s="189">
        <v>0</v>
      </c>
      <c r="GI65" s="199"/>
      <c r="GJ65" s="200">
        <f t="shared" si="141"/>
        <v>0</v>
      </c>
      <c r="GK65" s="200">
        <f t="shared" si="142"/>
        <v>0</v>
      </c>
      <c r="GL65" s="195"/>
      <c r="GM65" s="195"/>
      <c r="GN65" s="195"/>
      <c r="GO65" s="189">
        <f t="shared" si="246"/>
        <v>0</v>
      </c>
      <c r="GP65" s="189">
        <f t="shared" si="247"/>
        <v>0</v>
      </c>
      <c r="GQ65" s="189">
        <f t="shared" si="248"/>
        <v>0</v>
      </c>
      <c r="GR65" s="189">
        <f t="shared" si="249"/>
        <v>0</v>
      </c>
      <c r="GS65" s="189">
        <f t="shared" si="250"/>
        <v>0</v>
      </c>
      <c r="GT65" s="189">
        <f t="shared" si="143"/>
        <v>1</v>
      </c>
      <c r="GU65" s="201">
        <f t="shared" si="144"/>
        <v>43243</v>
      </c>
      <c r="GV65" s="189" t="str">
        <f t="shared" si="145"/>
        <v>SELESAI</v>
      </c>
      <c r="GW65" s="189">
        <f t="shared" si="146"/>
        <v>0</v>
      </c>
      <c r="GX65" s="202" t="str">
        <f t="shared" si="147"/>
        <v>SELESAI</v>
      </c>
      <c r="GY65" s="202">
        <f t="shared" si="148"/>
        <v>0</v>
      </c>
      <c r="GZ65" s="203" t="str">
        <f t="shared" si="149"/>
        <v>SELESAI</v>
      </c>
      <c r="HA65" s="204"/>
      <c r="HB65" s="204"/>
      <c r="HC65" s="189">
        <f t="shared" si="251"/>
        <v>0</v>
      </c>
      <c r="HD65" s="189">
        <f t="shared" si="252"/>
        <v>0</v>
      </c>
      <c r="HE65" s="189">
        <f t="shared" si="150"/>
        <v>0</v>
      </c>
      <c r="HF65" s="189">
        <f t="shared" si="151"/>
        <v>0</v>
      </c>
      <c r="HG65" s="189">
        <f t="shared" si="152"/>
        <v>0</v>
      </c>
      <c r="HH65" s="201" t="str">
        <f t="shared" si="46"/>
        <v>TIDAK KONSINYASI</v>
      </c>
      <c r="HI65" s="201" t="str">
        <f t="shared" si="153"/>
        <v>SELESAI</v>
      </c>
      <c r="HJ65" s="205"/>
      <c r="HK65" s="201">
        <f t="shared" si="47"/>
        <v>0</v>
      </c>
      <c r="HL65" s="204"/>
      <c r="HM65" s="204"/>
      <c r="HN65" s="204"/>
      <c r="HO65" s="204"/>
      <c r="HP65" s="203">
        <f t="shared" si="154"/>
        <v>0</v>
      </c>
      <c r="HQ65" s="202">
        <f t="shared" si="155"/>
        <v>0</v>
      </c>
      <c r="HR65" s="202">
        <f t="shared" si="253"/>
        <v>0</v>
      </c>
      <c r="HS65" s="203">
        <f t="shared" si="156"/>
        <v>0</v>
      </c>
      <c r="HT65" s="202">
        <f t="shared" si="157"/>
        <v>0</v>
      </c>
      <c r="HU65" s="202">
        <f t="shared" si="254"/>
        <v>0</v>
      </c>
      <c r="HV65" s="203">
        <f t="shared" si="158"/>
        <v>0</v>
      </c>
      <c r="HW65" s="202">
        <f t="shared" si="50"/>
        <v>0</v>
      </c>
      <c r="HX65" s="202">
        <f t="shared" si="255"/>
        <v>0</v>
      </c>
      <c r="HY65" s="203">
        <f t="shared" si="52"/>
        <v>0</v>
      </c>
      <c r="HZ65" s="202">
        <f t="shared" si="159"/>
        <v>0</v>
      </c>
      <c r="IA65" s="202">
        <f t="shared" si="256"/>
        <v>0</v>
      </c>
      <c r="IB65" s="203">
        <f t="shared" si="160"/>
        <v>0</v>
      </c>
      <c r="IC65" s="202">
        <f t="shared" si="54"/>
        <v>0</v>
      </c>
      <c r="ID65" s="202">
        <f t="shared" si="257"/>
        <v>0</v>
      </c>
      <c r="IE65" s="203">
        <f t="shared" si="56"/>
        <v>0</v>
      </c>
      <c r="IF65" s="202">
        <f t="shared" si="57"/>
        <v>0</v>
      </c>
      <c r="IG65" s="202">
        <f t="shared" si="258"/>
        <v>0</v>
      </c>
      <c r="IH65" s="203">
        <f t="shared" si="161"/>
        <v>0</v>
      </c>
      <c r="II65" s="202">
        <f t="shared" si="162"/>
        <v>0</v>
      </c>
      <c r="IJ65" s="202">
        <f t="shared" si="259"/>
        <v>0</v>
      </c>
      <c r="IK65" s="203">
        <f t="shared" si="60"/>
        <v>0</v>
      </c>
      <c r="IL65" s="202">
        <f t="shared" si="61"/>
        <v>0</v>
      </c>
      <c r="IM65" s="202">
        <f t="shared" si="260"/>
        <v>0</v>
      </c>
      <c r="IN65" s="204"/>
      <c r="IO65" s="203">
        <f t="shared" si="63"/>
        <v>0</v>
      </c>
      <c r="IP65" s="202">
        <f t="shared" si="261"/>
        <v>0</v>
      </c>
      <c r="IQ65" s="202">
        <f t="shared" si="262"/>
        <v>0</v>
      </c>
      <c r="IR65" s="204"/>
      <c r="IS65" s="203"/>
      <c r="IT65" s="202">
        <f t="shared" si="263"/>
        <v>1</v>
      </c>
      <c r="IU65" s="202">
        <f t="shared" si="264"/>
        <v>50</v>
      </c>
      <c r="IV65" s="204"/>
      <c r="IW65" s="203"/>
      <c r="IX65" s="202">
        <f t="shared" si="265"/>
        <v>0</v>
      </c>
      <c r="IY65" s="202">
        <f t="shared" si="266"/>
        <v>0</v>
      </c>
      <c r="IZ65" s="204"/>
      <c r="JA65" s="203"/>
      <c r="JB65" s="202">
        <f t="shared" si="267"/>
        <v>0</v>
      </c>
      <c r="JC65" s="202">
        <f t="shared" si="268"/>
        <v>0</v>
      </c>
      <c r="JD65" s="204"/>
      <c r="JE65" s="203"/>
      <c r="JF65" s="202">
        <f t="shared" si="163"/>
        <v>1</v>
      </c>
      <c r="JG65" s="202">
        <f t="shared" si="72"/>
        <v>50</v>
      </c>
      <c r="JH65" s="204"/>
      <c r="JI65" s="203"/>
      <c r="JJ65" s="202">
        <f t="shared" si="269"/>
        <v>0</v>
      </c>
      <c r="JK65" s="202">
        <f t="shared" si="270"/>
        <v>0</v>
      </c>
      <c r="JL65" s="195"/>
      <c r="JM65" s="203">
        <f t="shared" si="164"/>
        <v>0</v>
      </c>
      <c r="JN65" s="195"/>
      <c r="JO65" s="196">
        <f t="shared" si="75"/>
        <v>0</v>
      </c>
      <c r="JP65" s="206">
        <f t="shared" si="271"/>
        <v>0</v>
      </c>
      <c r="JQ65" s="206">
        <f t="shared" si="272"/>
        <v>0</v>
      </c>
      <c r="JR65" s="206">
        <f t="shared" si="273"/>
        <v>0</v>
      </c>
      <c r="JS65" s="206">
        <f t="shared" si="274"/>
        <v>0</v>
      </c>
      <c r="JT65" s="206">
        <f t="shared" si="275"/>
        <v>0</v>
      </c>
      <c r="JU65" s="206">
        <f t="shared" si="276"/>
        <v>0</v>
      </c>
      <c r="JV65" s="206">
        <f t="shared" si="277"/>
        <v>0</v>
      </c>
      <c r="JW65" s="206">
        <f t="shared" si="278"/>
        <v>0</v>
      </c>
      <c r="JX65" s="206">
        <f t="shared" si="279"/>
        <v>0</v>
      </c>
      <c r="JY65" s="206">
        <f t="shared" si="280"/>
        <v>0</v>
      </c>
      <c r="JZ65" s="206">
        <f t="shared" si="281"/>
        <v>0</v>
      </c>
      <c r="KA65" s="206">
        <f t="shared" si="282"/>
        <v>0</v>
      </c>
      <c r="KB65" s="206">
        <f t="shared" si="283"/>
        <v>0</v>
      </c>
      <c r="KC65" s="195"/>
      <c r="KD65" s="206">
        <f t="shared" si="165"/>
        <v>0</v>
      </c>
      <c r="KE65" s="206">
        <f t="shared" si="90"/>
        <v>0</v>
      </c>
      <c r="KF65" s="206">
        <f t="shared" si="284"/>
        <v>0</v>
      </c>
      <c r="KG65" s="206">
        <f t="shared" si="285"/>
        <v>0</v>
      </c>
      <c r="KH65" s="206">
        <f t="shared" si="286"/>
        <v>0</v>
      </c>
      <c r="KI65" s="206">
        <f t="shared" si="287"/>
        <v>0</v>
      </c>
      <c r="KJ65" s="206">
        <f t="shared" si="288"/>
        <v>0</v>
      </c>
      <c r="KK65" s="206">
        <f t="shared" si="289"/>
        <v>0</v>
      </c>
      <c r="KL65" s="206">
        <f t="shared" si="290"/>
        <v>0</v>
      </c>
      <c r="KM65" s="206">
        <f t="shared" si="291"/>
        <v>0</v>
      </c>
      <c r="KN65" s="221">
        <f t="shared" si="292"/>
        <v>0</v>
      </c>
      <c r="KO65" s="221">
        <f t="shared" si="293"/>
        <v>0</v>
      </c>
      <c r="KP65" s="221">
        <f t="shared" si="294"/>
        <v>0</v>
      </c>
      <c r="KQ65" s="221">
        <f t="shared" si="295"/>
        <v>0</v>
      </c>
      <c r="KR65" s="221">
        <f t="shared" si="296"/>
        <v>0</v>
      </c>
      <c r="KS65" s="195"/>
      <c r="KT65" s="195">
        <f t="shared" si="297"/>
        <v>0</v>
      </c>
      <c r="KU65" s="221"/>
      <c r="KV65" s="221"/>
      <c r="KW65" s="221"/>
      <c r="KX65" s="221"/>
      <c r="KY65" s="221"/>
      <c r="KZ65" s="221"/>
      <c r="LA65" s="221"/>
      <c r="LB65" s="221"/>
      <c r="LC65" s="221"/>
      <c r="LD65" s="221"/>
      <c r="LE65" s="221"/>
      <c r="LF65" s="221"/>
      <c r="LG65" s="221"/>
      <c r="LH65" s="221"/>
      <c r="LI65" s="221"/>
      <c r="LJ65" s="221"/>
      <c r="LK65" s="221"/>
      <c r="LL65" s="221"/>
      <c r="LM65" s="221"/>
      <c r="LN65" s="221"/>
      <c r="LO65" s="221"/>
      <c r="LP65" s="221"/>
      <c r="LQ65" s="221"/>
      <c r="LR65" s="221"/>
      <c r="LS65" s="221"/>
      <c r="LT65" s="221"/>
      <c r="LU65" s="221"/>
      <c r="LV65" s="221"/>
      <c r="LW65" s="221"/>
      <c r="LX65" s="221"/>
      <c r="LY65" s="221"/>
      <c r="LZ65" s="221"/>
      <c r="MA65" s="221"/>
      <c r="MB65" s="221"/>
      <c r="MC65" s="221"/>
      <c r="MD65" s="221"/>
      <c r="ME65" s="221"/>
      <c r="MF65" s="221"/>
      <c r="MG65" s="221"/>
      <c r="MH65" s="221"/>
      <c r="MI65" s="221"/>
      <c r="MJ65" s="221"/>
      <c r="MK65" s="221"/>
      <c r="ML65" s="221"/>
      <c r="MM65" s="221"/>
      <c r="MN65" s="221"/>
      <c r="MO65" s="221"/>
      <c r="MP65" s="221"/>
      <c r="MQ65" s="221"/>
      <c r="MR65" s="221"/>
      <c r="MS65" s="221"/>
      <c r="MT65" s="221"/>
      <c r="MU65" s="221"/>
      <c r="MV65" s="221"/>
      <c r="MW65" s="221"/>
      <c r="MX65" s="221"/>
      <c r="MY65" s="221"/>
      <c r="MZ65" s="221"/>
      <c r="NA65" s="221"/>
      <c r="NB65" s="221"/>
      <c r="NC65" s="221"/>
      <c r="ND65" s="221"/>
      <c r="NE65" s="221"/>
      <c r="NF65" s="221"/>
      <c r="NG65" s="221"/>
      <c r="NH65" s="221"/>
      <c r="NI65" s="221"/>
      <c r="NJ65" s="221"/>
      <c r="NK65" s="221"/>
      <c r="NL65" s="195"/>
      <c r="NM65" s="195">
        <f t="shared" si="166"/>
        <v>0</v>
      </c>
      <c r="NN65" s="195">
        <f t="shared" si="167"/>
        <v>0</v>
      </c>
      <c r="NO65" s="195">
        <f t="shared" si="168"/>
        <v>0</v>
      </c>
      <c r="NP65" s="195">
        <f t="shared" si="169"/>
        <v>0</v>
      </c>
      <c r="NQ65" s="195">
        <f t="shared" si="170"/>
        <v>0</v>
      </c>
      <c r="NR65" s="195">
        <f t="shared" si="171"/>
        <v>0</v>
      </c>
      <c r="NS65" s="195">
        <f t="shared" si="172"/>
        <v>0</v>
      </c>
      <c r="NT65" s="195">
        <f t="shared" si="173"/>
        <v>0</v>
      </c>
      <c r="NU65" s="196">
        <f t="shared" si="174"/>
        <v>0</v>
      </c>
      <c r="NV65" s="195"/>
      <c r="NW65" s="195"/>
      <c r="NX65" s="195"/>
      <c r="NY65" s="196">
        <f t="shared" si="232"/>
        <v>1</v>
      </c>
      <c r="NZ65" s="222">
        <f>224910000/27</f>
        <v>8330000</v>
      </c>
      <c r="OA65" s="195"/>
      <c r="OB65" s="195"/>
      <c r="OC65" s="195"/>
      <c r="OD65" s="195"/>
      <c r="OE65" s="207">
        <f t="shared" si="233"/>
        <v>0</v>
      </c>
      <c r="OF65" s="207">
        <f t="shared" si="234"/>
        <v>0</v>
      </c>
      <c r="OG65" s="207">
        <f t="shared" si="235"/>
        <v>0</v>
      </c>
      <c r="OH65" s="207">
        <f t="shared" si="175"/>
        <v>0</v>
      </c>
      <c r="OI65" s="207">
        <f t="shared" si="236"/>
        <v>0</v>
      </c>
      <c r="OJ65" s="199">
        <f t="shared" si="176"/>
        <v>0</v>
      </c>
      <c r="OK65" s="199">
        <f t="shared" si="177"/>
        <v>0</v>
      </c>
      <c r="OL65" s="199">
        <f t="shared" si="178"/>
        <v>0</v>
      </c>
      <c r="OM65" s="199">
        <f t="shared" si="179"/>
        <v>0</v>
      </c>
      <c r="ON65" s="195"/>
      <c r="OO65" s="207">
        <f t="shared" si="237"/>
        <v>0</v>
      </c>
      <c r="OP65" s="207">
        <f t="shared" si="238"/>
        <v>0</v>
      </c>
      <c r="OQ65" s="207">
        <f t="shared" si="180"/>
        <v>0</v>
      </c>
      <c r="OR65" s="207">
        <f t="shared" si="181"/>
        <v>0</v>
      </c>
      <c r="OS65" s="207">
        <f t="shared" si="182"/>
        <v>0</v>
      </c>
      <c r="OT65" s="199">
        <f t="shared" si="183"/>
        <v>0</v>
      </c>
      <c r="OU65" s="199">
        <f t="shared" si="184"/>
        <v>0</v>
      </c>
      <c r="OV65" s="199">
        <f t="shared" si="185"/>
        <v>0</v>
      </c>
      <c r="OW65" s="199">
        <f t="shared" si="186"/>
        <v>0</v>
      </c>
      <c r="OX65" s="195"/>
      <c r="OY65" s="195"/>
      <c r="OZ65" s="195"/>
      <c r="PA65" s="209"/>
      <c r="PB65" s="209"/>
      <c r="PC65" s="209"/>
      <c r="PD65" s="210">
        <f t="shared" si="113"/>
        <v>0</v>
      </c>
      <c r="PE65" s="210"/>
      <c r="PF65" s="210">
        <f t="shared" si="114"/>
        <v>0</v>
      </c>
      <c r="PG65" s="210">
        <f t="shared" si="302"/>
        <v>0</v>
      </c>
      <c r="PH65" s="210">
        <f t="shared" si="302"/>
        <v>0</v>
      </c>
      <c r="PI65" s="210">
        <f t="shared" si="302"/>
        <v>0</v>
      </c>
      <c r="PJ65" s="210">
        <f t="shared" si="300"/>
        <v>0</v>
      </c>
      <c r="PK65" s="210">
        <f t="shared" si="300"/>
        <v>0</v>
      </c>
      <c r="PL65" s="210">
        <f t="shared" si="300"/>
        <v>0</v>
      </c>
      <c r="PM65" s="195"/>
      <c r="PN65" s="195"/>
      <c r="PO65" s="212">
        <f t="shared" si="187"/>
        <v>0</v>
      </c>
      <c r="PP65" s="212">
        <f t="shared" si="188"/>
        <v>0</v>
      </c>
      <c r="PQ65" s="212">
        <f t="shared" si="189"/>
        <v>0</v>
      </c>
    </row>
    <row r="66" spans="1:433 16383:16384" ht="16" x14ac:dyDescent="0.2">
      <c r="A66" s="213">
        <f t="shared" si="190"/>
        <v>57</v>
      </c>
      <c r="B66" s="186" t="s">
        <v>416</v>
      </c>
      <c r="C66" s="186">
        <v>59</v>
      </c>
      <c r="D66" s="188">
        <v>1</v>
      </c>
      <c r="E66" s="188">
        <v>90</v>
      </c>
      <c r="F66" s="188">
        <v>1</v>
      </c>
      <c r="G66" s="188">
        <f t="shared" si="239"/>
        <v>90</v>
      </c>
      <c r="H66" s="214">
        <f t="shared" si="203"/>
        <v>1</v>
      </c>
      <c r="I66" s="214">
        <f t="shared" si="204"/>
        <v>1</v>
      </c>
      <c r="J66" s="188">
        <v>1</v>
      </c>
      <c r="K66" s="188">
        <f t="shared" si="205"/>
        <v>90</v>
      </c>
      <c r="L66" s="214">
        <f t="shared" si="206"/>
        <v>1</v>
      </c>
      <c r="M66" s="214">
        <f t="shared" si="207"/>
        <v>1</v>
      </c>
      <c r="N66" s="188">
        <v>1</v>
      </c>
      <c r="O66" s="188">
        <f t="shared" si="208"/>
        <v>90</v>
      </c>
      <c r="P66" s="214">
        <f t="shared" si="209"/>
        <v>1</v>
      </c>
      <c r="Q66" s="214">
        <f t="shared" si="210"/>
        <v>1</v>
      </c>
      <c r="R66" s="188">
        <v>1</v>
      </c>
      <c r="S66" s="188">
        <f t="shared" si="211"/>
        <v>90</v>
      </c>
      <c r="T66" s="214">
        <f t="shared" si="212"/>
        <v>1</v>
      </c>
      <c r="U66" s="214">
        <f t="shared" si="213"/>
        <v>1</v>
      </c>
      <c r="V66" s="188">
        <v>1</v>
      </c>
      <c r="W66" s="188">
        <f t="shared" si="214"/>
        <v>90</v>
      </c>
      <c r="X66" s="214">
        <f t="shared" si="215"/>
        <v>1</v>
      </c>
      <c r="Y66" s="214">
        <f t="shared" si="216"/>
        <v>1</v>
      </c>
      <c r="Z66" s="224">
        <f>1237039000/1000000000</f>
        <v>1.237039</v>
      </c>
      <c r="AA66" s="188"/>
      <c r="AB66" s="189">
        <f t="shared" si="120"/>
        <v>0</v>
      </c>
      <c r="AC66" s="250">
        <f t="shared" si="121"/>
        <v>0</v>
      </c>
      <c r="AD66" s="250">
        <f t="shared" si="122"/>
        <v>0</v>
      </c>
      <c r="AE66" s="188"/>
      <c r="AF66" s="188">
        <f t="shared" si="217"/>
        <v>0</v>
      </c>
      <c r="AG66" s="187"/>
      <c r="AH66" s="187"/>
      <c r="AI66" s="188">
        <v>0</v>
      </c>
      <c r="AJ66" s="188">
        <f t="shared" si="218"/>
        <v>0</v>
      </c>
      <c r="AK66" s="188"/>
      <c r="AL66" s="188">
        <v>0</v>
      </c>
      <c r="AM66" s="188">
        <v>0</v>
      </c>
      <c r="AN66" s="217"/>
      <c r="AO66" s="196">
        <f t="shared" si="123"/>
        <v>0</v>
      </c>
      <c r="AP66" s="195"/>
      <c r="AQ66" s="195"/>
      <c r="AR66" s="195"/>
      <c r="AS66" s="195"/>
      <c r="AT66" s="195"/>
      <c r="AU66" s="195"/>
      <c r="AV66" s="195"/>
      <c r="AW66" s="195"/>
      <c r="AX66" s="195"/>
      <c r="AY66" s="195"/>
      <c r="AZ66" s="195"/>
      <c r="BA66" s="195"/>
      <c r="BB66" s="188">
        <f t="shared" si="219"/>
        <v>0</v>
      </c>
      <c r="BC66" s="195"/>
      <c r="BD66" s="196"/>
      <c r="BE66" s="188">
        <f t="shared" si="220"/>
        <v>0</v>
      </c>
      <c r="BF66" s="188">
        <f t="shared" si="221"/>
        <v>0</v>
      </c>
      <c r="BG66" s="188">
        <f t="shared" si="222"/>
        <v>0</v>
      </c>
      <c r="BH66" s="188">
        <f t="shared" si="223"/>
        <v>0</v>
      </c>
      <c r="BI66" s="188">
        <f t="shared" si="224"/>
        <v>0</v>
      </c>
      <c r="BJ66" s="188">
        <f t="shared" si="225"/>
        <v>0</v>
      </c>
      <c r="BK66" s="188">
        <f t="shared" si="124"/>
        <v>0</v>
      </c>
      <c r="BL66" s="195"/>
      <c r="BM66" s="195"/>
      <c r="BN66" s="143">
        <v>63</v>
      </c>
      <c r="BO66" s="277">
        <v>1</v>
      </c>
      <c r="BP66" s="188"/>
      <c r="BQ66" s="188"/>
      <c r="BR66" s="188"/>
      <c r="BS66" s="188"/>
      <c r="BT66" s="188"/>
      <c r="BU66" s="188"/>
      <c r="BV66" s="188"/>
      <c r="BW66" s="188"/>
      <c r="BX66" s="188"/>
      <c r="BY66" s="188"/>
      <c r="BZ66" s="188"/>
      <c r="CA66" s="195"/>
      <c r="CB66" s="188">
        <v>0</v>
      </c>
      <c r="CC66" s="195"/>
      <c r="CD66" s="189">
        <f t="shared" si="125"/>
        <v>63</v>
      </c>
      <c r="CE66" s="189">
        <f t="shared" si="191"/>
        <v>63</v>
      </c>
      <c r="CF66" s="189">
        <f t="shared" si="126"/>
        <v>0</v>
      </c>
      <c r="CG66" s="189">
        <f t="shared" si="127"/>
        <v>0</v>
      </c>
      <c r="CH66" s="189">
        <f t="shared" si="128"/>
        <v>0</v>
      </c>
      <c r="CI66" s="189">
        <f t="shared" si="129"/>
        <v>0</v>
      </c>
      <c r="CJ66" s="189">
        <f t="shared" si="130"/>
        <v>0</v>
      </c>
      <c r="CK66" s="189">
        <f t="shared" si="131"/>
        <v>0</v>
      </c>
      <c r="CL66" s="189">
        <f t="shared" si="132"/>
        <v>0</v>
      </c>
      <c r="CM66" s="189">
        <f t="shared" si="133"/>
        <v>0</v>
      </c>
      <c r="CN66" s="189">
        <f t="shared" si="134"/>
        <v>0</v>
      </c>
      <c r="CO66" s="189">
        <f t="shared" si="135"/>
        <v>0</v>
      </c>
      <c r="CP66" s="189">
        <f t="shared" si="136"/>
        <v>0</v>
      </c>
      <c r="CQ66" s="195"/>
      <c r="CR66" s="195"/>
      <c r="CS66" s="195"/>
      <c r="CT66" s="195"/>
      <c r="CU66" s="195"/>
      <c r="CV66" s="195"/>
      <c r="CW66" s="195"/>
      <c r="CX66" s="195"/>
      <c r="CY66" s="195"/>
      <c r="CZ66" s="195"/>
      <c r="DA66" s="195"/>
      <c r="DB66" s="195"/>
      <c r="DC66" s="195"/>
      <c r="DD66" s="195"/>
      <c r="DE66" s="195"/>
      <c r="DF66" s="195"/>
      <c r="DG66" s="195"/>
      <c r="DH66" s="195"/>
      <c r="DI66" s="195"/>
      <c r="DJ66" s="195"/>
      <c r="DK66" s="195"/>
      <c r="DL66" s="195"/>
      <c r="DM66" s="195"/>
      <c r="DN66" s="195"/>
      <c r="DO66" s="195"/>
      <c r="DP66" s="195"/>
      <c r="DQ66" s="195"/>
      <c r="DR66" s="195"/>
      <c r="DS66" s="195"/>
      <c r="DT66" s="195"/>
      <c r="DU66" s="195"/>
      <c r="DV66" s="189">
        <f t="shared" si="226"/>
        <v>0</v>
      </c>
      <c r="DW66" s="189">
        <f t="shared" si="227"/>
        <v>0</v>
      </c>
      <c r="DX66" s="189">
        <f t="shared" si="228"/>
        <v>0</v>
      </c>
      <c r="DY66" s="189">
        <f t="shared" si="229"/>
        <v>0</v>
      </c>
      <c r="DZ66" s="189">
        <f t="shared" si="230"/>
        <v>0</v>
      </c>
      <c r="EA66" s="189">
        <f t="shared" si="231"/>
        <v>0</v>
      </c>
      <c r="EB66" s="189">
        <f t="shared" si="137"/>
        <v>0</v>
      </c>
      <c r="EC66" s="195"/>
      <c r="ED66" s="195"/>
      <c r="EE66" s="195"/>
      <c r="EF66" s="195"/>
      <c r="EG66" s="252">
        <f t="shared" si="138"/>
        <v>0</v>
      </c>
      <c r="EH66" s="252">
        <f t="shared" si="139"/>
        <v>0</v>
      </c>
      <c r="EI66" s="189"/>
      <c r="EJ66" s="189"/>
      <c r="EK66" s="189"/>
      <c r="EL66" s="189"/>
      <c r="EM66" s="189"/>
      <c r="EN66" s="189"/>
      <c r="EO66" s="189"/>
      <c r="EP66" s="189"/>
      <c r="EQ66" s="189"/>
      <c r="ER66" s="189"/>
      <c r="ES66" s="189"/>
      <c r="ET66" s="189"/>
      <c r="EU66" s="189"/>
      <c r="EV66" s="189"/>
      <c r="EW66" s="189"/>
      <c r="EX66" s="189"/>
      <c r="EY66" s="189"/>
      <c r="EZ66" s="189"/>
      <c r="FA66" s="189"/>
      <c r="FB66" s="189"/>
      <c r="FC66" s="189"/>
      <c r="FD66" s="189"/>
      <c r="FE66" s="189"/>
      <c r="FF66" s="189"/>
      <c r="FG66" s="195"/>
      <c r="FH66" s="189"/>
      <c r="FI66" s="189"/>
      <c r="FJ66" s="189"/>
      <c r="FK66" s="189"/>
      <c r="FL66" s="189"/>
      <c r="FM66" s="189"/>
      <c r="FN66" s="189"/>
      <c r="FO66" s="189"/>
      <c r="FP66" s="189"/>
      <c r="FQ66" s="189"/>
      <c r="FR66" s="189"/>
      <c r="FS66" s="189"/>
      <c r="FT66" s="189"/>
      <c r="FU66" s="189"/>
      <c r="FV66" s="189"/>
      <c r="FW66" s="195"/>
      <c r="FX66" s="253">
        <v>1</v>
      </c>
      <c r="FY66" s="189">
        <f t="shared" si="140"/>
        <v>63</v>
      </c>
      <c r="FZ66" s="189">
        <f t="shared" si="324"/>
        <v>63</v>
      </c>
      <c r="GA66" s="189">
        <f t="shared" si="325"/>
        <v>0</v>
      </c>
      <c r="GB66" s="189">
        <f t="shared" si="326"/>
        <v>0</v>
      </c>
      <c r="GC66" s="189">
        <f t="shared" si="327"/>
        <v>0</v>
      </c>
      <c r="GD66" s="189">
        <f t="shared" si="328"/>
        <v>0</v>
      </c>
      <c r="GE66" s="189">
        <f t="shared" si="329"/>
        <v>0</v>
      </c>
      <c r="GF66" s="199"/>
      <c r="GG66" s="189">
        <v>0</v>
      </c>
      <c r="GH66" s="189">
        <v>0</v>
      </c>
      <c r="GI66" s="199"/>
      <c r="GJ66" s="200">
        <f t="shared" si="141"/>
        <v>0</v>
      </c>
      <c r="GK66" s="200">
        <f t="shared" si="142"/>
        <v>0</v>
      </c>
      <c r="GL66" s="195"/>
      <c r="GM66" s="195"/>
      <c r="GN66" s="195"/>
      <c r="GO66" s="189">
        <f t="shared" si="246"/>
        <v>0</v>
      </c>
      <c r="GP66" s="189">
        <f t="shared" si="247"/>
        <v>0</v>
      </c>
      <c r="GQ66" s="189">
        <f t="shared" si="248"/>
        <v>0</v>
      </c>
      <c r="GR66" s="189">
        <f t="shared" si="249"/>
        <v>0</v>
      </c>
      <c r="GS66" s="189">
        <f t="shared" si="250"/>
        <v>0</v>
      </c>
      <c r="GT66" s="189">
        <f t="shared" si="143"/>
        <v>1</v>
      </c>
      <c r="GU66" s="201">
        <f t="shared" si="144"/>
        <v>43243</v>
      </c>
      <c r="GV66" s="189" t="str">
        <f t="shared" si="145"/>
        <v>SELESAI</v>
      </c>
      <c r="GW66" s="189">
        <f t="shared" si="146"/>
        <v>0</v>
      </c>
      <c r="GX66" s="202" t="str">
        <f t="shared" si="147"/>
        <v>SELESAI</v>
      </c>
      <c r="GY66" s="202">
        <f t="shared" si="148"/>
        <v>0</v>
      </c>
      <c r="GZ66" s="203" t="str">
        <f t="shared" si="149"/>
        <v>SELESAI</v>
      </c>
      <c r="HA66" s="204"/>
      <c r="HB66" s="204"/>
      <c r="HC66" s="189">
        <f t="shared" si="251"/>
        <v>0</v>
      </c>
      <c r="HD66" s="189">
        <f t="shared" si="252"/>
        <v>0</v>
      </c>
      <c r="HE66" s="189">
        <f t="shared" si="150"/>
        <v>0</v>
      </c>
      <c r="HF66" s="189">
        <f t="shared" si="151"/>
        <v>0</v>
      </c>
      <c r="HG66" s="189">
        <f t="shared" si="152"/>
        <v>0</v>
      </c>
      <c r="HH66" s="201" t="str">
        <f t="shared" si="46"/>
        <v>TIDAK KONSINYASI</v>
      </c>
      <c r="HI66" s="201" t="str">
        <f t="shared" si="153"/>
        <v>SELESAI</v>
      </c>
      <c r="HJ66" s="205"/>
      <c r="HK66" s="201">
        <f t="shared" si="47"/>
        <v>0</v>
      </c>
      <c r="HL66" s="204"/>
      <c r="HM66" s="204"/>
      <c r="HN66" s="204"/>
      <c r="HO66" s="204"/>
      <c r="HP66" s="203">
        <f t="shared" si="154"/>
        <v>0</v>
      </c>
      <c r="HQ66" s="202">
        <f t="shared" si="155"/>
        <v>0</v>
      </c>
      <c r="HR66" s="202">
        <f t="shared" si="253"/>
        <v>0</v>
      </c>
      <c r="HS66" s="203">
        <f t="shared" si="156"/>
        <v>0</v>
      </c>
      <c r="HT66" s="202">
        <f t="shared" si="157"/>
        <v>0</v>
      </c>
      <c r="HU66" s="202">
        <f t="shared" si="254"/>
        <v>0</v>
      </c>
      <c r="HV66" s="203">
        <f t="shared" si="158"/>
        <v>0</v>
      </c>
      <c r="HW66" s="202">
        <f t="shared" si="50"/>
        <v>0</v>
      </c>
      <c r="HX66" s="202">
        <f t="shared" si="255"/>
        <v>0</v>
      </c>
      <c r="HY66" s="203">
        <f t="shared" si="52"/>
        <v>0</v>
      </c>
      <c r="HZ66" s="202">
        <f t="shared" si="159"/>
        <v>0</v>
      </c>
      <c r="IA66" s="202">
        <f t="shared" si="256"/>
        <v>0</v>
      </c>
      <c r="IB66" s="203">
        <f t="shared" si="160"/>
        <v>0</v>
      </c>
      <c r="IC66" s="202">
        <f t="shared" si="54"/>
        <v>0</v>
      </c>
      <c r="ID66" s="202">
        <f t="shared" si="257"/>
        <v>0</v>
      </c>
      <c r="IE66" s="203">
        <f t="shared" si="56"/>
        <v>0</v>
      </c>
      <c r="IF66" s="202">
        <f t="shared" si="57"/>
        <v>0</v>
      </c>
      <c r="IG66" s="202">
        <f t="shared" si="258"/>
        <v>0</v>
      </c>
      <c r="IH66" s="203">
        <f t="shared" si="161"/>
        <v>0</v>
      </c>
      <c r="II66" s="202">
        <f t="shared" si="162"/>
        <v>0</v>
      </c>
      <c r="IJ66" s="202">
        <f t="shared" si="259"/>
        <v>0</v>
      </c>
      <c r="IK66" s="203">
        <f t="shared" si="60"/>
        <v>0</v>
      </c>
      <c r="IL66" s="202">
        <f t="shared" si="61"/>
        <v>0</v>
      </c>
      <c r="IM66" s="202">
        <f t="shared" si="260"/>
        <v>0</v>
      </c>
      <c r="IN66" s="204"/>
      <c r="IO66" s="203">
        <f t="shared" si="63"/>
        <v>0</v>
      </c>
      <c r="IP66" s="202">
        <f t="shared" si="261"/>
        <v>0</v>
      </c>
      <c r="IQ66" s="202">
        <f t="shared" si="262"/>
        <v>0</v>
      </c>
      <c r="IR66" s="204"/>
      <c r="IS66" s="203"/>
      <c r="IT66" s="202">
        <f t="shared" si="263"/>
        <v>1</v>
      </c>
      <c r="IU66" s="202">
        <f t="shared" si="264"/>
        <v>90</v>
      </c>
      <c r="IV66" s="204"/>
      <c r="IW66" s="203"/>
      <c r="IX66" s="202">
        <f t="shared" si="265"/>
        <v>0</v>
      </c>
      <c r="IY66" s="202">
        <f t="shared" si="266"/>
        <v>0</v>
      </c>
      <c r="IZ66" s="204"/>
      <c r="JA66" s="203"/>
      <c r="JB66" s="202">
        <f t="shared" si="267"/>
        <v>0</v>
      </c>
      <c r="JC66" s="202">
        <f t="shared" si="268"/>
        <v>0</v>
      </c>
      <c r="JD66" s="204"/>
      <c r="JE66" s="203"/>
      <c r="JF66" s="202">
        <f t="shared" si="163"/>
        <v>1</v>
      </c>
      <c r="JG66" s="202">
        <f t="shared" si="72"/>
        <v>90</v>
      </c>
      <c r="JH66" s="204"/>
      <c r="JI66" s="203"/>
      <c r="JJ66" s="202">
        <f t="shared" si="269"/>
        <v>0</v>
      </c>
      <c r="JK66" s="202">
        <f t="shared" si="270"/>
        <v>0</v>
      </c>
      <c r="JL66" s="195"/>
      <c r="JM66" s="203">
        <f t="shared" si="164"/>
        <v>0</v>
      </c>
      <c r="JN66" s="195"/>
      <c r="JO66" s="196">
        <f t="shared" si="75"/>
        <v>1</v>
      </c>
      <c r="JP66" s="206">
        <f t="shared" si="271"/>
        <v>63</v>
      </c>
      <c r="JQ66" s="206">
        <f t="shared" si="272"/>
        <v>1</v>
      </c>
      <c r="JR66" s="206">
        <f t="shared" si="273"/>
        <v>0</v>
      </c>
      <c r="JS66" s="206">
        <f t="shared" si="274"/>
        <v>0</v>
      </c>
      <c r="JT66" s="206">
        <f t="shared" si="275"/>
        <v>0</v>
      </c>
      <c r="JU66" s="206">
        <f t="shared" si="276"/>
        <v>0</v>
      </c>
      <c r="JV66" s="206">
        <f t="shared" si="277"/>
        <v>0</v>
      </c>
      <c r="JW66" s="206">
        <f t="shared" si="278"/>
        <v>0</v>
      </c>
      <c r="JX66" s="206">
        <f t="shared" si="279"/>
        <v>0</v>
      </c>
      <c r="JY66" s="206">
        <f t="shared" si="280"/>
        <v>0</v>
      </c>
      <c r="JZ66" s="206">
        <f t="shared" si="281"/>
        <v>0</v>
      </c>
      <c r="KA66" s="206">
        <f t="shared" si="282"/>
        <v>0</v>
      </c>
      <c r="KB66" s="206">
        <f t="shared" si="283"/>
        <v>0</v>
      </c>
      <c r="KC66" s="195"/>
      <c r="KD66" s="206">
        <f t="shared" si="165"/>
        <v>0</v>
      </c>
      <c r="KE66" s="206">
        <f t="shared" si="90"/>
        <v>0</v>
      </c>
      <c r="KF66" s="206">
        <f t="shared" si="284"/>
        <v>63</v>
      </c>
      <c r="KG66" s="206">
        <f t="shared" si="285"/>
        <v>63</v>
      </c>
      <c r="KH66" s="206">
        <f t="shared" si="286"/>
        <v>0</v>
      </c>
      <c r="KI66" s="206">
        <f t="shared" si="287"/>
        <v>0</v>
      </c>
      <c r="KJ66" s="206">
        <f t="shared" si="288"/>
        <v>0</v>
      </c>
      <c r="KK66" s="206">
        <f t="shared" si="289"/>
        <v>0</v>
      </c>
      <c r="KL66" s="206">
        <f t="shared" si="290"/>
        <v>0</v>
      </c>
      <c r="KM66" s="206">
        <f t="shared" si="291"/>
        <v>0</v>
      </c>
      <c r="KN66" s="221">
        <f t="shared" si="292"/>
        <v>0</v>
      </c>
      <c r="KO66" s="221">
        <f t="shared" si="293"/>
        <v>0</v>
      </c>
      <c r="KP66" s="221">
        <f t="shared" si="294"/>
        <v>0</v>
      </c>
      <c r="KQ66" s="221">
        <f t="shared" si="295"/>
        <v>0</v>
      </c>
      <c r="KR66" s="221">
        <f t="shared" si="296"/>
        <v>0</v>
      </c>
      <c r="KS66" s="195"/>
      <c r="KT66" s="195">
        <f t="shared" si="297"/>
        <v>0</v>
      </c>
      <c r="KU66" s="221"/>
      <c r="KV66" s="221"/>
      <c r="KW66" s="221"/>
      <c r="KX66" s="221"/>
      <c r="KY66" s="221"/>
      <c r="KZ66" s="221"/>
      <c r="LA66" s="221"/>
      <c r="LB66" s="221"/>
      <c r="LC66" s="221"/>
      <c r="LD66" s="221"/>
      <c r="LE66" s="221"/>
      <c r="LF66" s="221"/>
      <c r="LG66" s="221"/>
      <c r="LH66" s="221"/>
      <c r="LI66" s="221"/>
      <c r="LJ66" s="221"/>
      <c r="LK66" s="221"/>
      <c r="LL66" s="221"/>
      <c r="LM66" s="221"/>
      <c r="LN66" s="221"/>
      <c r="LO66" s="221"/>
      <c r="LP66" s="221"/>
      <c r="LQ66" s="221"/>
      <c r="LR66" s="221"/>
      <c r="LS66" s="221"/>
      <c r="LT66" s="221"/>
      <c r="LU66" s="221"/>
      <c r="LV66" s="221"/>
      <c r="LW66" s="221"/>
      <c r="LX66" s="221"/>
      <c r="LY66" s="221"/>
      <c r="LZ66" s="221"/>
      <c r="MA66" s="221"/>
      <c r="MB66" s="221"/>
      <c r="MC66" s="221"/>
      <c r="MD66" s="221"/>
      <c r="ME66" s="221"/>
      <c r="MF66" s="221"/>
      <c r="MG66" s="221"/>
      <c r="MH66" s="221"/>
      <c r="MI66" s="221"/>
      <c r="MJ66" s="221"/>
      <c r="MK66" s="221"/>
      <c r="ML66" s="221"/>
      <c r="MM66" s="221"/>
      <c r="MN66" s="221"/>
      <c r="MO66" s="221"/>
      <c r="MP66" s="221"/>
      <c r="MQ66" s="221"/>
      <c r="MR66" s="221"/>
      <c r="MS66" s="221"/>
      <c r="MT66" s="221"/>
      <c r="MU66" s="221"/>
      <c r="MV66" s="221"/>
      <c r="MW66" s="221"/>
      <c r="MX66" s="221"/>
      <c r="MY66" s="221"/>
      <c r="MZ66" s="221"/>
      <c r="NA66" s="221"/>
      <c r="NB66" s="221"/>
      <c r="NC66" s="221"/>
      <c r="ND66" s="221"/>
      <c r="NE66" s="221"/>
      <c r="NF66" s="221"/>
      <c r="NG66" s="221"/>
      <c r="NH66" s="221"/>
      <c r="NI66" s="221"/>
      <c r="NJ66" s="221"/>
      <c r="NK66" s="221"/>
      <c r="NL66" s="195"/>
      <c r="NM66" s="195">
        <f t="shared" si="166"/>
        <v>0</v>
      </c>
      <c r="NN66" s="195">
        <f t="shared" si="167"/>
        <v>0</v>
      </c>
      <c r="NO66" s="195">
        <f t="shared" si="168"/>
        <v>0</v>
      </c>
      <c r="NP66" s="195">
        <f t="shared" si="169"/>
        <v>0</v>
      </c>
      <c r="NQ66" s="195">
        <f t="shared" si="170"/>
        <v>0</v>
      </c>
      <c r="NR66" s="195">
        <f t="shared" si="171"/>
        <v>0</v>
      </c>
      <c r="NS66" s="195">
        <f t="shared" si="172"/>
        <v>0</v>
      </c>
      <c r="NT66" s="195">
        <f t="shared" si="173"/>
        <v>0</v>
      </c>
      <c r="NU66" s="196">
        <f t="shared" si="174"/>
        <v>0</v>
      </c>
      <c r="NV66" s="195"/>
      <c r="NW66" s="195"/>
      <c r="NX66" s="195"/>
      <c r="NY66" s="196">
        <f t="shared" si="232"/>
        <v>1</v>
      </c>
      <c r="NZ66" s="222">
        <f>224910000/27</f>
        <v>8330000</v>
      </c>
      <c r="OA66" s="195"/>
      <c r="OB66" s="195"/>
      <c r="OC66" s="195"/>
      <c r="OD66" s="195"/>
      <c r="OE66" s="207">
        <f t="shared" si="233"/>
        <v>0</v>
      </c>
      <c r="OF66" s="207">
        <f t="shared" si="234"/>
        <v>0</v>
      </c>
      <c r="OG66" s="207">
        <f t="shared" si="235"/>
        <v>0</v>
      </c>
      <c r="OH66" s="207">
        <f t="shared" si="175"/>
        <v>0</v>
      </c>
      <c r="OI66" s="207">
        <f t="shared" si="236"/>
        <v>0</v>
      </c>
      <c r="OJ66" s="199">
        <f t="shared" si="176"/>
        <v>0</v>
      </c>
      <c r="OK66" s="199">
        <f t="shared" si="177"/>
        <v>0</v>
      </c>
      <c r="OL66" s="199">
        <f t="shared" si="178"/>
        <v>0</v>
      </c>
      <c r="OM66" s="199">
        <f t="shared" si="179"/>
        <v>0</v>
      </c>
      <c r="ON66" s="195"/>
      <c r="OO66" s="207">
        <f t="shared" si="237"/>
        <v>0</v>
      </c>
      <c r="OP66" s="207">
        <f t="shared" si="238"/>
        <v>0</v>
      </c>
      <c r="OQ66" s="207">
        <f t="shared" si="180"/>
        <v>0</v>
      </c>
      <c r="OR66" s="207">
        <f t="shared" si="181"/>
        <v>0</v>
      </c>
      <c r="OS66" s="207">
        <f t="shared" si="182"/>
        <v>0</v>
      </c>
      <c r="OT66" s="199">
        <f t="shared" si="183"/>
        <v>0</v>
      </c>
      <c r="OU66" s="199">
        <f t="shared" si="184"/>
        <v>0</v>
      </c>
      <c r="OV66" s="199">
        <f t="shared" si="185"/>
        <v>0</v>
      </c>
      <c r="OW66" s="199">
        <f t="shared" si="186"/>
        <v>0</v>
      </c>
      <c r="OX66" s="195"/>
      <c r="OY66" s="195"/>
      <c r="OZ66" s="195"/>
      <c r="PA66" s="209"/>
      <c r="PB66" s="209"/>
      <c r="PC66" s="209"/>
      <c r="PD66" s="210">
        <f t="shared" si="113"/>
        <v>0</v>
      </c>
      <c r="PE66" s="210"/>
      <c r="PF66" s="210">
        <f t="shared" si="114"/>
        <v>0</v>
      </c>
      <c r="PG66" s="210">
        <f t="shared" si="302"/>
        <v>0</v>
      </c>
      <c r="PH66" s="210">
        <f t="shared" si="302"/>
        <v>0</v>
      </c>
      <c r="PI66" s="210">
        <f t="shared" si="302"/>
        <v>0</v>
      </c>
      <c r="PJ66" s="210">
        <f t="shared" si="300"/>
        <v>0</v>
      </c>
      <c r="PK66" s="210">
        <f t="shared" si="300"/>
        <v>0</v>
      </c>
      <c r="PL66" s="210">
        <f t="shared" si="300"/>
        <v>0</v>
      </c>
      <c r="PM66" s="195"/>
      <c r="PN66" s="195"/>
      <c r="PO66" s="212">
        <f t="shared" si="187"/>
        <v>0</v>
      </c>
      <c r="PP66" s="212">
        <f t="shared" si="188"/>
        <v>0</v>
      </c>
      <c r="PQ66" s="212">
        <f t="shared" si="189"/>
        <v>0</v>
      </c>
    </row>
    <row r="67" spans="1:433 16383:16384" ht="16" x14ac:dyDescent="0.2">
      <c r="A67" s="213">
        <f t="shared" si="190"/>
        <v>58</v>
      </c>
      <c r="B67" s="186" t="s">
        <v>417</v>
      </c>
      <c r="C67" s="186">
        <v>60</v>
      </c>
      <c r="D67" s="188">
        <v>1</v>
      </c>
      <c r="E67" s="188">
        <v>60</v>
      </c>
      <c r="F67" s="188">
        <v>1</v>
      </c>
      <c r="G67" s="188">
        <f t="shared" si="239"/>
        <v>60</v>
      </c>
      <c r="H67" s="214">
        <f t="shared" si="203"/>
        <v>1</v>
      </c>
      <c r="I67" s="214">
        <f t="shared" si="204"/>
        <v>1</v>
      </c>
      <c r="J67" s="188">
        <v>1</v>
      </c>
      <c r="K67" s="188">
        <f t="shared" si="205"/>
        <v>60</v>
      </c>
      <c r="L67" s="214">
        <f t="shared" si="206"/>
        <v>1</v>
      </c>
      <c r="M67" s="214">
        <f t="shared" si="207"/>
        <v>1</v>
      </c>
      <c r="N67" s="188">
        <v>1</v>
      </c>
      <c r="O67" s="188">
        <f t="shared" si="208"/>
        <v>60</v>
      </c>
      <c r="P67" s="214">
        <f t="shared" si="209"/>
        <v>1</v>
      </c>
      <c r="Q67" s="214">
        <f t="shared" si="210"/>
        <v>1</v>
      </c>
      <c r="R67" s="188">
        <v>1</v>
      </c>
      <c r="S67" s="188">
        <f t="shared" si="211"/>
        <v>60</v>
      </c>
      <c r="T67" s="214">
        <f t="shared" si="212"/>
        <v>1</v>
      </c>
      <c r="U67" s="214">
        <f t="shared" si="213"/>
        <v>1</v>
      </c>
      <c r="V67" s="188">
        <v>1</v>
      </c>
      <c r="W67" s="188">
        <f t="shared" si="214"/>
        <v>60</v>
      </c>
      <c r="X67" s="214">
        <f t="shared" si="215"/>
        <v>1</v>
      </c>
      <c r="Y67" s="214">
        <f t="shared" si="216"/>
        <v>1</v>
      </c>
      <c r="Z67" s="224">
        <f>942999000/1000000000</f>
        <v>0.94299900000000003</v>
      </c>
      <c r="AA67" s="188"/>
      <c r="AB67" s="189">
        <f t="shared" si="120"/>
        <v>0</v>
      </c>
      <c r="AC67" s="250">
        <f t="shared" si="121"/>
        <v>0</v>
      </c>
      <c r="AD67" s="250">
        <f t="shared" si="122"/>
        <v>0</v>
      </c>
      <c r="AE67" s="188"/>
      <c r="AF67" s="188">
        <f t="shared" si="217"/>
        <v>0</v>
      </c>
      <c r="AG67" s="187"/>
      <c r="AH67" s="187"/>
      <c r="AI67" s="188">
        <v>0</v>
      </c>
      <c r="AJ67" s="188">
        <f t="shared" si="218"/>
        <v>0</v>
      </c>
      <c r="AK67" s="188"/>
      <c r="AL67" s="188">
        <v>0</v>
      </c>
      <c r="AM67" s="188">
        <v>0</v>
      </c>
      <c r="AN67" s="217"/>
      <c r="AO67" s="196">
        <f t="shared" si="123"/>
        <v>0</v>
      </c>
      <c r="AP67" s="195"/>
      <c r="AQ67" s="195"/>
      <c r="AR67" s="195"/>
      <c r="AS67" s="195"/>
      <c r="AT67" s="195"/>
      <c r="AU67" s="195"/>
      <c r="AV67" s="195"/>
      <c r="AW67" s="195"/>
      <c r="AX67" s="195"/>
      <c r="AY67" s="195"/>
      <c r="AZ67" s="195"/>
      <c r="BA67" s="195"/>
      <c r="BB67" s="188">
        <f t="shared" si="219"/>
        <v>0</v>
      </c>
      <c r="BC67" s="195"/>
      <c r="BD67" s="196"/>
      <c r="BE67" s="188">
        <f t="shared" si="220"/>
        <v>0</v>
      </c>
      <c r="BF67" s="188">
        <f t="shared" si="221"/>
        <v>0</v>
      </c>
      <c r="BG67" s="188">
        <f t="shared" si="222"/>
        <v>0</v>
      </c>
      <c r="BH67" s="188">
        <f t="shared" si="223"/>
        <v>0</v>
      </c>
      <c r="BI67" s="188">
        <f t="shared" si="224"/>
        <v>0</v>
      </c>
      <c r="BJ67" s="188">
        <f t="shared" si="225"/>
        <v>0</v>
      </c>
      <c r="BK67" s="188">
        <f t="shared" si="124"/>
        <v>0</v>
      </c>
      <c r="BL67" s="195"/>
      <c r="BM67" s="195"/>
      <c r="BN67" s="143">
        <v>6</v>
      </c>
      <c r="BO67" s="277">
        <v>1</v>
      </c>
      <c r="BP67" s="188"/>
      <c r="BQ67" s="188"/>
      <c r="BR67" s="188"/>
      <c r="BS67" s="188"/>
      <c r="BT67" s="188"/>
      <c r="BU67" s="188"/>
      <c r="BV67" s="188"/>
      <c r="BW67" s="188"/>
      <c r="BX67" s="188"/>
      <c r="BY67" s="188"/>
      <c r="BZ67" s="188"/>
      <c r="CA67" s="195"/>
      <c r="CB67" s="188">
        <v>0</v>
      </c>
      <c r="CC67" s="195"/>
      <c r="CD67" s="189">
        <f t="shared" si="125"/>
        <v>6</v>
      </c>
      <c r="CE67" s="189">
        <f t="shared" si="191"/>
        <v>6</v>
      </c>
      <c r="CF67" s="189">
        <f t="shared" si="126"/>
        <v>0</v>
      </c>
      <c r="CG67" s="189">
        <f t="shared" si="127"/>
        <v>0</v>
      </c>
      <c r="CH67" s="189">
        <f t="shared" si="128"/>
        <v>0</v>
      </c>
      <c r="CI67" s="189">
        <f t="shared" si="129"/>
        <v>0</v>
      </c>
      <c r="CJ67" s="189">
        <f t="shared" si="130"/>
        <v>0</v>
      </c>
      <c r="CK67" s="189">
        <f t="shared" si="131"/>
        <v>0</v>
      </c>
      <c r="CL67" s="189">
        <f t="shared" si="132"/>
        <v>0</v>
      </c>
      <c r="CM67" s="189">
        <f t="shared" si="133"/>
        <v>0</v>
      </c>
      <c r="CN67" s="189">
        <f t="shared" si="134"/>
        <v>0</v>
      </c>
      <c r="CO67" s="189">
        <f t="shared" si="135"/>
        <v>0</v>
      </c>
      <c r="CP67" s="189">
        <f t="shared" si="136"/>
        <v>0</v>
      </c>
      <c r="CQ67" s="195"/>
      <c r="CR67" s="195"/>
      <c r="CS67" s="195"/>
      <c r="CT67" s="195"/>
      <c r="CU67" s="195"/>
      <c r="CV67" s="195"/>
      <c r="CW67" s="195"/>
      <c r="CX67" s="195"/>
      <c r="CY67" s="195"/>
      <c r="CZ67" s="195"/>
      <c r="DA67" s="195"/>
      <c r="DB67" s="195"/>
      <c r="DC67" s="195"/>
      <c r="DD67" s="195"/>
      <c r="DE67" s="195"/>
      <c r="DF67" s="195"/>
      <c r="DG67" s="195"/>
      <c r="DH67" s="195"/>
      <c r="DI67" s="195"/>
      <c r="DJ67" s="195"/>
      <c r="DK67" s="195"/>
      <c r="DL67" s="195"/>
      <c r="DM67" s="195"/>
      <c r="DN67" s="195"/>
      <c r="DO67" s="195"/>
      <c r="DP67" s="195"/>
      <c r="DQ67" s="195"/>
      <c r="DR67" s="195"/>
      <c r="DS67" s="195"/>
      <c r="DT67" s="195"/>
      <c r="DU67" s="195"/>
      <c r="DV67" s="189">
        <f t="shared" si="226"/>
        <v>0</v>
      </c>
      <c r="DW67" s="189">
        <f t="shared" si="227"/>
        <v>0</v>
      </c>
      <c r="DX67" s="189">
        <f t="shared" si="228"/>
        <v>0</v>
      </c>
      <c r="DY67" s="189">
        <f t="shared" si="229"/>
        <v>0</v>
      </c>
      <c r="DZ67" s="189">
        <f t="shared" si="230"/>
        <v>0</v>
      </c>
      <c r="EA67" s="189">
        <f t="shared" si="231"/>
        <v>0</v>
      </c>
      <c r="EB67" s="189">
        <f t="shared" si="137"/>
        <v>0</v>
      </c>
      <c r="EC67" s="195"/>
      <c r="ED67" s="195"/>
      <c r="EE67" s="195"/>
      <c r="EF67" s="195"/>
      <c r="EG67" s="252">
        <f t="shared" si="138"/>
        <v>0</v>
      </c>
      <c r="EH67" s="252">
        <f t="shared" si="139"/>
        <v>0</v>
      </c>
      <c r="EI67" s="189"/>
      <c r="EJ67" s="189"/>
      <c r="EK67" s="189"/>
      <c r="EL67" s="189"/>
      <c r="EM67" s="189"/>
      <c r="EN67" s="189"/>
      <c r="EO67" s="189"/>
      <c r="EP67" s="189"/>
      <c r="EQ67" s="189"/>
      <c r="ER67" s="189"/>
      <c r="ES67" s="189"/>
      <c r="ET67" s="189"/>
      <c r="EU67" s="189"/>
      <c r="EV67" s="189"/>
      <c r="EW67" s="189"/>
      <c r="EX67" s="189"/>
      <c r="EY67" s="189"/>
      <c r="EZ67" s="189"/>
      <c r="FA67" s="189"/>
      <c r="FB67" s="189"/>
      <c r="FC67" s="189"/>
      <c r="FD67" s="189"/>
      <c r="FE67" s="189"/>
      <c r="FF67" s="189"/>
      <c r="FG67" s="195"/>
      <c r="FH67" s="189"/>
      <c r="FI67" s="189"/>
      <c r="FJ67" s="189"/>
      <c r="FK67" s="189"/>
      <c r="FL67" s="189"/>
      <c r="FM67" s="189"/>
      <c r="FN67" s="189"/>
      <c r="FO67" s="189"/>
      <c r="FP67" s="189"/>
      <c r="FQ67" s="189"/>
      <c r="FR67" s="189"/>
      <c r="FS67" s="189"/>
      <c r="FT67" s="189"/>
      <c r="FU67" s="189"/>
      <c r="FV67" s="189"/>
      <c r="FW67" s="195"/>
      <c r="FX67" s="253">
        <v>1</v>
      </c>
      <c r="FY67" s="189">
        <f t="shared" si="140"/>
        <v>6</v>
      </c>
      <c r="FZ67" s="189">
        <f t="shared" si="324"/>
        <v>6</v>
      </c>
      <c r="GA67" s="189">
        <f t="shared" si="325"/>
        <v>0</v>
      </c>
      <c r="GB67" s="189">
        <f t="shared" si="326"/>
        <v>0</v>
      </c>
      <c r="GC67" s="189">
        <f t="shared" si="327"/>
        <v>0</v>
      </c>
      <c r="GD67" s="189">
        <f t="shared" si="328"/>
        <v>0</v>
      </c>
      <c r="GE67" s="189">
        <f t="shared" si="329"/>
        <v>0</v>
      </c>
      <c r="GF67" s="199"/>
      <c r="GG67" s="189">
        <v>0</v>
      </c>
      <c r="GH67" s="189">
        <v>0</v>
      </c>
      <c r="GI67" s="199"/>
      <c r="GJ67" s="200">
        <f t="shared" si="141"/>
        <v>0</v>
      </c>
      <c r="GK67" s="200">
        <f t="shared" si="142"/>
        <v>0</v>
      </c>
      <c r="GL67" s="195"/>
      <c r="GM67" s="195"/>
      <c r="GN67" s="195"/>
      <c r="GO67" s="189">
        <f t="shared" si="246"/>
        <v>0</v>
      </c>
      <c r="GP67" s="189">
        <f t="shared" si="247"/>
        <v>0</v>
      </c>
      <c r="GQ67" s="189">
        <f t="shared" si="248"/>
        <v>0</v>
      </c>
      <c r="GR67" s="189">
        <f t="shared" si="249"/>
        <v>0</v>
      </c>
      <c r="GS67" s="189">
        <f t="shared" si="250"/>
        <v>0</v>
      </c>
      <c r="GT67" s="189">
        <f t="shared" si="143"/>
        <v>1</v>
      </c>
      <c r="GU67" s="201">
        <f t="shared" si="144"/>
        <v>43243</v>
      </c>
      <c r="GV67" s="189" t="str">
        <f t="shared" si="145"/>
        <v>SELESAI</v>
      </c>
      <c r="GW67" s="189">
        <f t="shared" si="146"/>
        <v>0</v>
      </c>
      <c r="GX67" s="202" t="str">
        <f t="shared" si="147"/>
        <v>SELESAI</v>
      </c>
      <c r="GY67" s="202">
        <f t="shared" si="148"/>
        <v>0</v>
      </c>
      <c r="GZ67" s="203" t="str">
        <f t="shared" si="149"/>
        <v>SELESAI</v>
      </c>
      <c r="HA67" s="204"/>
      <c r="HB67" s="204"/>
      <c r="HC67" s="189">
        <f t="shared" si="251"/>
        <v>0</v>
      </c>
      <c r="HD67" s="189">
        <f t="shared" si="252"/>
        <v>0</v>
      </c>
      <c r="HE67" s="189">
        <f t="shared" si="150"/>
        <v>0</v>
      </c>
      <c r="HF67" s="189">
        <f t="shared" si="151"/>
        <v>0</v>
      </c>
      <c r="HG67" s="189">
        <f t="shared" si="152"/>
        <v>0</v>
      </c>
      <c r="HH67" s="201" t="str">
        <f t="shared" si="46"/>
        <v>TIDAK KONSINYASI</v>
      </c>
      <c r="HI67" s="201" t="str">
        <f t="shared" si="153"/>
        <v>SELESAI</v>
      </c>
      <c r="HJ67" s="205"/>
      <c r="HK67" s="201">
        <f t="shared" si="47"/>
        <v>0</v>
      </c>
      <c r="HL67" s="204"/>
      <c r="HM67" s="204"/>
      <c r="HN67" s="204"/>
      <c r="HO67" s="204"/>
      <c r="HP67" s="203">
        <f t="shared" si="154"/>
        <v>0</v>
      </c>
      <c r="HQ67" s="202">
        <f t="shared" si="155"/>
        <v>0</v>
      </c>
      <c r="HR67" s="202">
        <f t="shared" si="253"/>
        <v>0</v>
      </c>
      <c r="HS67" s="203">
        <f t="shared" si="156"/>
        <v>0</v>
      </c>
      <c r="HT67" s="202">
        <f t="shared" si="157"/>
        <v>0</v>
      </c>
      <c r="HU67" s="202">
        <f t="shared" si="254"/>
        <v>0</v>
      </c>
      <c r="HV67" s="203">
        <f t="shared" si="158"/>
        <v>0</v>
      </c>
      <c r="HW67" s="202">
        <f t="shared" si="50"/>
        <v>0</v>
      </c>
      <c r="HX67" s="202">
        <f t="shared" si="255"/>
        <v>0</v>
      </c>
      <c r="HY67" s="203">
        <f t="shared" si="52"/>
        <v>0</v>
      </c>
      <c r="HZ67" s="202">
        <f t="shared" si="159"/>
        <v>0</v>
      </c>
      <c r="IA67" s="202">
        <f t="shared" si="256"/>
        <v>0</v>
      </c>
      <c r="IB67" s="203">
        <f t="shared" si="160"/>
        <v>0</v>
      </c>
      <c r="IC67" s="202">
        <f t="shared" si="54"/>
        <v>0</v>
      </c>
      <c r="ID67" s="202">
        <f t="shared" si="257"/>
        <v>0</v>
      </c>
      <c r="IE67" s="203">
        <f t="shared" si="56"/>
        <v>0</v>
      </c>
      <c r="IF67" s="202">
        <f t="shared" si="57"/>
        <v>0</v>
      </c>
      <c r="IG67" s="202">
        <f t="shared" si="258"/>
        <v>0</v>
      </c>
      <c r="IH67" s="203">
        <f t="shared" si="161"/>
        <v>0</v>
      </c>
      <c r="II67" s="202">
        <f t="shared" si="162"/>
        <v>0</v>
      </c>
      <c r="IJ67" s="202">
        <f t="shared" si="259"/>
        <v>0</v>
      </c>
      <c r="IK67" s="203">
        <f t="shared" si="60"/>
        <v>0</v>
      </c>
      <c r="IL67" s="202">
        <f t="shared" si="61"/>
        <v>0</v>
      </c>
      <c r="IM67" s="202">
        <f t="shared" si="260"/>
        <v>0</v>
      </c>
      <c r="IN67" s="204"/>
      <c r="IO67" s="203">
        <f t="shared" si="63"/>
        <v>0</v>
      </c>
      <c r="IP67" s="202">
        <f t="shared" si="261"/>
        <v>0</v>
      </c>
      <c r="IQ67" s="202">
        <f t="shared" si="262"/>
        <v>0</v>
      </c>
      <c r="IR67" s="204"/>
      <c r="IS67" s="203"/>
      <c r="IT67" s="202">
        <f t="shared" si="263"/>
        <v>1</v>
      </c>
      <c r="IU67" s="202">
        <f t="shared" si="264"/>
        <v>60</v>
      </c>
      <c r="IV67" s="204"/>
      <c r="IW67" s="203"/>
      <c r="IX67" s="202">
        <f t="shared" si="265"/>
        <v>0</v>
      </c>
      <c r="IY67" s="202">
        <f t="shared" si="266"/>
        <v>0</v>
      </c>
      <c r="IZ67" s="204"/>
      <c r="JA67" s="203"/>
      <c r="JB67" s="202">
        <f t="shared" si="267"/>
        <v>0</v>
      </c>
      <c r="JC67" s="202">
        <f t="shared" si="268"/>
        <v>0</v>
      </c>
      <c r="JD67" s="204"/>
      <c r="JE67" s="203"/>
      <c r="JF67" s="202">
        <f t="shared" si="163"/>
        <v>1</v>
      </c>
      <c r="JG67" s="202">
        <f t="shared" si="72"/>
        <v>60</v>
      </c>
      <c r="JH67" s="204"/>
      <c r="JI67" s="203"/>
      <c r="JJ67" s="202">
        <f t="shared" si="269"/>
        <v>0</v>
      </c>
      <c r="JK67" s="202">
        <f t="shared" si="270"/>
        <v>0</v>
      </c>
      <c r="JL67" s="195"/>
      <c r="JM67" s="203">
        <f t="shared" si="164"/>
        <v>0</v>
      </c>
      <c r="JN67" s="195"/>
      <c r="JO67" s="196">
        <f t="shared" si="75"/>
        <v>1</v>
      </c>
      <c r="JP67" s="206">
        <f t="shared" si="271"/>
        <v>6</v>
      </c>
      <c r="JQ67" s="206">
        <f t="shared" si="272"/>
        <v>1</v>
      </c>
      <c r="JR67" s="206">
        <f t="shared" si="273"/>
        <v>0</v>
      </c>
      <c r="JS67" s="206">
        <f t="shared" si="274"/>
        <v>0</v>
      </c>
      <c r="JT67" s="206">
        <f t="shared" si="275"/>
        <v>0</v>
      </c>
      <c r="JU67" s="206">
        <f t="shared" si="276"/>
        <v>0</v>
      </c>
      <c r="JV67" s="206">
        <f t="shared" si="277"/>
        <v>0</v>
      </c>
      <c r="JW67" s="206">
        <f t="shared" si="278"/>
        <v>0</v>
      </c>
      <c r="JX67" s="206">
        <f t="shared" si="279"/>
        <v>0</v>
      </c>
      <c r="JY67" s="206">
        <f t="shared" si="280"/>
        <v>0</v>
      </c>
      <c r="JZ67" s="206">
        <f t="shared" si="281"/>
        <v>0</v>
      </c>
      <c r="KA67" s="206">
        <f t="shared" si="282"/>
        <v>0</v>
      </c>
      <c r="KB67" s="206">
        <f t="shared" si="283"/>
        <v>0</v>
      </c>
      <c r="KC67" s="195"/>
      <c r="KD67" s="206">
        <f t="shared" si="165"/>
        <v>0</v>
      </c>
      <c r="KE67" s="206">
        <f t="shared" si="90"/>
        <v>0</v>
      </c>
      <c r="KF67" s="206">
        <f t="shared" si="284"/>
        <v>6</v>
      </c>
      <c r="KG67" s="206">
        <f t="shared" si="285"/>
        <v>6</v>
      </c>
      <c r="KH67" s="206">
        <f t="shared" si="286"/>
        <v>0</v>
      </c>
      <c r="KI67" s="206">
        <f t="shared" si="287"/>
        <v>0</v>
      </c>
      <c r="KJ67" s="206">
        <f t="shared" si="288"/>
        <v>0</v>
      </c>
      <c r="KK67" s="206">
        <f t="shared" si="289"/>
        <v>0</v>
      </c>
      <c r="KL67" s="206">
        <f t="shared" si="290"/>
        <v>0</v>
      </c>
      <c r="KM67" s="206">
        <f t="shared" si="291"/>
        <v>0</v>
      </c>
      <c r="KN67" s="221">
        <f t="shared" si="292"/>
        <v>0</v>
      </c>
      <c r="KO67" s="221">
        <f t="shared" si="293"/>
        <v>0</v>
      </c>
      <c r="KP67" s="221">
        <f t="shared" si="294"/>
        <v>0</v>
      </c>
      <c r="KQ67" s="221">
        <f t="shared" si="295"/>
        <v>0</v>
      </c>
      <c r="KR67" s="221">
        <f t="shared" si="296"/>
        <v>0</v>
      </c>
      <c r="KS67" s="195"/>
      <c r="KT67" s="195">
        <f t="shared" si="297"/>
        <v>0</v>
      </c>
      <c r="KU67" s="221"/>
      <c r="KV67" s="221"/>
      <c r="KW67" s="221"/>
      <c r="KX67" s="221"/>
      <c r="KY67" s="221"/>
      <c r="KZ67" s="221"/>
      <c r="LA67" s="221"/>
      <c r="LB67" s="221"/>
      <c r="LC67" s="221"/>
      <c r="LD67" s="221"/>
      <c r="LE67" s="221"/>
      <c r="LF67" s="221"/>
      <c r="LG67" s="221"/>
      <c r="LH67" s="221"/>
      <c r="LI67" s="221"/>
      <c r="LJ67" s="221"/>
      <c r="LK67" s="221"/>
      <c r="LL67" s="221"/>
      <c r="LM67" s="221"/>
      <c r="LN67" s="221"/>
      <c r="LO67" s="221"/>
      <c r="LP67" s="221"/>
      <c r="LQ67" s="221"/>
      <c r="LR67" s="221"/>
      <c r="LS67" s="221"/>
      <c r="LT67" s="221"/>
      <c r="LU67" s="221"/>
      <c r="LV67" s="221"/>
      <c r="LW67" s="221"/>
      <c r="LX67" s="221"/>
      <c r="LY67" s="221"/>
      <c r="LZ67" s="221"/>
      <c r="MA67" s="221"/>
      <c r="MB67" s="221"/>
      <c r="MC67" s="221"/>
      <c r="MD67" s="221"/>
      <c r="ME67" s="221"/>
      <c r="MF67" s="221"/>
      <c r="MG67" s="221"/>
      <c r="MH67" s="221"/>
      <c r="MI67" s="221"/>
      <c r="MJ67" s="221"/>
      <c r="MK67" s="221"/>
      <c r="ML67" s="221"/>
      <c r="MM67" s="221"/>
      <c r="MN67" s="221"/>
      <c r="MO67" s="221"/>
      <c r="MP67" s="221"/>
      <c r="MQ67" s="221"/>
      <c r="MR67" s="221"/>
      <c r="MS67" s="221"/>
      <c r="MT67" s="221"/>
      <c r="MU67" s="221"/>
      <c r="MV67" s="221"/>
      <c r="MW67" s="221"/>
      <c r="MX67" s="221"/>
      <c r="MY67" s="221"/>
      <c r="MZ67" s="221"/>
      <c r="NA67" s="221"/>
      <c r="NB67" s="221"/>
      <c r="NC67" s="221"/>
      <c r="ND67" s="221"/>
      <c r="NE67" s="221"/>
      <c r="NF67" s="221"/>
      <c r="NG67" s="221"/>
      <c r="NH67" s="221"/>
      <c r="NI67" s="221"/>
      <c r="NJ67" s="221"/>
      <c r="NK67" s="221"/>
      <c r="NL67" s="195"/>
      <c r="NM67" s="195">
        <f t="shared" si="166"/>
        <v>0</v>
      </c>
      <c r="NN67" s="195">
        <f t="shared" si="167"/>
        <v>0</v>
      </c>
      <c r="NO67" s="195">
        <f t="shared" si="168"/>
        <v>0</v>
      </c>
      <c r="NP67" s="195">
        <f t="shared" si="169"/>
        <v>0</v>
      </c>
      <c r="NQ67" s="195">
        <f t="shared" si="170"/>
        <v>0</v>
      </c>
      <c r="NR67" s="195">
        <f t="shared" si="171"/>
        <v>0</v>
      </c>
      <c r="NS67" s="195">
        <f t="shared" si="172"/>
        <v>0</v>
      </c>
      <c r="NT67" s="195">
        <f t="shared" si="173"/>
        <v>0</v>
      </c>
      <c r="NU67" s="196">
        <f t="shared" si="174"/>
        <v>0</v>
      </c>
      <c r="NV67" s="195"/>
      <c r="NW67" s="195"/>
      <c r="NX67" s="195"/>
      <c r="NY67" s="196">
        <f t="shared" si="232"/>
        <v>1</v>
      </c>
      <c r="NZ67" s="222">
        <f>299880000/36</f>
        <v>8330000</v>
      </c>
      <c r="OA67" s="195"/>
      <c r="OB67" s="195"/>
      <c r="OC67" s="195"/>
      <c r="OD67" s="195"/>
      <c r="OE67" s="207">
        <f t="shared" si="233"/>
        <v>0</v>
      </c>
      <c r="OF67" s="207">
        <f t="shared" si="234"/>
        <v>0</v>
      </c>
      <c r="OG67" s="207">
        <f t="shared" si="235"/>
        <v>0</v>
      </c>
      <c r="OH67" s="207">
        <f t="shared" si="175"/>
        <v>0</v>
      </c>
      <c r="OI67" s="207">
        <f t="shared" si="236"/>
        <v>0</v>
      </c>
      <c r="OJ67" s="199">
        <f t="shared" si="176"/>
        <v>0</v>
      </c>
      <c r="OK67" s="199">
        <f t="shared" si="177"/>
        <v>0</v>
      </c>
      <c r="OL67" s="199">
        <f t="shared" si="178"/>
        <v>0</v>
      </c>
      <c r="OM67" s="199">
        <f t="shared" si="179"/>
        <v>0</v>
      </c>
      <c r="ON67" s="195"/>
      <c r="OO67" s="207">
        <f t="shared" si="237"/>
        <v>0</v>
      </c>
      <c r="OP67" s="207">
        <f t="shared" si="238"/>
        <v>0</v>
      </c>
      <c r="OQ67" s="207">
        <f t="shared" si="180"/>
        <v>0</v>
      </c>
      <c r="OR67" s="207">
        <f t="shared" si="181"/>
        <v>0</v>
      </c>
      <c r="OS67" s="207">
        <f t="shared" si="182"/>
        <v>0</v>
      </c>
      <c r="OT67" s="199">
        <f t="shared" si="183"/>
        <v>0</v>
      </c>
      <c r="OU67" s="199">
        <f t="shared" si="184"/>
        <v>0</v>
      </c>
      <c r="OV67" s="199">
        <f t="shared" si="185"/>
        <v>0</v>
      </c>
      <c r="OW67" s="199">
        <f t="shared" si="186"/>
        <v>0</v>
      </c>
      <c r="OX67" s="195"/>
      <c r="OY67" s="195"/>
      <c r="OZ67" s="195"/>
      <c r="PA67" s="209"/>
      <c r="PB67" s="209"/>
      <c r="PC67" s="209"/>
      <c r="PD67" s="210">
        <f t="shared" si="113"/>
        <v>0</v>
      </c>
      <c r="PE67" s="210"/>
      <c r="PF67" s="210">
        <f t="shared" si="114"/>
        <v>0</v>
      </c>
      <c r="PG67" s="210">
        <f t="shared" si="302"/>
        <v>0</v>
      </c>
      <c r="PH67" s="210">
        <f t="shared" si="302"/>
        <v>0</v>
      </c>
      <c r="PI67" s="210">
        <f t="shared" si="302"/>
        <v>0</v>
      </c>
      <c r="PJ67" s="210">
        <f t="shared" si="300"/>
        <v>0</v>
      </c>
      <c r="PK67" s="210">
        <f t="shared" si="300"/>
        <v>0</v>
      </c>
      <c r="PL67" s="210">
        <f t="shared" si="300"/>
        <v>0</v>
      </c>
      <c r="PM67" s="195"/>
      <c r="PN67" s="195"/>
      <c r="PO67" s="212">
        <f t="shared" si="187"/>
        <v>0</v>
      </c>
      <c r="PP67" s="212">
        <f t="shared" si="188"/>
        <v>0</v>
      </c>
      <c r="PQ67" s="212">
        <f t="shared" si="189"/>
        <v>0</v>
      </c>
    </row>
    <row r="68" spans="1:433 16383:16384" ht="16" x14ac:dyDescent="0.2">
      <c r="A68" s="213">
        <f t="shared" si="190"/>
        <v>59</v>
      </c>
      <c r="B68" s="186" t="s">
        <v>418</v>
      </c>
      <c r="C68" s="186">
        <v>61</v>
      </c>
      <c r="D68" s="188">
        <v>1</v>
      </c>
      <c r="E68" s="188">
        <v>39</v>
      </c>
      <c r="F68" s="188">
        <v>1</v>
      </c>
      <c r="G68" s="188">
        <f t="shared" si="239"/>
        <v>39</v>
      </c>
      <c r="H68" s="214">
        <f t="shared" si="203"/>
        <v>1</v>
      </c>
      <c r="I68" s="214">
        <f t="shared" si="204"/>
        <v>1</v>
      </c>
      <c r="J68" s="188">
        <v>1</v>
      </c>
      <c r="K68" s="188">
        <f t="shared" si="205"/>
        <v>39</v>
      </c>
      <c r="L68" s="214">
        <f t="shared" si="206"/>
        <v>1</v>
      </c>
      <c r="M68" s="214">
        <f t="shared" si="207"/>
        <v>1</v>
      </c>
      <c r="N68" s="188">
        <v>1</v>
      </c>
      <c r="O68" s="188">
        <f t="shared" si="208"/>
        <v>39</v>
      </c>
      <c r="P68" s="214">
        <f t="shared" si="209"/>
        <v>1</v>
      </c>
      <c r="Q68" s="214">
        <f t="shared" si="210"/>
        <v>1</v>
      </c>
      <c r="R68" s="188">
        <v>1</v>
      </c>
      <c r="S68" s="188">
        <f t="shared" si="211"/>
        <v>39</v>
      </c>
      <c r="T68" s="214">
        <f t="shared" si="212"/>
        <v>1</v>
      </c>
      <c r="U68" s="214">
        <f t="shared" si="213"/>
        <v>1</v>
      </c>
      <c r="V68" s="188">
        <v>1</v>
      </c>
      <c r="W68" s="188">
        <f t="shared" si="214"/>
        <v>39</v>
      </c>
      <c r="X68" s="214">
        <f t="shared" si="215"/>
        <v>1</v>
      </c>
      <c r="Y68" s="214">
        <f t="shared" si="216"/>
        <v>1</v>
      </c>
      <c r="Z68" s="224">
        <f>352672000/1000000000</f>
        <v>0.35267199999999999</v>
      </c>
      <c r="AA68" s="188"/>
      <c r="AB68" s="189">
        <f t="shared" si="120"/>
        <v>0</v>
      </c>
      <c r="AC68" s="250">
        <f t="shared" si="121"/>
        <v>0</v>
      </c>
      <c r="AD68" s="250">
        <f t="shared" si="122"/>
        <v>0</v>
      </c>
      <c r="AE68" s="188"/>
      <c r="AF68" s="188">
        <f t="shared" si="217"/>
        <v>0</v>
      </c>
      <c r="AG68" s="187"/>
      <c r="AH68" s="187"/>
      <c r="AI68" s="188">
        <v>0</v>
      </c>
      <c r="AJ68" s="188">
        <f t="shared" si="218"/>
        <v>0</v>
      </c>
      <c r="AK68" s="188"/>
      <c r="AL68" s="188">
        <v>0</v>
      </c>
      <c r="AM68" s="188">
        <v>0</v>
      </c>
      <c r="AN68" s="217"/>
      <c r="AO68" s="196">
        <f t="shared" si="123"/>
        <v>0</v>
      </c>
      <c r="AP68" s="195"/>
      <c r="AQ68" s="195"/>
      <c r="AR68" s="195"/>
      <c r="AS68" s="195"/>
      <c r="AT68" s="195"/>
      <c r="AU68" s="195"/>
      <c r="AV68" s="195"/>
      <c r="AW68" s="195"/>
      <c r="AX68" s="195"/>
      <c r="AY68" s="195"/>
      <c r="AZ68" s="195"/>
      <c r="BA68" s="195"/>
      <c r="BB68" s="188">
        <f t="shared" si="219"/>
        <v>0</v>
      </c>
      <c r="BC68" s="195"/>
      <c r="BD68" s="196"/>
      <c r="BE68" s="188">
        <f t="shared" si="220"/>
        <v>0</v>
      </c>
      <c r="BF68" s="188">
        <f t="shared" si="221"/>
        <v>0</v>
      </c>
      <c r="BG68" s="188">
        <f t="shared" si="222"/>
        <v>0</v>
      </c>
      <c r="BH68" s="188">
        <f t="shared" si="223"/>
        <v>0</v>
      </c>
      <c r="BI68" s="188">
        <f t="shared" si="224"/>
        <v>0</v>
      </c>
      <c r="BJ68" s="188">
        <f t="shared" si="225"/>
        <v>0</v>
      </c>
      <c r="BK68" s="188">
        <f t="shared" si="124"/>
        <v>0</v>
      </c>
      <c r="BL68" s="195"/>
      <c r="BM68" s="195"/>
      <c r="BN68" s="143">
        <v>3</v>
      </c>
      <c r="BO68" s="277">
        <v>1</v>
      </c>
      <c r="BP68" s="188"/>
      <c r="BQ68" s="188"/>
      <c r="BR68" s="188"/>
      <c r="BS68" s="188"/>
      <c r="BT68" s="188"/>
      <c r="BU68" s="188"/>
      <c r="BV68" s="188"/>
      <c r="BW68" s="188"/>
      <c r="BX68" s="188"/>
      <c r="BY68" s="188"/>
      <c r="BZ68" s="188"/>
      <c r="CA68" s="195"/>
      <c r="CB68" s="188">
        <v>0</v>
      </c>
      <c r="CC68" s="195"/>
      <c r="CD68" s="189">
        <f t="shared" si="125"/>
        <v>3</v>
      </c>
      <c r="CE68" s="189">
        <f t="shared" si="191"/>
        <v>3</v>
      </c>
      <c r="CF68" s="189">
        <f t="shared" si="126"/>
        <v>0</v>
      </c>
      <c r="CG68" s="189">
        <f t="shared" si="127"/>
        <v>0</v>
      </c>
      <c r="CH68" s="189">
        <f t="shared" si="128"/>
        <v>0</v>
      </c>
      <c r="CI68" s="189">
        <f t="shared" si="129"/>
        <v>0</v>
      </c>
      <c r="CJ68" s="189">
        <f t="shared" si="130"/>
        <v>0</v>
      </c>
      <c r="CK68" s="189">
        <f t="shared" si="131"/>
        <v>0</v>
      </c>
      <c r="CL68" s="189">
        <f t="shared" si="132"/>
        <v>0</v>
      </c>
      <c r="CM68" s="189">
        <f t="shared" si="133"/>
        <v>0</v>
      </c>
      <c r="CN68" s="189">
        <f t="shared" si="134"/>
        <v>0</v>
      </c>
      <c r="CO68" s="189">
        <f t="shared" si="135"/>
        <v>0</v>
      </c>
      <c r="CP68" s="189">
        <f t="shared" si="136"/>
        <v>0</v>
      </c>
      <c r="CQ68" s="195"/>
      <c r="CR68" s="195"/>
      <c r="CS68" s="195"/>
      <c r="CT68" s="195"/>
      <c r="CU68" s="195"/>
      <c r="CV68" s="195"/>
      <c r="CW68" s="195"/>
      <c r="CX68" s="195"/>
      <c r="CY68" s="195"/>
      <c r="CZ68" s="195"/>
      <c r="DA68" s="195"/>
      <c r="DB68" s="195"/>
      <c r="DC68" s="195"/>
      <c r="DD68" s="195"/>
      <c r="DE68" s="195"/>
      <c r="DF68" s="195"/>
      <c r="DG68" s="195"/>
      <c r="DH68" s="195"/>
      <c r="DI68" s="195"/>
      <c r="DJ68" s="195"/>
      <c r="DK68" s="195"/>
      <c r="DL68" s="195"/>
      <c r="DM68" s="195"/>
      <c r="DN68" s="195"/>
      <c r="DO68" s="195"/>
      <c r="DP68" s="195"/>
      <c r="DQ68" s="195"/>
      <c r="DR68" s="195"/>
      <c r="DS68" s="195"/>
      <c r="DT68" s="195"/>
      <c r="DU68" s="195"/>
      <c r="DV68" s="189">
        <f t="shared" si="226"/>
        <v>0</v>
      </c>
      <c r="DW68" s="189">
        <f t="shared" si="227"/>
        <v>0</v>
      </c>
      <c r="DX68" s="189">
        <f t="shared" si="228"/>
        <v>0</v>
      </c>
      <c r="DY68" s="189">
        <f t="shared" si="229"/>
        <v>0</v>
      </c>
      <c r="DZ68" s="189">
        <f t="shared" si="230"/>
        <v>0</v>
      </c>
      <c r="EA68" s="189">
        <f t="shared" si="231"/>
        <v>0</v>
      </c>
      <c r="EB68" s="189">
        <f t="shared" si="137"/>
        <v>0</v>
      </c>
      <c r="EC68" s="195"/>
      <c r="ED68" s="195"/>
      <c r="EE68" s="195"/>
      <c r="EF68" s="195"/>
      <c r="EG68" s="252">
        <f t="shared" si="138"/>
        <v>0</v>
      </c>
      <c r="EH68" s="252">
        <f t="shared" si="139"/>
        <v>0</v>
      </c>
      <c r="EI68" s="189"/>
      <c r="EJ68" s="189"/>
      <c r="EK68" s="189"/>
      <c r="EL68" s="189"/>
      <c r="EM68" s="189"/>
      <c r="EN68" s="189"/>
      <c r="EO68" s="189"/>
      <c r="EP68" s="189"/>
      <c r="EQ68" s="189"/>
      <c r="ER68" s="189"/>
      <c r="ES68" s="189"/>
      <c r="ET68" s="189"/>
      <c r="EU68" s="189"/>
      <c r="EV68" s="189"/>
      <c r="EW68" s="189"/>
      <c r="EX68" s="189"/>
      <c r="EY68" s="189"/>
      <c r="EZ68" s="189"/>
      <c r="FA68" s="189"/>
      <c r="FB68" s="189"/>
      <c r="FC68" s="189"/>
      <c r="FD68" s="189"/>
      <c r="FE68" s="189"/>
      <c r="FF68" s="189"/>
      <c r="FG68" s="195"/>
      <c r="FH68" s="189"/>
      <c r="FI68" s="189"/>
      <c r="FJ68" s="189"/>
      <c r="FK68" s="189"/>
      <c r="FL68" s="189"/>
      <c r="FM68" s="189"/>
      <c r="FN68" s="189"/>
      <c r="FO68" s="189"/>
      <c r="FP68" s="189"/>
      <c r="FQ68" s="189"/>
      <c r="FR68" s="189"/>
      <c r="FS68" s="189"/>
      <c r="FT68" s="189"/>
      <c r="FU68" s="189"/>
      <c r="FV68" s="189"/>
      <c r="FW68" s="195"/>
      <c r="FX68" s="253">
        <v>1</v>
      </c>
      <c r="FY68" s="189">
        <f t="shared" si="140"/>
        <v>3</v>
      </c>
      <c r="FZ68" s="189">
        <f t="shared" si="324"/>
        <v>3</v>
      </c>
      <c r="GA68" s="189">
        <f t="shared" si="325"/>
        <v>0</v>
      </c>
      <c r="GB68" s="189">
        <f t="shared" si="326"/>
        <v>0</v>
      </c>
      <c r="GC68" s="189">
        <f t="shared" si="327"/>
        <v>0</v>
      </c>
      <c r="GD68" s="189">
        <f t="shared" si="328"/>
        <v>0</v>
      </c>
      <c r="GE68" s="189">
        <f t="shared" si="329"/>
        <v>0</v>
      </c>
      <c r="GF68" s="199"/>
      <c r="GG68" s="189">
        <v>0</v>
      </c>
      <c r="GH68" s="189">
        <v>0</v>
      </c>
      <c r="GI68" s="199"/>
      <c r="GJ68" s="200">
        <f t="shared" si="141"/>
        <v>0</v>
      </c>
      <c r="GK68" s="200">
        <f t="shared" si="142"/>
        <v>0</v>
      </c>
      <c r="GL68" s="195"/>
      <c r="GM68" s="195"/>
      <c r="GN68" s="195"/>
      <c r="GO68" s="189">
        <f t="shared" si="246"/>
        <v>0</v>
      </c>
      <c r="GP68" s="189">
        <f t="shared" si="247"/>
        <v>0</v>
      </c>
      <c r="GQ68" s="189">
        <f t="shared" si="248"/>
        <v>0</v>
      </c>
      <c r="GR68" s="189">
        <f t="shared" si="249"/>
        <v>0</v>
      </c>
      <c r="GS68" s="189">
        <f t="shared" si="250"/>
        <v>0</v>
      </c>
      <c r="GT68" s="189">
        <f t="shared" si="143"/>
        <v>1</v>
      </c>
      <c r="GU68" s="201">
        <f t="shared" si="144"/>
        <v>43243</v>
      </c>
      <c r="GV68" s="189" t="str">
        <f t="shared" si="145"/>
        <v>SELESAI</v>
      </c>
      <c r="GW68" s="189">
        <f t="shared" si="146"/>
        <v>0</v>
      </c>
      <c r="GX68" s="202" t="str">
        <f t="shared" si="147"/>
        <v>SELESAI</v>
      </c>
      <c r="GY68" s="202">
        <f t="shared" si="148"/>
        <v>0</v>
      </c>
      <c r="GZ68" s="203" t="str">
        <f t="shared" si="149"/>
        <v>SELESAI</v>
      </c>
      <c r="HA68" s="204"/>
      <c r="HB68" s="204"/>
      <c r="HC68" s="189">
        <f t="shared" si="251"/>
        <v>0</v>
      </c>
      <c r="HD68" s="189">
        <f t="shared" si="252"/>
        <v>0</v>
      </c>
      <c r="HE68" s="189">
        <f t="shared" si="150"/>
        <v>0</v>
      </c>
      <c r="HF68" s="189">
        <f t="shared" si="151"/>
        <v>0</v>
      </c>
      <c r="HG68" s="189">
        <f t="shared" si="152"/>
        <v>0</v>
      </c>
      <c r="HH68" s="201" t="str">
        <f t="shared" si="46"/>
        <v>TIDAK KONSINYASI</v>
      </c>
      <c r="HI68" s="201" t="str">
        <f t="shared" si="153"/>
        <v>SELESAI</v>
      </c>
      <c r="HJ68" s="205"/>
      <c r="HK68" s="201">
        <f t="shared" si="47"/>
        <v>0</v>
      </c>
      <c r="HL68" s="204"/>
      <c r="HM68" s="204"/>
      <c r="HN68" s="204"/>
      <c r="HO68" s="204"/>
      <c r="HP68" s="203">
        <f t="shared" si="154"/>
        <v>0</v>
      </c>
      <c r="HQ68" s="202">
        <f t="shared" si="155"/>
        <v>0</v>
      </c>
      <c r="HR68" s="202">
        <f t="shared" si="253"/>
        <v>0</v>
      </c>
      <c r="HS68" s="203">
        <f t="shared" si="156"/>
        <v>0</v>
      </c>
      <c r="HT68" s="202">
        <f t="shared" si="157"/>
        <v>0</v>
      </c>
      <c r="HU68" s="202">
        <f t="shared" si="254"/>
        <v>0</v>
      </c>
      <c r="HV68" s="203">
        <f t="shared" si="158"/>
        <v>0</v>
      </c>
      <c r="HW68" s="202">
        <f t="shared" si="50"/>
        <v>0</v>
      </c>
      <c r="HX68" s="202">
        <f t="shared" si="255"/>
        <v>0</v>
      </c>
      <c r="HY68" s="203">
        <f t="shared" si="52"/>
        <v>0</v>
      </c>
      <c r="HZ68" s="202">
        <f t="shared" si="159"/>
        <v>0</v>
      </c>
      <c r="IA68" s="202">
        <f t="shared" si="256"/>
        <v>0</v>
      </c>
      <c r="IB68" s="203">
        <f t="shared" si="160"/>
        <v>0</v>
      </c>
      <c r="IC68" s="202">
        <f t="shared" si="54"/>
        <v>0</v>
      </c>
      <c r="ID68" s="202">
        <f t="shared" si="257"/>
        <v>0</v>
      </c>
      <c r="IE68" s="203">
        <f t="shared" si="56"/>
        <v>0</v>
      </c>
      <c r="IF68" s="202">
        <f t="shared" si="57"/>
        <v>0</v>
      </c>
      <c r="IG68" s="202">
        <f t="shared" si="258"/>
        <v>0</v>
      </c>
      <c r="IH68" s="203">
        <f t="shared" si="161"/>
        <v>0</v>
      </c>
      <c r="II68" s="202">
        <f t="shared" si="162"/>
        <v>0</v>
      </c>
      <c r="IJ68" s="202">
        <f t="shared" si="259"/>
        <v>0</v>
      </c>
      <c r="IK68" s="203">
        <f t="shared" si="60"/>
        <v>0</v>
      </c>
      <c r="IL68" s="202">
        <f t="shared" si="61"/>
        <v>0</v>
      </c>
      <c r="IM68" s="202">
        <f t="shared" si="260"/>
        <v>0</v>
      </c>
      <c r="IN68" s="204"/>
      <c r="IO68" s="203">
        <f t="shared" si="63"/>
        <v>0</v>
      </c>
      <c r="IP68" s="202">
        <f t="shared" si="261"/>
        <v>0</v>
      </c>
      <c r="IQ68" s="202">
        <f t="shared" si="262"/>
        <v>0</v>
      </c>
      <c r="IR68" s="204"/>
      <c r="IS68" s="203"/>
      <c r="IT68" s="202">
        <f t="shared" si="263"/>
        <v>1</v>
      </c>
      <c r="IU68" s="202">
        <f t="shared" si="264"/>
        <v>39</v>
      </c>
      <c r="IV68" s="204"/>
      <c r="IW68" s="203"/>
      <c r="IX68" s="202">
        <f t="shared" si="265"/>
        <v>0</v>
      </c>
      <c r="IY68" s="202">
        <f t="shared" si="266"/>
        <v>0</v>
      </c>
      <c r="IZ68" s="204"/>
      <c r="JA68" s="203"/>
      <c r="JB68" s="202">
        <f t="shared" si="267"/>
        <v>0</v>
      </c>
      <c r="JC68" s="202">
        <f t="shared" si="268"/>
        <v>0</v>
      </c>
      <c r="JD68" s="204"/>
      <c r="JE68" s="203"/>
      <c r="JF68" s="202">
        <f t="shared" si="163"/>
        <v>1</v>
      </c>
      <c r="JG68" s="202">
        <f t="shared" si="72"/>
        <v>39</v>
      </c>
      <c r="JH68" s="204"/>
      <c r="JI68" s="203"/>
      <c r="JJ68" s="202">
        <f t="shared" si="269"/>
        <v>0</v>
      </c>
      <c r="JK68" s="202">
        <f t="shared" si="270"/>
        <v>0</v>
      </c>
      <c r="JL68" s="195"/>
      <c r="JM68" s="203">
        <f t="shared" si="164"/>
        <v>0</v>
      </c>
      <c r="JN68" s="195"/>
      <c r="JO68" s="196">
        <f t="shared" si="75"/>
        <v>1</v>
      </c>
      <c r="JP68" s="206">
        <f t="shared" si="271"/>
        <v>3</v>
      </c>
      <c r="JQ68" s="206">
        <f t="shared" si="272"/>
        <v>1</v>
      </c>
      <c r="JR68" s="206">
        <f t="shared" si="273"/>
        <v>0</v>
      </c>
      <c r="JS68" s="206">
        <f t="shared" si="274"/>
        <v>0</v>
      </c>
      <c r="JT68" s="206">
        <f t="shared" si="275"/>
        <v>0</v>
      </c>
      <c r="JU68" s="206">
        <f t="shared" si="276"/>
        <v>0</v>
      </c>
      <c r="JV68" s="206">
        <f t="shared" si="277"/>
        <v>0</v>
      </c>
      <c r="JW68" s="206">
        <f t="shared" si="278"/>
        <v>0</v>
      </c>
      <c r="JX68" s="206">
        <f t="shared" si="279"/>
        <v>0</v>
      </c>
      <c r="JY68" s="206">
        <f t="shared" si="280"/>
        <v>0</v>
      </c>
      <c r="JZ68" s="206">
        <f t="shared" si="281"/>
        <v>0</v>
      </c>
      <c r="KA68" s="206">
        <f t="shared" si="282"/>
        <v>0</v>
      </c>
      <c r="KB68" s="206">
        <f t="shared" si="283"/>
        <v>0</v>
      </c>
      <c r="KC68" s="195"/>
      <c r="KD68" s="206">
        <f t="shared" si="165"/>
        <v>0</v>
      </c>
      <c r="KE68" s="206">
        <f t="shared" si="90"/>
        <v>0</v>
      </c>
      <c r="KF68" s="206">
        <f t="shared" si="284"/>
        <v>3</v>
      </c>
      <c r="KG68" s="206">
        <f t="shared" si="285"/>
        <v>3</v>
      </c>
      <c r="KH68" s="206">
        <f t="shared" si="286"/>
        <v>0</v>
      </c>
      <c r="KI68" s="206">
        <f t="shared" si="287"/>
        <v>0</v>
      </c>
      <c r="KJ68" s="206">
        <f t="shared" si="288"/>
        <v>0</v>
      </c>
      <c r="KK68" s="206">
        <f t="shared" si="289"/>
        <v>0</v>
      </c>
      <c r="KL68" s="206">
        <f t="shared" si="290"/>
        <v>0</v>
      </c>
      <c r="KM68" s="206">
        <f t="shared" si="291"/>
        <v>0</v>
      </c>
      <c r="KN68" s="221">
        <f t="shared" si="292"/>
        <v>0</v>
      </c>
      <c r="KO68" s="221">
        <f t="shared" si="293"/>
        <v>0</v>
      </c>
      <c r="KP68" s="221">
        <f t="shared" si="294"/>
        <v>0</v>
      </c>
      <c r="KQ68" s="221">
        <f t="shared" si="295"/>
        <v>0</v>
      </c>
      <c r="KR68" s="221">
        <f t="shared" si="296"/>
        <v>0</v>
      </c>
      <c r="KS68" s="195"/>
      <c r="KT68" s="195">
        <f t="shared" si="297"/>
        <v>0</v>
      </c>
      <c r="KU68" s="221"/>
      <c r="KV68" s="221"/>
      <c r="KW68" s="221"/>
      <c r="KX68" s="221"/>
      <c r="KY68" s="221"/>
      <c r="KZ68" s="221"/>
      <c r="LA68" s="221"/>
      <c r="LB68" s="221"/>
      <c r="LC68" s="221"/>
      <c r="LD68" s="221"/>
      <c r="LE68" s="221"/>
      <c r="LF68" s="221"/>
      <c r="LG68" s="221"/>
      <c r="LH68" s="221"/>
      <c r="LI68" s="221"/>
      <c r="LJ68" s="221"/>
      <c r="LK68" s="221"/>
      <c r="LL68" s="221"/>
      <c r="LM68" s="221"/>
      <c r="LN68" s="221"/>
      <c r="LO68" s="221"/>
      <c r="LP68" s="221"/>
      <c r="LQ68" s="221"/>
      <c r="LR68" s="221"/>
      <c r="LS68" s="221"/>
      <c r="LT68" s="221"/>
      <c r="LU68" s="221"/>
      <c r="LV68" s="221"/>
      <c r="LW68" s="221"/>
      <c r="LX68" s="221"/>
      <c r="LY68" s="221"/>
      <c r="LZ68" s="221"/>
      <c r="MA68" s="221"/>
      <c r="MB68" s="221"/>
      <c r="MC68" s="221"/>
      <c r="MD68" s="221"/>
      <c r="ME68" s="221"/>
      <c r="MF68" s="221"/>
      <c r="MG68" s="221"/>
      <c r="MH68" s="221"/>
      <c r="MI68" s="221"/>
      <c r="MJ68" s="221"/>
      <c r="MK68" s="221"/>
      <c r="ML68" s="221"/>
      <c r="MM68" s="221"/>
      <c r="MN68" s="221"/>
      <c r="MO68" s="221"/>
      <c r="MP68" s="221"/>
      <c r="MQ68" s="221"/>
      <c r="MR68" s="221"/>
      <c r="MS68" s="221"/>
      <c r="MT68" s="221"/>
      <c r="MU68" s="221"/>
      <c r="MV68" s="221"/>
      <c r="MW68" s="221"/>
      <c r="MX68" s="221"/>
      <c r="MY68" s="221"/>
      <c r="MZ68" s="221"/>
      <c r="NA68" s="221"/>
      <c r="NB68" s="221"/>
      <c r="NC68" s="221"/>
      <c r="ND68" s="221"/>
      <c r="NE68" s="221"/>
      <c r="NF68" s="221"/>
      <c r="NG68" s="221"/>
      <c r="NH68" s="221"/>
      <c r="NI68" s="221"/>
      <c r="NJ68" s="221"/>
      <c r="NK68" s="221"/>
      <c r="NL68" s="195"/>
      <c r="NM68" s="195">
        <f t="shared" si="166"/>
        <v>0</v>
      </c>
      <c r="NN68" s="195">
        <f t="shared" si="167"/>
        <v>0</v>
      </c>
      <c r="NO68" s="195">
        <f t="shared" si="168"/>
        <v>0</v>
      </c>
      <c r="NP68" s="195">
        <f t="shared" si="169"/>
        <v>0</v>
      </c>
      <c r="NQ68" s="195">
        <f t="shared" si="170"/>
        <v>0</v>
      </c>
      <c r="NR68" s="195">
        <f t="shared" si="171"/>
        <v>0</v>
      </c>
      <c r="NS68" s="195">
        <f t="shared" si="172"/>
        <v>0</v>
      </c>
      <c r="NT68" s="195">
        <f t="shared" si="173"/>
        <v>0</v>
      </c>
      <c r="NU68" s="196">
        <f t="shared" si="174"/>
        <v>0</v>
      </c>
      <c r="NV68" s="195"/>
      <c r="NW68" s="195"/>
      <c r="NX68" s="195"/>
      <c r="NY68" s="196">
        <f t="shared" si="232"/>
        <v>1</v>
      </c>
      <c r="NZ68" s="222">
        <f>299880000/36</f>
        <v>8330000</v>
      </c>
      <c r="OA68" s="195"/>
      <c r="OB68" s="195"/>
      <c r="OC68" s="195"/>
      <c r="OD68" s="195"/>
      <c r="OE68" s="207">
        <f t="shared" si="233"/>
        <v>0</v>
      </c>
      <c r="OF68" s="207">
        <f t="shared" si="234"/>
        <v>0</v>
      </c>
      <c r="OG68" s="207">
        <f t="shared" si="235"/>
        <v>0</v>
      </c>
      <c r="OH68" s="207">
        <f t="shared" si="175"/>
        <v>0</v>
      </c>
      <c r="OI68" s="207">
        <f t="shared" si="236"/>
        <v>0</v>
      </c>
      <c r="OJ68" s="199">
        <f t="shared" si="176"/>
        <v>0</v>
      </c>
      <c r="OK68" s="199">
        <f t="shared" si="177"/>
        <v>0</v>
      </c>
      <c r="OL68" s="199">
        <f t="shared" si="178"/>
        <v>0</v>
      </c>
      <c r="OM68" s="199">
        <f t="shared" si="179"/>
        <v>0</v>
      </c>
      <c r="ON68" s="195"/>
      <c r="OO68" s="207">
        <f t="shared" si="237"/>
        <v>0</v>
      </c>
      <c r="OP68" s="207">
        <f t="shared" si="238"/>
        <v>0</v>
      </c>
      <c r="OQ68" s="207">
        <f t="shared" si="180"/>
        <v>0</v>
      </c>
      <c r="OR68" s="207">
        <f t="shared" si="181"/>
        <v>0</v>
      </c>
      <c r="OS68" s="207">
        <f t="shared" si="182"/>
        <v>0</v>
      </c>
      <c r="OT68" s="199">
        <f t="shared" si="183"/>
        <v>0</v>
      </c>
      <c r="OU68" s="199">
        <f t="shared" si="184"/>
        <v>0</v>
      </c>
      <c r="OV68" s="199">
        <f t="shared" si="185"/>
        <v>0</v>
      </c>
      <c r="OW68" s="199">
        <f t="shared" si="186"/>
        <v>0</v>
      </c>
      <c r="OX68" s="195"/>
      <c r="OY68" s="195"/>
      <c r="OZ68" s="195"/>
      <c r="PA68" s="209"/>
      <c r="PB68" s="209"/>
      <c r="PC68" s="209"/>
      <c r="PD68" s="210">
        <f t="shared" si="113"/>
        <v>0</v>
      </c>
      <c r="PE68" s="210"/>
      <c r="PF68" s="210">
        <f t="shared" si="114"/>
        <v>0</v>
      </c>
      <c r="PG68" s="210">
        <f t="shared" si="302"/>
        <v>0</v>
      </c>
      <c r="PH68" s="210">
        <f t="shared" si="302"/>
        <v>0</v>
      </c>
      <c r="PI68" s="210">
        <f t="shared" si="302"/>
        <v>0</v>
      </c>
      <c r="PJ68" s="210">
        <f t="shared" si="300"/>
        <v>0</v>
      </c>
      <c r="PK68" s="210">
        <f t="shared" si="300"/>
        <v>0</v>
      </c>
      <c r="PL68" s="210">
        <f t="shared" si="300"/>
        <v>0</v>
      </c>
      <c r="PM68" s="195"/>
      <c r="PN68" s="195"/>
      <c r="PO68" s="212">
        <f t="shared" si="187"/>
        <v>0</v>
      </c>
      <c r="PP68" s="212">
        <f t="shared" si="188"/>
        <v>0</v>
      </c>
      <c r="PQ68" s="212">
        <f t="shared" si="189"/>
        <v>0</v>
      </c>
    </row>
    <row r="69" spans="1:433 16383:16384" ht="16" x14ac:dyDescent="0.2">
      <c r="A69" s="213">
        <f t="shared" si="190"/>
        <v>60</v>
      </c>
      <c r="B69" s="186" t="s">
        <v>134</v>
      </c>
      <c r="C69" s="186">
        <v>62</v>
      </c>
      <c r="D69" s="188">
        <v>1</v>
      </c>
      <c r="E69" s="188">
        <v>80</v>
      </c>
      <c r="F69" s="188">
        <v>1</v>
      </c>
      <c r="G69" s="188">
        <f t="shared" si="239"/>
        <v>80</v>
      </c>
      <c r="H69" s="214">
        <f t="shared" si="203"/>
        <v>1</v>
      </c>
      <c r="I69" s="214">
        <f t="shared" si="204"/>
        <v>1</v>
      </c>
      <c r="J69" s="188">
        <v>1</v>
      </c>
      <c r="K69" s="188">
        <f t="shared" si="205"/>
        <v>80</v>
      </c>
      <c r="L69" s="214">
        <f t="shared" si="206"/>
        <v>1</v>
      </c>
      <c r="M69" s="214">
        <f t="shared" si="207"/>
        <v>1</v>
      </c>
      <c r="N69" s="188">
        <v>1</v>
      </c>
      <c r="O69" s="188">
        <f t="shared" si="208"/>
        <v>80</v>
      </c>
      <c r="P69" s="214">
        <f t="shared" si="209"/>
        <v>1</v>
      </c>
      <c r="Q69" s="214">
        <f t="shared" si="210"/>
        <v>1</v>
      </c>
      <c r="R69" s="188">
        <v>1</v>
      </c>
      <c r="S69" s="188">
        <f t="shared" si="211"/>
        <v>80</v>
      </c>
      <c r="T69" s="214">
        <f t="shared" si="212"/>
        <v>1</v>
      </c>
      <c r="U69" s="214">
        <f t="shared" si="213"/>
        <v>1</v>
      </c>
      <c r="V69" s="188">
        <v>1</v>
      </c>
      <c r="W69" s="188">
        <f t="shared" si="214"/>
        <v>80</v>
      </c>
      <c r="X69" s="214">
        <f t="shared" si="215"/>
        <v>1</v>
      </c>
      <c r="Y69" s="214">
        <f t="shared" si="216"/>
        <v>1</v>
      </c>
      <c r="Z69" s="224">
        <f>1351441000/1000000000</f>
        <v>1.3514409999999999</v>
      </c>
      <c r="AA69" s="188"/>
      <c r="AB69" s="189">
        <f t="shared" si="120"/>
        <v>0</v>
      </c>
      <c r="AC69" s="250">
        <f t="shared" si="121"/>
        <v>0</v>
      </c>
      <c r="AD69" s="250">
        <f t="shared" si="122"/>
        <v>0</v>
      </c>
      <c r="AE69" s="188"/>
      <c r="AF69" s="188">
        <f t="shared" si="217"/>
        <v>0</v>
      </c>
      <c r="AG69" s="187"/>
      <c r="AH69" s="187"/>
      <c r="AI69" s="188">
        <v>0</v>
      </c>
      <c r="AJ69" s="188">
        <f t="shared" si="218"/>
        <v>0</v>
      </c>
      <c r="AK69" s="188"/>
      <c r="AL69" s="188">
        <v>0</v>
      </c>
      <c r="AM69" s="188">
        <v>0</v>
      </c>
      <c r="AN69" s="217"/>
      <c r="AO69" s="196">
        <f t="shared" si="123"/>
        <v>0</v>
      </c>
      <c r="AP69" s="195"/>
      <c r="AQ69" s="195"/>
      <c r="AR69" s="195"/>
      <c r="AS69" s="195"/>
      <c r="AT69" s="195"/>
      <c r="AU69" s="195"/>
      <c r="AV69" s="195"/>
      <c r="AW69" s="195"/>
      <c r="AX69" s="195"/>
      <c r="AY69" s="195"/>
      <c r="AZ69" s="195"/>
      <c r="BA69" s="195"/>
      <c r="BB69" s="188">
        <f t="shared" si="219"/>
        <v>0</v>
      </c>
      <c r="BC69" s="195"/>
      <c r="BD69" s="196"/>
      <c r="BE69" s="188">
        <f t="shared" si="220"/>
        <v>0</v>
      </c>
      <c r="BF69" s="188">
        <f t="shared" si="221"/>
        <v>0</v>
      </c>
      <c r="BG69" s="188">
        <f t="shared" si="222"/>
        <v>0</v>
      </c>
      <c r="BH69" s="188">
        <f t="shared" si="223"/>
        <v>0</v>
      </c>
      <c r="BI69" s="188">
        <f t="shared" si="224"/>
        <v>0</v>
      </c>
      <c r="BJ69" s="188">
        <f t="shared" si="225"/>
        <v>0</v>
      </c>
      <c r="BK69" s="188">
        <f t="shared" si="124"/>
        <v>0</v>
      </c>
      <c r="BL69" s="195"/>
      <c r="BM69" s="195"/>
      <c r="BN69" s="277">
        <v>41</v>
      </c>
      <c r="BO69" s="139">
        <v>1</v>
      </c>
      <c r="BP69" s="188"/>
      <c r="BQ69" s="188"/>
      <c r="BR69" s="188"/>
      <c r="BS69" s="188"/>
      <c r="BT69" s="188"/>
      <c r="BU69" s="188"/>
      <c r="BV69" s="188"/>
      <c r="BW69" s="188"/>
      <c r="BX69" s="188"/>
      <c r="BY69" s="188"/>
      <c r="BZ69" s="188"/>
      <c r="CA69" s="195"/>
      <c r="CB69" s="188">
        <v>0</v>
      </c>
      <c r="CC69" s="195"/>
      <c r="CD69" s="189">
        <f t="shared" si="125"/>
        <v>41</v>
      </c>
      <c r="CE69" s="189">
        <f t="shared" si="191"/>
        <v>41</v>
      </c>
      <c r="CF69" s="189">
        <f t="shared" si="126"/>
        <v>0</v>
      </c>
      <c r="CG69" s="189">
        <f t="shared" si="127"/>
        <v>0</v>
      </c>
      <c r="CH69" s="189">
        <f t="shared" si="128"/>
        <v>0</v>
      </c>
      <c r="CI69" s="189">
        <f t="shared" si="129"/>
        <v>0</v>
      </c>
      <c r="CJ69" s="189">
        <f t="shared" si="130"/>
        <v>0</v>
      </c>
      <c r="CK69" s="189">
        <f t="shared" si="131"/>
        <v>0</v>
      </c>
      <c r="CL69" s="189">
        <f t="shared" si="132"/>
        <v>0</v>
      </c>
      <c r="CM69" s="189">
        <f t="shared" si="133"/>
        <v>0</v>
      </c>
      <c r="CN69" s="189">
        <f t="shared" si="134"/>
        <v>0</v>
      </c>
      <c r="CO69" s="189">
        <f t="shared" si="135"/>
        <v>0</v>
      </c>
      <c r="CP69" s="189">
        <f t="shared" si="136"/>
        <v>0</v>
      </c>
      <c r="CQ69" s="195"/>
      <c r="CR69" s="195"/>
      <c r="CS69" s="195"/>
      <c r="CT69" s="195"/>
      <c r="CU69" s="195"/>
      <c r="CV69" s="195"/>
      <c r="CW69" s="195"/>
      <c r="CX69" s="195"/>
      <c r="CY69" s="195"/>
      <c r="CZ69" s="195"/>
      <c r="DA69" s="195"/>
      <c r="DB69" s="195"/>
      <c r="DC69" s="195"/>
      <c r="DD69" s="195"/>
      <c r="DE69" s="195"/>
      <c r="DF69" s="195"/>
      <c r="DG69" s="195"/>
      <c r="DH69" s="195"/>
      <c r="DI69" s="195"/>
      <c r="DJ69" s="195"/>
      <c r="DK69" s="195"/>
      <c r="DL69" s="195"/>
      <c r="DM69" s="195"/>
      <c r="DN69" s="195"/>
      <c r="DO69" s="195"/>
      <c r="DP69" s="195"/>
      <c r="DQ69" s="195"/>
      <c r="DR69" s="195"/>
      <c r="DS69" s="195"/>
      <c r="DT69" s="195"/>
      <c r="DU69" s="195"/>
      <c r="DV69" s="189">
        <f t="shared" si="226"/>
        <v>0</v>
      </c>
      <c r="DW69" s="189">
        <f t="shared" si="227"/>
        <v>0</v>
      </c>
      <c r="DX69" s="189">
        <f t="shared" si="228"/>
        <v>0</v>
      </c>
      <c r="DY69" s="189">
        <f t="shared" si="229"/>
        <v>0</v>
      </c>
      <c r="DZ69" s="189">
        <f t="shared" si="230"/>
        <v>0</v>
      </c>
      <c r="EA69" s="189">
        <f t="shared" si="231"/>
        <v>0</v>
      </c>
      <c r="EB69" s="189">
        <f t="shared" si="137"/>
        <v>0</v>
      </c>
      <c r="EC69" s="195"/>
      <c r="ED69" s="195"/>
      <c r="EE69" s="195"/>
      <c r="EF69" s="195"/>
      <c r="EG69" s="252">
        <f t="shared" si="138"/>
        <v>0</v>
      </c>
      <c r="EH69" s="252">
        <f t="shared" si="139"/>
        <v>0</v>
      </c>
      <c r="EI69" s="189"/>
      <c r="EJ69" s="189"/>
      <c r="EK69" s="189"/>
      <c r="EL69" s="189"/>
      <c r="EM69" s="189"/>
      <c r="EN69" s="189"/>
      <c r="EO69" s="189"/>
      <c r="EP69" s="189"/>
      <c r="EQ69" s="189"/>
      <c r="ER69" s="189"/>
      <c r="ES69" s="189"/>
      <c r="ET69" s="189"/>
      <c r="EU69" s="189"/>
      <c r="EV69" s="189"/>
      <c r="EW69" s="189"/>
      <c r="EX69" s="189"/>
      <c r="EY69" s="189"/>
      <c r="EZ69" s="189"/>
      <c r="FA69" s="189"/>
      <c r="FB69" s="189"/>
      <c r="FC69" s="189"/>
      <c r="FD69" s="189"/>
      <c r="FE69" s="189"/>
      <c r="FF69" s="189"/>
      <c r="FG69" s="195"/>
      <c r="FH69" s="189"/>
      <c r="FI69" s="189"/>
      <c r="FJ69" s="189"/>
      <c r="FK69" s="189"/>
      <c r="FL69" s="189"/>
      <c r="FM69" s="189"/>
      <c r="FN69" s="189"/>
      <c r="FO69" s="189"/>
      <c r="FP69" s="189"/>
      <c r="FQ69" s="189"/>
      <c r="FR69" s="189"/>
      <c r="FS69" s="189"/>
      <c r="FT69" s="189"/>
      <c r="FU69" s="189"/>
      <c r="FV69" s="189"/>
      <c r="FW69" s="195"/>
      <c r="FX69" s="253">
        <v>1</v>
      </c>
      <c r="FY69" s="189">
        <f t="shared" si="140"/>
        <v>41</v>
      </c>
      <c r="FZ69" s="189">
        <f t="shared" si="324"/>
        <v>41</v>
      </c>
      <c r="GA69" s="189">
        <f t="shared" si="325"/>
        <v>0</v>
      </c>
      <c r="GB69" s="189">
        <f t="shared" si="326"/>
        <v>0</v>
      </c>
      <c r="GC69" s="189">
        <f t="shared" si="327"/>
        <v>0</v>
      </c>
      <c r="GD69" s="189">
        <f t="shared" si="328"/>
        <v>0</v>
      </c>
      <c r="GE69" s="189">
        <f t="shared" si="329"/>
        <v>0</v>
      </c>
      <c r="GF69" s="199"/>
      <c r="GG69" s="189">
        <v>0</v>
      </c>
      <c r="GH69" s="189">
        <v>0</v>
      </c>
      <c r="GI69" s="199"/>
      <c r="GJ69" s="200">
        <f t="shared" si="141"/>
        <v>0</v>
      </c>
      <c r="GK69" s="200">
        <f t="shared" si="142"/>
        <v>0</v>
      </c>
      <c r="GL69" s="195"/>
      <c r="GM69" s="195"/>
      <c r="GN69" s="195"/>
      <c r="GO69" s="189">
        <f t="shared" si="246"/>
        <v>0</v>
      </c>
      <c r="GP69" s="189">
        <f t="shared" si="247"/>
        <v>0</v>
      </c>
      <c r="GQ69" s="189">
        <f t="shared" si="248"/>
        <v>0</v>
      </c>
      <c r="GR69" s="189">
        <f t="shared" si="249"/>
        <v>0</v>
      </c>
      <c r="GS69" s="189">
        <f t="shared" si="250"/>
        <v>0</v>
      </c>
      <c r="GT69" s="189">
        <f t="shared" si="143"/>
        <v>1</v>
      </c>
      <c r="GU69" s="201">
        <f t="shared" si="144"/>
        <v>43243</v>
      </c>
      <c r="GV69" s="189" t="str">
        <f t="shared" si="145"/>
        <v>SELESAI</v>
      </c>
      <c r="GW69" s="189">
        <f t="shared" si="146"/>
        <v>0</v>
      </c>
      <c r="GX69" s="202" t="str">
        <f t="shared" si="147"/>
        <v>SELESAI</v>
      </c>
      <c r="GY69" s="202">
        <f t="shared" si="148"/>
        <v>0</v>
      </c>
      <c r="GZ69" s="203" t="str">
        <f t="shared" si="149"/>
        <v>SELESAI</v>
      </c>
      <c r="HA69" s="204"/>
      <c r="HB69" s="204"/>
      <c r="HC69" s="189">
        <f t="shared" si="251"/>
        <v>0</v>
      </c>
      <c r="HD69" s="189">
        <f t="shared" si="252"/>
        <v>0</v>
      </c>
      <c r="HE69" s="189">
        <f t="shared" si="150"/>
        <v>0</v>
      </c>
      <c r="HF69" s="189">
        <f t="shared" si="151"/>
        <v>0</v>
      </c>
      <c r="HG69" s="189">
        <f t="shared" si="152"/>
        <v>0</v>
      </c>
      <c r="HH69" s="201" t="str">
        <f t="shared" si="46"/>
        <v>TIDAK KONSINYASI</v>
      </c>
      <c r="HI69" s="201" t="str">
        <f t="shared" si="153"/>
        <v>SELESAI</v>
      </c>
      <c r="HJ69" s="205"/>
      <c r="HK69" s="201">
        <f t="shared" si="47"/>
        <v>0</v>
      </c>
      <c r="HL69" s="204"/>
      <c r="HM69" s="204"/>
      <c r="HN69" s="204"/>
      <c r="HO69" s="204"/>
      <c r="HP69" s="203">
        <f t="shared" si="154"/>
        <v>0</v>
      </c>
      <c r="HQ69" s="202">
        <f t="shared" si="155"/>
        <v>0</v>
      </c>
      <c r="HR69" s="202">
        <f t="shared" si="253"/>
        <v>0</v>
      </c>
      <c r="HS69" s="203">
        <f t="shared" si="156"/>
        <v>0</v>
      </c>
      <c r="HT69" s="202">
        <f t="shared" si="157"/>
        <v>0</v>
      </c>
      <c r="HU69" s="202">
        <f t="shared" si="254"/>
        <v>0</v>
      </c>
      <c r="HV69" s="203">
        <f t="shared" si="158"/>
        <v>0</v>
      </c>
      <c r="HW69" s="202">
        <f t="shared" si="50"/>
        <v>0</v>
      </c>
      <c r="HX69" s="202">
        <f t="shared" si="255"/>
        <v>0</v>
      </c>
      <c r="HY69" s="203">
        <f t="shared" si="52"/>
        <v>0</v>
      </c>
      <c r="HZ69" s="202">
        <f t="shared" si="159"/>
        <v>0</v>
      </c>
      <c r="IA69" s="202">
        <f t="shared" si="256"/>
        <v>0</v>
      </c>
      <c r="IB69" s="203">
        <f t="shared" si="160"/>
        <v>0</v>
      </c>
      <c r="IC69" s="202">
        <f t="shared" si="54"/>
        <v>0</v>
      </c>
      <c r="ID69" s="202">
        <f t="shared" si="257"/>
        <v>0</v>
      </c>
      <c r="IE69" s="203">
        <f t="shared" si="56"/>
        <v>0</v>
      </c>
      <c r="IF69" s="202">
        <f t="shared" si="57"/>
        <v>0</v>
      </c>
      <c r="IG69" s="202">
        <f t="shared" si="258"/>
        <v>0</v>
      </c>
      <c r="IH69" s="203">
        <f t="shared" si="161"/>
        <v>0</v>
      </c>
      <c r="II69" s="202">
        <f t="shared" si="162"/>
        <v>0</v>
      </c>
      <c r="IJ69" s="202">
        <f t="shared" si="259"/>
        <v>0</v>
      </c>
      <c r="IK69" s="203">
        <f t="shared" si="60"/>
        <v>0</v>
      </c>
      <c r="IL69" s="202">
        <f t="shared" si="61"/>
        <v>0</v>
      </c>
      <c r="IM69" s="202">
        <f t="shared" si="260"/>
        <v>0</v>
      </c>
      <c r="IN69" s="204"/>
      <c r="IO69" s="203">
        <f t="shared" si="63"/>
        <v>0</v>
      </c>
      <c r="IP69" s="202">
        <f t="shared" si="261"/>
        <v>0</v>
      </c>
      <c r="IQ69" s="202">
        <f t="shared" si="262"/>
        <v>0</v>
      </c>
      <c r="IR69" s="204"/>
      <c r="IS69" s="203"/>
      <c r="IT69" s="202">
        <f t="shared" si="263"/>
        <v>1</v>
      </c>
      <c r="IU69" s="202">
        <f t="shared" si="264"/>
        <v>80</v>
      </c>
      <c r="IV69" s="204"/>
      <c r="IW69" s="203"/>
      <c r="IX69" s="202">
        <f t="shared" si="265"/>
        <v>0</v>
      </c>
      <c r="IY69" s="202">
        <f t="shared" si="266"/>
        <v>0</v>
      </c>
      <c r="IZ69" s="204"/>
      <c r="JA69" s="203"/>
      <c r="JB69" s="202">
        <f t="shared" si="267"/>
        <v>0</v>
      </c>
      <c r="JC69" s="202">
        <f t="shared" si="268"/>
        <v>0</v>
      </c>
      <c r="JD69" s="204"/>
      <c r="JE69" s="203"/>
      <c r="JF69" s="202">
        <f t="shared" si="163"/>
        <v>1</v>
      </c>
      <c r="JG69" s="202">
        <f t="shared" si="72"/>
        <v>80</v>
      </c>
      <c r="JH69" s="204"/>
      <c r="JI69" s="203"/>
      <c r="JJ69" s="202">
        <f t="shared" si="269"/>
        <v>0</v>
      </c>
      <c r="JK69" s="202">
        <f t="shared" si="270"/>
        <v>0</v>
      </c>
      <c r="JL69" s="195"/>
      <c r="JM69" s="203">
        <f t="shared" si="164"/>
        <v>0</v>
      </c>
      <c r="JN69" s="195"/>
      <c r="JO69" s="196">
        <f t="shared" si="75"/>
        <v>1</v>
      </c>
      <c r="JP69" s="206">
        <f t="shared" si="271"/>
        <v>41</v>
      </c>
      <c r="JQ69" s="206">
        <f t="shared" si="272"/>
        <v>1</v>
      </c>
      <c r="JR69" s="206">
        <f t="shared" si="273"/>
        <v>0</v>
      </c>
      <c r="JS69" s="206">
        <f t="shared" si="274"/>
        <v>0</v>
      </c>
      <c r="JT69" s="206">
        <f t="shared" si="275"/>
        <v>0</v>
      </c>
      <c r="JU69" s="206">
        <f t="shared" si="276"/>
        <v>0</v>
      </c>
      <c r="JV69" s="206">
        <f t="shared" si="277"/>
        <v>0</v>
      </c>
      <c r="JW69" s="206">
        <f t="shared" si="278"/>
        <v>0</v>
      </c>
      <c r="JX69" s="206">
        <f t="shared" si="279"/>
        <v>0</v>
      </c>
      <c r="JY69" s="206">
        <f t="shared" si="280"/>
        <v>0</v>
      </c>
      <c r="JZ69" s="206">
        <f t="shared" si="281"/>
        <v>0</v>
      </c>
      <c r="KA69" s="206">
        <f t="shared" si="282"/>
        <v>0</v>
      </c>
      <c r="KB69" s="206">
        <f t="shared" si="283"/>
        <v>0</v>
      </c>
      <c r="KC69" s="195"/>
      <c r="KD69" s="206">
        <f t="shared" si="165"/>
        <v>0</v>
      </c>
      <c r="KE69" s="206">
        <f t="shared" si="90"/>
        <v>0</v>
      </c>
      <c r="KF69" s="206">
        <f t="shared" si="284"/>
        <v>41</v>
      </c>
      <c r="KG69" s="206">
        <f t="shared" si="285"/>
        <v>41</v>
      </c>
      <c r="KH69" s="206">
        <f t="shared" si="286"/>
        <v>0</v>
      </c>
      <c r="KI69" s="206">
        <f t="shared" si="287"/>
        <v>0</v>
      </c>
      <c r="KJ69" s="206">
        <f t="shared" si="288"/>
        <v>0</v>
      </c>
      <c r="KK69" s="206">
        <f t="shared" si="289"/>
        <v>0</v>
      </c>
      <c r="KL69" s="206">
        <f t="shared" si="290"/>
        <v>0</v>
      </c>
      <c r="KM69" s="206">
        <f t="shared" si="291"/>
        <v>0</v>
      </c>
      <c r="KN69" s="221">
        <f t="shared" si="292"/>
        <v>0</v>
      </c>
      <c r="KO69" s="221">
        <f t="shared" si="293"/>
        <v>0</v>
      </c>
      <c r="KP69" s="221">
        <f t="shared" si="294"/>
        <v>0</v>
      </c>
      <c r="KQ69" s="221">
        <f t="shared" si="295"/>
        <v>0</v>
      </c>
      <c r="KR69" s="221">
        <f t="shared" si="296"/>
        <v>0</v>
      </c>
      <c r="KS69" s="195"/>
      <c r="KT69" s="195">
        <f t="shared" si="297"/>
        <v>0</v>
      </c>
      <c r="KU69" s="221"/>
      <c r="KV69" s="221"/>
      <c r="KW69" s="221"/>
      <c r="KX69" s="221"/>
      <c r="KY69" s="221"/>
      <c r="KZ69" s="221"/>
      <c r="LA69" s="221"/>
      <c r="LB69" s="221"/>
      <c r="LC69" s="221"/>
      <c r="LD69" s="221"/>
      <c r="LE69" s="221"/>
      <c r="LF69" s="221"/>
      <c r="LG69" s="221"/>
      <c r="LH69" s="221"/>
      <c r="LI69" s="221"/>
      <c r="LJ69" s="221"/>
      <c r="LK69" s="221"/>
      <c r="LL69" s="221"/>
      <c r="LM69" s="221"/>
      <c r="LN69" s="221"/>
      <c r="LO69" s="221"/>
      <c r="LP69" s="221"/>
      <c r="LQ69" s="221"/>
      <c r="LR69" s="221"/>
      <c r="LS69" s="221"/>
      <c r="LT69" s="221"/>
      <c r="LU69" s="221"/>
      <c r="LV69" s="221"/>
      <c r="LW69" s="221"/>
      <c r="LX69" s="221"/>
      <c r="LY69" s="221"/>
      <c r="LZ69" s="221"/>
      <c r="MA69" s="221"/>
      <c r="MB69" s="221"/>
      <c r="MC69" s="221"/>
      <c r="MD69" s="221"/>
      <c r="ME69" s="221"/>
      <c r="MF69" s="221"/>
      <c r="MG69" s="221"/>
      <c r="MH69" s="221"/>
      <c r="MI69" s="221"/>
      <c r="MJ69" s="221"/>
      <c r="MK69" s="221"/>
      <c r="ML69" s="221"/>
      <c r="MM69" s="221"/>
      <c r="MN69" s="221"/>
      <c r="MO69" s="221"/>
      <c r="MP69" s="221"/>
      <c r="MQ69" s="221"/>
      <c r="MR69" s="221"/>
      <c r="MS69" s="221"/>
      <c r="MT69" s="221"/>
      <c r="MU69" s="221"/>
      <c r="MV69" s="221"/>
      <c r="MW69" s="221"/>
      <c r="MX69" s="221"/>
      <c r="MY69" s="221"/>
      <c r="MZ69" s="221"/>
      <c r="NA69" s="221"/>
      <c r="NB69" s="221"/>
      <c r="NC69" s="221"/>
      <c r="ND69" s="221"/>
      <c r="NE69" s="221"/>
      <c r="NF69" s="221"/>
      <c r="NG69" s="221"/>
      <c r="NH69" s="221"/>
      <c r="NI69" s="221"/>
      <c r="NJ69" s="221"/>
      <c r="NK69" s="221"/>
      <c r="NL69" s="195"/>
      <c r="NM69" s="195">
        <f t="shared" si="166"/>
        <v>0</v>
      </c>
      <c r="NN69" s="195">
        <f t="shared" si="167"/>
        <v>0</v>
      </c>
      <c r="NO69" s="195">
        <f t="shared" si="168"/>
        <v>0</v>
      </c>
      <c r="NP69" s="195">
        <f t="shared" si="169"/>
        <v>0</v>
      </c>
      <c r="NQ69" s="195">
        <f t="shared" si="170"/>
        <v>0</v>
      </c>
      <c r="NR69" s="195">
        <f t="shared" si="171"/>
        <v>0</v>
      </c>
      <c r="NS69" s="195">
        <f t="shared" si="172"/>
        <v>0</v>
      </c>
      <c r="NT69" s="195">
        <f t="shared" si="173"/>
        <v>0</v>
      </c>
      <c r="NU69" s="196">
        <f t="shared" si="174"/>
        <v>0</v>
      </c>
      <c r="NV69" s="195"/>
      <c r="NW69" s="195"/>
      <c r="NX69" s="195"/>
      <c r="NY69" s="196">
        <f t="shared" si="232"/>
        <v>1</v>
      </c>
      <c r="NZ69" s="222">
        <f>315123900/39</f>
        <v>8080100</v>
      </c>
      <c r="OA69" s="195"/>
      <c r="OB69" s="195"/>
      <c r="OC69" s="195"/>
      <c r="OD69" s="195"/>
      <c r="OE69" s="207">
        <f t="shared" si="233"/>
        <v>0</v>
      </c>
      <c r="OF69" s="207">
        <f t="shared" si="234"/>
        <v>0</v>
      </c>
      <c r="OG69" s="207">
        <f t="shared" si="235"/>
        <v>0</v>
      </c>
      <c r="OH69" s="207">
        <f t="shared" si="175"/>
        <v>0</v>
      </c>
      <c r="OI69" s="207">
        <f t="shared" si="236"/>
        <v>0</v>
      </c>
      <c r="OJ69" s="199">
        <f t="shared" si="176"/>
        <v>0</v>
      </c>
      <c r="OK69" s="199">
        <f t="shared" si="177"/>
        <v>0</v>
      </c>
      <c r="OL69" s="199">
        <f t="shared" si="178"/>
        <v>0</v>
      </c>
      <c r="OM69" s="199">
        <f t="shared" si="179"/>
        <v>0</v>
      </c>
      <c r="ON69" s="195"/>
      <c r="OO69" s="207">
        <f t="shared" si="237"/>
        <v>0</v>
      </c>
      <c r="OP69" s="207">
        <f t="shared" si="238"/>
        <v>0</v>
      </c>
      <c r="OQ69" s="207">
        <f t="shared" si="180"/>
        <v>0</v>
      </c>
      <c r="OR69" s="207">
        <f t="shared" si="181"/>
        <v>0</v>
      </c>
      <c r="OS69" s="207">
        <f t="shared" si="182"/>
        <v>0</v>
      </c>
      <c r="OT69" s="199">
        <f t="shared" si="183"/>
        <v>0</v>
      </c>
      <c r="OU69" s="199">
        <f t="shared" si="184"/>
        <v>0</v>
      </c>
      <c r="OV69" s="199">
        <f t="shared" si="185"/>
        <v>0</v>
      </c>
      <c r="OW69" s="199">
        <f t="shared" si="186"/>
        <v>0</v>
      </c>
      <c r="OX69" s="195"/>
      <c r="OY69" s="195"/>
      <c r="OZ69" s="195"/>
      <c r="PA69" s="209"/>
      <c r="PB69" s="209"/>
      <c r="PC69" s="209"/>
      <c r="PD69" s="210">
        <f t="shared" si="113"/>
        <v>0</v>
      </c>
      <c r="PE69" s="210"/>
      <c r="PF69" s="210">
        <f t="shared" si="114"/>
        <v>0</v>
      </c>
      <c r="PG69" s="210">
        <f t="shared" si="302"/>
        <v>0</v>
      </c>
      <c r="PH69" s="210">
        <f t="shared" si="302"/>
        <v>0</v>
      </c>
      <c r="PI69" s="210">
        <f t="shared" si="302"/>
        <v>0</v>
      </c>
      <c r="PJ69" s="210">
        <f t="shared" si="300"/>
        <v>0</v>
      </c>
      <c r="PK69" s="210">
        <f t="shared" si="300"/>
        <v>0</v>
      </c>
      <c r="PL69" s="210">
        <f t="shared" si="300"/>
        <v>0</v>
      </c>
      <c r="PM69" s="195"/>
      <c r="PN69" s="195"/>
      <c r="PO69" s="212">
        <f t="shared" si="187"/>
        <v>0</v>
      </c>
      <c r="PP69" s="212">
        <f t="shared" si="188"/>
        <v>0</v>
      </c>
      <c r="PQ69" s="212">
        <f t="shared" si="189"/>
        <v>0</v>
      </c>
    </row>
    <row r="70" spans="1:433 16383:16384" ht="16" x14ac:dyDescent="0.2">
      <c r="A70" s="213">
        <f t="shared" si="190"/>
        <v>61</v>
      </c>
      <c r="B70" s="186" t="s">
        <v>135</v>
      </c>
      <c r="C70" s="186">
        <v>63</v>
      </c>
      <c r="D70" s="188">
        <v>1</v>
      </c>
      <c r="E70" s="188">
        <v>96</v>
      </c>
      <c r="F70" s="188">
        <v>1</v>
      </c>
      <c r="G70" s="188">
        <f t="shared" si="239"/>
        <v>96</v>
      </c>
      <c r="H70" s="214">
        <f t="shared" si="203"/>
        <v>1</v>
      </c>
      <c r="I70" s="214">
        <f t="shared" si="204"/>
        <v>1</v>
      </c>
      <c r="J70" s="188">
        <v>1</v>
      </c>
      <c r="K70" s="188">
        <f t="shared" si="205"/>
        <v>96</v>
      </c>
      <c r="L70" s="214">
        <f t="shared" si="206"/>
        <v>1</v>
      </c>
      <c r="M70" s="214">
        <f t="shared" si="207"/>
        <v>1</v>
      </c>
      <c r="N70" s="188">
        <v>1</v>
      </c>
      <c r="O70" s="188">
        <f t="shared" si="208"/>
        <v>96</v>
      </c>
      <c r="P70" s="214">
        <f t="shared" si="209"/>
        <v>1</v>
      </c>
      <c r="Q70" s="214">
        <f t="shared" si="210"/>
        <v>1</v>
      </c>
      <c r="R70" s="188">
        <v>1</v>
      </c>
      <c r="S70" s="188">
        <f t="shared" si="211"/>
        <v>96</v>
      </c>
      <c r="T70" s="214">
        <f t="shared" si="212"/>
        <v>1</v>
      </c>
      <c r="U70" s="214">
        <f t="shared" si="213"/>
        <v>1</v>
      </c>
      <c r="V70" s="188">
        <v>1</v>
      </c>
      <c r="W70" s="188">
        <f t="shared" si="214"/>
        <v>96</v>
      </c>
      <c r="X70" s="214">
        <f t="shared" si="215"/>
        <v>1</v>
      </c>
      <c r="Y70" s="214">
        <f t="shared" si="216"/>
        <v>1</v>
      </c>
      <c r="Z70" s="224">
        <f>1647430000/1000000000</f>
        <v>1.6474299999999999</v>
      </c>
      <c r="AA70" s="188"/>
      <c r="AB70" s="189">
        <f t="shared" si="120"/>
        <v>0</v>
      </c>
      <c r="AC70" s="250">
        <f t="shared" si="121"/>
        <v>0</v>
      </c>
      <c r="AD70" s="250">
        <f t="shared" si="122"/>
        <v>0</v>
      </c>
      <c r="AE70" s="188"/>
      <c r="AF70" s="188">
        <f t="shared" si="217"/>
        <v>0</v>
      </c>
      <c r="AG70" s="187"/>
      <c r="AH70" s="187"/>
      <c r="AI70" s="188">
        <v>0</v>
      </c>
      <c r="AJ70" s="188">
        <f t="shared" si="218"/>
        <v>0</v>
      </c>
      <c r="AK70" s="188"/>
      <c r="AL70" s="188">
        <v>0</v>
      </c>
      <c r="AM70" s="188">
        <v>0</v>
      </c>
      <c r="AN70" s="217"/>
      <c r="AO70" s="196">
        <f t="shared" si="123"/>
        <v>0</v>
      </c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5"/>
      <c r="BB70" s="188">
        <f t="shared" si="219"/>
        <v>0</v>
      </c>
      <c r="BC70" s="195"/>
      <c r="BD70" s="196"/>
      <c r="BE70" s="188">
        <f t="shared" si="220"/>
        <v>0</v>
      </c>
      <c r="BF70" s="188">
        <f t="shared" si="221"/>
        <v>0</v>
      </c>
      <c r="BG70" s="188">
        <f t="shared" si="222"/>
        <v>0</v>
      </c>
      <c r="BH70" s="188">
        <f t="shared" si="223"/>
        <v>0</v>
      </c>
      <c r="BI70" s="188">
        <f t="shared" si="224"/>
        <v>0</v>
      </c>
      <c r="BJ70" s="188">
        <f t="shared" si="225"/>
        <v>0</v>
      </c>
      <c r="BK70" s="188">
        <f t="shared" si="124"/>
        <v>0</v>
      </c>
      <c r="BL70" s="195"/>
      <c r="BM70" s="195"/>
      <c r="BN70" s="277">
        <v>69</v>
      </c>
      <c r="BO70" s="139">
        <v>1</v>
      </c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95"/>
      <c r="CB70" s="188">
        <v>0</v>
      </c>
      <c r="CC70" s="195"/>
      <c r="CD70" s="189">
        <f t="shared" si="125"/>
        <v>69</v>
      </c>
      <c r="CE70" s="189">
        <f t="shared" si="191"/>
        <v>69</v>
      </c>
      <c r="CF70" s="189">
        <f t="shared" si="126"/>
        <v>0</v>
      </c>
      <c r="CG70" s="189">
        <f t="shared" si="127"/>
        <v>0</v>
      </c>
      <c r="CH70" s="189">
        <f t="shared" si="128"/>
        <v>0</v>
      </c>
      <c r="CI70" s="189">
        <f t="shared" si="129"/>
        <v>0</v>
      </c>
      <c r="CJ70" s="189">
        <f t="shared" si="130"/>
        <v>0</v>
      </c>
      <c r="CK70" s="189">
        <f t="shared" si="131"/>
        <v>0</v>
      </c>
      <c r="CL70" s="189">
        <f t="shared" si="132"/>
        <v>0</v>
      </c>
      <c r="CM70" s="189">
        <f t="shared" si="133"/>
        <v>0</v>
      </c>
      <c r="CN70" s="189">
        <f t="shared" si="134"/>
        <v>0</v>
      </c>
      <c r="CO70" s="189">
        <f t="shared" si="135"/>
        <v>0</v>
      </c>
      <c r="CP70" s="189">
        <f t="shared" si="136"/>
        <v>0</v>
      </c>
      <c r="CQ70" s="195"/>
      <c r="CR70" s="195"/>
      <c r="CS70" s="195"/>
      <c r="CT70" s="195"/>
      <c r="CU70" s="195"/>
      <c r="CV70" s="195"/>
      <c r="CW70" s="195"/>
      <c r="CX70" s="195"/>
      <c r="CY70" s="195"/>
      <c r="CZ70" s="195"/>
      <c r="DA70" s="195"/>
      <c r="DB70" s="195"/>
      <c r="DC70" s="195"/>
      <c r="DD70" s="195"/>
      <c r="DE70" s="195"/>
      <c r="DF70" s="195"/>
      <c r="DG70" s="195"/>
      <c r="DH70" s="195"/>
      <c r="DI70" s="195"/>
      <c r="DJ70" s="195"/>
      <c r="DK70" s="195"/>
      <c r="DL70" s="195"/>
      <c r="DM70" s="195"/>
      <c r="DN70" s="195"/>
      <c r="DO70" s="195"/>
      <c r="DP70" s="195"/>
      <c r="DQ70" s="195"/>
      <c r="DR70" s="195"/>
      <c r="DS70" s="195"/>
      <c r="DT70" s="195"/>
      <c r="DU70" s="195"/>
      <c r="DV70" s="189">
        <f t="shared" si="226"/>
        <v>0</v>
      </c>
      <c r="DW70" s="189">
        <f t="shared" si="227"/>
        <v>0</v>
      </c>
      <c r="DX70" s="189">
        <f t="shared" si="228"/>
        <v>0</v>
      </c>
      <c r="DY70" s="189">
        <f t="shared" si="229"/>
        <v>0</v>
      </c>
      <c r="DZ70" s="189">
        <f t="shared" si="230"/>
        <v>0</v>
      </c>
      <c r="EA70" s="189">
        <f t="shared" si="231"/>
        <v>0</v>
      </c>
      <c r="EB70" s="189">
        <f t="shared" si="137"/>
        <v>0</v>
      </c>
      <c r="EC70" s="195"/>
      <c r="ED70" s="195"/>
      <c r="EE70" s="195"/>
      <c r="EF70" s="195"/>
      <c r="EG70" s="252">
        <f t="shared" si="138"/>
        <v>0</v>
      </c>
      <c r="EH70" s="252">
        <f t="shared" si="139"/>
        <v>0</v>
      </c>
      <c r="EI70" s="189"/>
      <c r="EJ70" s="189"/>
      <c r="EK70" s="189"/>
      <c r="EL70" s="189"/>
      <c r="EM70" s="189"/>
      <c r="EN70" s="189"/>
      <c r="EO70" s="189"/>
      <c r="EP70" s="189"/>
      <c r="EQ70" s="189"/>
      <c r="ER70" s="189"/>
      <c r="ES70" s="189"/>
      <c r="ET70" s="189"/>
      <c r="EU70" s="189"/>
      <c r="EV70" s="189"/>
      <c r="EW70" s="189"/>
      <c r="EX70" s="189"/>
      <c r="EY70" s="189"/>
      <c r="EZ70" s="189"/>
      <c r="FA70" s="189"/>
      <c r="FB70" s="189"/>
      <c r="FC70" s="189"/>
      <c r="FD70" s="189"/>
      <c r="FE70" s="189"/>
      <c r="FF70" s="189"/>
      <c r="FG70" s="195"/>
      <c r="FH70" s="189"/>
      <c r="FI70" s="189"/>
      <c r="FJ70" s="189"/>
      <c r="FK70" s="189"/>
      <c r="FL70" s="189"/>
      <c r="FM70" s="189"/>
      <c r="FN70" s="189"/>
      <c r="FO70" s="189"/>
      <c r="FP70" s="189"/>
      <c r="FQ70" s="189"/>
      <c r="FR70" s="189"/>
      <c r="FS70" s="189"/>
      <c r="FT70" s="189"/>
      <c r="FU70" s="189"/>
      <c r="FV70" s="189"/>
      <c r="FW70" s="195"/>
      <c r="FX70" s="253">
        <v>1</v>
      </c>
      <c r="FY70" s="189">
        <f t="shared" si="140"/>
        <v>69</v>
      </c>
      <c r="FZ70" s="189">
        <f t="shared" si="324"/>
        <v>69</v>
      </c>
      <c r="GA70" s="189">
        <f t="shared" si="325"/>
        <v>0</v>
      </c>
      <c r="GB70" s="189">
        <f t="shared" si="326"/>
        <v>0</v>
      </c>
      <c r="GC70" s="189">
        <f t="shared" si="327"/>
        <v>0</v>
      </c>
      <c r="GD70" s="189">
        <f t="shared" si="328"/>
        <v>0</v>
      </c>
      <c r="GE70" s="189">
        <f t="shared" si="329"/>
        <v>0</v>
      </c>
      <c r="GF70" s="199"/>
      <c r="GG70" s="189">
        <v>0</v>
      </c>
      <c r="GH70" s="189">
        <v>0</v>
      </c>
      <c r="GI70" s="199"/>
      <c r="GJ70" s="200">
        <f t="shared" si="141"/>
        <v>0</v>
      </c>
      <c r="GK70" s="200">
        <f t="shared" si="142"/>
        <v>0</v>
      </c>
      <c r="GL70" s="195"/>
      <c r="GM70" s="195"/>
      <c r="GN70" s="195"/>
      <c r="GO70" s="189">
        <f t="shared" si="246"/>
        <v>0</v>
      </c>
      <c r="GP70" s="189">
        <f t="shared" si="247"/>
        <v>0</v>
      </c>
      <c r="GQ70" s="189">
        <f t="shared" si="248"/>
        <v>0</v>
      </c>
      <c r="GR70" s="189">
        <f t="shared" si="249"/>
        <v>0</v>
      </c>
      <c r="GS70" s="189">
        <f t="shared" si="250"/>
        <v>0</v>
      </c>
      <c r="GT70" s="189">
        <f t="shared" si="143"/>
        <v>1</v>
      </c>
      <c r="GU70" s="201">
        <f t="shared" si="144"/>
        <v>43243</v>
      </c>
      <c r="GV70" s="189" t="str">
        <f t="shared" si="145"/>
        <v>SELESAI</v>
      </c>
      <c r="GW70" s="189">
        <f t="shared" si="146"/>
        <v>0</v>
      </c>
      <c r="GX70" s="202" t="str">
        <f t="shared" si="147"/>
        <v>SELESAI</v>
      </c>
      <c r="GY70" s="202">
        <f t="shared" si="148"/>
        <v>0</v>
      </c>
      <c r="GZ70" s="203" t="str">
        <f t="shared" si="149"/>
        <v>SELESAI</v>
      </c>
      <c r="HA70" s="204"/>
      <c r="HB70" s="204"/>
      <c r="HC70" s="189">
        <f t="shared" si="251"/>
        <v>0</v>
      </c>
      <c r="HD70" s="189">
        <f t="shared" si="252"/>
        <v>0</v>
      </c>
      <c r="HE70" s="189">
        <f t="shared" si="150"/>
        <v>0</v>
      </c>
      <c r="HF70" s="189">
        <f t="shared" si="151"/>
        <v>0</v>
      </c>
      <c r="HG70" s="189">
        <f t="shared" si="152"/>
        <v>0</v>
      </c>
      <c r="HH70" s="201" t="str">
        <f t="shared" si="46"/>
        <v>TIDAK KONSINYASI</v>
      </c>
      <c r="HI70" s="201" t="str">
        <f t="shared" si="153"/>
        <v>SELESAI</v>
      </c>
      <c r="HJ70" s="205"/>
      <c r="HK70" s="201">
        <f t="shared" si="47"/>
        <v>0</v>
      </c>
      <c r="HL70" s="204"/>
      <c r="HM70" s="204"/>
      <c r="HN70" s="204"/>
      <c r="HO70" s="204"/>
      <c r="HP70" s="203">
        <f t="shared" si="154"/>
        <v>0</v>
      </c>
      <c r="HQ70" s="202">
        <f t="shared" si="155"/>
        <v>0</v>
      </c>
      <c r="HR70" s="202">
        <f t="shared" si="253"/>
        <v>0</v>
      </c>
      <c r="HS70" s="203">
        <f t="shared" si="156"/>
        <v>0</v>
      </c>
      <c r="HT70" s="202">
        <f t="shared" si="157"/>
        <v>0</v>
      </c>
      <c r="HU70" s="202">
        <f t="shared" si="254"/>
        <v>0</v>
      </c>
      <c r="HV70" s="203">
        <f t="shared" si="158"/>
        <v>0</v>
      </c>
      <c r="HW70" s="202">
        <f t="shared" si="50"/>
        <v>0</v>
      </c>
      <c r="HX70" s="202">
        <f t="shared" si="255"/>
        <v>0</v>
      </c>
      <c r="HY70" s="203">
        <f t="shared" si="52"/>
        <v>0</v>
      </c>
      <c r="HZ70" s="202">
        <f t="shared" si="159"/>
        <v>0</v>
      </c>
      <c r="IA70" s="202">
        <f t="shared" si="256"/>
        <v>0</v>
      </c>
      <c r="IB70" s="203">
        <f t="shared" si="160"/>
        <v>0</v>
      </c>
      <c r="IC70" s="202">
        <f t="shared" si="54"/>
        <v>0</v>
      </c>
      <c r="ID70" s="202">
        <f t="shared" si="257"/>
        <v>0</v>
      </c>
      <c r="IE70" s="203">
        <f t="shared" si="56"/>
        <v>0</v>
      </c>
      <c r="IF70" s="202">
        <f t="shared" si="57"/>
        <v>0</v>
      </c>
      <c r="IG70" s="202">
        <f t="shared" si="258"/>
        <v>0</v>
      </c>
      <c r="IH70" s="203">
        <f t="shared" si="161"/>
        <v>0</v>
      </c>
      <c r="II70" s="202">
        <f t="shared" si="162"/>
        <v>0</v>
      </c>
      <c r="IJ70" s="202">
        <f t="shared" si="259"/>
        <v>0</v>
      </c>
      <c r="IK70" s="203">
        <f t="shared" si="60"/>
        <v>0</v>
      </c>
      <c r="IL70" s="202">
        <f t="shared" si="61"/>
        <v>0</v>
      </c>
      <c r="IM70" s="202">
        <f t="shared" si="260"/>
        <v>0</v>
      </c>
      <c r="IN70" s="204"/>
      <c r="IO70" s="203">
        <f t="shared" si="63"/>
        <v>0</v>
      </c>
      <c r="IP70" s="202">
        <f t="shared" si="261"/>
        <v>0</v>
      </c>
      <c r="IQ70" s="202">
        <f t="shared" si="262"/>
        <v>0</v>
      </c>
      <c r="IR70" s="204"/>
      <c r="IS70" s="203"/>
      <c r="IT70" s="202">
        <f t="shared" si="263"/>
        <v>1</v>
      </c>
      <c r="IU70" s="202">
        <f t="shared" si="264"/>
        <v>96</v>
      </c>
      <c r="IV70" s="204"/>
      <c r="IW70" s="203"/>
      <c r="IX70" s="202">
        <f t="shared" si="265"/>
        <v>0</v>
      </c>
      <c r="IY70" s="202">
        <f t="shared" si="266"/>
        <v>0</v>
      </c>
      <c r="IZ70" s="204"/>
      <c r="JA70" s="203"/>
      <c r="JB70" s="202">
        <f t="shared" si="267"/>
        <v>0</v>
      </c>
      <c r="JC70" s="202">
        <f t="shared" si="268"/>
        <v>0</v>
      </c>
      <c r="JD70" s="204"/>
      <c r="JE70" s="203"/>
      <c r="JF70" s="202">
        <f t="shared" si="163"/>
        <v>1</v>
      </c>
      <c r="JG70" s="202">
        <f t="shared" si="72"/>
        <v>96</v>
      </c>
      <c r="JH70" s="204"/>
      <c r="JI70" s="203"/>
      <c r="JJ70" s="202">
        <f t="shared" si="269"/>
        <v>0</v>
      </c>
      <c r="JK70" s="202">
        <f t="shared" si="270"/>
        <v>0</v>
      </c>
      <c r="JL70" s="195"/>
      <c r="JM70" s="203">
        <f t="shared" si="164"/>
        <v>0</v>
      </c>
      <c r="JN70" s="195"/>
      <c r="JO70" s="196">
        <f t="shared" si="75"/>
        <v>1</v>
      </c>
      <c r="JP70" s="206">
        <f t="shared" si="271"/>
        <v>69</v>
      </c>
      <c r="JQ70" s="206">
        <f t="shared" si="272"/>
        <v>1</v>
      </c>
      <c r="JR70" s="206">
        <f t="shared" si="273"/>
        <v>0</v>
      </c>
      <c r="JS70" s="206">
        <f t="shared" si="274"/>
        <v>0</v>
      </c>
      <c r="JT70" s="206">
        <f t="shared" si="275"/>
        <v>0</v>
      </c>
      <c r="JU70" s="206">
        <f t="shared" si="276"/>
        <v>0</v>
      </c>
      <c r="JV70" s="206">
        <f t="shared" si="277"/>
        <v>0</v>
      </c>
      <c r="JW70" s="206">
        <f t="shared" si="278"/>
        <v>0</v>
      </c>
      <c r="JX70" s="206">
        <f t="shared" si="279"/>
        <v>0</v>
      </c>
      <c r="JY70" s="206">
        <f t="shared" si="280"/>
        <v>0</v>
      </c>
      <c r="JZ70" s="206">
        <f t="shared" si="281"/>
        <v>0</v>
      </c>
      <c r="KA70" s="206">
        <f t="shared" si="282"/>
        <v>0</v>
      </c>
      <c r="KB70" s="206">
        <f t="shared" si="283"/>
        <v>0</v>
      </c>
      <c r="KC70" s="195"/>
      <c r="KD70" s="206">
        <f t="shared" si="165"/>
        <v>0</v>
      </c>
      <c r="KE70" s="206">
        <f t="shared" si="90"/>
        <v>0</v>
      </c>
      <c r="KF70" s="206">
        <f t="shared" si="284"/>
        <v>69</v>
      </c>
      <c r="KG70" s="206">
        <f t="shared" si="285"/>
        <v>69</v>
      </c>
      <c r="KH70" s="206">
        <f t="shared" si="286"/>
        <v>0</v>
      </c>
      <c r="KI70" s="206">
        <f t="shared" si="287"/>
        <v>0</v>
      </c>
      <c r="KJ70" s="206">
        <f t="shared" si="288"/>
        <v>0</v>
      </c>
      <c r="KK70" s="206">
        <f t="shared" si="289"/>
        <v>0</v>
      </c>
      <c r="KL70" s="206">
        <f t="shared" si="290"/>
        <v>0</v>
      </c>
      <c r="KM70" s="206">
        <f t="shared" si="291"/>
        <v>0</v>
      </c>
      <c r="KN70" s="221">
        <f t="shared" si="292"/>
        <v>0</v>
      </c>
      <c r="KO70" s="221">
        <f t="shared" si="293"/>
        <v>0</v>
      </c>
      <c r="KP70" s="221">
        <f t="shared" si="294"/>
        <v>0</v>
      </c>
      <c r="KQ70" s="221">
        <f t="shared" si="295"/>
        <v>0</v>
      </c>
      <c r="KR70" s="221">
        <f t="shared" si="296"/>
        <v>0</v>
      </c>
      <c r="KS70" s="195"/>
      <c r="KT70" s="195">
        <f t="shared" si="297"/>
        <v>0</v>
      </c>
      <c r="KU70" s="221"/>
      <c r="KV70" s="221"/>
      <c r="KW70" s="221"/>
      <c r="KX70" s="221"/>
      <c r="KY70" s="221"/>
      <c r="KZ70" s="221"/>
      <c r="LA70" s="221"/>
      <c r="LB70" s="221"/>
      <c r="LC70" s="221"/>
      <c r="LD70" s="221"/>
      <c r="LE70" s="221"/>
      <c r="LF70" s="221"/>
      <c r="LG70" s="221"/>
      <c r="LH70" s="221"/>
      <c r="LI70" s="221"/>
      <c r="LJ70" s="221"/>
      <c r="LK70" s="221"/>
      <c r="LL70" s="221"/>
      <c r="LM70" s="221"/>
      <c r="LN70" s="221"/>
      <c r="LO70" s="221"/>
      <c r="LP70" s="221"/>
      <c r="LQ70" s="221"/>
      <c r="LR70" s="221"/>
      <c r="LS70" s="221"/>
      <c r="LT70" s="221"/>
      <c r="LU70" s="221"/>
      <c r="LV70" s="221"/>
      <c r="LW70" s="221"/>
      <c r="LX70" s="221"/>
      <c r="LY70" s="221"/>
      <c r="LZ70" s="221"/>
      <c r="MA70" s="221"/>
      <c r="MB70" s="221"/>
      <c r="MC70" s="221"/>
      <c r="MD70" s="221"/>
      <c r="ME70" s="221"/>
      <c r="MF70" s="221"/>
      <c r="MG70" s="221"/>
      <c r="MH70" s="221"/>
      <c r="MI70" s="221"/>
      <c r="MJ70" s="221"/>
      <c r="MK70" s="221"/>
      <c r="ML70" s="221"/>
      <c r="MM70" s="221"/>
      <c r="MN70" s="221"/>
      <c r="MO70" s="221"/>
      <c r="MP70" s="221"/>
      <c r="MQ70" s="221"/>
      <c r="MR70" s="221"/>
      <c r="MS70" s="221"/>
      <c r="MT70" s="221"/>
      <c r="MU70" s="221"/>
      <c r="MV70" s="221"/>
      <c r="MW70" s="221"/>
      <c r="MX70" s="221"/>
      <c r="MY70" s="221"/>
      <c r="MZ70" s="221"/>
      <c r="NA70" s="221"/>
      <c r="NB70" s="221"/>
      <c r="NC70" s="221"/>
      <c r="ND70" s="221"/>
      <c r="NE70" s="221"/>
      <c r="NF70" s="221"/>
      <c r="NG70" s="221"/>
      <c r="NH70" s="221"/>
      <c r="NI70" s="221"/>
      <c r="NJ70" s="221"/>
      <c r="NK70" s="221"/>
      <c r="NL70" s="195"/>
      <c r="NM70" s="195">
        <f t="shared" si="166"/>
        <v>0</v>
      </c>
      <c r="NN70" s="195">
        <f t="shared" si="167"/>
        <v>0</v>
      </c>
      <c r="NO70" s="195">
        <f t="shared" si="168"/>
        <v>0</v>
      </c>
      <c r="NP70" s="195">
        <f t="shared" si="169"/>
        <v>0</v>
      </c>
      <c r="NQ70" s="195">
        <f t="shared" si="170"/>
        <v>0</v>
      </c>
      <c r="NR70" s="195">
        <f t="shared" si="171"/>
        <v>0</v>
      </c>
      <c r="NS70" s="195">
        <f t="shared" si="172"/>
        <v>0</v>
      </c>
      <c r="NT70" s="195">
        <f t="shared" si="173"/>
        <v>0</v>
      </c>
      <c r="NU70" s="196">
        <f t="shared" si="174"/>
        <v>0</v>
      </c>
      <c r="NV70" s="195"/>
      <c r="NW70" s="195"/>
      <c r="NX70" s="195"/>
      <c r="NY70" s="196">
        <f t="shared" si="232"/>
        <v>1</v>
      </c>
      <c r="NZ70" s="222">
        <f>218162700/27</f>
        <v>8080100</v>
      </c>
      <c r="OA70" s="195"/>
      <c r="OB70" s="195"/>
      <c r="OC70" s="195"/>
      <c r="OD70" s="195"/>
      <c r="OE70" s="207">
        <f t="shared" si="233"/>
        <v>0</v>
      </c>
      <c r="OF70" s="207">
        <f t="shared" si="234"/>
        <v>0</v>
      </c>
      <c r="OG70" s="207">
        <f t="shared" si="235"/>
        <v>0</v>
      </c>
      <c r="OH70" s="207">
        <f t="shared" si="175"/>
        <v>0</v>
      </c>
      <c r="OI70" s="207">
        <f t="shared" si="236"/>
        <v>0</v>
      </c>
      <c r="OJ70" s="199">
        <f t="shared" si="176"/>
        <v>0</v>
      </c>
      <c r="OK70" s="199">
        <f t="shared" si="177"/>
        <v>0</v>
      </c>
      <c r="OL70" s="199">
        <f t="shared" si="178"/>
        <v>0</v>
      </c>
      <c r="OM70" s="199">
        <f t="shared" si="179"/>
        <v>0</v>
      </c>
      <c r="ON70" s="195"/>
      <c r="OO70" s="207">
        <f t="shared" si="237"/>
        <v>0</v>
      </c>
      <c r="OP70" s="207">
        <f t="shared" si="238"/>
        <v>0</v>
      </c>
      <c r="OQ70" s="207">
        <f t="shared" si="180"/>
        <v>0</v>
      </c>
      <c r="OR70" s="207">
        <f t="shared" si="181"/>
        <v>0</v>
      </c>
      <c r="OS70" s="207">
        <f t="shared" si="182"/>
        <v>0</v>
      </c>
      <c r="OT70" s="199">
        <f t="shared" si="183"/>
        <v>0</v>
      </c>
      <c r="OU70" s="199">
        <f t="shared" si="184"/>
        <v>0</v>
      </c>
      <c r="OV70" s="199">
        <f t="shared" si="185"/>
        <v>0</v>
      </c>
      <c r="OW70" s="199">
        <f t="shared" si="186"/>
        <v>0</v>
      </c>
      <c r="OX70" s="195"/>
      <c r="OY70" s="195"/>
      <c r="OZ70" s="195"/>
      <c r="PA70" s="209"/>
      <c r="PB70" s="209"/>
      <c r="PC70" s="209"/>
      <c r="PD70" s="210">
        <f t="shared" si="113"/>
        <v>0</v>
      </c>
      <c r="PE70" s="210"/>
      <c r="PF70" s="210">
        <f t="shared" si="114"/>
        <v>0</v>
      </c>
      <c r="PG70" s="210">
        <f t="shared" si="302"/>
        <v>0</v>
      </c>
      <c r="PH70" s="210">
        <f t="shared" si="302"/>
        <v>0</v>
      </c>
      <c r="PI70" s="210">
        <f t="shared" si="302"/>
        <v>0</v>
      </c>
      <c r="PJ70" s="210">
        <f t="shared" si="300"/>
        <v>0</v>
      </c>
      <c r="PK70" s="210">
        <f t="shared" si="300"/>
        <v>0</v>
      </c>
      <c r="PL70" s="210">
        <f t="shared" si="300"/>
        <v>0</v>
      </c>
      <c r="PM70" s="195"/>
      <c r="PN70" s="195"/>
      <c r="PO70" s="212">
        <f t="shared" si="187"/>
        <v>0</v>
      </c>
      <c r="PP70" s="212">
        <f t="shared" si="188"/>
        <v>0</v>
      </c>
      <c r="PQ70" s="212">
        <f t="shared" si="189"/>
        <v>0</v>
      </c>
    </row>
    <row r="71" spans="1:433 16383:16384" ht="16" x14ac:dyDescent="0.2">
      <c r="A71" s="213">
        <f t="shared" si="190"/>
        <v>62</v>
      </c>
      <c r="B71" s="186" t="s">
        <v>136</v>
      </c>
      <c r="C71" s="186">
        <v>64</v>
      </c>
      <c r="D71" s="188">
        <v>1</v>
      </c>
      <c r="E71" s="188">
        <v>68</v>
      </c>
      <c r="F71" s="188">
        <v>1</v>
      </c>
      <c r="G71" s="188">
        <f t="shared" si="239"/>
        <v>68</v>
      </c>
      <c r="H71" s="214">
        <f t="shared" si="203"/>
        <v>1</v>
      </c>
      <c r="I71" s="214">
        <f t="shared" si="204"/>
        <v>1</v>
      </c>
      <c r="J71" s="188">
        <v>1</v>
      </c>
      <c r="K71" s="188">
        <f t="shared" si="205"/>
        <v>68</v>
      </c>
      <c r="L71" s="214">
        <f t="shared" si="206"/>
        <v>1</v>
      </c>
      <c r="M71" s="214">
        <f t="shared" si="207"/>
        <v>1</v>
      </c>
      <c r="N71" s="188">
        <v>1</v>
      </c>
      <c r="O71" s="188">
        <f t="shared" si="208"/>
        <v>68</v>
      </c>
      <c r="P71" s="214">
        <f t="shared" si="209"/>
        <v>1</v>
      </c>
      <c r="Q71" s="214">
        <f t="shared" si="210"/>
        <v>1</v>
      </c>
      <c r="R71" s="188">
        <v>1</v>
      </c>
      <c r="S71" s="188">
        <f t="shared" si="211"/>
        <v>68</v>
      </c>
      <c r="T71" s="214">
        <f t="shared" si="212"/>
        <v>1</v>
      </c>
      <c r="U71" s="214">
        <f t="shared" si="213"/>
        <v>1</v>
      </c>
      <c r="V71" s="188">
        <v>1</v>
      </c>
      <c r="W71" s="188">
        <f t="shared" si="214"/>
        <v>68</v>
      </c>
      <c r="X71" s="214">
        <f t="shared" si="215"/>
        <v>1</v>
      </c>
      <c r="Y71" s="214">
        <f t="shared" si="216"/>
        <v>1</v>
      </c>
      <c r="Z71" s="224">
        <f>1191532000/1000000000</f>
        <v>1.191532</v>
      </c>
      <c r="AA71" s="188"/>
      <c r="AB71" s="189">
        <f t="shared" si="120"/>
        <v>0</v>
      </c>
      <c r="AC71" s="250">
        <f t="shared" si="121"/>
        <v>0</v>
      </c>
      <c r="AD71" s="250">
        <f t="shared" si="122"/>
        <v>0</v>
      </c>
      <c r="AE71" s="188"/>
      <c r="AF71" s="188">
        <f t="shared" si="217"/>
        <v>0</v>
      </c>
      <c r="AG71" s="187"/>
      <c r="AH71" s="187"/>
      <c r="AI71" s="188">
        <v>0</v>
      </c>
      <c r="AJ71" s="188">
        <f t="shared" si="218"/>
        <v>0</v>
      </c>
      <c r="AK71" s="188"/>
      <c r="AL71" s="188">
        <v>0</v>
      </c>
      <c r="AM71" s="188">
        <v>0</v>
      </c>
      <c r="AN71" s="217"/>
      <c r="AO71" s="196">
        <f t="shared" si="123"/>
        <v>0</v>
      </c>
      <c r="AP71" s="195"/>
      <c r="AQ71" s="195"/>
      <c r="AR71" s="195"/>
      <c r="AS71" s="195"/>
      <c r="AT71" s="195"/>
      <c r="AU71" s="195"/>
      <c r="AV71" s="195"/>
      <c r="AW71" s="195"/>
      <c r="AX71" s="195"/>
      <c r="AY71" s="195"/>
      <c r="AZ71" s="195"/>
      <c r="BA71" s="195"/>
      <c r="BB71" s="188">
        <f t="shared" si="219"/>
        <v>0</v>
      </c>
      <c r="BC71" s="195"/>
      <c r="BD71" s="196"/>
      <c r="BE71" s="188">
        <f t="shared" si="220"/>
        <v>0</v>
      </c>
      <c r="BF71" s="188">
        <f t="shared" si="221"/>
        <v>0</v>
      </c>
      <c r="BG71" s="188">
        <f t="shared" si="222"/>
        <v>0</v>
      </c>
      <c r="BH71" s="188">
        <f t="shared" si="223"/>
        <v>0</v>
      </c>
      <c r="BI71" s="188">
        <f t="shared" si="224"/>
        <v>0</v>
      </c>
      <c r="BJ71" s="188">
        <f t="shared" si="225"/>
        <v>0</v>
      </c>
      <c r="BK71" s="188">
        <f t="shared" si="124"/>
        <v>0</v>
      </c>
      <c r="BL71" s="195"/>
      <c r="BM71" s="195"/>
      <c r="BN71" s="277">
        <v>43</v>
      </c>
      <c r="BO71" s="139">
        <v>1</v>
      </c>
      <c r="BP71" s="188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95"/>
      <c r="CB71" s="188">
        <v>0</v>
      </c>
      <c r="CC71" s="195"/>
      <c r="CD71" s="189">
        <f t="shared" si="125"/>
        <v>43</v>
      </c>
      <c r="CE71" s="189">
        <f t="shared" si="191"/>
        <v>43</v>
      </c>
      <c r="CF71" s="189">
        <f t="shared" si="126"/>
        <v>0</v>
      </c>
      <c r="CG71" s="189">
        <f t="shared" si="127"/>
        <v>0</v>
      </c>
      <c r="CH71" s="189">
        <f t="shared" si="128"/>
        <v>0</v>
      </c>
      <c r="CI71" s="189">
        <f t="shared" si="129"/>
        <v>0</v>
      </c>
      <c r="CJ71" s="189">
        <f t="shared" si="130"/>
        <v>0</v>
      </c>
      <c r="CK71" s="189">
        <f t="shared" si="131"/>
        <v>0</v>
      </c>
      <c r="CL71" s="189">
        <f t="shared" si="132"/>
        <v>0</v>
      </c>
      <c r="CM71" s="189">
        <f t="shared" si="133"/>
        <v>0</v>
      </c>
      <c r="CN71" s="189">
        <f t="shared" si="134"/>
        <v>0</v>
      </c>
      <c r="CO71" s="189">
        <f t="shared" si="135"/>
        <v>0</v>
      </c>
      <c r="CP71" s="189">
        <f t="shared" si="136"/>
        <v>0</v>
      </c>
      <c r="CQ71" s="195"/>
      <c r="CR71" s="195"/>
      <c r="CS71" s="195"/>
      <c r="CT71" s="195"/>
      <c r="CU71" s="195"/>
      <c r="CV71" s="195"/>
      <c r="CW71" s="195"/>
      <c r="CX71" s="195"/>
      <c r="CY71" s="195"/>
      <c r="CZ71" s="195"/>
      <c r="DA71" s="195"/>
      <c r="DB71" s="195"/>
      <c r="DC71" s="195"/>
      <c r="DD71" s="195"/>
      <c r="DE71" s="195"/>
      <c r="DF71" s="195"/>
      <c r="DG71" s="195"/>
      <c r="DH71" s="195"/>
      <c r="DI71" s="195"/>
      <c r="DJ71" s="195"/>
      <c r="DK71" s="195"/>
      <c r="DL71" s="195"/>
      <c r="DM71" s="195"/>
      <c r="DN71" s="195"/>
      <c r="DO71" s="195"/>
      <c r="DP71" s="195"/>
      <c r="DQ71" s="195"/>
      <c r="DR71" s="195"/>
      <c r="DS71" s="195"/>
      <c r="DT71" s="195"/>
      <c r="DU71" s="195"/>
      <c r="DV71" s="189">
        <f t="shared" si="226"/>
        <v>0</v>
      </c>
      <c r="DW71" s="189">
        <f t="shared" si="227"/>
        <v>0</v>
      </c>
      <c r="DX71" s="189">
        <f t="shared" si="228"/>
        <v>0</v>
      </c>
      <c r="DY71" s="189">
        <f t="shared" si="229"/>
        <v>0</v>
      </c>
      <c r="DZ71" s="189">
        <f t="shared" si="230"/>
        <v>0</v>
      </c>
      <c r="EA71" s="189">
        <f t="shared" si="231"/>
        <v>0</v>
      </c>
      <c r="EB71" s="189">
        <f t="shared" si="137"/>
        <v>0</v>
      </c>
      <c r="EC71" s="195"/>
      <c r="ED71" s="195"/>
      <c r="EE71" s="195"/>
      <c r="EF71" s="195"/>
      <c r="EG71" s="252">
        <f t="shared" si="138"/>
        <v>0</v>
      </c>
      <c r="EH71" s="252">
        <f t="shared" si="139"/>
        <v>0</v>
      </c>
      <c r="EI71" s="189"/>
      <c r="EJ71" s="189"/>
      <c r="EK71" s="189"/>
      <c r="EL71" s="189"/>
      <c r="EM71" s="189"/>
      <c r="EN71" s="189"/>
      <c r="EO71" s="189"/>
      <c r="EP71" s="189"/>
      <c r="EQ71" s="189"/>
      <c r="ER71" s="189"/>
      <c r="ES71" s="189"/>
      <c r="ET71" s="189"/>
      <c r="EU71" s="189"/>
      <c r="EV71" s="189"/>
      <c r="EW71" s="189"/>
      <c r="EX71" s="189"/>
      <c r="EY71" s="189"/>
      <c r="EZ71" s="189"/>
      <c r="FA71" s="189"/>
      <c r="FB71" s="189"/>
      <c r="FC71" s="189"/>
      <c r="FD71" s="189"/>
      <c r="FE71" s="189"/>
      <c r="FF71" s="189"/>
      <c r="FG71" s="195"/>
      <c r="FH71" s="189"/>
      <c r="FI71" s="189"/>
      <c r="FJ71" s="189"/>
      <c r="FK71" s="189"/>
      <c r="FL71" s="189"/>
      <c r="FM71" s="189"/>
      <c r="FN71" s="189"/>
      <c r="FO71" s="189"/>
      <c r="FP71" s="189"/>
      <c r="FQ71" s="189"/>
      <c r="FR71" s="189"/>
      <c r="FS71" s="189"/>
      <c r="FT71" s="189"/>
      <c r="FU71" s="189"/>
      <c r="FV71" s="189"/>
      <c r="FW71" s="195"/>
      <c r="FX71" s="253">
        <v>1</v>
      </c>
      <c r="FY71" s="189">
        <f t="shared" si="140"/>
        <v>43</v>
      </c>
      <c r="FZ71" s="189">
        <f t="shared" si="324"/>
        <v>43</v>
      </c>
      <c r="GA71" s="189">
        <f t="shared" si="325"/>
        <v>0</v>
      </c>
      <c r="GB71" s="189">
        <f t="shared" si="326"/>
        <v>0</v>
      </c>
      <c r="GC71" s="189">
        <f t="shared" si="327"/>
        <v>0</v>
      </c>
      <c r="GD71" s="189">
        <f t="shared" si="328"/>
        <v>0</v>
      </c>
      <c r="GE71" s="189">
        <f t="shared" si="329"/>
        <v>0</v>
      </c>
      <c r="GF71" s="199"/>
      <c r="GG71" s="189">
        <v>0</v>
      </c>
      <c r="GH71" s="189">
        <v>0</v>
      </c>
      <c r="GI71" s="199"/>
      <c r="GJ71" s="200">
        <f t="shared" si="141"/>
        <v>0</v>
      </c>
      <c r="GK71" s="200">
        <f t="shared" si="142"/>
        <v>0</v>
      </c>
      <c r="GL71" s="195"/>
      <c r="GM71" s="195"/>
      <c r="GN71" s="195"/>
      <c r="GO71" s="189">
        <f t="shared" si="246"/>
        <v>0</v>
      </c>
      <c r="GP71" s="189">
        <f t="shared" si="247"/>
        <v>0</v>
      </c>
      <c r="GQ71" s="189">
        <f t="shared" si="248"/>
        <v>0</v>
      </c>
      <c r="GR71" s="189">
        <f t="shared" si="249"/>
        <v>0</v>
      </c>
      <c r="GS71" s="189">
        <f t="shared" si="250"/>
        <v>0</v>
      </c>
      <c r="GT71" s="189">
        <f t="shared" si="143"/>
        <v>1</v>
      </c>
      <c r="GU71" s="201">
        <f t="shared" si="144"/>
        <v>43243</v>
      </c>
      <c r="GV71" s="189" t="str">
        <f t="shared" si="145"/>
        <v>SELESAI</v>
      </c>
      <c r="GW71" s="189">
        <f t="shared" si="146"/>
        <v>0</v>
      </c>
      <c r="GX71" s="202" t="str">
        <f t="shared" si="147"/>
        <v>SELESAI</v>
      </c>
      <c r="GY71" s="202">
        <f t="shared" si="148"/>
        <v>0</v>
      </c>
      <c r="GZ71" s="203" t="str">
        <f t="shared" si="149"/>
        <v>SELESAI</v>
      </c>
      <c r="HA71" s="204"/>
      <c r="HB71" s="204"/>
      <c r="HC71" s="189">
        <f t="shared" si="251"/>
        <v>0</v>
      </c>
      <c r="HD71" s="189">
        <f t="shared" si="252"/>
        <v>0</v>
      </c>
      <c r="HE71" s="189">
        <f t="shared" si="150"/>
        <v>0</v>
      </c>
      <c r="HF71" s="189">
        <f t="shared" si="151"/>
        <v>0</v>
      </c>
      <c r="HG71" s="189">
        <f t="shared" si="152"/>
        <v>0</v>
      </c>
      <c r="HH71" s="201" t="str">
        <f t="shared" si="46"/>
        <v>TIDAK KONSINYASI</v>
      </c>
      <c r="HI71" s="201" t="str">
        <f t="shared" si="153"/>
        <v>SELESAI</v>
      </c>
      <c r="HJ71" s="205"/>
      <c r="HK71" s="201">
        <f t="shared" si="47"/>
        <v>0</v>
      </c>
      <c r="HL71" s="204"/>
      <c r="HM71" s="204"/>
      <c r="HN71" s="204"/>
      <c r="HO71" s="204"/>
      <c r="HP71" s="203">
        <f t="shared" si="154"/>
        <v>0</v>
      </c>
      <c r="HQ71" s="202">
        <f t="shared" si="155"/>
        <v>0</v>
      </c>
      <c r="HR71" s="202">
        <f t="shared" si="253"/>
        <v>0</v>
      </c>
      <c r="HS71" s="203">
        <f t="shared" si="156"/>
        <v>0</v>
      </c>
      <c r="HT71" s="202">
        <f t="shared" si="157"/>
        <v>0</v>
      </c>
      <c r="HU71" s="202">
        <f t="shared" si="254"/>
        <v>0</v>
      </c>
      <c r="HV71" s="203">
        <f t="shared" si="158"/>
        <v>0</v>
      </c>
      <c r="HW71" s="202">
        <f t="shared" si="50"/>
        <v>0</v>
      </c>
      <c r="HX71" s="202">
        <f t="shared" si="255"/>
        <v>0</v>
      </c>
      <c r="HY71" s="203">
        <f t="shared" si="52"/>
        <v>0</v>
      </c>
      <c r="HZ71" s="202">
        <f t="shared" si="159"/>
        <v>0</v>
      </c>
      <c r="IA71" s="202">
        <f t="shared" si="256"/>
        <v>0</v>
      </c>
      <c r="IB71" s="203">
        <f t="shared" si="160"/>
        <v>0</v>
      </c>
      <c r="IC71" s="202">
        <f t="shared" si="54"/>
        <v>0</v>
      </c>
      <c r="ID71" s="202">
        <f t="shared" si="257"/>
        <v>0</v>
      </c>
      <c r="IE71" s="203">
        <f t="shared" si="56"/>
        <v>0</v>
      </c>
      <c r="IF71" s="202">
        <f t="shared" si="57"/>
        <v>0</v>
      </c>
      <c r="IG71" s="202">
        <f t="shared" si="258"/>
        <v>0</v>
      </c>
      <c r="IH71" s="203">
        <f t="shared" si="161"/>
        <v>0</v>
      </c>
      <c r="II71" s="202">
        <f t="shared" si="162"/>
        <v>0</v>
      </c>
      <c r="IJ71" s="202">
        <f t="shared" si="259"/>
        <v>0</v>
      </c>
      <c r="IK71" s="203">
        <f t="shared" si="60"/>
        <v>0</v>
      </c>
      <c r="IL71" s="202">
        <f t="shared" si="61"/>
        <v>0</v>
      </c>
      <c r="IM71" s="202">
        <f t="shared" si="260"/>
        <v>0</v>
      </c>
      <c r="IN71" s="204"/>
      <c r="IO71" s="203">
        <f t="shared" si="63"/>
        <v>0</v>
      </c>
      <c r="IP71" s="202">
        <f t="shared" si="261"/>
        <v>0</v>
      </c>
      <c r="IQ71" s="202">
        <f t="shared" si="262"/>
        <v>0</v>
      </c>
      <c r="IR71" s="204"/>
      <c r="IS71" s="203"/>
      <c r="IT71" s="202">
        <f t="shared" si="263"/>
        <v>1</v>
      </c>
      <c r="IU71" s="202">
        <f t="shared" si="264"/>
        <v>68</v>
      </c>
      <c r="IV71" s="204"/>
      <c r="IW71" s="203"/>
      <c r="IX71" s="202">
        <f t="shared" si="265"/>
        <v>0</v>
      </c>
      <c r="IY71" s="202">
        <f t="shared" si="266"/>
        <v>0</v>
      </c>
      <c r="IZ71" s="204"/>
      <c r="JA71" s="203"/>
      <c r="JB71" s="202">
        <f t="shared" si="267"/>
        <v>0</v>
      </c>
      <c r="JC71" s="202">
        <f t="shared" si="268"/>
        <v>0</v>
      </c>
      <c r="JD71" s="204"/>
      <c r="JE71" s="203"/>
      <c r="JF71" s="202">
        <f t="shared" si="163"/>
        <v>1</v>
      </c>
      <c r="JG71" s="202">
        <f t="shared" si="72"/>
        <v>68</v>
      </c>
      <c r="JH71" s="204"/>
      <c r="JI71" s="203"/>
      <c r="JJ71" s="202">
        <f t="shared" si="269"/>
        <v>0</v>
      </c>
      <c r="JK71" s="202">
        <f t="shared" si="270"/>
        <v>0</v>
      </c>
      <c r="JL71" s="195"/>
      <c r="JM71" s="203">
        <f t="shared" si="164"/>
        <v>0</v>
      </c>
      <c r="JN71" s="195"/>
      <c r="JO71" s="196">
        <f t="shared" si="75"/>
        <v>1</v>
      </c>
      <c r="JP71" s="206">
        <f t="shared" si="271"/>
        <v>43</v>
      </c>
      <c r="JQ71" s="206">
        <f t="shared" si="272"/>
        <v>1</v>
      </c>
      <c r="JR71" s="206">
        <f t="shared" si="273"/>
        <v>0</v>
      </c>
      <c r="JS71" s="206">
        <f t="shared" si="274"/>
        <v>0</v>
      </c>
      <c r="JT71" s="206">
        <f t="shared" si="275"/>
        <v>0</v>
      </c>
      <c r="JU71" s="206">
        <f t="shared" si="276"/>
        <v>0</v>
      </c>
      <c r="JV71" s="206">
        <f t="shared" si="277"/>
        <v>0</v>
      </c>
      <c r="JW71" s="206">
        <f t="shared" si="278"/>
        <v>0</v>
      </c>
      <c r="JX71" s="206">
        <f t="shared" si="279"/>
        <v>0</v>
      </c>
      <c r="JY71" s="206">
        <f t="shared" si="280"/>
        <v>0</v>
      </c>
      <c r="JZ71" s="206">
        <f t="shared" si="281"/>
        <v>0</v>
      </c>
      <c r="KA71" s="206">
        <f t="shared" si="282"/>
        <v>0</v>
      </c>
      <c r="KB71" s="206">
        <f t="shared" si="283"/>
        <v>0</v>
      </c>
      <c r="KC71" s="195"/>
      <c r="KD71" s="206">
        <f t="shared" si="165"/>
        <v>0</v>
      </c>
      <c r="KE71" s="206">
        <f t="shared" si="90"/>
        <v>0</v>
      </c>
      <c r="KF71" s="206">
        <f t="shared" si="284"/>
        <v>43</v>
      </c>
      <c r="KG71" s="206">
        <f t="shared" si="285"/>
        <v>43</v>
      </c>
      <c r="KH71" s="206">
        <f t="shared" si="286"/>
        <v>0</v>
      </c>
      <c r="KI71" s="206">
        <f t="shared" si="287"/>
        <v>0</v>
      </c>
      <c r="KJ71" s="206">
        <f t="shared" si="288"/>
        <v>0</v>
      </c>
      <c r="KK71" s="206">
        <f t="shared" si="289"/>
        <v>0</v>
      </c>
      <c r="KL71" s="206">
        <f t="shared" si="290"/>
        <v>0</v>
      </c>
      <c r="KM71" s="206">
        <f t="shared" si="291"/>
        <v>0</v>
      </c>
      <c r="KN71" s="221">
        <f t="shared" si="292"/>
        <v>0</v>
      </c>
      <c r="KO71" s="221">
        <f t="shared" si="293"/>
        <v>0</v>
      </c>
      <c r="KP71" s="221">
        <f t="shared" si="294"/>
        <v>0</v>
      </c>
      <c r="KQ71" s="221">
        <f t="shared" si="295"/>
        <v>0</v>
      </c>
      <c r="KR71" s="221">
        <f t="shared" si="296"/>
        <v>0</v>
      </c>
      <c r="KS71" s="195"/>
      <c r="KT71" s="195">
        <f t="shared" si="297"/>
        <v>0</v>
      </c>
      <c r="KU71" s="221"/>
      <c r="KV71" s="221"/>
      <c r="KW71" s="221"/>
      <c r="KX71" s="221"/>
      <c r="KY71" s="221"/>
      <c r="KZ71" s="221"/>
      <c r="LA71" s="221"/>
      <c r="LB71" s="221"/>
      <c r="LC71" s="221"/>
      <c r="LD71" s="221"/>
      <c r="LE71" s="221"/>
      <c r="LF71" s="221"/>
      <c r="LG71" s="221"/>
      <c r="LH71" s="221"/>
      <c r="LI71" s="221"/>
      <c r="LJ71" s="221"/>
      <c r="LK71" s="221"/>
      <c r="LL71" s="221"/>
      <c r="LM71" s="221"/>
      <c r="LN71" s="221"/>
      <c r="LO71" s="221"/>
      <c r="LP71" s="221"/>
      <c r="LQ71" s="221"/>
      <c r="LR71" s="221"/>
      <c r="LS71" s="221"/>
      <c r="LT71" s="221"/>
      <c r="LU71" s="221"/>
      <c r="LV71" s="221"/>
      <c r="LW71" s="221"/>
      <c r="LX71" s="221"/>
      <c r="LY71" s="221"/>
      <c r="LZ71" s="221"/>
      <c r="MA71" s="221"/>
      <c r="MB71" s="221"/>
      <c r="MC71" s="221"/>
      <c r="MD71" s="221"/>
      <c r="ME71" s="221"/>
      <c r="MF71" s="221"/>
      <c r="MG71" s="221"/>
      <c r="MH71" s="221"/>
      <c r="MI71" s="221"/>
      <c r="MJ71" s="221"/>
      <c r="MK71" s="221"/>
      <c r="ML71" s="221"/>
      <c r="MM71" s="221"/>
      <c r="MN71" s="221"/>
      <c r="MO71" s="221"/>
      <c r="MP71" s="221"/>
      <c r="MQ71" s="221"/>
      <c r="MR71" s="221"/>
      <c r="MS71" s="221"/>
      <c r="MT71" s="221"/>
      <c r="MU71" s="221"/>
      <c r="MV71" s="221"/>
      <c r="MW71" s="221"/>
      <c r="MX71" s="221"/>
      <c r="MY71" s="221"/>
      <c r="MZ71" s="221"/>
      <c r="NA71" s="221"/>
      <c r="NB71" s="221"/>
      <c r="NC71" s="221"/>
      <c r="ND71" s="221"/>
      <c r="NE71" s="221"/>
      <c r="NF71" s="221"/>
      <c r="NG71" s="221"/>
      <c r="NH71" s="221"/>
      <c r="NI71" s="221"/>
      <c r="NJ71" s="221"/>
      <c r="NK71" s="221"/>
      <c r="NL71" s="195"/>
      <c r="NM71" s="195">
        <f t="shared" si="166"/>
        <v>0</v>
      </c>
      <c r="NN71" s="195">
        <f t="shared" si="167"/>
        <v>0</v>
      </c>
      <c r="NO71" s="195">
        <f t="shared" si="168"/>
        <v>0</v>
      </c>
      <c r="NP71" s="195">
        <f t="shared" si="169"/>
        <v>0</v>
      </c>
      <c r="NQ71" s="195">
        <f t="shared" si="170"/>
        <v>0</v>
      </c>
      <c r="NR71" s="195">
        <f t="shared" si="171"/>
        <v>0</v>
      </c>
      <c r="NS71" s="195">
        <f t="shared" si="172"/>
        <v>0</v>
      </c>
      <c r="NT71" s="195">
        <f t="shared" si="173"/>
        <v>0</v>
      </c>
      <c r="NU71" s="196">
        <f t="shared" si="174"/>
        <v>0</v>
      </c>
      <c r="NV71" s="195"/>
      <c r="NW71" s="195"/>
      <c r="NX71" s="195"/>
      <c r="NY71" s="196">
        <f t="shared" si="232"/>
        <v>1</v>
      </c>
      <c r="NZ71" s="222">
        <f>202002500/25</f>
        <v>8080100</v>
      </c>
      <c r="OA71" s="195"/>
      <c r="OB71" s="195"/>
      <c r="OC71" s="195"/>
      <c r="OD71" s="195"/>
      <c r="OE71" s="207">
        <f t="shared" si="233"/>
        <v>0</v>
      </c>
      <c r="OF71" s="207">
        <f t="shared" si="234"/>
        <v>0</v>
      </c>
      <c r="OG71" s="207">
        <f t="shared" si="235"/>
        <v>0</v>
      </c>
      <c r="OH71" s="207">
        <f t="shared" si="175"/>
        <v>0</v>
      </c>
      <c r="OI71" s="207">
        <f t="shared" si="236"/>
        <v>0</v>
      </c>
      <c r="OJ71" s="199">
        <f t="shared" si="176"/>
        <v>0</v>
      </c>
      <c r="OK71" s="199">
        <f t="shared" si="177"/>
        <v>0</v>
      </c>
      <c r="OL71" s="199">
        <f t="shared" si="178"/>
        <v>0</v>
      </c>
      <c r="OM71" s="199">
        <f t="shared" si="179"/>
        <v>0</v>
      </c>
      <c r="ON71" s="195"/>
      <c r="OO71" s="207">
        <f t="shared" si="237"/>
        <v>0</v>
      </c>
      <c r="OP71" s="207">
        <f t="shared" si="238"/>
        <v>0</v>
      </c>
      <c r="OQ71" s="207">
        <f t="shared" si="180"/>
        <v>0</v>
      </c>
      <c r="OR71" s="207">
        <f t="shared" si="181"/>
        <v>0</v>
      </c>
      <c r="OS71" s="207">
        <f t="shared" si="182"/>
        <v>0</v>
      </c>
      <c r="OT71" s="199">
        <f t="shared" si="183"/>
        <v>0</v>
      </c>
      <c r="OU71" s="199">
        <f t="shared" si="184"/>
        <v>0</v>
      </c>
      <c r="OV71" s="199">
        <f t="shared" si="185"/>
        <v>0</v>
      </c>
      <c r="OW71" s="199">
        <f t="shared" si="186"/>
        <v>0</v>
      </c>
      <c r="OX71" s="195"/>
      <c r="OY71" s="195"/>
      <c r="OZ71" s="195"/>
      <c r="PA71" s="209"/>
      <c r="PB71" s="209"/>
      <c r="PC71" s="209"/>
      <c r="PD71" s="210">
        <f t="shared" si="113"/>
        <v>0</v>
      </c>
      <c r="PE71" s="210"/>
      <c r="PF71" s="210">
        <f t="shared" si="114"/>
        <v>0</v>
      </c>
      <c r="PG71" s="210">
        <f t="shared" si="302"/>
        <v>0</v>
      </c>
      <c r="PH71" s="210">
        <f t="shared" si="302"/>
        <v>0</v>
      </c>
      <c r="PI71" s="210">
        <f t="shared" si="302"/>
        <v>0</v>
      </c>
      <c r="PJ71" s="210">
        <f t="shared" si="300"/>
        <v>0</v>
      </c>
      <c r="PK71" s="210">
        <f t="shared" si="300"/>
        <v>0</v>
      </c>
      <c r="PL71" s="210">
        <f t="shared" si="300"/>
        <v>0</v>
      </c>
      <c r="PM71" s="195"/>
      <c r="PN71" s="195"/>
      <c r="PO71" s="212">
        <f t="shared" si="187"/>
        <v>0</v>
      </c>
      <c r="PP71" s="212">
        <f t="shared" si="188"/>
        <v>0</v>
      </c>
      <c r="PQ71" s="212">
        <f t="shared" si="189"/>
        <v>0</v>
      </c>
    </row>
    <row r="72" spans="1:433 16383:16384" ht="16" x14ac:dyDescent="0.2">
      <c r="A72" s="213">
        <f t="shared" si="190"/>
        <v>63</v>
      </c>
      <c r="B72" s="186" t="s">
        <v>616</v>
      </c>
      <c r="C72" s="186">
        <v>65</v>
      </c>
      <c r="D72" s="188">
        <v>1</v>
      </c>
      <c r="E72" s="188">
        <v>32</v>
      </c>
      <c r="F72" s="188">
        <v>1</v>
      </c>
      <c r="G72" s="188">
        <f t="shared" si="239"/>
        <v>32</v>
      </c>
      <c r="H72" s="214">
        <f t="shared" ref="H72:H82" si="360">F72/$D72</f>
        <v>1</v>
      </c>
      <c r="I72" s="214">
        <f t="shared" ref="I72:I82" si="361">G72/$E72</f>
        <v>1</v>
      </c>
      <c r="J72" s="188">
        <v>1</v>
      </c>
      <c r="K72" s="188">
        <f t="shared" ref="K72:K82" si="362">IF(J72=D72,E72,0)</f>
        <v>32</v>
      </c>
      <c r="L72" s="214">
        <f t="shared" ref="L72:L108" si="363">J72/$D72</f>
        <v>1</v>
      </c>
      <c r="M72" s="214">
        <f t="shared" ref="M72:M108" si="364">K72/$E72</f>
        <v>1</v>
      </c>
      <c r="N72" s="188">
        <v>1</v>
      </c>
      <c r="O72" s="188">
        <f t="shared" ref="O72:O82" si="365">IF(N72=D72,E72,0)</f>
        <v>32</v>
      </c>
      <c r="P72" s="214">
        <f t="shared" ref="P72:P108" si="366">N72/$D72</f>
        <v>1</v>
      </c>
      <c r="Q72" s="214">
        <f t="shared" ref="Q72:Q108" si="367">O72/$E72</f>
        <v>1</v>
      </c>
      <c r="R72" s="188">
        <v>1</v>
      </c>
      <c r="S72" s="188">
        <f t="shared" ref="S72:S82" si="368">IF(R72=D72,E72,0)</f>
        <v>32</v>
      </c>
      <c r="T72" s="214">
        <f t="shared" ref="T72:T82" si="369">R72/$D72</f>
        <v>1</v>
      </c>
      <c r="U72" s="214">
        <f t="shared" ref="U72:U82" si="370">S72/$E72</f>
        <v>1</v>
      </c>
      <c r="V72" s="188">
        <v>1</v>
      </c>
      <c r="W72" s="188">
        <f t="shared" ref="W72:W82" si="371">IF(V72=D72,E72,0)</f>
        <v>32</v>
      </c>
      <c r="X72" s="214">
        <f t="shared" ref="X72:X82" si="372">V72/$D72</f>
        <v>1</v>
      </c>
      <c r="Y72" s="214">
        <f t="shared" ref="Y72:Y82" si="373">W72/$E72</f>
        <v>1</v>
      </c>
      <c r="Z72" s="224">
        <f>781296000/1000000000</f>
        <v>0.78129599999999999</v>
      </c>
      <c r="AA72" s="188"/>
      <c r="AB72" s="189">
        <f t="shared" ref="AB72:AB82" si="374">IF(AA72=D72,E72,0)</f>
        <v>0</v>
      </c>
      <c r="AC72" s="250">
        <f t="shared" ref="AC72:AC82" si="375">AA72/$D72</f>
        <v>0</v>
      </c>
      <c r="AD72" s="250">
        <f t="shared" ref="AD72:AD82" si="376">AB72/$E72</f>
        <v>0</v>
      </c>
      <c r="AE72" s="188"/>
      <c r="AF72" s="188">
        <f t="shared" ref="AF72:AF82" si="377">R72-V72</f>
        <v>0</v>
      </c>
      <c r="AG72" s="187"/>
      <c r="AH72" s="187"/>
      <c r="AI72" s="188">
        <v>0</v>
      </c>
      <c r="AJ72" s="188">
        <f t="shared" ref="AJ72:AJ82" si="378">IF(AI72=D72,E72,0)</f>
        <v>0</v>
      </c>
      <c r="AK72" s="188"/>
      <c r="AL72" s="188">
        <v>0</v>
      </c>
      <c r="AM72" s="188">
        <v>0</v>
      </c>
      <c r="AN72" s="217"/>
      <c r="AO72" s="196">
        <f t="shared" si="123"/>
        <v>0</v>
      </c>
      <c r="AP72" s="195"/>
      <c r="AQ72" s="195"/>
      <c r="AR72" s="195"/>
      <c r="AS72" s="195"/>
      <c r="AT72" s="195"/>
      <c r="AU72" s="195"/>
      <c r="AV72" s="195"/>
      <c r="AW72" s="195"/>
      <c r="AX72" s="195"/>
      <c r="AY72" s="195"/>
      <c r="AZ72" s="195"/>
      <c r="BA72" s="195"/>
      <c r="BB72" s="188">
        <f t="shared" ref="BB72:BB82" si="379">IF(AN72=1,G72,0)</f>
        <v>0</v>
      </c>
      <c r="BC72" s="195"/>
      <c r="BD72" s="196"/>
      <c r="BE72" s="188">
        <f t="shared" ref="BE72:BE82" si="380">IF(AF72=1,S72,0)</f>
        <v>0</v>
      </c>
      <c r="BF72" s="188">
        <f t="shared" ref="BF72:BF82" si="381">IF(AG72="A",S72,0)</f>
        <v>0</v>
      </c>
      <c r="BG72" s="188">
        <f t="shared" ref="BG72:BG82" si="382">IF(AG72="B",S72,0)</f>
        <v>0</v>
      </c>
      <c r="BH72" s="188">
        <f t="shared" ref="BH72:BH82" si="383">IF(AG72="C",S72,0)</f>
        <v>0</v>
      </c>
      <c r="BI72" s="188">
        <f t="shared" ref="BI72:BI82" si="384">IF(AG72="D",S72,0)</f>
        <v>0</v>
      </c>
      <c r="BJ72" s="188">
        <f t="shared" ref="BJ72:BJ82" si="385">IF(AG72="E",S72,0)</f>
        <v>0</v>
      </c>
      <c r="BK72" s="188">
        <f t="shared" ref="BK72:BK82" si="386">SUM(BF72:BJ72)</f>
        <v>0</v>
      </c>
      <c r="BL72" s="195"/>
      <c r="BM72" s="195"/>
      <c r="BN72" s="277"/>
      <c r="BO72" s="139"/>
      <c r="BP72" s="188"/>
      <c r="BQ72" s="188"/>
      <c r="BR72" s="188"/>
      <c r="BS72" s="188"/>
      <c r="BT72" s="188"/>
      <c r="BU72" s="188"/>
      <c r="BV72" s="188"/>
      <c r="BW72" s="188"/>
      <c r="BX72" s="188"/>
      <c r="BY72" s="188"/>
      <c r="BZ72" s="188"/>
      <c r="CA72" s="195"/>
      <c r="CB72" s="188">
        <v>0</v>
      </c>
      <c r="CC72" s="195"/>
      <c r="CD72" s="189">
        <f t="shared" si="125"/>
        <v>0</v>
      </c>
      <c r="CE72" s="189">
        <f t="shared" si="191"/>
        <v>0</v>
      </c>
      <c r="CF72" s="189">
        <f t="shared" ref="CF72:CF82" si="387">IF(BP72=1,$CD72,0)</f>
        <v>0</v>
      </c>
      <c r="CG72" s="189">
        <f t="shared" ref="CG72:CG82" si="388">IF(BQ72=1,$CD72,0)</f>
        <v>0</v>
      </c>
      <c r="CH72" s="189">
        <f t="shared" ref="CH72:CH82" si="389">IF(BR72=1,$CD72,0)</f>
        <v>0</v>
      </c>
      <c r="CI72" s="189">
        <f t="shared" ref="CI72:CI82" si="390">IF(BS72=1,$CD72,0)</f>
        <v>0</v>
      </c>
      <c r="CJ72" s="189">
        <f t="shared" ref="CJ72:CJ82" si="391">IF(BT72=1,$CD72,0)</f>
        <v>0</v>
      </c>
      <c r="CK72" s="189">
        <f t="shared" ref="CK72:CK82" si="392">IF(BU72=1,$CD72,0)</f>
        <v>0</v>
      </c>
      <c r="CL72" s="189">
        <f t="shared" ref="CL72:CL82" si="393">IF(BV72=1,$CD72,0)</f>
        <v>0</v>
      </c>
      <c r="CM72" s="189">
        <f t="shared" ref="CM72:CM82" si="394">IF(BW72=1,$CD72,0)</f>
        <v>0</v>
      </c>
      <c r="CN72" s="189">
        <f t="shared" ref="CN72:CN82" si="395">IF(BX72=1,$CD72,0)</f>
        <v>0</v>
      </c>
      <c r="CO72" s="189">
        <f t="shared" ref="CO72:CO82" si="396">IF(BY72=1,$CD72,0)</f>
        <v>0</v>
      </c>
      <c r="CP72" s="189">
        <f t="shared" ref="CP72:CP82" si="397">IF(BZ72=1,$CD72,0)</f>
        <v>0</v>
      </c>
      <c r="CQ72" s="195"/>
      <c r="CR72" s="195"/>
      <c r="CS72" s="195"/>
      <c r="CT72" s="195"/>
      <c r="CU72" s="195"/>
      <c r="CV72" s="195"/>
      <c r="CW72" s="195"/>
      <c r="CX72" s="195"/>
      <c r="CY72" s="195"/>
      <c r="CZ72" s="195"/>
      <c r="DA72" s="195"/>
      <c r="DB72" s="195"/>
      <c r="DC72" s="195"/>
      <c r="DD72" s="195"/>
      <c r="DE72" s="195"/>
      <c r="DF72" s="195"/>
      <c r="DG72" s="195"/>
      <c r="DH72" s="195"/>
      <c r="DI72" s="195"/>
      <c r="DJ72" s="195"/>
      <c r="DK72" s="195"/>
      <c r="DL72" s="195"/>
      <c r="DM72" s="195"/>
      <c r="DN72" s="195"/>
      <c r="DO72" s="195"/>
      <c r="DP72" s="195"/>
      <c r="DQ72" s="195"/>
      <c r="DR72" s="195"/>
      <c r="DS72" s="195"/>
      <c r="DT72" s="195"/>
      <c r="DU72" s="195"/>
      <c r="DV72" s="189">
        <f t="shared" ref="DV72:DV82" si="398">IF(CB72=1,G72,0)</f>
        <v>0</v>
      </c>
      <c r="DW72" s="189">
        <f t="shared" ref="DW72:DW82" si="399">IF(CC72="A",G72,0)</f>
        <v>0</v>
      </c>
      <c r="DX72" s="189">
        <f t="shared" ref="DX72:DX82" si="400">IF(CC72="B",G72,0)</f>
        <v>0</v>
      </c>
      <c r="DY72" s="189">
        <f t="shared" ref="DY72:DY82" si="401">IF(CC72="C",G72,0)</f>
        <v>0</v>
      </c>
      <c r="DZ72" s="189">
        <f t="shared" ref="DZ72:DZ82" si="402">IF(CC72="D",G72,0)</f>
        <v>0</v>
      </c>
      <c r="EA72" s="189">
        <f t="shared" ref="EA72:EA82" si="403">IF(CC72="E",G72,0)</f>
        <v>0</v>
      </c>
      <c r="EB72" s="189">
        <f t="shared" ref="EB72:EB82" si="404">SUM(DW72:EA72)</f>
        <v>0</v>
      </c>
      <c r="EC72" s="195"/>
      <c r="ED72" s="195"/>
      <c r="EE72" s="195"/>
      <c r="EF72" s="195"/>
      <c r="EG72" s="252">
        <f t="shared" ref="EG72:EG82" si="405">IF(AG72="C","C",IF(AG72="D","D",0))</f>
        <v>0</v>
      </c>
      <c r="EH72" s="252">
        <f t="shared" ref="EH72:EH82" si="406">CC72</f>
        <v>0</v>
      </c>
      <c r="EI72" s="189"/>
      <c r="EJ72" s="189"/>
      <c r="EK72" s="189"/>
      <c r="EL72" s="189"/>
      <c r="EM72" s="189"/>
      <c r="EN72" s="189"/>
      <c r="EO72" s="189"/>
      <c r="EP72" s="189"/>
      <c r="EQ72" s="189"/>
      <c r="ER72" s="189"/>
      <c r="ES72" s="189"/>
      <c r="ET72" s="189"/>
      <c r="EU72" s="189"/>
      <c r="EV72" s="189"/>
      <c r="EW72" s="189"/>
      <c r="EX72" s="189"/>
      <c r="EY72" s="189"/>
      <c r="EZ72" s="189"/>
      <c r="FA72" s="189"/>
      <c r="FB72" s="189"/>
      <c r="FC72" s="189"/>
      <c r="FD72" s="189"/>
      <c r="FE72" s="189"/>
      <c r="FF72" s="189"/>
      <c r="FG72" s="195"/>
      <c r="FH72" s="189"/>
      <c r="FI72" s="189"/>
      <c r="FJ72" s="189"/>
      <c r="FK72" s="189"/>
      <c r="FL72" s="189"/>
      <c r="FM72" s="189"/>
      <c r="FN72" s="189"/>
      <c r="FO72" s="189"/>
      <c r="FP72" s="189"/>
      <c r="FQ72" s="189"/>
      <c r="FR72" s="189"/>
      <c r="FS72" s="189"/>
      <c r="FT72" s="189"/>
      <c r="FU72" s="189"/>
      <c r="FV72" s="189"/>
      <c r="FW72" s="195"/>
      <c r="FX72" s="253"/>
      <c r="FY72" s="189">
        <f t="shared" ref="FY72:FY82" si="407">SUM(FZ72:GE72)</f>
        <v>0</v>
      </c>
      <c r="FZ72" s="189">
        <f t="shared" si="324"/>
        <v>0</v>
      </c>
      <c r="GA72" s="189">
        <f t="shared" si="325"/>
        <v>0</v>
      </c>
      <c r="GB72" s="189">
        <f t="shared" si="326"/>
        <v>0</v>
      </c>
      <c r="GC72" s="189">
        <f t="shared" si="327"/>
        <v>0</v>
      </c>
      <c r="GD72" s="189">
        <f t="shared" si="328"/>
        <v>0</v>
      </c>
      <c r="GE72" s="189">
        <f t="shared" si="329"/>
        <v>0</v>
      </c>
      <c r="GF72" s="199"/>
      <c r="GG72" s="189">
        <v>0</v>
      </c>
      <c r="GH72" s="189">
        <v>0</v>
      </c>
      <c r="GI72" s="199"/>
      <c r="GJ72" s="200">
        <f t="shared" ref="GJ72:GJ82" si="408">FY72*GG72/1000000000</f>
        <v>0</v>
      </c>
      <c r="GK72" s="200">
        <f t="shared" ref="GK72:GK82" si="409">FY72*GH72/1000000000</f>
        <v>0</v>
      </c>
      <c r="GL72" s="195"/>
      <c r="GM72" s="195"/>
      <c r="GN72" s="195"/>
      <c r="GO72" s="189">
        <f t="shared" si="246"/>
        <v>0</v>
      </c>
      <c r="GP72" s="189">
        <f t="shared" si="247"/>
        <v>0</v>
      </c>
      <c r="GQ72" s="189">
        <f t="shared" si="248"/>
        <v>0</v>
      </c>
      <c r="GR72" s="189">
        <f t="shared" si="249"/>
        <v>0</v>
      </c>
      <c r="GS72" s="189">
        <f t="shared" si="250"/>
        <v>0</v>
      </c>
      <c r="GT72" s="189">
        <f t="shared" si="143"/>
        <v>1</v>
      </c>
      <c r="GU72" s="201">
        <f t="shared" si="144"/>
        <v>43243</v>
      </c>
      <c r="GV72" s="189" t="str">
        <f t="shared" si="145"/>
        <v>SELESAI</v>
      </c>
      <c r="GW72" s="189">
        <f t="shared" si="146"/>
        <v>0</v>
      </c>
      <c r="GX72" s="202" t="str">
        <f t="shared" si="147"/>
        <v>SELESAI</v>
      </c>
      <c r="GY72" s="202">
        <f t="shared" si="148"/>
        <v>0</v>
      </c>
      <c r="GZ72" s="203" t="str">
        <f t="shared" si="149"/>
        <v>SELESAI</v>
      </c>
      <c r="HA72" s="204"/>
      <c r="HB72" s="204"/>
      <c r="HC72" s="189">
        <f t="shared" si="251"/>
        <v>0</v>
      </c>
      <c r="HD72" s="189">
        <f t="shared" si="252"/>
        <v>0</v>
      </c>
      <c r="HE72" s="189">
        <f t="shared" si="150"/>
        <v>0</v>
      </c>
      <c r="HF72" s="189">
        <f t="shared" si="151"/>
        <v>0</v>
      </c>
      <c r="HG72" s="189">
        <f t="shared" si="152"/>
        <v>0</v>
      </c>
      <c r="HH72" s="201" t="str">
        <f t="shared" si="46"/>
        <v>TIDAK KONSINYASI</v>
      </c>
      <c r="HI72" s="201" t="str">
        <f t="shared" si="153"/>
        <v>SELESAI</v>
      </c>
      <c r="HJ72" s="205"/>
      <c r="HK72" s="201">
        <f t="shared" si="47"/>
        <v>0</v>
      </c>
      <c r="HL72" s="204"/>
      <c r="HM72" s="204"/>
      <c r="HN72" s="204"/>
      <c r="HO72" s="204"/>
      <c r="HP72" s="203">
        <f t="shared" si="154"/>
        <v>0</v>
      </c>
      <c r="HQ72" s="202">
        <f t="shared" si="155"/>
        <v>0</v>
      </c>
      <c r="HR72" s="202">
        <f t="shared" si="253"/>
        <v>0</v>
      </c>
      <c r="HS72" s="203">
        <f t="shared" si="156"/>
        <v>0</v>
      </c>
      <c r="HT72" s="202">
        <f t="shared" si="157"/>
        <v>0</v>
      </c>
      <c r="HU72" s="202">
        <f t="shared" si="254"/>
        <v>0</v>
      </c>
      <c r="HV72" s="203">
        <f t="shared" si="158"/>
        <v>0</v>
      </c>
      <c r="HW72" s="202">
        <f t="shared" si="50"/>
        <v>0</v>
      </c>
      <c r="HX72" s="202">
        <f t="shared" si="255"/>
        <v>0</v>
      </c>
      <c r="HY72" s="203">
        <f t="shared" si="52"/>
        <v>0</v>
      </c>
      <c r="HZ72" s="202">
        <f t="shared" si="159"/>
        <v>0</v>
      </c>
      <c r="IA72" s="202">
        <f t="shared" si="256"/>
        <v>0</v>
      </c>
      <c r="IB72" s="203">
        <f t="shared" si="160"/>
        <v>0</v>
      </c>
      <c r="IC72" s="202">
        <f t="shared" si="54"/>
        <v>0</v>
      </c>
      <c r="ID72" s="202">
        <f t="shared" si="257"/>
        <v>0</v>
      </c>
      <c r="IE72" s="203">
        <f t="shared" si="56"/>
        <v>0</v>
      </c>
      <c r="IF72" s="202">
        <f t="shared" si="57"/>
        <v>0</v>
      </c>
      <c r="IG72" s="202">
        <f t="shared" si="258"/>
        <v>0</v>
      </c>
      <c r="IH72" s="203">
        <f t="shared" si="161"/>
        <v>0</v>
      </c>
      <c r="II72" s="202">
        <f t="shared" si="162"/>
        <v>0</v>
      </c>
      <c r="IJ72" s="202">
        <f t="shared" si="259"/>
        <v>0</v>
      </c>
      <c r="IK72" s="203">
        <f t="shared" si="60"/>
        <v>0</v>
      </c>
      <c r="IL72" s="202">
        <f t="shared" si="61"/>
        <v>0</v>
      </c>
      <c r="IM72" s="202">
        <f t="shared" si="260"/>
        <v>0</v>
      </c>
      <c r="IN72" s="204"/>
      <c r="IO72" s="203">
        <f t="shared" si="63"/>
        <v>0</v>
      </c>
      <c r="IP72" s="202">
        <f t="shared" si="261"/>
        <v>0</v>
      </c>
      <c r="IQ72" s="202">
        <f t="shared" si="262"/>
        <v>0</v>
      </c>
      <c r="IR72" s="204"/>
      <c r="IS72" s="203"/>
      <c r="IT72" s="202">
        <f t="shared" si="263"/>
        <v>1</v>
      </c>
      <c r="IU72" s="202">
        <f t="shared" si="264"/>
        <v>32</v>
      </c>
      <c r="IV72" s="204"/>
      <c r="IW72" s="203"/>
      <c r="IX72" s="202">
        <f t="shared" si="265"/>
        <v>0</v>
      </c>
      <c r="IY72" s="202">
        <f t="shared" si="266"/>
        <v>0</v>
      </c>
      <c r="IZ72" s="204"/>
      <c r="JA72" s="203"/>
      <c r="JB72" s="202">
        <f t="shared" si="267"/>
        <v>0</v>
      </c>
      <c r="JC72" s="202">
        <f t="shared" si="268"/>
        <v>0</v>
      </c>
      <c r="JD72" s="204"/>
      <c r="JE72" s="203"/>
      <c r="JF72" s="202">
        <f t="shared" si="163"/>
        <v>1</v>
      </c>
      <c r="JG72" s="202">
        <f t="shared" si="72"/>
        <v>32</v>
      </c>
      <c r="JH72" s="204"/>
      <c r="JI72" s="203"/>
      <c r="JJ72" s="202">
        <f t="shared" si="269"/>
        <v>0</v>
      </c>
      <c r="JK72" s="202">
        <f t="shared" si="270"/>
        <v>0</v>
      </c>
      <c r="JL72" s="195"/>
      <c r="JM72" s="203">
        <f t="shared" si="164"/>
        <v>0</v>
      </c>
      <c r="JN72" s="195"/>
      <c r="JO72" s="196">
        <f t="shared" si="75"/>
        <v>0</v>
      </c>
      <c r="JP72" s="206">
        <f t="shared" si="271"/>
        <v>0</v>
      </c>
      <c r="JQ72" s="206">
        <f t="shared" si="272"/>
        <v>0</v>
      </c>
      <c r="JR72" s="206">
        <f t="shared" si="273"/>
        <v>0</v>
      </c>
      <c r="JS72" s="206">
        <f t="shared" si="274"/>
        <v>0</v>
      </c>
      <c r="JT72" s="206">
        <f t="shared" si="275"/>
        <v>0</v>
      </c>
      <c r="JU72" s="206">
        <f t="shared" si="276"/>
        <v>0</v>
      </c>
      <c r="JV72" s="206">
        <f t="shared" si="277"/>
        <v>0</v>
      </c>
      <c r="JW72" s="206">
        <f t="shared" si="278"/>
        <v>0</v>
      </c>
      <c r="JX72" s="206">
        <f t="shared" si="279"/>
        <v>0</v>
      </c>
      <c r="JY72" s="206">
        <f t="shared" si="280"/>
        <v>0</v>
      </c>
      <c r="JZ72" s="206">
        <f t="shared" si="281"/>
        <v>0</v>
      </c>
      <c r="KA72" s="206">
        <f t="shared" si="282"/>
        <v>0</v>
      </c>
      <c r="KB72" s="206">
        <f t="shared" si="283"/>
        <v>0</v>
      </c>
      <c r="KC72" s="195"/>
      <c r="KD72" s="206">
        <f t="shared" si="165"/>
        <v>0</v>
      </c>
      <c r="KE72" s="206">
        <f t="shared" si="90"/>
        <v>0</v>
      </c>
      <c r="KF72" s="206">
        <f t="shared" si="284"/>
        <v>0</v>
      </c>
      <c r="KG72" s="206">
        <f t="shared" si="285"/>
        <v>0</v>
      </c>
      <c r="KH72" s="206">
        <f t="shared" si="286"/>
        <v>0</v>
      </c>
      <c r="KI72" s="206">
        <f t="shared" si="287"/>
        <v>0</v>
      </c>
      <c r="KJ72" s="206">
        <f t="shared" si="288"/>
        <v>0</v>
      </c>
      <c r="KK72" s="206">
        <f t="shared" si="289"/>
        <v>0</v>
      </c>
      <c r="KL72" s="206">
        <f t="shared" si="290"/>
        <v>0</v>
      </c>
      <c r="KM72" s="206">
        <f t="shared" si="291"/>
        <v>0</v>
      </c>
      <c r="KN72" s="221">
        <f t="shared" si="292"/>
        <v>0</v>
      </c>
      <c r="KO72" s="221">
        <f t="shared" si="293"/>
        <v>0</v>
      </c>
      <c r="KP72" s="221">
        <f t="shared" si="294"/>
        <v>0</v>
      </c>
      <c r="KQ72" s="221">
        <f t="shared" si="295"/>
        <v>0</v>
      </c>
      <c r="KR72" s="221">
        <f t="shared" si="296"/>
        <v>0</v>
      </c>
      <c r="KS72" s="195"/>
      <c r="KT72" s="195">
        <f t="shared" si="297"/>
        <v>0</v>
      </c>
      <c r="KU72" s="221"/>
      <c r="KV72" s="221"/>
      <c r="KW72" s="221"/>
      <c r="KX72" s="221"/>
      <c r="KY72" s="221"/>
      <c r="KZ72" s="221"/>
      <c r="LA72" s="221"/>
      <c r="LB72" s="221"/>
      <c r="LC72" s="221"/>
      <c r="LD72" s="221"/>
      <c r="LE72" s="221"/>
      <c r="LF72" s="221"/>
      <c r="LG72" s="221"/>
      <c r="LH72" s="221"/>
      <c r="LI72" s="221"/>
      <c r="LJ72" s="221"/>
      <c r="LK72" s="221"/>
      <c r="LL72" s="221"/>
      <c r="LM72" s="221"/>
      <c r="LN72" s="221"/>
      <c r="LO72" s="221"/>
      <c r="LP72" s="221"/>
      <c r="LQ72" s="221"/>
      <c r="LR72" s="221"/>
      <c r="LS72" s="221"/>
      <c r="LT72" s="221"/>
      <c r="LU72" s="221"/>
      <c r="LV72" s="221"/>
      <c r="LW72" s="221"/>
      <c r="LX72" s="221"/>
      <c r="LY72" s="221"/>
      <c r="LZ72" s="221"/>
      <c r="MA72" s="221"/>
      <c r="MB72" s="221"/>
      <c r="MC72" s="221"/>
      <c r="MD72" s="221"/>
      <c r="ME72" s="221"/>
      <c r="MF72" s="221"/>
      <c r="MG72" s="221"/>
      <c r="MH72" s="221"/>
      <c r="MI72" s="221"/>
      <c r="MJ72" s="221"/>
      <c r="MK72" s="221"/>
      <c r="ML72" s="221"/>
      <c r="MM72" s="221"/>
      <c r="MN72" s="221"/>
      <c r="MO72" s="221"/>
      <c r="MP72" s="221"/>
      <c r="MQ72" s="221"/>
      <c r="MR72" s="221"/>
      <c r="MS72" s="221"/>
      <c r="MT72" s="221"/>
      <c r="MU72" s="221"/>
      <c r="MV72" s="221"/>
      <c r="MW72" s="221"/>
      <c r="MX72" s="221"/>
      <c r="MY72" s="221"/>
      <c r="MZ72" s="221"/>
      <c r="NA72" s="221"/>
      <c r="NB72" s="221"/>
      <c r="NC72" s="221"/>
      <c r="ND72" s="221"/>
      <c r="NE72" s="221"/>
      <c r="NF72" s="221"/>
      <c r="NG72" s="221"/>
      <c r="NH72" s="221"/>
      <c r="NI72" s="221"/>
      <c r="NJ72" s="221"/>
      <c r="NK72" s="221"/>
      <c r="NL72" s="195"/>
      <c r="NM72" s="195">
        <f t="shared" si="166"/>
        <v>0</v>
      </c>
      <c r="NN72" s="195">
        <f t="shared" si="167"/>
        <v>0</v>
      </c>
      <c r="NO72" s="195">
        <f t="shared" si="168"/>
        <v>0</v>
      </c>
      <c r="NP72" s="195">
        <f t="shared" si="169"/>
        <v>0</v>
      </c>
      <c r="NQ72" s="195">
        <f t="shared" si="170"/>
        <v>0</v>
      </c>
      <c r="NR72" s="195">
        <f t="shared" si="171"/>
        <v>0</v>
      </c>
      <c r="NS72" s="195">
        <f t="shared" si="172"/>
        <v>0</v>
      </c>
      <c r="NT72" s="195">
        <f t="shared" si="173"/>
        <v>0</v>
      </c>
      <c r="NU72" s="196">
        <f t="shared" si="174"/>
        <v>0</v>
      </c>
      <c r="NV72" s="195"/>
      <c r="NW72" s="195"/>
      <c r="NX72" s="195"/>
      <c r="NY72" s="196">
        <f t="shared" si="232"/>
        <v>1</v>
      </c>
      <c r="NZ72" s="222">
        <v>7996800</v>
      </c>
      <c r="OA72" s="195"/>
      <c r="OB72" s="195"/>
      <c r="OC72" s="195"/>
      <c r="OD72" s="195"/>
      <c r="OE72" s="207">
        <f t="shared" si="233"/>
        <v>0</v>
      </c>
      <c r="OF72" s="207">
        <f t="shared" si="234"/>
        <v>0</v>
      </c>
      <c r="OG72" s="207">
        <f t="shared" si="235"/>
        <v>0</v>
      </c>
      <c r="OH72" s="207">
        <f t="shared" si="175"/>
        <v>0</v>
      </c>
      <c r="OI72" s="207">
        <f t="shared" si="236"/>
        <v>0</v>
      </c>
      <c r="OJ72" s="199">
        <f t="shared" si="176"/>
        <v>0</v>
      </c>
      <c r="OK72" s="199">
        <f t="shared" si="177"/>
        <v>0</v>
      </c>
      <c r="OL72" s="199">
        <f t="shared" si="178"/>
        <v>0</v>
      </c>
      <c r="OM72" s="199">
        <f t="shared" si="179"/>
        <v>0</v>
      </c>
      <c r="ON72" s="195"/>
      <c r="OO72" s="207">
        <f t="shared" si="237"/>
        <v>0</v>
      </c>
      <c r="OP72" s="207">
        <f t="shared" si="238"/>
        <v>0</v>
      </c>
      <c r="OQ72" s="207">
        <f t="shared" si="180"/>
        <v>0</v>
      </c>
      <c r="OR72" s="207">
        <f t="shared" si="181"/>
        <v>0</v>
      </c>
      <c r="OS72" s="207">
        <f t="shared" si="182"/>
        <v>0</v>
      </c>
      <c r="OT72" s="199">
        <f t="shared" si="183"/>
        <v>0</v>
      </c>
      <c r="OU72" s="199">
        <f t="shared" si="184"/>
        <v>0</v>
      </c>
      <c r="OV72" s="199">
        <f t="shared" si="185"/>
        <v>0</v>
      </c>
      <c r="OW72" s="199">
        <f t="shared" si="186"/>
        <v>0</v>
      </c>
      <c r="OX72" s="195"/>
      <c r="OY72" s="195"/>
      <c r="OZ72" s="195"/>
      <c r="PA72" s="209"/>
      <c r="PB72" s="209"/>
      <c r="PC72" s="209"/>
      <c r="PD72" s="210">
        <f t="shared" si="113"/>
        <v>0</v>
      </c>
      <c r="PE72" s="210"/>
      <c r="PF72" s="210">
        <f t="shared" si="114"/>
        <v>0</v>
      </c>
      <c r="PG72" s="210">
        <f t="shared" si="302"/>
        <v>0</v>
      </c>
      <c r="PH72" s="210">
        <f t="shared" si="302"/>
        <v>0</v>
      </c>
      <c r="PI72" s="210">
        <f t="shared" si="302"/>
        <v>0</v>
      </c>
      <c r="PJ72" s="210">
        <f t="shared" si="300"/>
        <v>0</v>
      </c>
      <c r="PK72" s="210">
        <f t="shared" si="300"/>
        <v>0</v>
      </c>
      <c r="PL72" s="210">
        <f t="shared" si="300"/>
        <v>0</v>
      </c>
      <c r="PM72" s="195"/>
      <c r="PN72" s="195"/>
      <c r="PO72" s="212">
        <f t="shared" si="187"/>
        <v>0</v>
      </c>
      <c r="PP72" s="212">
        <f t="shared" si="188"/>
        <v>0</v>
      </c>
      <c r="PQ72" s="212">
        <f t="shared" si="189"/>
        <v>0</v>
      </c>
    </row>
    <row r="73" spans="1:433 16383:16384" ht="16" x14ac:dyDescent="0.2">
      <c r="A73" s="213">
        <f t="shared" ref="A73" si="410">A72+1</f>
        <v>64</v>
      </c>
      <c r="B73" s="186" t="s">
        <v>419</v>
      </c>
      <c r="C73" s="186">
        <v>66</v>
      </c>
      <c r="D73" s="188">
        <v>1</v>
      </c>
      <c r="E73" s="188">
        <v>148</v>
      </c>
      <c r="F73" s="188">
        <v>1</v>
      </c>
      <c r="G73" s="188">
        <f t="shared" si="239"/>
        <v>148</v>
      </c>
      <c r="H73" s="214">
        <f t="shared" si="360"/>
        <v>1</v>
      </c>
      <c r="I73" s="214">
        <f t="shared" si="361"/>
        <v>1</v>
      </c>
      <c r="J73" s="188">
        <v>1</v>
      </c>
      <c r="K73" s="188">
        <f t="shared" si="362"/>
        <v>148</v>
      </c>
      <c r="L73" s="214">
        <f t="shared" si="363"/>
        <v>1</v>
      </c>
      <c r="M73" s="214">
        <f t="shared" si="364"/>
        <v>1</v>
      </c>
      <c r="N73" s="188">
        <v>1</v>
      </c>
      <c r="O73" s="188">
        <f t="shared" si="365"/>
        <v>148</v>
      </c>
      <c r="P73" s="214">
        <f t="shared" si="366"/>
        <v>1</v>
      </c>
      <c r="Q73" s="214">
        <f t="shared" si="367"/>
        <v>1</v>
      </c>
      <c r="R73" s="188">
        <v>1</v>
      </c>
      <c r="S73" s="188">
        <f t="shared" si="368"/>
        <v>148</v>
      </c>
      <c r="T73" s="214">
        <f t="shared" si="369"/>
        <v>1</v>
      </c>
      <c r="U73" s="214">
        <f t="shared" si="370"/>
        <v>1</v>
      </c>
      <c r="V73" s="188">
        <v>1</v>
      </c>
      <c r="W73" s="188">
        <f t="shared" si="371"/>
        <v>148</v>
      </c>
      <c r="X73" s="214">
        <f t="shared" si="372"/>
        <v>1</v>
      </c>
      <c r="Y73" s="214">
        <f t="shared" si="373"/>
        <v>1</v>
      </c>
      <c r="Z73" s="224">
        <f>1564280000/1000000000</f>
        <v>1.5642799999999999</v>
      </c>
      <c r="AA73" s="188"/>
      <c r="AB73" s="189">
        <f t="shared" si="374"/>
        <v>0</v>
      </c>
      <c r="AC73" s="250">
        <f t="shared" si="375"/>
        <v>0</v>
      </c>
      <c r="AD73" s="250">
        <f t="shared" si="376"/>
        <v>0</v>
      </c>
      <c r="AE73" s="188"/>
      <c r="AF73" s="188">
        <f t="shared" si="377"/>
        <v>0</v>
      </c>
      <c r="AG73" s="187"/>
      <c r="AH73" s="187"/>
      <c r="AI73" s="188">
        <v>0</v>
      </c>
      <c r="AJ73" s="188">
        <f t="shared" si="378"/>
        <v>0</v>
      </c>
      <c r="AK73" s="188"/>
      <c r="AL73" s="188">
        <v>0</v>
      </c>
      <c r="AM73" s="188">
        <v>0</v>
      </c>
      <c r="AN73" s="217"/>
      <c r="AO73" s="196">
        <f t="shared" si="123"/>
        <v>0</v>
      </c>
      <c r="AP73" s="195"/>
      <c r="AQ73" s="195"/>
      <c r="AR73" s="195"/>
      <c r="AS73" s="195"/>
      <c r="AT73" s="195"/>
      <c r="AU73" s="195"/>
      <c r="AV73" s="195"/>
      <c r="AW73" s="195"/>
      <c r="AX73" s="195"/>
      <c r="AY73" s="195"/>
      <c r="AZ73" s="195"/>
      <c r="BA73" s="195"/>
      <c r="BB73" s="188">
        <f t="shared" si="379"/>
        <v>0</v>
      </c>
      <c r="BC73" s="195"/>
      <c r="BD73" s="196"/>
      <c r="BE73" s="188">
        <f t="shared" si="380"/>
        <v>0</v>
      </c>
      <c r="BF73" s="188">
        <f t="shared" si="381"/>
        <v>0</v>
      </c>
      <c r="BG73" s="188">
        <f t="shared" si="382"/>
        <v>0</v>
      </c>
      <c r="BH73" s="188">
        <f t="shared" si="383"/>
        <v>0</v>
      </c>
      <c r="BI73" s="188">
        <f t="shared" si="384"/>
        <v>0</v>
      </c>
      <c r="BJ73" s="188">
        <f t="shared" si="385"/>
        <v>0</v>
      </c>
      <c r="BK73" s="188">
        <f t="shared" si="386"/>
        <v>0</v>
      </c>
      <c r="BL73" s="195"/>
      <c r="BM73" s="195"/>
      <c r="BN73" s="277">
        <v>86</v>
      </c>
      <c r="BO73" s="139">
        <v>1</v>
      </c>
      <c r="BP73" s="188"/>
      <c r="BQ73" s="188"/>
      <c r="BR73" s="188"/>
      <c r="BS73" s="188"/>
      <c r="BT73" s="188"/>
      <c r="BU73" s="188"/>
      <c r="BV73" s="188"/>
      <c r="BW73" s="188"/>
      <c r="BX73" s="188"/>
      <c r="BY73" s="188"/>
      <c r="BZ73" s="188"/>
      <c r="CA73" s="195"/>
      <c r="CB73" s="188">
        <v>0</v>
      </c>
      <c r="CC73" s="195"/>
      <c r="CD73" s="189">
        <f t="shared" si="125"/>
        <v>86</v>
      </c>
      <c r="CE73" s="189">
        <f t="shared" si="191"/>
        <v>86</v>
      </c>
      <c r="CF73" s="189">
        <f t="shared" si="387"/>
        <v>0</v>
      </c>
      <c r="CG73" s="189">
        <f t="shared" si="388"/>
        <v>0</v>
      </c>
      <c r="CH73" s="189">
        <f t="shared" si="389"/>
        <v>0</v>
      </c>
      <c r="CI73" s="189">
        <f t="shared" si="390"/>
        <v>0</v>
      </c>
      <c r="CJ73" s="189">
        <f t="shared" si="391"/>
        <v>0</v>
      </c>
      <c r="CK73" s="189">
        <f t="shared" si="392"/>
        <v>0</v>
      </c>
      <c r="CL73" s="189">
        <f t="shared" si="393"/>
        <v>0</v>
      </c>
      <c r="CM73" s="189">
        <f t="shared" si="394"/>
        <v>0</v>
      </c>
      <c r="CN73" s="189">
        <f t="shared" si="395"/>
        <v>0</v>
      </c>
      <c r="CO73" s="189">
        <f t="shared" si="396"/>
        <v>0</v>
      </c>
      <c r="CP73" s="189">
        <f t="shared" si="397"/>
        <v>0</v>
      </c>
      <c r="CQ73" s="195"/>
      <c r="CR73" s="195"/>
      <c r="CS73" s="195"/>
      <c r="CT73" s="195"/>
      <c r="CU73" s="195"/>
      <c r="CV73" s="195"/>
      <c r="CW73" s="195"/>
      <c r="CX73" s="195"/>
      <c r="CY73" s="195"/>
      <c r="CZ73" s="195"/>
      <c r="DA73" s="195"/>
      <c r="DB73" s="195"/>
      <c r="DC73" s="195"/>
      <c r="DD73" s="195"/>
      <c r="DE73" s="195"/>
      <c r="DF73" s="195"/>
      <c r="DG73" s="195"/>
      <c r="DH73" s="195"/>
      <c r="DI73" s="195"/>
      <c r="DJ73" s="195"/>
      <c r="DK73" s="195"/>
      <c r="DL73" s="195"/>
      <c r="DM73" s="195"/>
      <c r="DN73" s="195"/>
      <c r="DO73" s="195"/>
      <c r="DP73" s="195"/>
      <c r="DQ73" s="195"/>
      <c r="DR73" s="195"/>
      <c r="DS73" s="195"/>
      <c r="DT73" s="195"/>
      <c r="DU73" s="195"/>
      <c r="DV73" s="189">
        <f t="shared" si="398"/>
        <v>0</v>
      </c>
      <c r="DW73" s="189">
        <f t="shared" si="399"/>
        <v>0</v>
      </c>
      <c r="DX73" s="189">
        <f t="shared" si="400"/>
        <v>0</v>
      </c>
      <c r="DY73" s="189">
        <f t="shared" si="401"/>
        <v>0</v>
      </c>
      <c r="DZ73" s="189">
        <f t="shared" si="402"/>
        <v>0</v>
      </c>
      <c r="EA73" s="189">
        <f t="shared" si="403"/>
        <v>0</v>
      </c>
      <c r="EB73" s="189">
        <f t="shared" si="404"/>
        <v>0</v>
      </c>
      <c r="EC73" s="195"/>
      <c r="ED73" s="195"/>
      <c r="EE73" s="195"/>
      <c r="EF73" s="195"/>
      <c r="EG73" s="252">
        <f t="shared" si="405"/>
        <v>0</v>
      </c>
      <c r="EH73" s="252">
        <f t="shared" si="406"/>
        <v>0</v>
      </c>
      <c r="EI73" s="189"/>
      <c r="EJ73" s="189"/>
      <c r="EK73" s="189"/>
      <c r="EL73" s="189"/>
      <c r="EM73" s="189"/>
      <c r="EN73" s="189"/>
      <c r="EO73" s="189"/>
      <c r="EP73" s="189"/>
      <c r="EQ73" s="189"/>
      <c r="ER73" s="189"/>
      <c r="ES73" s="189"/>
      <c r="ET73" s="189"/>
      <c r="EU73" s="189"/>
      <c r="EV73" s="189"/>
      <c r="EW73" s="189"/>
      <c r="EX73" s="189"/>
      <c r="EY73" s="189"/>
      <c r="EZ73" s="189"/>
      <c r="FA73" s="189"/>
      <c r="FB73" s="189"/>
      <c r="FC73" s="189"/>
      <c r="FD73" s="189"/>
      <c r="FE73" s="189"/>
      <c r="FF73" s="189"/>
      <c r="FG73" s="195"/>
      <c r="FH73" s="189"/>
      <c r="FI73" s="189"/>
      <c r="FJ73" s="189"/>
      <c r="FK73" s="189"/>
      <c r="FL73" s="189"/>
      <c r="FM73" s="189"/>
      <c r="FN73" s="189"/>
      <c r="FO73" s="189"/>
      <c r="FP73" s="189"/>
      <c r="FQ73" s="189"/>
      <c r="FR73" s="189"/>
      <c r="FS73" s="189"/>
      <c r="FT73" s="189"/>
      <c r="FU73" s="189"/>
      <c r="FV73" s="189"/>
      <c r="FW73" s="195"/>
      <c r="FX73" s="253">
        <v>1</v>
      </c>
      <c r="FY73" s="189">
        <f t="shared" si="407"/>
        <v>86</v>
      </c>
      <c r="FZ73" s="189">
        <f t="shared" si="324"/>
        <v>86</v>
      </c>
      <c r="GA73" s="189">
        <f t="shared" si="325"/>
        <v>0</v>
      </c>
      <c r="GB73" s="189">
        <f t="shared" si="326"/>
        <v>0</v>
      </c>
      <c r="GC73" s="189">
        <f t="shared" si="327"/>
        <v>0</v>
      </c>
      <c r="GD73" s="189">
        <f t="shared" si="328"/>
        <v>0</v>
      </c>
      <c r="GE73" s="189">
        <f t="shared" si="329"/>
        <v>0</v>
      </c>
      <c r="GF73" s="199"/>
      <c r="GG73" s="189">
        <v>0</v>
      </c>
      <c r="GH73" s="189">
        <v>0</v>
      </c>
      <c r="GI73" s="199"/>
      <c r="GJ73" s="200">
        <f t="shared" si="408"/>
        <v>0</v>
      </c>
      <c r="GK73" s="200">
        <f t="shared" si="409"/>
        <v>0</v>
      </c>
      <c r="GL73" s="195"/>
      <c r="GM73" s="195"/>
      <c r="GN73" s="195"/>
      <c r="GO73" s="189">
        <f t="shared" si="246"/>
        <v>0</v>
      </c>
      <c r="GP73" s="189">
        <f t="shared" si="247"/>
        <v>0</v>
      </c>
      <c r="GQ73" s="189">
        <f t="shared" si="248"/>
        <v>0</v>
      </c>
      <c r="GR73" s="189">
        <f t="shared" si="249"/>
        <v>0</v>
      </c>
      <c r="GS73" s="189">
        <f t="shared" si="250"/>
        <v>0</v>
      </c>
      <c r="GT73" s="189">
        <f t="shared" si="143"/>
        <v>1</v>
      </c>
      <c r="GU73" s="201">
        <f t="shared" si="144"/>
        <v>43243</v>
      </c>
      <c r="GV73" s="189" t="str">
        <f t="shared" si="145"/>
        <v>SELESAI</v>
      </c>
      <c r="GW73" s="189">
        <f t="shared" si="146"/>
        <v>0</v>
      </c>
      <c r="GX73" s="202" t="str">
        <f t="shared" si="147"/>
        <v>SELESAI</v>
      </c>
      <c r="GY73" s="202">
        <f t="shared" si="148"/>
        <v>0</v>
      </c>
      <c r="GZ73" s="203" t="str">
        <f t="shared" si="149"/>
        <v>SELESAI</v>
      </c>
      <c r="HA73" s="204"/>
      <c r="HB73" s="204"/>
      <c r="HC73" s="189">
        <f t="shared" si="251"/>
        <v>0</v>
      </c>
      <c r="HD73" s="189">
        <f t="shared" si="252"/>
        <v>0</v>
      </c>
      <c r="HE73" s="189">
        <f t="shared" si="150"/>
        <v>0</v>
      </c>
      <c r="HF73" s="189">
        <f t="shared" si="151"/>
        <v>0</v>
      </c>
      <c r="HG73" s="189">
        <f t="shared" si="152"/>
        <v>0</v>
      </c>
      <c r="HH73" s="201" t="str">
        <f t="shared" ref="HH73:HH82" si="411">IF(HG73=1,GU73+$HH$8,"TIDAK KONSINYASI")</f>
        <v>TIDAK KONSINYASI</v>
      </c>
      <c r="HI73" s="201" t="str">
        <f t="shared" si="153"/>
        <v>SELESAI</v>
      </c>
      <c r="HJ73" s="205"/>
      <c r="HK73" s="201">
        <f t="shared" ref="HK73:HK82" si="412">MAX(GZ73,HH73,HI73)</f>
        <v>0</v>
      </c>
      <c r="HL73" s="204"/>
      <c r="HM73" s="204"/>
      <c r="HN73" s="204"/>
      <c r="HO73" s="204"/>
      <c r="HP73" s="203">
        <f t="shared" si="154"/>
        <v>0</v>
      </c>
      <c r="HQ73" s="202">
        <f t="shared" si="155"/>
        <v>0</v>
      </c>
      <c r="HR73" s="202">
        <f t="shared" si="253"/>
        <v>0</v>
      </c>
      <c r="HS73" s="203">
        <f t="shared" si="156"/>
        <v>0</v>
      </c>
      <c r="HT73" s="202">
        <f t="shared" si="157"/>
        <v>0</v>
      </c>
      <c r="HU73" s="202">
        <f t="shared" si="254"/>
        <v>0</v>
      </c>
      <c r="HV73" s="203">
        <f t="shared" si="158"/>
        <v>0</v>
      </c>
      <c r="HW73" s="202">
        <f t="shared" ref="HW73:HW82" si="413">IF(JB73=0,IF(IX73=0,IF(HT73=0,IF(GV73="MUSYAWARAH",GR73,0),0),0),0)</f>
        <v>0</v>
      </c>
      <c r="HX73" s="202">
        <f t="shared" si="255"/>
        <v>0</v>
      </c>
      <c r="HY73" s="203">
        <f t="shared" ref="HY73:HY82" si="414">IF(HZ73=1,HV73+$HI$8,0)</f>
        <v>0</v>
      </c>
      <c r="HZ73" s="202">
        <f t="shared" si="159"/>
        <v>0</v>
      </c>
      <c r="IA73" s="202">
        <f t="shared" si="256"/>
        <v>0</v>
      </c>
      <c r="IB73" s="203">
        <f t="shared" si="160"/>
        <v>0</v>
      </c>
      <c r="IC73" s="202">
        <f t="shared" ref="IC73:IC82" si="415">IF(GV73="Hasil Valuasi",GQ73,0)</f>
        <v>0</v>
      </c>
      <c r="ID73" s="202">
        <f t="shared" si="257"/>
        <v>0</v>
      </c>
      <c r="IE73" s="203">
        <f t="shared" ref="IE73:IE82" si="416">IF(IF73=1,IB73+$HI$8,0)</f>
        <v>0</v>
      </c>
      <c r="IF73" s="202">
        <f t="shared" ref="IF73:IF82" si="417">IC73</f>
        <v>0</v>
      </c>
      <c r="IG73" s="202">
        <f t="shared" si="258"/>
        <v>0</v>
      </c>
      <c r="IH73" s="203">
        <f t="shared" si="161"/>
        <v>0</v>
      </c>
      <c r="II73" s="202">
        <f t="shared" si="162"/>
        <v>0</v>
      </c>
      <c r="IJ73" s="202">
        <f t="shared" si="259"/>
        <v>0</v>
      </c>
      <c r="IK73" s="203">
        <f t="shared" ref="IK73:IK82" si="418">IF(IL73=1,IH73+$HI$8,0)</f>
        <v>0</v>
      </c>
      <c r="IL73" s="202">
        <f t="shared" ref="IL73:IL82" si="419">II73</f>
        <v>0</v>
      </c>
      <c r="IM73" s="202">
        <f t="shared" si="260"/>
        <v>0</v>
      </c>
      <c r="IN73" s="204"/>
      <c r="IO73" s="203">
        <f t="shared" ref="IO73:IO82" si="420">IF(IP73=1,+$GU$3+$HH$8,0)</f>
        <v>0</v>
      </c>
      <c r="IP73" s="202">
        <f t="shared" si="261"/>
        <v>0</v>
      </c>
      <c r="IQ73" s="202">
        <f t="shared" si="262"/>
        <v>0</v>
      </c>
      <c r="IR73" s="204"/>
      <c r="IS73" s="203"/>
      <c r="IT73" s="202">
        <f t="shared" si="263"/>
        <v>1</v>
      </c>
      <c r="IU73" s="202">
        <f t="shared" si="264"/>
        <v>148</v>
      </c>
      <c r="IV73" s="204"/>
      <c r="IW73" s="203"/>
      <c r="IX73" s="202">
        <f t="shared" si="265"/>
        <v>0</v>
      </c>
      <c r="IY73" s="202">
        <f t="shared" si="266"/>
        <v>0</v>
      </c>
      <c r="IZ73" s="204"/>
      <c r="JA73" s="203"/>
      <c r="JB73" s="202">
        <f t="shared" si="267"/>
        <v>0</v>
      </c>
      <c r="JC73" s="202">
        <f t="shared" si="268"/>
        <v>0</v>
      </c>
      <c r="JD73" s="204"/>
      <c r="JE73" s="203"/>
      <c r="JF73" s="202">
        <f t="shared" si="163"/>
        <v>1</v>
      </c>
      <c r="JG73" s="202">
        <f t="shared" si="163"/>
        <v>148</v>
      </c>
      <c r="JH73" s="204"/>
      <c r="JI73" s="203"/>
      <c r="JJ73" s="202">
        <f t="shared" si="269"/>
        <v>0</v>
      </c>
      <c r="JK73" s="202">
        <f t="shared" si="270"/>
        <v>0</v>
      </c>
      <c r="JL73" s="195"/>
      <c r="JM73" s="203">
        <f t="shared" si="164"/>
        <v>0</v>
      </c>
      <c r="JN73" s="195"/>
      <c r="JO73" s="196">
        <f t="shared" ref="JO73:JO82" si="421">SUM(JQ73:KB73)</f>
        <v>1</v>
      </c>
      <c r="JP73" s="206">
        <f t="shared" si="271"/>
        <v>86</v>
      </c>
      <c r="JQ73" s="206">
        <f t="shared" si="272"/>
        <v>1</v>
      </c>
      <c r="JR73" s="206">
        <f t="shared" si="273"/>
        <v>0</v>
      </c>
      <c r="JS73" s="206">
        <f t="shared" si="274"/>
        <v>0</v>
      </c>
      <c r="JT73" s="206">
        <f t="shared" si="275"/>
        <v>0</v>
      </c>
      <c r="JU73" s="206">
        <f t="shared" si="276"/>
        <v>0</v>
      </c>
      <c r="JV73" s="206">
        <f t="shared" si="277"/>
        <v>0</v>
      </c>
      <c r="JW73" s="206">
        <f t="shared" si="278"/>
        <v>0</v>
      </c>
      <c r="JX73" s="206">
        <f t="shared" si="279"/>
        <v>0</v>
      </c>
      <c r="JY73" s="206">
        <f t="shared" si="280"/>
        <v>0</v>
      </c>
      <c r="JZ73" s="206">
        <f t="shared" si="281"/>
        <v>0</v>
      </c>
      <c r="KA73" s="206">
        <f t="shared" si="282"/>
        <v>0</v>
      </c>
      <c r="KB73" s="206">
        <f t="shared" si="283"/>
        <v>0</v>
      </c>
      <c r="KC73" s="195"/>
      <c r="KD73" s="206">
        <f t="shared" si="165"/>
        <v>0</v>
      </c>
      <c r="KE73" s="206">
        <f t="shared" ref="KE73:KE86" si="422">IF(KD73=1,KF73,0)</f>
        <v>0</v>
      </c>
      <c r="KF73" s="206">
        <f t="shared" si="284"/>
        <v>86</v>
      </c>
      <c r="KG73" s="206">
        <f t="shared" si="285"/>
        <v>86</v>
      </c>
      <c r="KH73" s="206">
        <f t="shared" si="286"/>
        <v>0</v>
      </c>
      <c r="KI73" s="206">
        <f t="shared" si="287"/>
        <v>0</v>
      </c>
      <c r="KJ73" s="206">
        <f t="shared" si="288"/>
        <v>0</v>
      </c>
      <c r="KK73" s="206">
        <f t="shared" si="289"/>
        <v>0</v>
      </c>
      <c r="KL73" s="206">
        <f t="shared" si="290"/>
        <v>0</v>
      </c>
      <c r="KM73" s="206">
        <f t="shared" si="291"/>
        <v>0</v>
      </c>
      <c r="KN73" s="221">
        <f t="shared" si="292"/>
        <v>0</v>
      </c>
      <c r="KO73" s="221">
        <f t="shared" si="293"/>
        <v>0</v>
      </c>
      <c r="KP73" s="221">
        <f t="shared" si="294"/>
        <v>0</v>
      </c>
      <c r="KQ73" s="221">
        <f t="shared" si="295"/>
        <v>0</v>
      </c>
      <c r="KR73" s="221">
        <f t="shared" si="296"/>
        <v>0</v>
      </c>
      <c r="KS73" s="195"/>
      <c r="KT73" s="195">
        <f t="shared" si="297"/>
        <v>0</v>
      </c>
      <c r="KU73" s="221"/>
      <c r="KV73" s="221"/>
      <c r="KW73" s="221"/>
      <c r="KX73" s="221"/>
      <c r="KY73" s="221"/>
      <c r="KZ73" s="221"/>
      <c r="LA73" s="221"/>
      <c r="LB73" s="221"/>
      <c r="LC73" s="221"/>
      <c r="LD73" s="221"/>
      <c r="LE73" s="221"/>
      <c r="LF73" s="221"/>
      <c r="LG73" s="221"/>
      <c r="LH73" s="221"/>
      <c r="LI73" s="221"/>
      <c r="LJ73" s="221"/>
      <c r="LK73" s="221"/>
      <c r="LL73" s="221"/>
      <c r="LM73" s="221"/>
      <c r="LN73" s="221"/>
      <c r="LO73" s="221"/>
      <c r="LP73" s="221"/>
      <c r="LQ73" s="221"/>
      <c r="LR73" s="221"/>
      <c r="LS73" s="221"/>
      <c r="LT73" s="221"/>
      <c r="LU73" s="221"/>
      <c r="LV73" s="221"/>
      <c r="LW73" s="221"/>
      <c r="LX73" s="221"/>
      <c r="LY73" s="221"/>
      <c r="LZ73" s="221"/>
      <c r="MA73" s="221"/>
      <c r="MB73" s="221"/>
      <c r="MC73" s="221"/>
      <c r="MD73" s="221"/>
      <c r="ME73" s="221"/>
      <c r="MF73" s="221"/>
      <c r="MG73" s="221"/>
      <c r="MH73" s="221"/>
      <c r="MI73" s="221"/>
      <c r="MJ73" s="221"/>
      <c r="MK73" s="221"/>
      <c r="ML73" s="221"/>
      <c r="MM73" s="221"/>
      <c r="MN73" s="221"/>
      <c r="MO73" s="221"/>
      <c r="MP73" s="221"/>
      <c r="MQ73" s="221"/>
      <c r="MR73" s="221"/>
      <c r="MS73" s="221"/>
      <c r="MT73" s="221"/>
      <c r="MU73" s="221"/>
      <c r="MV73" s="221"/>
      <c r="MW73" s="221"/>
      <c r="MX73" s="221"/>
      <c r="MY73" s="221"/>
      <c r="MZ73" s="221"/>
      <c r="NA73" s="221"/>
      <c r="NB73" s="221"/>
      <c r="NC73" s="221"/>
      <c r="ND73" s="221"/>
      <c r="NE73" s="221"/>
      <c r="NF73" s="221"/>
      <c r="NG73" s="221"/>
      <c r="NH73" s="221"/>
      <c r="NI73" s="221"/>
      <c r="NJ73" s="221"/>
      <c r="NK73" s="221"/>
      <c r="NL73" s="195"/>
      <c r="NM73" s="195">
        <f t="shared" si="166"/>
        <v>0</v>
      </c>
      <c r="NN73" s="195">
        <f t="shared" si="167"/>
        <v>0</v>
      </c>
      <c r="NO73" s="195">
        <f t="shared" si="168"/>
        <v>0</v>
      </c>
      <c r="NP73" s="195">
        <f t="shared" si="169"/>
        <v>0</v>
      </c>
      <c r="NQ73" s="195">
        <f t="shared" si="170"/>
        <v>0</v>
      </c>
      <c r="NR73" s="195">
        <f t="shared" si="171"/>
        <v>0</v>
      </c>
      <c r="NS73" s="195">
        <f t="shared" si="172"/>
        <v>0</v>
      </c>
      <c r="NT73" s="195">
        <f t="shared" si="173"/>
        <v>0</v>
      </c>
      <c r="NU73" s="196">
        <f t="shared" si="174"/>
        <v>0</v>
      </c>
      <c r="NV73" s="195"/>
      <c r="NW73" s="195"/>
      <c r="NX73" s="195"/>
      <c r="NY73" s="196">
        <f t="shared" ref="NY73:NY107" si="423">V73</f>
        <v>1</v>
      </c>
      <c r="NZ73" s="222">
        <v>7996800</v>
      </c>
      <c r="OA73" s="195"/>
      <c r="OB73" s="195"/>
      <c r="OC73" s="195"/>
      <c r="OD73" s="195"/>
      <c r="OE73" s="207">
        <f t="shared" ref="OE73:OE86" si="424">D73-J73</f>
        <v>0</v>
      </c>
      <c r="OF73" s="207">
        <f t="shared" ref="OF73:OF86" si="425">D73-N73</f>
        <v>0</v>
      </c>
      <c r="OG73" s="207">
        <f t="shared" ref="OG73:OG86" si="426">AN73</f>
        <v>0</v>
      </c>
      <c r="OH73" s="207">
        <f t="shared" si="175"/>
        <v>0</v>
      </c>
      <c r="OI73" s="207">
        <f t="shared" ref="OI73:OI86" si="427">D73-R73</f>
        <v>0</v>
      </c>
      <c r="OJ73" s="199">
        <f t="shared" si="176"/>
        <v>0</v>
      </c>
      <c r="OK73" s="199">
        <f t="shared" si="177"/>
        <v>0</v>
      </c>
      <c r="OL73" s="199">
        <f t="shared" si="178"/>
        <v>0</v>
      </c>
      <c r="OM73" s="199">
        <f t="shared" si="179"/>
        <v>0</v>
      </c>
      <c r="ON73" s="195"/>
      <c r="OO73" s="207">
        <f t="shared" ref="OO73:OO86" si="428">E73-K73</f>
        <v>0</v>
      </c>
      <c r="OP73" s="207">
        <f t="shared" ref="OP73:OP86" si="429">E73-O73</f>
        <v>0</v>
      </c>
      <c r="OQ73" s="207">
        <f t="shared" si="180"/>
        <v>0</v>
      </c>
      <c r="OR73" s="207">
        <f t="shared" si="181"/>
        <v>0</v>
      </c>
      <c r="OS73" s="207">
        <f t="shared" si="182"/>
        <v>0</v>
      </c>
      <c r="OT73" s="199">
        <f t="shared" si="183"/>
        <v>0</v>
      </c>
      <c r="OU73" s="199">
        <f t="shared" si="184"/>
        <v>0</v>
      </c>
      <c r="OV73" s="199">
        <f t="shared" si="185"/>
        <v>0</v>
      </c>
      <c r="OW73" s="199">
        <f t="shared" si="186"/>
        <v>0</v>
      </c>
      <c r="OX73" s="195"/>
      <c r="OY73" s="195"/>
      <c r="OZ73" s="195"/>
      <c r="PA73" s="209"/>
      <c r="PB73" s="209"/>
      <c r="PC73" s="209"/>
      <c r="PD73" s="210">
        <f t="shared" ref="PD73:PD107" si="430">PB73-PC73</f>
        <v>0</v>
      </c>
      <c r="PE73" s="210"/>
      <c r="PF73" s="210">
        <f t="shared" ref="PF73:PF107" si="431">PD73-PE73</f>
        <v>0</v>
      </c>
      <c r="PG73" s="210">
        <f t="shared" si="302"/>
        <v>0</v>
      </c>
      <c r="PH73" s="210">
        <f t="shared" si="302"/>
        <v>0</v>
      </c>
      <c r="PI73" s="210">
        <f t="shared" si="302"/>
        <v>0</v>
      </c>
      <c r="PJ73" s="210">
        <f t="shared" si="300"/>
        <v>0</v>
      </c>
      <c r="PK73" s="210">
        <f t="shared" si="300"/>
        <v>0</v>
      </c>
      <c r="PL73" s="210">
        <f t="shared" si="300"/>
        <v>0</v>
      </c>
      <c r="PM73" s="195"/>
      <c r="PN73" s="195"/>
      <c r="PO73" s="212">
        <f t="shared" si="187"/>
        <v>0</v>
      </c>
      <c r="PP73" s="212">
        <f t="shared" si="188"/>
        <v>0</v>
      </c>
      <c r="PQ73" s="212">
        <f t="shared" si="189"/>
        <v>0</v>
      </c>
    </row>
    <row r="74" spans="1:433 16383:16384" ht="16" x14ac:dyDescent="0.2">
      <c r="A74" s="213">
        <f t="shared" si="190"/>
        <v>65</v>
      </c>
      <c r="B74" s="186" t="s">
        <v>420</v>
      </c>
      <c r="C74" s="186">
        <v>67</v>
      </c>
      <c r="D74" s="188">
        <v>1</v>
      </c>
      <c r="E74" s="188">
        <v>150</v>
      </c>
      <c r="F74" s="188">
        <v>1</v>
      </c>
      <c r="G74" s="188">
        <f t="shared" si="239"/>
        <v>150</v>
      </c>
      <c r="H74" s="214">
        <f t="shared" si="360"/>
        <v>1</v>
      </c>
      <c r="I74" s="214">
        <f t="shared" si="361"/>
        <v>1</v>
      </c>
      <c r="J74" s="188">
        <v>1</v>
      </c>
      <c r="K74" s="188">
        <f t="shared" si="362"/>
        <v>150</v>
      </c>
      <c r="L74" s="214">
        <f t="shared" si="363"/>
        <v>1</v>
      </c>
      <c r="M74" s="214">
        <f t="shared" si="364"/>
        <v>1</v>
      </c>
      <c r="N74" s="188">
        <v>1</v>
      </c>
      <c r="O74" s="188">
        <f t="shared" si="365"/>
        <v>150</v>
      </c>
      <c r="P74" s="214">
        <f t="shared" si="366"/>
        <v>1</v>
      </c>
      <c r="Q74" s="214">
        <f t="shared" si="367"/>
        <v>1</v>
      </c>
      <c r="R74" s="188">
        <v>1</v>
      </c>
      <c r="S74" s="188">
        <f t="shared" si="368"/>
        <v>150</v>
      </c>
      <c r="T74" s="214">
        <f t="shared" si="369"/>
        <v>1</v>
      </c>
      <c r="U74" s="214">
        <f t="shared" si="370"/>
        <v>1</v>
      </c>
      <c r="V74" s="188">
        <v>1</v>
      </c>
      <c r="W74" s="188">
        <f t="shared" si="371"/>
        <v>150</v>
      </c>
      <c r="X74" s="214">
        <f t="shared" si="372"/>
        <v>1</v>
      </c>
      <c r="Y74" s="214">
        <f t="shared" si="373"/>
        <v>1</v>
      </c>
      <c r="Z74" s="224">
        <f>2471793000/1000000000</f>
        <v>2.4717929999999999</v>
      </c>
      <c r="AA74" s="188"/>
      <c r="AB74" s="189">
        <f t="shared" si="374"/>
        <v>0</v>
      </c>
      <c r="AC74" s="250">
        <f t="shared" si="375"/>
        <v>0</v>
      </c>
      <c r="AD74" s="250">
        <f t="shared" si="376"/>
        <v>0</v>
      </c>
      <c r="AE74" s="188"/>
      <c r="AF74" s="223">
        <f t="shared" si="377"/>
        <v>0</v>
      </c>
      <c r="AG74" s="254"/>
      <c r="AH74" s="254"/>
      <c r="AI74" s="188">
        <v>0</v>
      </c>
      <c r="AJ74" s="188">
        <f t="shared" si="378"/>
        <v>0</v>
      </c>
      <c r="AK74" s="188"/>
      <c r="AL74" s="188">
        <v>0</v>
      </c>
      <c r="AM74" s="188">
        <v>0</v>
      </c>
      <c r="AN74" s="217"/>
      <c r="AO74" s="196">
        <f t="shared" ref="AO74:AO108" si="432">D74-R74-AN74-CB74</f>
        <v>0</v>
      </c>
      <c r="AP74" s="195"/>
      <c r="AQ74" s="195"/>
      <c r="AR74" s="195"/>
      <c r="AS74" s="195"/>
      <c r="AT74" s="195"/>
      <c r="AU74" s="195"/>
      <c r="AV74" s="195"/>
      <c r="AW74" s="195"/>
      <c r="AX74" s="195"/>
      <c r="AY74" s="195"/>
      <c r="AZ74" s="195"/>
      <c r="BA74" s="195"/>
      <c r="BB74" s="188">
        <f t="shared" si="379"/>
        <v>0</v>
      </c>
      <c r="BC74" s="195"/>
      <c r="BD74" s="196"/>
      <c r="BE74" s="188">
        <f t="shared" si="380"/>
        <v>0</v>
      </c>
      <c r="BF74" s="188">
        <f t="shared" si="381"/>
        <v>0</v>
      </c>
      <c r="BG74" s="188">
        <f t="shared" si="382"/>
        <v>0</v>
      </c>
      <c r="BH74" s="188">
        <f t="shared" si="383"/>
        <v>0</v>
      </c>
      <c r="BI74" s="188">
        <f t="shared" si="384"/>
        <v>0</v>
      </c>
      <c r="BJ74" s="188">
        <f t="shared" si="385"/>
        <v>0</v>
      </c>
      <c r="BK74" s="188">
        <f t="shared" si="386"/>
        <v>0</v>
      </c>
      <c r="BL74" s="195"/>
      <c r="BM74" s="195"/>
      <c r="BN74" s="277">
        <v>33</v>
      </c>
      <c r="BO74" s="139">
        <v>1</v>
      </c>
      <c r="BP74" s="188"/>
      <c r="BQ74" s="188"/>
      <c r="BR74" s="188"/>
      <c r="BS74" s="188"/>
      <c r="BT74" s="188"/>
      <c r="BU74" s="188"/>
      <c r="BV74" s="188"/>
      <c r="BW74" s="188"/>
      <c r="BX74" s="188"/>
      <c r="BY74" s="188"/>
      <c r="BZ74" s="188"/>
      <c r="CA74" s="195"/>
      <c r="CB74" s="188">
        <v>0</v>
      </c>
      <c r="CC74" s="195"/>
      <c r="CD74" s="189">
        <f t="shared" ref="CD74:CD82" si="433">BN74</f>
        <v>33</v>
      </c>
      <c r="CE74" s="189">
        <f t="shared" si="191"/>
        <v>33</v>
      </c>
      <c r="CF74" s="189">
        <f t="shared" ref="CF74:CF75" si="434">IF(BP74=1,$CD74,0)</f>
        <v>0</v>
      </c>
      <c r="CG74" s="189">
        <f t="shared" ref="CG74:CG75" si="435">IF(BQ74=1,$CD74,0)</f>
        <v>0</v>
      </c>
      <c r="CH74" s="189">
        <f t="shared" ref="CH74:CH75" si="436">IF(BR74=1,$CD74,0)</f>
        <v>0</v>
      </c>
      <c r="CI74" s="189">
        <f t="shared" ref="CI74:CI75" si="437">IF(BS74=1,$CD74,0)</f>
        <v>0</v>
      </c>
      <c r="CJ74" s="189">
        <f t="shared" ref="CJ74:CJ75" si="438">IF(BT74=1,$CD74,0)</f>
        <v>0</v>
      </c>
      <c r="CK74" s="189">
        <f t="shared" ref="CK74:CK75" si="439">IF(BU74=1,$CD74,0)</f>
        <v>0</v>
      </c>
      <c r="CL74" s="189">
        <f t="shared" ref="CL74:CL75" si="440">IF(BV74=1,$CD74,0)</f>
        <v>0</v>
      </c>
      <c r="CM74" s="189">
        <f t="shared" ref="CM74:CM75" si="441">IF(BW74=1,$CD74,0)</f>
        <v>0</v>
      </c>
      <c r="CN74" s="189">
        <f t="shared" ref="CN74:CN75" si="442">IF(BX74=1,$CD74,0)</f>
        <v>0</v>
      </c>
      <c r="CO74" s="189">
        <f t="shared" ref="CO74:CO75" si="443">IF(BY74=1,$CD74,0)</f>
        <v>0</v>
      </c>
      <c r="CP74" s="189">
        <f t="shared" ref="CP74:CP75" si="444">IF(BZ74=1,$CD74,0)</f>
        <v>0</v>
      </c>
      <c r="CQ74" s="195"/>
      <c r="CR74" s="195"/>
      <c r="CS74" s="195"/>
      <c r="CT74" s="195"/>
      <c r="CU74" s="195"/>
      <c r="CV74" s="195"/>
      <c r="CW74" s="195"/>
      <c r="CX74" s="195"/>
      <c r="CY74" s="195"/>
      <c r="CZ74" s="195"/>
      <c r="DA74" s="195"/>
      <c r="DB74" s="195"/>
      <c r="DC74" s="195"/>
      <c r="DD74" s="195"/>
      <c r="DE74" s="195"/>
      <c r="DF74" s="195"/>
      <c r="DG74" s="195"/>
      <c r="DH74" s="195"/>
      <c r="DI74" s="195"/>
      <c r="DJ74" s="195"/>
      <c r="DK74" s="195"/>
      <c r="DL74" s="195"/>
      <c r="DM74" s="195"/>
      <c r="DN74" s="195"/>
      <c r="DO74" s="195"/>
      <c r="DP74" s="195"/>
      <c r="DQ74" s="195"/>
      <c r="DR74" s="195"/>
      <c r="DS74" s="195"/>
      <c r="DT74" s="195"/>
      <c r="DU74" s="195"/>
      <c r="DV74" s="189">
        <f t="shared" si="398"/>
        <v>0</v>
      </c>
      <c r="DW74" s="189">
        <f t="shared" si="399"/>
        <v>0</v>
      </c>
      <c r="DX74" s="189">
        <f t="shared" si="400"/>
        <v>0</v>
      </c>
      <c r="DY74" s="189">
        <f t="shared" si="401"/>
        <v>0</v>
      </c>
      <c r="DZ74" s="189">
        <f t="shared" si="402"/>
        <v>0</v>
      </c>
      <c r="EA74" s="189">
        <f t="shared" si="403"/>
        <v>0</v>
      </c>
      <c r="EB74" s="189">
        <f t="shared" si="404"/>
        <v>0</v>
      </c>
      <c r="EC74" s="195"/>
      <c r="ED74" s="195"/>
      <c r="EE74" s="195"/>
      <c r="EF74" s="195"/>
      <c r="EG74" s="252">
        <f t="shared" ref="EG74:EG75" si="445">IF(AG74="C","C",IF(AG74="D","D",0))</f>
        <v>0</v>
      </c>
      <c r="EH74" s="252">
        <f t="shared" ref="EH74:EH75" si="446">CC74</f>
        <v>0</v>
      </c>
      <c r="EI74" s="189"/>
      <c r="EJ74" s="189"/>
      <c r="EK74" s="189"/>
      <c r="EL74" s="189"/>
      <c r="EM74" s="189"/>
      <c r="EN74" s="189"/>
      <c r="EO74" s="189"/>
      <c r="EP74" s="189"/>
      <c r="EQ74" s="189"/>
      <c r="ER74" s="189"/>
      <c r="ES74" s="189"/>
      <c r="ET74" s="189"/>
      <c r="EU74" s="189"/>
      <c r="EV74" s="189"/>
      <c r="EW74" s="189"/>
      <c r="EX74" s="189"/>
      <c r="EY74" s="189"/>
      <c r="EZ74" s="189"/>
      <c r="FA74" s="189"/>
      <c r="FB74" s="189"/>
      <c r="FC74" s="189"/>
      <c r="FD74" s="189"/>
      <c r="FE74" s="189"/>
      <c r="FF74" s="189"/>
      <c r="FG74" s="195"/>
      <c r="FH74" s="189"/>
      <c r="FI74" s="189"/>
      <c r="FJ74" s="189"/>
      <c r="FK74" s="189"/>
      <c r="FL74" s="189"/>
      <c r="FM74" s="189"/>
      <c r="FN74" s="189"/>
      <c r="FO74" s="189"/>
      <c r="FP74" s="189"/>
      <c r="FQ74" s="189"/>
      <c r="FR74" s="189"/>
      <c r="FS74" s="189"/>
      <c r="FT74" s="189"/>
      <c r="FU74" s="189"/>
      <c r="FV74" s="189"/>
      <c r="FW74" s="195"/>
      <c r="FX74" s="253">
        <v>1</v>
      </c>
      <c r="FY74" s="189">
        <f t="shared" ref="FY74:FY75" si="447">SUM(FZ74:GE74)</f>
        <v>33</v>
      </c>
      <c r="FZ74" s="189">
        <f t="shared" ref="FZ74:FZ75" si="448">DI74+CE74</f>
        <v>33</v>
      </c>
      <c r="GA74" s="189">
        <f t="shared" ref="GA74:GA75" si="449">DJ74+CF74</f>
        <v>0</v>
      </c>
      <c r="GB74" s="189">
        <f t="shared" ref="GB74:GB75" si="450">DK74+CG74</f>
        <v>0</v>
      </c>
      <c r="GC74" s="189">
        <f t="shared" ref="GC74:GC75" si="451">DM74+CI74</f>
        <v>0</v>
      </c>
      <c r="GD74" s="189">
        <f t="shared" ref="GD74:GD75" si="452">DO74+CK74</f>
        <v>0</v>
      </c>
      <c r="GE74" s="189">
        <f t="shared" ref="GE74:GE75" si="453">DT74+CP74</f>
        <v>0</v>
      </c>
      <c r="GF74" s="199"/>
      <c r="GG74" s="189">
        <v>0</v>
      </c>
      <c r="GH74" s="189">
        <v>0</v>
      </c>
      <c r="GI74" s="199"/>
      <c r="GJ74" s="200">
        <f t="shared" ref="GJ74:GJ75" si="454">FY74*GG74/1000000000</f>
        <v>0</v>
      </c>
      <c r="GK74" s="200">
        <f t="shared" ref="GK74:GK75" si="455">FY74*GH74/1000000000</f>
        <v>0</v>
      </c>
      <c r="GL74" s="195"/>
      <c r="GM74" s="195"/>
      <c r="GN74" s="195"/>
      <c r="GO74" s="189">
        <f t="shared" si="246"/>
        <v>0</v>
      </c>
      <c r="GP74" s="189">
        <f t="shared" si="247"/>
        <v>0</v>
      </c>
      <c r="GQ74" s="189">
        <f t="shared" si="248"/>
        <v>0</v>
      </c>
      <c r="GR74" s="189">
        <f t="shared" si="249"/>
        <v>0</v>
      </c>
      <c r="GS74" s="189">
        <f t="shared" si="250"/>
        <v>0</v>
      </c>
      <c r="GT74" s="189">
        <f t="shared" ref="GT74:GT82" si="456">IF(SUM(GO74:GS74)=0,1,0)</f>
        <v>1</v>
      </c>
      <c r="GU74" s="201">
        <f t="shared" ref="GU74:GU107" si="457">$GU$3</f>
        <v>43243</v>
      </c>
      <c r="GV74" s="189" t="str">
        <f t="shared" ref="GV74:GV82" si="458">IF(GO74&gt;0,$GO$6,IF(GP74&gt;0,$GP$6,IF(GQ74&gt;0,$GQ$6,IF(GR74&gt;0,$GR$6,IF(GS74&gt;0,$GS$6,IF(GT74&gt;0,$GT$6,0))))))</f>
        <v>SELESAI</v>
      </c>
      <c r="GW74" s="189">
        <f t="shared" ref="GW74:GW82" si="459">IF(GV74=$GO$6,GO74,IF(GV74=$GP$6,GP74,IF(GV74=$GQ$6,GQ74,IF(GV74=$GR$6,GR74,IF(GV74=$GS$6,GS74,0)))))</f>
        <v>0</v>
      </c>
      <c r="GX74" s="202" t="str">
        <f t="shared" ref="GX74:GX82" si="460">GV74</f>
        <v>SELESAI</v>
      </c>
      <c r="GY74" s="202">
        <f t="shared" ref="GY74:GY82" si="461">IF(GX74="DNP",SUM($GY$4:$GY$8),IF(GX74="Survey KJPP",SUM($GY$5:$GY$8),IF(GX74="Hasil Valuasi",SUM($GY$6:$GY$8),IF(GX74="Musyawarah",SUM($GY$7:$GY$8),IF(GX74="UGR",$GY$8,0)))))</f>
        <v>0</v>
      </c>
      <c r="GZ74" s="203" t="str">
        <f t="shared" ref="GZ74:GZ82" si="462">IF(GW74=0,"SELESAI",GU74+GY74)</f>
        <v>SELESAI</v>
      </c>
      <c r="HA74" s="204"/>
      <c r="HB74" s="204"/>
      <c r="HC74" s="189">
        <f t="shared" si="251"/>
        <v>0</v>
      </c>
      <c r="HD74" s="189">
        <f t="shared" si="252"/>
        <v>0</v>
      </c>
      <c r="HE74" s="189">
        <f t="shared" ref="HE74:HE82" si="463">HC74+HD74</f>
        <v>0</v>
      </c>
      <c r="HF74" s="189">
        <f t="shared" ref="HF74:HF82" si="464">FQ74</f>
        <v>0</v>
      </c>
      <c r="HG74" s="189">
        <f t="shared" ref="HG74:HG82" si="465">HE74-HF74</f>
        <v>0</v>
      </c>
      <c r="HH74" s="201" t="str">
        <f t="shared" si="411"/>
        <v>TIDAK KONSINYASI</v>
      </c>
      <c r="HI74" s="201" t="str">
        <f t="shared" ref="HI74:HI82" si="466">IF(GW74=0,"SELESAI",GZ74+$HI$8)</f>
        <v>SELESAI</v>
      </c>
      <c r="HJ74" s="205"/>
      <c r="HK74" s="201">
        <f t="shared" si="412"/>
        <v>0</v>
      </c>
      <c r="HL74" s="204"/>
      <c r="HM74" s="204"/>
      <c r="HN74" s="204"/>
      <c r="HO74" s="204"/>
      <c r="HP74" s="203">
        <f t="shared" ref="HP74:HP82" si="467">IF(HQ74=1,GZ74,0)</f>
        <v>0</v>
      </c>
      <c r="HQ74" s="202">
        <f t="shared" ref="HQ74:HQ82" si="468">IF(IX74=0,IF(HT74=0,IF(IP74=0,IF(GV74="UGR",GS74,0),0),0),0)</f>
        <v>0</v>
      </c>
      <c r="HR74" s="202">
        <f t="shared" si="253"/>
        <v>0</v>
      </c>
      <c r="HS74" s="203">
        <f t="shared" ref="HS74:HS82" si="469">IF(HT74=1,HH74,0)</f>
        <v>0</v>
      </c>
      <c r="HT74" s="202">
        <f t="shared" ref="HT74:HT82" si="470">HG74</f>
        <v>0</v>
      </c>
      <c r="HU74" s="202">
        <f t="shared" si="254"/>
        <v>0</v>
      </c>
      <c r="HV74" s="203">
        <f t="shared" ref="HV74:HV82" si="471">IF(HW74=1,GZ74,0)</f>
        <v>0</v>
      </c>
      <c r="HW74" s="202">
        <f t="shared" si="413"/>
        <v>0</v>
      </c>
      <c r="HX74" s="202">
        <f t="shared" si="255"/>
        <v>0</v>
      </c>
      <c r="HY74" s="203">
        <f t="shared" si="414"/>
        <v>0</v>
      </c>
      <c r="HZ74" s="202">
        <f t="shared" ref="HZ74:HZ82" si="472">HW74</f>
        <v>0</v>
      </c>
      <c r="IA74" s="202">
        <f t="shared" si="256"/>
        <v>0</v>
      </c>
      <c r="IB74" s="203">
        <f t="shared" ref="IB74:IB82" si="473">IF(IC74=1,$GU$3+SUM($GY$6:$GY$8),0)</f>
        <v>0</v>
      </c>
      <c r="IC74" s="202">
        <f t="shared" si="415"/>
        <v>0</v>
      </c>
      <c r="ID74" s="202">
        <f t="shared" si="257"/>
        <v>0</v>
      </c>
      <c r="IE74" s="203">
        <f t="shared" si="416"/>
        <v>0</v>
      </c>
      <c r="IF74" s="202">
        <f t="shared" si="417"/>
        <v>0</v>
      </c>
      <c r="IG74" s="202">
        <f t="shared" si="258"/>
        <v>0</v>
      </c>
      <c r="IH74" s="203">
        <f t="shared" ref="IH74:IH82" si="474">IF(II74=1,$GU$3+SUM($GY$5:$GY$8),0)</f>
        <v>0</v>
      </c>
      <c r="II74" s="202">
        <f t="shared" ref="II74:II82" si="475">IF(GV74="Survey KJPP",GP74,0)</f>
        <v>0</v>
      </c>
      <c r="IJ74" s="202">
        <f t="shared" si="259"/>
        <v>0</v>
      </c>
      <c r="IK74" s="203">
        <f t="shared" si="418"/>
        <v>0</v>
      </c>
      <c r="IL74" s="202">
        <f t="shared" si="419"/>
        <v>0</v>
      </c>
      <c r="IM74" s="202">
        <f t="shared" si="260"/>
        <v>0</v>
      </c>
      <c r="IN74" s="204"/>
      <c r="IO74" s="203">
        <f t="shared" si="420"/>
        <v>0</v>
      </c>
      <c r="IP74" s="202">
        <f t="shared" si="261"/>
        <v>0</v>
      </c>
      <c r="IQ74" s="202">
        <f t="shared" si="262"/>
        <v>0</v>
      </c>
      <c r="IR74" s="204"/>
      <c r="IS74" s="203"/>
      <c r="IT74" s="202">
        <f t="shared" si="263"/>
        <v>1</v>
      </c>
      <c r="IU74" s="202">
        <f t="shared" si="264"/>
        <v>150</v>
      </c>
      <c r="IV74" s="204"/>
      <c r="IW74" s="203"/>
      <c r="IX74" s="202">
        <f t="shared" si="265"/>
        <v>0</v>
      </c>
      <c r="IY74" s="202">
        <f t="shared" si="266"/>
        <v>0</v>
      </c>
      <c r="IZ74" s="204"/>
      <c r="JA74" s="203"/>
      <c r="JB74" s="202">
        <f t="shared" si="267"/>
        <v>0</v>
      </c>
      <c r="JC74" s="202">
        <f t="shared" si="268"/>
        <v>0</v>
      </c>
      <c r="JD74" s="204"/>
      <c r="JE74" s="203"/>
      <c r="JF74" s="202">
        <f t="shared" ref="JF74:JG82" si="476">IT74+HQ74+HT74+HZ74+IF74+IL74+IP74+IX74+JB74</f>
        <v>1</v>
      </c>
      <c r="JG74" s="202">
        <f t="shared" si="476"/>
        <v>150</v>
      </c>
      <c r="JH74" s="204"/>
      <c r="JI74" s="203"/>
      <c r="JJ74" s="202">
        <f t="shared" si="269"/>
        <v>0</v>
      </c>
      <c r="JK74" s="202">
        <f t="shared" si="270"/>
        <v>0</v>
      </c>
      <c r="JL74" s="195"/>
      <c r="JM74" s="203">
        <f t="shared" ref="JM74:JM82" si="477">MAX(IW74,IS74,IO74,IK74,IE74,HY74,HS74,HP74)</f>
        <v>0</v>
      </c>
      <c r="JN74" s="195"/>
      <c r="JO74" s="196">
        <f t="shared" si="421"/>
        <v>1</v>
      </c>
      <c r="JP74" s="206">
        <f t="shared" si="271"/>
        <v>33</v>
      </c>
      <c r="JQ74" s="206">
        <f t="shared" si="272"/>
        <v>1</v>
      </c>
      <c r="JR74" s="206">
        <f t="shared" si="273"/>
        <v>0</v>
      </c>
      <c r="JS74" s="206">
        <f t="shared" si="274"/>
        <v>0</v>
      </c>
      <c r="JT74" s="206">
        <f t="shared" si="275"/>
        <v>0</v>
      </c>
      <c r="JU74" s="206">
        <f t="shared" si="276"/>
        <v>0</v>
      </c>
      <c r="JV74" s="206">
        <f t="shared" si="277"/>
        <v>0</v>
      </c>
      <c r="JW74" s="206">
        <f t="shared" si="278"/>
        <v>0</v>
      </c>
      <c r="JX74" s="206">
        <f t="shared" si="279"/>
        <v>0</v>
      </c>
      <c r="JY74" s="206">
        <f t="shared" si="280"/>
        <v>0</v>
      </c>
      <c r="JZ74" s="206">
        <f t="shared" si="281"/>
        <v>0</v>
      </c>
      <c r="KA74" s="206">
        <f t="shared" si="282"/>
        <v>0</v>
      </c>
      <c r="KB74" s="206">
        <f t="shared" si="283"/>
        <v>0</v>
      </c>
      <c r="KC74" s="195"/>
      <c r="KD74" s="206">
        <f t="shared" ref="KD74:KD86" si="478">IF(IF(SUM(GA74:GE74)&gt;100,1,0)+IF(FX74=1,1,0)=2,1,0)</f>
        <v>0</v>
      </c>
      <c r="KE74" s="206">
        <f t="shared" si="422"/>
        <v>0</v>
      </c>
      <c r="KF74" s="206">
        <f t="shared" si="284"/>
        <v>33</v>
      </c>
      <c r="KG74" s="206">
        <f t="shared" si="285"/>
        <v>33</v>
      </c>
      <c r="KH74" s="206">
        <f t="shared" si="286"/>
        <v>0</v>
      </c>
      <c r="KI74" s="206">
        <f t="shared" si="287"/>
        <v>0</v>
      </c>
      <c r="KJ74" s="206">
        <f t="shared" si="288"/>
        <v>0</v>
      </c>
      <c r="KK74" s="206">
        <f t="shared" si="289"/>
        <v>0</v>
      </c>
      <c r="KL74" s="206">
        <f t="shared" si="290"/>
        <v>0</v>
      </c>
      <c r="KM74" s="206">
        <f t="shared" si="291"/>
        <v>0</v>
      </c>
      <c r="KN74" s="221">
        <f t="shared" si="292"/>
        <v>0</v>
      </c>
      <c r="KO74" s="221">
        <f t="shared" si="293"/>
        <v>0</v>
      </c>
      <c r="KP74" s="221">
        <f t="shared" si="294"/>
        <v>0</v>
      </c>
      <c r="KQ74" s="221">
        <f t="shared" si="295"/>
        <v>0</v>
      </c>
      <c r="KR74" s="221">
        <f t="shared" si="296"/>
        <v>0</v>
      </c>
      <c r="KS74" s="195"/>
      <c r="KT74" s="195">
        <f t="shared" si="297"/>
        <v>0</v>
      </c>
      <c r="KU74" s="221"/>
      <c r="KV74" s="221"/>
      <c r="KW74" s="221"/>
      <c r="KX74" s="221"/>
      <c r="KY74" s="221"/>
      <c r="KZ74" s="221"/>
      <c r="LA74" s="221"/>
      <c r="LB74" s="221"/>
      <c r="LC74" s="221"/>
      <c r="LD74" s="221"/>
      <c r="LE74" s="221"/>
      <c r="LF74" s="221"/>
      <c r="LG74" s="221"/>
      <c r="LH74" s="221"/>
      <c r="LI74" s="221"/>
      <c r="LJ74" s="221"/>
      <c r="LK74" s="221"/>
      <c r="LL74" s="221"/>
      <c r="LM74" s="221"/>
      <c r="LN74" s="221"/>
      <c r="LO74" s="221"/>
      <c r="LP74" s="221"/>
      <c r="LQ74" s="221"/>
      <c r="LR74" s="221"/>
      <c r="LS74" s="221"/>
      <c r="LT74" s="221"/>
      <c r="LU74" s="221"/>
      <c r="LV74" s="221"/>
      <c r="LW74" s="221"/>
      <c r="LX74" s="221"/>
      <c r="LY74" s="221"/>
      <c r="LZ74" s="221"/>
      <c r="MA74" s="221"/>
      <c r="MB74" s="221"/>
      <c r="MC74" s="221"/>
      <c r="MD74" s="221"/>
      <c r="ME74" s="221"/>
      <c r="MF74" s="221"/>
      <c r="MG74" s="221"/>
      <c r="MH74" s="221"/>
      <c r="MI74" s="221"/>
      <c r="MJ74" s="221"/>
      <c r="MK74" s="221"/>
      <c r="ML74" s="221"/>
      <c r="MM74" s="221"/>
      <c r="MN74" s="221"/>
      <c r="MO74" s="221"/>
      <c r="MP74" s="221"/>
      <c r="MQ74" s="221"/>
      <c r="MR74" s="221"/>
      <c r="MS74" s="221"/>
      <c r="MT74" s="221"/>
      <c r="MU74" s="221"/>
      <c r="MV74" s="221"/>
      <c r="MW74" s="221"/>
      <c r="MX74" s="221"/>
      <c r="MY74" s="221"/>
      <c r="MZ74" s="221"/>
      <c r="NA74" s="221"/>
      <c r="NB74" s="221"/>
      <c r="NC74" s="221"/>
      <c r="ND74" s="221"/>
      <c r="NE74" s="221"/>
      <c r="NF74" s="221"/>
      <c r="NG74" s="221"/>
      <c r="NH74" s="221"/>
      <c r="NI74" s="221"/>
      <c r="NJ74" s="221"/>
      <c r="NK74" s="221"/>
      <c r="NL74" s="195"/>
      <c r="NM74" s="195">
        <f t="shared" ref="NM74:NM83" si="479">IF(KS74=1,1,0)</f>
        <v>0</v>
      </c>
      <c r="NN74" s="195">
        <f t="shared" ref="NN74:NN83" si="480">IF(KS74=2,1,0)</f>
        <v>0</v>
      </c>
      <c r="NO74" s="195">
        <f t="shared" ref="NO74:NO83" si="481">IF(KS74=3,1,0)</f>
        <v>0</v>
      </c>
      <c r="NP74" s="195">
        <f t="shared" ref="NP74:NP83" si="482">IF(KS74=4,1,0)</f>
        <v>0</v>
      </c>
      <c r="NQ74" s="195">
        <f t="shared" ref="NQ74:NQ83" si="483">IF(KS74=5,1,0)</f>
        <v>0</v>
      </c>
      <c r="NR74" s="195">
        <f t="shared" ref="NR74:NR83" si="484">IF(KS74=6,1,0)</f>
        <v>0</v>
      </c>
      <c r="NS74" s="195">
        <f t="shared" ref="NS74:NS83" si="485">IF(KS74=7,1,0)</f>
        <v>0</v>
      </c>
      <c r="NT74" s="195">
        <f t="shared" ref="NT74:NT83" si="486">SUM(NM74:NS74)</f>
        <v>0</v>
      </c>
      <c r="NU74" s="196">
        <f t="shared" ref="NU74:NU83" si="487">NT74-KT74</f>
        <v>0</v>
      </c>
      <c r="NV74" s="195"/>
      <c r="NW74" s="195"/>
      <c r="NX74" s="195"/>
      <c r="NY74" s="196">
        <f t="shared" si="423"/>
        <v>1</v>
      </c>
      <c r="NZ74" s="222">
        <v>7996800</v>
      </c>
      <c r="OA74" s="195"/>
      <c r="OB74" s="195"/>
      <c r="OC74" s="195"/>
      <c r="OD74" s="195"/>
      <c r="OE74" s="207">
        <f t="shared" si="424"/>
        <v>0</v>
      </c>
      <c r="OF74" s="207">
        <f t="shared" si="425"/>
        <v>0</v>
      </c>
      <c r="OG74" s="207">
        <f t="shared" si="426"/>
        <v>0</v>
      </c>
      <c r="OH74" s="207">
        <f t="shared" ref="OH74:OH85" si="488">HE74</f>
        <v>0</v>
      </c>
      <c r="OI74" s="207">
        <f t="shared" si="427"/>
        <v>0</v>
      </c>
      <c r="OJ74" s="199">
        <f t="shared" ref="OJ74:OJ85" si="489">IF(OG74=1,OF74,0)</f>
        <v>0</v>
      </c>
      <c r="OK74" s="199">
        <f t="shared" ref="OK74:OK85" si="490">IF(OH74=1,OF74,0)</f>
        <v>0</v>
      </c>
      <c r="OL74" s="199">
        <f t="shared" ref="OL74:OL85" si="491">IF((OG74+OH74)=0,OF74,0)</f>
        <v>0</v>
      </c>
      <c r="OM74" s="199">
        <f t="shared" ref="OM74:OM85" si="492">SUM(OJ74:OL74)</f>
        <v>0</v>
      </c>
      <c r="ON74" s="195"/>
      <c r="OO74" s="207">
        <f t="shared" si="428"/>
        <v>0</v>
      </c>
      <c r="OP74" s="207">
        <f t="shared" si="429"/>
        <v>0</v>
      </c>
      <c r="OQ74" s="207">
        <f t="shared" ref="OQ74:OQ85" si="493">OG74</f>
        <v>0</v>
      </c>
      <c r="OR74" s="207">
        <f t="shared" ref="OR74:OR85" si="494">OH74</f>
        <v>0</v>
      </c>
      <c r="OS74" s="207">
        <f t="shared" ref="OS74:OS85" si="495">OI74</f>
        <v>0</v>
      </c>
      <c r="OT74" s="199">
        <f t="shared" ref="OT74:OT85" si="496">IF(OQ74=1,OP74,0)</f>
        <v>0</v>
      </c>
      <c r="OU74" s="199">
        <f t="shared" ref="OU74:OU85" si="497">IF(OR74=1,OP74,0)</f>
        <v>0</v>
      </c>
      <c r="OV74" s="199">
        <f t="shared" ref="OV74:OV85" si="498">IF((OQ74+OR74)=0,OP74,0)</f>
        <v>0</v>
      </c>
      <c r="OW74" s="199">
        <f t="shared" ref="OW74:OW85" si="499">SUM(OT74:OV74)</f>
        <v>0</v>
      </c>
      <c r="OX74" s="195"/>
      <c r="OY74" s="195"/>
      <c r="OZ74" s="195"/>
      <c r="PA74" s="209"/>
      <c r="PB74" s="209"/>
      <c r="PC74" s="209"/>
      <c r="PD74" s="210">
        <f t="shared" si="430"/>
        <v>0</v>
      </c>
      <c r="PE74" s="210"/>
      <c r="PF74" s="210">
        <f t="shared" si="431"/>
        <v>0</v>
      </c>
      <c r="PG74" s="210">
        <f t="shared" si="302"/>
        <v>0</v>
      </c>
      <c r="PH74" s="210">
        <f t="shared" si="302"/>
        <v>0</v>
      </c>
      <c r="PI74" s="210">
        <f t="shared" si="302"/>
        <v>0</v>
      </c>
      <c r="PJ74" s="210">
        <f t="shared" si="300"/>
        <v>0</v>
      </c>
      <c r="PK74" s="210">
        <f t="shared" si="300"/>
        <v>0</v>
      </c>
      <c r="PL74" s="210">
        <f t="shared" si="300"/>
        <v>0</v>
      </c>
      <c r="PM74" s="195"/>
      <c r="PN74" s="195"/>
      <c r="PO74" s="212">
        <f t="shared" ref="PO74:PO86" si="500">IF(FC74=1,AB74,0)</f>
        <v>0</v>
      </c>
      <c r="PP74" s="212">
        <f t="shared" ref="PP74:PP86" si="501">IF(FF74=1,AB74,0)</f>
        <v>0</v>
      </c>
      <c r="PQ74" s="212">
        <f t="shared" ref="PQ74:PQ86" si="502">AB74-(PO74+PP74)</f>
        <v>0</v>
      </c>
    </row>
    <row r="75" spans="1:433 16383:16384" ht="16" x14ac:dyDescent="0.2">
      <c r="A75" s="213">
        <f t="shared" si="190"/>
        <v>66</v>
      </c>
      <c r="B75" s="186" t="s">
        <v>421</v>
      </c>
      <c r="C75" s="186">
        <v>68</v>
      </c>
      <c r="D75" s="188">
        <v>1</v>
      </c>
      <c r="E75" s="188">
        <v>150</v>
      </c>
      <c r="F75" s="188">
        <v>1</v>
      </c>
      <c r="G75" s="188">
        <f t="shared" si="239"/>
        <v>150</v>
      </c>
      <c r="H75" s="214">
        <f t="shared" si="360"/>
        <v>1</v>
      </c>
      <c r="I75" s="214">
        <f t="shared" si="361"/>
        <v>1</v>
      </c>
      <c r="J75" s="188">
        <v>1</v>
      </c>
      <c r="K75" s="188">
        <f t="shared" si="362"/>
        <v>150</v>
      </c>
      <c r="L75" s="214">
        <f t="shared" si="363"/>
        <v>1</v>
      </c>
      <c r="M75" s="214">
        <f t="shared" si="364"/>
        <v>1</v>
      </c>
      <c r="N75" s="188">
        <v>1</v>
      </c>
      <c r="O75" s="188">
        <f t="shared" si="365"/>
        <v>150</v>
      </c>
      <c r="P75" s="214">
        <f t="shared" si="366"/>
        <v>1</v>
      </c>
      <c r="Q75" s="214">
        <f t="shared" si="367"/>
        <v>1</v>
      </c>
      <c r="R75" s="188">
        <v>1</v>
      </c>
      <c r="S75" s="188">
        <f t="shared" si="368"/>
        <v>150</v>
      </c>
      <c r="T75" s="214">
        <f t="shared" si="369"/>
        <v>1</v>
      </c>
      <c r="U75" s="214">
        <f t="shared" si="370"/>
        <v>1</v>
      </c>
      <c r="V75" s="188">
        <v>1</v>
      </c>
      <c r="W75" s="188">
        <f t="shared" si="371"/>
        <v>150</v>
      </c>
      <c r="X75" s="214">
        <f t="shared" si="372"/>
        <v>1</v>
      </c>
      <c r="Y75" s="214">
        <f t="shared" si="373"/>
        <v>1</v>
      </c>
      <c r="Z75" s="224">
        <f>1709497000/1000000000</f>
        <v>1.709497</v>
      </c>
      <c r="AA75" s="188"/>
      <c r="AB75" s="189">
        <f t="shared" si="374"/>
        <v>0</v>
      </c>
      <c r="AC75" s="250">
        <f t="shared" si="375"/>
        <v>0</v>
      </c>
      <c r="AD75" s="250">
        <f t="shared" si="376"/>
        <v>0</v>
      </c>
      <c r="AE75" s="188"/>
      <c r="AF75" s="223">
        <f t="shared" si="377"/>
        <v>0</v>
      </c>
      <c r="AG75" s="254"/>
      <c r="AH75" s="254"/>
      <c r="AI75" s="188">
        <v>0</v>
      </c>
      <c r="AJ75" s="188">
        <f t="shared" si="378"/>
        <v>0</v>
      </c>
      <c r="AK75" s="188"/>
      <c r="AL75" s="188"/>
      <c r="AM75" s="188"/>
      <c r="AN75" s="217"/>
      <c r="AO75" s="196">
        <f t="shared" si="432"/>
        <v>0</v>
      </c>
      <c r="AP75" s="195"/>
      <c r="AQ75" s="195"/>
      <c r="AR75" s="195"/>
      <c r="AS75" s="195"/>
      <c r="AT75" s="195"/>
      <c r="AU75" s="195"/>
      <c r="AV75" s="195"/>
      <c r="AW75" s="195"/>
      <c r="AX75" s="195"/>
      <c r="AY75" s="195"/>
      <c r="AZ75" s="195"/>
      <c r="BA75" s="195"/>
      <c r="BB75" s="188">
        <f t="shared" si="379"/>
        <v>0</v>
      </c>
      <c r="BC75" s="195"/>
      <c r="BD75" s="196"/>
      <c r="BE75" s="188">
        <f t="shared" si="380"/>
        <v>0</v>
      </c>
      <c r="BF75" s="188">
        <f t="shared" si="381"/>
        <v>0</v>
      </c>
      <c r="BG75" s="188">
        <f t="shared" si="382"/>
        <v>0</v>
      </c>
      <c r="BH75" s="188">
        <f t="shared" si="383"/>
        <v>0</v>
      </c>
      <c r="BI75" s="188">
        <f t="shared" si="384"/>
        <v>0</v>
      </c>
      <c r="BJ75" s="188">
        <f t="shared" si="385"/>
        <v>0</v>
      </c>
      <c r="BK75" s="188">
        <f t="shared" si="386"/>
        <v>0</v>
      </c>
      <c r="BL75" s="195"/>
      <c r="BM75" s="195"/>
      <c r="BN75" s="277">
        <v>86</v>
      </c>
      <c r="BO75" s="139">
        <v>1</v>
      </c>
      <c r="BP75" s="188"/>
      <c r="BQ75" s="188"/>
      <c r="BR75" s="188"/>
      <c r="BS75" s="188"/>
      <c r="BT75" s="188"/>
      <c r="BU75" s="188"/>
      <c r="BV75" s="188"/>
      <c r="BW75" s="188"/>
      <c r="BX75" s="188"/>
      <c r="BY75" s="188"/>
      <c r="BZ75" s="188"/>
      <c r="CA75" s="195"/>
      <c r="CB75" s="188">
        <v>0</v>
      </c>
      <c r="CC75" s="195"/>
      <c r="CD75" s="189">
        <f t="shared" si="433"/>
        <v>86</v>
      </c>
      <c r="CE75" s="189">
        <f t="shared" ref="CE75:CE82" si="503">IF(BO75=1,$CD75,0)</f>
        <v>86</v>
      </c>
      <c r="CF75" s="189">
        <f t="shared" si="434"/>
        <v>0</v>
      </c>
      <c r="CG75" s="189">
        <f t="shared" si="435"/>
        <v>0</v>
      </c>
      <c r="CH75" s="189">
        <f t="shared" si="436"/>
        <v>0</v>
      </c>
      <c r="CI75" s="189">
        <f t="shared" si="437"/>
        <v>0</v>
      </c>
      <c r="CJ75" s="189">
        <f t="shared" si="438"/>
        <v>0</v>
      </c>
      <c r="CK75" s="189">
        <f t="shared" si="439"/>
        <v>0</v>
      </c>
      <c r="CL75" s="189">
        <f t="shared" si="440"/>
        <v>0</v>
      </c>
      <c r="CM75" s="189">
        <f t="shared" si="441"/>
        <v>0</v>
      </c>
      <c r="CN75" s="189">
        <f t="shared" si="442"/>
        <v>0</v>
      </c>
      <c r="CO75" s="189">
        <f t="shared" si="443"/>
        <v>0</v>
      </c>
      <c r="CP75" s="189">
        <f t="shared" si="444"/>
        <v>0</v>
      </c>
      <c r="CQ75" s="195"/>
      <c r="CR75" s="195"/>
      <c r="CS75" s="195"/>
      <c r="CT75" s="195"/>
      <c r="CU75" s="195"/>
      <c r="CV75" s="195"/>
      <c r="CW75" s="195"/>
      <c r="CX75" s="195"/>
      <c r="CY75" s="195"/>
      <c r="CZ75" s="195"/>
      <c r="DA75" s="195"/>
      <c r="DB75" s="195"/>
      <c r="DC75" s="195"/>
      <c r="DD75" s="195"/>
      <c r="DE75" s="195"/>
      <c r="DF75" s="195"/>
      <c r="DG75" s="195"/>
      <c r="DH75" s="195"/>
      <c r="DI75" s="195"/>
      <c r="DJ75" s="195"/>
      <c r="DK75" s="195"/>
      <c r="DL75" s="195"/>
      <c r="DM75" s="195"/>
      <c r="DN75" s="195"/>
      <c r="DO75" s="195"/>
      <c r="DP75" s="195"/>
      <c r="DQ75" s="195"/>
      <c r="DR75" s="195"/>
      <c r="DS75" s="195"/>
      <c r="DT75" s="195"/>
      <c r="DU75" s="195"/>
      <c r="DV75" s="189">
        <f t="shared" si="398"/>
        <v>0</v>
      </c>
      <c r="DW75" s="189">
        <f t="shared" si="399"/>
        <v>0</v>
      </c>
      <c r="DX75" s="189">
        <f t="shared" si="400"/>
        <v>0</v>
      </c>
      <c r="DY75" s="189">
        <f t="shared" si="401"/>
        <v>0</v>
      </c>
      <c r="DZ75" s="189">
        <f t="shared" si="402"/>
        <v>0</v>
      </c>
      <c r="EA75" s="189">
        <f t="shared" si="403"/>
        <v>0</v>
      </c>
      <c r="EB75" s="189">
        <f t="shared" si="404"/>
        <v>0</v>
      </c>
      <c r="EC75" s="195"/>
      <c r="ED75" s="195"/>
      <c r="EE75" s="195"/>
      <c r="EF75" s="195"/>
      <c r="EG75" s="252">
        <f t="shared" si="445"/>
        <v>0</v>
      </c>
      <c r="EH75" s="252">
        <f t="shared" si="446"/>
        <v>0</v>
      </c>
      <c r="EI75" s="189"/>
      <c r="EJ75" s="189"/>
      <c r="EK75" s="189"/>
      <c r="EL75" s="189"/>
      <c r="EM75" s="189"/>
      <c r="EN75" s="189"/>
      <c r="EO75" s="189"/>
      <c r="EP75" s="189"/>
      <c r="EQ75" s="189"/>
      <c r="ER75" s="189"/>
      <c r="ES75" s="189"/>
      <c r="ET75" s="189"/>
      <c r="EU75" s="189"/>
      <c r="EV75" s="189"/>
      <c r="EW75" s="189"/>
      <c r="EX75" s="189"/>
      <c r="EY75" s="189"/>
      <c r="EZ75" s="189"/>
      <c r="FA75" s="189"/>
      <c r="FB75" s="189"/>
      <c r="FC75" s="189"/>
      <c r="FD75" s="189"/>
      <c r="FE75" s="189"/>
      <c r="FF75" s="189"/>
      <c r="FG75" s="195"/>
      <c r="FH75" s="189"/>
      <c r="FI75" s="189"/>
      <c r="FJ75" s="189"/>
      <c r="FK75" s="189"/>
      <c r="FL75" s="189"/>
      <c r="FM75" s="189"/>
      <c r="FN75" s="189"/>
      <c r="FO75" s="189"/>
      <c r="FP75" s="189"/>
      <c r="FQ75" s="189"/>
      <c r="FR75" s="189"/>
      <c r="FS75" s="189"/>
      <c r="FT75" s="189"/>
      <c r="FU75" s="189"/>
      <c r="FV75" s="189"/>
      <c r="FW75" s="195"/>
      <c r="FX75" s="253">
        <v>1</v>
      </c>
      <c r="FY75" s="189">
        <f t="shared" si="447"/>
        <v>86</v>
      </c>
      <c r="FZ75" s="189">
        <f t="shared" si="448"/>
        <v>86</v>
      </c>
      <c r="GA75" s="189">
        <f t="shared" si="449"/>
        <v>0</v>
      </c>
      <c r="GB75" s="189">
        <f t="shared" si="450"/>
        <v>0</v>
      </c>
      <c r="GC75" s="189">
        <f t="shared" si="451"/>
        <v>0</v>
      </c>
      <c r="GD75" s="189">
        <f t="shared" si="452"/>
        <v>0</v>
      </c>
      <c r="GE75" s="189">
        <f t="shared" si="453"/>
        <v>0</v>
      </c>
      <c r="GF75" s="199"/>
      <c r="GG75" s="189">
        <v>0</v>
      </c>
      <c r="GH75" s="189">
        <v>0</v>
      </c>
      <c r="GI75" s="199"/>
      <c r="GJ75" s="200">
        <f t="shared" si="454"/>
        <v>0</v>
      </c>
      <c r="GK75" s="200">
        <f t="shared" si="455"/>
        <v>0</v>
      </c>
      <c r="GL75" s="195"/>
      <c r="GM75" s="195"/>
      <c r="GN75" s="195"/>
      <c r="GO75" s="189">
        <f t="shared" si="246"/>
        <v>0</v>
      </c>
      <c r="GP75" s="189">
        <f t="shared" si="247"/>
        <v>0</v>
      </c>
      <c r="GQ75" s="189">
        <f t="shared" si="248"/>
        <v>0</v>
      </c>
      <c r="GR75" s="189">
        <f t="shared" si="249"/>
        <v>0</v>
      </c>
      <c r="GS75" s="189">
        <f t="shared" si="250"/>
        <v>0</v>
      </c>
      <c r="GT75" s="189">
        <f t="shared" si="456"/>
        <v>1</v>
      </c>
      <c r="GU75" s="201">
        <f t="shared" si="457"/>
        <v>43243</v>
      </c>
      <c r="GV75" s="189" t="str">
        <f t="shared" si="458"/>
        <v>SELESAI</v>
      </c>
      <c r="GW75" s="189">
        <f t="shared" si="459"/>
        <v>0</v>
      </c>
      <c r="GX75" s="202" t="str">
        <f t="shared" si="460"/>
        <v>SELESAI</v>
      </c>
      <c r="GY75" s="202">
        <f t="shared" si="461"/>
        <v>0</v>
      </c>
      <c r="GZ75" s="203" t="str">
        <f t="shared" si="462"/>
        <v>SELESAI</v>
      </c>
      <c r="HA75" s="204"/>
      <c r="HB75" s="204"/>
      <c r="HC75" s="189">
        <f t="shared" si="251"/>
        <v>0</v>
      </c>
      <c r="HD75" s="189">
        <f t="shared" si="252"/>
        <v>0</v>
      </c>
      <c r="HE75" s="189">
        <f t="shared" si="463"/>
        <v>0</v>
      </c>
      <c r="HF75" s="189">
        <f t="shared" si="464"/>
        <v>0</v>
      </c>
      <c r="HG75" s="189">
        <f t="shared" si="465"/>
        <v>0</v>
      </c>
      <c r="HH75" s="201" t="str">
        <f t="shared" si="411"/>
        <v>TIDAK KONSINYASI</v>
      </c>
      <c r="HI75" s="201" t="str">
        <f t="shared" si="466"/>
        <v>SELESAI</v>
      </c>
      <c r="HJ75" s="205"/>
      <c r="HK75" s="201">
        <f t="shared" si="412"/>
        <v>0</v>
      </c>
      <c r="HL75" s="204"/>
      <c r="HM75" s="204"/>
      <c r="HN75" s="204"/>
      <c r="HO75" s="204"/>
      <c r="HP75" s="203">
        <f t="shared" si="467"/>
        <v>0</v>
      </c>
      <c r="HQ75" s="202">
        <f t="shared" si="468"/>
        <v>0</v>
      </c>
      <c r="HR75" s="202">
        <f t="shared" si="253"/>
        <v>0</v>
      </c>
      <c r="HS75" s="203">
        <f t="shared" si="469"/>
        <v>0</v>
      </c>
      <c r="HT75" s="202">
        <f t="shared" si="470"/>
        <v>0</v>
      </c>
      <c r="HU75" s="202">
        <f t="shared" si="254"/>
        <v>0</v>
      </c>
      <c r="HV75" s="203">
        <f t="shared" si="471"/>
        <v>0</v>
      </c>
      <c r="HW75" s="202">
        <f t="shared" si="413"/>
        <v>0</v>
      </c>
      <c r="HX75" s="202">
        <f t="shared" si="255"/>
        <v>0</v>
      </c>
      <c r="HY75" s="203">
        <f t="shared" si="414"/>
        <v>0</v>
      </c>
      <c r="HZ75" s="202">
        <f t="shared" si="472"/>
        <v>0</v>
      </c>
      <c r="IA75" s="202">
        <f t="shared" si="256"/>
        <v>0</v>
      </c>
      <c r="IB75" s="203">
        <f t="shared" si="473"/>
        <v>0</v>
      </c>
      <c r="IC75" s="202">
        <f t="shared" si="415"/>
        <v>0</v>
      </c>
      <c r="ID75" s="202">
        <f t="shared" si="257"/>
        <v>0</v>
      </c>
      <c r="IE75" s="203">
        <f t="shared" si="416"/>
        <v>0</v>
      </c>
      <c r="IF75" s="202">
        <f t="shared" si="417"/>
        <v>0</v>
      </c>
      <c r="IG75" s="202">
        <f t="shared" si="258"/>
        <v>0</v>
      </c>
      <c r="IH75" s="203">
        <f t="shared" si="474"/>
        <v>0</v>
      </c>
      <c r="II75" s="202">
        <f t="shared" si="475"/>
        <v>0</v>
      </c>
      <c r="IJ75" s="202">
        <f t="shared" si="259"/>
        <v>0</v>
      </c>
      <c r="IK75" s="203">
        <f t="shared" si="418"/>
        <v>0</v>
      </c>
      <c r="IL75" s="202">
        <f t="shared" si="419"/>
        <v>0</v>
      </c>
      <c r="IM75" s="202">
        <f t="shared" si="260"/>
        <v>0</v>
      </c>
      <c r="IN75" s="204"/>
      <c r="IO75" s="203">
        <f t="shared" si="420"/>
        <v>0</v>
      </c>
      <c r="IP75" s="202">
        <f t="shared" si="261"/>
        <v>0</v>
      </c>
      <c r="IQ75" s="202">
        <f t="shared" si="262"/>
        <v>0</v>
      </c>
      <c r="IR75" s="204"/>
      <c r="IS75" s="203"/>
      <c r="IT75" s="202">
        <f t="shared" si="263"/>
        <v>1</v>
      </c>
      <c r="IU75" s="202">
        <f t="shared" si="264"/>
        <v>150</v>
      </c>
      <c r="IV75" s="204"/>
      <c r="IW75" s="203"/>
      <c r="IX75" s="202">
        <f t="shared" si="265"/>
        <v>0</v>
      </c>
      <c r="IY75" s="202">
        <f t="shared" si="266"/>
        <v>0</v>
      </c>
      <c r="IZ75" s="204"/>
      <c r="JA75" s="203"/>
      <c r="JB75" s="202">
        <f t="shared" si="267"/>
        <v>0</v>
      </c>
      <c r="JC75" s="202">
        <f t="shared" si="268"/>
        <v>0</v>
      </c>
      <c r="JD75" s="204"/>
      <c r="JE75" s="203"/>
      <c r="JF75" s="202">
        <f t="shared" si="476"/>
        <v>1</v>
      </c>
      <c r="JG75" s="202">
        <f t="shared" si="476"/>
        <v>150</v>
      </c>
      <c r="JH75" s="204"/>
      <c r="JI75" s="203"/>
      <c r="JJ75" s="202">
        <f t="shared" si="269"/>
        <v>0</v>
      </c>
      <c r="JK75" s="202">
        <f t="shared" si="270"/>
        <v>0</v>
      </c>
      <c r="JL75" s="195"/>
      <c r="JM75" s="203">
        <f t="shared" si="477"/>
        <v>0</v>
      </c>
      <c r="JN75" s="195"/>
      <c r="JO75" s="196">
        <f t="shared" si="421"/>
        <v>1</v>
      </c>
      <c r="JP75" s="206">
        <f t="shared" si="271"/>
        <v>86</v>
      </c>
      <c r="JQ75" s="206">
        <f t="shared" si="272"/>
        <v>1</v>
      </c>
      <c r="JR75" s="206">
        <f t="shared" si="273"/>
        <v>0</v>
      </c>
      <c r="JS75" s="206">
        <f t="shared" si="274"/>
        <v>0</v>
      </c>
      <c r="JT75" s="206">
        <f t="shared" si="275"/>
        <v>0</v>
      </c>
      <c r="JU75" s="206">
        <f t="shared" si="276"/>
        <v>0</v>
      </c>
      <c r="JV75" s="206">
        <f t="shared" si="277"/>
        <v>0</v>
      </c>
      <c r="JW75" s="206">
        <f t="shared" si="278"/>
        <v>0</v>
      </c>
      <c r="JX75" s="206">
        <f t="shared" si="279"/>
        <v>0</v>
      </c>
      <c r="JY75" s="206">
        <f t="shared" si="280"/>
        <v>0</v>
      </c>
      <c r="JZ75" s="206">
        <f t="shared" si="281"/>
        <v>0</v>
      </c>
      <c r="KA75" s="206">
        <f t="shared" si="282"/>
        <v>0</v>
      </c>
      <c r="KB75" s="206">
        <f t="shared" si="283"/>
        <v>0</v>
      </c>
      <c r="KC75" s="195"/>
      <c r="KD75" s="206">
        <f t="shared" si="478"/>
        <v>0</v>
      </c>
      <c r="KE75" s="206">
        <f t="shared" si="422"/>
        <v>0</v>
      </c>
      <c r="KF75" s="206">
        <f t="shared" si="284"/>
        <v>86</v>
      </c>
      <c r="KG75" s="206">
        <f t="shared" si="285"/>
        <v>86</v>
      </c>
      <c r="KH75" s="206">
        <f t="shared" si="286"/>
        <v>0</v>
      </c>
      <c r="KI75" s="206">
        <f t="shared" si="287"/>
        <v>0</v>
      </c>
      <c r="KJ75" s="206">
        <f t="shared" si="288"/>
        <v>0</v>
      </c>
      <c r="KK75" s="206">
        <f t="shared" si="289"/>
        <v>0</v>
      </c>
      <c r="KL75" s="206">
        <f t="shared" si="290"/>
        <v>0</v>
      </c>
      <c r="KM75" s="206">
        <f t="shared" si="291"/>
        <v>0</v>
      </c>
      <c r="KN75" s="221">
        <f t="shared" si="292"/>
        <v>0</v>
      </c>
      <c r="KO75" s="221">
        <f t="shared" si="293"/>
        <v>0</v>
      </c>
      <c r="KP75" s="221">
        <f t="shared" si="294"/>
        <v>0</v>
      </c>
      <c r="KQ75" s="221">
        <f t="shared" si="295"/>
        <v>0</v>
      </c>
      <c r="KR75" s="221">
        <f t="shared" si="296"/>
        <v>0</v>
      </c>
      <c r="KS75" s="195"/>
      <c r="KT75" s="195">
        <f t="shared" si="297"/>
        <v>0</v>
      </c>
      <c r="KU75" s="221"/>
      <c r="KV75" s="221"/>
      <c r="KW75" s="221"/>
      <c r="KX75" s="221"/>
      <c r="KY75" s="221"/>
      <c r="KZ75" s="221"/>
      <c r="LA75" s="221"/>
      <c r="LB75" s="221"/>
      <c r="LC75" s="221"/>
      <c r="LD75" s="221"/>
      <c r="LE75" s="221"/>
      <c r="LF75" s="221"/>
      <c r="LG75" s="221"/>
      <c r="LH75" s="221"/>
      <c r="LI75" s="221"/>
      <c r="LJ75" s="221"/>
      <c r="LK75" s="221"/>
      <c r="LL75" s="221"/>
      <c r="LM75" s="221"/>
      <c r="LN75" s="221"/>
      <c r="LO75" s="221"/>
      <c r="LP75" s="221"/>
      <c r="LQ75" s="221"/>
      <c r="LR75" s="221"/>
      <c r="LS75" s="221"/>
      <c r="LT75" s="221"/>
      <c r="LU75" s="221"/>
      <c r="LV75" s="221"/>
      <c r="LW75" s="221"/>
      <c r="LX75" s="221"/>
      <c r="LY75" s="221"/>
      <c r="LZ75" s="221"/>
      <c r="MA75" s="221"/>
      <c r="MB75" s="221"/>
      <c r="MC75" s="221"/>
      <c r="MD75" s="221"/>
      <c r="ME75" s="221"/>
      <c r="MF75" s="221"/>
      <c r="MG75" s="221"/>
      <c r="MH75" s="221"/>
      <c r="MI75" s="221"/>
      <c r="MJ75" s="221"/>
      <c r="MK75" s="221"/>
      <c r="ML75" s="221"/>
      <c r="MM75" s="221"/>
      <c r="MN75" s="221"/>
      <c r="MO75" s="221"/>
      <c r="MP75" s="221"/>
      <c r="MQ75" s="221"/>
      <c r="MR75" s="221"/>
      <c r="MS75" s="221"/>
      <c r="MT75" s="221"/>
      <c r="MU75" s="221"/>
      <c r="MV75" s="221"/>
      <c r="MW75" s="221"/>
      <c r="MX75" s="221"/>
      <c r="MY75" s="221"/>
      <c r="MZ75" s="221"/>
      <c r="NA75" s="221"/>
      <c r="NB75" s="221"/>
      <c r="NC75" s="221"/>
      <c r="ND75" s="221"/>
      <c r="NE75" s="221"/>
      <c r="NF75" s="221"/>
      <c r="NG75" s="221"/>
      <c r="NH75" s="221"/>
      <c r="NI75" s="221"/>
      <c r="NJ75" s="221"/>
      <c r="NK75" s="221"/>
      <c r="NL75" s="195"/>
      <c r="NM75" s="195">
        <f t="shared" si="479"/>
        <v>0</v>
      </c>
      <c r="NN75" s="195">
        <f t="shared" si="480"/>
        <v>0</v>
      </c>
      <c r="NO75" s="195">
        <f t="shared" si="481"/>
        <v>0</v>
      </c>
      <c r="NP75" s="195">
        <f t="shared" si="482"/>
        <v>0</v>
      </c>
      <c r="NQ75" s="195">
        <f t="shared" si="483"/>
        <v>0</v>
      </c>
      <c r="NR75" s="195">
        <f t="shared" si="484"/>
        <v>0</v>
      </c>
      <c r="NS75" s="195">
        <f t="shared" si="485"/>
        <v>0</v>
      </c>
      <c r="NT75" s="195">
        <f t="shared" si="486"/>
        <v>0</v>
      </c>
      <c r="NU75" s="196">
        <f t="shared" si="487"/>
        <v>0</v>
      </c>
      <c r="NV75" s="195"/>
      <c r="NW75" s="195"/>
      <c r="NX75" s="195"/>
      <c r="NY75" s="196">
        <f t="shared" si="423"/>
        <v>1</v>
      </c>
      <c r="NZ75" s="222">
        <f>511795200/64</f>
        <v>7996800</v>
      </c>
      <c r="OA75" s="195"/>
      <c r="OB75" s="195"/>
      <c r="OC75" s="195"/>
      <c r="OD75" s="195"/>
      <c r="OE75" s="207">
        <f t="shared" si="424"/>
        <v>0</v>
      </c>
      <c r="OF75" s="207">
        <f t="shared" si="425"/>
        <v>0</v>
      </c>
      <c r="OG75" s="207">
        <f t="shared" si="426"/>
        <v>0</v>
      </c>
      <c r="OH75" s="207">
        <f t="shared" si="488"/>
        <v>0</v>
      </c>
      <c r="OI75" s="207">
        <f t="shared" si="427"/>
        <v>0</v>
      </c>
      <c r="OJ75" s="199">
        <f t="shared" si="489"/>
        <v>0</v>
      </c>
      <c r="OK75" s="199">
        <f t="shared" si="490"/>
        <v>0</v>
      </c>
      <c r="OL75" s="199">
        <f t="shared" si="491"/>
        <v>0</v>
      </c>
      <c r="OM75" s="199">
        <f t="shared" si="492"/>
        <v>0</v>
      </c>
      <c r="ON75" s="195"/>
      <c r="OO75" s="207">
        <f t="shared" si="428"/>
        <v>0</v>
      </c>
      <c r="OP75" s="207">
        <f t="shared" si="429"/>
        <v>0</v>
      </c>
      <c r="OQ75" s="207">
        <f t="shared" si="493"/>
        <v>0</v>
      </c>
      <c r="OR75" s="207">
        <f t="shared" si="494"/>
        <v>0</v>
      </c>
      <c r="OS75" s="207">
        <f t="shared" si="495"/>
        <v>0</v>
      </c>
      <c r="OT75" s="199">
        <f t="shared" si="496"/>
        <v>0</v>
      </c>
      <c r="OU75" s="199">
        <f t="shared" si="497"/>
        <v>0</v>
      </c>
      <c r="OV75" s="199">
        <f t="shared" si="498"/>
        <v>0</v>
      </c>
      <c r="OW75" s="199">
        <f t="shared" si="499"/>
        <v>0</v>
      </c>
      <c r="OX75" s="195"/>
      <c r="OY75" s="195"/>
      <c r="OZ75" s="195"/>
      <c r="PA75" s="209"/>
      <c r="PB75" s="209"/>
      <c r="PC75" s="209"/>
      <c r="PD75" s="210">
        <f t="shared" si="430"/>
        <v>0</v>
      </c>
      <c r="PE75" s="210"/>
      <c r="PF75" s="210">
        <f t="shared" si="431"/>
        <v>0</v>
      </c>
      <c r="PG75" s="210">
        <f t="shared" si="302"/>
        <v>0</v>
      </c>
      <c r="PH75" s="210">
        <f t="shared" si="302"/>
        <v>0</v>
      </c>
      <c r="PI75" s="210">
        <f t="shared" si="302"/>
        <v>0</v>
      </c>
      <c r="PJ75" s="210">
        <f t="shared" si="300"/>
        <v>0</v>
      </c>
      <c r="PK75" s="210">
        <f t="shared" si="300"/>
        <v>0</v>
      </c>
      <c r="PL75" s="210">
        <f t="shared" si="300"/>
        <v>0</v>
      </c>
      <c r="PM75" s="195"/>
      <c r="PN75" s="195"/>
      <c r="PO75" s="212">
        <f t="shared" si="500"/>
        <v>0</v>
      </c>
      <c r="PP75" s="212">
        <f t="shared" si="501"/>
        <v>0</v>
      </c>
      <c r="PQ75" s="212">
        <f t="shared" si="502"/>
        <v>0</v>
      </c>
    </row>
    <row r="76" spans="1:433 16383:16384" ht="16" x14ac:dyDescent="0.2">
      <c r="A76" s="213">
        <f t="shared" ref="A76:A82" si="504">A75+1</f>
        <v>67</v>
      </c>
      <c r="B76" s="186" t="s">
        <v>137</v>
      </c>
      <c r="C76" s="186">
        <v>69</v>
      </c>
      <c r="D76" s="188">
        <v>1</v>
      </c>
      <c r="E76" s="188">
        <v>202</v>
      </c>
      <c r="F76" s="188">
        <v>1</v>
      </c>
      <c r="G76" s="188">
        <f t="shared" si="239"/>
        <v>202</v>
      </c>
      <c r="H76" s="214">
        <f t="shared" si="360"/>
        <v>1</v>
      </c>
      <c r="I76" s="214">
        <f t="shared" si="361"/>
        <v>1</v>
      </c>
      <c r="J76" s="188">
        <v>1</v>
      </c>
      <c r="K76" s="188">
        <f t="shared" si="362"/>
        <v>202</v>
      </c>
      <c r="L76" s="214">
        <f t="shared" si="363"/>
        <v>1</v>
      </c>
      <c r="M76" s="214">
        <f t="shared" si="364"/>
        <v>1</v>
      </c>
      <c r="N76" s="188">
        <v>1</v>
      </c>
      <c r="O76" s="188">
        <f t="shared" si="365"/>
        <v>202</v>
      </c>
      <c r="P76" s="214">
        <f t="shared" si="366"/>
        <v>1</v>
      </c>
      <c r="Q76" s="214">
        <f t="shared" si="367"/>
        <v>1</v>
      </c>
      <c r="R76" s="188">
        <v>1</v>
      </c>
      <c r="S76" s="188">
        <f t="shared" si="368"/>
        <v>202</v>
      </c>
      <c r="T76" s="214">
        <f t="shared" si="369"/>
        <v>1</v>
      </c>
      <c r="U76" s="214">
        <f t="shared" si="370"/>
        <v>1</v>
      </c>
      <c r="V76" s="188">
        <v>1</v>
      </c>
      <c r="W76" s="188">
        <f t="shared" si="371"/>
        <v>202</v>
      </c>
      <c r="X76" s="214">
        <f t="shared" si="372"/>
        <v>1</v>
      </c>
      <c r="Y76" s="214">
        <f t="shared" si="373"/>
        <v>1</v>
      </c>
      <c r="Z76" s="224">
        <f>1844953000/1000000000</f>
        <v>1.8449530000000001</v>
      </c>
      <c r="AA76" s="188"/>
      <c r="AB76" s="189">
        <f t="shared" si="374"/>
        <v>0</v>
      </c>
      <c r="AC76" s="250">
        <f t="shared" si="375"/>
        <v>0</v>
      </c>
      <c r="AD76" s="250">
        <f t="shared" si="376"/>
        <v>0</v>
      </c>
      <c r="AE76" s="188"/>
      <c r="AF76" s="223">
        <f t="shared" si="377"/>
        <v>0</v>
      </c>
      <c r="AG76" s="254"/>
      <c r="AH76" s="254"/>
      <c r="AI76" s="188">
        <v>0</v>
      </c>
      <c r="AJ76" s="188">
        <f t="shared" si="378"/>
        <v>0</v>
      </c>
      <c r="AK76" s="188"/>
      <c r="AL76" s="188">
        <v>0</v>
      </c>
      <c r="AM76" s="188">
        <v>0</v>
      </c>
      <c r="AN76" s="217"/>
      <c r="AO76" s="196">
        <f t="shared" si="432"/>
        <v>0</v>
      </c>
      <c r="AP76" s="195"/>
      <c r="AQ76" s="195"/>
      <c r="AR76" s="195"/>
      <c r="AS76" s="195"/>
      <c r="AT76" s="195"/>
      <c r="AU76" s="195"/>
      <c r="AV76" s="195"/>
      <c r="AW76" s="195"/>
      <c r="AX76" s="195"/>
      <c r="AY76" s="195"/>
      <c r="AZ76" s="195"/>
      <c r="BA76" s="195"/>
      <c r="BB76" s="188">
        <f t="shared" si="379"/>
        <v>0</v>
      </c>
      <c r="BC76" s="195"/>
      <c r="BD76" s="196"/>
      <c r="BE76" s="188">
        <f t="shared" si="380"/>
        <v>0</v>
      </c>
      <c r="BF76" s="188">
        <f t="shared" si="381"/>
        <v>0</v>
      </c>
      <c r="BG76" s="188">
        <f t="shared" si="382"/>
        <v>0</v>
      </c>
      <c r="BH76" s="188">
        <f t="shared" si="383"/>
        <v>0</v>
      </c>
      <c r="BI76" s="188">
        <f t="shared" si="384"/>
        <v>0</v>
      </c>
      <c r="BJ76" s="188">
        <f t="shared" si="385"/>
        <v>0</v>
      </c>
      <c r="BK76" s="188">
        <f t="shared" si="386"/>
        <v>0</v>
      </c>
      <c r="BL76" s="195"/>
      <c r="BM76" s="195"/>
      <c r="BN76" s="277">
        <v>78</v>
      </c>
      <c r="BO76" s="139">
        <v>1</v>
      </c>
      <c r="BP76" s="188"/>
      <c r="BQ76" s="188"/>
      <c r="BR76" s="188"/>
      <c r="BS76" s="188"/>
      <c r="BT76" s="188"/>
      <c r="BU76" s="188"/>
      <c r="BV76" s="188"/>
      <c r="BW76" s="188"/>
      <c r="BX76" s="188"/>
      <c r="BY76" s="188"/>
      <c r="BZ76" s="188"/>
      <c r="CA76" s="195"/>
      <c r="CB76" s="188">
        <v>0</v>
      </c>
      <c r="CC76" s="195"/>
      <c r="CD76" s="189">
        <f t="shared" si="433"/>
        <v>78</v>
      </c>
      <c r="CE76" s="189">
        <f t="shared" si="503"/>
        <v>78</v>
      </c>
      <c r="CF76" s="189">
        <f t="shared" si="387"/>
        <v>0</v>
      </c>
      <c r="CG76" s="189">
        <f t="shared" si="388"/>
        <v>0</v>
      </c>
      <c r="CH76" s="189">
        <f t="shared" si="389"/>
        <v>0</v>
      </c>
      <c r="CI76" s="189">
        <f t="shared" si="390"/>
        <v>0</v>
      </c>
      <c r="CJ76" s="189">
        <f t="shared" si="391"/>
        <v>0</v>
      </c>
      <c r="CK76" s="189">
        <f t="shared" si="392"/>
        <v>0</v>
      </c>
      <c r="CL76" s="189">
        <f t="shared" si="393"/>
        <v>0</v>
      </c>
      <c r="CM76" s="189">
        <f t="shared" si="394"/>
        <v>0</v>
      </c>
      <c r="CN76" s="189">
        <f t="shared" si="395"/>
        <v>0</v>
      </c>
      <c r="CO76" s="189">
        <f t="shared" si="396"/>
        <v>0</v>
      </c>
      <c r="CP76" s="189">
        <f t="shared" si="397"/>
        <v>0</v>
      </c>
      <c r="CQ76" s="195"/>
      <c r="CR76" s="195"/>
      <c r="CS76" s="195"/>
      <c r="CT76" s="195"/>
      <c r="CU76" s="195"/>
      <c r="CV76" s="195"/>
      <c r="CW76" s="195"/>
      <c r="CX76" s="195"/>
      <c r="CY76" s="195"/>
      <c r="CZ76" s="195"/>
      <c r="DA76" s="195"/>
      <c r="DB76" s="195"/>
      <c r="DC76" s="195"/>
      <c r="DD76" s="195"/>
      <c r="DE76" s="195"/>
      <c r="DF76" s="195"/>
      <c r="DG76" s="195"/>
      <c r="DH76" s="195"/>
      <c r="DI76" s="195"/>
      <c r="DJ76" s="195"/>
      <c r="DK76" s="195"/>
      <c r="DL76" s="195"/>
      <c r="DM76" s="195"/>
      <c r="DN76" s="195"/>
      <c r="DO76" s="195"/>
      <c r="DP76" s="195"/>
      <c r="DQ76" s="195"/>
      <c r="DR76" s="195"/>
      <c r="DS76" s="195"/>
      <c r="DT76" s="195"/>
      <c r="DU76" s="195"/>
      <c r="DV76" s="189">
        <f t="shared" si="398"/>
        <v>0</v>
      </c>
      <c r="DW76" s="189">
        <f t="shared" si="399"/>
        <v>0</v>
      </c>
      <c r="DX76" s="189">
        <f t="shared" si="400"/>
        <v>0</v>
      </c>
      <c r="DY76" s="189">
        <f t="shared" si="401"/>
        <v>0</v>
      </c>
      <c r="DZ76" s="189">
        <f t="shared" si="402"/>
        <v>0</v>
      </c>
      <c r="EA76" s="189">
        <f t="shared" si="403"/>
        <v>0</v>
      </c>
      <c r="EB76" s="189">
        <f t="shared" si="404"/>
        <v>0</v>
      </c>
      <c r="EC76" s="195"/>
      <c r="ED76" s="195"/>
      <c r="EE76" s="195"/>
      <c r="EF76" s="195"/>
      <c r="EG76" s="252">
        <f t="shared" si="405"/>
        <v>0</v>
      </c>
      <c r="EH76" s="252">
        <f t="shared" si="406"/>
        <v>0</v>
      </c>
      <c r="EI76" s="189"/>
      <c r="EJ76" s="189"/>
      <c r="EK76" s="189"/>
      <c r="EL76" s="189"/>
      <c r="EM76" s="189"/>
      <c r="EN76" s="189"/>
      <c r="EO76" s="189"/>
      <c r="EP76" s="189"/>
      <c r="EQ76" s="189"/>
      <c r="ER76" s="189"/>
      <c r="ES76" s="189"/>
      <c r="ET76" s="189"/>
      <c r="EU76" s="189"/>
      <c r="EV76" s="189"/>
      <c r="EW76" s="189"/>
      <c r="EX76" s="189"/>
      <c r="EY76" s="189"/>
      <c r="EZ76" s="189"/>
      <c r="FA76" s="189"/>
      <c r="FB76" s="189"/>
      <c r="FC76" s="189"/>
      <c r="FD76" s="189"/>
      <c r="FE76" s="189"/>
      <c r="FF76" s="189"/>
      <c r="FG76" s="195"/>
      <c r="FH76" s="189"/>
      <c r="FI76" s="189"/>
      <c r="FJ76" s="189"/>
      <c r="FK76" s="189"/>
      <c r="FL76" s="189"/>
      <c r="FM76" s="189"/>
      <c r="FN76" s="189"/>
      <c r="FO76" s="189"/>
      <c r="FP76" s="189"/>
      <c r="FQ76" s="189"/>
      <c r="FR76" s="189"/>
      <c r="FS76" s="189"/>
      <c r="FT76" s="189"/>
      <c r="FU76" s="189"/>
      <c r="FV76" s="189"/>
      <c r="FW76" s="195"/>
      <c r="FX76" s="253">
        <v>1</v>
      </c>
      <c r="FY76" s="189">
        <f t="shared" si="407"/>
        <v>78</v>
      </c>
      <c r="FZ76" s="189">
        <f t="shared" ref="FZ76:FZ86" si="505">DI76+CE76</f>
        <v>78</v>
      </c>
      <c r="GA76" s="189">
        <f t="shared" ref="GA76:GA86" si="506">DJ76+CF76</f>
        <v>0</v>
      </c>
      <c r="GB76" s="189">
        <f t="shared" ref="GB76:GB86" si="507">DK76+CG76</f>
        <v>0</v>
      </c>
      <c r="GC76" s="189">
        <f t="shared" ref="GC76:GC86" si="508">DM76+CI76</f>
        <v>0</v>
      </c>
      <c r="GD76" s="189">
        <f t="shared" ref="GD76:GD86" si="509">DO76+CK76</f>
        <v>0</v>
      </c>
      <c r="GE76" s="189">
        <f t="shared" ref="GE76:GE86" si="510">DT76+CP76</f>
        <v>0</v>
      </c>
      <c r="GF76" s="199"/>
      <c r="GG76" s="189">
        <v>0</v>
      </c>
      <c r="GH76" s="189">
        <v>0</v>
      </c>
      <c r="GI76" s="199"/>
      <c r="GJ76" s="200">
        <f t="shared" si="408"/>
        <v>0</v>
      </c>
      <c r="GK76" s="200">
        <f t="shared" si="409"/>
        <v>0</v>
      </c>
      <c r="GL76" s="195"/>
      <c r="GM76" s="195"/>
      <c r="GN76" s="195"/>
      <c r="GO76" s="189">
        <f t="shared" si="246"/>
        <v>0</v>
      </c>
      <c r="GP76" s="189">
        <f t="shared" si="247"/>
        <v>0</v>
      </c>
      <c r="GQ76" s="189">
        <f t="shared" si="248"/>
        <v>0</v>
      </c>
      <c r="GR76" s="189">
        <f t="shared" si="249"/>
        <v>0</v>
      </c>
      <c r="GS76" s="189">
        <f t="shared" si="250"/>
        <v>0</v>
      </c>
      <c r="GT76" s="189">
        <f t="shared" si="456"/>
        <v>1</v>
      </c>
      <c r="GU76" s="201">
        <f t="shared" si="457"/>
        <v>43243</v>
      </c>
      <c r="GV76" s="189" t="str">
        <f t="shared" si="458"/>
        <v>SELESAI</v>
      </c>
      <c r="GW76" s="189">
        <f t="shared" si="459"/>
        <v>0</v>
      </c>
      <c r="GX76" s="202" t="str">
        <f t="shared" si="460"/>
        <v>SELESAI</v>
      </c>
      <c r="GY76" s="202">
        <f t="shared" si="461"/>
        <v>0</v>
      </c>
      <c r="GZ76" s="203" t="str">
        <f t="shared" si="462"/>
        <v>SELESAI</v>
      </c>
      <c r="HA76" s="204"/>
      <c r="HB76" s="204"/>
      <c r="HC76" s="189">
        <f t="shared" si="251"/>
        <v>0</v>
      </c>
      <c r="HD76" s="189">
        <f t="shared" si="252"/>
        <v>0</v>
      </c>
      <c r="HE76" s="189">
        <f t="shared" si="463"/>
        <v>0</v>
      </c>
      <c r="HF76" s="189">
        <f t="shared" si="464"/>
        <v>0</v>
      </c>
      <c r="HG76" s="189">
        <f t="shared" si="465"/>
        <v>0</v>
      </c>
      <c r="HH76" s="201" t="str">
        <f t="shared" si="411"/>
        <v>TIDAK KONSINYASI</v>
      </c>
      <c r="HI76" s="201" t="str">
        <f t="shared" si="466"/>
        <v>SELESAI</v>
      </c>
      <c r="HJ76" s="205"/>
      <c r="HK76" s="201">
        <f t="shared" si="412"/>
        <v>0</v>
      </c>
      <c r="HL76" s="204"/>
      <c r="HM76" s="204"/>
      <c r="HN76" s="204"/>
      <c r="HO76" s="204"/>
      <c r="HP76" s="203">
        <f t="shared" si="467"/>
        <v>0</v>
      </c>
      <c r="HQ76" s="202">
        <f t="shared" si="468"/>
        <v>0</v>
      </c>
      <c r="HR76" s="202">
        <f t="shared" si="253"/>
        <v>0</v>
      </c>
      <c r="HS76" s="203">
        <f t="shared" si="469"/>
        <v>0</v>
      </c>
      <c r="HT76" s="202">
        <f t="shared" si="470"/>
        <v>0</v>
      </c>
      <c r="HU76" s="202">
        <f t="shared" si="254"/>
        <v>0</v>
      </c>
      <c r="HV76" s="203">
        <f t="shared" si="471"/>
        <v>0</v>
      </c>
      <c r="HW76" s="202">
        <f t="shared" si="413"/>
        <v>0</v>
      </c>
      <c r="HX76" s="202">
        <f t="shared" si="255"/>
        <v>0</v>
      </c>
      <c r="HY76" s="203">
        <f t="shared" si="414"/>
        <v>0</v>
      </c>
      <c r="HZ76" s="202">
        <f t="shared" si="472"/>
        <v>0</v>
      </c>
      <c r="IA76" s="202">
        <f t="shared" si="256"/>
        <v>0</v>
      </c>
      <c r="IB76" s="203">
        <f t="shared" si="473"/>
        <v>0</v>
      </c>
      <c r="IC76" s="202">
        <f t="shared" si="415"/>
        <v>0</v>
      </c>
      <c r="ID76" s="202">
        <f t="shared" si="257"/>
        <v>0</v>
      </c>
      <c r="IE76" s="203">
        <f t="shared" si="416"/>
        <v>0</v>
      </c>
      <c r="IF76" s="202">
        <f t="shared" si="417"/>
        <v>0</v>
      </c>
      <c r="IG76" s="202">
        <f t="shared" si="258"/>
        <v>0</v>
      </c>
      <c r="IH76" s="203">
        <f t="shared" si="474"/>
        <v>0</v>
      </c>
      <c r="II76" s="202">
        <f t="shared" si="475"/>
        <v>0</v>
      </c>
      <c r="IJ76" s="202">
        <f t="shared" si="259"/>
        <v>0</v>
      </c>
      <c r="IK76" s="203">
        <f t="shared" si="418"/>
        <v>0</v>
      </c>
      <c r="IL76" s="202">
        <f t="shared" si="419"/>
        <v>0</v>
      </c>
      <c r="IM76" s="202">
        <f t="shared" si="260"/>
        <v>0</v>
      </c>
      <c r="IN76" s="204"/>
      <c r="IO76" s="203">
        <f t="shared" si="420"/>
        <v>0</v>
      </c>
      <c r="IP76" s="202">
        <f t="shared" si="261"/>
        <v>0</v>
      </c>
      <c r="IQ76" s="202">
        <f t="shared" si="262"/>
        <v>0</v>
      </c>
      <c r="IR76" s="204"/>
      <c r="IS76" s="203"/>
      <c r="IT76" s="202">
        <f t="shared" si="263"/>
        <v>1</v>
      </c>
      <c r="IU76" s="202">
        <f t="shared" si="264"/>
        <v>202</v>
      </c>
      <c r="IV76" s="204"/>
      <c r="IW76" s="203"/>
      <c r="IX76" s="202">
        <f t="shared" si="265"/>
        <v>0</v>
      </c>
      <c r="IY76" s="202">
        <f t="shared" si="266"/>
        <v>0</v>
      </c>
      <c r="IZ76" s="204"/>
      <c r="JA76" s="203"/>
      <c r="JB76" s="202">
        <f t="shared" si="267"/>
        <v>0</v>
      </c>
      <c r="JC76" s="202">
        <f t="shared" si="268"/>
        <v>0</v>
      </c>
      <c r="JD76" s="204"/>
      <c r="JE76" s="203"/>
      <c r="JF76" s="202">
        <f t="shared" si="476"/>
        <v>1</v>
      </c>
      <c r="JG76" s="202">
        <f t="shared" si="476"/>
        <v>202</v>
      </c>
      <c r="JH76" s="204"/>
      <c r="JI76" s="203"/>
      <c r="JJ76" s="202">
        <f t="shared" si="269"/>
        <v>0</v>
      </c>
      <c r="JK76" s="202">
        <f t="shared" si="270"/>
        <v>0</v>
      </c>
      <c r="JL76" s="195"/>
      <c r="JM76" s="203">
        <f t="shared" si="477"/>
        <v>0</v>
      </c>
      <c r="JN76" s="195"/>
      <c r="JO76" s="196">
        <f t="shared" si="421"/>
        <v>1</v>
      </c>
      <c r="JP76" s="206">
        <f t="shared" si="271"/>
        <v>78</v>
      </c>
      <c r="JQ76" s="206">
        <f t="shared" si="272"/>
        <v>1</v>
      </c>
      <c r="JR76" s="206">
        <f t="shared" si="273"/>
        <v>0</v>
      </c>
      <c r="JS76" s="206">
        <f t="shared" si="274"/>
        <v>0</v>
      </c>
      <c r="JT76" s="206">
        <f t="shared" si="275"/>
        <v>0</v>
      </c>
      <c r="JU76" s="206">
        <f t="shared" si="276"/>
        <v>0</v>
      </c>
      <c r="JV76" s="206">
        <f t="shared" si="277"/>
        <v>0</v>
      </c>
      <c r="JW76" s="206">
        <f t="shared" si="278"/>
        <v>0</v>
      </c>
      <c r="JX76" s="206">
        <f t="shared" si="279"/>
        <v>0</v>
      </c>
      <c r="JY76" s="206">
        <f t="shared" si="280"/>
        <v>0</v>
      </c>
      <c r="JZ76" s="206">
        <f t="shared" si="281"/>
        <v>0</v>
      </c>
      <c r="KA76" s="206">
        <f t="shared" si="282"/>
        <v>0</v>
      </c>
      <c r="KB76" s="206">
        <f t="shared" si="283"/>
        <v>0</v>
      </c>
      <c r="KC76" s="195"/>
      <c r="KD76" s="206">
        <f t="shared" si="478"/>
        <v>0</v>
      </c>
      <c r="KE76" s="206">
        <f t="shared" si="422"/>
        <v>0</v>
      </c>
      <c r="KF76" s="206">
        <f t="shared" si="284"/>
        <v>78</v>
      </c>
      <c r="KG76" s="206">
        <f t="shared" si="285"/>
        <v>78</v>
      </c>
      <c r="KH76" s="206">
        <f t="shared" si="286"/>
        <v>0</v>
      </c>
      <c r="KI76" s="206">
        <f t="shared" si="287"/>
        <v>0</v>
      </c>
      <c r="KJ76" s="206">
        <f t="shared" si="288"/>
        <v>0</v>
      </c>
      <c r="KK76" s="206">
        <f t="shared" si="289"/>
        <v>0</v>
      </c>
      <c r="KL76" s="206">
        <f t="shared" si="290"/>
        <v>0</v>
      </c>
      <c r="KM76" s="206">
        <f t="shared" si="291"/>
        <v>0</v>
      </c>
      <c r="KN76" s="221">
        <f t="shared" si="292"/>
        <v>0</v>
      </c>
      <c r="KO76" s="221">
        <f t="shared" si="293"/>
        <v>0</v>
      </c>
      <c r="KP76" s="221">
        <f t="shared" si="294"/>
        <v>0</v>
      </c>
      <c r="KQ76" s="221">
        <f t="shared" si="295"/>
        <v>0</v>
      </c>
      <c r="KR76" s="221">
        <f t="shared" si="296"/>
        <v>0</v>
      </c>
      <c r="KS76" s="195"/>
      <c r="KT76" s="195">
        <f t="shared" si="297"/>
        <v>0</v>
      </c>
      <c r="KU76" s="221"/>
      <c r="KV76" s="221"/>
      <c r="KW76" s="221"/>
      <c r="KX76" s="221"/>
      <c r="KY76" s="221"/>
      <c r="KZ76" s="221"/>
      <c r="LA76" s="221"/>
      <c r="LB76" s="221"/>
      <c r="LC76" s="221"/>
      <c r="LD76" s="221"/>
      <c r="LE76" s="221"/>
      <c r="LF76" s="221"/>
      <c r="LG76" s="221"/>
      <c r="LH76" s="221"/>
      <c r="LI76" s="221"/>
      <c r="LJ76" s="221"/>
      <c r="LK76" s="221"/>
      <c r="LL76" s="221"/>
      <c r="LM76" s="221"/>
      <c r="LN76" s="221"/>
      <c r="LO76" s="221"/>
      <c r="LP76" s="221"/>
      <c r="LQ76" s="221"/>
      <c r="LR76" s="221"/>
      <c r="LS76" s="221"/>
      <c r="LT76" s="221"/>
      <c r="LU76" s="221"/>
      <c r="LV76" s="221"/>
      <c r="LW76" s="221"/>
      <c r="LX76" s="221"/>
      <c r="LY76" s="221"/>
      <c r="LZ76" s="221"/>
      <c r="MA76" s="221"/>
      <c r="MB76" s="221"/>
      <c r="MC76" s="221"/>
      <c r="MD76" s="221"/>
      <c r="ME76" s="221"/>
      <c r="MF76" s="221"/>
      <c r="MG76" s="221"/>
      <c r="MH76" s="221"/>
      <c r="MI76" s="221"/>
      <c r="MJ76" s="221"/>
      <c r="MK76" s="221"/>
      <c r="ML76" s="221"/>
      <c r="MM76" s="221"/>
      <c r="MN76" s="221"/>
      <c r="MO76" s="221"/>
      <c r="MP76" s="221"/>
      <c r="MQ76" s="221"/>
      <c r="MR76" s="221"/>
      <c r="MS76" s="221"/>
      <c r="MT76" s="221"/>
      <c r="MU76" s="221"/>
      <c r="MV76" s="221"/>
      <c r="MW76" s="221"/>
      <c r="MX76" s="221"/>
      <c r="MY76" s="221"/>
      <c r="MZ76" s="221"/>
      <c r="NA76" s="221"/>
      <c r="NB76" s="221"/>
      <c r="NC76" s="221"/>
      <c r="ND76" s="221"/>
      <c r="NE76" s="221"/>
      <c r="NF76" s="221"/>
      <c r="NG76" s="221"/>
      <c r="NH76" s="221"/>
      <c r="NI76" s="221"/>
      <c r="NJ76" s="221"/>
      <c r="NK76" s="221"/>
      <c r="NL76" s="195"/>
      <c r="NM76" s="195">
        <f t="shared" si="479"/>
        <v>0</v>
      </c>
      <c r="NN76" s="195">
        <f t="shared" si="480"/>
        <v>0</v>
      </c>
      <c r="NO76" s="195">
        <f t="shared" si="481"/>
        <v>0</v>
      </c>
      <c r="NP76" s="195">
        <f t="shared" si="482"/>
        <v>0</v>
      </c>
      <c r="NQ76" s="195">
        <f t="shared" si="483"/>
        <v>0</v>
      </c>
      <c r="NR76" s="195">
        <f t="shared" si="484"/>
        <v>0</v>
      </c>
      <c r="NS76" s="195">
        <f t="shared" si="485"/>
        <v>0</v>
      </c>
      <c r="NT76" s="195">
        <f t="shared" si="486"/>
        <v>0</v>
      </c>
      <c r="NU76" s="196">
        <f t="shared" si="487"/>
        <v>0</v>
      </c>
      <c r="NV76" s="195"/>
      <c r="NW76" s="195"/>
      <c r="NX76" s="195"/>
      <c r="NY76" s="196">
        <f t="shared" si="423"/>
        <v>1</v>
      </c>
      <c r="NZ76" s="222">
        <f>1001932400/124</f>
        <v>8080100</v>
      </c>
      <c r="OA76" s="195"/>
      <c r="OB76" s="195"/>
      <c r="OC76" s="195"/>
      <c r="OD76" s="195"/>
      <c r="OE76" s="207">
        <f t="shared" si="424"/>
        <v>0</v>
      </c>
      <c r="OF76" s="207">
        <f t="shared" si="425"/>
        <v>0</v>
      </c>
      <c r="OG76" s="207">
        <f t="shared" si="426"/>
        <v>0</v>
      </c>
      <c r="OH76" s="207">
        <f t="shared" si="488"/>
        <v>0</v>
      </c>
      <c r="OI76" s="207">
        <f t="shared" si="427"/>
        <v>0</v>
      </c>
      <c r="OJ76" s="199">
        <f t="shared" si="489"/>
        <v>0</v>
      </c>
      <c r="OK76" s="199">
        <f t="shared" si="490"/>
        <v>0</v>
      </c>
      <c r="OL76" s="199">
        <f t="shared" si="491"/>
        <v>0</v>
      </c>
      <c r="OM76" s="199">
        <f t="shared" si="492"/>
        <v>0</v>
      </c>
      <c r="ON76" s="195"/>
      <c r="OO76" s="207">
        <f t="shared" si="428"/>
        <v>0</v>
      </c>
      <c r="OP76" s="207">
        <f t="shared" si="429"/>
        <v>0</v>
      </c>
      <c r="OQ76" s="207">
        <f t="shared" si="493"/>
        <v>0</v>
      </c>
      <c r="OR76" s="207">
        <f t="shared" si="494"/>
        <v>0</v>
      </c>
      <c r="OS76" s="207">
        <f t="shared" si="495"/>
        <v>0</v>
      </c>
      <c r="OT76" s="199">
        <f t="shared" si="496"/>
        <v>0</v>
      </c>
      <c r="OU76" s="199">
        <f t="shared" si="497"/>
        <v>0</v>
      </c>
      <c r="OV76" s="199">
        <f t="shared" si="498"/>
        <v>0</v>
      </c>
      <c r="OW76" s="199">
        <f t="shared" si="499"/>
        <v>0</v>
      </c>
      <c r="OX76" s="195"/>
      <c r="OY76" s="195"/>
      <c r="OZ76" s="195"/>
      <c r="PA76" s="209"/>
      <c r="PB76" s="209"/>
      <c r="PC76" s="209"/>
      <c r="PD76" s="210">
        <f t="shared" si="430"/>
        <v>0</v>
      </c>
      <c r="PE76" s="210"/>
      <c r="PF76" s="210">
        <f t="shared" si="431"/>
        <v>0</v>
      </c>
      <c r="PG76" s="210">
        <f t="shared" si="302"/>
        <v>0</v>
      </c>
      <c r="PH76" s="210">
        <f t="shared" si="302"/>
        <v>0</v>
      </c>
      <c r="PI76" s="210">
        <f t="shared" si="302"/>
        <v>0</v>
      </c>
      <c r="PJ76" s="210">
        <f t="shared" si="300"/>
        <v>0</v>
      </c>
      <c r="PK76" s="210">
        <f t="shared" si="300"/>
        <v>0</v>
      </c>
      <c r="PL76" s="210">
        <f t="shared" si="300"/>
        <v>0</v>
      </c>
      <c r="PM76" s="195"/>
      <c r="PN76" s="195"/>
      <c r="PO76" s="212">
        <f t="shared" si="500"/>
        <v>0</v>
      </c>
      <c r="PP76" s="212">
        <f t="shared" si="501"/>
        <v>0</v>
      </c>
      <c r="PQ76" s="212">
        <f t="shared" si="502"/>
        <v>0</v>
      </c>
    </row>
    <row r="77" spans="1:433 16383:16384" ht="16" x14ac:dyDescent="0.2">
      <c r="A77" s="213">
        <f t="shared" si="504"/>
        <v>68</v>
      </c>
      <c r="B77" s="186" t="s">
        <v>138</v>
      </c>
      <c r="C77" s="186">
        <v>70</v>
      </c>
      <c r="D77" s="188">
        <v>1</v>
      </c>
      <c r="E77" s="188">
        <v>46</v>
      </c>
      <c r="F77" s="188">
        <v>1</v>
      </c>
      <c r="G77" s="188">
        <f t="shared" si="239"/>
        <v>46</v>
      </c>
      <c r="H77" s="214">
        <f t="shared" si="360"/>
        <v>1</v>
      </c>
      <c r="I77" s="214">
        <f t="shared" si="361"/>
        <v>1</v>
      </c>
      <c r="J77" s="188">
        <v>1</v>
      </c>
      <c r="K77" s="188">
        <f t="shared" si="362"/>
        <v>46</v>
      </c>
      <c r="L77" s="214">
        <f t="shared" si="363"/>
        <v>1</v>
      </c>
      <c r="M77" s="214">
        <f t="shared" si="364"/>
        <v>1</v>
      </c>
      <c r="N77" s="188">
        <v>1</v>
      </c>
      <c r="O77" s="188">
        <f t="shared" si="365"/>
        <v>46</v>
      </c>
      <c r="P77" s="214">
        <f t="shared" si="366"/>
        <v>1</v>
      </c>
      <c r="Q77" s="214">
        <f t="shared" si="367"/>
        <v>1</v>
      </c>
      <c r="R77" s="188">
        <v>1</v>
      </c>
      <c r="S77" s="188">
        <f t="shared" si="368"/>
        <v>46</v>
      </c>
      <c r="T77" s="214">
        <f t="shared" si="369"/>
        <v>1</v>
      </c>
      <c r="U77" s="214">
        <f t="shared" si="370"/>
        <v>1</v>
      </c>
      <c r="V77" s="188">
        <v>1</v>
      </c>
      <c r="W77" s="188">
        <f t="shared" si="371"/>
        <v>46</v>
      </c>
      <c r="X77" s="214">
        <f t="shared" si="372"/>
        <v>1</v>
      </c>
      <c r="Y77" s="214">
        <f t="shared" si="373"/>
        <v>1</v>
      </c>
      <c r="Z77" s="224">
        <f>404074000/1000000000</f>
        <v>0.40407399999999999</v>
      </c>
      <c r="AA77" s="188"/>
      <c r="AB77" s="189">
        <f t="shared" si="374"/>
        <v>0</v>
      </c>
      <c r="AC77" s="250">
        <f t="shared" si="375"/>
        <v>0</v>
      </c>
      <c r="AD77" s="250">
        <f t="shared" si="376"/>
        <v>0</v>
      </c>
      <c r="AE77" s="188"/>
      <c r="AF77" s="223">
        <f t="shared" si="377"/>
        <v>0</v>
      </c>
      <c r="AG77" s="223"/>
      <c r="AH77" s="223"/>
      <c r="AI77" s="188">
        <v>0</v>
      </c>
      <c r="AJ77" s="188">
        <f t="shared" si="378"/>
        <v>0</v>
      </c>
      <c r="AK77" s="188"/>
      <c r="AL77" s="188">
        <v>0</v>
      </c>
      <c r="AM77" s="188">
        <v>0</v>
      </c>
      <c r="AN77" s="217"/>
      <c r="AO77" s="196">
        <f t="shared" si="432"/>
        <v>0</v>
      </c>
      <c r="AP77" s="195"/>
      <c r="AQ77" s="195"/>
      <c r="AR77" s="195"/>
      <c r="AS77" s="195"/>
      <c r="AT77" s="195"/>
      <c r="AU77" s="195"/>
      <c r="AV77" s="195"/>
      <c r="AW77" s="195"/>
      <c r="AX77" s="195"/>
      <c r="AY77" s="195"/>
      <c r="AZ77" s="195"/>
      <c r="BA77" s="195"/>
      <c r="BB77" s="188">
        <f t="shared" si="379"/>
        <v>0</v>
      </c>
      <c r="BC77" s="195"/>
      <c r="BD77" s="196"/>
      <c r="BE77" s="188">
        <f t="shared" si="380"/>
        <v>0</v>
      </c>
      <c r="BF77" s="188">
        <f t="shared" si="381"/>
        <v>0</v>
      </c>
      <c r="BG77" s="188">
        <f t="shared" si="382"/>
        <v>0</v>
      </c>
      <c r="BH77" s="188">
        <f t="shared" si="383"/>
        <v>0</v>
      </c>
      <c r="BI77" s="188">
        <f t="shared" si="384"/>
        <v>0</v>
      </c>
      <c r="BJ77" s="188">
        <f t="shared" si="385"/>
        <v>0</v>
      </c>
      <c r="BK77" s="188">
        <f t="shared" si="386"/>
        <v>0</v>
      </c>
      <c r="BL77" s="195"/>
      <c r="BM77" s="195"/>
      <c r="BN77" s="215"/>
      <c r="BO77" s="277"/>
      <c r="BP77" s="188"/>
      <c r="BQ77" s="188"/>
      <c r="BR77" s="188"/>
      <c r="BS77" s="188"/>
      <c r="BT77" s="188"/>
      <c r="BU77" s="188"/>
      <c r="BV77" s="188"/>
      <c r="BW77" s="188"/>
      <c r="BX77" s="188"/>
      <c r="BY77" s="188"/>
      <c r="BZ77" s="188"/>
      <c r="CA77" s="195"/>
      <c r="CB77" s="188">
        <v>0</v>
      </c>
      <c r="CC77" s="195"/>
      <c r="CD77" s="189">
        <f t="shared" si="433"/>
        <v>0</v>
      </c>
      <c r="CE77" s="189">
        <f t="shared" si="503"/>
        <v>0</v>
      </c>
      <c r="CF77" s="189">
        <f t="shared" si="387"/>
        <v>0</v>
      </c>
      <c r="CG77" s="189">
        <f t="shared" si="388"/>
        <v>0</v>
      </c>
      <c r="CH77" s="189">
        <f t="shared" si="389"/>
        <v>0</v>
      </c>
      <c r="CI77" s="189">
        <f t="shared" si="390"/>
        <v>0</v>
      </c>
      <c r="CJ77" s="189">
        <f t="shared" si="391"/>
        <v>0</v>
      </c>
      <c r="CK77" s="189">
        <f t="shared" si="392"/>
        <v>0</v>
      </c>
      <c r="CL77" s="189">
        <f t="shared" si="393"/>
        <v>0</v>
      </c>
      <c r="CM77" s="189">
        <f t="shared" si="394"/>
        <v>0</v>
      </c>
      <c r="CN77" s="189">
        <f t="shared" si="395"/>
        <v>0</v>
      </c>
      <c r="CO77" s="189">
        <f t="shared" si="396"/>
        <v>0</v>
      </c>
      <c r="CP77" s="189">
        <f t="shared" si="397"/>
        <v>0</v>
      </c>
      <c r="CQ77" s="195"/>
      <c r="CR77" s="195"/>
      <c r="CS77" s="195"/>
      <c r="CT77" s="195"/>
      <c r="CU77" s="195"/>
      <c r="CV77" s="195"/>
      <c r="CW77" s="195"/>
      <c r="CX77" s="195"/>
      <c r="CY77" s="195"/>
      <c r="CZ77" s="195"/>
      <c r="DA77" s="195"/>
      <c r="DB77" s="195"/>
      <c r="DC77" s="195"/>
      <c r="DD77" s="195"/>
      <c r="DE77" s="195"/>
      <c r="DF77" s="195"/>
      <c r="DG77" s="195"/>
      <c r="DH77" s="195"/>
      <c r="DI77" s="195"/>
      <c r="DJ77" s="195"/>
      <c r="DK77" s="195"/>
      <c r="DL77" s="195"/>
      <c r="DM77" s="195"/>
      <c r="DN77" s="195"/>
      <c r="DO77" s="195"/>
      <c r="DP77" s="195"/>
      <c r="DQ77" s="195"/>
      <c r="DR77" s="195"/>
      <c r="DS77" s="195"/>
      <c r="DT77" s="195"/>
      <c r="DU77" s="195"/>
      <c r="DV77" s="189">
        <f t="shared" si="398"/>
        <v>0</v>
      </c>
      <c r="DW77" s="189">
        <f t="shared" si="399"/>
        <v>0</v>
      </c>
      <c r="DX77" s="189">
        <f t="shared" si="400"/>
        <v>0</v>
      </c>
      <c r="DY77" s="189">
        <f t="shared" si="401"/>
        <v>0</v>
      </c>
      <c r="DZ77" s="189">
        <f t="shared" si="402"/>
        <v>0</v>
      </c>
      <c r="EA77" s="189">
        <f t="shared" si="403"/>
        <v>0</v>
      </c>
      <c r="EB77" s="189">
        <f t="shared" si="404"/>
        <v>0</v>
      </c>
      <c r="EC77" s="195"/>
      <c r="ED77" s="195"/>
      <c r="EE77" s="195"/>
      <c r="EF77" s="195"/>
      <c r="EG77" s="252">
        <f t="shared" si="405"/>
        <v>0</v>
      </c>
      <c r="EH77" s="252">
        <f t="shared" si="406"/>
        <v>0</v>
      </c>
      <c r="EI77" s="189"/>
      <c r="EJ77" s="189"/>
      <c r="EK77" s="189"/>
      <c r="EL77" s="189"/>
      <c r="EM77" s="189"/>
      <c r="EN77" s="189"/>
      <c r="EO77" s="189"/>
      <c r="EP77" s="189"/>
      <c r="EQ77" s="189"/>
      <c r="ER77" s="189"/>
      <c r="ES77" s="189"/>
      <c r="ET77" s="189"/>
      <c r="EU77" s="189"/>
      <c r="EV77" s="189"/>
      <c r="EW77" s="189"/>
      <c r="EX77" s="189"/>
      <c r="EY77" s="189"/>
      <c r="EZ77" s="189"/>
      <c r="FA77" s="189"/>
      <c r="FB77" s="189"/>
      <c r="FC77" s="189"/>
      <c r="FD77" s="189"/>
      <c r="FE77" s="189"/>
      <c r="FF77" s="189"/>
      <c r="FG77" s="195"/>
      <c r="FH77" s="189"/>
      <c r="FI77" s="189"/>
      <c r="FJ77" s="189"/>
      <c r="FK77" s="189"/>
      <c r="FL77" s="189"/>
      <c r="FM77" s="189"/>
      <c r="FN77" s="189"/>
      <c r="FO77" s="189"/>
      <c r="FP77" s="189"/>
      <c r="FQ77" s="189"/>
      <c r="FR77" s="189"/>
      <c r="FS77" s="189"/>
      <c r="FT77" s="189"/>
      <c r="FU77" s="189"/>
      <c r="FV77" s="189"/>
      <c r="FW77" s="195"/>
      <c r="FX77" s="253"/>
      <c r="FY77" s="189">
        <f t="shared" si="407"/>
        <v>0</v>
      </c>
      <c r="FZ77" s="189">
        <f t="shared" si="505"/>
        <v>0</v>
      </c>
      <c r="GA77" s="189">
        <f t="shared" si="506"/>
        <v>0</v>
      </c>
      <c r="GB77" s="189">
        <f t="shared" si="507"/>
        <v>0</v>
      </c>
      <c r="GC77" s="189">
        <f t="shared" si="508"/>
        <v>0</v>
      </c>
      <c r="GD77" s="189">
        <f t="shared" si="509"/>
        <v>0</v>
      </c>
      <c r="GE77" s="189">
        <f t="shared" si="510"/>
        <v>0</v>
      </c>
      <c r="GF77" s="199"/>
      <c r="GG77" s="189">
        <v>0</v>
      </c>
      <c r="GH77" s="189">
        <v>0</v>
      </c>
      <c r="GI77" s="199"/>
      <c r="GJ77" s="200">
        <f t="shared" si="408"/>
        <v>0</v>
      </c>
      <c r="GK77" s="200">
        <f t="shared" si="409"/>
        <v>0</v>
      </c>
      <c r="GL77" s="195"/>
      <c r="GM77" s="195"/>
      <c r="GN77" s="195"/>
      <c r="GO77" s="189">
        <f t="shared" si="246"/>
        <v>0</v>
      </c>
      <c r="GP77" s="189">
        <f t="shared" si="247"/>
        <v>0</v>
      </c>
      <c r="GQ77" s="189">
        <f t="shared" si="248"/>
        <v>0</v>
      </c>
      <c r="GR77" s="189">
        <f t="shared" si="249"/>
        <v>0</v>
      </c>
      <c r="GS77" s="189">
        <f t="shared" si="250"/>
        <v>0</v>
      </c>
      <c r="GT77" s="189">
        <f t="shared" si="456"/>
        <v>1</v>
      </c>
      <c r="GU77" s="201">
        <f t="shared" si="457"/>
        <v>43243</v>
      </c>
      <c r="GV77" s="189" t="str">
        <f t="shared" si="458"/>
        <v>SELESAI</v>
      </c>
      <c r="GW77" s="189">
        <f t="shared" si="459"/>
        <v>0</v>
      </c>
      <c r="GX77" s="202" t="str">
        <f t="shared" si="460"/>
        <v>SELESAI</v>
      </c>
      <c r="GY77" s="202">
        <f t="shared" si="461"/>
        <v>0</v>
      </c>
      <c r="GZ77" s="203" t="str">
        <f t="shared" si="462"/>
        <v>SELESAI</v>
      </c>
      <c r="HA77" s="204"/>
      <c r="HB77" s="204"/>
      <c r="HC77" s="189">
        <f t="shared" si="251"/>
        <v>0</v>
      </c>
      <c r="HD77" s="189">
        <f t="shared" si="252"/>
        <v>0</v>
      </c>
      <c r="HE77" s="189">
        <f t="shared" si="463"/>
        <v>0</v>
      </c>
      <c r="HF77" s="189">
        <f t="shared" si="464"/>
        <v>0</v>
      </c>
      <c r="HG77" s="189">
        <f t="shared" si="465"/>
        <v>0</v>
      </c>
      <c r="HH77" s="201" t="str">
        <f t="shared" si="411"/>
        <v>TIDAK KONSINYASI</v>
      </c>
      <c r="HI77" s="201" t="str">
        <f t="shared" si="466"/>
        <v>SELESAI</v>
      </c>
      <c r="HJ77" s="205"/>
      <c r="HK77" s="201">
        <f t="shared" si="412"/>
        <v>0</v>
      </c>
      <c r="HL77" s="204"/>
      <c r="HM77" s="204"/>
      <c r="HN77" s="204"/>
      <c r="HO77" s="204"/>
      <c r="HP77" s="203">
        <f t="shared" si="467"/>
        <v>0</v>
      </c>
      <c r="HQ77" s="202">
        <f t="shared" si="468"/>
        <v>0</v>
      </c>
      <c r="HR77" s="202">
        <f t="shared" si="253"/>
        <v>0</v>
      </c>
      <c r="HS77" s="203">
        <f t="shared" si="469"/>
        <v>0</v>
      </c>
      <c r="HT77" s="202">
        <f t="shared" si="470"/>
        <v>0</v>
      </c>
      <c r="HU77" s="202">
        <f t="shared" si="254"/>
        <v>0</v>
      </c>
      <c r="HV77" s="203">
        <f t="shared" si="471"/>
        <v>0</v>
      </c>
      <c r="HW77" s="202">
        <f t="shared" si="413"/>
        <v>0</v>
      </c>
      <c r="HX77" s="202">
        <f t="shared" si="255"/>
        <v>0</v>
      </c>
      <c r="HY77" s="203">
        <f t="shared" si="414"/>
        <v>0</v>
      </c>
      <c r="HZ77" s="202">
        <f t="shared" si="472"/>
        <v>0</v>
      </c>
      <c r="IA77" s="202">
        <f t="shared" si="256"/>
        <v>0</v>
      </c>
      <c r="IB77" s="203">
        <f t="shared" si="473"/>
        <v>0</v>
      </c>
      <c r="IC77" s="202">
        <f t="shared" si="415"/>
        <v>0</v>
      </c>
      <c r="ID77" s="202">
        <f t="shared" si="257"/>
        <v>0</v>
      </c>
      <c r="IE77" s="203">
        <f t="shared" si="416"/>
        <v>0</v>
      </c>
      <c r="IF77" s="202">
        <f t="shared" si="417"/>
        <v>0</v>
      </c>
      <c r="IG77" s="202">
        <f t="shared" si="258"/>
        <v>0</v>
      </c>
      <c r="IH77" s="203">
        <f t="shared" si="474"/>
        <v>0</v>
      </c>
      <c r="II77" s="202">
        <f t="shared" si="475"/>
        <v>0</v>
      </c>
      <c r="IJ77" s="202">
        <f t="shared" si="259"/>
        <v>0</v>
      </c>
      <c r="IK77" s="203">
        <f t="shared" si="418"/>
        <v>0</v>
      </c>
      <c r="IL77" s="202">
        <f t="shared" si="419"/>
        <v>0</v>
      </c>
      <c r="IM77" s="202">
        <f t="shared" si="260"/>
        <v>0</v>
      </c>
      <c r="IN77" s="204"/>
      <c r="IO77" s="203">
        <f t="shared" si="420"/>
        <v>0</v>
      </c>
      <c r="IP77" s="202">
        <f t="shared" si="261"/>
        <v>0</v>
      </c>
      <c r="IQ77" s="202">
        <f t="shared" si="262"/>
        <v>0</v>
      </c>
      <c r="IR77" s="204"/>
      <c r="IS77" s="203"/>
      <c r="IT77" s="202">
        <f t="shared" si="263"/>
        <v>1</v>
      </c>
      <c r="IU77" s="202">
        <f t="shared" si="264"/>
        <v>46</v>
      </c>
      <c r="IV77" s="204"/>
      <c r="IW77" s="203"/>
      <c r="IX77" s="202">
        <f t="shared" si="265"/>
        <v>0</v>
      </c>
      <c r="IY77" s="202">
        <f t="shared" si="266"/>
        <v>0</v>
      </c>
      <c r="IZ77" s="204"/>
      <c r="JA77" s="203"/>
      <c r="JB77" s="202">
        <f t="shared" si="267"/>
        <v>0</v>
      </c>
      <c r="JC77" s="202">
        <f t="shared" si="268"/>
        <v>0</v>
      </c>
      <c r="JD77" s="204"/>
      <c r="JE77" s="203"/>
      <c r="JF77" s="202">
        <f t="shared" si="476"/>
        <v>1</v>
      </c>
      <c r="JG77" s="202">
        <f t="shared" si="476"/>
        <v>46</v>
      </c>
      <c r="JH77" s="204"/>
      <c r="JI77" s="203"/>
      <c r="JJ77" s="202">
        <f t="shared" si="269"/>
        <v>0</v>
      </c>
      <c r="JK77" s="202">
        <f t="shared" si="270"/>
        <v>0</v>
      </c>
      <c r="JL77" s="195"/>
      <c r="JM77" s="203">
        <f t="shared" si="477"/>
        <v>0</v>
      </c>
      <c r="JN77" s="195"/>
      <c r="JO77" s="196">
        <f t="shared" si="421"/>
        <v>0</v>
      </c>
      <c r="JP77" s="206">
        <f t="shared" si="271"/>
        <v>0</v>
      </c>
      <c r="JQ77" s="206">
        <f t="shared" si="272"/>
        <v>0</v>
      </c>
      <c r="JR77" s="206">
        <f t="shared" si="273"/>
        <v>0</v>
      </c>
      <c r="JS77" s="206">
        <f t="shared" si="274"/>
        <v>0</v>
      </c>
      <c r="JT77" s="206">
        <f t="shared" si="275"/>
        <v>0</v>
      </c>
      <c r="JU77" s="206">
        <f t="shared" si="276"/>
        <v>0</v>
      </c>
      <c r="JV77" s="206">
        <f t="shared" si="277"/>
        <v>0</v>
      </c>
      <c r="JW77" s="206">
        <f t="shared" si="278"/>
        <v>0</v>
      </c>
      <c r="JX77" s="206">
        <f t="shared" si="279"/>
        <v>0</v>
      </c>
      <c r="JY77" s="206">
        <f t="shared" si="280"/>
        <v>0</v>
      </c>
      <c r="JZ77" s="206">
        <f t="shared" si="281"/>
        <v>0</v>
      </c>
      <c r="KA77" s="206">
        <f t="shared" si="282"/>
        <v>0</v>
      </c>
      <c r="KB77" s="206">
        <f t="shared" si="283"/>
        <v>0</v>
      </c>
      <c r="KC77" s="195"/>
      <c r="KD77" s="206">
        <f t="shared" si="478"/>
        <v>0</v>
      </c>
      <c r="KE77" s="206">
        <f t="shared" si="422"/>
        <v>0</v>
      </c>
      <c r="KF77" s="206">
        <f t="shared" si="284"/>
        <v>0</v>
      </c>
      <c r="KG77" s="206">
        <f t="shared" si="285"/>
        <v>0</v>
      </c>
      <c r="KH77" s="206">
        <f t="shared" si="286"/>
        <v>0</v>
      </c>
      <c r="KI77" s="206">
        <f t="shared" si="287"/>
        <v>0</v>
      </c>
      <c r="KJ77" s="206">
        <f t="shared" si="288"/>
        <v>0</v>
      </c>
      <c r="KK77" s="206">
        <f t="shared" si="289"/>
        <v>0</v>
      </c>
      <c r="KL77" s="206">
        <f t="shared" si="290"/>
        <v>0</v>
      </c>
      <c r="KM77" s="206">
        <f t="shared" si="291"/>
        <v>0</v>
      </c>
      <c r="KN77" s="221">
        <f t="shared" si="292"/>
        <v>0</v>
      </c>
      <c r="KO77" s="221">
        <f t="shared" si="293"/>
        <v>0</v>
      </c>
      <c r="KP77" s="221">
        <f t="shared" si="294"/>
        <v>0</v>
      </c>
      <c r="KQ77" s="221">
        <f t="shared" si="295"/>
        <v>0</v>
      </c>
      <c r="KR77" s="221">
        <f t="shared" si="296"/>
        <v>0</v>
      </c>
      <c r="KS77" s="195"/>
      <c r="KT77" s="195">
        <f t="shared" si="297"/>
        <v>0</v>
      </c>
      <c r="KU77" s="221"/>
      <c r="KV77" s="221"/>
      <c r="KW77" s="221"/>
      <c r="KX77" s="221"/>
      <c r="KY77" s="221"/>
      <c r="KZ77" s="221"/>
      <c r="LA77" s="221"/>
      <c r="LB77" s="221"/>
      <c r="LC77" s="221"/>
      <c r="LD77" s="221"/>
      <c r="LE77" s="221"/>
      <c r="LF77" s="221"/>
      <c r="LG77" s="221"/>
      <c r="LH77" s="221"/>
      <c r="LI77" s="221"/>
      <c r="LJ77" s="221"/>
      <c r="LK77" s="221"/>
      <c r="LL77" s="221"/>
      <c r="LM77" s="221"/>
      <c r="LN77" s="221"/>
      <c r="LO77" s="221"/>
      <c r="LP77" s="221"/>
      <c r="LQ77" s="221"/>
      <c r="LR77" s="221"/>
      <c r="LS77" s="221"/>
      <c r="LT77" s="221"/>
      <c r="LU77" s="221"/>
      <c r="LV77" s="221"/>
      <c r="LW77" s="221"/>
      <c r="LX77" s="221"/>
      <c r="LY77" s="221"/>
      <c r="LZ77" s="221"/>
      <c r="MA77" s="221"/>
      <c r="MB77" s="221"/>
      <c r="MC77" s="221"/>
      <c r="MD77" s="221"/>
      <c r="ME77" s="221"/>
      <c r="MF77" s="221"/>
      <c r="MG77" s="221"/>
      <c r="MH77" s="221"/>
      <c r="MI77" s="221"/>
      <c r="MJ77" s="221"/>
      <c r="MK77" s="221"/>
      <c r="ML77" s="221"/>
      <c r="MM77" s="221"/>
      <c r="MN77" s="221"/>
      <c r="MO77" s="221"/>
      <c r="MP77" s="221"/>
      <c r="MQ77" s="221"/>
      <c r="MR77" s="221"/>
      <c r="MS77" s="221"/>
      <c r="MT77" s="221"/>
      <c r="MU77" s="221"/>
      <c r="MV77" s="221"/>
      <c r="MW77" s="221"/>
      <c r="MX77" s="221"/>
      <c r="MY77" s="221"/>
      <c r="MZ77" s="221"/>
      <c r="NA77" s="221"/>
      <c r="NB77" s="221"/>
      <c r="NC77" s="221"/>
      <c r="ND77" s="221"/>
      <c r="NE77" s="221"/>
      <c r="NF77" s="221"/>
      <c r="NG77" s="221"/>
      <c r="NH77" s="221"/>
      <c r="NI77" s="221"/>
      <c r="NJ77" s="221"/>
      <c r="NK77" s="221"/>
      <c r="NL77" s="195"/>
      <c r="NM77" s="195">
        <f t="shared" si="479"/>
        <v>0</v>
      </c>
      <c r="NN77" s="195">
        <f t="shared" si="480"/>
        <v>0</v>
      </c>
      <c r="NO77" s="195">
        <f t="shared" si="481"/>
        <v>0</v>
      </c>
      <c r="NP77" s="195">
        <f t="shared" si="482"/>
        <v>0</v>
      </c>
      <c r="NQ77" s="195">
        <f t="shared" si="483"/>
        <v>0</v>
      </c>
      <c r="NR77" s="195">
        <f t="shared" si="484"/>
        <v>0</v>
      </c>
      <c r="NS77" s="195">
        <f t="shared" si="485"/>
        <v>0</v>
      </c>
      <c r="NT77" s="195">
        <f t="shared" si="486"/>
        <v>0</v>
      </c>
      <c r="NU77" s="196">
        <f t="shared" si="487"/>
        <v>0</v>
      </c>
      <c r="NV77" s="195"/>
      <c r="NW77" s="195"/>
      <c r="NX77" s="195"/>
      <c r="NY77" s="196">
        <f t="shared" si="423"/>
        <v>1</v>
      </c>
      <c r="NZ77" s="222">
        <v>7996800</v>
      </c>
      <c r="OA77" s="195"/>
      <c r="OB77" s="195"/>
      <c r="OC77" s="195"/>
      <c r="OD77" s="195"/>
      <c r="OE77" s="207">
        <f t="shared" si="424"/>
        <v>0</v>
      </c>
      <c r="OF77" s="207">
        <f t="shared" si="425"/>
        <v>0</v>
      </c>
      <c r="OG77" s="207">
        <f t="shared" si="426"/>
        <v>0</v>
      </c>
      <c r="OH77" s="207">
        <f t="shared" si="488"/>
        <v>0</v>
      </c>
      <c r="OI77" s="207">
        <f t="shared" si="427"/>
        <v>0</v>
      </c>
      <c r="OJ77" s="199">
        <f t="shared" si="489"/>
        <v>0</v>
      </c>
      <c r="OK77" s="199">
        <f t="shared" si="490"/>
        <v>0</v>
      </c>
      <c r="OL77" s="199">
        <f t="shared" si="491"/>
        <v>0</v>
      </c>
      <c r="OM77" s="199">
        <f t="shared" si="492"/>
        <v>0</v>
      </c>
      <c r="ON77" s="195"/>
      <c r="OO77" s="207">
        <f t="shared" si="428"/>
        <v>0</v>
      </c>
      <c r="OP77" s="207">
        <f t="shared" si="429"/>
        <v>0</v>
      </c>
      <c r="OQ77" s="207">
        <f t="shared" si="493"/>
        <v>0</v>
      </c>
      <c r="OR77" s="207">
        <f t="shared" si="494"/>
        <v>0</v>
      </c>
      <c r="OS77" s="207">
        <f t="shared" si="495"/>
        <v>0</v>
      </c>
      <c r="OT77" s="199">
        <f t="shared" si="496"/>
        <v>0</v>
      </c>
      <c r="OU77" s="199">
        <f t="shared" si="497"/>
        <v>0</v>
      </c>
      <c r="OV77" s="199">
        <f t="shared" si="498"/>
        <v>0</v>
      </c>
      <c r="OW77" s="199">
        <f t="shared" si="499"/>
        <v>0</v>
      </c>
      <c r="OX77" s="195"/>
      <c r="OY77" s="195"/>
      <c r="OZ77" s="195"/>
      <c r="PA77" s="209"/>
      <c r="PB77" s="209"/>
      <c r="PC77" s="209"/>
      <c r="PD77" s="210">
        <f t="shared" si="430"/>
        <v>0</v>
      </c>
      <c r="PE77" s="210"/>
      <c r="PF77" s="210">
        <f t="shared" si="431"/>
        <v>0</v>
      </c>
      <c r="PG77" s="210">
        <f t="shared" si="302"/>
        <v>0</v>
      </c>
      <c r="PH77" s="210">
        <f t="shared" si="302"/>
        <v>0</v>
      </c>
      <c r="PI77" s="210">
        <f t="shared" si="302"/>
        <v>0</v>
      </c>
      <c r="PJ77" s="210">
        <f t="shared" si="300"/>
        <v>0</v>
      </c>
      <c r="PK77" s="210">
        <f t="shared" si="300"/>
        <v>0</v>
      </c>
      <c r="PL77" s="210">
        <f t="shared" si="300"/>
        <v>0</v>
      </c>
      <c r="PM77" s="195"/>
      <c r="PN77" s="195"/>
      <c r="PO77" s="212">
        <f t="shared" si="500"/>
        <v>0</v>
      </c>
      <c r="PP77" s="212">
        <f t="shared" si="501"/>
        <v>0</v>
      </c>
      <c r="PQ77" s="212">
        <f t="shared" si="502"/>
        <v>0</v>
      </c>
    </row>
    <row r="78" spans="1:433 16383:16384" ht="16" x14ac:dyDescent="0.2">
      <c r="A78" s="213">
        <f t="shared" si="504"/>
        <v>69</v>
      </c>
      <c r="B78" s="186" t="s">
        <v>139</v>
      </c>
      <c r="C78" s="186">
        <v>71</v>
      </c>
      <c r="D78" s="188">
        <v>1</v>
      </c>
      <c r="E78" s="188">
        <v>95</v>
      </c>
      <c r="F78" s="188">
        <v>1</v>
      </c>
      <c r="G78" s="188">
        <f t="shared" si="239"/>
        <v>95</v>
      </c>
      <c r="H78" s="214">
        <f t="shared" si="360"/>
        <v>1</v>
      </c>
      <c r="I78" s="214">
        <f t="shared" si="361"/>
        <v>1</v>
      </c>
      <c r="J78" s="188">
        <v>1</v>
      </c>
      <c r="K78" s="188">
        <f t="shared" si="362"/>
        <v>95</v>
      </c>
      <c r="L78" s="214">
        <f t="shared" si="363"/>
        <v>1</v>
      </c>
      <c r="M78" s="214">
        <f t="shared" si="364"/>
        <v>1</v>
      </c>
      <c r="N78" s="188">
        <v>1</v>
      </c>
      <c r="O78" s="188">
        <f t="shared" si="365"/>
        <v>95</v>
      </c>
      <c r="P78" s="214">
        <f t="shared" si="366"/>
        <v>1</v>
      </c>
      <c r="Q78" s="214">
        <f t="shared" si="367"/>
        <v>1</v>
      </c>
      <c r="R78" s="188">
        <v>1</v>
      </c>
      <c r="S78" s="188">
        <f t="shared" si="368"/>
        <v>95</v>
      </c>
      <c r="T78" s="214">
        <f t="shared" si="369"/>
        <v>1</v>
      </c>
      <c r="U78" s="214">
        <f t="shared" si="370"/>
        <v>1</v>
      </c>
      <c r="V78" s="188">
        <v>1</v>
      </c>
      <c r="W78" s="188">
        <f t="shared" si="371"/>
        <v>95</v>
      </c>
      <c r="X78" s="214">
        <f t="shared" si="372"/>
        <v>1</v>
      </c>
      <c r="Y78" s="214">
        <f t="shared" si="373"/>
        <v>1</v>
      </c>
      <c r="Z78" s="224">
        <f>2171064000/1000000000</f>
        <v>2.1710639999999999</v>
      </c>
      <c r="AA78" s="188"/>
      <c r="AB78" s="189">
        <f t="shared" si="374"/>
        <v>0</v>
      </c>
      <c r="AC78" s="250">
        <f t="shared" si="375"/>
        <v>0</v>
      </c>
      <c r="AD78" s="250">
        <f t="shared" si="376"/>
        <v>0</v>
      </c>
      <c r="AE78" s="188"/>
      <c r="AF78" s="223">
        <f t="shared" si="377"/>
        <v>0</v>
      </c>
      <c r="AG78" s="254"/>
      <c r="AH78" s="254"/>
      <c r="AI78" s="188">
        <v>0</v>
      </c>
      <c r="AJ78" s="188">
        <f t="shared" si="378"/>
        <v>0</v>
      </c>
      <c r="AK78" s="188"/>
      <c r="AL78" s="188">
        <v>0</v>
      </c>
      <c r="AM78" s="188">
        <v>0</v>
      </c>
      <c r="AN78" s="217"/>
      <c r="AO78" s="196">
        <f t="shared" si="432"/>
        <v>0</v>
      </c>
      <c r="AP78" s="195"/>
      <c r="AQ78" s="195"/>
      <c r="AR78" s="195"/>
      <c r="AS78" s="195"/>
      <c r="AT78" s="195"/>
      <c r="AU78" s="195"/>
      <c r="AV78" s="195"/>
      <c r="AW78" s="195"/>
      <c r="AX78" s="195"/>
      <c r="AY78" s="195"/>
      <c r="AZ78" s="195"/>
      <c r="BA78" s="195"/>
      <c r="BB78" s="188">
        <f t="shared" si="379"/>
        <v>0</v>
      </c>
      <c r="BC78" s="195"/>
      <c r="BD78" s="196"/>
      <c r="BE78" s="188">
        <f t="shared" si="380"/>
        <v>0</v>
      </c>
      <c r="BF78" s="188">
        <f t="shared" si="381"/>
        <v>0</v>
      </c>
      <c r="BG78" s="188">
        <f t="shared" si="382"/>
        <v>0</v>
      </c>
      <c r="BH78" s="188">
        <f t="shared" si="383"/>
        <v>0</v>
      </c>
      <c r="BI78" s="188">
        <f t="shared" si="384"/>
        <v>0</v>
      </c>
      <c r="BJ78" s="188">
        <f t="shared" si="385"/>
        <v>0</v>
      </c>
      <c r="BK78" s="188">
        <f t="shared" si="386"/>
        <v>0</v>
      </c>
      <c r="BL78" s="195"/>
      <c r="BM78" s="195"/>
      <c r="BN78" s="215">
        <v>79</v>
      </c>
      <c r="BO78" s="277">
        <v>1</v>
      </c>
      <c r="BP78" s="188"/>
      <c r="BQ78" s="188"/>
      <c r="BR78" s="188"/>
      <c r="BS78" s="188"/>
      <c r="BT78" s="188"/>
      <c r="BU78" s="188"/>
      <c r="BV78" s="188"/>
      <c r="BW78" s="188"/>
      <c r="BX78" s="188"/>
      <c r="BY78" s="188"/>
      <c r="BZ78" s="188"/>
      <c r="CA78" s="195"/>
      <c r="CB78" s="188">
        <v>0</v>
      </c>
      <c r="CC78" s="195"/>
      <c r="CD78" s="189">
        <f t="shared" si="433"/>
        <v>79</v>
      </c>
      <c r="CE78" s="189">
        <f t="shared" si="503"/>
        <v>79</v>
      </c>
      <c r="CF78" s="189">
        <f t="shared" si="387"/>
        <v>0</v>
      </c>
      <c r="CG78" s="189">
        <f t="shared" si="388"/>
        <v>0</v>
      </c>
      <c r="CH78" s="189">
        <f t="shared" si="389"/>
        <v>0</v>
      </c>
      <c r="CI78" s="189">
        <f t="shared" si="390"/>
        <v>0</v>
      </c>
      <c r="CJ78" s="189">
        <f t="shared" si="391"/>
        <v>0</v>
      </c>
      <c r="CK78" s="189">
        <f t="shared" si="392"/>
        <v>0</v>
      </c>
      <c r="CL78" s="189">
        <f t="shared" si="393"/>
        <v>0</v>
      </c>
      <c r="CM78" s="189">
        <f t="shared" si="394"/>
        <v>0</v>
      </c>
      <c r="CN78" s="189">
        <f t="shared" si="395"/>
        <v>0</v>
      </c>
      <c r="CO78" s="189">
        <f t="shared" si="396"/>
        <v>0</v>
      </c>
      <c r="CP78" s="189">
        <f t="shared" si="397"/>
        <v>0</v>
      </c>
      <c r="CQ78" s="195"/>
      <c r="CR78" s="195"/>
      <c r="CS78" s="195"/>
      <c r="CT78" s="195"/>
      <c r="CU78" s="195"/>
      <c r="CV78" s="195"/>
      <c r="CW78" s="195"/>
      <c r="CX78" s="195"/>
      <c r="CY78" s="195"/>
      <c r="CZ78" s="195"/>
      <c r="DA78" s="195"/>
      <c r="DB78" s="195"/>
      <c r="DC78" s="195"/>
      <c r="DD78" s="195"/>
      <c r="DE78" s="195"/>
      <c r="DF78" s="195"/>
      <c r="DG78" s="195"/>
      <c r="DH78" s="195"/>
      <c r="DI78" s="195"/>
      <c r="DJ78" s="195"/>
      <c r="DK78" s="195"/>
      <c r="DL78" s="195"/>
      <c r="DM78" s="195"/>
      <c r="DN78" s="195"/>
      <c r="DO78" s="195"/>
      <c r="DP78" s="195"/>
      <c r="DQ78" s="195"/>
      <c r="DR78" s="195"/>
      <c r="DS78" s="195"/>
      <c r="DT78" s="195"/>
      <c r="DU78" s="195"/>
      <c r="DV78" s="189">
        <f t="shared" si="398"/>
        <v>0</v>
      </c>
      <c r="DW78" s="189">
        <f t="shared" si="399"/>
        <v>0</v>
      </c>
      <c r="DX78" s="189">
        <f t="shared" si="400"/>
        <v>0</v>
      </c>
      <c r="DY78" s="189">
        <f t="shared" si="401"/>
        <v>0</v>
      </c>
      <c r="DZ78" s="189">
        <f t="shared" si="402"/>
        <v>0</v>
      </c>
      <c r="EA78" s="189">
        <f t="shared" si="403"/>
        <v>0</v>
      </c>
      <c r="EB78" s="189">
        <f t="shared" si="404"/>
        <v>0</v>
      </c>
      <c r="EC78" s="195"/>
      <c r="ED78" s="195"/>
      <c r="EE78" s="195"/>
      <c r="EF78" s="195"/>
      <c r="EG78" s="252">
        <f t="shared" si="405"/>
        <v>0</v>
      </c>
      <c r="EH78" s="252">
        <f t="shared" si="406"/>
        <v>0</v>
      </c>
      <c r="EI78" s="189">
        <v>1</v>
      </c>
      <c r="EJ78" s="189">
        <v>1</v>
      </c>
      <c r="EK78" s="189"/>
      <c r="EL78" s="189"/>
      <c r="EM78" s="189"/>
      <c r="EN78" s="189"/>
      <c r="EO78" s="189"/>
      <c r="EP78" s="189"/>
      <c r="EQ78" s="189"/>
      <c r="ER78" s="189"/>
      <c r="ES78" s="189"/>
      <c r="ET78" s="189"/>
      <c r="EU78" s="189"/>
      <c r="EV78" s="189"/>
      <c r="EW78" s="189"/>
      <c r="EX78" s="189"/>
      <c r="EY78" s="189"/>
      <c r="EZ78" s="189"/>
      <c r="FA78" s="189"/>
      <c r="FB78" s="189"/>
      <c r="FC78" s="189"/>
      <c r="FD78" s="189"/>
      <c r="FE78" s="189"/>
      <c r="FF78" s="189"/>
      <c r="FG78" s="195"/>
      <c r="FH78" s="189"/>
      <c r="FI78" s="189"/>
      <c r="FJ78" s="189"/>
      <c r="FK78" s="189"/>
      <c r="FL78" s="189"/>
      <c r="FM78" s="189"/>
      <c r="FN78" s="189"/>
      <c r="FO78" s="189"/>
      <c r="FP78" s="189"/>
      <c r="FQ78" s="189"/>
      <c r="FR78" s="189"/>
      <c r="FS78" s="189"/>
      <c r="FT78" s="189"/>
      <c r="FU78" s="189"/>
      <c r="FV78" s="189"/>
      <c r="FW78" s="195"/>
      <c r="FX78" s="253">
        <v>1</v>
      </c>
      <c r="FY78" s="189">
        <f t="shared" si="407"/>
        <v>79</v>
      </c>
      <c r="FZ78" s="189">
        <f t="shared" si="505"/>
        <v>79</v>
      </c>
      <c r="GA78" s="189">
        <f t="shared" si="506"/>
        <v>0</v>
      </c>
      <c r="GB78" s="189">
        <f t="shared" si="507"/>
        <v>0</v>
      </c>
      <c r="GC78" s="189">
        <f t="shared" si="508"/>
        <v>0</v>
      </c>
      <c r="GD78" s="189">
        <f t="shared" si="509"/>
        <v>0</v>
      </c>
      <c r="GE78" s="189">
        <f t="shared" si="510"/>
        <v>0</v>
      </c>
      <c r="GF78" s="199"/>
      <c r="GG78" s="189">
        <v>0</v>
      </c>
      <c r="GH78" s="189">
        <v>0</v>
      </c>
      <c r="GI78" s="199"/>
      <c r="GJ78" s="200">
        <f t="shared" si="408"/>
        <v>0</v>
      </c>
      <c r="GK78" s="200">
        <f t="shared" si="409"/>
        <v>0</v>
      </c>
      <c r="GL78" s="195"/>
      <c r="GM78" s="195"/>
      <c r="GN78" s="195"/>
      <c r="GO78" s="189">
        <f t="shared" si="246"/>
        <v>0</v>
      </c>
      <c r="GP78" s="189">
        <f t="shared" si="247"/>
        <v>0</v>
      </c>
      <c r="GQ78" s="189">
        <f t="shared" si="248"/>
        <v>0</v>
      </c>
      <c r="GR78" s="189">
        <f t="shared" si="249"/>
        <v>0</v>
      </c>
      <c r="GS78" s="189">
        <f t="shared" si="250"/>
        <v>0</v>
      </c>
      <c r="GT78" s="189">
        <f t="shared" si="456"/>
        <v>1</v>
      </c>
      <c r="GU78" s="201">
        <f t="shared" si="457"/>
        <v>43243</v>
      </c>
      <c r="GV78" s="189" t="str">
        <f t="shared" si="458"/>
        <v>SELESAI</v>
      </c>
      <c r="GW78" s="189">
        <f t="shared" si="459"/>
        <v>0</v>
      </c>
      <c r="GX78" s="202" t="str">
        <f t="shared" si="460"/>
        <v>SELESAI</v>
      </c>
      <c r="GY78" s="202">
        <f t="shared" si="461"/>
        <v>0</v>
      </c>
      <c r="GZ78" s="203" t="str">
        <f t="shared" si="462"/>
        <v>SELESAI</v>
      </c>
      <c r="HA78" s="204"/>
      <c r="HB78" s="204"/>
      <c r="HC78" s="189">
        <f t="shared" si="251"/>
        <v>0</v>
      </c>
      <c r="HD78" s="189">
        <f t="shared" si="252"/>
        <v>0</v>
      </c>
      <c r="HE78" s="189">
        <f t="shared" si="463"/>
        <v>0</v>
      </c>
      <c r="HF78" s="189">
        <f t="shared" si="464"/>
        <v>0</v>
      </c>
      <c r="HG78" s="189">
        <f t="shared" si="465"/>
        <v>0</v>
      </c>
      <c r="HH78" s="201" t="str">
        <f t="shared" si="411"/>
        <v>TIDAK KONSINYASI</v>
      </c>
      <c r="HI78" s="201" t="str">
        <f t="shared" si="466"/>
        <v>SELESAI</v>
      </c>
      <c r="HJ78" s="205"/>
      <c r="HK78" s="201">
        <f t="shared" si="412"/>
        <v>0</v>
      </c>
      <c r="HL78" s="204"/>
      <c r="HM78" s="204"/>
      <c r="HN78" s="204"/>
      <c r="HO78" s="204"/>
      <c r="HP78" s="203">
        <f t="shared" si="467"/>
        <v>0</v>
      </c>
      <c r="HQ78" s="202">
        <f t="shared" si="468"/>
        <v>0</v>
      </c>
      <c r="HR78" s="202">
        <f t="shared" si="253"/>
        <v>0</v>
      </c>
      <c r="HS78" s="203">
        <f t="shared" si="469"/>
        <v>0</v>
      </c>
      <c r="HT78" s="202">
        <f t="shared" si="470"/>
        <v>0</v>
      </c>
      <c r="HU78" s="202">
        <f t="shared" si="254"/>
        <v>0</v>
      </c>
      <c r="HV78" s="203">
        <f t="shared" si="471"/>
        <v>0</v>
      </c>
      <c r="HW78" s="202">
        <f t="shared" si="413"/>
        <v>0</v>
      </c>
      <c r="HX78" s="202">
        <f t="shared" si="255"/>
        <v>0</v>
      </c>
      <c r="HY78" s="203">
        <f t="shared" si="414"/>
        <v>0</v>
      </c>
      <c r="HZ78" s="202">
        <f t="shared" si="472"/>
        <v>0</v>
      </c>
      <c r="IA78" s="202">
        <f t="shared" si="256"/>
        <v>0</v>
      </c>
      <c r="IB78" s="203">
        <f t="shared" si="473"/>
        <v>0</v>
      </c>
      <c r="IC78" s="202">
        <f t="shared" si="415"/>
        <v>0</v>
      </c>
      <c r="ID78" s="202">
        <f t="shared" si="257"/>
        <v>0</v>
      </c>
      <c r="IE78" s="203">
        <f t="shared" si="416"/>
        <v>0</v>
      </c>
      <c r="IF78" s="202">
        <f t="shared" si="417"/>
        <v>0</v>
      </c>
      <c r="IG78" s="202">
        <f t="shared" si="258"/>
        <v>0</v>
      </c>
      <c r="IH78" s="203">
        <f t="shared" si="474"/>
        <v>0</v>
      </c>
      <c r="II78" s="202">
        <f t="shared" si="475"/>
        <v>0</v>
      </c>
      <c r="IJ78" s="202">
        <f t="shared" si="259"/>
        <v>0</v>
      </c>
      <c r="IK78" s="203">
        <f t="shared" si="418"/>
        <v>0</v>
      </c>
      <c r="IL78" s="202">
        <f t="shared" si="419"/>
        <v>0</v>
      </c>
      <c r="IM78" s="202">
        <f t="shared" si="260"/>
        <v>0</v>
      </c>
      <c r="IN78" s="204"/>
      <c r="IO78" s="203">
        <f t="shared" si="420"/>
        <v>0</v>
      </c>
      <c r="IP78" s="202">
        <f t="shared" si="261"/>
        <v>0</v>
      </c>
      <c r="IQ78" s="202">
        <f t="shared" si="262"/>
        <v>0</v>
      </c>
      <c r="IR78" s="204"/>
      <c r="IS78" s="203"/>
      <c r="IT78" s="202">
        <f t="shared" si="263"/>
        <v>1</v>
      </c>
      <c r="IU78" s="202">
        <f t="shared" si="264"/>
        <v>95</v>
      </c>
      <c r="IV78" s="204"/>
      <c r="IW78" s="203"/>
      <c r="IX78" s="202">
        <f t="shared" si="265"/>
        <v>0</v>
      </c>
      <c r="IY78" s="202">
        <f t="shared" si="266"/>
        <v>0</v>
      </c>
      <c r="IZ78" s="204"/>
      <c r="JA78" s="203"/>
      <c r="JB78" s="202">
        <f t="shared" si="267"/>
        <v>0</v>
      </c>
      <c r="JC78" s="202">
        <f t="shared" si="268"/>
        <v>0</v>
      </c>
      <c r="JD78" s="204"/>
      <c r="JE78" s="203"/>
      <c r="JF78" s="202">
        <f t="shared" si="476"/>
        <v>1</v>
      </c>
      <c r="JG78" s="202">
        <f t="shared" si="476"/>
        <v>95</v>
      </c>
      <c r="JH78" s="204"/>
      <c r="JI78" s="203"/>
      <c r="JJ78" s="202">
        <f t="shared" si="269"/>
        <v>0</v>
      </c>
      <c r="JK78" s="202">
        <f t="shared" si="270"/>
        <v>0</v>
      </c>
      <c r="JL78" s="195"/>
      <c r="JM78" s="203">
        <f t="shared" si="477"/>
        <v>0</v>
      </c>
      <c r="JN78" s="195"/>
      <c r="JO78" s="196">
        <f t="shared" si="421"/>
        <v>1</v>
      </c>
      <c r="JP78" s="206">
        <f t="shared" si="271"/>
        <v>79</v>
      </c>
      <c r="JQ78" s="206">
        <f t="shared" si="272"/>
        <v>1</v>
      </c>
      <c r="JR78" s="206">
        <f t="shared" si="273"/>
        <v>0</v>
      </c>
      <c r="JS78" s="206">
        <f t="shared" si="274"/>
        <v>0</v>
      </c>
      <c r="JT78" s="206">
        <f t="shared" si="275"/>
        <v>0</v>
      </c>
      <c r="JU78" s="206">
        <f t="shared" si="276"/>
        <v>0</v>
      </c>
      <c r="JV78" s="206">
        <f t="shared" si="277"/>
        <v>0</v>
      </c>
      <c r="JW78" s="206">
        <f t="shared" si="278"/>
        <v>0</v>
      </c>
      <c r="JX78" s="206">
        <f t="shared" si="279"/>
        <v>0</v>
      </c>
      <c r="JY78" s="206">
        <f t="shared" si="280"/>
        <v>0</v>
      </c>
      <c r="JZ78" s="206">
        <f t="shared" si="281"/>
        <v>0</v>
      </c>
      <c r="KA78" s="206">
        <f t="shared" si="282"/>
        <v>0</v>
      </c>
      <c r="KB78" s="206">
        <f t="shared" si="283"/>
        <v>0</v>
      </c>
      <c r="KC78" s="195"/>
      <c r="KD78" s="206">
        <f t="shared" si="478"/>
        <v>0</v>
      </c>
      <c r="KE78" s="206">
        <f t="shared" si="422"/>
        <v>0</v>
      </c>
      <c r="KF78" s="206">
        <f t="shared" si="284"/>
        <v>79</v>
      </c>
      <c r="KG78" s="206">
        <f t="shared" si="285"/>
        <v>79</v>
      </c>
      <c r="KH78" s="206">
        <f t="shared" si="286"/>
        <v>0</v>
      </c>
      <c r="KI78" s="206">
        <f t="shared" si="287"/>
        <v>0</v>
      </c>
      <c r="KJ78" s="206">
        <f t="shared" si="288"/>
        <v>0</v>
      </c>
      <c r="KK78" s="206">
        <f t="shared" si="289"/>
        <v>0</v>
      </c>
      <c r="KL78" s="206">
        <f t="shared" si="290"/>
        <v>0</v>
      </c>
      <c r="KM78" s="206">
        <f t="shared" si="291"/>
        <v>0</v>
      </c>
      <c r="KN78" s="221">
        <f t="shared" si="292"/>
        <v>0</v>
      </c>
      <c r="KO78" s="221">
        <f t="shared" si="293"/>
        <v>0</v>
      </c>
      <c r="KP78" s="221">
        <f t="shared" si="294"/>
        <v>0</v>
      </c>
      <c r="KQ78" s="221">
        <f t="shared" si="295"/>
        <v>0</v>
      </c>
      <c r="KR78" s="221">
        <f t="shared" si="296"/>
        <v>0</v>
      </c>
      <c r="KS78" s="195"/>
      <c r="KT78" s="195">
        <f t="shared" si="297"/>
        <v>0</v>
      </c>
      <c r="KU78" s="221"/>
      <c r="KV78" s="221"/>
      <c r="KW78" s="221"/>
      <c r="KX78" s="221"/>
      <c r="KY78" s="221"/>
      <c r="KZ78" s="221"/>
      <c r="LA78" s="221"/>
      <c r="LB78" s="221"/>
      <c r="LC78" s="221"/>
      <c r="LD78" s="221"/>
      <c r="LE78" s="221"/>
      <c r="LF78" s="221"/>
      <c r="LG78" s="221"/>
      <c r="LH78" s="221"/>
      <c r="LI78" s="221"/>
      <c r="LJ78" s="221"/>
      <c r="LK78" s="221"/>
      <c r="LL78" s="221"/>
      <c r="LM78" s="221"/>
      <c r="LN78" s="221"/>
      <c r="LO78" s="221"/>
      <c r="LP78" s="221"/>
      <c r="LQ78" s="221"/>
      <c r="LR78" s="221"/>
      <c r="LS78" s="221"/>
      <c r="LT78" s="221"/>
      <c r="LU78" s="221"/>
      <c r="LV78" s="221"/>
      <c r="LW78" s="221"/>
      <c r="LX78" s="221"/>
      <c r="LY78" s="221"/>
      <c r="LZ78" s="221"/>
      <c r="MA78" s="221"/>
      <c r="MB78" s="221"/>
      <c r="MC78" s="221"/>
      <c r="MD78" s="221"/>
      <c r="ME78" s="221"/>
      <c r="MF78" s="221"/>
      <c r="MG78" s="221"/>
      <c r="MH78" s="221"/>
      <c r="MI78" s="221"/>
      <c r="MJ78" s="221"/>
      <c r="MK78" s="221"/>
      <c r="ML78" s="221"/>
      <c r="MM78" s="221"/>
      <c r="MN78" s="221"/>
      <c r="MO78" s="221"/>
      <c r="MP78" s="221"/>
      <c r="MQ78" s="221"/>
      <c r="MR78" s="221"/>
      <c r="MS78" s="221"/>
      <c r="MT78" s="221"/>
      <c r="MU78" s="221"/>
      <c r="MV78" s="221"/>
      <c r="MW78" s="221"/>
      <c r="MX78" s="221"/>
      <c r="MY78" s="221"/>
      <c r="MZ78" s="221"/>
      <c r="NA78" s="221"/>
      <c r="NB78" s="221"/>
      <c r="NC78" s="221"/>
      <c r="ND78" s="221"/>
      <c r="NE78" s="221"/>
      <c r="NF78" s="221"/>
      <c r="NG78" s="221"/>
      <c r="NH78" s="221"/>
      <c r="NI78" s="221"/>
      <c r="NJ78" s="221"/>
      <c r="NK78" s="221"/>
      <c r="NL78" s="195"/>
      <c r="NM78" s="195">
        <f t="shared" si="479"/>
        <v>0</v>
      </c>
      <c r="NN78" s="195">
        <f t="shared" si="480"/>
        <v>0</v>
      </c>
      <c r="NO78" s="195">
        <f t="shared" si="481"/>
        <v>0</v>
      </c>
      <c r="NP78" s="195">
        <f t="shared" si="482"/>
        <v>0</v>
      </c>
      <c r="NQ78" s="195">
        <f t="shared" si="483"/>
        <v>0</v>
      </c>
      <c r="NR78" s="195">
        <f t="shared" si="484"/>
        <v>0</v>
      </c>
      <c r="NS78" s="195">
        <f t="shared" si="485"/>
        <v>0</v>
      </c>
      <c r="NT78" s="195">
        <f t="shared" si="486"/>
        <v>0</v>
      </c>
      <c r="NU78" s="196">
        <f t="shared" si="487"/>
        <v>0</v>
      </c>
      <c r="NV78" s="195"/>
      <c r="NW78" s="195"/>
      <c r="NX78" s="195"/>
      <c r="NY78" s="196">
        <f t="shared" si="423"/>
        <v>1</v>
      </c>
      <c r="NZ78" s="222">
        <f>131920000/16</f>
        <v>8245000</v>
      </c>
      <c r="OA78" s="195"/>
      <c r="OB78" s="195"/>
      <c r="OC78" s="195"/>
      <c r="OD78" s="195"/>
      <c r="OE78" s="207">
        <f t="shared" si="424"/>
        <v>0</v>
      </c>
      <c r="OF78" s="207">
        <f t="shared" si="425"/>
        <v>0</v>
      </c>
      <c r="OG78" s="207">
        <f t="shared" si="426"/>
        <v>0</v>
      </c>
      <c r="OH78" s="207">
        <f t="shared" si="488"/>
        <v>0</v>
      </c>
      <c r="OI78" s="207">
        <f t="shared" si="427"/>
        <v>0</v>
      </c>
      <c r="OJ78" s="199">
        <f t="shared" si="489"/>
        <v>0</v>
      </c>
      <c r="OK78" s="199">
        <f t="shared" si="490"/>
        <v>0</v>
      </c>
      <c r="OL78" s="199">
        <f t="shared" si="491"/>
        <v>0</v>
      </c>
      <c r="OM78" s="199">
        <f t="shared" si="492"/>
        <v>0</v>
      </c>
      <c r="ON78" s="195"/>
      <c r="OO78" s="207">
        <f t="shared" si="428"/>
        <v>0</v>
      </c>
      <c r="OP78" s="207">
        <f t="shared" si="429"/>
        <v>0</v>
      </c>
      <c r="OQ78" s="207">
        <f t="shared" si="493"/>
        <v>0</v>
      </c>
      <c r="OR78" s="207">
        <f t="shared" si="494"/>
        <v>0</v>
      </c>
      <c r="OS78" s="207">
        <f t="shared" si="495"/>
        <v>0</v>
      </c>
      <c r="OT78" s="199">
        <f t="shared" si="496"/>
        <v>0</v>
      </c>
      <c r="OU78" s="199">
        <f t="shared" si="497"/>
        <v>0</v>
      </c>
      <c r="OV78" s="199">
        <f t="shared" si="498"/>
        <v>0</v>
      </c>
      <c r="OW78" s="199">
        <f t="shared" si="499"/>
        <v>0</v>
      </c>
      <c r="OX78" s="195"/>
      <c r="OY78" s="195"/>
      <c r="OZ78" s="195"/>
      <c r="PA78" s="209"/>
      <c r="PB78" s="209"/>
      <c r="PC78" s="209"/>
      <c r="PD78" s="210">
        <f t="shared" si="430"/>
        <v>0</v>
      </c>
      <c r="PE78" s="210"/>
      <c r="PF78" s="210">
        <f t="shared" si="431"/>
        <v>0</v>
      </c>
      <c r="PG78" s="210">
        <f t="shared" si="302"/>
        <v>0</v>
      </c>
      <c r="PH78" s="210">
        <f t="shared" si="302"/>
        <v>0</v>
      </c>
      <c r="PI78" s="210">
        <f t="shared" si="302"/>
        <v>0</v>
      </c>
      <c r="PJ78" s="210">
        <f t="shared" si="300"/>
        <v>0</v>
      </c>
      <c r="PK78" s="210">
        <f t="shared" si="300"/>
        <v>0</v>
      </c>
      <c r="PL78" s="210">
        <f t="shared" si="300"/>
        <v>0</v>
      </c>
      <c r="PM78" s="195"/>
      <c r="PN78" s="195"/>
      <c r="PO78" s="212">
        <f t="shared" si="500"/>
        <v>0</v>
      </c>
      <c r="PP78" s="212">
        <f t="shared" si="501"/>
        <v>0</v>
      </c>
      <c r="PQ78" s="212">
        <f t="shared" si="502"/>
        <v>0</v>
      </c>
      <c r="XFD78">
        <v>918114000</v>
      </c>
    </row>
    <row r="79" spans="1:433 16383:16384" ht="16" x14ac:dyDescent="0.2">
      <c r="A79" s="213">
        <f t="shared" si="504"/>
        <v>70</v>
      </c>
      <c r="B79" s="186" t="s">
        <v>422</v>
      </c>
      <c r="C79" s="186">
        <v>72</v>
      </c>
      <c r="D79" s="188">
        <v>1</v>
      </c>
      <c r="E79" s="188">
        <v>78</v>
      </c>
      <c r="F79" s="188">
        <v>1</v>
      </c>
      <c r="G79" s="188">
        <f t="shared" si="239"/>
        <v>78</v>
      </c>
      <c r="H79" s="214">
        <f t="shared" si="360"/>
        <v>1</v>
      </c>
      <c r="I79" s="214">
        <f t="shared" si="361"/>
        <v>1</v>
      </c>
      <c r="J79" s="188">
        <v>1</v>
      </c>
      <c r="K79" s="188">
        <f t="shared" si="362"/>
        <v>78</v>
      </c>
      <c r="L79" s="214">
        <f t="shared" si="363"/>
        <v>1</v>
      </c>
      <c r="M79" s="214">
        <f t="shared" si="364"/>
        <v>1</v>
      </c>
      <c r="N79" s="188">
        <v>1</v>
      </c>
      <c r="O79" s="188">
        <f t="shared" si="365"/>
        <v>78</v>
      </c>
      <c r="P79" s="214">
        <f t="shared" si="366"/>
        <v>1</v>
      </c>
      <c r="Q79" s="214">
        <f t="shared" si="367"/>
        <v>1</v>
      </c>
      <c r="R79" s="188">
        <v>1</v>
      </c>
      <c r="S79" s="188">
        <f t="shared" si="368"/>
        <v>78</v>
      </c>
      <c r="T79" s="214">
        <f t="shared" si="369"/>
        <v>1</v>
      </c>
      <c r="U79" s="214">
        <f t="shared" si="370"/>
        <v>1</v>
      </c>
      <c r="V79" s="188">
        <v>1</v>
      </c>
      <c r="W79" s="188">
        <f t="shared" si="371"/>
        <v>78</v>
      </c>
      <c r="X79" s="214">
        <f t="shared" si="372"/>
        <v>1</v>
      </c>
      <c r="Y79" s="214">
        <f t="shared" si="373"/>
        <v>1</v>
      </c>
      <c r="Z79" s="224">
        <f>912548000/1000000000</f>
        <v>0.91254800000000003</v>
      </c>
      <c r="AA79" s="188"/>
      <c r="AB79" s="189">
        <f t="shared" si="374"/>
        <v>0</v>
      </c>
      <c r="AC79" s="250">
        <f t="shared" si="375"/>
        <v>0</v>
      </c>
      <c r="AD79" s="250">
        <f t="shared" si="376"/>
        <v>0</v>
      </c>
      <c r="AE79" s="188"/>
      <c r="AF79" s="223">
        <f t="shared" si="377"/>
        <v>0</v>
      </c>
      <c r="AG79" s="254"/>
      <c r="AH79" s="223"/>
      <c r="AI79" s="188">
        <v>0</v>
      </c>
      <c r="AJ79" s="188">
        <f t="shared" si="378"/>
        <v>0</v>
      </c>
      <c r="AK79" s="188"/>
      <c r="AL79" s="188">
        <v>0</v>
      </c>
      <c r="AM79" s="188">
        <v>0</v>
      </c>
      <c r="AN79" s="217"/>
      <c r="AO79" s="196">
        <f t="shared" si="432"/>
        <v>0</v>
      </c>
      <c r="AP79" s="195"/>
      <c r="AQ79" s="195"/>
      <c r="AR79" s="195"/>
      <c r="AS79" s="195"/>
      <c r="AT79" s="195"/>
      <c r="AU79" s="195"/>
      <c r="AV79" s="195"/>
      <c r="AW79" s="195"/>
      <c r="AX79" s="195"/>
      <c r="AY79" s="195"/>
      <c r="AZ79" s="195"/>
      <c r="BA79" s="195"/>
      <c r="BB79" s="188">
        <f t="shared" si="379"/>
        <v>0</v>
      </c>
      <c r="BC79" s="195"/>
      <c r="BD79" s="196"/>
      <c r="BE79" s="188">
        <f t="shared" si="380"/>
        <v>0</v>
      </c>
      <c r="BF79" s="188">
        <f t="shared" si="381"/>
        <v>0</v>
      </c>
      <c r="BG79" s="188">
        <f t="shared" si="382"/>
        <v>0</v>
      </c>
      <c r="BH79" s="188">
        <f t="shared" si="383"/>
        <v>0</v>
      </c>
      <c r="BI79" s="188">
        <f t="shared" si="384"/>
        <v>0</v>
      </c>
      <c r="BJ79" s="188">
        <f t="shared" si="385"/>
        <v>0</v>
      </c>
      <c r="BK79" s="188">
        <f t="shared" si="386"/>
        <v>0</v>
      </c>
      <c r="BL79" s="195"/>
      <c r="BM79" s="195"/>
      <c r="BN79" s="315">
        <v>78</v>
      </c>
      <c r="BO79" s="139">
        <v>1</v>
      </c>
      <c r="BP79" s="188"/>
      <c r="BQ79" s="188"/>
      <c r="BR79" s="188"/>
      <c r="BS79" s="188"/>
      <c r="BT79" s="188"/>
      <c r="BU79" s="188"/>
      <c r="BV79" s="188"/>
      <c r="BW79" s="188"/>
      <c r="BX79" s="188"/>
      <c r="BY79" s="188"/>
      <c r="BZ79" s="188"/>
      <c r="CA79" s="195"/>
      <c r="CB79" s="188">
        <v>0</v>
      </c>
      <c r="CC79" s="195"/>
      <c r="CD79" s="189">
        <f t="shared" si="433"/>
        <v>78</v>
      </c>
      <c r="CE79" s="189">
        <f t="shared" si="503"/>
        <v>78</v>
      </c>
      <c r="CF79" s="189">
        <f t="shared" si="387"/>
        <v>0</v>
      </c>
      <c r="CG79" s="189">
        <f t="shared" si="388"/>
        <v>0</v>
      </c>
      <c r="CH79" s="189">
        <f t="shared" si="389"/>
        <v>0</v>
      </c>
      <c r="CI79" s="189">
        <f t="shared" si="390"/>
        <v>0</v>
      </c>
      <c r="CJ79" s="189">
        <f t="shared" si="391"/>
        <v>0</v>
      </c>
      <c r="CK79" s="189">
        <f t="shared" si="392"/>
        <v>0</v>
      </c>
      <c r="CL79" s="189">
        <f t="shared" si="393"/>
        <v>0</v>
      </c>
      <c r="CM79" s="189">
        <f t="shared" si="394"/>
        <v>0</v>
      </c>
      <c r="CN79" s="189">
        <f t="shared" si="395"/>
        <v>0</v>
      </c>
      <c r="CO79" s="189">
        <f t="shared" si="396"/>
        <v>0</v>
      </c>
      <c r="CP79" s="189">
        <f t="shared" si="397"/>
        <v>0</v>
      </c>
      <c r="CQ79" s="195"/>
      <c r="CR79" s="195"/>
      <c r="CS79" s="195"/>
      <c r="CT79" s="195"/>
      <c r="CU79" s="195"/>
      <c r="CV79" s="195"/>
      <c r="CW79" s="195"/>
      <c r="CX79" s="195"/>
      <c r="CY79" s="195"/>
      <c r="CZ79" s="195"/>
      <c r="DA79" s="195"/>
      <c r="DB79" s="195"/>
      <c r="DC79" s="195"/>
      <c r="DD79" s="195"/>
      <c r="DE79" s="195"/>
      <c r="DF79" s="195"/>
      <c r="DG79" s="195"/>
      <c r="DH79" s="195"/>
      <c r="DI79" s="195"/>
      <c r="DJ79" s="195"/>
      <c r="DK79" s="195"/>
      <c r="DL79" s="195"/>
      <c r="DM79" s="195"/>
      <c r="DN79" s="195"/>
      <c r="DO79" s="195"/>
      <c r="DP79" s="195"/>
      <c r="DQ79" s="195"/>
      <c r="DR79" s="195"/>
      <c r="DS79" s="195"/>
      <c r="DT79" s="195"/>
      <c r="DU79" s="195"/>
      <c r="DV79" s="189">
        <f t="shared" si="398"/>
        <v>0</v>
      </c>
      <c r="DW79" s="189">
        <f t="shared" si="399"/>
        <v>0</v>
      </c>
      <c r="DX79" s="189">
        <f t="shared" si="400"/>
        <v>0</v>
      </c>
      <c r="DY79" s="189">
        <f t="shared" si="401"/>
        <v>0</v>
      </c>
      <c r="DZ79" s="189">
        <f t="shared" si="402"/>
        <v>0</v>
      </c>
      <c r="EA79" s="189">
        <f t="shared" si="403"/>
        <v>0</v>
      </c>
      <c r="EB79" s="189">
        <f t="shared" si="404"/>
        <v>0</v>
      </c>
      <c r="EC79" s="195"/>
      <c r="ED79" s="195"/>
      <c r="EE79" s="195"/>
      <c r="EF79" s="195"/>
      <c r="EG79" s="252">
        <f t="shared" si="405"/>
        <v>0</v>
      </c>
      <c r="EH79" s="252">
        <f t="shared" si="406"/>
        <v>0</v>
      </c>
      <c r="EI79" s="189"/>
      <c r="EJ79" s="189"/>
      <c r="EK79" s="189"/>
      <c r="EL79" s="189"/>
      <c r="EM79" s="189"/>
      <c r="EN79" s="189"/>
      <c r="EO79" s="189"/>
      <c r="EP79" s="189"/>
      <c r="EQ79" s="189"/>
      <c r="ER79" s="189"/>
      <c r="ES79" s="189"/>
      <c r="ET79" s="189"/>
      <c r="EU79" s="189"/>
      <c r="EV79" s="189"/>
      <c r="EW79" s="189"/>
      <c r="EX79" s="189"/>
      <c r="EY79" s="189"/>
      <c r="EZ79" s="189"/>
      <c r="FA79" s="189"/>
      <c r="FB79" s="189"/>
      <c r="FC79" s="189"/>
      <c r="FD79" s="189"/>
      <c r="FE79" s="189"/>
      <c r="FF79" s="189"/>
      <c r="FG79" s="195"/>
      <c r="FH79" s="189"/>
      <c r="FI79" s="189"/>
      <c r="FJ79" s="189"/>
      <c r="FK79" s="189"/>
      <c r="FL79" s="189"/>
      <c r="FM79" s="189"/>
      <c r="FN79" s="189"/>
      <c r="FO79" s="189"/>
      <c r="FP79" s="189"/>
      <c r="FQ79" s="189"/>
      <c r="FR79" s="189"/>
      <c r="FS79" s="189"/>
      <c r="FT79" s="189"/>
      <c r="FU79" s="189"/>
      <c r="FV79" s="189"/>
      <c r="FW79" s="195"/>
      <c r="FX79" s="253">
        <v>1</v>
      </c>
      <c r="FY79" s="189">
        <f t="shared" si="407"/>
        <v>78</v>
      </c>
      <c r="FZ79" s="189">
        <f t="shared" si="505"/>
        <v>78</v>
      </c>
      <c r="GA79" s="189">
        <f t="shared" si="506"/>
        <v>0</v>
      </c>
      <c r="GB79" s="189">
        <f t="shared" si="507"/>
        <v>0</v>
      </c>
      <c r="GC79" s="189">
        <f t="shared" si="508"/>
        <v>0</v>
      </c>
      <c r="GD79" s="189">
        <f t="shared" si="509"/>
        <v>0</v>
      </c>
      <c r="GE79" s="189">
        <f t="shared" si="510"/>
        <v>0</v>
      </c>
      <c r="GF79" s="199"/>
      <c r="GG79" s="189">
        <v>0</v>
      </c>
      <c r="GH79" s="189">
        <v>0</v>
      </c>
      <c r="GI79" s="199"/>
      <c r="GJ79" s="200">
        <f t="shared" si="408"/>
        <v>0</v>
      </c>
      <c r="GK79" s="200">
        <f t="shared" si="409"/>
        <v>0</v>
      </c>
      <c r="GL79" s="195"/>
      <c r="GM79" s="195"/>
      <c r="GN79" s="195"/>
      <c r="GO79" s="189">
        <f t="shared" si="246"/>
        <v>0</v>
      </c>
      <c r="GP79" s="189">
        <f t="shared" si="247"/>
        <v>0</v>
      </c>
      <c r="GQ79" s="189">
        <f t="shared" si="248"/>
        <v>0</v>
      </c>
      <c r="GR79" s="189">
        <f t="shared" si="249"/>
        <v>0</v>
      </c>
      <c r="GS79" s="189">
        <f t="shared" si="250"/>
        <v>0</v>
      </c>
      <c r="GT79" s="189">
        <f t="shared" si="456"/>
        <v>1</v>
      </c>
      <c r="GU79" s="201">
        <f t="shared" si="457"/>
        <v>43243</v>
      </c>
      <c r="GV79" s="189" t="str">
        <f t="shared" si="458"/>
        <v>SELESAI</v>
      </c>
      <c r="GW79" s="189">
        <f t="shared" si="459"/>
        <v>0</v>
      </c>
      <c r="GX79" s="202" t="str">
        <f t="shared" si="460"/>
        <v>SELESAI</v>
      </c>
      <c r="GY79" s="202">
        <f t="shared" si="461"/>
        <v>0</v>
      </c>
      <c r="GZ79" s="203" t="str">
        <f t="shared" si="462"/>
        <v>SELESAI</v>
      </c>
      <c r="HA79" s="204"/>
      <c r="HB79" s="204"/>
      <c r="HC79" s="189">
        <f t="shared" si="251"/>
        <v>0</v>
      </c>
      <c r="HD79" s="189">
        <f t="shared" si="252"/>
        <v>0</v>
      </c>
      <c r="HE79" s="189">
        <f t="shared" si="463"/>
        <v>0</v>
      </c>
      <c r="HF79" s="189">
        <f t="shared" si="464"/>
        <v>0</v>
      </c>
      <c r="HG79" s="189">
        <f t="shared" si="465"/>
        <v>0</v>
      </c>
      <c r="HH79" s="201" t="str">
        <f t="shared" si="411"/>
        <v>TIDAK KONSINYASI</v>
      </c>
      <c r="HI79" s="201" t="str">
        <f t="shared" si="466"/>
        <v>SELESAI</v>
      </c>
      <c r="HJ79" s="205"/>
      <c r="HK79" s="201">
        <f t="shared" si="412"/>
        <v>0</v>
      </c>
      <c r="HL79" s="204"/>
      <c r="HM79" s="204"/>
      <c r="HN79" s="204"/>
      <c r="HO79" s="204"/>
      <c r="HP79" s="203">
        <f t="shared" si="467"/>
        <v>0</v>
      </c>
      <c r="HQ79" s="202">
        <f t="shared" si="468"/>
        <v>0</v>
      </c>
      <c r="HR79" s="202">
        <f t="shared" si="253"/>
        <v>0</v>
      </c>
      <c r="HS79" s="203">
        <f t="shared" si="469"/>
        <v>0</v>
      </c>
      <c r="HT79" s="202">
        <f t="shared" si="470"/>
        <v>0</v>
      </c>
      <c r="HU79" s="202">
        <f t="shared" si="254"/>
        <v>0</v>
      </c>
      <c r="HV79" s="203">
        <f t="shared" si="471"/>
        <v>0</v>
      </c>
      <c r="HW79" s="202">
        <f t="shared" si="413"/>
        <v>0</v>
      </c>
      <c r="HX79" s="202">
        <f t="shared" si="255"/>
        <v>0</v>
      </c>
      <c r="HY79" s="203">
        <f t="shared" si="414"/>
        <v>0</v>
      </c>
      <c r="HZ79" s="202">
        <f t="shared" si="472"/>
        <v>0</v>
      </c>
      <c r="IA79" s="202">
        <f t="shared" si="256"/>
        <v>0</v>
      </c>
      <c r="IB79" s="203">
        <f t="shared" si="473"/>
        <v>0</v>
      </c>
      <c r="IC79" s="202">
        <f t="shared" si="415"/>
        <v>0</v>
      </c>
      <c r="ID79" s="202">
        <f t="shared" si="257"/>
        <v>0</v>
      </c>
      <c r="IE79" s="203">
        <f t="shared" si="416"/>
        <v>0</v>
      </c>
      <c r="IF79" s="202">
        <f t="shared" si="417"/>
        <v>0</v>
      </c>
      <c r="IG79" s="202">
        <f t="shared" si="258"/>
        <v>0</v>
      </c>
      <c r="IH79" s="203">
        <f t="shared" si="474"/>
        <v>0</v>
      </c>
      <c r="II79" s="202">
        <f t="shared" si="475"/>
        <v>0</v>
      </c>
      <c r="IJ79" s="202">
        <f t="shared" si="259"/>
        <v>0</v>
      </c>
      <c r="IK79" s="203">
        <f t="shared" si="418"/>
        <v>0</v>
      </c>
      <c r="IL79" s="202">
        <f t="shared" si="419"/>
        <v>0</v>
      </c>
      <c r="IM79" s="202">
        <f t="shared" si="260"/>
        <v>0</v>
      </c>
      <c r="IN79" s="204"/>
      <c r="IO79" s="203">
        <f t="shared" si="420"/>
        <v>0</v>
      </c>
      <c r="IP79" s="202">
        <f t="shared" si="261"/>
        <v>0</v>
      </c>
      <c r="IQ79" s="202">
        <f t="shared" si="262"/>
        <v>0</v>
      </c>
      <c r="IR79" s="204"/>
      <c r="IS79" s="203"/>
      <c r="IT79" s="202">
        <f t="shared" si="263"/>
        <v>1</v>
      </c>
      <c r="IU79" s="202">
        <f t="shared" si="264"/>
        <v>78</v>
      </c>
      <c r="IV79" s="204"/>
      <c r="IW79" s="203"/>
      <c r="IX79" s="202">
        <f t="shared" si="265"/>
        <v>0</v>
      </c>
      <c r="IY79" s="202">
        <f t="shared" si="266"/>
        <v>0</v>
      </c>
      <c r="IZ79" s="204"/>
      <c r="JA79" s="203"/>
      <c r="JB79" s="202">
        <f t="shared" si="267"/>
        <v>0</v>
      </c>
      <c r="JC79" s="202">
        <f t="shared" si="268"/>
        <v>0</v>
      </c>
      <c r="JD79" s="204"/>
      <c r="JE79" s="203"/>
      <c r="JF79" s="202">
        <f t="shared" si="476"/>
        <v>1</v>
      </c>
      <c r="JG79" s="202">
        <f t="shared" si="476"/>
        <v>78</v>
      </c>
      <c r="JH79" s="204"/>
      <c r="JI79" s="203"/>
      <c r="JJ79" s="202">
        <f t="shared" si="269"/>
        <v>0</v>
      </c>
      <c r="JK79" s="202">
        <f t="shared" si="270"/>
        <v>0</v>
      </c>
      <c r="JL79" s="195"/>
      <c r="JM79" s="203">
        <f t="shared" si="477"/>
        <v>0</v>
      </c>
      <c r="JN79" s="195"/>
      <c r="JO79" s="196">
        <f t="shared" si="421"/>
        <v>1</v>
      </c>
      <c r="JP79" s="206">
        <f t="shared" si="271"/>
        <v>78</v>
      </c>
      <c r="JQ79" s="206">
        <f t="shared" si="272"/>
        <v>1</v>
      </c>
      <c r="JR79" s="206">
        <f t="shared" si="273"/>
        <v>0</v>
      </c>
      <c r="JS79" s="206">
        <f t="shared" si="274"/>
        <v>0</v>
      </c>
      <c r="JT79" s="206">
        <f t="shared" si="275"/>
        <v>0</v>
      </c>
      <c r="JU79" s="206">
        <f t="shared" si="276"/>
        <v>0</v>
      </c>
      <c r="JV79" s="206">
        <f t="shared" si="277"/>
        <v>0</v>
      </c>
      <c r="JW79" s="206">
        <f t="shared" si="278"/>
        <v>0</v>
      </c>
      <c r="JX79" s="206">
        <f t="shared" si="279"/>
        <v>0</v>
      </c>
      <c r="JY79" s="206">
        <f t="shared" si="280"/>
        <v>0</v>
      </c>
      <c r="JZ79" s="206">
        <f t="shared" si="281"/>
        <v>0</v>
      </c>
      <c r="KA79" s="206">
        <f t="shared" si="282"/>
        <v>0</v>
      </c>
      <c r="KB79" s="206">
        <f t="shared" si="283"/>
        <v>0</v>
      </c>
      <c r="KC79" s="195"/>
      <c r="KD79" s="206">
        <f t="shared" si="478"/>
        <v>0</v>
      </c>
      <c r="KE79" s="206">
        <f t="shared" si="422"/>
        <v>0</v>
      </c>
      <c r="KF79" s="206">
        <f t="shared" si="284"/>
        <v>78</v>
      </c>
      <c r="KG79" s="206">
        <f t="shared" si="285"/>
        <v>78</v>
      </c>
      <c r="KH79" s="206">
        <f t="shared" si="286"/>
        <v>0</v>
      </c>
      <c r="KI79" s="206">
        <f t="shared" si="287"/>
        <v>0</v>
      </c>
      <c r="KJ79" s="206">
        <f t="shared" si="288"/>
        <v>0</v>
      </c>
      <c r="KK79" s="206">
        <f t="shared" si="289"/>
        <v>0</v>
      </c>
      <c r="KL79" s="206">
        <f t="shared" si="290"/>
        <v>0</v>
      </c>
      <c r="KM79" s="206">
        <f t="shared" si="291"/>
        <v>0</v>
      </c>
      <c r="KN79" s="221">
        <f t="shared" si="292"/>
        <v>0</v>
      </c>
      <c r="KO79" s="221">
        <f t="shared" si="293"/>
        <v>0</v>
      </c>
      <c r="KP79" s="221">
        <f t="shared" si="294"/>
        <v>0</v>
      </c>
      <c r="KQ79" s="221">
        <f t="shared" si="295"/>
        <v>0</v>
      </c>
      <c r="KR79" s="221">
        <f t="shared" si="296"/>
        <v>0</v>
      </c>
      <c r="KS79" s="195"/>
      <c r="KT79" s="195">
        <f t="shared" si="297"/>
        <v>0</v>
      </c>
      <c r="KU79" s="221"/>
      <c r="KV79" s="221"/>
      <c r="KW79" s="221"/>
      <c r="KX79" s="221"/>
      <c r="KY79" s="221"/>
      <c r="KZ79" s="221"/>
      <c r="LA79" s="221"/>
      <c r="LB79" s="221"/>
      <c r="LC79" s="221"/>
      <c r="LD79" s="221"/>
      <c r="LE79" s="221"/>
      <c r="LF79" s="221"/>
      <c r="LG79" s="221"/>
      <c r="LH79" s="221"/>
      <c r="LI79" s="221"/>
      <c r="LJ79" s="221"/>
      <c r="LK79" s="221"/>
      <c r="LL79" s="221"/>
      <c r="LM79" s="221"/>
      <c r="LN79" s="221"/>
      <c r="LO79" s="221"/>
      <c r="LP79" s="221"/>
      <c r="LQ79" s="221"/>
      <c r="LR79" s="221"/>
      <c r="LS79" s="221"/>
      <c r="LT79" s="221"/>
      <c r="LU79" s="221"/>
      <c r="LV79" s="221"/>
      <c r="LW79" s="221"/>
      <c r="LX79" s="221"/>
      <c r="LY79" s="221"/>
      <c r="LZ79" s="221"/>
      <c r="MA79" s="221"/>
      <c r="MB79" s="221"/>
      <c r="MC79" s="221"/>
      <c r="MD79" s="221"/>
      <c r="ME79" s="221"/>
      <c r="MF79" s="221"/>
      <c r="MG79" s="221"/>
      <c r="MH79" s="221"/>
      <c r="MI79" s="221"/>
      <c r="MJ79" s="221"/>
      <c r="MK79" s="221"/>
      <c r="ML79" s="221"/>
      <c r="MM79" s="221"/>
      <c r="MN79" s="221"/>
      <c r="MO79" s="221"/>
      <c r="MP79" s="221"/>
      <c r="MQ79" s="221"/>
      <c r="MR79" s="221"/>
      <c r="MS79" s="221"/>
      <c r="MT79" s="221"/>
      <c r="MU79" s="221"/>
      <c r="MV79" s="221"/>
      <c r="MW79" s="221"/>
      <c r="MX79" s="221"/>
      <c r="MY79" s="221"/>
      <c r="MZ79" s="221"/>
      <c r="NA79" s="221"/>
      <c r="NB79" s="221"/>
      <c r="NC79" s="221"/>
      <c r="ND79" s="221"/>
      <c r="NE79" s="221"/>
      <c r="NF79" s="221"/>
      <c r="NG79" s="221"/>
      <c r="NH79" s="221"/>
      <c r="NI79" s="221"/>
      <c r="NJ79" s="221"/>
      <c r="NK79" s="221"/>
      <c r="NL79" s="195"/>
      <c r="NM79" s="195">
        <f t="shared" si="479"/>
        <v>0</v>
      </c>
      <c r="NN79" s="195">
        <f t="shared" si="480"/>
        <v>0</v>
      </c>
      <c r="NO79" s="195">
        <f t="shared" si="481"/>
        <v>0</v>
      </c>
      <c r="NP79" s="195">
        <f t="shared" si="482"/>
        <v>0</v>
      </c>
      <c r="NQ79" s="195">
        <f t="shared" si="483"/>
        <v>0</v>
      </c>
      <c r="NR79" s="195">
        <f t="shared" si="484"/>
        <v>0</v>
      </c>
      <c r="NS79" s="195">
        <f t="shared" si="485"/>
        <v>0</v>
      </c>
      <c r="NT79" s="195">
        <f t="shared" si="486"/>
        <v>0</v>
      </c>
      <c r="NU79" s="196">
        <f t="shared" si="487"/>
        <v>0</v>
      </c>
      <c r="NV79" s="195"/>
      <c r="NW79" s="195"/>
      <c r="NX79" s="195"/>
      <c r="NY79" s="196">
        <f t="shared" si="423"/>
        <v>1</v>
      </c>
      <c r="NZ79" s="222">
        <v>8311538</v>
      </c>
      <c r="OA79" s="195"/>
      <c r="OB79" s="195"/>
      <c r="OC79" s="195"/>
      <c r="OD79" s="195"/>
      <c r="OE79" s="207">
        <f t="shared" si="424"/>
        <v>0</v>
      </c>
      <c r="OF79" s="207">
        <f t="shared" si="425"/>
        <v>0</v>
      </c>
      <c r="OG79" s="207">
        <f t="shared" si="426"/>
        <v>0</v>
      </c>
      <c r="OH79" s="207">
        <f t="shared" si="488"/>
        <v>0</v>
      </c>
      <c r="OI79" s="207">
        <f t="shared" si="427"/>
        <v>0</v>
      </c>
      <c r="OJ79" s="199">
        <f t="shared" si="489"/>
        <v>0</v>
      </c>
      <c r="OK79" s="199">
        <f t="shared" si="490"/>
        <v>0</v>
      </c>
      <c r="OL79" s="199">
        <f t="shared" si="491"/>
        <v>0</v>
      </c>
      <c r="OM79" s="199">
        <f t="shared" si="492"/>
        <v>0</v>
      </c>
      <c r="ON79" s="195"/>
      <c r="OO79" s="207">
        <f t="shared" si="428"/>
        <v>0</v>
      </c>
      <c r="OP79" s="207">
        <f t="shared" si="429"/>
        <v>0</v>
      </c>
      <c r="OQ79" s="207">
        <f t="shared" si="493"/>
        <v>0</v>
      </c>
      <c r="OR79" s="207">
        <f t="shared" si="494"/>
        <v>0</v>
      </c>
      <c r="OS79" s="207">
        <f t="shared" si="495"/>
        <v>0</v>
      </c>
      <c r="OT79" s="199">
        <f t="shared" si="496"/>
        <v>0</v>
      </c>
      <c r="OU79" s="199">
        <f t="shared" si="497"/>
        <v>0</v>
      </c>
      <c r="OV79" s="199">
        <f t="shared" si="498"/>
        <v>0</v>
      </c>
      <c r="OW79" s="199">
        <f t="shared" si="499"/>
        <v>0</v>
      </c>
      <c r="OX79" s="195"/>
      <c r="OY79" s="195"/>
      <c r="OZ79" s="195"/>
      <c r="PA79" s="209"/>
      <c r="PB79" s="209"/>
      <c r="PC79" s="209"/>
      <c r="PD79" s="210">
        <f t="shared" si="430"/>
        <v>0</v>
      </c>
      <c r="PE79" s="210"/>
      <c r="PF79" s="210">
        <f t="shared" si="431"/>
        <v>0</v>
      </c>
      <c r="PG79" s="210">
        <f t="shared" si="302"/>
        <v>0</v>
      </c>
      <c r="PH79" s="210">
        <f t="shared" si="302"/>
        <v>0</v>
      </c>
      <c r="PI79" s="210">
        <f t="shared" si="302"/>
        <v>0</v>
      </c>
      <c r="PJ79" s="210">
        <f t="shared" si="300"/>
        <v>0</v>
      </c>
      <c r="PK79" s="210">
        <f t="shared" si="300"/>
        <v>0</v>
      </c>
      <c r="PL79" s="210">
        <f t="shared" si="300"/>
        <v>0</v>
      </c>
      <c r="PM79" s="195"/>
      <c r="PN79" s="195"/>
      <c r="PO79" s="212">
        <f t="shared" si="500"/>
        <v>0</v>
      </c>
      <c r="PP79" s="212">
        <f t="shared" si="501"/>
        <v>0</v>
      </c>
      <c r="PQ79" s="212">
        <f t="shared" si="502"/>
        <v>0</v>
      </c>
    </row>
    <row r="80" spans="1:433 16383:16384" ht="16" x14ac:dyDescent="0.2">
      <c r="A80" s="213">
        <f t="shared" si="504"/>
        <v>71</v>
      </c>
      <c r="B80" s="186" t="s">
        <v>423</v>
      </c>
      <c r="C80" s="186">
        <v>73</v>
      </c>
      <c r="D80" s="188">
        <v>1</v>
      </c>
      <c r="E80" s="188">
        <v>119</v>
      </c>
      <c r="F80" s="188">
        <v>1</v>
      </c>
      <c r="G80" s="188">
        <f t="shared" si="239"/>
        <v>119</v>
      </c>
      <c r="H80" s="214">
        <f t="shared" si="360"/>
        <v>1</v>
      </c>
      <c r="I80" s="214">
        <f t="shared" si="361"/>
        <v>1</v>
      </c>
      <c r="J80" s="188">
        <v>1</v>
      </c>
      <c r="K80" s="188">
        <f t="shared" si="362"/>
        <v>119</v>
      </c>
      <c r="L80" s="214">
        <f t="shared" si="363"/>
        <v>1</v>
      </c>
      <c r="M80" s="214">
        <f t="shared" si="364"/>
        <v>1</v>
      </c>
      <c r="N80" s="188">
        <v>1</v>
      </c>
      <c r="O80" s="188">
        <f t="shared" si="365"/>
        <v>119</v>
      </c>
      <c r="P80" s="214">
        <f t="shared" si="366"/>
        <v>1</v>
      </c>
      <c r="Q80" s="214">
        <f t="shared" si="367"/>
        <v>1</v>
      </c>
      <c r="R80" s="188">
        <v>1</v>
      </c>
      <c r="S80" s="188">
        <f t="shared" si="368"/>
        <v>119</v>
      </c>
      <c r="T80" s="214">
        <f t="shared" si="369"/>
        <v>1</v>
      </c>
      <c r="U80" s="214">
        <f t="shared" si="370"/>
        <v>1</v>
      </c>
      <c r="V80" s="165">
        <v>1</v>
      </c>
      <c r="W80" s="188">
        <f t="shared" si="371"/>
        <v>119</v>
      </c>
      <c r="X80" s="214">
        <f t="shared" si="372"/>
        <v>1</v>
      </c>
      <c r="Y80" s="214">
        <f t="shared" si="373"/>
        <v>1</v>
      </c>
      <c r="Z80" s="224">
        <f>1513489000/1000000000</f>
        <v>1.5134890000000001</v>
      </c>
      <c r="AA80" s="188"/>
      <c r="AB80" s="189">
        <f t="shared" si="374"/>
        <v>0</v>
      </c>
      <c r="AC80" s="250">
        <f t="shared" si="375"/>
        <v>0</v>
      </c>
      <c r="AD80" s="250">
        <f t="shared" si="376"/>
        <v>0</v>
      </c>
      <c r="AE80" s="188"/>
      <c r="AF80" s="223">
        <f t="shared" si="377"/>
        <v>0</v>
      </c>
      <c r="AG80" s="254"/>
      <c r="AH80" s="254"/>
      <c r="AI80" s="188">
        <v>0</v>
      </c>
      <c r="AJ80" s="188">
        <f t="shared" si="378"/>
        <v>0</v>
      </c>
      <c r="AK80" s="188"/>
      <c r="AL80" s="188">
        <v>0</v>
      </c>
      <c r="AM80" s="188">
        <v>0</v>
      </c>
      <c r="AN80" s="217"/>
      <c r="AO80" s="196">
        <f t="shared" si="432"/>
        <v>0</v>
      </c>
      <c r="AP80" s="195"/>
      <c r="AQ80" s="195"/>
      <c r="AR80" s="195"/>
      <c r="AS80" s="195"/>
      <c r="AT80" s="195"/>
      <c r="AU80" s="195"/>
      <c r="AV80" s="195"/>
      <c r="AW80" s="195"/>
      <c r="AX80" s="195"/>
      <c r="AY80" s="195"/>
      <c r="AZ80" s="195"/>
      <c r="BA80" s="195"/>
      <c r="BB80" s="188">
        <f t="shared" si="379"/>
        <v>0</v>
      </c>
      <c r="BC80" s="195"/>
      <c r="BD80" s="196"/>
      <c r="BE80" s="188">
        <f t="shared" si="380"/>
        <v>0</v>
      </c>
      <c r="BF80" s="188">
        <f t="shared" si="381"/>
        <v>0</v>
      </c>
      <c r="BG80" s="188">
        <f t="shared" si="382"/>
        <v>0</v>
      </c>
      <c r="BH80" s="188">
        <f t="shared" si="383"/>
        <v>0</v>
      </c>
      <c r="BI80" s="188">
        <f t="shared" si="384"/>
        <v>0</v>
      </c>
      <c r="BJ80" s="188">
        <f t="shared" si="385"/>
        <v>0</v>
      </c>
      <c r="BK80" s="188">
        <f t="shared" si="386"/>
        <v>0</v>
      </c>
      <c r="BL80" s="195"/>
      <c r="BM80" s="195"/>
      <c r="BN80" s="215">
        <v>67</v>
      </c>
      <c r="BO80" s="277">
        <v>1</v>
      </c>
      <c r="BP80" s="188"/>
      <c r="BQ80" s="188"/>
      <c r="BR80" s="188"/>
      <c r="BS80" s="188"/>
      <c r="BT80" s="188"/>
      <c r="BU80" s="188"/>
      <c r="BV80" s="188"/>
      <c r="BW80" s="188"/>
      <c r="BX80" s="188"/>
      <c r="BY80" s="188"/>
      <c r="BZ80" s="188"/>
      <c r="CA80" s="195"/>
      <c r="CB80" s="188">
        <v>0</v>
      </c>
      <c r="CC80" s="195"/>
      <c r="CD80" s="189">
        <f t="shared" si="433"/>
        <v>67</v>
      </c>
      <c r="CE80" s="189">
        <f t="shared" si="503"/>
        <v>67</v>
      </c>
      <c r="CF80" s="189">
        <f t="shared" si="387"/>
        <v>0</v>
      </c>
      <c r="CG80" s="189">
        <f t="shared" si="388"/>
        <v>0</v>
      </c>
      <c r="CH80" s="189">
        <f t="shared" si="389"/>
        <v>0</v>
      </c>
      <c r="CI80" s="189">
        <f t="shared" si="390"/>
        <v>0</v>
      </c>
      <c r="CJ80" s="189">
        <f t="shared" si="391"/>
        <v>0</v>
      </c>
      <c r="CK80" s="189">
        <f t="shared" si="392"/>
        <v>0</v>
      </c>
      <c r="CL80" s="189">
        <f t="shared" si="393"/>
        <v>0</v>
      </c>
      <c r="CM80" s="189">
        <f t="shared" si="394"/>
        <v>0</v>
      </c>
      <c r="CN80" s="189">
        <f t="shared" si="395"/>
        <v>0</v>
      </c>
      <c r="CO80" s="189">
        <f t="shared" si="396"/>
        <v>0</v>
      </c>
      <c r="CP80" s="189">
        <f t="shared" si="397"/>
        <v>0</v>
      </c>
      <c r="CQ80" s="195"/>
      <c r="CR80" s="195"/>
      <c r="CS80" s="195"/>
      <c r="CT80" s="195"/>
      <c r="CU80" s="195"/>
      <c r="CV80" s="195"/>
      <c r="CW80" s="195"/>
      <c r="CX80" s="195"/>
      <c r="CY80" s="195"/>
      <c r="CZ80" s="195"/>
      <c r="DA80" s="195"/>
      <c r="DB80" s="195"/>
      <c r="DC80" s="195"/>
      <c r="DD80" s="195"/>
      <c r="DE80" s="195"/>
      <c r="DF80" s="195"/>
      <c r="DG80" s="195"/>
      <c r="DH80" s="195"/>
      <c r="DI80" s="195"/>
      <c r="DJ80" s="195"/>
      <c r="DK80" s="195"/>
      <c r="DL80" s="195"/>
      <c r="DM80" s="195"/>
      <c r="DN80" s="195"/>
      <c r="DO80" s="195"/>
      <c r="DP80" s="195"/>
      <c r="DQ80" s="195"/>
      <c r="DR80" s="195"/>
      <c r="DS80" s="195"/>
      <c r="DT80" s="195"/>
      <c r="DU80" s="195"/>
      <c r="DV80" s="189">
        <f t="shared" si="398"/>
        <v>0</v>
      </c>
      <c r="DW80" s="189">
        <f t="shared" si="399"/>
        <v>0</v>
      </c>
      <c r="DX80" s="189">
        <f t="shared" si="400"/>
        <v>0</v>
      </c>
      <c r="DY80" s="189">
        <f t="shared" si="401"/>
        <v>0</v>
      </c>
      <c r="DZ80" s="189">
        <f t="shared" si="402"/>
        <v>0</v>
      </c>
      <c r="EA80" s="189">
        <f t="shared" si="403"/>
        <v>0</v>
      </c>
      <c r="EB80" s="189">
        <f t="shared" si="404"/>
        <v>0</v>
      </c>
      <c r="EC80" s="195"/>
      <c r="ED80" s="195"/>
      <c r="EE80" s="195"/>
      <c r="EF80" s="195"/>
      <c r="EG80" s="252">
        <f t="shared" si="405"/>
        <v>0</v>
      </c>
      <c r="EH80" s="252">
        <f t="shared" si="406"/>
        <v>0</v>
      </c>
      <c r="EI80" s="189"/>
      <c r="EJ80" s="189"/>
      <c r="EK80" s="189"/>
      <c r="EL80" s="189"/>
      <c r="EM80" s="189"/>
      <c r="EN80" s="189"/>
      <c r="EO80" s="189"/>
      <c r="EP80" s="189"/>
      <c r="EQ80" s="189"/>
      <c r="ER80" s="189"/>
      <c r="ES80" s="189"/>
      <c r="ET80" s="189"/>
      <c r="EU80" s="189"/>
      <c r="EV80" s="189"/>
      <c r="EW80" s="189"/>
      <c r="EX80" s="189"/>
      <c r="EY80" s="189"/>
      <c r="EZ80" s="189"/>
      <c r="FA80" s="189"/>
      <c r="FB80" s="189"/>
      <c r="FC80" s="189"/>
      <c r="FD80" s="189"/>
      <c r="FE80" s="189"/>
      <c r="FF80" s="189"/>
      <c r="FG80" s="195"/>
      <c r="FH80" s="189"/>
      <c r="FI80" s="189"/>
      <c r="FJ80" s="189"/>
      <c r="FK80" s="189"/>
      <c r="FL80" s="189"/>
      <c r="FM80" s="189"/>
      <c r="FN80" s="189"/>
      <c r="FO80" s="189"/>
      <c r="FP80" s="189"/>
      <c r="FQ80" s="189"/>
      <c r="FR80" s="189"/>
      <c r="FS80" s="189"/>
      <c r="FT80" s="189"/>
      <c r="FU80" s="189"/>
      <c r="FV80" s="189"/>
      <c r="FW80" s="195"/>
      <c r="FX80" s="253">
        <v>1</v>
      </c>
      <c r="FY80" s="189">
        <f t="shared" si="407"/>
        <v>67</v>
      </c>
      <c r="FZ80" s="189">
        <f t="shared" si="505"/>
        <v>67</v>
      </c>
      <c r="GA80" s="189">
        <f t="shared" si="506"/>
        <v>0</v>
      </c>
      <c r="GB80" s="189">
        <f t="shared" si="507"/>
        <v>0</v>
      </c>
      <c r="GC80" s="189">
        <f t="shared" si="508"/>
        <v>0</v>
      </c>
      <c r="GD80" s="189">
        <f t="shared" si="509"/>
        <v>0</v>
      </c>
      <c r="GE80" s="189">
        <f t="shared" si="510"/>
        <v>0</v>
      </c>
      <c r="GF80" s="199"/>
      <c r="GG80" s="189">
        <v>0</v>
      </c>
      <c r="GH80" s="189">
        <v>0</v>
      </c>
      <c r="GI80" s="199"/>
      <c r="GJ80" s="200">
        <f t="shared" si="408"/>
        <v>0</v>
      </c>
      <c r="GK80" s="200">
        <f t="shared" si="409"/>
        <v>0</v>
      </c>
      <c r="GL80" s="195"/>
      <c r="GM80" s="195"/>
      <c r="GN80" s="195"/>
      <c r="GO80" s="189">
        <f t="shared" si="246"/>
        <v>0</v>
      </c>
      <c r="GP80" s="189">
        <f t="shared" si="247"/>
        <v>0</v>
      </c>
      <c r="GQ80" s="189">
        <f t="shared" si="248"/>
        <v>0</v>
      </c>
      <c r="GR80" s="189">
        <f t="shared" si="249"/>
        <v>0</v>
      </c>
      <c r="GS80" s="189">
        <f t="shared" si="250"/>
        <v>0</v>
      </c>
      <c r="GT80" s="189">
        <f t="shared" si="456"/>
        <v>1</v>
      </c>
      <c r="GU80" s="201">
        <f t="shared" si="457"/>
        <v>43243</v>
      </c>
      <c r="GV80" s="189" t="str">
        <f t="shared" si="458"/>
        <v>SELESAI</v>
      </c>
      <c r="GW80" s="189">
        <f t="shared" si="459"/>
        <v>0</v>
      </c>
      <c r="GX80" s="202" t="str">
        <f t="shared" si="460"/>
        <v>SELESAI</v>
      </c>
      <c r="GY80" s="202">
        <f t="shared" si="461"/>
        <v>0</v>
      </c>
      <c r="GZ80" s="203" t="str">
        <f t="shared" si="462"/>
        <v>SELESAI</v>
      </c>
      <c r="HA80" s="204"/>
      <c r="HB80" s="204"/>
      <c r="HC80" s="189">
        <f t="shared" si="251"/>
        <v>0</v>
      </c>
      <c r="HD80" s="189">
        <f t="shared" si="252"/>
        <v>0</v>
      </c>
      <c r="HE80" s="189">
        <f t="shared" si="463"/>
        <v>0</v>
      </c>
      <c r="HF80" s="189">
        <f t="shared" si="464"/>
        <v>0</v>
      </c>
      <c r="HG80" s="189">
        <f t="shared" si="465"/>
        <v>0</v>
      </c>
      <c r="HH80" s="201" t="str">
        <f t="shared" si="411"/>
        <v>TIDAK KONSINYASI</v>
      </c>
      <c r="HI80" s="201" t="str">
        <f t="shared" si="466"/>
        <v>SELESAI</v>
      </c>
      <c r="HJ80" s="205"/>
      <c r="HK80" s="201">
        <f t="shared" si="412"/>
        <v>0</v>
      </c>
      <c r="HL80" s="204"/>
      <c r="HM80" s="204"/>
      <c r="HN80" s="204"/>
      <c r="HO80" s="204"/>
      <c r="HP80" s="203">
        <f t="shared" si="467"/>
        <v>0</v>
      </c>
      <c r="HQ80" s="202">
        <f t="shared" si="468"/>
        <v>0</v>
      </c>
      <c r="HR80" s="202">
        <f t="shared" si="253"/>
        <v>0</v>
      </c>
      <c r="HS80" s="203">
        <f t="shared" si="469"/>
        <v>0</v>
      </c>
      <c r="HT80" s="202">
        <f t="shared" si="470"/>
        <v>0</v>
      </c>
      <c r="HU80" s="202">
        <f t="shared" si="254"/>
        <v>0</v>
      </c>
      <c r="HV80" s="203">
        <f t="shared" si="471"/>
        <v>0</v>
      </c>
      <c r="HW80" s="202">
        <f t="shared" si="413"/>
        <v>0</v>
      </c>
      <c r="HX80" s="202">
        <f t="shared" si="255"/>
        <v>0</v>
      </c>
      <c r="HY80" s="203">
        <f t="shared" si="414"/>
        <v>0</v>
      </c>
      <c r="HZ80" s="202">
        <f t="shared" si="472"/>
        <v>0</v>
      </c>
      <c r="IA80" s="202">
        <f t="shared" si="256"/>
        <v>0</v>
      </c>
      <c r="IB80" s="203">
        <f t="shared" si="473"/>
        <v>0</v>
      </c>
      <c r="IC80" s="202">
        <f t="shared" si="415"/>
        <v>0</v>
      </c>
      <c r="ID80" s="202">
        <f t="shared" si="257"/>
        <v>0</v>
      </c>
      <c r="IE80" s="203">
        <f t="shared" si="416"/>
        <v>0</v>
      </c>
      <c r="IF80" s="202">
        <f t="shared" si="417"/>
        <v>0</v>
      </c>
      <c r="IG80" s="202">
        <f t="shared" si="258"/>
        <v>0</v>
      </c>
      <c r="IH80" s="203">
        <f t="shared" si="474"/>
        <v>0</v>
      </c>
      <c r="II80" s="202">
        <f t="shared" si="475"/>
        <v>0</v>
      </c>
      <c r="IJ80" s="202">
        <f t="shared" si="259"/>
        <v>0</v>
      </c>
      <c r="IK80" s="203">
        <f t="shared" si="418"/>
        <v>0</v>
      </c>
      <c r="IL80" s="202">
        <f t="shared" si="419"/>
        <v>0</v>
      </c>
      <c r="IM80" s="202">
        <f t="shared" si="260"/>
        <v>0</v>
      </c>
      <c r="IN80" s="204"/>
      <c r="IO80" s="203">
        <f t="shared" si="420"/>
        <v>0</v>
      </c>
      <c r="IP80" s="202">
        <f t="shared" si="261"/>
        <v>0</v>
      </c>
      <c r="IQ80" s="202">
        <f t="shared" si="262"/>
        <v>0</v>
      </c>
      <c r="IR80" s="204"/>
      <c r="IS80" s="203"/>
      <c r="IT80" s="202">
        <f t="shared" si="263"/>
        <v>1</v>
      </c>
      <c r="IU80" s="202">
        <f t="shared" si="264"/>
        <v>119</v>
      </c>
      <c r="IV80" s="204"/>
      <c r="IW80" s="203"/>
      <c r="IX80" s="202">
        <f t="shared" si="265"/>
        <v>0</v>
      </c>
      <c r="IY80" s="202">
        <f t="shared" si="266"/>
        <v>0</v>
      </c>
      <c r="IZ80" s="204"/>
      <c r="JA80" s="203"/>
      <c r="JB80" s="202">
        <f t="shared" si="267"/>
        <v>0</v>
      </c>
      <c r="JC80" s="202">
        <f t="shared" si="268"/>
        <v>0</v>
      </c>
      <c r="JD80" s="204"/>
      <c r="JE80" s="203"/>
      <c r="JF80" s="202">
        <f t="shared" si="476"/>
        <v>1</v>
      </c>
      <c r="JG80" s="202">
        <f t="shared" si="476"/>
        <v>119</v>
      </c>
      <c r="JH80" s="204"/>
      <c r="JI80" s="203"/>
      <c r="JJ80" s="202">
        <f t="shared" si="269"/>
        <v>0</v>
      </c>
      <c r="JK80" s="202">
        <f t="shared" si="270"/>
        <v>0</v>
      </c>
      <c r="JL80" s="195"/>
      <c r="JM80" s="203">
        <f t="shared" si="477"/>
        <v>0</v>
      </c>
      <c r="JN80" s="195"/>
      <c r="JO80" s="196">
        <f t="shared" si="421"/>
        <v>1</v>
      </c>
      <c r="JP80" s="206">
        <f t="shared" si="271"/>
        <v>67</v>
      </c>
      <c r="JQ80" s="206">
        <f t="shared" si="272"/>
        <v>1</v>
      </c>
      <c r="JR80" s="206">
        <f t="shared" si="273"/>
        <v>0</v>
      </c>
      <c r="JS80" s="206">
        <f t="shared" si="274"/>
        <v>0</v>
      </c>
      <c r="JT80" s="206">
        <f t="shared" si="275"/>
        <v>0</v>
      </c>
      <c r="JU80" s="206">
        <f t="shared" si="276"/>
        <v>0</v>
      </c>
      <c r="JV80" s="206">
        <f t="shared" si="277"/>
        <v>0</v>
      </c>
      <c r="JW80" s="206">
        <f t="shared" si="278"/>
        <v>0</v>
      </c>
      <c r="JX80" s="206">
        <f t="shared" si="279"/>
        <v>0</v>
      </c>
      <c r="JY80" s="206">
        <f t="shared" si="280"/>
        <v>0</v>
      </c>
      <c r="JZ80" s="206">
        <f t="shared" si="281"/>
        <v>0</v>
      </c>
      <c r="KA80" s="206">
        <f t="shared" si="282"/>
        <v>0</v>
      </c>
      <c r="KB80" s="206">
        <f t="shared" si="283"/>
        <v>0</v>
      </c>
      <c r="KC80" s="195"/>
      <c r="KD80" s="206">
        <f t="shared" si="478"/>
        <v>0</v>
      </c>
      <c r="KE80" s="206">
        <f t="shared" si="422"/>
        <v>0</v>
      </c>
      <c r="KF80" s="206">
        <f t="shared" si="284"/>
        <v>67</v>
      </c>
      <c r="KG80" s="206">
        <f t="shared" si="285"/>
        <v>67</v>
      </c>
      <c r="KH80" s="206">
        <f t="shared" si="286"/>
        <v>0</v>
      </c>
      <c r="KI80" s="206">
        <f t="shared" si="287"/>
        <v>0</v>
      </c>
      <c r="KJ80" s="206">
        <f t="shared" si="288"/>
        <v>0</v>
      </c>
      <c r="KK80" s="206">
        <f t="shared" si="289"/>
        <v>0</v>
      </c>
      <c r="KL80" s="206">
        <f t="shared" si="290"/>
        <v>0</v>
      </c>
      <c r="KM80" s="206">
        <f t="shared" si="291"/>
        <v>0</v>
      </c>
      <c r="KN80" s="221">
        <f t="shared" si="292"/>
        <v>0</v>
      </c>
      <c r="KO80" s="221">
        <f t="shared" si="293"/>
        <v>0</v>
      </c>
      <c r="KP80" s="221">
        <f t="shared" si="294"/>
        <v>0</v>
      </c>
      <c r="KQ80" s="221">
        <f t="shared" si="295"/>
        <v>0</v>
      </c>
      <c r="KR80" s="221">
        <f t="shared" si="296"/>
        <v>0</v>
      </c>
      <c r="KS80" s="195"/>
      <c r="KT80" s="195">
        <f t="shared" si="297"/>
        <v>0</v>
      </c>
      <c r="KU80" s="221"/>
      <c r="KV80" s="221"/>
      <c r="KW80" s="221"/>
      <c r="KX80" s="221"/>
      <c r="KY80" s="221"/>
      <c r="KZ80" s="221"/>
      <c r="LA80" s="221"/>
      <c r="LB80" s="221"/>
      <c r="LC80" s="221"/>
      <c r="LD80" s="221"/>
      <c r="LE80" s="221"/>
      <c r="LF80" s="221"/>
      <c r="LG80" s="221"/>
      <c r="LH80" s="221"/>
      <c r="LI80" s="221"/>
      <c r="LJ80" s="221"/>
      <c r="LK80" s="221"/>
      <c r="LL80" s="221"/>
      <c r="LM80" s="221"/>
      <c r="LN80" s="221"/>
      <c r="LO80" s="221"/>
      <c r="LP80" s="221"/>
      <c r="LQ80" s="221"/>
      <c r="LR80" s="221"/>
      <c r="LS80" s="221"/>
      <c r="LT80" s="221"/>
      <c r="LU80" s="221"/>
      <c r="LV80" s="221"/>
      <c r="LW80" s="221"/>
      <c r="LX80" s="221"/>
      <c r="LY80" s="221"/>
      <c r="LZ80" s="221"/>
      <c r="MA80" s="221"/>
      <c r="MB80" s="221"/>
      <c r="MC80" s="221"/>
      <c r="MD80" s="221"/>
      <c r="ME80" s="221"/>
      <c r="MF80" s="221"/>
      <c r="MG80" s="221"/>
      <c r="MH80" s="221"/>
      <c r="MI80" s="221"/>
      <c r="MJ80" s="221"/>
      <c r="MK80" s="221"/>
      <c r="ML80" s="221"/>
      <c r="MM80" s="221"/>
      <c r="MN80" s="221"/>
      <c r="MO80" s="221"/>
      <c r="MP80" s="221"/>
      <c r="MQ80" s="221"/>
      <c r="MR80" s="221"/>
      <c r="MS80" s="221"/>
      <c r="MT80" s="221"/>
      <c r="MU80" s="221"/>
      <c r="MV80" s="221"/>
      <c r="MW80" s="221"/>
      <c r="MX80" s="221"/>
      <c r="MY80" s="221"/>
      <c r="MZ80" s="221"/>
      <c r="NA80" s="221"/>
      <c r="NB80" s="221"/>
      <c r="NC80" s="221"/>
      <c r="ND80" s="221"/>
      <c r="NE80" s="221"/>
      <c r="NF80" s="221"/>
      <c r="NG80" s="221"/>
      <c r="NH80" s="221"/>
      <c r="NI80" s="221"/>
      <c r="NJ80" s="221"/>
      <c r="NK80" s="221"/>
      <c r="NL80" s="195"/>
      <c r="NM80" s="195">
        <f t="shared" si="479"/>
        <v>0</v>
      </c>
      <c r="NN80" s="195">
        <f t="shared" si="480"/>
        <v>0</v>
      </c>
      <c r="NO80" s="195">
        <f t="shared" si="481"/>
        <v>0</v>
      </c>
      <c r="NP80" s="195">
        <f t="shared" si="482"/>
        <v>0</v>
      </c>
      <c r="NQ80" s="195">
        <f t="shared" si="483"/>
        <v>0</v>
      </c>
      <c r="NR80" s="195">
        <f t="shared" si="484"/>
        <v>0</v>
      </c>
      <c r="NS80" s="195">
        <f t="shared" si="485"/>
        <v>0</v>
      </c>
      <c r="NT80" s="195">
        <f t="shared" si="486"/>
        <v>0</v>
      </c>
      <c r="NU80" s="196">
        <f t="shared" si="487"/>
        <v>0</v>
      </c>
      <c r="NV80" s="195"/>
      <c r="NW80" s="195"/>
      <c r="NX80" s="195"/>
      <c r="NY80" s="196">
        <f t="shared" si="423"/>
        <v>1</v>
      </c>
      <c r="NZ80" s="222">
        <v>7996800</v>
      </c>
      <c r="OA80" s="195"/>
      <c r="OB80" s="195"/>
      <c r="OC80" s="195"/>
      <c r="OD80" s="195"/>
      <c r="OE80" s="207">
        <f t="shared" si="424"/>
        <v>0</v>
      </c>
      <c r="OF80" s="207">
        <f t="shared" si="425"/>
        <v>0</v>
      </c>
      <c r="OG80" s="207">
        <f t="shared" si="426"/>
        <v>0</v>
      </c>
      <c r="OH80" s="207">
        <f t="shared" si="488"/>
        <v>0</v>
      </c>
      <c r="OI80" s="207">
        <f t="shared" si="427"/>
        <v>0</v>
      </c>
      <c r="OJ80" s="199">
        <f t="shared" si="489"/>
        <v>0</v>
      </c>
      <c r="OK80" s="199">
        <f t="shared" si="490"/>
        <v>0</v>
      </c>
      <c r="OL80" s="199">
        <f t="shared" si="491"/>
        <v>0</v>
      </c>
      <c r="OM80" s="199">
        <f t="shared" si="492"/>
        <v>0</v>
      </c>
      <c r="ON80" s="195"/>
      <c r="OO80" s="207">
        <f t="shared" si="428"/>
        <v>0</v>
      </c>
      <c r="OP80" s="207">
        <f t="shared" si="429"/>
        <v>0</v>
      </c>
      <c r="OQ80" s="207">
        <f t="shared" si="493"/>
        <v>0</v>
      </c>
      <c r="OR80" s="207">
        <f t="shared" si="494"/>
        <v>0</v>
      </c>
      <c r="OS80" s="207">
        <f t="shared" si="495"/>
        <v>0</v>
      </c>
      <c r="OT80" s="199">
        <f t="shared" si="496"/>
        <v>0</v>
      </c>
      <c r="OU80" s="199">
        <f t="shared" si="497"/>
        <v>0</v>
      </c>
      <c r="OV80" s="199">
        <f t="shared" si="498"/>
        <v>0</v>
      </c>
      <c r="OW80" s="199">
        <f t="shared" si="499"/>
        <v>0</v>
      </c>
      <c r="OX80" s="195"/>
      <c r="OY80" s="195"/>
      <c r="OZ80" s="195"/>
      <c r="PA80" s="209"/>
      <c r="PB80" s="209"/>
      <c r="PC80" s="209"/>
      <c r="PD80" s="210">
        <f t="shared" si="430"/>
        <v>0</v>
      </c>
      <c r="PE80" s="210"/>
      <c r="PF80" s="210">
        <f t="shared" si="431"/>
        <v>0</v>
      </c>
      <c r="PG80" s="210">
        <f t="shared" si="302"/>
        <v>0</v>
      </c>
      <c r="PH80" s="210">
        <f t="shared" si="302"/>
        <v>0</v>
      </c>
      <c r="PI80" s="210">
        <f t="shared" si="302"/>
        <v>0</v>
      </c>
      <c r="PJ80" s="210">
        <f t="shared" si="300"/>
        <v>0</v>
      </c>
      <c r="PK80" s="210">
        <f t="shared" si="300"/>
        <v>0</v>
      </c>
      <c r="PL80" s="210">
        <f t="shared" si="300"/>
        <v>0</v>
      </c>
      <c r="PM80" s="195"/>
      <c r="PN80" s="195"/>
      <c r="PO80" s="212">
        <f t="shared" si="500"/>
        <v>0</v>
      </c>
      <c r="PP80" s="212">
        <f t="shared" si="501"/>
        <v>0</v>
      </c>
      <c r="PQ80" s="212">
        <f t="shared" si="502"/>
        <v>0</v>
      </c>
      <c r="XFC80">
        <v>362299000</v>
      </c>
    </row>
    <row r="81" spans="1:433 16383:16383" ht="16" x14ac:dyDescent="0.2">
      <c r="A81" s="213">
        <f t="shared" si="504"/>
        <v>72</v>
      </c>
      <c r="B81" s="186" t="s">
        <v>140</v>
      </c>
      <c r="C81" s="186">
        <v>74</v>
      </c>
      <c r="D81" s="188">
        <v>1</v>
      </c>
      <c r="E81" s="188">
        <v>28</v>
      </c>
      <c r="F81" s="188">
        <v>1</v>
      </c>
      <c r="G81" s="188">
        <f t="shared" si="239"/>
        <v>28</v>
      </c>
      <c r="H81" s="214">
        <f t="shared" si="360"/>
        <v>1</v>
      </c>
      <c r="I81" s="214">
        <f t="shared" si="361"/>
        <v>1</v>
      </c>
      <c r="J81" s="188">
        <v>1</v>
      </c>
      <c r="K81" s="188">
        <f t="shared" si="362"/>
        <v>28</v>
      </c>
      <c r="L81" s="214">
        <f t="shared" si="363"/>
        <v>1</v>
      </c>
      <c r="M81" s="214">
        <f t="shared" si="364"/>
        <v>1</v>
      </c>
      <c r="N81" s="188">
        <v>1</v>
      </c>
      <c r="O81" s="188">
        <f t="shared" si="365"/>
        <v>28</v>
      </c>
      <c r="P81" s="214">
        <f t="shared" si="366"/>
        <v>1</v>
      </c>
      <c r="Q81" s="214">
        <f t="shared" si="367"/>
        <v>1</v>
      </c>
      <c r="R81" s="188">
        <v>1</v>
      </c>
      <c r="S81" s="188">
        <f t="shared" si="368"/>
        <v>28</v>
      </c>
      <c r="T81" s="214">
        <f t="shared" si="369"/>
        <v>1</v>
      </c>
      <c r="U81" s="214">
        <f t="shared" si="370"/>
        <v>1</v>
      </c>
      <c r="V81" s="188">
        <v>1</v>
      </c>
      <c r="W81" s="188">
        <f t="shared" si="371"/>
        <v>28</v>
      </c>
      <c r="X81" s="214">
        <f t="shared" si="372"/>
        <v>1</v>
      </c>
      <c r="Y81" s="214">
        <f t="shared" si="373"/>
        <v>1</v>
      </c>
      <c r="Z81" s="224">
        <f>235901000/1000000000</f>
        <v>0.235901</v>
      </c>
      <c r="AA81" s="188"/>
      <c r="AB81" s="189">
        <f t="shared" si="374"/>
        <v>0</v>
      </c>
      <c r="AC81" s="250">
        <f t="shared" si="375"/>
        <v>0</v>
      </c>
      <c r="AD81" s="250">
        <f t="shared" si="376"/>
        <v>0</v>
      </c>
      <c r="AE81" s="188"/>
      <c r="AF81" s="223">
        <f t="shared" si="377"/>
        <v>0</v>
      </c>
      <c r="AG81" s="254"/>
      <c r="AH81" s="223"/>
      <c r="AI81" s="188">
        <v>0</v>
      </c>
      <c r="AJ81" s="188">
        <f t="shared" si="378"/>
        <v>0</v>
      </c>
      <c r="AK81" s="188"/>
      <c r="AL81" s="188">
        <v>0</v>
      </c>
      <c r="AM81" s="188">
        <v>0</v>
      </c>
      <c r="AN81" s="217"/>
      <c r="AO81" s="196">
        <f t="shared" si="432"/>
        <v>0</v>
      </c>
      <c r="AP81" s="195"/>
      <c r="AQ81" s="195"/>
      <c r="AR81" s="195"/>
      <c r="AS81" s="195"/>
      <c r="AT81" s="195"/>
      <c r="AU81" s="195"/>
      <c r="AV81" s="195"/>
      <c r="AW81" s="195"/>
      <c r="AX81" s="195"/>
      <c r="AY81" s="195"/>
      <c r="AZ81" s="195"/>
      <c r="BA81" s="195"/>
      <c r="BB81" s="188">
        <f t="shared" si="379"/>
        <v>0</v>
      </c>
      <c r="BC81" s="195"/>
      <c r="BD81" s="196"/>
      <c r="BE81" s="188">
        <f t="shared" si="380"/>
        <v>0</v>
      </c>
      <c r="BF81" s="188">
        <f t="shared" si="381"/>
        <v>0</v>
      </c>
      <c r="BG81" s="188">
        <f t="shared" si="382"/>
        <v>0</v>
      </c>
      <c r="BH81" s="188">
        <f t="shared" si="383"/>
        <v>0</v>
      </c>
      <c r="BI81" s="188">
        <f t="shared" si="384"/>
        <v>0</v>
      </c>
      <c r="BJ81" s="188">
        <f t="shared" si="385"/>
        <v>0</v>
      </c>
      <c r="BK81" s="188">
        <f t="shared" si="386"/>
        <v>0</v>
      </c>
      <c r="BL81" s="195"/>
      <c r="BM81" s="195"/>
      <c r="BN81" s="215">
        <v>28</v>
      </c>
      <c r="BO81" s="277">
        <v>1</v>
      </c>
      <c r="BP81" s="188"/>
      <c r="BQ81" s="188"/>
      <c r="BR81" s="188"/>
      <c r="BS81" s="188"/>
      <c r="BT81" s="188"/>
      <c r="BU81" s="188"/>
      <c r="BV81" s="188"/>
      <c r="BW81" s="188"/>
      <c r="BX81" s="188"/>
      <c r="BY81" s="188"/>
      <c r="BZ81" s="188"/>
      <c r="CA81" s="195"/>
      <c r="CB81" s="188">
        <v>0</v>
      </c>
      <c r="CC81" s="195"/>
      <c r="CD81" s="189">
        <f t="shared" si="433"/>
        <v>28</v>
      </c>
      <c r="CE81" s="189">
        <f t="shared" si="503"/>
        <v>28</v>
      </c>
      <c r="CF81" s="189">
        <f t="shared" si="387"/>
        <v>0</v>
      </c>
      <c r="CG81" s="189">
        <f t="shared" si="388"/>
        <v>0</v>
      </c>
      <c r="CH81" s="189">
        <f t="shared" si="389"/>
        <v>0</v>
      </c>
      <c r="CI81" s="189">
        <f t="shared" si="390"/>
        <v>0</v>
      </c>
      <c r="CJ81" s="189">
        <f t="shared" si="391"/>
        <v>0</v>
      </c>
      <c r="CK81" s="189">
        <f t="shared" si="392"/>
        <v>0</v>
      </c>
      <c r="CL81" s="189">
        <f t="shared" si="393"/>
        <v>0</v>
      </c>
      <c r="CM81" s="189">
        <f t="shared" si="394"/>
        <v>0</v>
      </c>
      <c r="CN81" s="189">
        <f t="shared" si="395"/>
        <v>0</v>
      </c>
      <c r="CO81" s="189">
        <f t="shared" si="396"/>
        <v>0</v>
      </c>
      <c r="CP81" s="189">
        <f t="shared" si="397"/>
        <v>0</v>
      </c>
      <c r="CQ81" s="195"/>
      <c r="CR81" s="195"/>
      <c r="CS81" s="195"/>
      <c r="CT81" s="195"/>
      <c r="CU81" s="195"/>
      <c r="CV81" s="195"/>
      <c r="CW81" s="195"/>
      <c r="CX81" s="195"/>
      <c r="CY81" s="195"/>
      <c r="CZ81" s="195"/>
      <c r="DA81" s="195"/>
      <c r="DB81" s="195"/>
      <c r="DC81" s="195"/>
      <c r="DD81" s="195"/>
      <c r="DE81" s="195"/>
      <c r="DF81" s="195"/>
      <c r="DG81" s="195"/>
      <c r="DH81" s="195"/>
      <c r="DI81" s="195"/>
      <c r="DJ81" s="195"/>
      <c r="DK81" s="195"/>
      <c r="DL81" s="195"/>
      <c r="DM81" s="195"/>
      <c r="DN81" s="195"/>
      <c r="DO81" s="195"/>
      <c r="DP81" s="195"/>
      <c r="DQ81" s="195"/>
      <c r="DR81" s="195"/>
      <c r="DS81" s="195"/>
      <c r="DT81" s="195"/>
      <c r="DU81" s="195"/>
      <c r="DV81" s="189">
        <f t="shared" si="398"/>
        <v>0</v>
      </c>
      <c r="DW81" s="189">
        <f t="shared" si="399"/>
        <v>0</v>
      </c>
      <c r="DX81" s="189">
        <f t="shared" si="400"/>
        <v>0</v>
      </c>
      <c r="DY81" s="189">
        <f t="shared" si="401"/>
        <v>0</v>
      </c>
      <c r="DZ81" s="189">
        <f t="shared" si="402"/>
        <v>0</v>
      </c>
      <c r="EA81" s="189">
        <f t="shared" si="403"/>
        <v>0</v>
      </c>
      <c r="EB81" s="189">
        <f t="shared" si="404"/>
        <v>0</v>
      </c>
      <c r="EC81" s="195"/>
      <c r="ED81" s="195"/>
      <c r="EE81" s="195"/>
      <c r="EF81" s="195"/>
      <c r="EG81" s="252">
        <f t="shared" si="405"/>
        <v>0</v>
      </c>
      <c r="EH81" s="252">
        <f>CC81</f>
        <v>0</v>
      </c>
      <c r="EI81" s="189"/>
      <c r="EJ81" s="189"/>
      <c r="EK81" s="189"/>
      <c r="EL81" s="189"/>
      <c r="EM81" s="189"/>
      <c r="EN81" s="189"/>
      <c r="EO81" s="189"/>
      <c r="EP81" s="189"/>
      <c r="EQ81" s="189"/>
      <c r="ER81" s="189"/>
      <c r="ES81" s="189"/>
      <c r="ET81" s="189"/>
      <c r="EU81" s="189"/>
      <c r="EV81" s="189"/>
      <c r="EW81" s="189"/>
      <c r="EX81" s="189"/>
      <c r="EY81" s="189"/>
      <c r="EZ81" s="189"/>
      <c r="FA81" s="189"/>
      <c r="FB81" s="189"/>
      <c r="FC81" s="189"/>
      <c r="FD81" s="189"/>
      <c r="FE81" s="189"/>
      <c r="FF81" s="189"/>
      <c r="FG81" s="195"/>
      <c r="FH81" s="189"/>
      <c r="FI81" s="189"/>
      <c r="FJ81" s="189"/>
      <c r="FK81" s="189"/>
      <c r="FL81" s="189"/>
      <c r="FM81" s="189"/>
      <c r="FN81" s="189"/>
      <c r="FO81" s="189"/>
      <c r="FP81" s="189"/>
      <c r="FQ81" s="189"/>
      <c r="FR81" s="189"/>
      <c r="FS81" s="189"/>
      <c r="FT81" s="189"/>
      <c r="FU81" s="189"/>
      <c r="FV81" s="189"/>
      <c r="FW81" s="195"/>
      <c r="FX81" s="253">
        <v>1</v>
      </c>
      <c r="FY81" s="189">
        <f t="shared" si="407"/>
        <v>28</v>
      </c>
      <c r="FZ81" s="189">
        <f t="shared" si="505"/>
        <v>28</v>
      </c>
      <c r="GA81" s="189">
        <f t="shared" si="506"/>
        <v>0</v>
      </c>
      <c r="GB81" s="189">
        <f t="shared" si="507"/>
        <v>0</v>
      </c>
      <c r="GC81" s="189">
        <f t="shared" si="508"/>
        <v>0</v>
      </c>
      <c r="GD81" s="189">
        <f t="shared" si="509"/>
        <v>0</v>
      </c>
      <c r="GE81" s="189">
        <f t="shared" si="510"/>
        <v>0</v>
      </c>
      <c r="GF81" s="199"/>
      <c r="GG81" s="189">
        <v>0</v>
      </c>
      <c r="GH81" s="189">
        <v>0</v>
      </c>
      <c r="GI81" s="199"/>
      <c r="GJ81" s="200">
        <f t="shared" si="408"/>
        <v>0</v>
      </c>
      <c r="GK81" s="200">
        <f t="shared" si="409"/>
        <v>0</v>
      </c>
      <c r="GL81" s="195"/>
      <c r="GM81" s="195"/>
      <c r="GN81" s="195"/>
      <c r="GO81" s="189">
        <f t="shared" si="246"/>
        <v>0</v>
      </c>
      <c r="GP81" s="189">
        <f t="shared" si="247"/>
        <v>0</v>
      </c>
      <c r="GQ81" s="189">
        <f t="shared" si="248"/>
        <v>0</v>
      </c>
      <c r="GR81" s="189">
        <f t="shared" si="249"/>
        <v>0</v>
      </c>
      <c r="GS81" s="189">
        <f t="shared" si="250"/>
        <v>0</v>
      </c>
      <c r="GT81" s="189">
        <f t="shared" si="456"/>
        <v>1</v>
      </c>
      <c r="GU81" s="201">
        <f t="shared" si="457"/>
        <v>43243</v>
      </c>
      <c r="GV81" s="189" t="str">
        <f t="shared" si="458"/>
        <v>SELESAI</v>
      </c>
      <c r="GW81" s="189">
        <f t="shared" si="459"/>
        <v>0</v>
      </c>
      <c r="GX81" s="202" t="str">
        <f t="shared" si="460"/>
        <v>SELESAI</v>
      </c>
      <c r="GY81" s="202">
        <f t="shared" si="461"/>
        <v>0</v>
      </c>
      <c r="GZ81" s="203" t="str">
        <f t="shared" si="462"/>
        <v>SELESAI</v>
      </c>
      <c r="HA81" s="204"/>
      <c r="HB81" s="204"/>
      <c r="HC81" s="189">
        <f t="shared" si="251"/>
        <v>0</v>
      </c>
      <c r="HD81" s="189">
        <f t="shared" si="252"/>
        <v>0</v>
      </c>
      <c r="HE81" s="189">
        <f t="shared" si="463"/>
        <v>0</v>
      </c>
      <c r="HF81" s="189">
        <f t="shared" si="464"/>
        <v>0</v>
      </c>
      <c r="HG81" s="189">
        <f t="shared" si="465"/>
        <v>0</v>
      </c>
      <c r="HH81" s="201" t="str">
        <f t="shared" si="411"/>
        <v>TIDAK KONSINYASI</v>
      </c>
      <c r="HI81" s="201" t="str">
        <f t="shared" si="466"/>
        <v>SELESAI</v>
      </c>
      <c r="HJ81" s="205"/>
      <c r="HK81" s="201">
        <f t="shared" si="412"/>
        <v>0</v>
      </c>
      <c r="HL81" s="204"/>
      <c r="HM81" s="204"/>
      <c r="HN81" s="204"/>
      <c r="HO81" s="204"/>
      <c r="HP81" s="203">
        <f t="shared" si="467"/>
        <v>0</v>
      </c>
      <c r="HQ81" s="202">
        <f t="shared" si="468"/>
        <v>0</v>
      </c>
      <c r="HR81" s="202">
        <f t="shared" si="253"/>
        <v>0</v>
      </c>
      <c r="HS81" s="203">
        <f t="shared" si="469"/>
        <v>0</v>
      </c>
      <c r="HT81" s="202">
        <f t="shared" si="470"/>
        <v>0</v>
      </c>
      <c r="HU81" s="202">
        <f t="shared" si="254"/>
        <v>0</v>
      </c>
      <c r="HV81" s="203">
        <f t="shared" si="471"/>
        <v>0</v>
      </c>
      <c r="HW81" s="202">
        <f t="shared" si="413"/>
        <v>0</v>
      </c>
      <c r="HX81" s="202">
        <f t="shared" si="255"/>
        <v>0</v>
      </c>
      <c r="HY81" s="203">
        <f t="shared" si="414"/>
        <v>0</v>
      </c>
      <c r="HZ81" s="202">
        <f t="shared" si="472"/>
        <v>0</v>
      </c>
      <c r="IA81" s="202">
        <f t="shared" si="256"/>
        <v>0</v>
      </c>
      <c r="IB81" s="203">
        <f t="shared" si="473"/>
        <v>0</v>
      </c>
      <c r="IC81" s="202">
        <f t="shared" si="415"/>
        <v>0</v>
      </c>
      <c r="ID81" s="202">
        <f t="shared" si="257"/>
        <v>0</v>
      </c>
      <c r="IE81" s="203">
        <f t="shared" si="416"/>
        <v>0</v>
      </c>
      <c r="IF81" s="202">
        <f t="shared" si="417"/>
        <v>0</v>
      </c>
      <c r="IG81" s="202">
        <f t="shared" si="258"/>
        <v>0</v>
      </c>
      <c r="IH81" s="203">
        <f t="shared" si="474"/>
        <v>0</v>
      </c>
      <c r="II81" s="202">
        <f t="shared" si="475"/>
        <v>0</v>
      </c>
      <c r="IJ81" s="202">
        <f t="shared" si="259"/>
        <v>0</v>
      </c>
      <c r="IK81" s="203">
        <f t="shared" si="418"/>
        <v>0</v>
      </c>
      <c r="IL81" s="202">
        <f t="shared" si="419"/>
        <v>0</v>
      </c>
      <c r="IM81" s="202">
        <f t="shared" si="260"/>
        <v>0</v>
      </c>
      <c r="IN81" s="204"/>
      <c r="IO81" s="203">
        <f t="shared" si="420"/>
        <v>0</v>
      </c>
      <c r="IP81" s="202">
        <f t="shared" si="261"/>
        <v>0</v>
      </c>
      <c r="IQ81" s="202">
        <f t="shared" si="262"/>
        <v>0</v>
      </c>
      <c r="IR81" s="204"/>
      <c r="IS81" s="203"/>
      <c r="IT81" s="202">
        <f t="shared" si="263"/>
        <v>1</v>
      </c>
      <c r="IU81" s="202">
        <f t="shared" si="264"/>
        <v>28</v>
      </c>
      <c r="IV81" s="204"/>
      <c r="IW81" s="203"/>
      <c r="IX81" s="202">
        <f t="shared" si="265"/>
        <v>0</v>
      </c>
      <c r="IY81" s="202">
        <f t="shared" si="266"/>
        <v>0</v>
      </c>
      <c r="IZ81" s="204"/>
      <c r="JA81" s="203"/>
      <c r="JB81" s="202">
        <f t="shared" si="267"/>
        <v>0</v>
      </c>
      <c r="JC81" s="202">
        <f t="shared" si="268"/>
        <v>0</v>
      </c>
      <c r="JD81" s="204"/>
      <c r="JE81" s="203"/>
      <c r="JF81" s="202">
        <f t="shared" si="476"/>
        <v>1</v>
      </c>
      <c r="JG81" s="202">
        <f t="shared" si="476"/>
        <v>28</v>
      </c>
      <c r="JH81" s="204"/>
      <c r="JI81" s="203"/>
      <c r="JJ81" s="202">
        <f t="shared" si="269"/>
        <v>0</v>
      </c>
      <c r="JK81" s="202">
        <f t="shared" si="270"/>
        <v>0</v>
      </c>
      <c r="JL81" s="195"/>
      <c r="JM81" s="203">
        <f t="shared" si="477"/>
        <v>0</v>
      </c>
      <c r="JN81" s="195"/>
      <c r="JO81" s="196">
        <f t="shared" si="421"/>
        <v>1</v>
      </c>
      <c r="JP81" s="206">
        <f t="shared" si="271"/>
        <v>28</v>
      </c>
      <c r="JQ81" s="206">
        <f t="shared" si="272"/>
        <v>1</v>
      </c>
      <c r="JR81" s="206">
        <f t="shared" si="273"/>
        <v>0</v>
      </c>
      <c r="JS81" s="206">
        <f t="shared" si="274"/>
        <v>0</v>
      </c>
      <c r="JT81" s="206">
        <f t="shared" si="275"/>
        <v>0</v>
      </c>
      <c r="JU81" s="206">
        <f t="shared" si="276"/>
        <v>0</v>
      </c>
      <c r="JV81" s="206">
        <f t="shared" si="277"/>
        <v>0</v>
      </c>
      <c r="JW81" s="206">
        <f t="shared" si="278"/>
        <v>0</v>
      </c>
      <c r="JX81" s="206">
        <f t="shared" si="279"/>
        <v>0</v>
      </c>
      <c r="JY81" s="206">
        <f t="shared" si="280"/>
        <v>0</v>
      </c>
      <c r="JZ81" s="206">
        <f t="shared" si="281"/>
        <v>0</v>
      </c>
      <c r="KA81" s="206">
        <f t="shared" si="282"/>
        <v>0</v>
      </c>
      <c r="KB81" s="206">
        <f t="shared" si="283"/>
        <v>0</v>
      </c>
      <c r="KC81" s="195"/>
      <c r="KD81" s="206">
        <f t="shared" si="478"/>
        <v>0</v>
      </c>
      <c r="KE81" s="206">
        <f t="shared" si="422"/>
        <v>0</v>
      </c>
      <c r="KF81" s="206">
        <f t="shared" si="284"/>
        <v>28</v>
      </c>
      <c r="KG81" s="206">
        <f t="shared" si="285"/>
        <v>28</v>
      </c>
      <c r="KH81" s="206">
        <f t="shared" si="286"/>
        <v>0</v>
      </c>
      <c r="KI81" s="206">
        <f t="shared" si="287"/>
        <v>0</v>
      </c>
      <c r="KJ81" s="206">
        <f t="shared" si="288"/>
        <v>0</v>
      </c>
      <c r="KK81" s="206">
        <f t="shared" si="289"/>
        <v>0</v>
      </c>
      <c r="KL81" s="206">
        <f t="shared" si="290"/>
        <v>0</v>
      </c>
      <c r="KM81" s="206">
        <f t="shared" si="291"/>
        <v>0</v>
      </c>
      <c r="KN81" s="221">
        <f t="shared" si="292"/>
        <v>0</v>
      </c>
      <c r="KO81" s="221">
        <f t="shared" si="293"/>
        <v>0</v>
      </c>
      <c r="KP81" s="221">
        <f t="shared" si="294"/>
        <v>0</v>
      </c>
      <c r="KQ81" s="221">
        <f t="shared" si="295"/>
        <v>0</v>
      </c>
      <c r="KR81" s="221">
        <f t="shared" si="296"/>
        <v>0</v>
      </c>
      <c r="KS81" s="195"/>
      <c r="KT81" s="195">
        <f t="shared" si="297"/>
        <v>0</v>
      </c>
      <c r="KU81" s="221"/>
      <c r="KV81" s="221"/>
      <c r="KW81" s="221"/>
      <c r="KX81" s="221"/>
      <c r="KY81" s="221"/>
      <c r="KZ81" s="221"/>
      <c r="LA81" s="221"/>
      <c r="LB81" s="221"/>
      <c r="LC81" s="221"/>
      <c r="LD81" s="221"/>
      <c r="LE81" s="221"/>
      <c r="LF81" s="221"/>
      <c r="LG81" s="221"/>
      <c r="LH81" s="221"/>
      <c r="LI81" s="221"/>
      <c r="LJ81" s="221"/>
      <c r="LK81" s="221"/>
      <c r="LL81" s="221"/>
      <c r="LM81" s="221"/>
      <c r="LN81" s="221"/>
      <c r="LO81" s="221"/>
      <c r="LP81" s="221"/>
      <c r="LQ81" s="221"/>
      <c r="LR81" s="221"/>
      <c r="LS81" s="221"/>
      <c r="LT81" s="221"/>
      <c r="LU81" s="221"/>
      <c r="LV81" s="221"/>
      <c r="LW81" s="221"/>
      <c r="LX81" s="221"/>
      <c r="LY81" s="221"/>
      <c r="LZ81" s="221"/>
      <c r="MA81" s="221"/>
      <c r="MB81" s="221"/>
      <c r="MC81" s="221"/>
      <c r="MD81" s="221"/>
      <c r="ME81" s="221"/>
      <c r="MF81" s="221"/>
      <c r="MG81" s="221"/>
      <c r="MH81" s="221"/>
      <c r="MI81" s="221"/>
      <c r="MJ81" s="221"/>
      <c r="MK81" s="221"/>
      <c r="ML81" s="221"/>
      <c r="MM81" s="221"/>
      <c r="MN81" s="221"/>
      <c r="MO81" s="221"/>
      <c r="MP81" s="221"/>
      <c r="MQ81" s="221"/>
      <c r="MR81" s="221"/>
      <c r="MS81" s="221"/>
      <c r="MT81" s="221"/>
      <c r="MU81" s="221"/>
      <c r="MV81" s="221"/>
      <c r="MW81" s="221"/>
      <c r="MX81" s="221"/>
      <c r="MY81" s="221"/>
      <c r="MZ81" s="221"/>
      <c r="NA81" s="221"/>
      <c r="NB81" s="221"/>
      <c r="NC81" s="221"/>
      <c r="ND81" s="221"/>
      <c r="NE81" s="221"/>
      <c r="NF81" s="221"/>
      <c r="NG81" s="221"/>
      <c r="NH81" s="221"/>
      <c r="NI81" s="221"/>
      <c r="NJ81" s="221"/>
      <c r="NK81" s="221"/>
      <c r="NL81" s="195"/>
      <c r="NM81" s="195">
        <f t="shared" si="479"/>
        <v>0</v>
      </c>
      <c r="NN81" s="195">
        <f t="shared" si="480"/>
        <v>0</v>
      </c>
      <c r="NO81" s="195">
        <f t="shared" si="481"/>
        <v>0</v>
      </c>
      <c r="NP81" s="195">
        <f t="shared" si="482"/>
        <v>0</v>
      </c>
      <c r="NQ81" s="195">
        <f t="shared" si="483"/>
        <v>0</v>
      </c>
      <c r="NR81" s="195">
        <f t="shared" si="484"/>
        <v>0</v>
      </c>
      <c r="NS81" s="195">
        <f t="shared" si="485"/>
        <v>0</v>
      </c>
      <c r="NT81" s="195">
        <f t="shared" si="486"/>
        <v>0</v>
      </c>
      <c r="NU81" s="196">
        <f t="shared" si="487"/>
        <v>0</v>
      </c>
      <c r="NV81" s="195"/>
      <c r="NW81" s="195"/>
      <c r="NX81" s="195"/>
      <c r="NY81" s="196">
        <f t="shared" si="423"/>
        <v>1</v>
      </c>
      <c r="NZ81" s="222">
        <v>8392857</v>
      </c>
      <c r="OA81" s="195"/>
      <c r="OB81" s="195"/>
      <c r="OC81" s="195"/>
      <c r="OD81" s="195"/>
      <c r="OE81" s="207">
        <f t="shared" si="424"/>
        <v>0</v>
      </c>
      <c r="OF81" s="207">
        <f t="shared" si="425"/>
        <v>0</v>
      </c>
      <c r="OG81" s="207">
        <f t="shared" si="426"/>
        <v>0</v>
      </c>
      <c r="OH81" s="207">
        <f t="shared" si="488"/>
        <v>0</v>
      </c>
      <c r="OI81" s="207">
        <f t="shared" si="427"/>
        <v>0</v>
      </c>
      <c r="OJ81" s="199">
        <f t="shared" si="489"/>
        <v>0</v>
      </c>
      <c r="OK81" s="199">
        <f t="shared" si="490"/>
        <v>0</v>
      </c>
      <c r="OL81" s="199">
        <f t="shared" si="491"/>
        <v>0</v>
      </c>
      <c r="OM81" s="199">
        <f t="shared" si="492"/>
        <v>0</v>
      </c>
      <c r="ON81" s="195"/>
      <c r="OO81" s="207">
        <f t="shared" si="428"/>
        <v>0</v>
      </c>
      <c r="OP81" s="207">
        <f t="shared" si="429"/>
        <v>0</v>
      </c>
      <c r="OQ81" s="207">
        <f t="shared" si="493"/>
        <v>0</v>
      </c>
      <c r="OR81" s="207">
        <f t="shared" si="494"/>
        <v>0</v>
      </c>
      <c r="OS81" s="207">
        <f t="shared" si="495"/>
        <v>0</v>
      </c>
      <c r="OT81" s="199">
        <f t="shared" si="496"/>
        <v>0</v>
      </c>
      <c r="OU81" s="199">
        <f t="shared" si="497"/>
        <v>0</v>
      </c>
      <c r="OV81" s="199">
        <f t="shared" si="498"/>
        <v>0</v>
      </c>
      <c r="OW81" s="199">
        <f t="shared" si="499"/>
        <v>0</v>
      </c>
      <c r="OX81" s="195"/>
      <c r="OY81" s="195"/>
      <c r="OZ81" s="195"/>
      <c r="PA81" s="209"/>
      <c r="PB81" s="209"/>
      <c r="PC81" s="209"/>
      <c r="PD81" s="210">
        <f t="shared" si="430"/>
        <v>0</v>
      </c>
      <c r="PE81" s="210"/>
      <c r="PF81" s="210">
        <f t="shared" si="431"/>
        <v>0</v>
      </c>
      <c r="PG81" s="210">
        <f t="shared" si="302"/>
        <v>0</v>
      </c>
      <c r="PH81" s="210">
        <f t="shared" si="302"/>
        <v>0</v>
      </c>
      <c r="PI81" s="210">
        <f t="shared" si="302"/>
        <v>0</v>
      </c>
      <c r="PJ81" s="210">
        <f t="shared" si="300"/>
        <v>0</v>
      </c>
      <c r="PK81" s="210">
        <f t="shared" si="300"/>
        <v>0</v>
      </c>
      <c r="PL81" s="210">
        <f t="shared" si="300"/>
        <v>0</v>
      </c>
      <c r="PM81" s="195"/>
      <c r="PN81" s="195"/>
      <c r="PO81" s="212">
        <f t="shared" si="500"/>
        <v>0</v>
      </c>
      <c r="PP81" s="212">
        <f t="shared" si="501"/>
        <v>0</v>
      </c>
      <c r="PQ81" s="212">
        <f t="shared" si="502"/>
        <v>0</v>
      </c>
    </row>
    <row r="82" spans="1:433 16383:16383" ht="16" x14ac:dyDescent="0.2">
      <c r="A82" s="213">
        <f t="shared" si="504"/>
        <v>73</v>
      </c>
      <c r="B82" s="186" t="s">
        <v>476</v>
      </c>
      <c r="C82" s="186">
        <v>75</v>
      </c>
      <c r="D82" s="188">
        <v>1</v>
      </c>
      <c r="E82" s="188">
        <v>42</v>
      </c>
      <c r="F82" s="188">
        <v>1</v>
      </c>
      <c r="G82" s="188">
        <f t="shared" si="239"/>
        <v>42</v>
      </c>
      <c r="H82" s="214">
        <f t="shared" si="360"/>
        <v>1</v>
      </c>
      <c r="I82" s="214">
        <f t="shared" si="361"/>
        <v>1</v>
      </c>
      <c r="J82" s="188">
        <v>1</v>
      </c>
      <c r="K82" s="188">
        <f t="shared" si="362"/>
        <v>42</v>
      </c>
      <c r="L82" s="214">
        <f t="shared" si="363"/>
        <v>1</v>
      </c>
      <c r="M82" s="214">
        <f t="shared" si="364"/>
        <v>1</v>
      </c>
      <c r="N82" s="188">
        <v>1</v>
      </c>
      <c r="O82" s="188">
        <f t="shared" si="365"/>
        <v>42</v>
      </c>
      <c r="P82" s="214">
        <f t="shared" si="366"/>
        <v>1</v>
      </c>
      <c r="Q82" s="214">
        <f t="shared" si="367"/>
        <v>1</v>
      </c>
      <c r="R82" s="188">
        <v>1</v>
      </c>
      <c r="S82" s="188">
        <f t="shared" si="368"/>
        <v>42</v>
      </c>
      <c r="T82" s="214">
        <f t="shared" si="369"/>
        <v>1</v>
      </c>
      <c r="U82" s="214">
        <f t="shared" si="370"/>
        <v>1</v>
      </c>
      <c r="V82" s="188">
        <v>1</v>
      </c>
      <c r="W82" s="188">
        <f t="shared" si="371"/>
        <v>42</v>
      </c>
      <c r="X82" s="214">
        <f t="shared" si="372"/>
        <v>1</v>
      </c>
      <c r="Y82" s="214">
        <f t="shared" si="373"/>
        <v>1</v>
      </c>
      <c r="Z82" s="224">
        <f>522174000/1000000000</f>
        <v>0.52217400000000003</v>
      </c>
      <c r="AA82" s="188"/>
      <c r="AB82" s="189">
        <f t="shared" si="374"/>
        <v>0</v>
      </c>
      <c r="AC82" s="250">
        <f t="shared" si="375"/>
        <v>0</v>
      </c>
      <c r="AD82" s="250">
        <f t="shared" si="376"/>
        <v>0</v>
      </c>
      <c r="AE82" s="188"/>
      <c r="AF82" s="223">
        <f t="shared" si="377"/>
        <v>0</v>
      </c>
      <c r="AG82" s="254"/>
      <c r="AH82" s="254"/>
      <c r="AI82" s="188">
        <v>0</v>
      </c>
      <c r="AJ82" s="188">
        <f t="shared" si="378"/>
        <v>0</v>
      </c>
      <c r="AK82" s="188"/>
      <c r="AL82" s="188">
        <v>0</v>
      </c>
      <c r="AM82" s="188">
        <v>0</v>
      </c>
      <c r="AN82" s="217"/>
      <c r="AO82" s="196">
        <f t="shared" si="432"/>
        <v>0</v>
      </c>
      <c r="AP82" s="195"/>
      <c r="AQ82" s="195"/>
      <c r="AR82" s="195"/>
      <c r="AS82" s="195"/>
      <c r="AT82" s="195"/>
      <c r="AU82" s="195"/>
      <c r="AV82" s="195"/>
      <c r="AW82" s="195"/>
      <c r="AX82" s="195"/>
      <c r="AY82" s="195"/>
      <c r="AZ82" s="195"/>
      <c r="BA82" s="195"/>
      <c r="BB82" s="188">
        <f t="shared" si="379"/>
        <v>0</v>
      </c>
      <c r="BC82" s="195"/>
      <c r="BD82" s="196"/>
      <c r="BE82" s="188">
        <f t="shared" si="380"/>
        <v>0</v>
      </c>
      <c r="BF82" s="188">
        <f t="shared" si="381"/>
        <v>0</v>
      </c>
      <c r="BG82" s="188">
        <f t="shared" si="382"/>
        <v>0</v>
      </c>
      <c r="BH82" s="188">
        <f t="shared" si="383"/>
        <v>0</v>
      </c>
      <c r="BI82" s="188">
        <f t="shared" si="384"/>
        <v>0</v>
      </c>
      <c r="BJ82" s="188">
        <f t="shared" si="385"/>
        <v>0</v>
      </c>
      <c r="BK82" s="188">
        <f t="shared" si="386"/>
        <v>0</v>
      </c>
      <c r="BL82" s="195"/>
      <c r="BM82" s="195"/>
      <c r="BN82" s="315"/>
      <c r="BO82" s="283"/>
      <c r="BP82" s="188"/>
      <c r="BQ82" s="188"/>
      <c r="BR82" s="188"/>
      <c r="BS82" s="188"/>
      <c r="BT82" s="188"/>
      <c r="BU82" s="188"/>
      <c r="BV82" s="188"/>
      <c r="BW82" s="188"/>
      <c r="BX82" s="188"/>
      <c r="BY82" s="188"/>
      <c r="BZ82" s="188"/>
      <c r="CA82" s="195"/>
      <c r="CB82" s="188">
        <v>0</v>
      </c>
      <c r="CC82" s="195"/>
      <c r="CD82" s="189">
        <f t="shared" si="433"/>
        <v>0</v>
      </c>
      <c r="CE82" s="189">
        <f t="shared" si="503"/>
        <v>0</v>
      </c>
      <c r="CF82" s="189">
        <f t="shared" si="387"/>
        <v>0</v>
      </c>
      <c r="CG82" s="189">
        <f t="shared" si="388"/>
        <v>0</v>
      </c>
      <c r="CH82" s="189">
        <f t="shared" si="389"/>
        <v>0</v>
      </c>
      <c r="CI82" s="189">
        <f t="shared" si="390"/>
        <v>0</v>
      </c>
      <c r="CJ82" s="189">
        <f t="shared" si="391"/>
        <v>0</v>
      </c>
      <c r="CK82" s="189">
        <f t="shared" si="392"/>
        <v>0</v>
      </c>
      <c r="CL82" s="189">
        <f t="shared" si="393"/>
        <v>0</v>
      </c>
      <c r="CM82" s="189">
        <f t="shared" si="394"/>
        <v>0</v>
      </c>
      <c r="CN82" s="189">
        <f t="shared" si="395"/>
        <v>0</v>
      </c>
      <c r="CO82" s="189">
        <f t="shared" si="396"/>
        <v>0</v>
      </c>
      <c r="CP82" s="189">
        <f t="shared" si="397"/>
        <v>0</v>
      </c>
      <c r="CQ82" s="195"/>
      <c r="CR82" s="195"/>
      <c r="CS82" s="195"/>
      <c r="CT82" s="195"/>
      <c r="CU82" s="195"/>
      <c r="CV82" s="195"/>
      <c r="CW82" s="195"/>
      <c r="CX82" s="195"/>
      <c r="CY82" s="195"/>
      <c r="CZ82" s="195"/>
      <c r="DA82" s="195"/>
      <c r="DB82" s="195"/>
      <c r="DC82" s="195"/>
      <c r="DD82" s="195"/>
      <c r="DE82" s="195"/>
      <c r="DF82" s="195"/>
      <c r="DG82" s="195"/>
      <c r="DH82" s="195"/>
      <c r="DI82" s="195"/>
      <c r="DJ82" s="195"/>
      <c r="DK82" s="195"/>
      <c r="DL82" s="195"/>
      <c r="DM82" s="195"/>
      <c r="DN82" s="195"/>
      <c r="DO82" s="195"/>
      <c r="DP82" s="195"/>
      <c r="DQ82" s="195"/>
      <c r="DR82" s="195"/>
      <c r="DS82" s="195"/>
      <c r="DT82" s="195"/>
      <c r="DU82" s="195"/>
      <c r="DV82" s="189">
        <f t="shared" si="398"/>
        <v>0</v>
      </c>
      <c r="DW82" s="189">
        <f t="shared" si="399"/>
        <v>0</v>
      </c>
      <c r="DX82" s="189">
        <f t="shared" si="400"/>
        <v>0</v>
      </c>
      <c r="DY82" s="189">
        <f t="shared" si="401"/>
        <v>0</v>
      </c>
      <c r="DZ82" s="189">
        <f t="shared" si="402"/>
        <v>0</v>
      </c>
      <c r="EA82" s="189">
        <f t="shared" si="403"/>
        <v>0</v>
      </c>
      <c r="EB82" s="189">
        <f t="shared" si="404"/>
        <v>0</v>
      </c>
      <c r="EC82" s="195"/>
      <c r="ED82" s="195"/>
      <c r="EE82" s="195"/>
      <c r="EF82" s="195"/>
      <c r="EG82" s="252">
        <f t="shared" si="405"/>
        <v>0</v>
      </c>
      <c r="EH82" s="252">
        <f t="shared" si="406"/>
        <v>0</v>
      </c>
      <c r="EI82" s="189"/>
      <c r="EJ82" s="189"/>
      <c r="EK82" s="189"/>
      <c r="EL82" s="189"/>
      <c r="EM82" s="189"/>
      <c r="EN82" s="189"/>
      <c r="EO82" s="189"/>
      <c r="EP82" s="189"/>
      <c r="EQ82" s="189"/>
      <c r="ER82" s="189"/>
      <c r="ES82" s="189"/>
      <c r="ET82" s="189"/>
      <c r="EU82" s="189"/>
      <c r="EV82" s="189"/>
      <c r="EW82" s="189"/>
      <c r="EX82" s="189"/>
      <c r="EY82" s="189"/>
      <c r="EZ82" s="189"/>
      <c r="FA82" s="189"/>
      <c r="FB82" s="189"/>
      <c r="FC82" s="189"/>
      <c r="FD82" s="189"/>
      <c r="FE82" s="189"/>
      <c r="FF82" s="189"/>
      <c r="FG82" s="195"/>
      <c r="FH82" s="189"/>
      <c r="FI82" s="189"/>
      <c r="FJ82" s="189"/>
      <c r="FK82" s="189"/>
      <c r="FL82" s="189"/>
      <c r="FM82" s="189"/>
      <c r="FN82" s="189"/>
      <c r="FO82" s="189"/>
      <c r="FP82" s="189"/>
      <c r="FQ82" s="189"/>
      <c r="FR82" s="189"/>
      <c r="FS82" s="189"/>
      <c r="FT82" s="189"/>
      <c r="FU82" s="189"/>
      <c r="FV82" s="189"/>
      <c r="FW82" s="195"/>
      <c r="FX82" s="253"/>
      <c r="FY82" s="189">
        <f t="shared" si="407"/>
        <v>0</v>
      </c>
      <c r="FZ82" s="189">
        <f t="shared" si="505"/>
        <v>0</v>
      </c>
      <c r="GA82" s="189">
        <f t="shared" si="506"/>
        <v>0</v>
      </c>
      <c r="GB82" s="189">
        <f t="shared" si="507"/>
        <v>0</v>
      </c>
      <c r="GC82" s="189">
        <f t="shared" si="508"/>
        <v>0</v>
      </c>
      <c r="GD82" s="189">
        <f t="shared" si="509"/>
        <v>0</v>
      </c>
      <c r="GE82" s="189">
        <f t="shared" si="510"/>
        <v>0</v>
      </c>
      <c r="GF82" s="199"/>
      <c r="GG82" s="189">
        <v>0</v>
      </c>
      <c r="GH82" s="189">
        <v>0</v>
      </c>
      <c r="GI82" s="199"/>
      <c r="GJ82" s="200">
        <f t="shared" si="408"/>
        <v>0</v>
      </c>
      <c r="GK82" s="200">
        <f t="shared" si="409"/>
        <v>0</v>
      </c>
      <c r="GL82" s="195"/>
      <c r="GM82" s="195"/>
      <c r="GN82" s="195"/>
      <c r="GO82" s="189">
        <f t="shared" si="246"/>
        <v>0</v>
      </c>
      <c r="GP82" s="189">
        <f t="shared" si="247"/>
        <v>0</v>
      </c>
      <c r="GQ82" s="189">
        <f t="shared" si="248"/>
        <v>0</v>
      </c>
      <c r="GR82" s="189">
        <f t="shared" si="249"/>
        <v>0</v>
      </c>
      <c r="GS82" s="189">
        <f t="shared" si="250"/>
        <v>0</v>
      </c>
      <c r="GT82" s="189">
        <f t="shared" si="456"/>
        <v>1</v>
      </c>
      <c r="GU82" s="201">
        <f t="shared" si="457"/>
        <v>43243</v>
      </c>
      <c r="GV82" s="189" t="str">
        <f t="shared" si="458"/>
        <v>SELESAI</v>
      </c>
      <c r="GW82" s="189">
        <f t="shared" si="459"/>
        <v>0</v>
      </c>
      <c r="GX82" s="202" t="str">
        <f t="shared" si="460"/>
        <v>SELESAI</v>
      </c>
      <c r="GY82" s="202">
        <f t="shared" si="461"/>
        <v>0</v>
      </c>
      <c r="GZ82" s="203" t="str">
        <f t="shared" si="462"/>
        <v>SELESAI</v>
      </c>
      <c r="HA82" s="204"/>
      <c r="HB82" s="204"/>
      <c r="HC82" s="189">
        <f t="shared" si="251"/>
        <v>0</v>
      </c>
      <c r="HD82" s="189">
        <f t="shared" si="252"/>
        <v>0</v>
      </c>
      <c r="HE82" s="189">
        <f t="shared" si="463"/>
        <v>0</v>
      </c>
      <c r="HF82" s="189">
        <f t="shared" si="464"/>
        <v>0</v>
      </c>
      <c r="HG82" s="189">
        <f t="shared" si="465"/>
        <v>0</v>
      </c>
      <c r="HH82" s="201" t="str">
        <f t="shared" si="411"/>
        <v>TIDAK KONSINYASI</v>
      </c>
      <c r="HI82" s="201" t="str">
        <f t="shared" si="466"/>
        <v>SELESAI</v>
      </c>
      <c r="HJ82" s="205"/>
      <c r="HK82" s="201">
        <f t="shared" si="412"/>
        <v>0</v>
      </c>
      <c r="HL82" s="204"/>
      <c r="HM82" s="204"/>
      <c r="HN82" s="204"/>
      <c r="HO82" s="204"/>
      <c r="HP82" s="203">
        <f t="shared" si="467"/>
        <v>0</v>
      </c>
      <c r="HQ82" s="202">
        <f t="shared" si="468"/>
        <v>0</v>
      </c>
      <c r="HR82" s="202">
        <f t="shared" si="253"/>
        <v>0</v>
      </c>
      <c r="HS82" s="203">
        <f t="shared" si="469"/>
        <v>0</v>
      </c>
      <c r="HT82" s="202">
        <f t="shared" si="470"/>
        <v>0</v>
      </c>
      <c r="HU82" s="202">
        <f t="shared" si="254"/>
        <v>0</v>
      </c>
      <c r="HV82" s="203">
        <f t="shared" si="471"/>
        <v>0</v>
      </c>
      <c r="HW82" s="202">
        <f t="shared" si="413"/>
        <v>0</v>
      </c>
      <c r="HX82" s="202">
        <f t="shared" si="255"/>
        <v>0</v>
      </c>
      <c r="HY82" s="203">
        <f t="shared" si="414"/>
        <v>0</v>
      </c>
      <c r="HZ82" s="202">
        <f t="shared" si="472"/>
        <v>0</v>
      </c>
      <c r="IA82" s="202">
        <f t="shared" si="256"/>
        <v>0</v>
      </c>
      <c r="IB82" s="203">
        <f t="shared" si="473"/>
        <v>0</v>
      </c>
      <c r="IC82" s="202">
        <f t="shared" si="415"/>
        <v>0</v>
      </c>
      <c r="ID82" s="202">
        <f t="shared" si="257"/>
        <v>0</v>
      </c>
      <c r="IE82" s="203">
        <f t="shared" si="416"/>
        <v>0</v>
      </c>
      <c r="IF82" s="202">
        <f t="shared" si="417"/>
        <v>0</v>
      </c>
      <c r="IG82" s="202">
        <f t="shared" si="258"/>
        <v>0</v>
      </c>
      <c r="IH82" s="203">
        <f t="shared" si="474"/>
        <v>0</v>
      </c>
      <c r="II82" s="202">
        <f t="shared" si="475"/>
        <v>0</v>
      </c>
      <c r="IJ82" s="202">
        <f t="shared" si="259"/>
        <v>0</v>
      </c>
      <c r="IK82" s="203">
        <f t="shared" si="418"/>
        <v>0</v>
      </c>
      <c r="IL82" s="202">
        <f t="shared" si="419"/>
        <v>0</v>
      </c>
      <c r="IM82" s="202">
        <f t="shared" si="260"/>
        <v>0</v>
      </c>
      <c r="IN82" s="204"/>
      <c r="IO82" s="203">
        <f t="shared" si="420"/>
        <v>0</v>
      </c>
      <c r="IP82" s="202">
        <f t="shared" si="261"/>
        <v>0</v>
      </c>
      <c r="IQ82" s="202">
        <f t="shared" si="262"/>
        <v>0</v>
      </c>
      <c r="IR82" s="204"/>
      <c r="IS82" s="203"/>
      <c r="IT82" s="202">
        <f t="shared" si="263"/>
        <v>1</v>
      </c>
      <c r="IU82" s="202">
        <f t="shared" si="264"/>
        <v>42</v>
      </c>
      <c r="IV82" s="204"/>
      <c r="IW82" s="203"/>
      <c r="IX82" s="202">
        <f t="shared" si="265"/>
        <v>0</v>
      </c>
      <c r="IY82" s="202">
        <f t="shared" si="266"/>
        <v>0</v>
      </c>
      <c r="IZ82" s="204"/>
      <c r="JA82" s="203"/>
      <c r="JB82" s="202">
        <f t="shared" si="267"/>
        <v>0</v>
      </c>
      <c r="JC82" s="202">
        <f t="shared" si="268"/>
        <v>0</v>
      </c>
      <c r="JD82" s="204"/>
      <c r="JE82" s="203"/>
      <c r="JF82" s="202">
        <f t="shared" si="476"/>
        <v>1</v>
      </c>
      <c r="JG82" s="202">
        <f t="shared" si="476"/>
        <v>42</v>
      </c>
      <c r="JH82" s="204"/>
      <c r="JI82" s="203"/>
      <c r="JJ82" s="202">
        <f t="shared" si="269"/>
        <v>0</v>
      </c>
      <c r="JK82" s="202">
        <f t="shared" si="270"/>
        <v>0</v>
      </c>
      <c r="JL82" s="195"/>
      <c r="JM82" s="203">
        <f t="shared" si="477"/>
        <v>0</v>
      </c>
      <c r="JN82" s="195"/>
      <c r="JO82" s="196">
        <f t="shared" si="421"/>
        <v>0</v>
      </c>
      <c r="JP82" s="206">
        <f t="shared" si="271"/>
        <v>0</v>
      </c>
      <c r="JQ82" s="206">
        <f t="shared" si="272"/>
        <v>0</v>
      </c>
      <c r="JR82" s="206">
        <f t="shared" si="273"/>
        <v>0</v>
      </c>
      <c r="JS82" s="206">
        <f t="shared" si="274"/>
        <v>0</v>
      </c>
      <c r="JT82" s="206">
        <f t="shared" si="275"/>
        <v>0</v>
      </c>
      <c r="JU82" s="206">
        <f t="shared" si="276"/>
        <v>0</v>
      </c>
      <c r="JV82" s="206">
        <f t="shared" si="277"/>
        <v>0</v>
      </c>
      <c r="JW82" s="206">
        <f t="shared" si="278"/>
        <v>0</v>
      </c>
      <c r="JX82" s="206">
        <f t="shared" si="279"/>
        <v>0</v>
      </c>
      <c r="JY82" s="206">
        <f t="shared" si="280"/>
        <v>0</v>
      </c>
      <c r="JZ82" s="206">
        <f t="shared" si="281"/>
        <v>0</v>
      </c>
      <c r="KA82" s="206">
        <f t="shared" si="282"/>
        <v>0</v>
      </c>
      <c r="KB82" s="206">
        <f t="shared" si="283"/>
        <v>0</v>
      </c>
      <c r="KC82" s="195"/>
      <c r="KD82" s="206">
        <f t="shared" si="478"/>
        <v>0</v>
      </c>
      <c r="KE82" s="206">
        <f t="shared" si="422"/>
        <v>0</v>
      </c>
      <c r="KF82" s="206">
        <f t="shared" si="284"/>
        <v>0</v>
      </c>
      <c r="KG82" s="206">
        <f t="shared" si="285"/>
        <v>0</v>
      </c>
      <c r="KH82" s="206">
        <f t="shared" si="286"/>
        <v>0</v>
      </c>
      <c r="KI82" s="206">
        <f t="shared" si="287"/>
        <v>0</v>
      </c>
      <c r="KJ82" s="206">
        <f t="shared" si="288"/>
        <v>0</v>
      </c>
      <c r="KK82" s="206">
        <f t="shared" si="289"/>
        <v>0</v>
      </c>
      <c r="KL82" s="206">
        <f t="shared" si="290"/>
        <v>0</v>
      </c>
      <c r="KM82" s="206">
        <f t="shared" si="291"/>
        <v>0</v>
      </c>
      <c r="KN82" s="221">
        <f t="shared" si="292"/>
        <v>0</v>
      </c>
      <c r="KO82" s="221">
        <f t="shared" si="293"/>
        <v>0</v>
      </c>
      <c r="KP82" s="221">
        <f t="shared" si="294"/>
        <v>0</v>
      </c>
      <c r="KQ82" s="221">
        <f t="shared" si="295"/>
        <v>0</v>
      </c>
      <c r="KR82" s="221">
        <f t="shared" si="296"/>
        <v>0</v>
      </c>
      <c r="KS82" s="195"/>
      <c r="KT82" s="195">
        <f t="shared" si="297"/>
        <v>0</v>
      </c>
      <c r="KU82" s="221"/>
      <c r="KV82" s="221"/>
      <c r="KW82" s="221"/>
      <c r="KX82" s="221"/>
      <c r="KY82" s="221"/>
      <c r="KZ82" s="221"/>
      <c r="LA82" s="221"/>
      <c r="LB82" s="221"/>
      <c r="LC82" s="221"/>
      <c r="LD82" s="221"/>
      <c r="LE82" s="221"/>
      <c r="LF82" s="221"/>
      <c r="LG82" s="221"/>
      <c r="LH82" s="221"/>
      <c r="LI82" s="221"/>
      <c r="LJ82" s="221"/>
      <c r="LK82" s="221"/>
      <c r="LL82" s="221"/>
      <c r="LM82" s="221"/>
      <c r="LN82" s="221"/>
      <c r="LO82" s="221"/>
      <c r="LP82" s="221"/>
      <c r="LQ82" s="221"/>
      <c r="LR82" s="221"/>
      <c r="LS82" s="221"/>
      <c r="LT82" s="221"/>
      <c r="LU82" s="221"/>
      <c r="LV82" s="221"/>
      <c r="LW82" s="221"/>
      <c r="LX82" s="221"/>
      <c r="LY82" s="221"/>
      <c r="LZ82" s="221"/>
      <c r="MA82" s="221"/>
      <c r="MB82" s="221"/>
      <c r="MC82" s="221"/>
      <c r="MD82" s="221"/>
      <c r="ME82" s="221"/>
      <c r="MF82" s="221"/>
      <c r="MG82" s="221"/>
      <c r="MH82" s="221"/>
      <c r="MI82" s="221"/>
      <c r="MJ82" s="221"/>
      <c r="MK82" s="221"/>
      <c r="ML82" s="221"/>
      <c r="MM82" s="221"/>
      <c r="MN82" s="221"/>
      <c r="MO82" s="221"/>
      <c r="MP82" s="221"/>
      <c r="MQ82" s="221"/>
      <c r="MR82" s="221"/>
      <c r="MS82" s="221"/>
      <c r="MT82" s="221"/>
      <c r="MU82" s="221"/>
      <c r="MV82" s="221"/>
      <c r="MW82" s="221"/>
      <c r="MX82" s="221"/>
      <c r="MY82" s="221"/>
      <c r="MZ82" s="221"/>
      <c r="NA82" s="221"/>
      <c r="NB82" s="221"/>
      <c r="NC82" s="221"/>
      <c r="ND82" s="221"/>
      <c r="NE82" s="221"/>
      <c r="NF82" s="221"/>
      <c r="NG82" s="221"/>
      <c r="NH82" s="221"/>
      <c r="NI82" s="221"/>
      <c r="NJ82" s="221"/>
      <c r="NK82" s="221"/>
      <c r="NL82" s="195"/>
      <c r="NM82" s="195">
        <f t="shared" si="479"/>
        <v>0</v>
      </c>
      <c r="NN82" s="195">
        <f t="shared" si="480"/>
        <v>0</v>
      </c>
      <c r="NO82" s="195">
        <f t="shared" si="481"/>
        <v>0</v>
      </c>
      <c r="NP82" s="195">
        <f t="shared" si="482"/>
        <v>0</v>
      </c>
      <c r="NQ82" s="195">
        <f t="shared" si="483"/>
        <v>0</v>
      </c>
      <c r="NR82" s="195">
        <f t="shared" si="484"/>
        <v>0</v>
      </c>
      <c r="NS82" s="195">
        <f t="shared" si="485"/>
        <v>0</v>
      </c>
      <c r="NT82" s="195">
        <f t="shared" si="486"/>
        <v>0</v>
      </c>
      <c r="NU82" s="196">
        <f t="shared" si="487"/>
        <v>0</v>
      </c>
      <c r="NV82" s="195"/>
      <c r="NW82" s="195"/>
      <c r="NX82" s="195"/>
      <c r="NY82" s="196">
        <f t="shared" si="423"/>
        <v>1</v>
      </c>
      <c r="NZ82" s="222">
        <f>335865600/42</f>
        <v>7996800</v>
      </c>
      <c r="OA82" s="195"/>
      <c r="OB82" s="195"/>
      <c r="OC82" s="195"/>
      <c r="OD82" s="195"/>
      <c r="OE82" s="207">
        <f t="shared" si="424"/>
        <v>0</v>
      </c>
      <c r="OF82" s="207">
        <f t="shared" si="425"/>
        <v>0</v>
      </c>
      <c r="OG82" s="207">
        <f t="shared" si="426"/>
        <v>0</v>
      </c>
      <c r="OH82" s="207">
        <f t="shared" si="488"/>
        <v>0</v>
      </c>
      <c r="OI82" s="207">
        <f t="shared" si="427"/>
        <v>0</v>
      </c>
      <c r="OJ82" s="199">
        <f t="shared" si="489"/>
        <v>0</v>
      </c>
      <c r="OK82" s="199">
        <f t="shared" si="490"/>
        <v>0</v>
      </c>
      <c r="OL82" s="199">
        <f t="shared" si="491"/>
        <v>0</v>
      </c>
      <c r="OM82" s="199">
        <f t="shared" si="492"/>
        <v>0</v>
      </c>
      <c r="ON82" s="195"/>
      <c r="OO82" s="207">
        <f t="shared" si="428"/>
        <v>0</v>
      </c>
      <c r="OP82" s="207">
        <f t="shared" si="429"/>
        <v>0</v>
      </c>
      <c r="OQ82" s="207">
        <f t="shared" si="493"/>
        <v>0</v>
      </c>
      <c r="OR82" s="207">
        <f t="shared" si="494"/>
        <v>0</v>
      </c>
      <c r="OS82" s="207">
        <f t="shared" si="495"/>
        <v>0</v>
      </c>
      <c r="OT82" s="199">
        <f t="shared" si="496"/>
        <v>0</v>
      </c>
      <c r="OU82" s="199">
        <f t="shared" si="497"/>
        <v>0</v>
      </c>
      <c r="OV82" s="199">
        <f t="shared" si="498"/>
        <v>0</v>
      </c>
      <c r="OW82" s="199">
        <f t="shared" si="499"/>
        <v>0</v>
      </c>
      <c r="OX82" s="195"/>
      <c r="OY82" s="195"/>
      <c r="OZ82" s="195"/>
      <c r="PA82" s="209"/>
      <c r="PB82" s="209"/>
      <c r="PC82" s="209"/>
      <c r="PD82" s="210">
        <f t="shared" si="430"/>
        <v>0</v>
      </c>
      <c r="PE82" s="210"/>
      <c r="PF82" s="210">
        <f t="shared" si="431"/>
        <v>0</v>
      </c>
      <c r="PG82" s="210">
        <f t="shared" si="302"/>
        <v>0</v>
      </c>
      <c r="PH82" s="210">
        <f t="shared" si="302"/>
        <v>0</v>
      </c>
      <c r="PI82" s="210">
        <f t="shared" si="302"/>
        <v>0</v>
      </c>
      <c r="PJ82" s="210">
        <f t="shared" si="300"/>
        <v>0</v>
      </c>
      <c r="PK82" s="210">
        <f t="shared" si="300"/>
        <v>0</v>
      </c>
      <c r="PL82" s="210">
        <f t="shared" si="300"/>
        <v>0</v>
      </c>
      <c r="PM82" s="195"/>
      <c r="PN82" s="195"/>
      <c r="PO82" s="212">
        <f t="shared" si="500"/>
        <v>0</v>
      </c>
      <c r="PP82" s="212">
        <f t="shared" si="501"/>
        <v>0</v>
      </c>
      <c r="PQ82" s="212">
        <f t="shared" si="502"/>
        <v>0</v>
      </c>
    </row>
    <row r="83" spans="1:433 16383:16383" ht="16" x14ac:dyDescent="0.2">
      <c r="A83" s="213">
        <f>A82+1</f>
        <v>74</v>
      </c>
      <c r="B83" s="186" t="s">
        <v>141</v>
      </c>
      <c r="C83" s="186">
        <v>76</v>
      </c>
      <c r="D83" s="188">
        <v>1</v>
      </c>
      <c r="E83" s="188">
        <v>58</v>
      </c>
      <c r="F83" s="188">
        <v>1</v>
      </c>
      <c r="G83" s="188">
        <f t="shared" si="239"/>
        <v>58</v>
      </c>
      <c r="H83" s="214">
        <f>F83/$D83</f>
        <v>1</v>
      </c>
      <c r="I83" s="214">
        <f>G83/$E83</f>
        <v>1</v>
      </c>
      <c r="J83" s="188">
        <v>1</v>
      </c>
      <c r="K83" s="188">
        <f>IF(J83=D83,E83,0)</f>
        <v>58</v>
      </c>
      <c r="L83" s="214">
        <f>J83/$D83</f>
        <v>1</v>
      </c>
      <c r="M83" s="214">
        <f>K83/$E83</f>
        <v>1</v>
      </c>
      <c r="N83" s="188">
        <v>1</v>
      </c>
      <c r="O83" s="188">
        <f>IF(N83=D83,E83,0)</f>
        <v>58</v>
      </c>
      <c r="P83" s="214">
        <f>N83/$D83</f>
        <v>1</v>
      </c>
      <c r="Q83" s="214">
        <f>O83/$E83</f>
        <v>1</v>
      </c>
      <c r="R83" s="188">
        <v>1</v>
      </c>
      <c r="S83" s="188">
        <f>IF(R83=D83,E83,0)</f>
        <v>58</v>
      </c>
      <c r="T83" s="214">
        <f>R83/$D83</f>
        <v>1</v>
      </c>
      <c r="U83" s="214">
        <f>S83/$E83</f>
        <v>1</v>
      </c>
      <c r="V83" s="188">
        <v>1</v>
      </c>
      <c r="W83" s="188">
        <f>IF(V83=D83,E83,0)</f>
        <v>58</v>
      </c>
      <c r="X83" s="214">
        <f>V83/$D83</f>
        <v>1</v>
      </c>
      <c r="Y83" s="214">
        <f>W83/$E83</f>
        <v>1</v>
      </c>
      <c r="Z83" s="224">
        <f>1909118000/1000000000</f>
        <v>1.9091180000000001</v>
      </c>
      <c r="AA83" s="188"/>
      <c r="AB83" s="189">
        <f>IF(AA83=D83,E83,0)</f>
        <v>0</v>
      </c>
      <c r="AC83" s="250">
        <f>AA83/$D83</f>
        <v>0</v>
      </c>
      <c r="AD83" s="250">
        <f>AB83/$E83</f>
        <v>0</v>
      </c>
      <c r="AE83" s="188"/>
      <c r="AF83" s="223">
        <f>R83-V83</f>
        <v>0</v>
      </c>
      <c r="AG83" s="254"/>
      <c r="AH83" s="254"/>
      <c r="AI83" s="188">
        <v>0</v>
      </c>
      <c r="AJ83" s="188">
        <f>IF(AI83=D83,E83,0)</f>
        <v>0</v>
      </c>
      <c r="AK83" s="188"/>
      <c r="AL83" s="188">
        <v>0</v>
      </c>
      <c r="AM83" s="188">
        <v>0</v>
      </c>
      <c r="AN83" s="217"/>
      <c r="AO83" s="196">
        <f t="shared" si="432"/>
        <v>0</v>
      </c>
      <c r="AP83" s="195"/>
      <c r="AQ83" s="195"/>
      <c r="AR83" s="195"/>
      <c r="AS83" s="195"/>
      <c r="AT83" s="195"/>
      <c r="AU83" s="195"/>
      <c r="AV83" s="195"/>
      <c r="AW83" s="195"/>
      <c r="AX83" s="195"/>
      <c r="AY83" s="195"/>
      <c r="AZ83" s="195"/>
      <c r="BA83" s="195"/>
      <c r="BB83" s="188">
        <f>IF(AN83=1,G83,0)</f>
        <v>0</v>
      </c>
      <c r="BC83" s="195"/>
      <c r="BD83" s="196"/>
      <c r="BE83" s="188">
        <f>IF(AF83=1,S83,0)</f>
        <v>0</v>
      </c>
      <c r="BF83" s="188">
        <f>IF(AG83="A",S83,0)</f>
        <v>0</v>
      </c>
      <c r="BG83" s="188">
        <f>IF(AG83="B",S83,0)</f>
        <v>0</v>
      </c>
      <c r="BH83" s="188">
        <f>IF(AG83="C",S83,0)</f>
        <v>0</v>
      </c>
      <c r="BI83" s="188">
        <f>IF(AG83="D",S83,0)</f>
        <v>0</v>
      </c>
      <c r="BJ83" s="188">
        <f>IF(AG83="E",S83,0)</f>
        <v>0</v>
      </c>
      <c r="BK83" s="188">
        <f>SUM(BF83:BJ83)</f>
        <v>0</v>
      </c>
      <c r="BL83" s="195"/>
      <c r="BM83" s="195"/>
      <c r="BN83" s="215"/>
      <c r="BO83" s="277"/>
      <c r="BP83" s="188"/>
      <c r="BQ83" s="188"/>
      <c r="BR83" s="188"/>
      <c r="BS83" s="188"/>
      <c r="BT83" s="188"/>
      <c r="BU83" s="188"/>
      <c r="BV83" s="188"/>
      <c r="BW83" s="188"/>
      <c r="BX83" s="188"/>
      <c r="BY83" s="188"/>
      <c r="BZ83" s="188"/>
      <c r="CA83" s="195"/>
      <c r="CB83" s="188">
        <v>0</v>
      </c>
      <c r="CC83" s="195"/>
      <c r="CD83" s="189">
        <f>BN83</f>
        <v>0</v>
      </c>
      <c r="CE83" s="189">
        <f t="shared" ref="CE83:CP85" si="511">IF(BO83=1,$CD83,0)</f>
        <v>0</v>
      </c>
      <c r="CF83" s="189">
        <f t="shared" si="511"/>
        <v>0</v>
      </c>
      <c r="CG83" s="189">
        <f t="shared" si="511"/>
        <v>0</v>
      </c>
      <c r="CH83" s="189">
        <f t="shared" si="511"/>
        <v>0</v>
      </c>
      <c r="CI83" s="189">
        <f t="shared" si="511"/>
        <v>0</v>
      </c>
      <c r="CJ83" s="189">
        <f t="shared" si="511"/>
        <v>0</v>
      </c>
      <c r="CK83" s="189">
        <f t="shared" si="511"/>
        <v>0</v>
      </c>
      <c r="CL83" s="189">
        <f t="shared" si="511"/>
        <v>0</v>
      </c>
      <c r="CM83" s="189">
        <f t="shared" si="511"/>
        <v>0</v>
      </c>
      <c r="CN83" s="189">
        <f t="shared" si="511"/>
        <v>0</v>
      </c>
      <c r="CO83" s="189">
        <f t="shared" si="511"/>
        <v>0</v>
      </c>
      <c r="CP83" s="189">
        <f t="shared" si="511"/>
        <v>0</v>
      </c>
      <c r="CQ83" s="195"/>
      <c r="CR83" s="195"/>
      <c r="CS83" s="195"/>
      <c r="CT83" s="195"/>
      <c r="CU83" s="195"/>
      <c r="CV83" s="195"/>
      <c r="CW83" s="195"/>
      <c r="CX83" s="195"/>
      <c r="CY83" s="195"/>
      <c r="CZ83" s="195"/>
      <c r="DA83" s="195"/>
      <c r="DB83" s="195"/>
      <c r="DC83" s="195"/>
      <c r="DD83" s="195"/>
      <c r="DE83" s="195"/>
      <c r="DF83" s="195"/>
      <c r="DG83" s="195"/>
      <c r="DH83" s="195"/>
      <c r="DI83" s="195"/>
      <c r="DJ83" s="195"/>
      <c r="DK83" s="195"/>
      <c r="DL83" s="195"/>
      <c r="DM83" s="195"/>
      <c r="DN83" s="195"/>
      <c r="DO83" s="195"/>
      <c r="DP83" s="195"/>
      <c r="DQ83" s="195"/>
      <c r="DR83" s="195"/>
      <c r="DS83" s="195"/>
      <c r="DT83" s="195"/>
      <c r="DU83" s="195"/>
      <c r="DV83" s="189">
        <f>IF(CB83=1,G83,0)</f>
        <v>0</v>
      </c>
      <c r="DW83" s="189">
        <f>IF(CC83="A",G83,0)</f>
        <v>0</v>
      </c>
      <c r="DX83" s="189">
        <f>IF(CC83="B",G83,0)</f>
        <v>0</v>
      </c>
      <c r="DY83" s="189">
        <f>IF(CC83="C",G83,0)</f>
        <v>0</v>
      </c>
      <c r="DZ83" s="189">
        <f>IF(CC83="D",G83,0)</f>
        <v>0</v>
      </c>
      <c r="EA83" s="189">
        <f>IF(CC83="E",G83,0)</f>
        <v>0</v>
      </c>
      <c r="EB83" s="189">
        <f>SUM(DW83:EA83)</f>
        <v>0</v>
      </c>
      <c r="EC83" s="195"/>
      <c r="ED83" s="195"/>
      <c r="EE83" s="195"/>
      <c r="EF83" s="195"/>
      <c r="EG83" s="252">
        <f>IF(AG83="C","C",IF(AG83="D","D",0))</f>
        <v>0</v>
      </c>
      <c r="EH83" s="252">
        <f>CC83</f>
        <v>0</v>
      </c>
      <c r="EI83" s="189"/>
      <c r="EJ83" s="189"/>
      <c r="EK83" s="189"/>
      <c r="EL83" s="189"/>
      <c r="EM83" s="189"/>
      <c r="EN83" s="189"/>
      <c r="EO83" s="189"/>
      <c r="EP83" s="189"/>
      <c r="EQ83" s="189"/>
      <c r="ER83" s="189"/>
      <c r="ES83" s="189"/>
      <c r="ET83" s="189"/>
      <c r="EU83" s="189"/>
      <c r="EV83" s="189"/>
      <c r="EW83" s="189"/>
      <c r="EX83" s="189"/>
      <c r="EY83" s="189"/>
      <c r="EZ83" s="189"/>
      <c r="FA83" s="189"/>
      <c r="FB83" s="189"/>
      <c r="FC83" s="189"/>
      <c r="FD83" s="189"/>
      <c r="FE83" s="189"/>
      <c r="FF83" s="189"/>
      <c r="FG83" s="195"/>
      <c r="FH83" s="189"/>
      <c r="FI83" s="189"/>
      <c r="FJ83" s="189"/>
      <c r="FK83" s="189"/>
      <c r="FL83" s="189"/>
      <c r="FM83" s="189"/>
      <c r="FN83" s="189"/>
      <c r="FO83" s="189"/>
      <c r="FP83" s="189"/>
      <c r="FQ83" s="189"/>
      <c r="FR83" s="189"/>
      <c r="FS83" s="189"/>
      <c r="FT83" s="189"/>
      <c r="FU83" s="189"/>
      <c r="FV83" s="189"/>
      <c r="FW83" s="195"/>
      <c r="FX83" s="253"/>
      <c r="FY83" s="189">
        <f>SUM(FZ83:GE83)</f>
        <v>0</v>
      </c>
      <c r="FZ83" s="189">
        <f t="shared" si="505"/>
        <v>0</v>
      </c>
      <c r="GA83" s="189">
        <f t="shared" si="506"/>
        <v>0</v>
      </c>
      <c r="GB83" s="189">
        <f t="shared" si="507"/>
        <v>0</v>
      </c>
      <c r="GC83" s="189">
        <f t="shared" si="508"/>
        <v>0</v>
      </c>
      <c r="GD83" s="189">
        <f t="shared" si="509"/>
        <v>0</v>
      </c>
      <c r="GE83" s="189">
        <f t="shared" si="510"/>
        <v>0</v>
      </c>
      <c r="GF83" s="199"/>
      <c r="GG83" s="189">
        <v>0</v>
      </c>
      <c r="GH83" s="189">
        <v>0</v>
      </c>
      <c r="GI83" s="199"/>
      <c r="GJ83" s="200">
        <f>FY83*GG83/1000000000</f>
        <v>0</v>
      </c>
      <c r="GK83" s="200">
        <f>FY83*GH83/1000000000</f>
        <v>0</v>
      </c>
      <c r="GL83" s="195"/>
      <c r="GM83" s="195"/>
      <c r="GN83" s="195"/>
      <c r="GO83" s="226">
        <f t="shared" si="246"/>
        <v>0</v>
      </c>
      <c r="GP83" s="226">
        <f t="shared" si="247"/>
        <v>0</v>
      </c>
      <c r="GQ83" s="226">
        <f t="shared" si="248"/>
        <v>0</v>
      </c>
      <c r="GR83" s="226">
        <f t="shared" si="249"/>
        <v>0</v>
      </c>
      <c r="GS83" s="226">
        <f t="shared" si="250"/>
        <v>0</v>
      </c>
      <c r="GT83" s="226">
        <f>IF(SUM(GO83:GS83)=0,1,0)</f>
        <v>1</v>
      </c>
      <c r="GU83" s="232">
        <f t="shared" si="457"/>
        <v>43243</v>
      </c>
      <c r="GV83" s="226" t="str">
        <f>IF(GO83&gt;0,$GO$6,IF(GP83&gt;0,$GP$6,IF(GQ83&gt;0,$GQ$6,IF(GR83&gt;0,$GR$6,IF(GS83&gt;0,$GS$6,IF(GT83&gt;0,$GT$6,0))))))</f>
        <v>SELESAI</v>
      </c>
      <c r="GW83" s="226">
        <f>IF(GV83=$GO$6,GO83,IF(GV83=$GP$6,GP83,IF(GV83=$GQ$6,GQ83,IF(GV83=$GR$6,GR83,IF(GV83=$GS$6,GS83,0)))))</f>
        <v>0</v>
      </c>
      <c r="GX83" s="202" t="str">
        <f>GV83</f>
        <v>SELESAI</v>
      </c>
      <c r="GY83" s="202">
        <f>IF(GX83="DNP",SUM($GY$4:$GY$8),IF(GX83="Survey KJPP",SUM($GY$5:$GY$8),IF(GX83="Hasil Valuasi",SUM($GY$6:$GY$8),IF(GX83="Musyawarah",SUM($GY$7:$GY$8),IF(GX83="UGR",$GY$8,0)))))</f>
        <v>0</v>
      </c>
      <c r="GZ83" s="203" t="str">
        <f>IF(GW83=0,"SELESAI",GU83+GY83)</f>
        <v>SELESAI</v>
      </c>
      <c r="HA83" s="204"/>
      <c r="HB83" s="204"/>
      <c r="HC83" s="189">
        <f t="shared" si="251"/>
        <v>0</v>
      </c>
      <c r="HD83" s="189">
        <f t="shared" si="252"/>
        <v>0</v>
      </c>
      <c r="HE83" s="189">
        <f>HC83+HD83</f>
        <v>0</v>
      </c>
      <c r="HF83" s="189">
        <f>FQ83</f>
        <v>0</v>
      </c>
      <c r="HG83" s="189">
        <f>HE83-HF83</f>
        <v>0</v>
      </c>
      <c r="HH83" s="201" t="str">
        <f>IF(HG83=1,GU83+$HH$8,"TIDAK KONSINYASI")</f>
        <v>TIDAK KONSINYASI</v>
      </c>
      <c r="HI83" s="201" t="str">
        <f>IF(GW83=0,"SELESAI",GZ83+$HI$8)</f>
        <v>SELESAI</v>
      </c>
      <c r="HJ83" s="205"/>
      <c r="HK83" s="201">
        <f>MAX(GZ83,HH83,HI83)</f>
        <v>0</v>
      </c>
      <c r="HL83" s="204"/>
      <c r="HM83" s="204"/>
      <c r="HN83" s="204"/>
      <c r="HO83" s="204"/>
      <c r="HP83" s="203">
        <f>IF(HQ83=1,GZ83,0)</f>
        <v>0</v>
      </c>
      <c r="HQ83" s="202">
        <f>IF(IX83=0,IF(HT83=0,IF(IP83=0,IF(GV83="UGR",GS83,0),0),0),0)</f>
        <v>0</v>
      </c>
      <c r="HR83" s="202">
        <f t="shared" si="253"/>
        <v>0</v>
      </c>
      <c r="HS83" s="203">
        <f>IF(HT83=1,HH83,0)</f>
        <v>0</v>
      </c>
      <c r="HT83" s="202">
        <f>HG83</f>
        <v>0</v>
      </c>
      <c r="HU83" s="202">
        <f t="shared" si="254"/>
        <v>0</v>
      </c>
      <c r="HV83" s="203">
        <f>IF(HW83=1,GZ83,0)</f>
        <v>0</v>
      </c>
      <c r="HW83" s="202">
        <f>IF(JB83=0,IF(IX83=0,IF(HT83=0,IF(GV83="MUSYAWARAH",GR83,0),0),0),0)</f>
        <v>0</v>
      </c>
      <c r="HX83" s="202">
        <f t="shared" si="255"/>
        <v>0</v>
      </c>
      <c r="HY83" s="203">
        <f>IF(HZ83=1,HV83+$HI$8,0)</f>
        <v>0</v>
      </c>
      <c r="HZ83" s="202">
        <f>HW83</f>
        <v>0</v>
      </c>
      <c r="IA83" s="202">
        <f t="shared" si="256"/>
        <v>0</v>
      </c>
      <c r="IB83" s="203">
        <f>IF(IC83=1,$GU$3+SUM($GY$6:$GY$8),0)</f>
        <v>0</v>
      </c>
      <c r="IC83" s="202">
        <f>IF(GV83="Hasil Valuasi",GQ83,0)</f>
        <v>0</v>
      </c>
      <c r="ID83" s="202">
        <f t="shared" si="257"/>
        <v>0</v>
      </c>
      <c r="IE83" s="203">
        <f>IF(IF83=1,IB83+$HI$8,0)</f>
        <v>0</v>
      </c>
      <c r="IF83" s="202">
        <f>IC83</f>
        <v>0</v>
      </c>
      <c r="IG83" s="202">
        <f t="shared" si="258"/>
        <v>0</v>
      </c>
      <c r="IH83" s="203">
        <f>IF(II83=1,$GU$3+SUM($GY$5:$GY$8),0)</f>
        <v>0</v>
      </c>
      <c r="II83" s="202">
        <f>IF(GV83="Survey KJPP",GP83,0)</f>
        <v>0</v>
      </c>
      <c r="IJ83" s="202">
        <f t="shared" si="259"/>
        <v>0</v>
      </c>
      <c r="IK83" s="203">
        <f>IF(IL83=1,IH83+$HI$8,0)</f>
        <v>0</v>
      </c>
      <c r="IL83" s="202">
        <f>II83</f>
        <v>0</v>
      </c>
      <c r="IM83" s="202">
        <f t="shared" si="260"/>
        <v>0</v>
      </c>
      <c r="IN83" s="204"/>
      <c r="IO83" s="203">
        <f>IF(IP83=1,+$GU$3+$HH$8,0)</f>
        <v>0</v>
      </c>
      <c r="IP83" s="202">
        <f t="shared" si="261"/>
        <v>0</v>
      </c>
      <c r="IQ83" s="202">
        <f t="shared" si="262"/>
        <v>0</v>
      </c>
      <c r="IR83" s="204"/>
      <c r="IS83" s="203"/>
      <c r="IT83" s="202">
        <f t="shared" si="263"/>
        <v>1</v>
      </c>
      <c r="IU83" s="202">
        <f t="shared" si="264"/>
        <v>58</v>
      </c>
      <c r="IV83" s="204"/>
      <c r="IW83" s="203"/>
      <c r="IX83" s="202">
        <f t="shared" si="265"/>
        <v>0</v>
      </c>
      <c r="IY83" s="202">
        <f t="shared" si="266"/>
        <v>0</v>
      </c>
      <c r="IZ83" s="204"/>
      <c r="JA83" s="203"/>
      <c r="JB83" s="202">
        <f t="shared" si="267"/>
        <v>0</v>
      </c>
      <c r="JC83" s="202">
        <f t="shared" si="268"/>
        <v>0</v>
      </c>
      <c r="JD83" s="204"/>
      <c r="JE83" s="203"/>
      <c r="JF83" s="202">
        <f>IT83+HQ83+HT83+HZ83+IF83+IL83+IP83+IX83+JB83</f>
        <v>1</v>
      </c>
      <c r="JG83" s="202">
        <f>IU83+HR83+HU83+IA83+IG83+IM83+IQ83+IY83+JC83</f>
        <v>58</v>
      </c>
      <c r="JH83" s="204"/>
      <c r="JI83" s="203"/>
      <c r="JJ83" s="202">
        <f t="shared" si="269"/>
        <v>0</v>
      </c>
      <c r="JK83" s="202">
        <f t="shared" si="270"/>
        <v>0</v>
      </c>
      <c r="JL83" s="195"/>
      <c r="JM83" s="203">
        <f>MAX(IW83,IS83,IO83,IK83,IE83,HY83,HS83,HP83)</f>
        <v>0</v>
      </c>
      <c r="JN83" s="195"/>
      <c r="JO83" s="196">
        <f>SUM(JQ83:KB83)</f>
        <v>0</v>
      </c>
      <c r="JP83" s="206">
        <f t="shared" si="271"/>
        <v>0</v>
      </c>
      <c r="JQ83" s="206">
        <f t="shared" si="272"/>
        <v>0</v>
      </c>
      <c r="JR83" s="206">
        <f t="shared" si="273"/>
        <v>0</v>
      </c>
      <c r="JS83" s="206">
        <f t="shared" si="274"/>
        <v>0</v>
      </c>
      <c r="JT83" s="206">
        <f t="shared" si="275"/>
        <v>0</v>
      </c>
      <c r="JU83" s="206">
        <f t="shared" si="276"/>
        <v>0</v>
      </c>
      <c r="JV83" s="206">
        <f t="shared" si="277"/>
        <v>0</v>
      </c>
      <c r="JW83" s="206">
        <f t="shared" si="278"/>
        <v>0</v>
      </c>
      <c r="JX83" s="206">
        <f t="shared" si="279"/>
        <v>0</v>
      </c>
      <c r="JY83" s="206">
        <f t="shared" si="280"/>
        <v>0</v>
      </c>
      <c r="JZ83" s="206">
        <f t="shared" si="281"/>
        <v>0</v>
      </c>
      <c r="KA83" s="206">
        <f t="shared" si="282"/>
        <v>0</v>
      </c>
      <c r="KB83" s="206">
        <f t="shared" si="283"/>
        <v>0</v>
      </c>
      <c r="KC83" s="195"/>
      <c r="KD83" s="206">
        <f t="shared" si="478"/>
        <v>0</v>
      </c>
      <c r="KE83" s="206">
        <f t="shared" si="422"/>
        <v>0</v>
      </c>
      <c r="KF83" s="206">
        <f t="shared" si="284"/>
        <v>0</v>
      </c>
      <c r="KG83" s="206">
        <f t="shared" si="285"/>
        <v>0</v>
      </c>
      <c r="KH83" s="206">
        <f t="shared" si="286"/>
        <v>0</v>
      </c>
      <c r="KI83" s="206">
        <f t="shared" si="287"/>
        <v>0</v>
      </c>
      <c r="KJ83" s="206">
        <f t="shared" si="288"/>
        <v>0</v>
      </c>
      <c r="KK83" s="206">
        <f t="shared" si="289"/>
        <v>0</v>
      </c>
      <c r="KL83" s="206">
        <f t="shared" si="290"/>
        <v>0</v>
      </c>
      <c r="KM83" s="206">
        <f t="shared" si="291"/>
        <v>0</v>
      </c>
      <c r="KN83" s="221">
        <f t="shared" si="292"/>
        <v>0</v>
      </c>
      <c r="KO83" s="221">
        <f t="shared" si="293"/>
        <v>0</v>
      </c>
      <c r="KP83" s="221">
        <f t="shared" si="294"/>
        <v>0</v>
      </c>
      <c r="KQ83" s="221">
        <f t="shared" si="295"/>
        <v>0</v>
      </c>
      <c r="KR83" s="221">
        <f t="shared" si="296"/>
        <v>0</v>
      </c>
      <c r="KS83" s="195"/>
      <c r="KT83" s="195">
        <f t="shared" si="297"/>
        <v>0</v>
      </c>
      <c r="KU83" s="221"/>
      <c r="KV83" s="221"/>
      <c r="KW83" s="221"/>
      <c r="KX83" s="221"/>
      <c r="KY83" s="221"/>
      <c r="KZ83" s="221"/>
      <c r="LA83" s="221"/>
      <c r="LB83" s="221"/>
      <c r="LC83" s="221"/>
      <c r="LD83" s="221"/>
      <c r="LE83" s="221"/>
      <c r="LF83" s="221"/>
      <c r="LG83" s="221"/>
      <c r="LH83" s="221"/>
      <c r="LI83" s="221"/>
      <c r="LJ83" s="221"/>
      <c r="LK83" s="221"/>
      <c r="LL83" s="221"/>
      <c r="LM83" s="221"/>
      <c r="LN83" s="221"/>
      <c r="LO83" s="221"/>
      <c r="LP83" s="221"/>
      <c r="LQ83" s="221"/>
      <c r="LR83" s="221"/>
      <c r="LS83" s="221"/>
      <c r="LT83" s="221"/>
      <c r="LU83" s="221"/>
      <c r="LV83" s="221"/>
      <c r="LW83" s="221"/>
      <c r="LX83" s="221"/>
      <c r="LY83" s="221"/>
      <c r="LZ83" s="221"/>
      <c r="MA83" s="221"/>
      <c r="MB83" s="221"/>
      <c r="MC83" s="221"/>
      <c r="MD83" s="221"/>
      <c r="ME83" s="221"/>
      <c r="MF83" s="221"/>
      <c r="MG83" s="221"/>
      <c r="MH83" s="221"/>
      <c r="MI83" s="221"/>
      <c r="MJ83" s="221"/>
      <c r="MK83" s="221"/>
      <c r="ML83" s="221"/>
      <c r="MM83" s="221"/>
      <c r="MN83" s="221"/>
      <c r="MO83" s="221"/>
      <c r="MP83" s="221"/>
      <c r="MQ83" s="221"/>
      <c r="MR83" s="221"/>
      <c r="MS83" s="221"/>
      <c r="MT83" s="221"/>
      <c r="MU83" s="221"/>
      <c r="MV83" s="221"/>
      <c r="MW83" s="221"/>
      <c r="MX83" s="221"/>
      <c r="MY83" s="221"/>
      <c r="MZ83" s="221"/>
      <c r="NA83" s="221"/>
      <c r="NB83" s="221"/>
      <c r="NC83" s="221"/>
      <c r="ND83" s="221"/>
      <c r="NE83" s="221"/>
      <c r="NF83" s="221"/>
      <c r="NG83" s="221"/>
      <c r="NH83" s="221"/>
      <c r="NI83" s="221"/>
      <c r="NJ83" s="221"/>
      <c r="NK83" s="221"/>
      <c r="NL83" s="195"/>
      <c r="NM83" s="195">
        <f t="shared" si="479"/>
        <v>0</v>
      </c>
      <c r="NN83" s="195">
        <f t="shared" si="480"/>
        <v>0</v>
      </c>
      <c r="NO83" s="195">
        <f t="shared" si="481"/>
        <v>0</v>
      </c>
      <c r="NP83" s="195">
        <f t="shared" si="482"/>
        <v>0</v>
      </c>
      <c r="NQ83" s="195">
        <f t="shared" si="483"/>
        <v>0</v>
      </c>
      <c r="NR83" s="195">
        <f t="shared" si="484"/>
        <v>0</v>
      </c>
      <c r="NS83" s="195">
        <f t="shared" si="485"/>
        <v>0</v>
      </c>
      <c r="NT83" s="195">
        <f t="shared" si="486"/>
        <v>0</v>
      </c>
      <c r="NU83" s="196">
        <f t="shared" si="487"/>
        <v>0</v>
      </c>
      <c r="NV83" s="195"/>
      <c r="NW83" s="195"/>
      <c r="NX83" s="195"/>
      <c r="NY83" s="196">
        <f t="shared" si="423"/>
        <v>1</v>
      </c>
      <c r="NZ83" s="222">
        <f>491399200/58</f>
        <v>8472400</v>
      </c>
      <c r="OA83" s="195"/>
      <c r="OB83" s="195"/>
      <c r="OC83" s="195"/>
      <c r="OD83" s="195"/>
      <c r="OE83" s="207">
        <f t="shared" si="424"/>
        <v>0</v>
      </c>
      <c r="OF83" s="207">
        <f t="shared" si="425"/>
        <v>0</v>
      </c>
      <c r="OG83" s="207">
        <f t="shared" si="426"/>
        <v>0</v>
      </c>
      <c r="OH83" s="207">
        <f t="shared" si="488"/>
        <v>0</v>
      </c>
      <c r="OI83" s="207">
        <f t="shared" si="427"/>
        <v>0</v>
      </c>
      <c r="OJ83" s="199">
        <f t="shared" si="489"/>
        <v>0</v>
      </c>
      <c r="OK83" s="199">
        <f t="shared" si="490"/>
        <v>0</v>
      </c>
      <c r="OL83" s="199">
        <f t="shared" si="491"/>
        <v>0</v>
      </c>
      <c r="OM83" s="199">
        <f t="shared" si="492"/>
        <v>0</v>
      </c>
      <c r="ON83" s="195"/>
      <c r="OO83" s="207">
        <f t="shared" si="428"/>
        <v>0</v>
      </c>
      <c r="OP83" s="207">
        <f t="shared" si="429"/>
        <v>0</v>
      </c>
      <c r="OQ83" s="207">
        <f t="shared" si="493"/>
        <v>0</v>
      </c>
      <c r="OR83" s="207">
        <f t="shared" si="494"/>
        <v>0</v>
      </c>
      <c r="OS83" s="207">
        <f t="shared" si="495"/>
        <v>0</v>
      </c>
      <c r="OT83" s="199">
        <f t="shared" si="496"/>
        <v>0</v>
      </c>
      <c r="OU83" s="199">
        <f t="shared" si="497"/>
        <v>0</v>
      </c>
      <c r="OV83" s="199">
        <f t="shared" si="498"/>
        <v>0</v>
      </c>
      <c r="OW83" s="199">
        <f t="shared" si="499"/>
        <v>0</v>
      </c>
      <c r="OX83" s="195"/>
      <c r="OY83" s="195"/>
      <c r="OZ83" s="195"/>
      <c r="PA83" s="209"/>
      <c r="PB83" s="209"/>
      <c r="PC83" s="209"/>
      <c r="PD83" s="210">
        <f t="shared" si="430"/>
        <v>0</v>
      </c>
      <c r="PE83" s="210"/>
      <c r="PF83" s="210">
        <f t="shared" si="431"/>
        <v>0</v>
      </c>
      <c r="PG83" s="210">
        <f t="shared" si="302"/>
        <v>0</v>
      </c>
      <c r="PH83" s="210">
        <f t="shared" si="302"/>
        <v>0</v>
      </c>
      <c r="PI83" s="210">
        <f t="shared" si="302"/>
        <v>0</v>
      </c>
      <c r="PJ83" s="210">
        <f t="shared" si="300"/>
        <v>0</v>
      </c>
      <c r="PK83" s="210">
        <f t="shared" si="300"/>
        <v>0</v>
      </c>
      <c r="PL83" s="210">
        <f t="shared" si="300"/>
        <v>0</v>
      </c>
      <c r="PM83" s="195"/>
      <c r="PN83" s="195"/>
      <c r="PO83" s="212">
        <f t="shared" si="500"/>
        <v>0</v>
      </c>
      <c r="PP83" s="212">
        <f t="shared" si="501"/>
        <v>0</v>
      </c>
      <c r="PQ83" s="212">
        <f t="shared" si="502"/>
        <v>0</v>
      </c>
    </row>
    <row r="84" spans="1:433 16383:16383" ht="16" x14ac:dyDescent="0.2">
      <c r="A84" s="213">
        <f t="shared" ref="A84:A85" si="512">A83+1</f>
        <v>75</v>
      </c>
      <c r="B84" s="186" t="s">
        <v>590</v>
      </c>
      <c r="C84" s="255">
        <v>77</v>
      </c>
      <c r="D84" s="188">
        <v>1</v>
      </c>
      <c r="E84" s="188">
        <v>62</v>
      </c>
      <c r="F84" s="188">
        <v>1</v>
      </c>
      <c r="G84" s="188">
        <f t="shared" si="239"/>
        <v>62</v>
      </c>
      <c r="H84" s="214">
        <f>F84/$D84</f>
        <v>1</v>
      </c>
      <c r="I84" s="214">
        <f>G84/$E84</f>
        <v>1</v>
      </c>
      <c r="J84" s="188">
        <v>1</v>
      </c>
      <c r="K84" s="188">
        <f>IF(J84=D84,E84,0)</f>
        <v>62</v>
      </c>
      <c r="L84" s="214">
        <f>J84/$D84</f>
        <v>1</v>
      </c>
      <c r="M84" s="214">
        <f>K84/$E84</f>
        <v>1</v>
      </c>
      <c r="N84" s="188">
        <v>1</v>
      </c>
      <c r="O84" s="188">
        <f>IF(N84=D84,E84,0)</f>
        <v>62</v>
      </c>
      <c r="P84" s="214">
        <f>N84/$D84</f>
        <v>1</v>
      </c>
      <c r="Q84" s="214">
        <f>O84/$E84</f>
        <v>1</v>
      </c>
      <c r="R84" s="188">
        <v>1</v>
      </c>
      <c r="S84" s="188">
        <f>IF(R84=D84,E84,0)</f>
        <v>62</v>
      </c>
      <c r="T84" s="214">
        <f>R84/$D84</f>
        <v>1</v>
      </c>
      <c r="U84" s="214">
        <f>S84/$E84</f>
        <v>1</v>
      </c>
      <c r="V84" s="188">
        <v>1</v>
      </c>
      <c r="W84" s="188">
        <f>IF(V84=D84,E84,0)</f>
        <v>62</v>
      </c>
      <c r="X84" s="214">
        <f>V84/$D84</f>
        <v>1</v>
      </c>
      <c r="Y84" s="214">
        <f>W84/$E84</f>
        <v>1</v>
      </c>
      <c r="Z84" s="224">
        <f>560033000/1000000000</f>
        <v>0.560033</v>
      </c>
      <c r="AA84" s="188"/>
      <c r="AB84" s="188">
        <f>IF(AA84=D84,E84,0)</f>
        <v>0</v>
      </c>
      <c r="AC84" s="214">
        <f>AA84/$D84</f>
        <v>0</v>
      </c>
      <c r="AD84" s="214">
        <f>AB84/$E84</f>
        <v>0</v>
      </c>
      <c r="AE84" s="188"/>
      <c r="AF84" s="223">
        <f>R84-V84</f>
        <v>0</v>
      </c>
      <c r="AG84" s="254"/>
      <c r="AH84" s="254"/>
      <c r="AI84" s="188">
        <v>0</v>
      </c>
      <c r="AJ84" s="188">
        <f>IF(AI84=D84,E84,0)</f>
        <v>0</v>
      </c>
      <c r="AK84" s="188"/>
      <c r="AL84" s="188">
        <v>0</v>
      </c>
      <c r="AM84" s="188">
        <v>0</v>
      </c>
      <c r="AN84" s="217"/>
      <c r="AO84" s="196">
        <f t="shared" si="432"/>
        <v>0</v>
      </c>
      <c r="AP84" s="195"/>
      <c r="AQ84" s="195"/>
      <c r="AR84" s="195"/>
      <c r="AS84" s="195"/>
      <c r="AT84" s="195"/>
      <c r="AU84" s="195"/>
      <c r="AV84" s="195"/>
      <c r="AW84" s="195"/>
      <c r="AX84" s="195"/>
      <c r="AY84" s="195"/>
      <c r="AZ84" s="195"/>
      <c r="BA84" s="195"/>
      <c r="BB84" s="226">
        <f>IF(AN84=1,G84,0)</f>
        <v>0</v>
      </c>
      <c r="BC84" s="195"/>
      <c r="BD84" s="196"/>
      <c r="BE84" s="226">
        <f>IF(AF84=1,S84,0)</f>
        <v>0</v>
      </c>
      <c r="BF84" s="188">
        <f t="shared" ref="BF84:BF85" si="513">IF(AG84="A",S84,0)</f>
        <v>0</v>
      </c>
      <c r="BG84" s="188">
        <f t="shared" ref="BG84:BG85" si="514">IF(AG84="B",S84,0)</f>
        <v>0</v>
      </c>
      <c r="BH84" s="188">
        <f t="shared" ref="BH84:BH85" si="515">IF(AG84="C",S84,0)</f>
        <v>0</v>
      </c>
      <c r="BI84" s="188">
        <f t="shared" ref="BI84:BI85" si="516">IF(AG84="D",S84,0)</f>
        <v>0</v>
      </c>
      <c r="BJ84" s="188">
        <f t="shared" ref="BJ84:BJ85" si="517">IF(AG84="E",S84,0)</f>
        <v>0</v>
      </c>
      <c r="BK84" s="188">
        <f t="shared" ref="BK84:BK85" si="518">SUM(BF84:BJ84)</f>
        <v>0</v>
      </c>
      <c r="BL84" s="195"/>
      <c r="BM84" s="195"/>
      <c r="BN84" s="215">
        <v>39</v>
      </c>
      <c r="BO84" s="277">
        <v>1</v>
      </c>
      <c r="BP84" s="188"/>
      <c r="BQ84" s="188"/>
      <c r="BR84" s="188"/>
      <c r="BS84" s="188"/>
      <c r="BT84" s="188"/>
      <c r="BU84" s="188"/>
      <c r="BV84" s="188"/>
      <c r="BW84" s="188"/>
      <c r="BX84" s="188"/>
      <c r="BY84" s="188"/>
      <c r="BZ84" s="188"/>
      <c r="CA84" s="195"/>
      <c r="CB84" s="188">
        <v>0</v>
      </c>
      <c r="CC84" s="195"/>
      <c r="CD84" s="189">
        <f t="shared" ref="CD84:CD85" si="519">BN84</f>
        <v>39</v>
      </c>
      <c r="CE84" s="189">
        <f t="shared" si="511"/>
        <v>39</v>
      </c>
      <c r="CF84" s="189">
        <f t="shared" ref="CF84:CF85" si="520">IF(BP84=1,$CD84,0)</f>
        <v>0</v>
      </c>
      <c r="CG84" s="189">
        <f t="shared" ref="CG84:CG85" si="521">IF(BQ84=1,$CD84,0)</f>
        <v>0</v>
      </c>
      <c r="CH84" s="189">
        <f t="shared" ref="CH84:CH85" si="522">IF(BR84=1,$CD84,0)</f>
        <v>0</v>
      </c>
      <c r="CI84" s="189">
        <f t="shared" ref="CI84:CI85" si="523">IF(BS84=1,$CD84,0)</f>
        <v>0</v>
      </c>
      <c r="CJ84" s="189">
        <f t="shared" ref="CJ84:CJ85" si="524">IF(BT84=1,$CD84,0)</f>
        <v>0</v>
      </c>
      <c r="CK84" s="189">
        <f t="shared" ref="CK84:CK85" si="525">IF(BU84=1,$CD84,0)</f>
        <v>0</v>
      </c>
      <c r="CL84" s="189">
        <f t="shared" ref="CL84:CL85" si="526">IF(BV84=1,$CD84,0)</f>
        <v>0</v>
      </c>
      <c r="CM84" s="189">
        <f t="shared" ref="CM84:CM85" si="527">IF(BW84=1,$CD84,0)</f>
        <v>0</v>
      </c>
      <c r="CN84" s="189">
        <f t="shared" ref="CN84:CN85" si="528">IF(BX84=1,$CD84,0)</f>
        <v>0</v>
      </c>
      <c r="CO84" s="189">
        <f t="shared" ref="CO84:CO85" si="529">IF(BY84=1,$CD84,0)</f>
        <v>0</v>
      </c>
      <c r="CP84" s="189">
        <f t="shared" ref="CP84:CP85" si="530">IF(BZ84=1,$CD84,0)</f>
        <v>0</v>
      </c>
      <c r="CQ84" s="195"/>
      <c r="CR84" s="195"/>
      <c r="CS84" s="195"/>
      <c r="CT84" s="195"/>
      <c r="CU84" s="195"/>
      <c r="CV84" s="195"/>
      <c r="CW84" s="195"/>
      <c r="CX84" s="195"/>
      <c r="CY84" s="195"/>
      <c r="CZ84" s="195"/>
      <c r="DA84" s="195"/>
      <c r="DB84" s="195"/>
      <c r="DC84" s="195"/>
      <c r="DD84" s="195"/>
      <c r="DE84" s="195"/>
      <c r="DF84" s="195"/>
      <c r="DG84" s="195"/>
      <c r="DH84" s="195"/>
      <c r="DI84" s="195"/>
      <c r="DJ84" s="195"/>
      <c r="DK84" s="195"/>
      <c r="DL84" s="195"/>
      <c r="DM84" s="195"/>
      <c r="DN84" s="195"/>
      <c r="DO84" s="195"/>
      <c r="DP84" s="195"/>
      <c r="DQ84" s="195"/>
      <c r="DR84" s="195"/>
      <c r="DS84" s="195"/>
      <c r="DT84" s="195"/>
      <c r="DU84" s="195"/>
      <c r="DV84" s="188">
        <f>IF(CB84=1,G84,0)</f>
        <v>0</v>
      </c>
      <c r="DW84" s="188">
        <f>IF(CC84="A",G84,0)</f>
        <v>0</v>
      </c>
      <c r="DX84" s="188">
        <f>IF(CC84="B",G84,0)</f>
        <v>0</v>
      </c>
      <c r="DY84" s="188">
        <f>IF(CC84="C",G84,0)</f>
        <v>0</v>
      </c>
      <c r="DZ84" s="188">
        <f>IF(CC84="D",G84,0)</f>
        <v>0</v>
      </c>
      <c r="EA84" s="188">
        <f>IF(CC84="E",G84,0)</f>
        <v>0</v>
      </c>
      <c r="EB84" s="188">
        <f>SUM(DW84:EA84)</f>
        <v>0</v>
      </c>
      <c r="EC84" s="195"/>
      <c r="ED84" s="195"/>
      <c r="EE84" s="195"/>
      <c r="EF84" s="195"/>
      <c r="EG84" s="252">
        <f t="shared" ref="EG84:EG85" si="531">IF(AG84="C","C",IF(AG84="D","D",0))</f>
        <v>0</v>
      </c>
      <c r="EH84" s="252">
        <f t="shared" ref="EH84:EH85" si="532">CC84</f>
        <v>0</v>
      </c>
      <c r="EI84" s="189"/>
      <c r="EJ84" s="189"/>
      <c r="EK84" s="189"/>
      <c r="EL84" s="189"/>
      <c r="EM84" s="189"/>
      <c r="EN84" s="189"/>
      <c r="EO84" s="189"/>
      <c r="EP84" s="189"/>
      <c r="EQ84" s="189"/>
      <c r="ER84" s="189"/>
      <c r="ES84" s="189"/>
      <c r="ET84" s="189"/>
      <c r="EU84" s="189"/>
      <c r="EV84" s="189"/>
      <c r="EW84" s="189"/>
      <c r="EX84" s="189"/>
      <c r="EY84" s="189"/>
      <c r="EZ84" s="189"/>
      <c r="FA84" s="189"/>
      <c r="FB84" s="189"/>
      <c r="FC84" s="189"/>
      <c r="FD84" s="189"/>
      <c r="FE84" s="189"/>
      <c r="FF84" s="189"/>
      <c r="FG84" s="195"/>
      <c r="FH84" s="189"/>
      <c r="FI84" s="189"/>
      <c r="FJ84" s="189"/>
      <c r="FK84" s="189"/>
      <c r="FL84" s="189"/>
      <c r="FM84" s="189"/>
      <c r="FN84" s="189"/>
      <c r="FO84" s="189"/>
      <c r="FP84" s="189"/>
      <c r="FQ84" s="189"/>
      <c r="FR84" s="189"/>
      <c r="FS84" s="189"/>
      <c r="FT84" s="189"/>
      <c r="FU84" s="189"/>
      <c r="FV84" s="189"/>
      <c r="FW84" s="195"/>
      <c r="FX84" s="253">
        <v>1</v>
      </c>
      <c r="FY84" s="189">
        <f t="shared" ref="FY84:FY85" si="533">SUM(FZ84:GE84)</f>
        <v>39</v>
      </c>
      <c r="FZ84" s="189">
        <f t="shared" si="505"/>
        <v>39</v>
      </c>
      <c r="GA84" s="189">
        <f t="shared" si="506"/>
        <v>0</v>
      </c>
      <c r="GB84" s="189">
        <f t="shared" si="507"/>
        <v>0</v>
      </c>
      <c r="GC84" s="189">
        <f t="shared" si="508"/>
        <v>0</v>
      </c>
      <c r="GD84" s="189">
        <f t="shared" si="509"/>
        <v>0</v>
      </c>
      <c r="GE84" s="189">
        <f t="shared" si="510"/>
        <v>0</v>
      </c>
      <c r="GF84" s="235"/>
      <c r="GG84" s="256">
        <v>0</v>
      </c>
      <c r="GH84" s="257">
        <v>0</v>
      </c>
      <c r="GI84" s="235"/>
      <c r="GJ84" s="258">
        <f>FY84*GG84/1000000000</f>
        <v>0</v>
      </c>
      <c r="GK84" s="259">
        <f>FY84*GH84/1000000000</f>
        <v>0</v>
      </c>
      <c r="GL84" s="195"/>
      <c r="GM84" s="195"/>
      <c r="GN84" s="195"/>
      <c r="GO84" s="188">
        <f t="shared" si="246"/>
        <v>0</v>
      </c>
      <c r="GP84" s="188">
        <f t="shared" si="247"/>
        <v>0</v>
      </c>
      <c r="GQ84" s="188">
        <f t="shared" si="248"/>
        <v>0</v>
      </c>
      <c r="GR84" s="188">
        <f t="shared" si="249"/>
        <v>0</v>
      </c>
      <c r="GS84" s="188">
        <f t="shared" si="250"/>
        <v>0</v>
      </c>
      <c r="GT84" s="188">
        <f>IF(SUM(GO84:GS84)=0,1,0)</f>
        <v>1</v>
      </c>
      <c r="GU84" s="228">
        <f t="shared" si="457"/>
        <v>43243</v>
      </c>
      <c r="GV84" s="188" t="str">
        <f>IF(GO84&gt;0,$GO$6,IF(GP84&gt;0,$GP$6,IF(GQ84&gt;0,$GQ$6,IF(GR84&gt;0,$GR$6,IF(GS84&gt;0,$GS$6,IF(GT84&gt;0,$GT$6,0))))))</f>
        <v>SELESAI</v>
      </c>
      <c r="GW84" s="188">
        <f>IF(GV84=$GO$6,GO84,IF(GV84=$GP$6,GP84,IF(GV84=$GQ$6,GQ84,IF(GV84=$GR$6,GR84,IF(GV84=$GS$6,GS84,0)))))</f>
        <v>0</v>
      </c>
      <c r="GX84" s="188" t="str">
        <f>GV84</f>
        <v>SELESAI</v>
      </c>
      <c r="GY84" s="188">
        <f>IF(GX84="DNP",SUM($GY$4:$GY$8),IF(GX84="Survey KJPP",SUM($GY$5:$GY$8),IF(GX84="Hasil Valuasi",SUM($GY$6:$GY$8),IF(GX84="Musyawarah",SUM($GY$7:$GY$8),IF(GX84="UGR",$GY$8,0)))))</f>
        <v>0</v>
      </c>
      <c r="GZ84" s="228" t="str">
        <f t="shared" ref="GZ84:GZ85" si="534">IF(GW84=0,"SELESAI",GU84+GY84)</f>
        <v>SELESAI</v>
      </c>
      <c r="HA84" s="204"/>
      <c r="HB84" s="204"/>
      <c r="HC84" s="188">
        <f t="shared" si="251"/>
        <v>0</v>
      </c>
      <c r="HD84" s="188">
        <f t="shared" si="252"/>
        <v>0</v>
      </c>
      <c r="HE84" s="188">
        <f t="shared" ref="HE84:HE85" si="535">HC84+HD84</f>
        <v>0</v>
      </c>
      <c r="HF84" s="188">
        <f t="shared" ref="HF84:HF85" si="536">FQ84</f>
        <v>0</v>
      </c>
      <c r="HG84" s="188">
        <f t="shared" ref="HG84:HG85" si="537">HE84-HF84</f>
        <v>0</v>
      </c>
      <c r="HH84" s="228" t="str">
        <f t="shared" ref="HH84:HH85" si="538">IF(HG84=1,GU84+$HH$8,"TIDAK KONSINYASI")</f>
        <v>TIDAK KONSINYASI</v>
      </c>
      <c r="HI84" s="228" t="str">
        <f t="shared" ref="HI84:HI85" si="539">IF(GW84=0,"SELESAI",GZ84+$HI$8)</f>
        <v>SELESAI</v>
      </c>
      <c r="HJ84" s="195"/>
      <c r="HK84" s="201">
        <f t="shared" ref="HK84:HK85" si="540">MAX(GZ84,HH84,HI84)</f>
        <v>0</v>
      </c>
      <c r="HL84" s="204"/>
      <c r="HM84" s="204"/>
      <c r="HN84" s="204"/>
      <c r="HO84" s="204"/>
      <c r="HP84" s="203">
        <f t="shared" ref="HP84:HP85" si="541">IF(HQ84=1,GZ84,0)</f>
        <v>0</v>
      </c>
      <c r="HQ84" s="202">
        <f t="shared" ref="HQ84:HQ85" si="542">IF(IX84=0,IF(HT84=0,IF(IP84=0,IF(GV84="UGR",GS84,0),0),0),0)</f>
        <v>0</v>
      </c>
      <c r="HR84" s="202">
        <f t="shared" si="253"/>
        <v>0</v>
      </c>
      <c r="HS84" s="203">
        <f t="shared" ref="HS84:HS85" si="543">IF(HT84=1,HH84,0)</f>
        <v>0</v>
      </c>
      <c r="HT84" s="202">
        <f t="shared" ref="HT84:HT85" si="544">HG84</f>
        <v>0</v>
      </c>
      <c r="HU84" s="202">
        <f t="shared" si="254"/>
        <v>0</v>
      </c>
      <c r="HV84" s="203">
        <f t="shared" ref="HV84:HV85" si="545">IF(HW84=1,GZ84,0)</f>
        <v>0</v>
      </c>
      <c r="HW84" s="202">
        <f t="shared" ref="HW84:HW85" si="546">IF(JB84=0,IF(IX84=0,IF(HT84=0,IF(GV84="MUSYAWARAH",GR84,0),0),0),0)</f>
        <v>0</v>
      </c>
      <c r="HX84" s="202">
        <f t="shared" si="255"/>
        <v>0</v>
      </c>
      <c r="HY84" s="203">
        <f t="shared" ref="HY84:HY85" si="547">IF(HZ84=1,HV84+$HI$8,0)</f>
        <v>0</v>
      </c>
      <c r="HZ84" s="202">
        <f t="shared" ref="HZ84:HZ85" si="548">HW84</f>
        <v>0</v>
      </c>
      <c r="IA84" s="202">
        <f t="shared" si="256"/>
        <v>0</v>
      </c>
      <c r="IB84" s="232">
        <f>IF(IC84=1,$GU$3+SUM($GY$6:$GY$8),0)</f>
        <v>0</v>
      </c>
      <c r="IC84" s="226">
        <f>IF(GV84="Hasil Valuasi",GQ84,0)</f>
        <v>0</v>
      </c>
      <c r="ID84" s="226">
        <f t="shared" si="257"/>
        <v>0</v>
      </c>
      <c r="IE84" s="232">
        <f>IF(IF84=1,IB84+$HI$8,0)</f>
        <v>0</v>
      </c>
      <c r="IF84" s="226">
        <f>IC84</f>
        <v>0</v>
      </c>
      <c r="IG84" s="226">
        <f t="shared" si="258"/>
        <v>0</v>
      </c>
      <c r="IH84" s="232">
        <f>IF(II84=1,$GU$3+SUM($GY$5:$GY$8),0)</f>
        <v>0</v>
      </c>
      <c r="II84" s="226">
        <f>IF(GV84="Survey KJPP",GP84,0)</f>
        <v>0</v>
      </c>
      <c r="IJ84" s="226">
        <f t="shared" si="259"/>
        <v>0</v>
      </c>
      <c r="IK84" s="232">
        <f>IF(IL84=1,IH84+$HI$8,0)</f>
        <v>0</v>
      </c>
      <c r="IL84" s="226">
        <f>II84</f>
        <v>0</v>
      </c>
      <c r="IM84" s="226">
        <f t="shared" si="260"/>
        <v>0</v>
      </c>
      <c r="IN84" s="204"/>
      <c r="IO84" s="203">
        <f t="shared" ref="IO84:IO85" si="549">IF(IP84=1,+$GU$3+$HH$8,0)</f>
        <v>0</v>
      </c>
      <c r="IP84" s="202">
        <f t="shared" si="261"/>
        <v>0</v>
      </c>
      <c r="IQ84" s="202">
        <f t="shared" si="262"/>
        <v>0</v>
      </c>
      <c r="IR84" s="204"/>
      <c r="IS84" s="203"/>
      <c r="IT84" s="202">
        <f t="shared" si="263"/>
        <v>1</v>
      </c>
      <c r="IU84" s="226">
        <f t="shared" si="264"/>
        <v>62</v>
      </c>
      <c r="IV84" s="204"/>
      <c r="IW84" s="203"/>
      <c r="IX84" s="202">
        <f t="shared" si="265"/>
        <v>0</v>
      </c>
      <c r="IY84" s="202">
        <f t="shared" si="266"/>
        <v>0</v>
      </c>
      <c r="IZ84" s="204"/>
      <c r="JA84" s="203"/>
      <c r="JB84" s="202">
        <f t="shared" si="267"/>
        <v>0</v>
      </c>
      <c r="JC84" s="226">
        <f t="shared" si="268"/>
        <v>0</v>
      </c>
      <c r="JD84" s="204"/>
      <c r="JE84" s="203"/>
      <c r="JF84" s="202">
        <f t="shared" ref="JF84:JF85" si="550">IT84+HQ84+HT84+HZ84+IF84+IL84+IP84+IX84+JB84</f>
        <v>1</v>
      </c>
      <c r="JG84" s="202">
        <f t="shared" ref="JG84:JG85" si="551">IU84+HR84+HU84+IA84+IG84+IM84+IQ84+IY84+JC84</f>
        <v>62</v>
      </c>
      <c r="JH84" s="204"/>
      <c r="JI84" s="203"/>
      <c r="JJ84" s="202">
        <f t="shared" si="269"/>
        <v>0</v>
      </c>
      <c r="JK84" s="202">
        <f t="shared" si="270"/>
        <v>0</v>
      </c>
      <c r="JL84" s="195"/>
      <c r="JM84" s="203">
        <f t="shared" ref="JM84:JM85" si="552">MAX(IW84,IS84,IO84,IK84,IE84,HY84,HS84,HP84)</f>
        <v>0</v>
      </c>
      <c r="JN84" s="195"/>
      <c r="JO84" s="196">
        <f t="shared" ref="JO84:JO85" si="553">SUM(JQ84:KB84)</f>
        <v>1</v>
      </c>
      <c r="JP84" s="206">
        <f t="shared" si="271"/>
        <v>39</v>
      </c>
      <c r="JQ84" s="206">
        <f t="shared" si="272"/>
        <v>1</v>
      </c>
      <c r="JR84" s="206">
        <f t="shared" si="273"/>
        <v>0</v>
      </c>
      <c r="JS84" s="206">
        <f t="shared" si="274"/>
        <v>0</v>
      </c>
      <c r="JT84" s="206">
        <f t="shared" si="275"/>
        <v>0</v>
      </c>
      <c r="JU84" s="206">
        <f t="shared" si="276"/>
        <v>0</v>
      </c>
      <c r="JV84" s="206">
        <f t="shared" si="277"/>
        <v>0</v>
      </c>
      <c r="JW84" s="206">
        <f t="shared" si="278"/>
        <v>0</v>
      </c>
      <c r="JX84" s="206">
        <f t="shared" si="279"/>
        <v>0</v>
      </c>
      <c r="JY84" s="206">
        <f t="shared" si="280"/>
        <v>0</v>
      </c>
      <c r="JZ84" s="206">
        <f t="shared" si="281"/>
        <v>0</v>
      </c>
      <c r="KA84" s="206">
        <f t="shared" si="282"/>
        <v>0</v>
      </c>
      <c r="KB84" s="206">
        <f t="shared" si="283"/>
        <v>0</v>
      </c>
      <c r="KC84" s="195"/>
      <c r="KD84" s="206">
        <f t="shared" si="478"/>
        <v>0</v>
      </c>
      <c r="KE84" s="206">
        <f t="shared" si="422"/>
        <v>0</v>
      </c>
      <c r="KF84" s="206">
        <f t="shared" si="284"/>
        <v>39</v>
      </c>
      <c r="KG84" s="206">
        <f t="shared" si="285"/>
        <v>39</v>
      </c>
      <c r="KH84" s="206">
        <f t="shared" si="286"/>
        <v>0</v>
      </c>
      <c r="KI84" s="206">
        <f t="shared" si="287"/>
        <v>0</v>
      </c>
      <c r="KJ84" s="206">
        <f t="shared" si="288"/>
        <v>0</v>
      </c>
      <c r="KK84" s="206">
        <f t="shared" si="289"/>
        <v>0</v>
      </c>
      <c r="KL84" s="206">
        <f t="shared" si="290"/>
        <v>0</v>
      </c>
      <c r="KM84" s="206">
        <f t="shared" si="291"/>
        <v>0</v>
      </c>
      <c r="KN84" s="221">
        <f t="shared" si="292"/>
        <v>0</v>
      </c>
      <c r="KO84" s="221">
        <f t="shared" si="293"/>
        <v>0</v>
      </c>
      <c r="KP84" s="221">
        <f t="shared" si="294"/>
        <v>0</v>
      </c>
      <c r="KQ84" s="221">
        <f t="shared" si="295"/>
        <v>0</v>
      </c>
      <c r="KR84" s="221">
        <f t="shared" si="296"/>
        <v>0</v>
      </c>
      <c r="KS84" s="195"/>
      <c r="KT84" s="195">
        <f t="shared" si="297"/>
        <v>0</v>
      </c>
      <c r="KU84" s="221"/>
      <c r="KV84" s="221"/>
      <c r="KW84" s="221"/>
      <c r="KX84" s="221"/>
      <c r="KY84" s="221"/>
      <c r="KZ84" s="221"/>
      <c r="LA84" s="221"/>
      <c r="LB84" s="221"/>
      <c r="LC84" s="221"/>
      <c r="LD84" s="221"/>
      <c r="LE84" s="221"/>
      <c r="LF84" s="221"/>
      <c r="LG84" s="221"/>
      <c r="LH84" s="221"/>
      <c r="LI84" s="221"/>
      <c r="LJ84" s="221"/>
      <c r="LK84" s="221"/>
      <c r="LL84" s="221"/>
      <c r="LM84" s="221"/>
      <c r="LN84" s="221"/>
      <c r="LO84" s="221"/>
      <c r="LP84" s="221"/>
      <c r="LQ84" s="221"/>
      <c r="LR84" s="221"/>
      <c r="LS84" s="221"/>
      <c r="LT84" s="221"/>
      <c r="LU84" s="221"/>
      <c r="LV84" s="221"/>
      <c r="LW84" s="221"/>
      <c r="LX84" s="221"/>
      <c r="LY84" s="221"/>
      <c r="LZ84" s="221"/>
      <c r="MA84" s="221"/>
      <c r="MB84" s="221"/>
      <c r="MC84" s="221"/>
      <c r="MD84" s="221"/>
      <c r="ME84" s="221"/>
      <c r="MF84" s="221"/>
      <c r="MG84" s="221"/>
      <c r="MH84" s="221"/>
      <c r="MI84" s="221"/>
      <c r="MJ84" s="221"/>
      <c r="MK84" s="221"/>
      <c r="ML84" s="221"/>
      <c r="MM84" s="221"/>
      <c r="MN84" s="221"/>
      <c r="MO84" s="221"/>
      <c r="MP84" s="221"/>
      <c r="MQ84" s="221"/>
      <c r="MR84" s="221"/>
      <c r="MS84" s="221"/>
      <c r="MT84" s="221"/>
      <c r="MU84" s="221"/>
      <c r="MV84" s="221"/>
      <c r="MW84" s="221"/>
      <c r="MX84" s="221"/>
      <c r="MY84" s="221"/>
      <c r="MZ84" s="221"/>
      <c r="NA84" s="221"/>
      <c r="NB84" s="221"/>
      <c r="NC84" s="221"/>
      <c r="ND84" s="221"/>
      <c r="NE84" s="221"/>
      <c r="NF84" s="221"/>
      <c r="NG84" s="221"/>
      <c r="NH84" s="221"/>
      <c r="NI84" s="221"/>
      <c r="NJ84" s="221"/>
      <c r="NK84" s="221"/>
      <c r="NL84" s="195"/>
      <c r="NM84" s="195">
        <f t="shared" ref="NM84:NM85" si="554">IF(KS84=1,1,0)</f>
        <v>0</v>
      </c>
      <c r="NN84" s="195">
        <f t="shared" ref="NN84:NN85" si="555">IF(KS84=2,1,0)</f>
        <v>0</v>
      </c>
      <c r="NO84" s="195">
        <f t="shared" ref="NO84:NO85" si="556">IF(KS84=3,1,0)</f>
        <v>0</v>
      </c>
      <c r="NP84" s="195">
        <f t="shared" ref="NP84:NP85" si="557">IF(KS84=4,1,0)</f>
        <v>0</v>
      </c>
      <c r="NQ84" s="195">
        <f t="shared" ref="NQ84:NQ85" si="558">IF(KS84=5,1,0)</f>
        <v>0</v>
      </c>
      <c r="NR84" s="195">
        <f t="shared" ref="NR84:NR85" si="559">IF(KS84=6,1,0)</f>
        <v>0</v>
      </c>
      <c r="NS84" s="195">
        <f t="shared" ref="NS84:NS85" si="560">IF(KS84=7,1,0)</f>
        <v>0</v>
      </c>
      <c r="NT84" s="195">
        <f t="shared" ref="NT84:NT85" si="561">SUM(NM84:NS84)</f>
        <v>0</v>
      </c>
      <c r="NU84" s="196">
        <f t="shared" ref="NU84:NU85" si="562">NT84-KT84</f>
        <v>0</v>
      </c>
      <c r="NV84" s="195"/>
      <c r="NW84" s="195"/>
      <c r="NX84" s="195"/>
      <c r="NY84" s="196">
        <f t="shared" si="423"/>
        <v>1</v>
      </c>
      <c r="NZ84" s="222">
        <f>191590000/23</f>
        <v>8330000</v>
      </c>
      <c r="OA84" s="195"/>
      <c r="OB84" s="195"/>
      <c r="OC84" s="195"/>
      <c r="OD84" s="195"/>
      <c r="OE84" s="207">
        <f t="shared" si="424"/>
        <v>0</v>
      </c>
      <c r="OF84" s="207">
        <f t="shared" si="425"/>
        <v>0</v>
      </c>
      <c r="OG84" s="207">
        <f t="shared" si="426"/>
        <v>0</v>
      </c>
      <c r="OH84" s="207">
        <f t="shared" si="488"/>
        <v>0</v>
      </c>
      <c r="OI84" s="207">
        <f t="shared" si="427"/>
        <v>0</v>
      </c>
      <c r="OJ84" s="199">
        <f t="shared" si="489"/>
        <v>0</v>
      </c>
      <c r="OK84" s="199">
        <f t="shared" si="490"/>
        <v>0</v>
      </c>
      <c r="OL84" s="199">
        <f t="shared" si="491"/>
        <v>0</v>
      </c>
      <c r="OM84" s="199">
        <f t="shared" si="492"/>
        <v>0</v>
      </c>
      <c r="ON84" s="195"/>
      <c r="OO84" s="207">
        <f t="shared" si="428"/>
        <v>0</v>
      </c>
      <c r="OP84" s="207">
        <f t="shared" si="429"/>
        <v>0</v>
      </c>
      <c r="OQ84" s="207">
        <f t="shared" si="493"/>
        <v>0</v>
      </c>
      <c r="OR84" s="207">
        <f t="shared" si="494"/>
        <v>0</v>
      </c>
      <c r="OS84" s="207">
        <f t="shared" si="495"/>
        <v>0</v>
      </c>
      <c r="OT84" s="199">
        <f t="shared" si="496"/>
        <v>0</v>
      </c>
      <c r="OU84" s="199">
        <f t="shared" si="497"/>
        <v>0</v>
      </c>
      <c r="OV84" s="199">
        <f t="shared" si="498"/>
        <v>0</v>
      </c>
      <c r="OW84" s="199">
        <f t="shared" si="499"/>
        <v>0</v>
      </c>
      <c r="OX84" s="195"/>
      <c r="OY84" s="195"/>
      <c r="OZ84" s="195"/>
      <c r="PA84" s="209"/>
      <c r="PB84" s="209"/>
      <c r="PC84" s="209"/>
      <c r="PD84" s="210">
        <f t="shared" si="430"/>
        <v>0</v>
      </c>
      <c r="PE84" s="210"/>
      <c r="PF84" s="210">
        <f t="shared" si="431"/>
        <v>0</v>
      </c>
      <c r="PG84" s="210">
        <f t="shared" si="302"/>
        <v>0</v>
      </c>
      <c r="PH84" s="210">
        <f t="shared" si="302"/>
        <v>0</v>
      </c>
      <c r="PI84" s="210">
        <f t="shared" si="302"/>
        <v>0</v>
      </c>
      <c r="PJ84" s="210">
        <f t="shared" si="300"/>
        <v>0</v>
      </c>
      <c r="PK84" s="210">
        <f t="shared" si="300"/>
        <v>0</v>
      </c>
      <c r="PL84" s="210">
        <f t="shared" si="300"/>
        <v>0</v>
      </c>
      <c r="PM84" s="195"/>
      <c r="PN84" s="195"/>
      <c r="PO84" s="212">
        <f t="shared" si="500"/>
        <v>0</v>
      </c>
      <c r="PP84" s="212">
        <f t="shared" si="501"/>
        <v>0</v>
      </c>
      <c r="PQ84" s="212">
        <f t="shared" si="502"/>
        <v>0</v>
      </c>
    </row>
    <row r="85" spans="1:433 16383:16383" ht="16" x14ac:dyDescent="0.2">
      <c r="A85" s="213">
        <f t="shared" si="512"/>
        <v>76</v>
      </c>
      <c r="B85" s="186" t="s">
        <v>591</v>
      </c>
      <c r="C85" s="255">
        <v>78</v>
      </c>
      <c r="D85" s="188">
        <v>1</v>
      </c>
      <c r="E85" s="188">
        <v>50</v>
      </c>
      <c r="F85" s="188">
        <v>1</v>
      </c>
      <c r="G85" s="188">
        <f t="shared" si="239"/>
        <v>50</v>
      </c>
      <c r="H85" s="214">
        <f>F85/$D85</f>
        <v>1</v>
      </c>
      <c r="I85" s="214">
        <f>G85/$E85</f>
        <v>1</v>
      </c>
      <c r="J85" s="188">
        <v>1</v>
      </c>
      <c r="K85" s="188">
        <f>IF(J85=D85,E85,0)</f>
        <v>50</v>
      </c>
      <c r="L85" s="214">
        <f>J85/$D85</f>
        <v>1</v>
      </c>
      <c r="M85" s="214">
        <f>K85/$E85</f>
        <v>1</v>
      </c>
      <c r="N85" s="188">
        <v>1</v>
      </c>
      <c r="O85" s="188">
        <f>IF(N85=D85,E85,0)</f>
        <v>50</v>
      </c>
      <c r="P85" s="214">
        <f>N85/$D85</f>
        <v>1</v>
      </c>
      <c r="Q85" s="214">
        <f>O85/$E85</f>
        <v>1</v>
      </c>
      <c r="R85" s="188">
        <v>1</v>
      </c>
      <c r="S85" s="188">
        <f>IF(R85=D85,E85,0)</f>
        <v>50</v>
      </c>
      <c r="T85" s="214">
        <f>R85/$D85</f>
        <v>1</v>
      </c>
      <c r="U85" s="214">
        <f>S85/$E85</f>
        <v>1</v>
      </c>
      <c r="V85" s="188">
        <v>1</v>
      </c>
      <c r="W85" s="188">
        <f t="shared" ref="W85" si="563">IF(V85=D85,E85,0)</f>
        <v>50</v>
      </c>
      <c r="X85" s="214">
        <f>V85/$D85</f>
        <v>1</v>
      </c>
      <c r="Y85" s="214">
        <v>0</v>
      </c>
      <c r="Z85" s="224">
        <f>451042000/1000000000</f>
        <v>0.451042</v>
      </c>
      <c r="AA85" s="188"/>
      <c r="AB85" s="188">
        <v>0</v>
      </c>
      <c r="AC85" s="214">
        <f>AA85/$D85</f>
        <v>0</v>
      </c>
      <c r="AD85" s="214">
        <v>0</v>
      </c>
      <c r="AE85" s="188"/>
      <c r="AF85" s="223">
        <f>R85-V85</f>
        <v>0</v>
      </c>
      <c r="AG85" s="254"/>
      <c r="AH85" s="254"/>
      <c r="AI85" s="188">
        <v>0</v>
      </c>
      <c r="AJ85" s="188">
        <f>IF(AI85=D85,E85,0)</f>
        <v>0</v>
      </c>
      <c r="AK85" s="188"/>
      <c r="AL85" s="188">
        <v>0</v>
      </c>
      <c r="AM85" s="188">
        <v>0</v>
      </c>
      <c r="AN85" s="217"/>
      <c r="AO85" s="196">
        <f t="shared" si="432"/>
        <v>0</v>
      </c>
      <c r="AP85" s="195"/>
      <c r="AQ85" s="195"/>
      <c r="AR85" s="195"/>
      <c r="AS85" s="195"/>
      <c r="AT85" s="195"/>
      <c r="AU85" s="195"/>
      <c r="AV85" s="195"/>
      <c r="AW85" s="195"/>
      <c r="AX85" s="195"/>
      <c r="AY85" s="195"/>
      <c r="AZ85" s="195"/>
      <c r="BA85" s="195"/>
      <c r="BB85" s="226">
        <f>IF(AN85=1,G85,0)</f>
        <v>0</v>
      </c>
      <c r="BC85" s="195"/>
      <c r="BD85" s="196"/>
      <c r="BE85" s="226">
        <f>IF(AF85=1,S85,0)</f>
        <v>0</v>
      </c>
      <c r="BF85" s="188">
        <f t="shared" si="513"/>
        <v>0</v>
      </c>
      <c r="BG85" s="188">
        <f t="shared" si="514"/>
        <v>0</v>
      </c>
      <c r="BH85" s="188">
        <f t="shared" si="515"/>
        <v>0</v>
      </c>
      <c r="BI85" s="188">
        <f t="shared" si="516"/>
        <v>0</v>
      </c>
      <c r="BJ85" s="188">
        <f t="shared" si="517"/>
        <v>0</v>
      </c>
      <c r="BK85" s="188">
        <f t="shared" si="518"/>
        <v>0</v>
      </c>
      <c r="BL85" s="195"/>
      <c r="BM85" s="195"/>
      <c r="BN85" s="215">
        <v>27</v>
      </c>
      <c r="BO85" s="277">
        <v>1</v>
      </c>
      <c r="BP85" s="188"/>
      <c r="BQ85" s="188"/>
      <c r="BR85" s="188"/>
      <c r="BS85" s="188"/>
      <c r="BT85" s="188"/>
      <c r="BU85" s="188"/>
      <c r="BV85" s="188"/>
      <c r="BW85" s="188"/>
      <c r="BX85" s="188"/>
      <c r="BY85" s="188"/>
      <c r="BZ85" s="188"/>
      <c r="CA85" s="195"/>
      <c r="CB85" s="188">
        <v>0</v>
      </c>
      <c r="CC85" s="195"/>
      <c r="CD85" s="189">
        <f t="shared" si="519"/>
        <v>27</v>
      </c>
      <c r="CE85" s="189">
        <f t="shared" si="511"/>
        <v>27</v>
      </c>
      <c r="CF85" s="189">
        <f t="shared" si="520"/>
        <v>0</v>
      </c>
      <c r="CG85" s="189">
        <f t="shared" si="521"/>
        <v>0</v>
      </c>
      <c r="CH85" s="189">
        <f t="shared" si="522"/>
        <v>0</v>
      </c>
      <c r="CI85" s="189">
        <f t="shared" si="523"/>
        <v>0</v>
      </c>
      <c r="CJ85" s="189">
        <f t="shared" si="524"/>
        <v>0</v>
      </c>
      <c r="CK85" s="189">
        <f t="shared" si="525"/>
        <v>0</v>
      </c>
      <c r="CL85" s="189">
        <f t="shared" si="526"/>
        <v>0</v>
      </c>
      <c r="CM85" s="189">
        <f t="shared" si="527"/>
        <v>0</v>
      </c>
      <c r="CN85" s="189">
        <f t="shared" si="528"/>
        <v>0</v>
      </c>
      <c r="CO85" s="189">
        <f t="shared" si="529"/>
        <v>0</v>
      </c>
      <c r="CP85" s="189">
        <f t="shared" si="530"/>
        <v>0</v>
      </c>
      <c r="CQ85" s="195"/>
      <c r="CR85" s="195"/>
      <c r="CS85" s="195"/>
      <c r="CT85" s="195"/>
      <c r="CU85" s="195"/>
      <c r="CV85" s="195"/>
      <c r="CW85" s="195"/>
      <c r="CX85" s="195"/>
      <c r="CY85" s="195"/>
      <c r="CZ85" s="195"/>
      <c r="DA85" s="195"/>
      <c r="DB85" s="195"/>
      <c r="DC85" s="195"/>
      <c r="DD85" s="195"/>
      <c r="DE85" s="195"/>
      <c r="DF85" s="195"/>
      <c r="DG85" s="195"/>
      <c r="DH85" s="195"/>
      <c r="DI85" s="195"/>
      <c r="DJ85" s="195"/>
      <c r="DK85" s="195"/>
      <c r="DL85" s="195"/>
      <c r="DM85" s="195"/>
      <c r="DN85" s="195"/>
      <c r="DO85" s="195"/>
      <c r="DP85" s="195"/>
      <c r="DQ85" s="195"/>
      <c r="DR85" s="195"/>
      <c r="DS85" s="195"/>
      <c r="DT85" s="195"/>
      <c r="DU85" s="195"/>
      <c r="DV85" s="188">
        <f t="shared" ref="DV85" si="564">IF(CB85=1,G85,0)</f>
        <v>0</v>
      </c>
      <c r="DW85" s="188">
        <f>IF(CC85="A",G85,0)</f>
        <v>0</v>
      </c>
      <c r="DX85" s="188">
        <f>IF(CC85="B",G85,0)</f>
        <v>0</v>
      </c>
      <c r="DY85" s="188">
        <f>IF(CC85="C",G85,0)</f>
        <v>0</v>
      </c>
      <c r="DZ85" s="188">
        <f>IF(CC85="D",G85,0)</f>
        <v>0</v>
      </c>
      <c r="EA85" s="188">
        <f>IF(CC85="E",G85,0)</f>
        <v>0</v>
      </c>
      <c r="EB85" s="188">
        <f>SUM(DW85:EA85)</f>
        <v>0</v>
      </c>
      <c r="EC85" s="195"/>
      <c r="ED85" s="195"/>
      <c r="EE85" s="195"/>
      <c r="EF85" s="195"/>
      <c r="EG85" s="252">
        <f t="shared" si="531"/>
        <v>0</v>
      </c>
      <c r="EH85" s="252">
        <f t="shared" si="532"/>
        <v>0</v>
      </c>
      <c r="EI85" s="189"/>
      <c r="EJ85" s="189"/>
      <c r="EK85" s="189"/>
      <c r="EL85" s="189"/>
      <c r="EM85" s="189"/>
      <c r="EN85" s="189"/>
      <c r="EO85" s="189"/>
      <c r="EP85" s="189"/>
      <c r="EQ85" s="189"/>
      <c r="ER85" s="189"/>
      <c r="ES85" s="189"/>
      <c r="ET85" s="189"/>
      <c r="EU85" s="189"/>
      <c r="EV85" s="189"/>
      <c r="EW85" s="189"/>
      <c r="EX85" s="189"/>
      <c r="EY85" s="189"/>
      <c r="EZ85" s="189"/>
      <c r="FA85" s="189"/>
      <c r="FB85" s="189"/>
      <c r="FC85" s="189"/>
      <c r="FD85" s="189"/>
      <c r="FE85" s="189"/>
      <c r="FF85" s="189"/>
      <c r="FG85" s="195"/>
      <c r="FH85" s="189"/>
      <c r="FI85" s="189"/>
      <c r="FJ85" s="189"/>
      <c r="FK85" s="189"/>
      <c r="FL85" s="189"/>
      <c r="FM85" s="189"/>
      <c r="FN85" s="189"/>
      <c r="FO85" s="189"/>
      <c r="FP85" s="189"/>
      <c r="FQ85" s="189"/>
      <c r="FR85" s="189"/>
      <c r="FS85" s="189"/>
      <c r="FT85" s="189"/>
      <c r="FU85" s="189"/>
      <c r="FV85" s="189"/>
      <c r="FW85" s="195"/>
      <c r="FX85" s="253">
        <v>1</v>
      </c>
      <c r="FY85" s="189">
        <f t="shared" si="533"/>
        <v>27</v>
      </c>
      <c r="FZ85" s="189">
        <f t="shared" si="505"/>
        <v>27</v>
      </c>
      <c r="GA85" s="189">
        <f t="shared" si="506"/>
        <v>0</v>
      </c>
      <c r="GB85" s="189">
        <f t="shared" si="507"/>
        <v>0</v>
      </c>
      <c r="GC85" s="189">
        <f t="shared" si="508"/>
        <v>0</v>
      </c>
      <c r="GD85" s="189">
        <f t="shared" si="509"/>
        <v>0</v>
      </c>
      <c r="GE85" s="189">
        <f t="shared" si="510"/>
        <v>0</v>
      </c>
      <c r="GF85" s="235"/>
      <c r="GG85" s="256">
        <v>0</v>
      </c>
      <c r="GH85" s="257">
        <v>0</v>
      </c>
      <c r="GI85" s="235"/>
      <c r="GJ85" s="258">
        <f>FY85*GG85/1000000000</f>
        <v>0</v>
      </c>
      <c r="GK85" s="259">
        <f>FY85*GH85/1000000000</f>
        <v>0</v>
      </c>
      <c r="GL85" s="195"/>
      <c r="GM85" s="195"/>
      <c r="GN85" s="195"/>
      <c r="GO85" s="188">
        <f t="shared" si="246"/>
        <v>0</v>
      </c>
      <c r="GP85" s="188">
        <f t="shared" si="247"/>
        <v>0</v>
      </c>
      <c r="GQ85" s="188">
        <f t="shared" si="248"/>
        <v>0</v>
      </c>
      <c r="GR85" s="188">
        <f t="shared" si="249"/>
        <v>0</v>
      </c>
      <c r="GS85" s="188">
        <f t="shared" si="250"/>
        <v>0</v>
      </c>
      <c r="GT85" s="188">
        <f>IF(SUM(GO85:GS85)=0,1,0)</f>
        <v>1</v>
      </c>
      <c r="GU85" s="228">
        <f t="shared" si="457"/>
        <v>43243</v>
      </c>
      <c r="GV85" s="188" t="str">
        <f>IF(GO85&gt;0,$GO$6,IF(GP85&gt;0,$GP$6,IF(GQ85&gt;0,$GQ$6,IF(GR85&gt;0,$GR$6,IF(GS85&gt;0,$GS$6,IF(GT85&gt;0,$GT$6,0))))))</f>
        <v>SELESAI</v>
      </c>
      <c r="GW85" s="188">
        <f>IF(GV85=$GO$6,GO85,IF(GV85=$GP$6,GP85,IF(GV85=$GQ$6,GQ85,IF(GV85=$GR$6,GR85,IF(GV85=$GS$6,GS85,0)))))</f>
        <v>0</v>
      </c>
      <c r="GX85" s="188" t="str">
        <f>GV85</f>
        <v>SELESAI</v>
      </c>
      <c r="GY85" s="188">
        <f>IF(GX85="DNP",SUM($GY$4:$GY$8),IF(GX85="Survey KJPP",SUM($GY$5:$GY$8),IF(GX85="Hasil Valuasi",SUM($GY$6:$GY$8),IF(GX85="Musyawarah",SUM($GY$7:$GY$8),IF(GX85="UGR",$GY$8,0)))))</f>
        <v>0</v>
      </c>
      <c r="GZ85" s="228" t="str">
        <f t="shared" si="534"/>
        <v>SELESAI</v>
      </c>
      <c r="HA85" s="204"/>
      <c r="HB85" s="204"/>
      <c r="HC85" s="188">
        <f t="shared" si="251"/>
        <v>0</v>
      </c>
      <c r="HD85" s="188">
        <f t="shared" si="252"/>
        <v>0</v>
      </c>
      <c r="HE85" s="188">
        <f t="shared" si="535"/>
        <v>0</v>
      </c>
      <c r="HF85" s="188">
        <f t="shared" si="536"/>
        <v>0</v>
      </c>
      <c r="HG85" s="188">
        <f t="shared" si="537"/>
        <v>0</v>
      </c>
      <c r="HH85" s="228" t="str">
        <f t="shared" si="538"/>
        <v>TIDAK KONSINYASI</v>
      </c>
      <c r="HI85" s="228" t="str">
        <f t="shared" si="539"/>
        <v>SELESAI</v>
      </c>
      <c r="HJ85" s="195"/>
      <c r="HK85" s="201">
        <f t="shared" si="540"/>
        <v>0</v>
      </c>
      <c r="HL85" s="204"/>
      <c r="HM85" s="204"/>
      <c r="HN85" s="204"/>
      <c r="HO85" s="204"/>
      <c r="HP85" s="203">
        <f t="shared" si="541"/>
        <v>0</v>
      </c>
      <c r="HQ85" s="202">
        <f t="shared" si="542"/>
        <v>0</v>
      </c>
      <c r="HR85" s="202">
        <f t="shared" si="253"/>
        <v>0</v>
      </c>
      <c r="HS85" s="203">
        <f t="shared" si="543"/>
        <v>0</v>
      </c>
      <c r="HT85" s="202">
        <f t="shared" si="544"/>
        <v>0</v>
      </c>
      <c r="HU85" s="202">
        <f t="shared" si="254"/>
        <v>0</v>
      </c>
      <c r="HV85" s="203">
        <f t="shared" si="545"/>
        <v>0</v>
      </c>
      <c r="HW85" s="202">
        <f t="shared" si="546"/>
        <v>0</v>
      </c>
      <c r="HX85" s="202">
        <f t="shared" si="255"/>
        <v>0</v>
      </c>
      <c r="HY85" s="203">
        <f t="shared" si="547"/>
        <v>0</v>
      </c>
      <c r="HZ85" s="202">
        <f t="shared" si="548"/>
        <v>0</v>
      </c>
      <c r="IA85" s="202">
        <f t="shared" si="256"/>
        <v>0</v>
      </c>
      <c r="IB85" s="232">
        <f>IF(IC85=1,$GU$3+SUM($GY$6:$GY$8),0)</f>
        <v>0</v>
      </c>
      <c r="IC85" s="226">
        <f>IF(GV85="Hasil Valuasi",GQ85,0)</f>
        <v>0</v>
      </c>
      <c r="ID85" s="226">
        <f t="shared" si="257"/>
        <v>0</v>
      </c>
      <c r="IE85" s="232">
        <f>IF(IF85=1,IB85+$HI$8,0)</f>
        <v>0</v>
      </c>
      <c r="IF85" s="226">
        <f>IC85</f>
        <v>0</v>
      </c>
      <c r="IG85" s="226">
        <f t="shared" si="258"/>
        <v>0</v>
      </c>
      <c r="IH85" s="232">
        <f>IF(II85=1,$GU$3+SUM($GY$5:$GY$8),0)</f>
        <v>0</v>
      </c>
      <c r="II85" s="226">
        <f>IF(GV85="Survey KJPP",GP85,0)</f>
        <v>0</v>
      </c>
      <c r="IJ85" s="226">
        <f t="shared" si="259"/>
        <v>0</v>
      </c>
      <c r="IK85" s="232">
        <f>IF(IL85=1,IH85+$HI$8,0)</f>
        <v>0</v>
      </c>
      <c r="IL85" s="226">
        <f>II85</f>
        <v>0</v>
      </c>
      <c r="IM85" s="226">
        <f t="shared" si="260"/>
        <v>0</v>
      </c>
      <c r="IN85" s="204"/>
      <c r="IO85" s="203">
        <f t="shared" si="549"/>
        <v>0</v>
      </c>
      <c r="IP85" s="202">
        <f t="shared" si="261"/>
        <v>0</v>
      </c>
      <c r="IQ85" s="202">
        <f t="shared" si="262"/>
        <v>0</v>
      </c>
      <c r="IR85" s="204"/>
      <c r="IS85" s="203"/>
      <c r="IT85" s="202">
        <f t="shared" si="263"/>
        <v>1</v>
      </c>
      <c r="IU85" s="226">
        <f t="shared" si="264"/>
        <v>50</v>
      </c>
      <c r="IV85" s="204"/>
      <c r="IW85" s="203"/>
      <c r="IX85" s="202">
        <f t="shared" si="265"/>
        <v>0</v>
      </c>
      <c r="IY85" s="202">
        <f t="shared" si="266"/>
        <v>0</v>
      </c>
      <c r="IZ85" s="204"/>
      <c r="JA85" s="203"/>
      <c r="JB85" s="202">
        <f t="shared" si="267"/>
        <v>0</v>
      </c>
      <c r="JC85" s="226">
        <f t="shared" si="268"/>
        <v>0</v>
      </c>
      <c r="JD85" s="204"/>
      <c r="JE85" s="203"/>
      <c r="JF85" s="202">
        <f t="shared" si="550"/>
        <v>1</v>
      </c>
      <c r="JG85" s="202">
        <f t="shared" si="551"/>
        <v>50</v>
      </c>
      <c r="JH85" s="204"/>
      <c r="JI85" s="203"/>
      <c r="JJ85" s="202">
        <f t="shared" si="269"/>
        <v>0</v>
      </c>
      <c r="JK85" s="202">
        <f t="shared" si="270"/>
        <v>0</v>
      </c>
      <c r="JL85" s="195"/>
      <c r="JM85" s="203">
        <f t="shared" si="552"/>
        <v>0</v>
      </c>
      <c r="JN85" s="195"/>
      <c r="JO85" s="196">
        <f t="shared" si="553"/>
        <v>1</v>
      </c>
      <c r="JP85" s="206">
        <f t="shared" si="271"/>
        <v>27</v>
      </c>
      <c r="JQ85" s="206">
        <f t="shared" si="272"/>
        <v>1</v>
      </c>
      <c r="JR85" s="206">
        <f t="shared" si="273"/>
        <v>0</v>
      </c>
      <c r="JS85" s="206">
        <f t="shared" si="274"/>
        <v>0</v>
      </c>
      <c r="JT85" s="206">
        <f t="shared" si="275"/>
        <v>0</v>
      </c>
      <c r="JU85" s="206">
        <f t="shared" si="276"/>
        <v>0</v>
      </c>
      <c r="JV85" s="206">
        <f t="shared" si="277"/>
        <v>0</v>
      </c>
      <c r="JW85" s="206">
        <f t="shared" si="278"/>
        <v>0</v>
      </c>
      <c r="JX85" s="206">
        <f t="shared" si="279"/>
        <v>0</v>
      </c>
      <c r="JY85" s="206">
        <f t="shared" si="280"/>
        <v>0</v>
      </c>
      <c r="JZ85" s="206">
        <f t="shared" si="281"/>
        <v>0</v>
      </c>
      <c r="KA85" s="206">
        <f t="shared" si="282"/>
        <v>0</v>
      </c>
      <c r="KB85" s="206">
        <f t="shared" si="283"/>
        <v>0</v>
      </c>
      <c r="KC85" s="195"/>
      <c r="KD85" s="206">
        <f t="shared" si="478"/>
        <v>0</v>
      </c>
      <c r="KE85" s="206">
        <f t="shared" si="422"/>
        <v>0</v>
      </c>
      <c r="KF85" s="206">
        <f t="shared" si="284"/>
        <v>27</v>
      </c>
      <c r="KG85" s="206">
        <f t="shared" si="285"/>
        <v>27</v>
      </c>
      <c r="KH85" s="206">
        <f t="shared" si="286"/>
        <v>0</v>
      </c>
      <c r="KI85" s="206">
        <f t="shared" si="287"/>
        <v>0</v>
      </c>
      <c r="KJ85" s="206">
        <f t="shared" si="288"/>
        <v>0</v>
      </c>
      <c r="KK85" s="206">
        <f t="shared" si="289"/>
        <v>0</v>
      </c>
      <c r="KL85" s="206">
        <f t="shared" si="290"/>
        <v>0</v>
      </c>
      <c r="KM85" s="206">
        <f t="shared" si="291"/>
        <v>0</v>
      </c>
      <c r="KN85" s="221">
        <f t="shared" si="292"/>
        <v>0</v>
      </c>
      <c r="KO85" s="221">
        <f t="shared" si="293"/>
        <v>0</v>
      </c>
      <c r="KP85" s="221">
        <f t="shared" si="294"/>
        <v>0</v>
      </c>
      <c r="KQ85" s="221">
        <f t="shared" si="295"/>
        <v>0</v>
      </c>
      <c r="KR85" s="221">
        <f t="shared" si="296"/>
        <v>0</v>
      </c>
      <c r="KS85" s="195"/>
      <c r="KT85" s="195">
        <f t="shared" si="297"/>
        <v>0</v>
      </c>
      <c r="KU85" s="221"/>
      <c r="KV85" s="221"/>
      <c r="KW85" s="221"/>
      <c r="KX85" s="221"/>
      <c r="KY85" s="221"/>
      <c r="KZ85" s="221"/>
      <c r="LA85" s="221"/>
      <c r="LB85" s="221"/>
      <c r="LC85" s="221"/>
      <c r="LD85" s="221"/>
      <c r="LE85" s="221"/>
      <c r="LF85" s="221"/>
      <c r="LG85" s="221"/>
      <c r="LH85" s="221"/>
      <c r="LI85" s="221"/>
      <c r="LJ85" s="221"/>
      <c r="LK85" s="221"/>
      <c r="LL85" s="221"/>
      <c r="LM85" s="221"/>
      <c r="LN85" s="221"/>
      <c r="LO85" s="221"/>
      <c r="LP85" s="221"/>
      <c r="LQ85" s="221"/>
      <c r="LR85" s="221"/>
      <c r="LS85" s="221"/>
      <c r="LT85" s="221"/>
      <c r="LU85" s="221"/>
      <c r="LV85" s="221"/>
      <c r="LW85" s="221"/>
      <c r="LX85" s="221"/>
      <c r="LY85" s="221"/>
      <c r="LZ85" s="221"/>
      <c r="MA85" s="221"/>
      <c r="MB85" s="221"/>
      <c r="MC85" s="221"/>
      <c r="MD85" s="221"/>
      <c r="ME85" s="221"/>
      <c r="MF85" s="221"/>
      <c r="MG85" s="221"/>
      <c r="MH85" s="221"/>
      <c r="MI85" s="221"/>
      <c r="MJ85" s="221"/>
      <c r="MK85" s="221"/>
      <c r="ML85" s="221"/>
      <c r="MM85" s="221"/>
      <c r="MN85" s="221"/>
      <c r="MO85" s="221"/>
      <c r="MP85" s="221"/>
      <c r="MQ85" s="221"/>
      <c r="MR85" s="221"/>
      <c r="MS85" s="221"/>
      <c r="MT85" s="221"/>
      <c r="MU85" s="221"/>
      <c r="MV85" s="221"/>
      <c r="MW85" s="221"/>
      <c r="MX85" s="221"/>
      <c r="MY85" s="221"/>
      <c r="MZ85" s="221"/>
      <c r="NA85" s="221"/>
      <c r="NB85" s="221"/>
      <c r="NC85" s="221"/>
      <c r="ND85" s="221"/>
      <c r="NE85" s="221"/>
      <c r="NF85" s="221"/>
      <c r="NG85" s="221"/>
      <c r="NH85" s="221"/>
      <c r="NI85" s="221"/>
      <c r="NJ85" s="221"/>
      <c r="NK85" s="221"/>
      <c r="NL85" s="195"/>
      <c r="NM85" s="195">
        <f t="shared" si="554"/>
        <v>0</v>
      </c>
      <c r="NN85" s="195">
        <f t="shared" si="555"/>
        <v>0</v>
      </c>
      <c r="NO85" s="195">
        <f t="shared" si="556"/>
        <v>0</v>
      </c>
      <c r="NP85" s="195">
        <f t="shared" si="557"/>
        <v>0</v>
      </c>
      <c r="NQ85" s="195">
        <f t="shared" si="558"/>
        <v>0</v>
      </c>
      <c r="NR85" s="195">
        <f t="shared" si="559"/>
        <v>0</v>
      </c>
      <c r="NS85" s="195">
        <f t="shared" si="560"/>
        <v>0</v>
      </c>
      <c r="NT85" s="195">
        <f t="shared" si="561"/>
        <v>0</v>
      </c>
      <c r="NU85" s="196">
        <f t="shared" si="562"/>
        <v>0</v>
      </c>
      <c r="NV85" s="195"/>
      <c r="NW85" s="195"/>
      <c r="NX85" s="195"/>
      <c r="NY85" s="196">
        <f t="shared" si="423"/>
        <v>1</v>
      </c>
      <c r="NZ85" s="222">
        <f>191590000/23</f>
        <v>8330000</v>
      </c>
      <c r="OA85" s="195"/>
      <c r="OB85" s="195"/>
      <c r="OC85" s="195"/>
      <c r="OD85" s="195"/>
      <c r="OE85" s="207">
        <f t="shared" si="424"/>
        <v>0</v>
      </c>
      <c r="OF85" s="207">
        <f t="shared" si="425"/>
        <v>0</v>
      </c>
      <c r="OG85" s="207">
        <f t="shared" si="426"/>
        <v>0</v>
      </c>
      <c r="OH85" s="207">
        <f t="shared" si="488"/>
        <v>0</v>
      </c>
      <c r="OI85" s="207">
        <f t="shared" si="427"/>
        <v>0</v>
      </c>
      <c r="OJ85" s="199">
        <f t="shared" si="489"/>
        <v>0</v>
      </c>
      <c r="OK85" s="199">
        <f t="shared" si="490"/>
        <v>0</v>
      </c>
      <c r="OL85" s="199">
        <f t="shared" si="491"/>
        <v>0</v>
      </c>
      <c r="OM85" s="199">
        <f t="shared" si="492"/>
        <v>0</v>
      </c>
      <c r="ON85" s="195"/>
      <c r="OO85" s="207">
        <f t="shared" si="428"/>
        <v>0</v>
      </c>
      <c r="OP85" s="207">
        <f t="shared" si="429"/>
        <v>0</v>
      </c>
      <c r="OQ85" s="207">
        <f t="shared" si="493"/>
        <v>0</v>
      </c>
      <c r="OR85" s="207">
        <f t="shared" si="494"/>
        <v>0</v>
      </c>
      <c r="OS85" s="207">
        <f t="shared" si="495"/>
        <v>0</v>
      </c>
      <c r="OT85" s="199">
        <f t="shared" si="496"/>
        <v>0</v>
      </c>
      <c r="OU85" s="199">
        <f t="shared" si="497"/>
        <v>0</v>
      </c>
      <c r="OV85" s="199">
        <f t="shared" si="498"/>
        <v>0</v>
      </c>
      <c r="OW85" s="199">
        <f t="shared" si="499"/>
        <v>0</v>
      </c>
      <c r="OX85" s="195"/>
      <c r="OY85" s="195"/>
      <c r="OZ85" s="195"/>
      <c r="PA85" s="209"/>
      <c r="PB85" s="209"/>
      <c r="PC85" s="209"/>
      <c r="PD85" s="210">
        <f t="shared" si="430"/>
        <v>0</v>
      </c>
      <c r="PE85" s="210"/>
      <c r="PF85" s="210">
        <f t="shared" si="431"/>
        <v>0</v>
      </c>
      <c r="PG85" s="210">
        <f t="shared" si="302"/>
        <v>0</v>
      </c>
      <c r="PH85" s="210">
        <f t="shared" si="302"/>
        <v>0</v>
      </c>
      <c r="PI85" s="210">
        <f t="shared" si="302"/>
        <v>0</v>
      </c>
      <c r="PJ85" s="210">
        <f t="shared" si="300"/>
        <v>0</v>
      </c>
      <c r="PK85" s="210">
        <f t="shared" si="300"/>
        <v>0</v>
      </c>
      <c r="PL85" s="210">
        <f t="shared" si="300"/>
        <v>0</v>
      </c>
      <c r="PM85" s="195"/>
      <c r="PN85" s="195"/>
      <c r="PO85" s="212">
        <f t="shared" si="500"/>
        <v>0</v>
      </c>
      <c r="PP85" s="212">
        <f t="shared" si="501"/>
        <v>0</v>
      </c>
      <c r="PQ85" s="212">
        <f t="shared" si="502"/>
        <v>0</v>
      </c>
    </row>
    <row r="86" spans="1:433 16383:16383" ht="16" x14ac:dyDescent="0.2">
      <c r="A86" s="213">
        <f>A85+1</f>
        <v>77</v>
      </c>
      <c r="B86" s="186" t="s">
        <v>128</v>
      </c>
      <c r="C86" s="255">
        <v>79</v>
      </c>
      <c r="D86" s="188">
        <v>1</v>
      </c>
      <c r="E86" s="188">
        <v>35</v>
      </c>
      <c r="F86" s="188">
        <v>1</v>
      </c>
      <c r="G86" s="188">
        <f t="shared" si="239"/>
        <v>35</v>
      </c>
      <c r="H86" s="214">
        <f>F86/$D86</f>
        <v>1</v>
      </c>
      <c r="I86" s="214">
        <f>G86/$E86</f>
        <v>1</v>
      </c>
      <c r="J86" s="188">
        <v>1</v>
      </c>
      <c r="K86" s="188">
        <f>IF(J86=D86,E86,0)</f>
        <v>35</v>
      </c>
      <c r="L86" s="214">
        <f>J86/$D86</f>
        <v>1</v>
      </c>
      <c r="M86" s="214">
        <f>K86/$E86</f>
        <v>1</v>
      </c>
      <c r="N86" s="188">
        <v>1</v>
      </c>
      <c r="O86" s="188">
        <f>IF(N86=D86,E86,0)</f>
        <v>35</v>
      </c>
      <c r="P86" s="214">
        <f>N86/$D86</f>
        <v>1</v>
      </c>
      <c r="Q86" s="214">
        <f>O86/$E86</f>
        <v>1</v>
      </c>
      <c r="R86" s="188">
        <v>1</v>
      </c>
      <c r="S86" s="188">
        <f>IF(R86=D86,E86,0)</f>
        <v>35</v>
      </c>
      <c r="T86" s="214">
        <f>R86/$D86</f>
        <v>1</v>
      </c>
      <c r="U86" s="214">
        <f>S86/$E86</f>
        <v>1</v>
      </c>
      <c r="V86" s="188">
        <v>1</v>
      </c>
      <c r="W86" s="188">
        <f>IF(V86=D86,E86,0)</f>
        <v>35</v>
      </c>
      <c r="X86" s="214">
        <f>V86/$D86</f>
        <v>1</v>
      </c>
      <c r="Y86" s="214">
        <v>0</v>
      </c>
      <c r="Z86" s="224">
        <f>314804000/1000000000</f>
        <v>0.31480399999999997</v>
      </c>
      <c r="AA86" s="188"/>
      <c r="AB86" s="188">
        <v>0</v>
      </c>
      <c r="AC86" s="214">
        <f>AA86/$D86</f>
        <v>0</v>
      </c>
      <c r="AD86" s="214">
        <v>0</v>
      </c>
      <c r="AE86" s="188"/>
      <c r="AF86" s="188">
        <f>R86-V86</f>
        <v>0</v>
      </c>
      <c r="AG86" s="187"/>
      <c r="AH86" s="187"/>
      <c r="AI86" s="188">
        <v>0</v>
      </c>
      <c r="AJ86" s="188">
        <f>IF(AI86=D86,E86,0)</f>
        <v>0</v>
      </c>
      <c r="AK86" s="188"/>
      <c r="AL86" s="188">
        <v>0</v>
      </c>
      <c r="AM86" s="188">
        <v>0</v>
      </c>
      <c r="AN86" s="217"/>
      <c r="AO86" s="196">
        <f t="shared" si="432"/>
        <v>0</v>
      </c>
      <c r="AP86" s="195"/>
      <c r="AQ86" s="195"/>
      <c r="AR86" s="195"/>
      <c r="AS86" s="195"/>
      <c r="AT86" s="195"/>
      <c r="AU86" s="195"/>
      <c r="AV86" s="195"/>
      <c r="AW86" s="195"/>
      <c r="AX86" s="195"/>
      <c r="AY86" s="195"/>
      <c r="AZ86" s="195"/>
      <c r="BA86" s="195"/>
      <c r="BB86" s="226">
        <f>IF(AN86=1,G86,0)</f>
        <v>0</v>
      </c>
      <c r="BC86" s="195"/>
      <c r="BD86" s="196"/>
      <c r="BE86" s="226">
        <f>IF(AF86=1,S86,0)</f>
        <v>0</v>
      </c>
      <c r="BF86" s="188">
        <f>IF(AG86="A",S86,0)</f>
        <v>0</v>
      </c>
      <c r="BG86" s="188">
        <f>IF(AG86="B",S86,0)</f>
        <v>0</v>
      </c>
      <c r="BH86" s="188">
        <f>IF(AG86="C",S86,0)</f>
        <v>0</v>
      </c>
      <c r="BI86" s="188">
        <f>IF(AG86="D",S86,0)</f>
        <v>0</v>
      </c>
      <c r="BJ86" s="188">
        <f>IF(AG86="E",S86,0)</f>
        <v>0</v>
      </c>
      <c r="BK86" s="188">
        <f>SUM(BF86:BJ86)</f>
        <v>0</v>
      </c>
      <c r="BL86" s="195"/>
      <c r="BM86" s="195"/>
      <c r="BN86" s="143">
        <v>5</v>
      </c>
      <c r="BO86" s="277">
        <v>1</v>
      </c>
      <c r="BP86" s="188"/>
      <c r="BQ86" s="188"/>
      <c r="BR86" s="188"/>
      <c r="BS86" s="188"/>
      <c r="BT86" s="188"/>
      <c r="BU86" s="188"/>
      <c r="BV86" s="188"/>
      <c r="BW86" s="188"/>
      <c r="BX86" s="188"/>
      <c r="BY86" s="188"/>
      <c r="BZ86" s="188"/>
      <c r="CA86" s="195"/>
      <c r="CB86" s="188">
        <v>0</v>
      </c>
      <c r="CC86" s="195"/>
      <c r="CD86" s="189">
        <f>BN86</f>
        <v>5</v>
      </c>
      <c r="CE86" s="189">
        <f t="shared" ref="CE86:CP86" si="565">IF(BO86=1,$CD86,0)</f>
        <v>5</v>
      </c>
      <c r="CF86" s="189">
        <f t="shared" si="565"/>
        <v>0</v>
      </c>
      <c r="CG86" s="189">
        <f t="shared" si="565"/>
        <v>0</v>
      </c>
      <c r="CH86" s="189">
        <f t="shared" si="565"/>
        <v>0</v>
      </c>
      <c r="CI86" s="189">
        <f t="shared" si="565"/>
        <v>0</v>
      </c>
      <c r="CJ86" s="189">
        <f t="shared" si="565"/>
        <v>0</v>
      </c>
      <c r="CK86" s="189">
        <f t="shared" si="565"/>
        <v>0</v>
      </c>
      <c r="CL86" s="189">
        <f t="shared" si="565"/>
        <v>0</v>
      </c>
      <c r="CM86" s="189">
        <f t="shared" si="565"/>
        <v>0</v>
      </c>
      <c r="CN86" s="189">
        <f t="shared" si="565"/>
        <v>0</v>
      </c>
      <c r="CO86" s="189">
        <f t="shared" si="565"/>
        <v>0</v>
      </c>
      <c r="CP86" s="189">
        <f t="shared" si="565"/>
        <v>0</v>
      </c>
      <c r="CQ86" s="195"/>
      <c r="CR86" s="195"/>
      <c r="CS86" s="195"/>
      <c r="CT86" s="195"/>
      <c r="CU86" s="195"/>
      <c r="CV86" s="195"/>
      <c r="CW86" s="195"/>
      <c r="CX86" s="195"/>
      <c r="CY86" s="195"/>
      <c r="CZ86" s="195"/>
      <c r="DA86" s="195"/>
      <c r="DB86" s="195"/>
      <c r="DC86" s="195"/>
      <c r="DD86" s="195"/>
      <c r="DE86" s="195"/>
      <c r="DF86" s="195"/>
      <c r="DG86" s="195"/>
      <c r="DH86" s="195"/>
      <c r="DI86" s="195"/>
      <c r="DJ86" s="195"/>
      <c r="DK86" s="195"/>
      <c r="DL86" s="195"/>
      <c r="DM86" s="195"/>
      <c r="DN86" s="195"/>
      <c r="DO86" s="195"/>
      <c r="DP86" s="195"/>
      <c r="DQ86" s="195"/>
      <c r="DR86" s="195"/>
      <c r="DS86" s="195"/>
      <c r="DT86" s="195"/>
      <c r="DU86" s="195"/>
      <c r="DV86" s="188">
        <f>IF(CB86=1,G86,0)</f>
        <v>0</v>
      </c>
      <c r="DW86" s="188">
        <f>IF(CC86="A",G86,0)</f>
        <v>0</v>
      </c>
      <c r="DX86" s="188">
        <f>IF(CC86="B",G86,0)</f>
        <v>0</v>
      </c>
      <c r="DY86" s="188">
        <f>IF(CC86="C",G86,0)</f>
        <v>0</v>
      </c>
      <c r="DZ86" s="188">
        <f>IF(CC86="D",G86,0)</f>
        <v>0</v>
      </c>
      <c r="EA86" s="188">
        <f>IF(CC86="E",G86,0)</f>
        <v>0</v>
      </c>
      <c r="EB86" s="188">
        <f>SUM(DW86:EA86)</f>
        <v>0</v>
      </c>
      <c r="EC86" s="195"/>
      <c r="ED86" s="195"/>
      <c r="EE86" s="195"/>
      <c r="EF86" s="195"/>
      <c r="EG86" s="252">
        <f>IF(AG86="C","C",IF(AG86="D","D",0))</f>
        <v>0</v>
      </c>
      <c r="EH86" s="252">
        <f>CC86</f>
        <v>0</v>
      </c>
      <c r="EI86" s="189"/>
      <c r="EJ86" s="189"/>
      <c r="EK86" s="189"/>
      <c r="EL86" s="189"/>
      <c r="EM86" s="189"/>
      <c r="EN86" s="189"/>
      <c r="EO86" s="189"/>
      <c r="EP86" s="189"/>
      <c r="EQ86" s="189"/>
      <c r="ER86" s="189"/>
      <c r="ES86" s="189"/>
      <c r="ET86" s="189"/>
      <c r="EU86" s="189"/>
      <c r="EV86" s="189"/>
      <c r="EW86" s="189"/>
      <c r="EX86" s="189"/>
      <c r="EY86" s="189"/>
      <c r="EZ86" s="189"/>
      <c r="FA86" s="189"/>
      <c r="FB86" s="189"/>
      <c r="FC86" s="189"/>
      <c r="FD86" s="189"/>
      <c r="FE86" s="189"/>
      <c r="FF86" s="189"/>
      <c r="FG86" s="195"/>
      <c r="FH86" s="189"/>
      <c r="FI86" s="189"/>
      <c r="FJ86" s="189"/>
      <c r="FK86" s="189"/>
      <c r="FL86" s="189"/>
      <c r="FM86" s="189"/>
      <c r="FN86" s="189"/>
      <c r="FO86" s="189"/>
      <c r="FP86" s="189"/>
      <c r="FQ86" s="189"/>
      <c r="FR86" s="189"/>
      <c r="FS86" s="189"/>
      <c r="FT86" s="189"/>
      <c r="FU86" s="189"/>
      <c r="FV86" s="189"/>
      <c r="FW86" s="195"/>
      <c r="FX86" s="253">
        <v>1</v>
      </c>
      <c r="FY86" s="189">
        <f>SUM(FZ86:GE86)</f>
        <v>5</v>
      </c>
      <c r="FZ86" s="189">
        <f t="shared" si="505"/>
        <v>5</v>
      </c>
      <c r="GA86" s="189">
        <f t="shared" si="506"/>
        <v>0</v>
      </c>
      <c r="GB86" s="189">
        <f t="shared" si="507"/>
        <v>0</v>
      </c>
      <c r="GC86" s="189">
        <f t="shared" si="508"/>
        <v>0</v>
      </c>
      <c r="GD86" s="189">
        <f t="shared" si="509"/>
        <v>0</v>
      </c>
      <c r="GE86" s="189">
        <f t="shared" si="510"/>
        <v>0</v>
      </c>
      <c r="GF86" s="235"/>
      <c r="GG86" s="256">
        <v>0</v>
      </c>
      <c r="GH86" s="257">
        <v>0</v>
      </c>
      <c r="GI86" s="235"/>
      <c r="GJ86" s="258">
        <f>FY86*GG86/1000000000</f>
        <v>0</v>
      </c>
      <c r="GK86" s="259">
        <f>FY86*GH86/1000000000</f>
        <v>0</v>
      </c>
      <c r="GL86" s="195"/>
      <c r="GM86" s="195"/>
      <c r="GN86" s="195"/>
      <c r="GO86" s="188">
        <f t="shared" si="246"/>
        <v>0</v>
      </c>
      <c r="GP86" s="188">
        <f t="shared" si="247"/>
        <v>0</v>
      </c>
      <c r="GQ86" s="188">
        <f t="shared" si="248"/>
        <v>0</v>
      </c>
      <c r="GR86" s="188">
        <f t="shared" si="249"/>
        <v>0</v>
      </c>
      <c r="GS86" s="188">
        <f t="shared" si="250"/>
        <v>0</v>
      </c>
      <c r="GT86" s="188">
        <f>IF(SUM(GO86:GS86)=0,1,0)</f>
        <v>1</v>
      </c>
      <c r="GU86" s="228">
        <f t="shared" si="457"/>
        <v>43243</v>
      </c>
      <c r="GV86" s="188" t="str">
        <f>IF(GO86&gt;0,$GO$6,IF(GP86&gt;0,$GP$6,IF(GQ86&gt;0,$GQ$6,IF(GR86&gt;0,$GR$6,IF(GS86&gt;0,$GS$6,IF(GT86&gt;0,$GT$6,0))))))</f>
        <v>SELESAI</v>
      </c>
      <c r="GW86" s="188">
        <f>IF(GV86=$GO$6,GO86,IF(GV86=$GP$6,GP86,IF(GV86=$GQ$6,GQ86,IF(GV86=$GR$6,GR86,IF(GV86=$GS$6,GS86,0)))))</f>
        <v>0</v>
      </c>
      <c r="GX86" s="188" t="str">
        <f>GV86</f>
        <v>SELESAI</v>
      </c>
      <c r="GY86" s="188">
        <f>IF(GX86="DNP",SUM($GY$4:$GY$8),IF(GX86="Survey KJPP",SUM($GY$5:$GY$8),IF(GX86="Hasil Valuasi",SUM($GY$6:$GY$8),IF(GX86="Musyawarah",SUM($GY$7:$GY$8),IF(GX86="UGR",$GY$8,0)))))</f>
        <v>0</v>
      </c>
      <c r="GZ86" s="228" t="str">
        <f>IF(GW86=0,"SELESAI",GU86+GY86)</f>
        <v>SELESAI</v>
      </c>
      <c r="HA86" s="204"/>
      <c r="HB86" s="204"/>
      <c r="HC86" s="188">
        <f t="shared" si="251"/>
        <v>0</v>
      </c>
      <c r="HD86" s="188">
        <f t="shared" si="252"/>
        <v>0</v>
      </c>
      <c r="HE86" s="188">
        <f>HC86+HD86</f>
        <v>0</v>
      </c>
      <c r="HF86" s="188">
        <f>FQ86</f>
        <v>0</v>
      </c>
      <c r="HG86" s="188">
        <f>HE86-HF86</f>
        <v>0</v>
      </c>
      <c r="HH86" s="228" t="str">
        <f>IF(HG86=1,GU86+$HH$8,"TIDAK KONSINYASI")</f>
        <v>TIDAK KONSINYASI</v>
      </c>
      <c r="HI86" s="228" t="str">
        <f>IF(GW86=0,"SELESAI",GZ86+$HI$8)</f>
        <v>SELESAI</v>
      </c>
      <c r="HJ86" s="195"/>
      <c r="HK86" s="201">
        <f>MAX(GZ86,HH86,HI86)</f>
        <v>0</v>
      </c>
      <c r="HL86" s="204"/>
      <c r="HM86" s="204"/>
      <c r="HN86" s="204"/>
      <c r="HO86" s="204"/>
      <c r="HP86" s="203">
        <f>IF(HQ86=1,GZ86,0)</f>
        <v>0</v>
      </c>
      <c r="HQ86" s="202">
        <f>IF(IX86=0,IF(HT86=0,IF(IP86=0,IF(GV86="UGR",GS86,0),0),0),0)</f>
        <v>0</v>
      </c>
      <c r="HR86" s="202">
        <f t="shared" si="253"/>
        <v>0</v>
      </c>
      <c r="HS86" s="203">
        <f>IF(HT86=1,HH86,0)</f>
        <v>0</v>
      </c>
      <c r="HT86" s="202">
        <f>HG86</f>
        <v>0</v>
      </c>
      <c r="HU86" s="202">
        <f t="shared" si="254"/>
        <v>0</v>
      </c>
      <c r="HV86" s="203">
        <f>IF(HW86=1,GZ86,0)</f>
        <v>0</v>
      </c>
      <c r="HW86" s="202">
        <f>IF(JB86=0,IF(IX86=0,IF(HT86=0,IF(GV86="MUSYAWARAH",GR86,0),0),0),0)</f>
        <v>0</v>
      </c>
      <c r="HX86" s="202">
        <f t="shared" si="255"/>
        <v>0</v>
      </c>
      <c r="HY86" s="203">
        <f>IF(HZ86=1,HV86+$HI$8,0)</f>
        <v>0</v>
      </c>
      <c r="HZ86" s="202">
        <f>HW86</f>
        <v>0</v>
      </c>
      <c r="IA86" s="202">
        <f t="shared" si="256"/>
        <v>0</v>
      </c>
      <c r="IB86" s="232">
        <f>IF(IC86=1,$GU$3+SUM($GY$6:$GY$8),0)</f>
        <v>0</v>
      </c>
      <c r="IC86" s="226">
        <f>IF(GV86="Hasil Valuasi",GQ86,0)</f>
        <v>0</v>
      </c>
      <c r="ID86" s="226">
        <f t="shared" si="257"/>
        <v>0</v>
      </c>
      <c r="IE86" s="232">
        <f>IF(IF86=1,IB86+$HI$8,0)</f>
        <v>0</v>
      </c>
      <c r="IF86" s="226">
        <f>IC86</f>
        <v>0</v>
      </c>
      <c r="IG86" s="226">
        <f t="shared" si="258"/>
        <v>0</v>
      </c>
      <c r="IH86" s="232">
        <f>IF(II86=1,$GU$3+SUM($GY$5:$GY$8),0)</f>
        <v>0</v>
      </c>
      <c r="II86" s="226">
        <f>IF(GV86="Survey KJPP",GP86,0)</f>
        <v>0</v>
      </c>
      <c r="IJ86" s="226">
        <f t="shared" si="259"/>
        <v>0</v>
      </c>
      <c r="IK86" s="232">
        <f>IF(IL86=1,IH86+$HI$8,0)</f>
        <v>0</v>
      </c>
      <c r="IL86" s="226">
        <f>II86</f>
        <v>0</v>
      </c>
      <c r="IM86" s="226">
        <f t="shared" si="260"/>
        <v>0</v>
      </c>
      <c r="IN86" s="204"/>
      <c r="IO86" s="203">
        <f>IF(IP86=1,+$GU$3+$HH$8,0)</f>
        <v>0</v>
      </c>
      <c r="IP86" s="202">
        <f t="shared" si="261"/>
        <v>0</v>
      </c>
      <c r="IQ86" s="202">
        <f t="shared" si="262"/>
        <v>0</v>
      </c>
      <c r="IR86" s="204"/>
      <c r="IS86" s="203"/>
      <c r="IT86" s="202">
        <f t="shared" si="263"/>
        <v>1</v>
      </c>
      <c r="IU86" s="226">
        <f t="shared" si="264"/>
        <v>35</v>
      </c>
      <c r="IV86" s="204"/>
      <c r="IW86" s="203"/>
      <c r="IX86" s="202">
        <f t="shared" si="265"/>
        <v>0</v>
      </c>
      <c r="IY86" s="202">
        <f t="shared" si="266"/>
        <v>0</v>
      </c>
      <c r="IZ86" s="204"/>
      <c r="JA86" s="203"/>
      <c r="JB86" s="202">
        <f t="shared" si="267"/>
        <v>0</v>
      </c>
      <c r="JC86" s="226">
        <f t="shared" si="268"/>
        <v>0</v>
      </c>
      <c r="JD86" s="204"/>
      <c r="JE86" s="203"/>
      <c r="JF86" s="202">
        <f>IT86+HQ86+HT86+HZ86+IF86+IL86+IP86+IX86+JB86</f>
        <v>1</v>
      </c>
      <c r="JG86" s="202">
        <f>IU86+HR86+HU86+IA86+IG86+IM86+IQ86+IY86+JC86</f>
        <v>35</v>
      </c>
      <c r="JH86" s="204"/>
      <c r="JI86" s="203"/>
      <c r="JJ86" s="202">
        <f t="shared" si="269"/>
        <v>0</v>
      </c>
      <c r="JK86" s="202">
        <f t="shared" si="270"/>
        <v>0</v>
      </c>
      <c r="JL86" s="195"/>
      <c r="JM86" s="203">
        <f>MAX(IW86,IS86,IO86,IK86,IE86,HY86,HS86,HP86)</f>
        <v>0</v>
      </c>
      <c r="JN86" s="195"/>
      <c r="JO86" s="196">
        <f>SUM(JQ86:KB86)</f>
        <v>1</v>
      </c>
      <c r="JP86" s="206">
        <f t="shared" si="271"/>
        <v>5</v>
      </c>
      <c r="JQ86" s="206">
        <f t="shared" si="272"/>
        <v>1</v>
      </c>
      <c r="JR86" s="206">
        <f t="shared" si="273"/>
        <v>0</v>
      </c>
      <c r="JS86" s="206">
        <f t="shared" si="274"/>
        <v>0</v>
      </c>
      <c r="JT86" s="206">
        <f t="shared" si="275"/>
        <v>0</v>
      </c>
      <c r="JU86" s="206">
        <f t="shared" si="276"/>
        <v>0</v>
      </c>
      <c r="JV86" s="206">
        <f t="shared" si="277"/>
        <v>0</v>
      </c>
      <c r="JW86" s="206">
        <f t="shared" si="278"/>
        <v>0</v>
      </c>
      <c r="JX86" s="206">
        <f t="shared" si="279"/>
        <v>0</v>
      </c>
      <c r="JY86" s="206">
        <f t="shared" si="280"/>
        <v>0</v>
      </c>
      <c r="JZ86" s="206">
        <f t="shared" si="281"/>
        <v>0</v>
      </c>
      <c r="KA86" s="206">
        <f t="shared" si="282"/>
        <v>0</v>
      </c>
      <c r="KB86" s="206">
        <f t="shared" si="283"/>
        <v>0</v>
      </c>
      <c r="KC86" s="195"/>
      <c r="KD86" s="206">
        <f t="shared" si="478"/>
        <v>0</v>
      </c>
      <c r="KE86" s="206">
        <f t="shared" si="422"/>
        <v>0</v>
      </c>
      <c r="KF86" s="206">
        <f t="shared" si="284"/>
        <v>5</v>
      </c>
      <c r="KG86" s="206">
        <f t="shared" si="285"/>
        <v>5</v>
      </c>
      <c r="KH86" s="206">
        <f t="shared" si="286"/>
        <v>0</v>
      </c>
      <c r="KI86" s="206">
        <f t="shared" si="287"/>
        <v>0</v>
      </c>
      <c r="KJ86" s="206">
        <f t="shared" si="288"/>
        <v>0</v>
      </c>
      <c r="KK86" s="206">
        <f t="shared" si="289"/>
        <v>0</v>
      </c>
      <c r="KL86" s="206">
        <f t="shared" si="290"/>
        <v>0</v>
      </c>
      <c r="KM86" s="206">
        <f t="shared" si="291"/>
        <v>0</v>
      </c>
      <c r="KN86" s="221">
        <f t="shared" si="292"/>
        <v>0</v>
      </c>
      <c r="KO86" s="221">
        <f t="shared" si="293"/>
        <v>0</v>
      </c>
      <c r="KP86" s="221">
        <f t="shared" si="294"/>
        <v>0</v>
      </c>
      <c r="KQ86" s="221">
        <f t="shared" si="295"/>
        <v>0</v>
      </c>
      <c r="KR86" s="221">
        <f t="shared" si="296"/>
        <v>0</v>
      </c>
      <c r="KS86" s="195"/>
      <c r="KT86" s="195">
        <f t="shared" si="297"/>
        <v>0</v>
      </c>
      <c r="KU86" s="221"/>
      <c r="KV86" s="221"/>
      <c r="KW86" s="221"/>
      <c r="KX86" s="221"/>
      <c r="KY86" s="221"/>
      <c r="KZ86" s="221"/>
      <c r="LA86" s="221"/>
      <c r="LB86" s="221"/>
      <c r="LC86" s="221"/>
      <c r="LD86" s="221"/>
      <c r="LE86" s="221"/>
      <c r="LF86" s="221"/>
      <c r="LG86" s="221"/>
      <c r="LH86" s="221"/>
      <c r="LI86" s="221"/>
      <c r="LJ86" s="221"/>
      <c r="LK86" s="221"/>
      <c r="LL86" s="221"/>
      <c r="LM86" s="221"/>
      <c r="LN86" s="221"/>
      <c r="LO86" s="221"/>
      <c r="LP86" s="221"/>
      <c r="LQ86" s="221"/>
      <c r="LR86" s="221"/>
      <c r="LS86" s="221"/>
      <c r="LT86" s="221"/>
      <c r="LU86" s="221"/>
      <c r="LV86" s="221"/>
      <c r="LW86" s="221"/>
      <c r="LX86" s="221"/>
      <c r="LY86" s="221"/>
      <c r="LZ86" s="221"/>
      <c r="MA86" s="221"/>
      <c r="MB86" s="221"/>
      <c r="MC86" s="221"/>
      <c r="MD86" s="221"/>
      <c r="ME86" s="221"/>
      <c r="MF86" s="221"/>
      <c r="MG86" s="221"/>
      <c r="MH86" s="221"/>
      <c r="MI86" s="221"/>
      <c r="MJ86" s="221"/>
      <c r="MK86" s="221"/>
      <c r="ML86" s="221"/>
      <c r="MM86" s="221"/>
      <c r="MN86" s="221"/>
      <c r="MO86" s="221"/>
      <c r="MP86" s="221"/>
      <c r="MQ86" s="221"/>
      <c r="MR86" s="221"/>
      <c r="MS86" s="221"/>
      <c r="MT86" s="221"/>
      <c r="MU86" s="221"/>
      <c r="MV86" s="221"/>
      <c r="MW86" s="221"/>
      <c r="MX86" s="221"/>
      <c r="MY86" s="221"/>
      <c r="MZ86" s="221"/>
      <c r="NA86" s="221"/>
      <c r="NB86" s="221"/>
      <c r="NC86" s="221"/>
      <c r="ND86" s="221"/>
      <c r="NE86" s="221"/>
      <c r="NF86" s="221"/>
      <c r="NG86" s="221"/>
      <c r="NH86" s="221"/>
      <c r="NI86" s="221"/>
      <c r="NJ86" s="221"/>
      <c r="NK86" s="221"/>
      <c r="NL86" s="195"/>
      <c r="NM86" s="195">
        <f>IF(KS86=1,1,0)</f>
        <v>0</v>
      </c>
      <c r="NN86" s="195">
        <f>IF(KS86=2,1,0)</f>
        <v>0</v>
      </c>
      <c r="NO86" s="195">
        <f>IF(KS86=3,1,0)</f>
        <v>0</v>
      </c>
      <c r="NP86" s="195">
        <f>IF(KS86=4,1,0)</f>
        <v>0</v>
      </c>
      <c r="NQ86" s="195">
        <f>IF(KS86=5,1,0)</f>
        <v>0</v>
      </c>
      <c r="NR86" s="195">
        <f>IF(KS86=6,1,0)</f>
        <v>0</v>
      </c>
      <c r="NS86" s="195">
        <f>IF(KS86=7,1,0)</f>
        <v>0</v>
      </c>
      <c r="NT86" s="195">
        <f>SUM(NM86:NS86)</f>
        <v>0</v>
      </c>
      <c r="NU86" s="196">
        <f>NT86-KT86</f>
        <v>0</v>
      </c>
      <c r="NV86" s="195"/>
      <c r="NW86" s="195"/>
      <c r="NX86" s="195"/>
      <c r="NY86" s="196">
        <f t="shared" si="423"/>
        <v>1</v>
      </c>
      <c r="NZ86" s="222">
        <f>249900000/30</f>
        <v>8330000</v>
      </c>
      <c r="OA86" s="195"/>
      <c r="OB86" s="195"/>
      <c r="OC86" s="195"/>
      <c r="OD86" s="195"/>
      <c r="OE86" s="207">
        <f t="shared" si="424"/>
        <v>0</v>
      </c>
      <c r="OF86" s="207">
        <f t="shared" si="425"/>
        <v>0</v>
      </c>
      <c r="OG86" s="207">
        <f t="shared" si="426"/>
        <v>0</v>
      </c>
      <c r="OH86" s="207">
        <f>HE86</f>
        <v>0</v>
      </c>
      <c r="OI86" s="207">
        <f t="shared" si="427"/>
        <v>0</v>
      </c>
      <c r="OJ86" s="199">
        <f>IF(OG86=1,OF86,0)</f>
        <v>0</v>
      </c>
      <c r="OK86" s="199">
        <f>IF(OH86=1,OF86,0)</f>
        <v>0</v>
      </c>
      <c r="OL86" s="199">
        <f>IF((OG86+OH86)=0,OF86,0)</f>
        <v>0</v>
      </c>
      <c r="OM86" s="199">
        <f>SUM(OJ86:OL86)</f>
        <v>0</v>
      </c>
      <c r="ON86" s="195"/>
      <c r="OO86" s="207">
        <f t="shared" si="428"/>
        <v>0</v>
      </c>
      <c r="OP86" s="207">
        <f t="shared" si="429"/>
        <v>0</v>
      </c>
      <c r="OQ86" s="207">
        <f>OG86</f>
        <v>0</v>
      </c>
      <c r="OR86" s="207">
        <f>OH86</f>
        <v>0</v>
      </c>
      <c r="OS86" s="207">
        <f>OI86</f>
        <v>0</v>
      </c>
      <c r="OT86" s="199">
        <f>IF(OQ86=1,OP86,0)</f>
        <v>0</v>
      </c>
      <c r="OU86" s="199">
        <f>IF(OR86=1,OP86,0)</f>
        <v>0</v>
      </c>
      <c r="OV86" s="199">
        <f>IF((OQ86+OR86)=0,OP86,0)</f>
        <v>0</v>
      </c>
      <c r="OW86" s="199">
        <f>SUM(OT86:OV86)</f>
        <v>0</v>
      </c>
      <c r="OX86" s="195"/>
      <c r="OY86" s="195"/>
      <c r="OZ86" s="195"/>
      <c r="PA86" s="209"/>
      <c r="PB86" s="209"/>
      <c r="PC86" s="209"/>
      <c r="PD86" s="210">
        <f t="shared" si="430"/>
        <v>0</v>
      </c>
      <c r="PE86" s="210"/>
      <c r="PF86" s="210">
        <f t="shared" si="431"/>
        <v>0</v>
      </c>
      <c r="PG86" s="210">
        <f t="shared" si="302"/>
        <v>0</v>
      </c>
      <c r="PH86" s="210">
        <f t="shared" si="302"/>
        <v>0</v>
      </c>
      <c r="PI86" s="210">
        <f t="shared" si="302"/>
        <v>0</v>
      </c>
      <c r="PJ86" s="210">
        <f t="shared" si="300"/>
        <v>0</v>
      </c>
      <c r="PK86" s="210">
        <f t="shared" si="300"/>
        <v>0</v>
      </c>
      <c r="PL86" s="210">
        <f t="shared" si="300"/>
        <v>0</v>
      </c>
      <c r="PM86" s="195"/>
      <c r="PN86" s="195"/>
      <c r="PO86" s="212">
        <f t="shared" si="500"/>
        <v>0</v>
      </c>
      <c r="PP86" s="212">
        <f t="shared" si="501"/>
        <v>0</v>
      </c>
      <c r="PQ86" s="212">
        <f t="shared" si="502"/>
        <v>0</v>
      </c>
    </row>
    <row r="87" spans="1:433 16383:16383" ht="16" x14ac:dyDescent="0.2">
      <c r="A87" s="213">
        <f>A86+1</f>
        <v>78</v>
      </c>
      <c r="B87" s="186" t="s">
        <v>667</v>
      </c>
      <c r="C87" s="255">
        <v>1</v>
      </c>
      <c r="D87" s="188">
        <v>1</v>
      </c>
      <c r="E87" s="188">
        <v>170</v>
      </c>
      <c r="F87" s="188">
        <v>1</v>
      </c>
      <c r="G87" s="188">
        <f t="shared" si="239"/>
        <v>170</v>
      </c>
      <c r="H87" s="214">
        <f t="shared" ref="H87:H107" si="566">F87/$D87</f>
        <v>1</v>
      </c>
      <c r="I87" s="214">
        <v>0</v>
      </c>
      <c r="J87" s="165">
        <v>1</v>
      </c>
      <c r="K87" s="188">
        <f t="shared" ref="K87:K107" si="567">IF(J87=D87,E87,0)</f>
        <v>170</v>
      </c>
      <c r="L87" s="214">
        <f t="shared" ref="L87:L107" si="568">J87/$D87</f>
        <v>1</v>
      </c>
      <c r="M87" s="214">
        <v>0</v>
      </c>
      <c r="N87" s="165">
        <v>1</v>
      </c>
      <c r="O87" s="188">
        <v>0</v>
      </c>
      <c r="P87" s="214">
        <f t="shared" ref="P87:P107" si="569">N87/$D87</f>
        <v>1</v>
      </c>
      <c r="Q87" s="214">
        <f t="shared" ref="Q87:Q107" si="570">O87/$E87</f>
        <v>0</v>
      </c>
      <c r="R87" s="188">
        <v>0</v>
      </c>
      <c r="S87" s="188">
        <f t="shared" ref="S87:S107" si="571">IF(R87=D87,E87,0)</f>
        <v>0</v>
      </c>
      <c r="T87" s="214">
        <f t="shared" ref="T87:T107" si="572">R87/$D87</f>
        <v>0</v>
      </c>
      <c r="U87" s="214">
        <f t="shared" ref="U87:U107" si="573">S87/$E87</f>
        <v>0</v>
      </c>
      <c r="V87" s="188">
        <v>0</v>
      </c>
      <c r="W87" s="188">
        <f t="shared" ref="W87:W107" si="574">IF(V87=D87,E87,0)</f>
        <v>0</v>
      </c>
      <c r="X87" s="214">
        <f t="shared" ref="X87:X107" si="575">V87/$D87</f>
        <v>0</v>
      </c>
      <c r="Y87" s="214">
        <v>0</v>
      </c>
      <c r="Z87" s="224"/>
      <c r="AA87" s="188"/>
      <c r="AB87" s="188">
        <v>0</v>
      </c>
      <c r="AC87" s="214">
        <f t="shared" ref="AC87:AC107" si="576">AA87/$D87</f>
        <v>0</v>
      </c>
      <c r="AD87" s="214">
        <v>0</v>
      </c>
      <c r="AE87" s="188"/>
      <c r="AF87" s="188">
        <f t="shared" ref="AF87:AF107" si="577">R87-V87</f>
        <v>0</v>
      </c>
      <c r="AG87" s="187"/>
      <c r="AH87" s="187"/>
      <c r="AI87" s="188">
        <v>0</v>
      </c>
      <c r="AJ87" s="188">
        <f t="shared" ref="AJ87:AJ107" si="578">IF(AI87=D87,E87,0)</f>
        <v>0</v>
      </c>
      <c r="AK87" s="188"/>
      <c r="AL87" s="188">
        <v>0</v>
      </c>
      <c r="AM87" s="188">
        <v>0</v>
      </c>
      <c r="AN87" s="217">
        <v>1</v>
      </c>
      <c r="AO87" s="196">
        <f t="shared" ref="AO87:AO107" si="579">D87-R87-AN87-CB87</f>
        <v>0</v>
      </c>
      <c r="AP87" s="195"/>
      <c r="AQ87" s="195"/>
      <c r="AR87" s="195"/>
      <c r="AS87" s="195"/>
      <c r="AT87" s="195"/>
      <c r="AU87" s="195"/>
      <c r="AV87" s="195"/>
      <c r="AW87" s="195"/>
      <c r="AX87" s="195"/>
      <c r="AY87" s="195"/>
      <c r="AZ87" s="195"/>
      <c r="BA87" s="195"/>
      <c r="BB87" s="188">
        <f t="shared" ref="BB87:BB107" si="580">IF(AN87=1,E87,0)</f>
        <v>170</v>
      </c>
      <c r="BC87" s="195"/>
      <c r="BD87" s="196"/>
      <c r="BE87" s="226">
        <f t="shared" ref="BE87:BE107" si="581">IF(AF87=1,S87,0)</f>
        <v>0</v>
      </c>
      <c r="BF87" s="188">
        <f t="shared" ref="BF87:BF107" si="582">IF(AG87="A",S87,0)</f>
        <v>0</v>
      </c>
      <c r="BG87" s="188">
        <f t="shared" ref="BG87:BG107" si="583">IF(AG87="B",S87,0)</f>
        <v>0</v>
      </c>
      <c r="BH87" s="188">
        <f t="shared" ref="BH87:BH107" si="584">IF(AG87="C",S87,0)</f>
        <v>0</v>
      </c>
      <c r="BI87" s="188">
        <f t="shared" ref="BI87:BI107" si="585">IF(AG87="D",S87,0)</f>
        <v>0</v>
      </c>
      <c r="BJ87" s="188">
        <f t="shared" ref="BJ87:BJ107" si="586">IF(AG87="E",S87,0)</f>
        <v>0</v>
      </c>
      <c r="BK87" s="188">
        <f t="shared" ref="BK87:BK107" si="587">SUM(BF87:BJ87)</f>
        <v>0</v>
      </c>
      <c r="BL87" s="195"/>
      <c r="BM87" s="195"/>
      <c r="BN87" s="215"/>
      <c r="BO87" s="218"/>
      <c r="BP87" s="188"/>
      <c r="BQ87" s="188"/>
      <c r="BR87" s="188"/>
      <c r="BS87" s="188"/>
      <c r="BT87" s="188"/>
      <c r="BU87" s="188"/>
      <c r="BV87" s="188"/>
      <c r="BW87" s="188"/>
      <c r="BX87" s="188"/>
      <c r="BY87" s="188"/>
      <c r="BZ87" s="188"/>
      <c r="CA87" s="195"/>
      <c r="CB87" s="188">
        <v>0</v>
      </c>
      <c r="CC87" s="195"/>
      <c r="CD87" s="189">
        <f t="shared" ref="CD87:CD107" si="588">BN87</f>
        <v>0</v>
      </c>
      <c r="CE87" s="189">
        <f t="shared" ref="CE87:CE107" si="589">IF(BO87=1,$CD87,0)</f>
        <v>0</v>
      </c>
      <c r="CF87" s="189">
        <f t="shared" ref="CF87:CF107" si="590">IF(BP87=1,$CD87,0)</f>
        <v>0</v>
      </c>
      <c r="CG87" s="189">
        <f t="shared" ref="CG87:CG107" si="591">IF(BQ87=1,$CD87,0)</f>
        <v>0</v>
      </c>
      <c r="CH87" s="189">
        <f t="shared" ref="CH87:CH107" si="592">IF(BR87=1,$CD87,0)</f>
        <v>0</v>
      </c>
      <c r="CI87" s="189">
        <f t="shared" ref="CI87:CI107" si="593">IF(BS87=1,$CD87,0)</f>
        <v>0</v>
      </c>
      <c r="CJ87" s="189">
        <f t="shared" ref="CJ87:CJ107" si="594">IF(BT87=1,$CD87,0)</f>
        <v>0</v>
      </c>
      <c r="CK87" s="189">
        <f t="shared" ref="CK87:CK107" si="595">IF(BU87=1,$CD87,0)</f>
        <v>0</v>
      </c>
      <c r="CL87" s="189">
        <f t="shared" ref="CL87:CL107" si="596">IF(BV87=1,$CD87,0)</f>
        <v>0</v>
      </c>
      <c r="CM87" s="189">
        <f t="shared" ref="CM87:CM107" si="597">IF(BW87=1,$CD87,0)</f>
        <v>0</v>
      </c>
      <c r="CN87" s="189">
        <f t="shared" ref="CN87:CN107" si="598">IF(BX87=1,$CD87,0)</f>
        <v>0</v>
      </c>
      <c r="CO87" s="189">
        <f t="shared" ref="CO87:CO107" si="599">IF(BY87=1,$CD87,0)</f>
        <v>0</v>
      </c>
      <c r="CP87" s="189">
        <f t="shared" ref="CP87:CP107" si="600">IF(BZ87=1,$CD87,0)</f>
        <v>0</v>
      </c>
      <c r="CQ87" s="195"/>
      <c r="CR87" s="195"/>
      <c r="CS87" s="195"/>
      <c r="CT87" s="195"/>
      <c r="CU87" s="195"/>
      <c r="CV87" s="195"/>
      <c r="CW87" s="195"/>
      <c r="CX87" s="195"/>
      <c r="CY87" s="195"/>
      <c r="CZ87" s="195"/>
      <c r="DA87" s="195"/>
      <c r="DB87" s="195"/>
      <c r="DC87" s="195"/>
      <c r="DD87" s="195"/>
      <c r="DE87" s="195"/>
      <c r="DF87" s="195"/>
      <c r="DG87" s="195"/>
      <c r="DH87" s="195"/>
      <c r="DI87" s="195"/>
      <c r="DJ87" s="195"/>
      <c r="DK87" s="195"/>
      <c r="DL87" s="195"/>
      <c r="DM87" s="195"/>
      <c r="DN87" s="195"/>
      <c r="DO87" s="195"/>
      <c r="DP87" s="195"/>
      <c r="DQ87" s="195"/>
      <c r="DR87" s="195"/>
      <c r="DS87" s="195"/>
      <c r="DT87" s="195"/>
      <c r="DU87" s="195"/>
      <c r="DV87" s="188">
        <f t="shared" ref="DV87:DV107" si="601">IF(CB87=1,G87,0)</f>
        <v>0</v>
      </c>
      <c r="DW87" s="188">
        <f t="shared" ref="DW87:DW107" si="602">IF(CC87="A",G87,0)</f>
        <v>0</v>
      </c>
      <c r="DX87" s="188">
        <f t="shared" ref="DX87:DX107" si="603">IF(CC87="B",G87,0)</f>
        <v>0</v>
      </c>
      <c r="DY87" s="188">
        <f t="shared" ref="DY87:DY107" si="604">IF(CC87="C",G87,0)</f>
        <v>0</v>
      </c>
      <c r="DZ87" s="188">
        <f t="shared" ref="DZ87:DZ107" si="605">IF(CC87="D",G87,0)</f>
        <v>0</v>
      </c>
      <c r="EA87" s="188">
        <f t="shared" ref="EA87:EA107" si="606">IF(CC87="E",G87,0)</f>
        <v>0</v>
      </c>
      <c r="EB87" s="188">
        <f t="shared" ref="EB87:EB107" si="607">SUM(DW87:EA87)</f>
        <v>0</v>
      </c>
      <c r="EC87" s="195"/>
      <c r="ED87" s="195"/>
      <c r="EE87" s="195"/>
      <c r="EF87" s="195"/>
      <c r="EG87" s="252">
        <f t="shared" ref="EG87:EG107" si="608">IF(AG87="C","C",IF(AG87="D","D",0))</f>
        <v>0</v>
      </c>
      <c r="EH87" s="252">
        <f t="shared" ref="EH87:EH107" si="609">CC87</f>
        <v>0</v>
      </c>
      <c r="EI87" s="189"/>
      <c r="EJ87" s="189"/>
      <c r="EK87" s="189"/>
      <c r="EL87" s="189"/>
      <c r="EM87" s="189"/>
      <c r="EN87" s="189"/>
      <c r="EO87" s="189"/>
      <c r="EP87" s="189"/>
      <c r="EQ87" s="189"/>
      <c r="ER87" s="189"/>
      <c r="ES87" s="189"/>
      <c r="ET87" s="189"/>
      <c r="EU87" s="189"/>
      <c r="EV87" s="189"/>
      <c r="EW87" s="189"/>
      <c r="EX87" s="189"/>
      <c r="EY87" s="189"/>
      <c r="EZ87" s="189"/>
      <c r="FA87" s="189"/>
      <c r="FB87" s="189"/>
      <c r="FC87" s="189"/>
      <c r="FD87" s="189"/>
      <c r="FE87" s="189"/>
      <c r="FF87" s="189"/>
      <c r="FG87" s="195"/>
      <c r="FH87" s="189"/>
      <c r="FI87" s="189"/>
      <c r="FJ87" s="189"/>
      <c r="FK87" s="189"/>
      <c r="FL87" s="189"/>
      <c r="FM87" s="189"/>
      <c r="FN87" s="189"/>
      <c r="FO87" s="189"/>
      <c r="FP87" s="189"/>
      <c r="FQ87" s="189"/>
      <c r="FR87" s="189"/>
      <c r="FS87" s="189"/>
      <c r="FT87" s="189"/>
      <c r="FU87" s="189"/>
      <c r="FV87" s="189"/>
      <c r="FW87" s="195"/>
      <c r="FX87" s="253"/>
      <c r="FY87" s="189">
        <f t="shared" ref="FY87:FY107" si="610">SUM(FZ87:GE87)</f>
        <v>0</v>
      </c>
      <c r="FZ87" s="189">
        <f t="shared" ref="FZ87:FZ107" si="611">DI87+CE87</f>
        <v>0</v>
      </c>
      <c r="GA87" s="189">
        <f t="shared" ref="GA87:GA107" si="612">DJ87+CF87</f>
        <v>0</v>
      </c>
      <c r="GB87" s="189">
        <f t="shared" ref="GB87:GB107" si="613">DK87+CG87</f>
        <v>0</v>
      </c>
      <c r="GC87" s="189">
        <f t="shared" ref="GC87:GC107" si="614">DM87+CI87</f>
        <v>0</v>
      </c>
      <c r="GD87" s="189">
        <f t="shared" ref="GD87:GD107" si="615">DO87+CK87</f>
        <v>0</v>
      </c>
      <c r="GE87" s="189">
        <f t="shared" ref="GE87:GE107" si="616">DT87+CP87</f>
        <v>0</v>
      </c>
      <c r="GF87" s="235"/>
      <c r="GG87" s="256">
        <v>0</v>
      </c>
      <c r="GH87" s="257">
        <v>0</v>
      </c>
      <c r="GI87" s="235"/>
      <c r="GJ87" s="258">
        <f t="shared" ref="GJ87:GJ107" si="617">FY87*GG87/1000000000</f>
        <v>0</v>
      </c>
      <c r="GK87" s="259">
        <f t="shared" ref="GK87:GK107" si="618">FY87*GH87/1000000000</f>
        <v>0</v>
      </c>
      <c r="GL87" s="195"/>
      <c r="GM87" s="195"/>
      <c r="GN87" s="195"/>
      <c r="GO87" s="188">
        <f t="shared" ref="GO87:GO107" si="619">D87-F87</f>
        <v>0</v>
      </c>
      <c r="GP87" s="188">
        <f t="shared" ref="GP87:GP107" si="620">D87-J87</f>
        <v>0</v>
      </c>
      <c r="GQ87" s="188">
        <f t="shared" ref="GQ87:GQ107" si="621">D87-N87</f>
        <v>0</v>
      </c>
      <c r="GR87" s="188">
        <f t="shared" ref="GR87:GR107" si="622">D87-R87</f>
        <v>1</v>
      </c>
      <c r="GS87" s="188">
        <f t="shared" ref="GS87:GS107" si="623">D87-V87</f>
        <v>1</v>
      </c>
      <c r="GT87" s="188">
        <f t="shared" ref="GT87:GT107" si="624">IF(SUM(GO87:GS87)=0,1,0)</f>
        <v>0</v>
      </c>
      <c r="GU87" s="228">
        <f t="shared" si="457"/>
        <v>43243</v>
      </c>
      <c r="GV87" s="188" t="str">
        <f t="shared" ref="GV87:GV107" si="625">IF(GO87&gt;0,$GO$6,IF(GP87&gt;0,$GP$6,IF(GQ87&gt;0,$GQ$6,IF(GR87&gt;0,$GR$6,IF(GS87&gt;0,$GS$6,IF(GT87&gt;0,$GT$6,0))))))</f>
        <v>Musyawarah</v>
      </c>
      <c r="GW87" s="188">
        <f t="shared" ref="GW87:GW107" si="626">IF(GV87=$GO$6,GO87,IF(GV87=$GP$6,GP87,IF(GV87=$GQ$6,GQ87,IF(GV87=$GR$6,GR87,IF(GV87=$GS$6,GS87,0)))))</f>
        <v>1</v>
      </c>
      <c r="GX87" s="188" t="str">
        <f t="shared" ref="GX87:GX107" si="627">GV87</f>
        <v>Musyawarah</v>
      </c>
      <c r="GY87" s="188">
        <f t="shared" ref="GY87:GY107" si="628">IF(GX87="DNP",SUM($GY$4:$GY$8),IF(GX87="Survey KJPP",SUM($GY$5:$GY$8),IF(GX87="Hasil Valuasi",SUM($GY$6:$GY$8),IF(GX87="Musyawarah",SUM($GY$7:$GY$8),IF(GX87="UGR",$GY$8,0)))))</f>
        <v>24</v>
      </c>
      <c r="GZ87" s="228">
        <f t="shared" ref="GZ87:GZ107" si="629">IF(GW87=0,"SELESAI",GU87+GY87)</f>
        <v>43267</v>
      </c>
      <c r="HA87" s="204"/>
      <c r="HB87" s="204"/>
      <c r="HC87" s="188">
        <f t="shared" ref="HC87:HC107" si="630">IF(BH87&gt;0,1,IF(BI87&gt;0,1,0))</f>
        <v>0</v>
      </c>
      <c r="HD87" s="188">
        <f t="shared" ref="HD87:HD107" si="631">IF(CB87&gt;0,1,0)</f>
        <v>0</v>
      </c>
      <c r="HE87" s="188">
        <f t="shared" ref="HE87:HE107" si="632">HC87+HD87</f>
        <v>0</v>
      </c>
      <c r="HF87" s="188">
        <f t="shared" ref="HF87:HF107" si="633">FQ87</f>
        <v>0</v>
      </c>
      <c r="HG87" s="188">
        <f t="shared" ref="HG87:HG107" si="634">HE87-HF87</f>
        <v>0</v>
      </c>
      <c r="HH87" s="228" t="str">
        <f t="shared" ref="HH87:HH107" si="635">IF(HG87=1,GU87+$HH$8,"TIDAK KONSINYASI")</f>
        <v>TIDAK KONSINYASI</v>
      </c>
      <c r="HI87" s="228">
        <f t="shared" ref="HI87:HI107" si="636">IF(GW87=0,"SELESAI",GZ87+$HI$8)</f>
        <v>43312</v>
      </c>
      <c r="HJ87" s="195"/>
      <c r="HK87" s="201">
        <f t="shared" ref="HK87:HK107" si="637">MAX(GZ87,HH87,HI87)</f>
        <v>43312</v>
      </c>
      <c r="HL87" s="204"/>
      <c r="HM87" s="204"/>
      <c r="HN87" s="204"/>
      <c r="HO87" s="204"/>
      <c r="HP87" s="203">
        <f t="shared" ref="HP87:HP107" si="638">IF(HQ87=1,GZ87,0)</f>
        <v>0</v>
      </c>
      <c r="HQ87" s="202">
        <f t="shared" ref="HQ87:HQ107" si="639">IF(IX87=0,IF(HT87=0,IF(IP87=0,IF(GV87="UGR",GS87,0),0),0),0)</f>
        <v>0</v>
      </c>
      <c r="HR87" s="202">
        <f t="shared" ref="HR87:HR107" si="640">IF(HQ87=1,E87,0)</f>
        <v>0</v>
      </c>
      <c r="HS87" s="203">
        <f t="shared" ref="HS87:HS107" si="641">IF(HT87=1,HH87,0)</f>
        <v>0</v>
      </c>
      <c r="HT87" s="202">
        <f t="shared" ref="HT87:HT107" si="642">HG87</f>
        <v>0</v>
      </c>
      <c r="HU87" s="202">
        <f t="shared" ref="HU87:HU107" si="643">IF(HT87=1,E87,0)</f>
        <v>0</v>
      </c>
      <c r="HV87" s="203">
        <f t="shared" ref="HV87:HV107" si="644">IF(HW87=1,GZ87,0)</f>
        <v>0</v>
      </c>
      <c r="HW87" s="202">
        <f t="shared" ref="HW87:HW107" si="645">IF(JB87=0,IF(IX87=0,IF(HT87=0,IF(GV87="MUSYAWARAH",GR87,0),0),0),0)</f>
        <v>0</v>
      </c>
      <c r="HX87" s="202">
        <f t="shared" ref="HX87:HX107" si="646">IF(HW87=1,E87,0)</f>
        <v>0</v>
      </c>
      <c r="HY87" s="203">
        <f t="shared" ref="HY87:HY107" si="647">IF(HZ87=1,HV87+$HI$8,0)</f>
        <v>0</v>
      </c>
      <c r="HZ87" s="202">
        <f t="shared" ref="HZ87:HZ107" si="648">HW87</f>
        <v>0</v>
      </c>
      <c r="IA87" s="202">
        <f t="shared" ref="IA87:IA107" si="649">IF(HZ87=1,E87,0)</f>
        <v>0</v>
      </c>
      <c r="IB87" s="232">
        <f t="shared" ref="IB87:IB107" si="650">IF(IC87=1,$GU$3+SUM($GY$6:$GY$8),0)</f>
        <v>0</v>
      </c>
      <c r="IC87" s="226">
        <f t="shared" ref="IC87:IC107" si="651">IF(GV87="Hasil Valuasi",GQ87,0)</f>
        <v>0</v>
      </c>
      <c r="ID87" s="226">
        <f t="shared" ref="ID87:ID107" si="652">IF(IC87=1,E87,0)</f>
        <v>0</v>
      </c>
      <c r="IE87" s="232">
        <f t="shared" ref="IE87:IE107" si="653">IF(IF87=1,IB87+$HI$8,0)</f>
        <v>0</v>
      </c>
      <c r="IF87" s="226">
        <f t="shared" ref="IF87:IF107" si="654">IC87</f>
        <v>0</v>
      </c>
      <c r="IG87" s="226">
        <f t="shared" ref="IG87:IG107" si="655">IF(IF87=1,E87,0)</f>
        <v>0</v>
      </c>
      <c r="IH87" s="232">
        <f t="shared" ref="IH87:IH107" si="656">IF(II87=1,$GU$3+SUM($GY$5:$GY$8),0)</f>
        <v>0</v>
      </c>
      <c r="II87" s="226">
        <f t="shared" ref="II87:II107" si="657">IF(GV87="Survey KJPP",GP87,0)</f>
        <v>0</v>
      </c>
      <c r="IJ87" s="226">
        <f t="shared" ref="IJ87:IJ107" si="658">IF(II87=1,E87,0)</f>
        <v>0</v>
      </c>
      <c r="IK87" s="232">
        <f t="shared" ref="IK87:IK107" si="659">IF(IL87=1,IH87+$HI$8,0)</f>
        <v>0</v>
      </c>
      <c r="IL87" s="226">
        <f t="shared" ref="IL87:IL107" si="660">II87</f>
        <v>0</v>
      </c>
      <c r="IM87" s="226">
        <f t="shared" ref="IM87:IM107" si="661">IF(IL87=1,E87,0)</f>
        <v>0</v>
      </c>
      <c r="IN87" s="204"/>
      <c r="IO87" s="203">
        <f t="shared" ref="IO87:IO107" si="662">IF(IP87=1,+$GU$3+$HH$8,0)</f>
        <v>0</v>
      </c>
      <c r="IP87" s="202">
        <f t="shared" ref="IP87:IP107" si="663">IF(BG87&gt;0,1,0)</f>
        <v>0</v>
      </c>
      <c r="IQ87" s="202">
        <f t="shared" ref="IQ87:IQ107" si="664">IF(IP87=1,E87,0)</f>
        <v>0</v>
      </c>
      <c r="IR87" s="204"/>
      <c r="IS87" s="203"/>
      <c r="IT87" s="202">
        <f t="shared" ref="IT87:IT107" si="665">V87</f>
        <v>0</v>
      </c>
      <c r="IU87" s="226">
        <f t="shared" ref="IU87:IU107" si="666">W87</f>
        <v>0</v>
      </c>
      <c r="IV87" s="204"/>
      <c r="IW87" s="203"/>
      <c r="IX87" s="202">
        <f t="shared" ref="IX87:IX107" si="667">AA87</f>
        <v>0</v>
      </c>
      <c r="IY87" s="202">
        <f t="shared" ref="IY87:IY107" si="668">AB87</f>
        <v>0</v>
      </c>
      <c r="IZ87" s="204"/>
      <c r="JA87" s="203"/>
      <c r="JB87" s="202">
        <f t="shared" ref="JB87:JB107" si="669">AN87</f>
        <v>1</v>
      </c>
      <c r="JC87" s="226">
        <f t="shared" ref="JC87:JC107" si="670">BB87</f>
        <v>170</v>
      </c>
      <c r="JD87" s="204"/>
      <c r="JE87" s="203"/>
      <c r="JF87" s="202">
        <f t="shared" ref="JF87:JF107" si="671">IT87+HQ87+HT87+HZ87+IF87+IL87+IP87+IX87+JB87</f>
        <v>1</v>
      </c>
      <c r="JG87" s="202">
        <f t="shared" ref="JG87:JG107" si="672">IU87+HR87+HU87+IA87+IG87+IM87+IQ87+IY87+JC87</f>
        <v>170</v>
      </c>
      <c r="JH87" s="204"/>
      <c r="JI87" s="203"/>
      <c r="JJ87" s="202">
        <f t="shared" ref="JJ87:JJ107" si="673">JF87-D87</f>
        <v>0</v>
      </c>
      <c r="JK87" s="202">
        <f t="shared" ref="JK87:JK107" si="674">JG87-E87</f>
        <v>0</v>
      </c>
      <c r="JL87" s="195"/>
      <c r="JM87" s="203">
        <f t="shared" ref="JM87:JM107" si="675">MAX(IW87,IS87,IO87,IK87,IE87,HY87,HS87,HP87)</f>
        <v>0</v>
      </c>
      <c r="JN87" s="195"/>
      <c r="JO87" s="196">
        <f t="shared" ref="JO87:JO107" si="676">SUM(JQ87:KB87)</f>
        <v>0</v>
      </c>
      <c r="JP87" s="206">
        <f t="shared" ref="JP87:JP107" si="677">BN87+CR87</f>
        <v>0</v>
      </c>
      <c r="JQ87" s="206">
        <f t="shared" ref="JQ87:JQ107" si="678">IF(BO87+CS87=2,1,IF(BO87+CS87=1,1,0))</f>
        <v>0</v>
      </c>
      <c r="JR87" s="206">
        <f t="shared" ref="JR87:JR107" si="679">IF(BP87+CT87=2,1,IF(BP87+CT87=1,1,0))</f>
        <v>0</v>
      </c>
      <c r="JS87" s="206">
        <f t="shared" ref="JS87:JS107" si="680">IF(BQ87+CU87=2,1,IF(BQ87+CU87=1,1,0))</f>
        <v>0</v>
      </c>
      <c r="JT87" s="206">
        <f t="shared" ref="JT87:JT107" si="681">IF(BR87+CV87=2,1,IF(BR87+CV87=1,1,0))</f>
        <v>0</v>
      </c>
      <c r="JU87" s="206">
        <f t="shared" ref="JU87:JU107" si="682">IF(BS87+CW87=2,1,IF(BS87+CW87=1,1,0))</f>
        <v>0</v>
      </c>
      <c r="JV87" s="206">
        <f t="shared" ref="JV87:JV107" si="683">IF(BT87+CX87=2,1,IF(BT87+CX87=1,1,0))</f>
        <v>0</v>
      </c>
      <c r="JW87" s="206">
        <f t="shared" ref="JW87:JW107" si="684">IF(BU87+CY87=2,1,IF(BU87+CY87=1,1,0))</f>
        <v>0</v>
      </c>
      <c r="JX87" s="206">
        <f t="shared" ref="JX87:JX107" si="685">IF(BV87+CZ87=2,1,IF(BV87+CZ87=1,1,0))</f>
        <v>0</v>
      </c>
      <c r="JY87" s="206">
        <f t="shared" ref="JY87:JY107" si="686">IF(BW87+DA87=2,1,IF(BW87+DA87=1,1,0))</f>
        <v>0</v>
      </c>
      <c r="JZ87" s="206">
        <f t="shared" ref="JZ87:JZ107" si="687">IF(BX87+DB87=2,1,IF(BX87+DB87=1,1,0))</f>
        <v>0</v>
      </c>
      <c r="KA87" s="206">
        <f t="shared" ref="KA87:KA107" si="688">IF(BY87+DC87=2,1,IF(BY87+DC87=1,1,0))</f>
        <v>0</v>
      </c>
      <c r="KB87" s="206">
        <f t="shared" ref="KB87:KB107" si="689">IF(BZ87+DD87=2,1,IF(BZ87+DD87=1,1,0))</f>
        <v>0</v>
      </c>
      <c r="KC87" s="195"/>
      <c r="KD87" s="206">
        <f t="shared" ref="KD87:KD107" si="690">IF(IF(SUM(GA87:GE87)&gt;100,1,0)+IF(FX87=1,1,0)=2,1,0)</f>
        <v>0</v>
      </c>
      <c r="KE87" s="206">
        <f t="shared" ref="KE87:KE107" si="691">IF(KD87=1,KF87,0)</f>
        <v>0</v>
      </c>
      <c r="KF87" s="206">
        <f t="shared" ref="KF87:KF107" si="692">CD87+DH87</f>
        <v>0</v>
      </c>
      <c r="KG87" s="206">
        <f t="shared" ref="KG87:KG107" si="693">CE87+DI87</f>
        <v>0</v>
      </c>
      <c r="KH87" s="206">
        <f t="shared" ref="KH87:KH107" si="694">CF87+DJ87</f>
        <v>0</v>
      </c>
      <c r="KI87" s="206">
        <f t="shared" ref="KI87:KI107" si="695">CG87+DK87</f>
        <v>0</v>
      </c>
      <c r="KJ87" s="206">
        <f t="shared" ref="KJ87:KJ107" si="696">CH87+DL87</f>
        <v>0</v>
      </c>
      <c r="KK87" s="206">
        <f t="shared" ref="KK87:KK107" si="697">CI87+DM87</f>
        <v>0</v>
      </c>
      <c r="KL87" s="206">
        <f t="shared" ref="KL87:KL107" si="698">CJ87+DN87</f>
        <v>0</v>
      </c>
      <c r="KM87" s="206">
        <f t="shared" ref="KM87:KM107" si="699">CK87+DO87</f>
        <v>0</v>
      </c>
      <c r="KN87" s="221">
        <f t="shared" ref="KN87:KN107" si="700">CL87+DP87</f>
        <v>0</v>
      </c>
      <c r="KO87" s="221">
        <f t="shared" ref="KO87:KO107" si="701">CM87+DQ87</f>
        <v>0</v>
      </c>
      <c r="KP87" s="221">
        <f t="shared" ref="KP87:KP107" si="702">CN87+DR87</f>
        <v>0</v>
      </c>
      <c r="KQ87" s="221">
        <f t="shared" ref="KQ87:KQ107" si="703">CO87+DS87</f>
        <v>0</v>
      </c>
      <c r="KR87" s="221">
        <f t="shared" ref="KR87:KR107" si="704">CP87+DT87</f>
        <v>0</v>
      </c>
      <c r="KS87" s="195">
        <v>2</v>
      </c>
      <c r="KT87" s="195">
        <f t="shared" ref="KT87:KT107" si="705">AN87</f>
        <v>1</v>
      </c>
      <c r="KU87" s="221"/>
      <c r="KV87" s="221"/>
      <c r="KW87" s="221"/>
      <c r="KX87" s="221"/>
      <c r="KY87" s="221"/>
      <c r="KZ87" s="221"/>
      <c r="LA87" s="221"/>
      <c r="LB87" s="221"/>
      <c r="LC87" s="221"/>
      <c r="LD87" s="221"/>
      <c r="LE87" s="221"/>
      <c r="LF87" s="221"/>
      <c r="LG87" s="221"/>
      <c r="LH87" s="221"/>
      <c r="LI87" s="221"/>
      <c r="LJ87" s="221"/>
      <c r="LK87" s="221"/>
      <c r="LL87" s="221"/>
      <c r="LM87" s="221">
        <v>1</v>
      </c>
      <c r="LN87" s="221">
        <v>1</v>
      </c>
      <c r="LO87" s="221"/>
      <c r="LP87" s="221"/>
      <c r="LQ87" s="221"/>
      <c r="LR87" s="221"/>
      <c r="LS87" s="221"/>
      <c r="LT87" s="221"/>
      <c r="LU87" s="221"/>
      <c r="LV87" s="221"/>
      <c r="LW87" s="221"/>
      <c r="LX87" s="221"/>
      <c r="LY87" s="221"/>
      <c r="LZ87" s="221"/>
      <c r="MA87" s="221"/>
      <c r="MB87" s="221"/>
      <c r="MC87" s="221"/>
      <c r="MD87" s="221"/>
      <c r="ME87" s="221"/>
      <c r="MF87" s="221"/>
      <c r="MG87" s="221"/>
      <c r="MH87" s="221"/>
      <c r="MI87" s="221"/>
      <c r="MJ87" s="221"/>
      <c r="MK87" s="221"/>
      <c r="ML87" s="221"/>
      <c r="MM87" s="221"/>
      <c r="MN87" s="221"/>
      <c r="MO87" s="221"/>
      <c r="MP87" s="221"/>
      <c r="MQ87" s="221"/>
      <c r="MR87" s="221"/>
      <c r="MS87" s="221"/>
      <c r="MT87" s="221"/>
      <c r="MU87" s="221"/>
      <c r="MV87" s="221"/>
      <c r="MW87" s="221"/>
      <c r="MX87" s="221"/>
      <c r="MY87" s="221"/>
      <c r="MZ87" s="221"/>
      <c r="NA87" s="221"/>
      <c r="NB87" s="221"/>
      <c r="NC87" s="221"/>
      <c r="ND87" s="221"/>
      <c r="NE87" s="221"/>
      <c r="NF87" s="221"/>
      <c r="NG87" s="221"/>
      <c r="NH87" s="221"/>
      <c r="NI87" s="221"/>
      <c r="NJ87" s="221"/>
      <c r="NK87" s="221"/>
      <c r="NL87" s="195"/>
      <c r="NM87" s="195">
        <f t="shared" ref="NM87:NM107" si="706">IF(KS87=1,1,0)</f>
        <v>0</v>
      </c>
      <c r="NN87" s="195">
        <f t="shared" ref="NN87:NN107" si="707">IF(KS87=2,1,0)</f>
        <v>1</v>
      </c>
      <c r="NO87" s="195">
        <f t="shared" ref="NO87:NO107" si="708">IF(KS87=3,1,0)</f>
        <v>0</v>
      </c>
      <c r="NP87" s="195">
        <f t="shared" ref="NP87:NP107" si="709">IF(KS87=4,1,0)</f>
        <v>0</v>
      </c>
      <c r="NQ87" s="195">
        <f t="shared" ref="NQ87:NQ107" si="710">IF(KS87=5,1,0)</f>
        <v>0</v>
      </c>
      <c r="NR87" s="195">
        <f t="shared" ref="NR87:NR107" si="711">IF(KS87=6,1,0)</f>
        <v>0</v>
      </c>
      <c r="NS87" s="195">
        <f t="shared" ref="NS87:NS107" si="712">IF(KS87=7,1,0)</f>
        <v>0</v>
      </c>
      <c r="NT87" s="195">
        <f t="shared" ref="NT87:NT107" si="713">SUM(NM87:NS87)</f>
        <v>1</v>
      </c>
      <c r="NU87" s="196">
        <f t="shared" ref="NU87:NU107" si="714">NT87-KT87</f>
        <v>0</v>
      </c>
      <c r="NV87" s="195"/>
      <c r="NW87" s="195"/>
      <c r="NX87" s="195"/>
      <c r="NY87" s="196">
        <f t="shared" si="423"/>
        <v>0</v>
      </c>
      <c r="NZ87" s="222"/>
      <c r="OA87" s="195"/>
      <c r="OB87" s="195"/>
      <c r="OC87" s="195"/>
      <c r="OD87" s="195"/>
      <c r="OE87" s="207"/>
      <c r="OF87" s="207"/>
      <c r="OG87" s="207"/>
      <c r="OH87" s="207"/>
      <c r="OI87" s="207"/>
      <c r="OJ87" s="199"/>
      <c r="OK87" s="199"/>
      <c r="OL87" s="199"/>
      <c r="OM87" s="199"/>
      <c r="ON87" s="195"/>
      <c r="OO87" s="207"/>
      <c r="OP87" s="207"/>
      <c r="OQ87" s="207"/>
      <c r="OR87" s="207"/>
      <c r="OS87" s="207"/>
      <c r="OT87" s="199"/>
      <c r="OU87" s="199"/>
      <c r="OV87" s="199"/>
      <c r="OW87" s="199"/>
      <c r="OX87" s="195"/>
      <c r="OY87" s="195"/>
      <c r="OZ87" s="195"/>
      <c r="PA87" s="260">
        <v>1</v>
      </c>
      <c r="PB87" s="260"/>
      <c r="PC87" s="260"/>
      <c r="PD87" s="210">
        <f t="shared" si="430"/>
        <v>0</v>
      </c>
      <c r="PE87" s="210"/>
      <c r="PF87" s="210">
        <f t="shared" si="431"/>
        <v>0</v>
      </c>
      <c r="PG87" s="210">
        <f t="shared" si="302"/>
        <v>170</v>
      </c>
      <c r="PH87" s="210">
        <f t="shared" si="302"/>
        <v>0</v>
      </c>
      <c r="PI87" s="210">
        <f t="shared" si="302"/>
        <v>0</v>
      </c>
      <c r="PJ87" s="210">
        <f t="shared" si="300"/>
        <v>0</v>
      </c>
      <c r="PK87" s="210">
        <f t="shared" si="300"/>
        <v>0</v>
      </c>
      <c r="PL87" s="210">
        <f t="shared" si="300"/>
        <v>0</v>
      </c>
      <c r="PM87" s="195"/>
      <c r="PN87" s="195"/>
      <c r="PO87" s="212">
        <f t="shared" ref="PO87:PO107" si="715">IF(FC87=1,AB87,0)</f>
        <v>0</v>
      </c>
      <c r="PP87" s="212">
        <f t="shared" ref="PP87:PP107" si="716">IF(FF87=1,AB87,0)</f>
        <v>0</v>
      </c>
      <c r="PQ87" s="212">
        <f t="shared" ref="PQ87:PQ107" si="717">AB87-(PO87+PP87)</f>
        <v>0</v>
      </c>
    </row>
    <row r="88" spans="1:433 16383:16383" ht="16" x14ac:dyDescent="0.2">
      <c r="A88" s="213">
        <f t="shared" ref="A88:A101" si="718">A87+1</f>
        <v>79</v>
      </c>
      <c r="B88" s="186" t="s">
        <v>633</v>
      </c>
      <c r="C88" s="255">
        <v>80</v>
      </c>
      <c r="D88" s="188">
        <v>1</v>
      </c>
      <c r="E88" s="188">
        <v>160</v>
      </c>
      <c r="F88" s="188">
        <v>1</v>
      </c>
      <c r="G88" s="188">
        <f t="shared" ref="G88:G101" si="719">E88</f>
        <v>160</v>
      </c>
      <c r="H88" s="214">
        <f t="shared" si="566"/>
        <v>1</v>
      </c>
      <c r="I88" s="214">
        <f t="shared" ref="I88:I107" si="720">G88/$E88</f>
        <v>1</v>
      </c>
      <c r="J88" s="188">
        <v>1</v>
      </c>
      <c r="K88" s="188">
        <f t="shared" si="567"/>
        <v>160</v>
      </c>
      <c r="L88" s="214">
        <f t="shared" si="568"/>
        <v>1</v>
      </c>
      <c r="M88" s="214">
        <f t="shared" ref="M88:M107" si="721">K88/$E88</f>
        <v>1</v>
      </c>
      <c r="N88" s="188">
        <v>1</v>
      </c>
      <c r="O88" s="188">
        <f t="shared" ref="O88:O107" si="722">IF(N88=D88,E88,0)</f>
        <v>160</v>
      </c>
      <c r="P88" s="214">
        <f t="shared" si="569"/>
        <v>1</v>
      </c>
      <c r="Q88" s="214">
        <f t="shared" si="570"/>
        <v>1</v>
      </c>
      <c r="R88" s="188">
        <v>1</v>
      </c>
      <c r="S88" s="188">
        <f t="shared" si="571"/>
        <v>160</v>
      </c>
      <c r="T88" s="214">
        <f t="shared" si="572"/>
        <v>1</v>
      </c>
      <c r="U88" s="214">
        <f t="shared" si="573"/>
        <v>1</v>
      </c>
      <c r="V88" s="188">
        <v>1</v>
      </c>
      <c r="W88" s="188">
        <f t="shared" si="574"/>
        <v>160</v>
      </c>
      <c r="X88" s="214">
        <f t="shared" si="575"/>
        <v>1</v>
      </c>
      <c r="Y88" s="214">
        <v>0</v>
      </c>
      <c r="Z88" s="224">
        <f>2249338000/1000000000</f>
        <v>2.2493379999999998</v>
      </c>
      <c r="AA88" s="188"/>
      <c r="AB88" s="188">
        <v>0</v>
      </c>
      <c r="AC88" s="214">
        <f t="shared" si="576"/>
        <v>0</v>
      </c>
      <c r="AD88" s="214">
        <v>0</v>
      </c>
      <c r="AE88" s="188"/>
      <c r="AF88" s="188">
        <f t="shared" si="577"/>
        <v>0</v>
      </c>
      <c r="AG88" s="187"/>
      <c r="AH88" s="254"/>
      <c r="AI88" s="188">
        <v>0</v>
      </c>
      <c r="AJ88" s="188">
        <f t="shared" si="578"/>
        <v>0</v>
      </c>
      <c r="AK88" s="188"/>
      <c r="AL88" s="188">
        <v>0</v>
      </c>
      <c r="AM88" s="188">
        <v>0</v>
      </c>
      <c r="AN88" s="217"/>
      <c r="AO88" s="196">
        <f t="shared" si="579"/>
        <v>0</v>
      </c>
      <c r="AP88" s="195"/>
      <c r="AQ88" s="195"/>
      <c r="AR88" s="195"/>
      <c r="AS88" s="195"/>
      <c r="AT88" s="195"/>
      <c r="AU88" s="195"/>
      <c r="AV88" s="195"/>
      <c r="AW88" s="195"/>
      <c r="AX88" s="195"/>
      <c r="AY88" s="195"/>
      <c r="AZ88" s="195"/>
      <c r="BA88" s="195"/>
      <c r="BB88" s="188">
        <f t="shared" si="580"/>
        <v>0</v>
      </c>
      <c r="BC88" s="195"/>
      <c r="BD88" s="196"/>
      <c r="BE88" s="226">
        <f t="shared" si="581"/>
        <v>0</v>
      </c>
      <c r="BF88" s="188">
        <f t="shared" si="582"/>
        <v>0</v>
      </c>
      <c r="BG88" s="188">
        <f t="shared" si="583"/>
        <v>0</v>
      </c>
      <c r="BH88" s="188">
        <f t="shared" si="584"/>
        <v>0</v>
      </c>
      <c r="BI88" s="188">
        <f t="shared" si="585"/>
        <v>0</v>
      </c>
      <c r="BJ88" s="188">
        <f t="shared" si="586"/>
        <v>0</v>
      </c>
      <c r="BK88" s="188">
        <f t="shared" si="587"/>
        <v>0</v>
      </c>
      <c r="BL88" s="195"/>
      <c r="BM88" s="195"/>
      <c r="BN88" s="215"/>
      <c r="BO88" s="218"/>
      <c r="BP88" s="188"/>
      <c r="BQ88" s="188"/>
      <c r="BR88" s="188"/>
      <c r="BS88" s="188"/>
      <c r="BT88" s="188"/>
      <c r="BU88" s="188"/>
      <c r="BV88" s="188"/>
      <c r="BW88" s="188"/>
      <c r="BX88" s="188"/>
      <c r="BY88" s="188"/>
      <c r="BZ88" s="188"/>
      <c r="CA88" s="195"/>
      <c r="CB88" s="188"/>
      <c r="CC88" s="195"/>
      <c r="CD88" s="189">
        <f t="shared" si="588"/>
        <v>0</v>
      </c>
      <c r="CE88" s="189">
        <f t="shared" si="589"/>
        <v>0</v>
      </c>
      <c r="CF88" s="189">
        <f t="shared" si="590"/>
        <v>0</v>
      </c>
      <c r="CG88" s="189">
        <f t="shared" si="591"/>
        <v>0</v>
      </c>
      <c r="CH88" s="189">
        <f t="shared" si="592"/>
        <v>0</v>
      </c>
      <c r="CI88" s="189">
        <f t="shared" si="593"/>
        <v>0</v>
      </c>
      <c r="CJ88" s="189">
        <f t="shared" si="594"/>
        <v>0</v>
      </c>
      <c r="CK88" s="189">
        <f t="shared" si="595"/>
        <v>0</v>
      </c>
      <c r="CL88" s="189">
        <f t="shared" si="596"/>
        <v>0</v>
      </c>
      <c r="CM88" s="189">
        <f t="shared" si="597"/>
        <v>0</v>
      </c>
      <c r="CN88" s="189">
        <f t="shared" si="598"/>
        <v>0</v>
      </c>
      <c r="CO88" s="189">
        <f t="shared" si="599"/>
        <v>0</v>
      </c>
      <c r="CP88" s="189">
        <f t="shared" si="600"/>
        <v>0</v>
      </c>
      <c r="CQ88" s="195"/>
      <c r="CR88" s="195"/>
      <c r="CS88" s="195"/>
      <c r="CT88" s="195"/>
      <c r="CU88" s="195"/>
      <c r="CV88" s="195"/>
      <c r="CW88" s="195"/>
      <c r="CX88" s="195"/>
      <c r="CY88" s="195"/>
      <c r="CZ88" s="195"/>
      <c r="DA88" s="195"/>
      <c r="DB88" s="195"/>
      <c r="DC88" s="195"/>
      <c r="DD88" s="195"/>
      <c r="DE88" s="195"/>
      <c r="DF88" s="195"/>
      <c r="DG88" s="195"/>
      <c r="DH88" s="195"/>
      <c r="DI88" s="195"/>
      <c r="DJ88" s="195"/>
      <c r="DK88" s="195"/>
      <c r="DL88" s="195"/>
      <c r="DM88" s="195"/>
      <c r="DN88" s="195"/>
      <c r="DO88" s="195"/>
      <c r="DP88" s="195"/>
      <c r="DQ88" s="195"/>
      <c r="DR88" s="195"/>
      <c r="DS88" s="195"/>
      <c r="DT88" s="195"/>
      <c r="DU88" s="195"/>
      <c r="DV88" s="188">
        <f t="shared" si="601"/>
        <v>0</v>
      </c>
      <c r="DW88" s="188">
        <f t="shared" si="602"/>
        <v>0</v>
      </c>
      <c r="DX88" s="188">
        <f t="shared" si="603"/>
        <v>0</v>
      </c>
      <c r="DY88" s="188">
        <f t="shared" si="604"/>
        <v>0</v>
      </c>
      <c r="DZ88" s="188">
        <f t="shared" si="605"/>
        <v>0</v>
      </c>
      <c r="EA88" s="188">
        <f t="shared" si="606"/>
        <v>0</v>
      </c>
      <c r="EB88" s="188">
        <f t="shared" si="607"/>
        <v>0</v>
      </c>
      <c r="EC88" s="195"/>
      <c r="ED88" s="195"/>
      <c r="EE88" s="195"/>
      <c r="EF88" s="195"/>
      <c r="EG88" s="252">
        <f t="shared" si="608"/>
        <v>0</v>
      </c>
      <c r="EH88" s="252">
        <f t="shared" si="609"/>
        <v>0</v>
      </c>
      <c r="EI88" s="189">
        <v>1</v>
      </c>
      <c r="EJ88" s="189">
        <v>1</v>
      </c>
      <c r="EK88" s="189"/>
      <c r="EL88" s="189"/>
      <c r="EM88" s="189"/>
      <c r="EN88" s="189"/>
      <c r="EO88" s="189"/>
      <c r="EP88" s="189"/>
      <c r="EQ88" s="189"/>
      <c r="ER88" s="189"/>
      <c r="ES88" s="189"/>
      <c r="ET88" s="189"/>
      <c r="EU88" s="189"/>
      <c r="EV88" s="189"/>
      <c r="EW88" s="189"/>
      <c r="EX88" s="189"/>
      <c r="EY88" s="189"/>
      <c r="EZ88" s="189"/>
      <c r="FA88" s="189"/>
      <c r="FB88" s="189"/>
      <c r="FC88" s="189"/>
      <c r="FD88" s="189"/>
      <c r="FE88" s="189"/>
      <c r="FF88" s="189"/>
      <c r="FG88" s="195"/>
      <c r="FH88" s="189"/>
      <c r="FI88" s="189"/>
      <c r="FJ88" s="189"/>
      <c r="FK88" s="189"/>
      <c r="FL88" s="189"/>
      <c r="FM88" s="189"/>
      <c r="FN88" s="189"/>
      <c r="FO88" s="189"/>
      <c r="FP88" s="189"/>
      <c r="FQ88" s="189"/>
      <c r="FR88" s="189"/>
      <c r="FS88" s="189"/>
      <c r="FT88" s="189"/>
      <c r="FU88" s="189"/>
      <c r="FV88" s="189"/>
      <c r="FW88" s="195"/>
      <c r="FX88" s="253"/>
      <c r="FY88" s="189">
        <f t="shared" si="610"/>
        <v>0</v>
      </c>
      <c r="FZ88" s="189">
        <f t="shared" si="611"/>
        <v>0</v>
      </c>
      <c r="GA88" s="189">
        <f t="shared" si="612"/>
        <v>0</v>
      </c>
      <c r="GB88" s="189">
        <f t="shared" si="613"/>
        <v>0</v>
      </c>
      <c r="GC88" s="189">
        <f t="shared" si="614"/>
        <v>0</v>
      </c>
      <c r="GD88" s="189">
        <f t="shared" si="615"/>
        <v>0</v>
      </c>
      <c r="GE88" s="189">
        <f t="shared" si="616"/>
        <v>0</v>
      </c>
      <c r="GF88" s="235"/>
      <c r="GG88" s="256">
        <v>0</v>
      </c>
      <c r="GH88" s="257">
        <v>0</v>
      </c>
      <c r="GI88" s="235"/>
      <c r="GJ88" s="258">
        <f t="shared" si="617"/>
        <v>0</v>
      </c>
      <c r="GK88" s="259">
        <f t="shared" si="618"/>
        <v>0</v>
      </c>
      <c r="GL88" s="195"/>
      <c r="GM88" s="195"/>
      <c r="GN88" s="195"/>
      <c r="GO88" s="188">
        <f t="shared" si="619"/>
        <v>0</v>
      </c>
      <c r="GP88" s="188">
        <f t="shared" si="620"/>
        <v>0</v>
      </c>
      <c r="GQ88" s="188">
        <f t="shared" si="621"/>
        <v>0</v>
      </c>
      <c r="GR88" s="188">
        <f t="shared" si="622"/>
        <v>0</v>
      </c>
      <c r="GS88" s="188">
        <f t="shared" si="623"/>
        <v>0</v>
      </c>
      <c r="GT88" s="188">
        <f t="shared" si="624"/>
        <v>1</v>
      </c>
      <c r="GU88" s="228">
        <f t="shared" si="457"/>
        <v>43243</v>
      </c>
      <c r="GV88" s="188" t="str">
        <f t="shared" si="625"/>
        <v>SELESAI</v>
      </c>
      <c r="GW88" s="188">
        <f t="shared" si="626"/>
        <v>0</v>
      </c>
      <c r="GX88" s="188" t="str">
        <f t="shared" si="627"/>
        <v>SELESAI</v>
      </c>
      <c r="GY88" s="188">
        <f t="shared" si="628"/>
        <v>0</v>
      </c>
      <c r="GZ88" s="228" t="str">
        <f t="shared" si="629"/>
        <v>SELESAI</v>
      </c>
      <c r="HA88" s="204"/>
      <c r="HB88" s="204"/>
      <c r="HC88" s="188">
        <f t="shared" si="630"/>
        <v>0</v>
      </c>
      <c r="HD88" s="188">
        <f t="shared" si="631"/>
        <v>0</v>
      </c>
      <c r="HE88" s="188">
        <f t="shared" si="632"/>
        <v>0</v>
      </c>
      <c r="HF88" s="188">
        <f t="shared" si="633"/>
        <v>0</v>
      </c>
      <c r="HG88" s="188">
        <f t="shared" si="634"/>
        <v>0</v>
      </c>
      <c r="HH88" s="228" t="str">
        <f t="shared" si="635"/>
        <v>TIDAK KONSINYASI</v>
      </c>
      <c r="HI88" s="228" t="str">
        <f t="shared" si="636"/>
        <v>SELESAI</v>
      </c>
      <c r="HJ88" s="195"/>
      <c r="HK88" s="201">
        <f t="shared" si="637"/>
        <v>0</v>
      </c>
      <c r="HL88" s="204"/>
      <c r="HM88" s="204"/>
      <c r="HN88" s="204"/>
      <c r="HO88" s="204"/>
      <c r="HP88" s="203">
        <f t="shared" si="638"/>
        <v>0</v>
      </c>
      <c r="HQ88" s="202">
        <f t="shared" si="639"/>
        <v>0</v>
      </c>
      <c r="HR88" s="202">
        <f t="shared" si="640"/>
        <v>0</v>
      </c>
      <c r="HS88" s="203">
        <f t="shared" si="641"/>
        <v>0</v>
      </c>
      <c r="HT88" s="202">
        <f t="shared" si="642"/>
        <v>0</v>
      </c>
      <c r="HU88" s="202">
        <f t="shared" si="643"/>
        <v>0</v>
      </c>
      <c r="HV88" s="203">
        <f t="shared" si="644"/>
        <v>0</v>
      </c>
      <c r="HW88" s="202">
        <f t="shared" si="645"/>
        <v>0</v>
      </c>
      <c r="HX88" s="202">
        <f t="shared" si="646"/>
        <v>0</v>
      </c>
      <c r="HY88" s="203">
        <f t="shared" si="647"/>
        <v>0</v>
      </c>
      <c r="HZ88" s="202">
        <f t="shared" si="648"/>
        <v>0</v>
      </c>
      <c r="IA88" s="202">
        <f t="shared" si="649"/>
        <v>0</v>
      </c>
      <c r="IB88" s="232">
        <f t="shared" si="650"/>
        <v>0</v>
      </c>
      <c r="IC88" s="226">
        <f t="shared" si="651"/>
        <v>0</v>
      </c>
      <c r="ID88" s="226">
        <f t="shared" si="652"/>
        <v>0</v>
      </c>
      <c r="IE88" s="232">
        <f t="shared" si="653"/>
        <v>0</v>
      </c>
      <c r="IF88" s="226">
        <f t="shared" si="654"/>
        <v>0</v>
      </c>
      <c r="IG88" s="226">
        <f t="shared" si="655"/>
        <v>0</v>
      </c>
      <c r="IH88" s="232">
        <f t="shared" si="656"/>
        <v>0</v>
      </c>
      <c r="II88" s="226">
        <f t="shared" si="657"/>
        <v>0</v>
      </c>
      <c r="IJ88" s="226">
        <f t="shared" si="658"/>
        <v>0</v>
      </c>
      <c r="IK88" s="232">
        <f t="shared" si="659"/>
        <v>0</v>
      </c>
      <c r="IL88" s="226">
        <f t="shared" si="660"/>
        <v>0</v>
      </c>
      <c r="IM88" s="226">
        <f t="shared" si="661"/>
        <v>0</v>
      </c>
      <c r="IN88" s="204"/>
      <c r="IO88" s="203">
        <f t="shared" si="662"/>
        <v>0</v>
      </c>
      <c r="IP88" s="202">
        <f t="shared" si="663"/>
        <v>0</v>
      </c>
      <c r="IQ88" s="202">
        <f t="shared" si="664"/>
        <v>0</v>
      </c>
      <c r="IR88" s="204"/>
      <c r="IS88" s="203"/>
      <c r="IT88" s="202">
        <f t="shared" si="665"/>
        <v>1</v>
      </c>
      <c r="IU88" s="226">
        <f t="shared" si="666"/>
        <v>160</v>
      </c>
      <c r="IV88" s="204"/>
      <c r="IW88" s="203"/>
      <c r="IX88" s="202">
        <f t="shared" si="667"/>
        <v>0</v>
      </c>
      <c r="IY88" s="202">
        <f t="shared" si="668"/>
        <v>0</v>
      </c>
      <c r="IZ88" s="204"/>
      <c r="JA88" s="203"/>
      <c r="JB88" s="202">
        <f t="shared" si="669"/>
        <v>0</v>
      </c>
      <c r="JC88" s="226">
        <f t="shared" si="670"/>
        <v>0</v>
      </c>
      <c r="JD88" s="204"/>
      <c r="JE88" s="203"/>
      <c r="JF88" s="202">
        <f t="shared" si="671"/>
        <v>1</v>
      </c>
      <c r="JG88" s="202">
        <f t="shared" si="672"/>
        <v>160</v>
      </c>
      <c r="JH88" s="204"/>
      <c r="JI88" s="203"/>
      <c r="JJ88" s="202">
        <f t="shared" si="673"/>
        <v>0</v>
      </c>
      <c r="JK88" s="202">
        <f t="shared" si="674"/>
        <v>0</v>
      </c>
      <c r="JL88" s="195"/>
      <c r="JM88" s="203">
        <f t="shared" si="675"/>
        <v>0</v>
      </c>
      <c r="JN88" s="195"/>
      <c r="JO88" s="196">
        <f t="shared" si="676"/>
        <v>0</v>
      </c>
      <c r="JP88" s="206">
        <f t="shared" si="677"/>
        <v>0</v>
      </c>
      <c r="JQ88" s="206">
        <f t="shared" si="678"/>
        <v>0</v>
      </c>
      <c r="JR88" s="206">
        <f t="shared" si="679"/>
        <v>0</v>
      </c>
      <c r="JS88" s="206">
        <f t="shared" si="680"/>
        <v>0</v>
      </c>
      <c r="JT88" s="206">
        <f t="shared" si="681"/>
        <v>0</v>
      </c>
      <c r="JU88" s="206">
        <f t="shared" si="682"/>
        <v>0</v>
      </c>
      <c r="JV88" s="206">
        <f t="shared" si="683"/>
        <v>0</v>
      </c>
      <c r="JW88" s="206">
        <f t="shared" si="684"/>
        <v>0</v>
      </c>
      <c r="JX88" s="206">
        <f t="shared" si="685"/>
        <v>0</v>
      </c>
      <c r="JY88" s="206">
        <f t="shared" si="686"/>
        <v>0</v>
      </c>
      <c r="JZ88" s="206">
        <f t="shared" si="687"/>
        <v>0</v>
      </c>
      <c r="KA88" s="206">
        <f t="shared" si="688"/>
        <v>0</v>
      </c>
      <c r="KB88" s="206">
        <f t="shared" si="689"/>
        <v>0</v>
      </c>
      <c r="KC88" s="195"/>
      <c r="KD88" s="206">
        <f t="shared" si="690"/>
        <v>0</v>
      </c>
      <c r="KE88" s="206">
        <f t="shared" si="691"/>
        <v>0</v>
      </c>
      <c r="KF88" s="206">
        <f t="shared" si="692"/>
        <v>0</v>
      </c>
      <c r="KG88" s="206">
        <f t="shared" si="693"/>
        <v>0</v>
      </c>
      <c r="KH88" s="206">
        <f t="shared" si="694"/>
        <v>0</v>
      </c>
      <c r="KI88" s="206">
        <f t="shared" si="695"/>
        <v>0</v>
      </c>
      <c r="KJ88" s="206">
        <f t="shared" si="696"/>
        <v>0</v>
      </c>
      <c r="KK88" s="206">
        <f t="shared" si="697"/>
        <v>0</v>
      </c>
      <c r="KL88" s="206">
        <f t="shared" si="698"/>
        <v>0</v>
      </c>
      <c r="KM88" s="206">
        <f t="shared" si="699"/>
        <v>0</v>
      </c>
      <c r="KN88" s="221">
        <f t="shared" si="700"/>
        <v>0</v>
      </c>
      <c r="KO88" s="221">
        <f t="shared" si="701"/>
        <v>0</v>
      </c>
      <c r="KP88" s="221">
        <f t="shared" si="702"/>
        <v>0</v>
      </c>
      <c r="KQ88" s="221">
        <f t="shared" si="703"/>
        <v>0</v>
      </c>
      <c r="KR88" s="221">
        <f t="shared" si="704"/>
        <v>0</v>
      </c>
      <c r="KS88" s="195"/>
      <c r="KT88" s="195">
        <f t="shared" si="705"/>
        <v>0</v>
      </c>
      <c r="KU88" s="221"/>
      <c r="KV88" s="221"/>
      <c r="KW88" s="221"/>
      <c r="KX88" s="221"/>
      <c r="KY88" s="221"/>
      <c r="KZ88" s="221"/>
      <c r="LA88" s="221"/>
      <c r="LB88" s="221"/>
      <c r="LC88" s="221"/>
      <c r="LD88" s="221"/>
      <c r="LE88" s="221"/>
      <c r="LF88" s="221"/>
      <c r="LG88" s="221"/>
      <c r="LH88" s="221"/>
      <c r="LI88" s="221"/>
      <c r="LJ88" s="221"/>
      <c r="LK88" s="221"/>
      <c r="LL88" s="221"/>
      <c r="LM88" s="221"/>
      <c r="LN88" s="221"/>
      <c r="LO88" s="221"/>
      <c r="LP88" s="221"/>
      <c r="LQ88" s="221"/>
      <c r="LR88" s="221"/>
      <c r="LS88" s="221"/>
      <c r="LT88" s="221"/>
      <c r="LU88" s="221"/>
      <c r="LV88" s="221"/>
      <c r="LW88" s="221"/>
      <c r="LX88" s="221"/>
      <c r="LY88" s="221"/>
      <c r="LZ88" s="221"/>
      <c r="MA88" s="221"/>
      <c r="MB88" s="221"/>
      <c r="MC88" s="221"/>
      <c r="MD88" s="221"/>
      <c r="ME88" s="221"/>
      <c r="MF88" s="221"/>
      <c r="MG88" s="221"/>
      <c r="MH88" s="221"/>
      <c r="MI88" s="221"/>
      <c r="MJ88" s="221"/>
      <c r="MK88" s="221"/>
      <c r="ML88" s="221"/>
      <c r="MM88" s="221"/>
      <c r="MN88" s="221"/>
      <c r="MO88" s="221"/>
      <c r="MP88" s="221"/>
      <c r="MQ88" s="221"/>
      <c r="MR88" s="221"/>
      <c r="MS88" s="221"/>
      <c r="MT88" s="221"/>
      <c r="MU88" s="221"/>
      <c r="MV88" s="221"/>
      <c r="MW88" s="221"/>
      <c r="MX88" s="221"/>
      <c r="MY88" s="221"/>
      <c r="MZ88" s="221"/>
      <c r="NA88" s="221"/>
      <c r="NB88" s="221"/>
      <c r="NC88" s="221"/>
      <c r="ND88" s="221"/>
      <c r="NE88" s="221"/>
      <c r="NF88" s="221"/>
      <c r="NG88" s="221"/>
      <c r="NH88" s="221"/>
      <c r="NI88" s="221"/>
      <c r="NJ88" s="221"/>
      <c r="NK88" s="221"/>
      <c r="NL88" s="195"/>
      <c r="NM88" s="195">
        <f t="shared" si="706"/>
        <v>0</v>
      </c>
      <c r="NN88" s="195">
        <f t="shared" si="707"/>
        <v>0</v>
      </c>
      <c r="NO88" s="195">
        <f t="shared" si="708"/>
        <v>0</v>
      </c>
      <c r="NP88" s="195">
        <f t="shared" si="709"/>
        <v>0</v>
      </c>
      <c r="NQ88" s="195">
        <f t="shared" si="710"/>
        <v>0</v>
      </c>
      <c r="NR88" s="195">
        <f t="shared" si="711"/>
        <v>0</v>
      </c>
      <c r="NS88" s="195">
        <f t="shared" si="712"/>
        <v>0</v>
      </c>
      <c r="NT88" s="195">
        <f t="shared" si="713"/>
        <v>0</v>
      </c>
      <c r="NU88" s="196">
        <f t="shared" si="714"/>
        <v>0</v>
      </c>
      <c r="NV88" s="195"/>
      <c r="NW88" s="195"/>
      <c r="NX88" s="195"/>
      <c r="NY88" s="196">
        <f t="shared" si="423"/>
        <v>1</v>
      </c>
      <c r="NZ88" s="222">
        <v>9100280</v>
      </c>
      <c r="OA88" s="195"/>
      <c r="OB88" s="195"/>
      <c r="OC88" s="195"/>
      <c r="OD88" s="195"/>
      <c r="OE88" s="207">
        <f t="shared" ref="OE88:OE107" si="723">D88-J88</f>
        <v>0</v>
      </c>
      <c r="OF88" s="207">
        <f t="shared" ref="OF88:OF107" si="724">D88-N88</f>
        <v>0</v>
      </c>
      <c r="OG88" s="207">
        <f t="shared" ref="OG88:OG107" si="725">AN88</f>
        <v>0</v>
      </c>
      <c r="OH88" s="207">
        <f t="shared" ref="OH88:OH107" si="726">HE88</f>
        <v>0</v>
      </c>
      <c r="OI88" s="207">
        <f t="shared" ref="OI88:OI107" si="727">D88-R88</f>
        <v>0</v>
      </c>
      <c r="OJ88" s="199">
        <f t="shared" ref="OJ88:OJ107" si="728">IF(OG88=1,OF88,0)</f>
        <v>0</v>
      </c>
      <c r="OK88" s="199">
        <f t="shared" ref="OK88:OK107" si="729">IF(OH88=1,OF88,0)</f>
        <v>0</v>
      </c>
      <c r="OL88" s="199">
        <f t="shared" ref="OL88:OL107" si="730">IF((OG88+OH88)=0,OF88,0)</f>
        <v>0</v>
      </c>
      <c r="OM88" s="199">
        <f t="shared" ref="OM88:OM107" si="731">SUM(OJ88:OL88)</f>
        <v>0</v>
      </c>
      <c r="ON88" s="195"/>
      <c r="OO88" s="207">
        <f t="shared" ref="OO88:OO107" si="732">E88-K88</f>
        <v>0</v>
      </c>
      <c r="OP88" s="207">
        <f t="shared" ref="OP88:OP107" si="733">E88-O88</f>
        <v>0</v>
      </c>
      <c r="OQ88" s="207">
        <f t="shared" ref="OQ88:OQ107" si="734">OG88</f>
        <v>0</v>
      </c>
      <c r="OR88" s="207">
        <f t="shared" ref="OR88:OR107" si="735">OH88</f>
        <v>0</v>
      </c>
      <c r="OS88" s="207">
        <f t="shared" ref="OS88:OS107" si="736">OI88</f>
        <v>0</v>
      </c>
      <c r="OT88" s="199">
        <f t="shared" ref="OT88:OT107" si="737">IF(OQ88=1,OP88,0)</f>
        <v>0</v>
      </c>
      <c r="OU88" s="199">
        <f t="shared" ref="OU88:OU107" si="738">IF(OR88=1,OP88,0)</f>
        <v>0</v>
      </c>
      <c r="OV88" s="199">
        <f t="shared" ref="OV88:OV107" si="739">IF((OQ88+OR88)=0,OP88,0)</f>
        <v>0</v>
      </c>
      <c r="OW88" s="199">
        <f t="shared" ref="OW88:OW107" si="740">SUM(OT88:OV88)</f>
        <v>0</v>
      </c>
      <c r="OX88" s="195"/>
      <c r="OY88" s="195"/>
      <c r="OZ88" s="195"/>
      <c r="PA88" s="260"/>
      <c r="PB88" s="260"/>
      <c r="PC88" s="260"/>
      <c r="PD88" s="210">
        <f t="shared" si="430"/>
        <v>0</v>
      </c>
      <c r="PE88" s="210"/>
      <c r="PF88" s="210">
        <f t="shared" si="431"/>
        <v>0</v>
      </c>
      <c r="PG88" s="210">
        <f t="shared" si="302"/>
        <v>0</v>
      </c>
      <c r="PH88" s="210">
        <f t="shared" si="302"/>
        <v>0</v>
      </c>
      <c r="PI88" s="210">
        <f t="shared" si="302"/>
        <v>0</v>
      </c>
      <c r="PJ88" s="210">
        <f t="shared" si="300"/>
        <v>0</v>
      </c>
      <c r="PK88" s="210">
        <f t="shared" si="300"/>
        <v>0</v>
      </c>
      <c r="PL88" s="210">
        <f t="shared" si="300"/>
        <v>0</v>
      </c>
      <c r="PM88" s="195"/>
      <c r="PN88" s="195"/>
      <c r="PO88" s="212">
        <f t="shared" si="715"/>
        <v>0</v>
      </c>
      <c r="PP88" s="212">
        <f t="shared" si="716"/>
        <v>0</v>
      </c>
      <c r="PQ88" s="212">
        <f t="shared" si="717"/>
        <v>0</v>
      </c>
      <c r="XFC88">
        <v>2249338000</v>
      </c>
    </row>
    <row r="89" spans="1:433 16383:16383" ht="16" x14ac:dyDescent="0.2">
      <c r="A89" s="213">
        <f t="shared" si="718"/>
        <v>80</v>
      </c>
      <c r="B89" s="186" t="s">
        <v>633</v>
      </c>
      <c r="C89" s="255">
        <v>81</v>
      </c>
      <c r="D89" s="188">
        <v>1</v>
      </c>
      <c r="E89" s="188">
        <v>201</v>
      </c>
      <c r="F89" s="188">
        <v>1</v>
      </c>
      <c r="G89" s="188">
        <f t="shared" si="719"/>
        <v>201</v>
      </c>
      <c r="H89" s="214">
        <f t="shared" si="566"/>
        <v>1</v>
      </c>
      <c r="I89" s="214">
        <f t="shared" si="720"/>
        <v>1</v>
      </c>
      <c r="J89" s="188">
        <v>1</v>
      </c>
      <c r="K89" s="188">
        <f t="shared" si="567"/>
        <v>201</v>
      </c>
      <c r="L89" s="214">
        <f t="shared" si="568"/>
        <v>1</v>
      </c>
      <c r="M89" s="214">
        <f t="shared" si="721"/>
        <v>1</v>
      </c>
      <c r="N89" s="188">
        <v>1</v>
      </c>
      <c r="O89" s="188">
        <f t="shared" si="722"/>
        <v>201</v>
      </c>
      <c r="P89" s="214">
        <f t="shared" si="569"/>
        <v>1</v>
      </c>
      <c r="Q89" s="214">
        <f t="shared" si="570"/>
        <v>1</v>
      </c>
      <c r="R89" s="188">
        <v>1</v>
      </c>
      <c r="S89" s="188">
        <f t="shared" si="571"/>
        <v>201</v>
      </c>
      <c r="T89" s="214">
        <f t="shared" si="572"/>
        <v>1</v>
      </c>
      <c r="U89" s="214">
        <f t="shared" si="573"/>
        <v>1</v>
      </c>
      <c r="V89" s="188">
        <v>1</v>
      </c>
      <c r="W89" s="188">
        <f t="shared" si="574"/>
        <v>201</v>
      </c>
      <c r="X89" s="214">
        <f t="shared" si="575"/>
        <v>1</v>
      </c>
      <c r="Y89" s="214">
        <v>0</v>
      </c>
      <c r="Z89" s="224">
        <f>2894131000/1000000000</f>
        <v>2.8941309999999998</v>
      </c>
      <c r="AA89" s="188"/>
      <c r="AB89" s="188">
        <v>0</v>
      </c>
      <c r="AC89" s="214">
        <f t="shared" si="576"/>
        <v>0</v>
      </c>
      <c r="AD89" s="214">
        <v>0</v>
      </c>
      <c r="AE89" s="188"/>
      <c r="AF89" s="188">
        <f t="shared" si="577"/>
        <v>0</v>
      </c>
      <c r="AG89" s="187"/>
      <c r="AH89" s="187"/>
      <c r="AI89" s="188">
        <v>0</v>
      </c>
      <c r="AJ89" s="188">
        <f t="shared" si="578"/>
        <v>0</v>
      </c>
      <c r="AK89" s="188"/>
      <c r="AL89" s="188">
        <v>0</v>
      </c>
      <c r="AM89" s="188">
        <v>0</v>
      </c>
      <c r="AN89" s="217"/>
      <c r="AO89" s="196">
        <f t="shared" si="579"/>
        <v>0</v>
      </c>
      <c r="AP89" s="195"/>
      <c r="AQ89" s="195"/>
      <c r="AR89" s="195"/>
      <c r="AS89" s="195"/>
      <c r="AT89" s="195"/>
      <c r="AU89" s="195"/>
      <c r="AV89" s="195"/>
      <c r="AW89" s="195"/>
      <c r="AX89" s="195"/>
      <c r="AY89" s="195"/>
      <c r="AZ89" s="195"/>
      <c r="BA89" s="195"/>
      <c r="BB89" s="188">
        <f t="shared" si="580"/>
        <v>0</v>
      </c>
      <c r="BC89" s="195"/>
      <c r="BD89" s="196"/>
      <c r="BE89" s="226">
        <f t="shared" si="581"/>
        <v>0</v>
      </c>
      <c r="BF89" s="188">
        <f t="shared" si="582"/>
        <v>0</v>
      </c>
      <c r="BG89" s="188">
        <f t="shared" si="583"/>
        <v>0</v>
      </c>
      <c r="BH89" s="188">
        <f t="shared" si="584"/>
        <v>0</v>
      </c>
      <c r="BI89" s="188">
        <f t="shared" si="585"/>
        <v>0</v>
      </c>
      <c r="BJ89" s="188">
        <f t="shared" si="586"/>
        <v>0</v>
      </c>
      <c r="BK89" s="188">
        <f t="shared" si="587"/>
        <v>0</v>
      </c>
      <c r="BL89" s="195"/>
      <c r="BM89" s="195"/>
      <c r="BN89" s="215"/>
      <c r="BO89" s="218"/>
      <c r="BP89" s="188"/>
      <c r="BQ89" s="188"/>
      <c r="BR89" s="188"/>
      <c r="BS89" s="188"/>
      <c r="BT89" s="188"/>
      <c r="BU89" s="188"/>
      <c r="BV89" s="188"/>
      <c r="BW89" s="188"/>
      <c r="BX89" s="188"/>
      <c r="BY89" s="188"/>
      <c r="BZ89" s="188"/>
      <c r="CA89" s="195"/>
      <c r="CB89" s="188">
        <v>0</v>
      </c>
      <c r="CC89" s="195"/>
      <c r="CD89" s="189">
        <f t="shared" si="588"/>
        <v>0</v>
      </c>
      <c r="CE89" s="189">
        <f t="shared" si="589"/>
        <v>0</v>
      </c>
      <c r="CF89" s="189">
        <f t="shared" si="590"/>
        <v>0</v>
      </c>
      <c r="CG89" s="189">
        <f t="shared" si="591"/>
        <v>0</v>
      </c>
      <c r="CH89" s="189">
        <f t="shared" si="592"/>
        <v>0</v>
      </c>
      <c r="CI89" s="189">
        <f t="shared" si="593"/>
        <v>0</v>
      </c>
      <c r="CJ89" s="189">
        <f t="shared" si="594"/>
        <v>0</v>
      </c>
      <c r="CK89" s="189">
        <f t="shared" si="595"/>
        <v>0</v>
      </c>
      <c r="CL89" s="189">
        <f t="shared" si="596"/>
        <v>0</v>
      </c>
      <c r="CM89" s="189">
        <f t="shared" si="597"/>
        <v>0</v>
      </c>
      <c r="CN89" s="189">
        <f t="shared" si="598"/>
        <v>0</v>
      </c>
      <c r="CO89" s="189">
        <f t="shared" si="599"/>
        <v>0</v>
      </c>
      <c r="CP89" s="189">
        <f t="shared" si="600"/>
        <v>0</v>
      </c>
      <c r="CQ89" s="195"/>
      <c r="CR89" s="195"/>
      <c r="CS89" s="195"/>
      <c r="CT89" s="195"/>
      <c r="CU89" s="195"/>
      <c r="CV89" s="195"/>
      <c r="CW89" s="195"/>
      <c r="CX89" s="195"/>
      <c r="CY89" s="195"/>
      <c r="CZ89" s="195"/>
      <c r="DA89" s="195"/>
      <c r="DB89" s="195"/>
      <c r="DC89" s="195"/>
      <c r="DD89" s="195"/>
      <c r="DE89" s="195"/>
      <c r="DF89" s="195"/>
      <c r="DG89" s="195"/>
      <c r="DH89" s="195"/>
      <c r="DI89" s="195"/>
      <c r="DJ89" s="195"/>
      <c r="DK89" s="195"/>
      <c r="DL89" s="195"/>
      <c r="DM89" s="195"/>
      <c r="DN89" s="195"/>
      <c r="DO89" s="195"/>
      <c r="DP89" s="195"/>
      <c r="DQ89" s="195"/>
      <c r="DR89" s="195"/>
      <c r="DS89" s="195"/>
      <c r="DT89" s="195"/>
      <c r="DU89" s="195"/>
      <c r="DV89" s="188">
        <f t="shared" si="601"/>
        <v>0</v>
      </c>
      <c r="DW89" s="188">
        <f t="shared" si="602"/>
        <v>0</v>
      </c>
      <c r="DX89" s="188">
        <f t="shared" si="603"/>
        <v>0</v>
      </c>
      <c r="DY89" s="188">
        <f t="shared" si="604"/>
        <v>0</v>
      </c>
      <c r="DZ89" s="188">
        <f t="shared" si="605"/>
        <v>0</v>
      </c>
      <c r="EA89" s="188">
        <f t="shared" si="606"/>
        <v>0</v>
      </c>
      <c r="EB89" s="188">
        <f t="shared" si="607"/>
        <v>0</v>
      </c>
      <c r="EC89" s="195"/>
      <c r="ED89" s="195"/>
      <c r="EE89" s="195"/>
      <c r="EF89" s="195"/>
      <c r="EG89" s="252">
        <f t="shared" si="608"/>
        <v>0</v>
      </c>
      <c r="EH89" s="252">
        <f t="shared" si="609"/>
        <v>0</v>
      </c>
      <c r="EI89" s="189"/>
      <c r="EJ89" s="189"/>
      <c r="EK89" s="189"/>
      <c r="EL89" s="189"/>
      <c r="EM89" s="189"/>
      <c r="EN89" s="189"/>
      <c r="EO89" s="189"/>
      <c r="EP89" s="189"/>
      <c r="EQ89" s="189"/>
      <c r="ER89" s="189"/>
      <c r="ES89" s="189"/>
      <c r="ET89" s="189"/>
      <c r="EU89" s="189"/>
      <c r="EV89" s="189"/>
      <c r="EW89" s="189"/>
      <c r="EX89" s="189"/>
      <c r="EY89" s="189"/>
      <c r="EZ89" s="189"/>
      <c r="FA89" s="189"/>
      <c r="FB89" s="189"/>
      <c r="FC89" s="189"/>
      <c r="FD89" s="189"/>
      <c r="FE89" s="189"/>
      <c r="FF89" s="189"/>
      <c r="FG89" s="195"/>
      <c r="FH89" s="189"/>
      <c r="FI89" s="189"/>
      <c r="FJ89" s="189"/>
      <c r="FK89" s="189"/>
      <c r="FL89" s="189"/>
      <c r="FM89" s="189"/>
      <c r="FN89" s="189"/>
      <c r="FO89" s="189"/>
      <c r="FP89" s="189"/>
      <c r="FQ89" s="189"/>
      <c r="FR89" s="189"/>
      <c r="FS89" s="189"/>
      <c r="FT89" s="189"/>
      <c r="FU89" s="189"/>
      <c r="FV89" s="189"/>
      <c r="FW89" s="195"/>
      <c r="FX89" s="253"/>
      <c r="FY89" s="189">
        <f t="shared" si="610"/>
        <v>0</v>
      </c>
      <c r="FZ89" s="189">
        <f t="shared" si="611"/>
        <v>0</v>
      </c>
      <c r="GA89" s="189">
        <f t="shared" si="612"/>
        <v>0</v>
      </c>
      <c r="GB89" s="189">
        <f t="shared" si="613"/>
        <v>0</v>
      </c>
      <c r="GC89" s="189">
        <f t="shared" si="614"/>
        <v>0</v>
      </c>
      <c r="GD89" s="189">
        <f t="shared" si="615"/>
        <v>0</v>
      </c>
      <c r="GE89" s="189">
        <f t="shared" si="616"/>
        <v>0</v>
      </c>
      <c r="GF89" s="235"/>
      <c r="GG89" s="256">
        <v>0</v>
      </c>
      <c r="GH89" s="257">
        <v>0</v>
      </c>
      <c r="GI89" s="235"/>
      <c r="GJ89" s="258">
        <f t="shared" si="617"/>
        <v>0</v>
      </c>
      <c r="GK89" s="259">
        <f t="shared" si="618"/>
        <v>0</v>
      </c>
      <c r="GL89" s="195"/>
      <c r="GM89" s="195"/>
      <c r="GN89" s="195"/>
      <c r="GO89" s="188">
        <f t="shared" si="619"/>
        <v>0</v>
      </c>
      <c r="GP89" s="188">
        <f t="shared" si="620"/>
        <v>0</v>
      </c>
      <c r="GQ89" s="188">
        <f t="shared" si="621"/>
        <v>0</v>
      </c>
      <c r="GR89" s="188">
        <f t="shared" si="622"/>
        <v>0</v>
      </c>
      <c r="GS89" s="188">
        <f t="shared" si="623"/>
        <v>0</v>
      </c>
      <c r="GT89" s="188">
        <f t="shared" si="624"/>
        <v>1</v>
      </c>
      <c r="GU89" s="228">
        <f t="shared" si="457"/>
        <v>43243</v>
      </c>
      <c r="GV89" s="188" t="str">
        <f t="shared" si="625"/>
        <v>SELESAI</v>
      </c>
      <c r="GW89" s="188">
        <f t="shared" si="626"/>
        <v>0</v>
      </c>
      <c r="GX89" s="188" t="str">
        <f t="shared" si="627"/>
        <v>SELESAI</v>
      </c>
      <c r="GY89" s="188">
        <f t="shared" si="628"/>
        <v>0</v>
      </c>
      <c r="GZ89" s="228" t="str">
        <f t="shared" si="629"/>
        <v>SELESAI</v>
      </c>
      <c r="HA89" s="204"/>
      <c r="HB89" s="204"/>
      <c r="HC89" s="188">
        <f t="shared" si="630"/>
        <v>0</v>
      </c>
      <c r="HD89" s="188">
        <f t="shared" si="631"/>
        <v>0</v>
      </c>
      <c r="HE89" s="188">
        <f t="shared" si="632"/>
        <v>0</v>
      </c>
      <c r="HF89" s="188">
        <f t="shared" si="633"/>
        <v>0</v>
      </c>
      <c r="HG89" s="188">
        <f t="shared" si="634"/>
        <v>0</v>
      </c>
      <c r="HH89" s="228" t="str">
        <f t="shared" si="635"/>
        <v>TIDAK KONSINYASI</v>
      </c>
      <c r="HI89" s="228" t="str">
        <f t="shared" si="636"/>
        <v>SELESAI</v>
      </c>
      <c r="HJ89" s="195"/>
      <c r="HK89" s="201">
        <f t="shared" si="637"/>
        <v>0</v>
      </c>
      <c r="HL89" s="204"/>
      <c r="HM89" s="204"/>
      <c r="HN89" s="204"/>
      <c r="HO89" s="204"/>
      <c r="HP89" s="203">
        <f t="shared" si="638"/>
        <v>0</v>
      </c>
      <c r="HQ89" s="202">
        <f t="shared" si="639"/>
        <v>0</v>
      </c>
      <c r="HR89" s="202">
        <f t="shared" si="640"/>
        <v>0</v>
      </c>
      <c r="HS89" s="203">
        <f t="shared" si="641"/>
        <v>0</v>
      </c>
      <c r="HT89" s="202">
        <f t="shared" si="642"/>
        <v>0</v>
      </c>
      <c r="HU89" s="202">
        <f t="shared" si="643"/>
        <v>0</v>
      </c>
      <c r="HV89" s="203">
        <f t="shared" si="644"/>
        <v>0</v>
      </c>
      <c r="HW89" s="202">
        <f t="shared" si="645"/>
        <v>0</v>
      </c>
      <c r="HX89" s="202">
        <f t="shared" si="646"/>
        <v>0</v>
      </c>
      <c r="HY89" s="203">
        <f t="shared" si="647"/>
        <v>0</v>
      </c>
      <c r="HZ89" s="202">
        <f t="shared" si="648"/>
        <v>0</v>
      </c>
      <c r="IA89" s="202">
        <f t="shared" si="649"/>
        <v>0</v>
      </c>
      <c r="IB89" s="232">
        <f t="shared" si="650"/>
        <v>0</v>
      </c>
      <c r="IC89" s="226">
        <f t="shared" si="651"/>
        <v>0</v>
      </c>
      <c r="ID89" s="226">
        <f t="shared" si="652"/>
        <v>0</v>
      </c>
      <c r="IE89" s="232">
        <f t="shared" si="653"/>
        <v>0</v>
      </c>
      <c r="IF89" s="226">
        <f t="shared" si="654"/>
        <v>0</v>
      </c>
      <c r="IG89" s="226">
        <f t="shared" si="655"/>
        <v>0</v>
      </c>
      <c r="IH89" s="232">
        <f t="shared" si="656"/>
        <v>0</v>
      </c>
      <c r="II89" s="226">
        <f t="shared" si="657"/>
        <v>0</v>
      </c>
      <c r="IJ89" s="226">
        <f t="shared" si="658"/>
        <v>0</v>
      </c>
      <c r="IK89" s="232">
        <f t="shared" si="659"/>
        <v>0</v>
      </c>
      <c r="IL89" s="226">
        <f t="shared" si="660"/>
        <v>0</v>
      </c>
      <c r="IM89" s="226">
        <f t="shared" si="661"/>
        <v>0</v>
      </c>
      <c r="IN89" s="204"/>
      <c r="IO89" s="203">
        <f t="shared" si="662"/>
        <v>0</v>
      </c>
      <c r="IP89" s="202">
        <f t="shared" si="663"/>
        <v>0</v>
      </c>
      <c r="IQ89" s="202">
        <f t="shared" si="664"/>
        <v>0</v>
      </c>
      <c r="IR89" s="204"/>
      <c r="IS89" s="203"/>
      <c r="IT89" s="202">
        <f t="shared" si="665"/>
        <v>1</v>
      </c>
      <c r="IU89" s="226">
        <f t="shared" si="666"/>
        <v>201</v>
      </c>
      <c r="IV89" s="204"/>
      <c r="IW89" s="203"/>
      <c r="IX89" s="202">
        <f t="shared" si="667"/>
        <v>0</v>
      </c>
      <c r="IY89" s="202">
        <f t="shared" si="668"/>
        <v>0</v>
      </c>
      <c r="IZ89" s="204"/>
      <c r="JA89" s="203"/>
      <c r="JB89" s="202">
        <f t="shared" si="669"/>
        <v>0</v>
      </c>
      <c r="JC89" s="226">
        <f t="shared" si="670"/>
        <v>0</v>
      </c>
      <c r="JD89" s="204"/>
      <c r="JE89" s="203"/>
      <c r="JF89" s="202">
        <f t="shared" si="671"/>
        <v>1</v>
      </c>
      <c r="JG89" s="202">
        <f t="shared" si="672"/>
        <v>201</v>
      </c>
      <c r="JH89" s="204"/>
      <c r="JI89" s="203"/>
      <c r="JJ89" s="202">
        <f t="shared" si="673"/>
        <v>0</v>
      </c>
      <c r="JK89" s="202">
        <f t="shared" si="674"/>
        <v>0</v>
      </c>
      <c r="JL89" s="195"/>
      <c r="JM89" s="203">
        <f t="shared" si="675"/>
        <v>0</v>
      </c>
      <c r="JN89" s="195"/>
      <c r="JO89" s="196">
        <f t="shared" si="676"/>
        <v>0</v>
      </c>
      <c r="JP89" s="206">
        <f t="shared" si="677"/>
        <v>0</v>
      </c>
      <c r="JQ89" s="206">
        <f t="shared" si="678"/>
        <v>0</v>
      </c>
      <c r="JR89" s="206">
        <f t="shared" si="679"/>
        <v>0</v>
      </c>
      <c r="JS89" s="206">
        <f t="shared" si="680"/>
        <v>0</v>
      </c>
      <c r="JT89" s="206">
        <f t="shared" si="681"/>
        <v>0</v>
      </c>
      <c r="JU89" s="206">
        <f t="shared" si="682"/>
        <v>0</v>
      </c>
      <c r="JV89" s="206">
        <f t="shared" si="683"/>
        <v>0</v>
      </c>
      <c r="JW89" s="206">
        <f t="shared" si="684"/>
        <v>0</v>
      </c>
      <c r="JX89" s="206">
        <f t="shared" si="685"/>
        <v>0</v>
      </c>
      <c r="JY89" s="206">
        <f t="shared" si="686"/>
        <v>0</v>
      </c>
      <c r="JZ89" s="206">
        <f t="shared" si="687"/>
        <v>0</v>
      </c>
      <c r="KA89" s="206">
        <f t="shared" si="688"/>
        <v>0</v>
      </c>
      <c r="KB89" s="206">
        <f t="shared" si="689"/>
        <v>0</v>
      </c>
      <c r="KC89" s="195"/>
      <c r="KD89" s="206">
        <f t="shared" si="690"/>
        <v>0</v>
      </c>
      <c r="KE89" s="206">
        <f t="shared" si="691"/>
        <v>0</v>
      </c>
      <c r="KF89" s="206">
        <f t="shared" si="692"/>
        <v>0</v>
      </c>
      <c r="KG89" s="206">
        <f t="shared" si="693"/>
        <v>0</v>
      </c>
      <c r="KH89" s="206">
        <f t="shared" si="694"/>
        <v>0</v>
      </c>
      <c r="KI89" s="206">
        <f t="shared" si="695"/>
        <v>0</v>
      </c>
      <c r="KJ89" s="206">
        <f t="shared" si="696"/>
        <v>0</v>
      </c>
      <c r="KK89" s="206">
        <f t="shared" si="697"/>
        <v>0</v>
      </c>
      <c r="KL89" s="206">
        <f t="shared" si="698"/>
        <v>0</v>
      </c>
      <c r="KM89" s="206">
        <f t="shared" si="699"/>
        <v>0</v>
      </c>
      <c r="KN89" s="221">
        <f t="shared" si="700"/>
        <v>0</v>
      </c>
      <c r="KO89" s="221">
        <f t="shared" si="701"/>
        <v>0</v>
      </c>
      <c r="KP89" s="221">
        <f t="shared" si="702"/>
        <v>0</v>
      </c>
      <c r="KQ89" s="221">
        <f t="shared" si="703"/>
        <v>0</v>
      </c>
      <c r="KR89" s="221">
        <f t="shared" si="704"/>
        <v>0</v>
      </c>
      <c r="KS89" s="195"/>
      <c r="KT89" s="195">
        <f t="shared" si="705"/>
        <v>0</v>
      </c>
      <c r="KU89" s="221"/>
      <c r="KV89" s="221"/>
      <c r="KW89" s="221"/>
      <c r="KX89" s="221"/>
      <c r="KY89" s="221"/>
      <c r="KZ89" s="221"/>
      <c r="LA89" s="221"/>
      <c r="LB89" s="221"/>
      <c r="LC89" s="221"/>
      <c r="LD89" s="221"/>
      <c r="LE89" s="221"/>
      <c r="LF89" s="221"/>
      <c r="LG89" s="221"/>
      <c r="LH89" s="221"/>
      <c r="LI89" s="221"/>
      <c r="LJ89" s="221"/>
      <c r="LK89" s="221"/>
      <c r="LL89" s="221"/>
      <c r="LM89" s="221"/>
      <c r="LN89" s="221"/>
      <c r="LO89" s="221"/>
      <c r="LP89" s="221"/>
      <c r="LQ89" s="221"/>
      <c r="LR89" s="221"/>
      <c r="LS89" s="221"/>
      <c r="LT89" s="221"/>
      <c r="LU89" s="221"/>
      <c r="LV89" s="221"/>
      <c r="LW89" s="221"/>
      <c r="LX89" s="221"/>
      <c r="LY89" s="221"/>
      <c r="LZ89" s="221"/>
      <c r="MA89" s="221"/>
      <c r="MB89" s="221"/>
      <c r="MC89" s="221"/>
      <c r="MD89" s="221"/>
      <c r="ME89" s="221"/>
      <c r="MF89" s="221"/>
      <c r="MG89" s="221"/>
      <c r="MH89" s="221"/>
      <c r="MI89" s="221"/>
      <c r="MJ89" s="221"/>
      <c r="MK89" s="221"/>
      <c r="ML89" s="221"/>
      <c r="MM89" s="221"/>
      <c r="MN89" s="221"/>
      <c r="MO89" s="221"/>
      <c r="MP89" s="221"/>
      <c r="MQ89" s="221"/>
      <c r="MR89" s="221"/>
      <c r="MS89" s="221"/>
      <c r="MT89" s="221"/>
      <c r="MU89" s="221"/>
      <c r="MV89" s="221"/>
      <c r="MW89" s="221"/>
      <c r="MX89" s="221"/>
      <c r="MY89" s="221"/>
      <c r="MZ89" s="221"/>
      <c r="NA89" s="221"/>
      <c r="NB89" s="221"/>
      <c r="NC89" s="221"/>
      <c r="ND89" s="221"/>
      <c r="NE89" s="221"/>
      <c r="NF89" s="221"/>
      <c r="NG89" s="221"/>
      <c r="NH89" s="221"/>
      <c r="NI89" s="221"/>
      <c r="NJ89" s="221"/>
      <c r="NK89" s="221"/>
      <c r="NL89" s="195"/>
      <c r="NM89" s="195">
        <f t="shared" si="706"/>
        <v>0</v>
      </c>
      <c r="NN89" s="195">
        <f t="shared" si="707"/>
        <v>0</v>
      </c>
      <c r="NO89" s="195">
        <f t="shared" si="708"/>
        <v>0</v>
      </c>
      <c r="NP89" s="195">
        <f t="shared" si="709"/>
        <v>0</v>
      </c>
      <c r="NQ89" s="195">
        <f t="shared" si="710"/>
        <v>0</v>
      </c>
      <c r="NR89" s="195">
        <f t="shared" si="711"/>
        <v>0</v>
      </c>
      <c r="NS89" s="195">
        <f t="shared" si="712"/>
        <v>0</v>
      </c>
      <c r="NT89" s="195">
        <f t="shared" si="713"/>
        <v>0</v>
      </c>
      <c r="NU89" s="196">
        <f t="shared" si="714"/>
        <v>0</v>
      </c>
      <c r="NV89" s="195"/>
      <c r="NW89" s="195"/>
      <c r="NX89" s="195"/>
      <c r="NY89" s="196">
        <f t="shared" si="423"/>
        <v>1</v>
      </c>
      <c r="NZ89" s="222">
        <v>9286000</v>
      </c>
      <c r="OA89" s="195"/>
      <c r="OB89" s="195"/>
      <c r="OC89" s="195"/>
      <c r="OD89" s="195"/>
      <c r="OE89" s="207">
        <f t="shared" si="723"/>
        <v>0</v>
      </c>
      <c r="OF89" s="207">
        <f t="shared" si="724"/>
        <v>0</v>
      </c>
      <c r="OG89" s="207">
        <f t="shared" si="725"/>
        <v>0</v>
      </c>
      <c r="OH89" s="207">
        <f t="shared" si="726"/>
        <v>0</v>
      </c>
      <c r="OI89" s="207">
        <f t="shared" si="727"/>
        <v>0</v>
      </c>
      <c r="OJ89" s="199">
        <f t="shared" si="728"/>
        <v>0</v>
      </c>
      <c r="OK89" s="199">
        <f t="shared" si="729"/>
        <v>0</v>
      </c>
      <c r="OL89" s="199">
        <f t="shared" si="730"/>
        <v>0</v>
      </c>
      <c r="OM89" s="199">
        <f t="shared" si="731"/>
        <v>0</v>
      </c>
      <c r="ON89" s="195"/>
      <c r="OO89" s="207">
        <f t="shared" si="732"/>
        <v>0</v>
      </c>
      <c r="OP89" s="207">
        <f t="shared" si="733"/>
        <v>0</v>
      </c>
      <c r="OQ89" s="207">
        <f t="shared" si="734"/>
        <v>0</v>
      </c>
      <c r="OR89" s="207">
        <f t="shared" si="735"/>
        <v>0</v>
      </c>
      <c r="OS89" s="207">
        <f t="shared" si="736"/>
        <v>0</v>
      </c>
      <c r="OT89" s="199">
        <f t="shared" si="737"/>
        <v>0</v>
      </c>
      <c r="OU89" s="199">
        <f t="shared" si="738"/>
        <v>0</v>
      </c>
      <c r="OV89" s="199">
        <f t="shared" si="739"/>
        <v>0</v>
      </c>
      <c r="OW89" s="199">
        <f t="shared" si="740"/>
        <v>0</v>
      </c>
      <c r="OX89" s="195"/>
      <c r="OY89" s="195"/>
      <c r="OZ89" s="195"/>
      <c r="PA89" s="260"/>
      <c r="PB89" s="260"/>
      <c r="PC89" s="260"/>
      <c r="PD89" s="210">
        <f t="shared" si="430"/>
        <v>0</v>
      </c>
      <c r="PE89" s="210"/>
      <c r="PF89" s="210">
        <f t="shared" si="431"/>
        <v>0</v>
      </c>
      <c r="PG89" s="210">
        <f t="shared" si="302"/>
        <v>0</v>
      </c>
      <c r="PH89" s="210">
        <f t="shared" si="302"/>
        <v>0</v>
      </c>
      <c r="PI89" s="210">
        <f t="shared" si="302"/>
        <v>0</v>
      </c>
      <c r="PJ89" s="210">
        <f t="shared" si="300"/>
        <v>0</v>
      </c>
      <c r="PK89" s="210">
        <f t="shared" si="300"/>
        <v>0</v>
      </c>
      <c r="PL89" s="210">
        <f t="shared" si="300"/>
        <v>0</v>
      </c>
      <c r="PM89" s="195"/>
      <c r="PN89" s="195"/>
      <c r="PO89" s="212">
        <f t="shared" si="715"/>
        <v>0</v>
      </c>
      <c r="PP89" s="212">
        <f t="shared" si="716"/>
        <v>0</v>
      </c>
      <c r="PQ89" s="212">
        <f t="shared" si="717"/>
        <v>0</v>
      </c>
    </row>
    <row r="90" spans="1:433 16383:16383" ht="16" x14ac:dyDescent="0.2">
      <c r="A90" s="213">
        <f t="shared" si="718"/>
        <v>81</v>
      </c>
      <c r="B90" s="186" t="s">
        <v>633</v>
      </c>
      <c r="C90" s="255">
        <v>82</v>
      </c>
      <c r="D90" s="188">
        <v>1</v>
      </c>
      <c r="E90" s="188">
        <v>185</v>
      </c>
      <c r="F90" s="188">
        <v>1</v>
      </c>
      <c r="G90" s="188">
        <f t="shared" si="719"/>
        <v>185</v>
      </c>
      <c r="H90" s="214">
        <f t="shared" si="566"/>
        <v>1</v>
      </c>
      <c r="I90" s="214">
        <f t="shared" si="720"/>
        <v>1</v>
      </c>
      <c r="J90" s="188">
        <v>1</v>
      </c>
      <c r="K90" s="188">
        <f t="shared" si="567"/>
        <v>185</v>
      </c>
      <c r="L90" s="214">
        <f t="shared" si="568"/>
        <v>1</v>
      </c>
      <c r="M90" s="214">
        <f t="shared" si="721"/>
        <v>1</v>
      </c>
      <c r="N90" s="188">
        <v>1</v>
      </c>
      <c r="O90" s="188">
        <f t="shared" si="722"/>
        <v>185</v>
      </c>
      <c r="P90" s="214">
        <f t="shared" si="569"/>
        <v>1</v>
      </c>
      <c r="Q90" s="214">
        <f t="shared" si="570"/>
        <v>1</v>
      </c>
      <c r="R90" s="188">
        <v>1</v>
      </c>
      <c r="S90" s="188">
        <f t="shared" si="571"/>
        <v>185</v>
      </c>
      <c r="T90" s="214">
        <f t="shared" si="572"/>
        <v>1</v>
      </c>
      <c r="U90" s="214">
        <f t="shared" si="573"/>
        <v>1</v>
      </c>
      <c r="V90" s="188">
        <v>1</v>
      </c>
      <c r="W90" s="188">
        <f t="shared" si="574"/>
        <v>185</v>
      </c>
      <c r="X90" s="214">
        <f t="shared" si="575"/>
        <v>1</v>
      </c>
      <c r="Y90" s="214">
        <v>0</v>
      </c>
      <c r="Z90" s="224">
        <f>2954534000/1000000000</f>
        <v>2.9545340000000002</v>
      </c>
      <c r="AA90" s="188"/>
      <c r="AB90" s="188">
        <v>0</v>
      </c>
      <c r="AC90" s="214">
        <f t="shared" si="576"/>
        <v>0</v>
      </c>
      <c r="AD90" s="214">
        <v>0</v>
      </c>
      <c r="AE90" s="188"/>
      <c r="AF90" s="188">
        <f t="shared" si="577"/>
        <v>0</v>
      </c>
      <c r="AG90" s="187"/>
      <c r="AH90" s="187"/>
      <c r="AI90" s="188">
        <v>0</v>
      </c>
      <c r="AJ90" s="188">
        <f t="shared" si="578"/>
        <v>0</v>
      </c>
      <c r="AK90" s="188"/>
      <c r="AL90" s="188">
        <v>0</v>
      </c>
      <c r="AM90" s="188">
        <v>0</v>
      </c>
      <c r="AN90" s="217"/>
      <c r="AO90" s="196">
        <f t="shared" si="579"/>
        <v>0</v>
      </c>
      <c r="AP90" s="195"/>
      <c r="AQ90" s="195"/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88">
        <f t="shared" si="580"/>
        <v>0</v>
      </c>
      <c r="BC90" s="195"/>
      <c r="BD90" s="196"/>
      <c r="BE90" s="226">
        <f t="shared" si="581"/>
        <v>0</v>
      </c>
      <c r="BF90" s="188">
        <f t="shared" si="582"/>
        <v>0</v>
      </c>
      <c r="BG90" s="188">
        <f t="shared" si="583"/>
        <v>0</v>
      </c>
      <c r="BH90" s="188">
        <f t="shared" si="584"/>
        <v>0</v>
      </c>
      <c r="BI90" s="188">
        <f t="shared" si="585"/>
        <v>0</v>
      </c>
      <c r="BJ90" s="188">
        <f t="shared" si="586"/>
        <v>0</v>
      </c>
      <c r="BK90" s="188">
        <f t="shared" si="587"/>
        <v>0</v>
      </c>
      <c r="BL90" s="195"/>
      <c r="BM90" s="195"/>
      <c r="BN90" s="215"/>
      <c r="BO90" s="218"/>
      <c r="BP90" s="188"/>
      <c r="BQ90" s="188"/>
      <c r="BR90" s="188"/>
      <c r="BS90" s="188"/>
      <c r="BT90" s="188"/>
      <c r="BU90" s="188"/>
      <c r="BV90" s="188"/>
      <c r="BW90" s="188"/>
      <c r="BX90" s="188"/>
      <c r="BY90" s="188"/>
      <c r="BZ90" s="188"/>
      <c r="CA90" s="195"/>
      <c r="CB90" s="188">
        <v>0</v>
      </c>
      <c r="CC90" s="195"/>
      <c r="CD90" s="189">
        <f t="shared" si="588"/>
        <v>0</v>
      </c>
      <c r="CE90" s="189">
        <f t="shared" si="589"/>
        <v>0</v>
      </c>
      <c r="CF90" s="189">
        <f t="shared" si="590"/>
        <v>0</v>
      </c>
      <c r="CG90" s="189">
        <f t="shared" si="591"/>
        <v>0</v>
      </c>
      <c r="CH90" s="189">
        <f t="shared" si="592"/>
        <v>0</v>
      </c>
      <c r="CI90" s="189">
        <f t="shared" si="593"/>
        <v>0</v>
      </c>
      <c r="CJ90" s="189">
        <f t="shared" si="594"/>
        <v>0</v>
      </c>
      <c r="CK90" s="189">
        <f t="shared" si="595"/>
        <v>0</v>
      </c>
      <c r="CL90" s="189">
        <f t="shared" si="596"/>
        <v>0</v>
      </c>
      <c r="CM90" s="189">
        <f t="shared" si="597"/>
        <v>0</v>
      </c>
      <c r="CN90" s="189">
        <f t="shared" si="598"/>
        <v>0</v>
      </c>
      <c r="CO90" s="189">
        <f t="shared" si="599"/>
        <v>0</v>
      </c>
      <c r="CP90" s="189">
        <f t="shared" si="600"/>
        <v>0</v>
      </c>
      <c r="CQ90" s="195"/>
      <c r="CR90" s="195"/>
      <c r="CS90" s="195"/>
      <c r="CT90" s="195"/>
      <c r="CU90" s="195"/>
      <c r="CV90" s="195"/>
      <c r="CW90" s="195"/>
      <c r="CX90" s="195"/>
      <c r="CY90" s="195"/>
      <c r="CZ90" s="195"/>
      <c r="DA90" s="195"/>
      <c r="DB90" s="195"/>
      <c r="DC90" s="195"/>
      <c r="DD90" s="195"/>
      <c r="DE90" s="195"/>
      <c r="DF90" s="195"/>
      <c r="DG90" s="195"/>
      <c r="DH90" s="195"/>
      <c r="DI90" s="195"/>
      <c r="DJ90" s="195"/>
      <c r="DK90" s="195"/>
      <c r="DL90" s="195"/>
      <c r="DM90" s="195"/>
      <c r="DN90" s="195"/>
      <c r="DO90" s="195"/>
      <c r="DP90" s="195"/>
      <c r="DQ90" s="195"/>
      <c r="DR90" s="195"/>
      <c r="DS90" s="195"/>
      <c r="DT90" s="195"/>
      <c r="DU90" s="195"/>
      <c r="DV90" s="188">
        <f t="shared" si="601"/>
        <v>0</v>
      </c>
      <c r="DW90" s="188">
        <f t="shared" si="602"/>
        <v>0</v>
      </c>
      <c r="DX90" s="188">
        <f t="shared" si="603"/>
        <v>0</v>
      </c>
      <c r="DY90" s="188">
        <f t="shared" si="604"/>
        <v>0</v>
      </c>
      <c r="DZ90" s="188">
        <f t="shared" si="605"/>
        <v>0</v>
      </c>
      <c r="EA90" s="188">
        <f t="shared" si="606"/>
        <v>0</v>
      </c>
      <c r="EB90" s="188">
        <f t="shared" si="607"/>
        <v>0</v>
      </c>
      <c r="EC90" s="195"/>
      <c r="ED90" s="195"/>
      <c r="EE90" s="195"/>
      <c r="EF90" s="195"/>
      <c r="EG90" s="252">
        <f t="shared" si="608"/>
        <v>0</v>
      </c>
      <c r="EH90" s="252">
        <f t="shared" si="609"/>
        <v>0</v>
      </c>
      <c r="EI90" s="189"/>
      <c r="EJ90" s="189"/>
      <c r="EK90" s="189"/>
      <c r="EL90" s="189"/>
      <c r="EM90" s="189"/>
      <c r="EN90" s="189"/>
      <c r="EO90" s="189"/>
      <c r="EP90" s="189"/>
      <c r="EQ90" s="189"/>
      <c r="ER90" s="189"/>
      <c r="ES90" s="189"/>
      <c r="ET90" s="189"/>
      <c r="EU90" s="189"/>
      <c r="EV90" s="189"/>
      <c r="EW90" s="189"/>
      <c r="EX90" s="189"/>
      <c r="EY90" s="189"/>
      <c r="EZ90" s="189"/>
      <c r="FA90" s="189"/>
      <c r="FB90" s="189"/>
      <c r="FC90" s="189"/>
      <c r="FD90" s="189"/>
      <c r="FE90" s="189"/>
      <c r="FF90" s="189"/>
      <c r="FG90" s="195"/>
      <c r="FH90" s="189"/>
      <c r="FI90" s="189"/>
      <c r="FJ90" s="189"/>
      <c r="FK90" s="189"/>
      <c r="FL90" s="189"/>
      <c r="FM90" s="189"/>
      <c r="FN90" s="189"/>
      <c r="FO90" s="189"/>
      <c r="FP90" s="189"/>
      <c r="FQ90" s="189"/>
      <c r="FR90" s="189"/>
      <c r="FS90" s="189"/>
      <c r="FT90" s="189"/>
      <c r="FU90" s="189"/>
      <c r="FV90" s="189"/>
      <c r="FW90" s="195"/>
      <c r="FX90" s="253"/>
      <c r="FY90" s="189">
        <f t="shared" si="610"/>
        <v>0</v>
      </c>
      <c r="FZ90" s="189">
        <f t="shared" si="611"/>
        <v>0</v>
      </c>
      <c r="GA90" s="189">
        <f t="shared" si="612"/>
        <v>0</v>
      </c>
      <c r="GB90" s="189">
        <f t="shared" si="613"/>
        <v>0</v>
      </c>
      <c r="GC90" s="189">
        <f t="shared" si="614"/>
        <v>0</v>
      </c>
      <c r="GD90" s="189">
        <f t="shared" si="615"/>
        <v>0</v>
      </c>
      <c r="GE90" s="189">
        <f t="shared" si="616"/>
        <v>0</v>
      </c>
      <c r="GF90" s="235"/>
      <c r="GG90" s="256">
        <v>0</v>
      </c>
      <c r="GH90" s="257">
        <v>0</v>
      </c>
      <c r="GI90" s="235"/>
      <c r="GJ90" s="258">
        <f t="shared" si="617"/>
        <v>0</v>
      </c>
      <c r="GK90" s="259">
        <f t="shared" si="618"/>
        <v>0</v>
      </c>
      <c r="GL90" s="195"/>
      <c r="GM90" s="195"/>
      <c r="GN90" s="195"/>
      <c r="GO90" s="188">
        <f t="shared" si="619"/>
        <v>0</v>
      </c>
      <c r="GP90" s="188">
        <f t="shared" si="620"/>
        <v>0</v>
      </c>
      <c r="GQ90" s="188">
        <f t="shared" si="621"/>
        <v>0</v>
      </c>
      <c r="GR90" s="188">
        <f t="shared" si="622"/>
        <v>0</v>
      </c>
      <c r="GS90" s="188">
        <f t="shared" si="623"/>
        <v>0</v>
      </c>
      <c r="GT90" s="188">
        <f t="shared" si="624"/>
        <v>1</v>
      </c>
      <c r="GU90" s="228">
        <f t="shared" si="457"/>
        <v>43243</v>
      </c>
      <c r="GV90" s="188" t="str">
        <f t="shared" si="625"/>
        <v>SELESAI</v>
      </c>
      <c r="GW90" s="188">
        <f t="shared" si="626"/>
        <v>0</v>
      </c>
      <c r="GX90" s="188" t="str">
        <f t="shared" si="627"/>
        <v>SELESAI</v>
      </c>
      <c r="GY90" s="188">
        <f t="shared" si="628"/>
        <v>0</v>
      </c>
      <c r="GZ90" s="228" t="str">
        <f t="shared" si="629"/>
        <v>SELESAI</v>
      </c>
      <c r="HA90" s="204"/>
      <c r="HB90" s="204"/>
      <c r="HC90" s="188">
        <f t="shared" si="630"/>
        <v>0</v>
      </c>
      <c r="HD90" s="188">
        <f t="shared" si="631"/>
        <v>0</v>
      </c>
      <c r="HE90" s="188">
        <f t="shared" si="632"/>
        <v>0</v>
      </c>
      <c r="HF90" s="188">
        <f t="shared" si="633"/>
        <v>0</v>
      </c>
      <c r="HG90" s="188">
        <f t="shared" si="634"/>
        <v>0</v>
      </c>
      <c r="HH90" s="228" t="str">
        <f t="shared" si="635"/>
        <v>TIDAK KONSINYASI</v>
      </c>
      <c r="HI90" s="228" t="str">
        <f t="shared" si="636"/>
        <v>SELESAI</v>
      </c>
      <c r="HJ90" s="195"/>
      <c r="HK90" s="201">
        <f t="shared" si="637"/>
        <v>0</v>
      </c>
      <c r="HL90" s="204"/>
      <c r="HM90" s="204"/>
      <c r="HN90" s="204"/>
      <c r="HO90" s="204"/>
      <c r="HP90" s="203">
        <f t="shared" si="638"/>
        <v>0</v>
      </c>
      <c r="HQ90" s="202">
        <f t="shared" si="639"/>
        <v>0</v>
      </c>
      <c r="HR90" s="202">
        <f t="shared" si="640"/>
        <v>0</v>
      </c>
      <c r="HS90" s="203">
        <f t="shared" si="641"/>
        <v>0</v>
      </c>
      <c r="HT90" s="202">
        <f t="shared" si="642"/>
        <v>0</v>
      </c>
      <c r="HU90" s="202">
        <f t="shared" si="643"/>
        <v>0</v>
      </c>
      <c r="HV90" s="203">
        <f t="shared" si="644"/>
        <v>0</v>
      </c>
      <c r="HW90" s="202">
        <f t="shared" si="645"/>
        <v>0</v>
      </c>
      <c r="HX90" s="202">
        <f t="shared" si="646"/>
        <v>0</v>
      </c>
      <c r="HY90" s="203">
        <f t="shared" si="647"/>
        <v>0</v>
      </c>
      <c r="HZ90" s="202">
        <f t="shared" si="648"/>
        <v>0</v>
      </c>
      <c r="IA90" s="202">
        <f t="shared" si="649"/>
        <v>0</v>
      </c>
      <c r="IB90" s="232">
        <f t="shared" si="650"/>
        <v>0</v>
      </c>
      <c r="IC90" s="226">
        <f t="shared" si="651"/>
        <v>0</v>
      </c>
      <c r="ID90" s="226">
        <f t="shared" si="652"/>
        <v>0</v>
      </c>
      <c r="IE90" s="232">
        <f t="shared" si="653"/>
        <v>0</v>
      </c>
      <c r="IF90" s="226">
        <f t="shared" si="654"/>
        <v>0</v>
      </c>
      <c r="IG90" s="226">
        <f t="shared" si="655"/>
        <v>0</v>
      </c>
      <c r="IH90" s="232">
        <f t="shared" si="656"/>
        <v>0</v>
      </c>
      <c r="II90" s="226">
        <f t="shared" si="657"/>
        <v>0</v>
      </c>
      <c r="IJ90" s="226">
        <f t="shared" si="658"/>
        <v>0</v>
      </c>
      <c r="IK90" s="232">
        <f t="shared" si="659"/>
        <v>0</v>
      </c>
      <c r="IL90" s="226">
        <f t="shared" si="660"/>
        <v>0</v>
      </c>
      <c r="IM90" s="226">
        <f t="shared" si="661"/>
        <v>0</v>
      </c>
      <c r="IN90" s="204"/>
      <c r="IO90" s="203">
        <f t="shared" si="662"/>
        <v>0</v>
      </c>
      <c r="IP90" s="202">
        <f t="shared" si="663"/>
        <v>0</v>
      </c>
      <c r="IQ90" s="202">
        <f t="shared" si="664"/>
        <v>0</v>
      </c>
      <c r="IR90" s="204"/>
      <c r="IS90" s="203"/>
      <c r="IT90" s="202">
        <f t="shared" si="665"/>
        <v>1</v>
      </c>
      <c r="IU90" s="226">
        <f t="shared" si="666"/>
        <v>185</v>
      </c>
      <c r="IV90" s="204"/>
      <c r="IW90" s="203"/>
      <c r="IX90" s="202">
        <f t="shared" si="667"/>
        <v>0</v>
      </c>
      <c r="IY90" s="202">
        <f t="shared" si="668"/>
        <v>0</v>
      </c>
      <c r="IZ90" s="204"/>
      <c r="JA90" s="203"/>
      <c r="JB90" s="202">
        <f t="shared" si="669"/>
        <v>0</v>
      </c>
      <c r="JC90" s="226">
        <f t="shared" si="670"/>
        <v>0</v>
      </c>
      <c r="JD90" s="204"/>
      <c r="JE90" s="203"/>
      <c r="JF90" s="202">
        <f t="shared" si="671"/>
        <v>1</v>
      </c>
      <c r="JG90" s="202">
        <f t="shared" si="672"/>
        <v>185</v>
      </c>
      <c r="JH90" s="204"/>
      <c r="JI90" s="203"/>
      <c r="JJ90" s="202">
        <f t="shared" si="673"/>
        <v>0</v>
      </c>
      <c r="JK90" s="202">
        <f t="shared" si="674"/>
        <v>0</v>
      </c>
      <c r="JL90" s="195"/>
      <c r="JM90" s="203">
        <f t="shared" si="675"/>
        <v>0</v>
      </c>
      <c r="JN90" s="195"/>
      <c r="JO90" s="196">
        <f t="shared" si="676"/>
        <v>0</v>
      </c>
      <c r="JP90" s="206">
        <f t="shared" si="677"/>
        <v>0</v>
      </c>
      <c r="JQ90" s="206">
        <f t="shared" si="678"/>
        <v>0</v>
      </c>
      <c r="JR90" s="206">
        <f t="shared" si="679"/>
        <v>0</v>
      </c>
      <c r="JS90" s="206">
        <f t="shared" si="680"/>
        <v>0</v>
      </c>
      <c r="JT90" s="206">
        <f t="shared" si="681"/>
        <v>0</v>
      </c>
      <c r="JU90" s="206">
        <f t="shared" si="682"/>
        <v>0</v>
      </c>
      <c r="JV90" s="206">
        <f t="shared" si="683"/>
        <v>0</v>
      </c>
      <c r="JW90" s="206">
        <f t="shared" si="684"/>
        <v>0</v>
      </c>
      <c r="JX90" s="206">
        <f t="shared" si="685"/>
        <v>0</v>
      </c>
      <c r="JY90" s="206">
        <f t="shared" si="686"/>
        <v>0</v>
      </c>
      <c r="JZ90" s="206">
        <f t="shared" si="687"/>
        <v>0</v>
      </c>
      <c r="KA90" s="206">
        <f t="shared" si="688"/>
        <v>0</v>
      </c>
      <c r="KB90" s="206">
        <f t="shared" si="689"/>
        <v>0</v>
      </c>
      <c r="KC90" s="195"/>
      <c r="KD90" s="206">
        <f t="shared" si="690"/>
        <v>0</v>
      </c>
      <c r="KE90" s="206">
        <f t="shared" si="691"/>
        <v>0</v>
      </c>
      <c r="KF90" s="206">
        <f t="shared" si="692"/>
        <v>0</v>
      </c>
      <c r="KG90" s="206">
        <f t="shared" si="693"/>
        <v>0</v>
      </c>
      <c r="KH90" s="206">
        <f t="shared" si="694"/>
        <v>0</v>
      </c>
      <c r="KI90" s="206">
        <f t="shared" si="695"/>
        <v>0</v>
      </c>
      <c r="KJ90" s="206">
        <f t="shared" si="696"/>
        <v>0</v>
      </c>
      <c r="KK90" s="206">
        <f t="shared" si="697"/>
        <v>0</v>
      </c>
      <c r="KL90" s="206">
        <f t="shared" si="698"/>
        <v>0</v>
      </c>
      <c r="KM90" s="206">
        <f t="shared" si="699"/>
        <v>0</v>
      </c>
      <c r="KN90" s="221">
        <f t="shared" si="700"/>
        <v>0</v>
      </c>
      <c r="KO90" s="221">
        <f t="shared" si="701"/>
        <v>0</v>
      </c>
      <c r="KP90" s="221">
        <f t="shared" si="702"/>
        <v>0</v>
      </c>
      <c r="KQ90" s="221">
        <f t="shared" si="703"/>
        <v>0</v>
      </c>
      <c r="KR90" s="221">
        <f t="shared" si="704"/>
        <v>0</v>
      </c>
      <c r="KS90" s="195"/>
      <c r="KT90" s="195">
        <f t="shared" si="705"/>
        <v>0</v>
      </c>
      <c r="KU90" s="221"/>
      <c r="KV90" s="221"/>
      <c r="KW90" s="221"/>
      <c r="KX90" s="221"/>
      <c r="KY90" s="221"/>
      <c r="KZ90" s="221"/>
      <c r="LA90" s="221"/>
      <c r="LB90" s="221"/>
      <c r="LC90" s="221"/>
      <c r="LD90" s="221"/>
      <c r="LE90" s="221"/>
      <c r="LF90" s="221"/>
      <c r="LG90" s="221"/>
      <c r="LH90" s="221"/>
      <c r="LI90" s="221"/>
      <c r="LJ90" s="221"/>
      <c r="LK90" s="221"/>
      <c r="LL90" s="221"/>
      <c r="LM90" s="221"/>
      <c r="LN90" s="221"/>
      <c r="LO90" s="221"/>
      <c r="LP90" s="221"/>
      <c r="LQ90" s="221"/>
      <c r="LR90" s="221"/>
      <c r="LS90" s="221"/>
      <c r="LT90" s="221"/>
      <c r="LU90" s="221"/>
      <c r="LV90" s="221"/>
      <c r="LW90" s="221"/>
      <c r="LX90" s="221"/>
      <c r="LY90" s="221"/>
      <c r="LZ90" s="221"/>
      <c r="MA90" s="221"/>
      <c r="MB90" s="221"/>
      <c r="MC90" s="221"/>
      <c r="MD90" s="221"/>
      <c r="ME90" s="221"/>
      <c r="MF90" s="221"/>
      <c r="MG90" s="221"/>
      <c r="MH90" s="221"/>
      <c r="MI90" s="221"/>
      <c r="MJ90" s="221"/>
      <c r="MK90" s="221"/>
      <c r="ML90" s="221"/>
      <c r="MM90" s="221"/>
      <c r="MN90" s="221"/>
      <c r="MO90" s="221"/>
      <c r="MP90" s="221"/>
      <c r="MQ90" s="221"/>
      <c r="MR90" s="221"/>
      <c r="MS90" s="221"/>
      <c r="MT90" s="221"/>
      <c r="MU90" s="221"/>
      <c r="MV90" s="221"/>
      <c r="MW90" s="221"/>
      <c r="MX90" s="221"/>
      <c r="MY90" s="221"/>
      <c r="MZ90" s="221"/>
      <c r="NA90" s="221"/>
      <c r="NB90" s="221"/>
      <c r="NC90" s="221"/>
      <c r="ND90" s="221"/>
      <c r="NE90" s="221"/>
      <c r="NF90" s="221"/>
      <c r="NG90" s="221"/>
      <c r="NH90" s="221"/>
      <c r="NI90" s="221"/>
      <c r="NJ90" s="221"/>
      <c r="NK90" s="221"/>
      <c r="NL90" s="195"/>
      <c r="NM90" s="195">
        <f t="shared" si="706"/>
        <v>0</v>
      </c>
      <c r="NN90" s="195">
        <f t="shared" si="707"/>
        <v>0</v>
      </c>
      <c r="NO90" s="195">
        <f t="shared" si="708"/>
        <v>0</v>
      </c>
      <c r="NP90" s="195">
        <f t="shared" si="709"/>
        <v>0</v>
      </c>
      <c r="NQ90" s="195">
        <f t="shared" si="710"/>
        <v>0</v>
      </c>
      <c r="NR90" s="195">
        <f t="shared" si="711"/>
        <v>0</v>
      </c>
      <c r="NS90" s="195">
        <f t="shared" si="712"/>
        <v>0</v>
      </c>
      <c r="NT90" s="195">
        <f t="shared" si="713"/>
        <v>0</v>
      </c>
      <c r="NU90" s="196">
        <f t="shared" si="714"/>
        <v>0</v>
      </c>
      <c r="NV90" s="195"/>
      <c r="NW90" s="195"/>
      <c r="NX90" s="195"/>
      <c r="NY90" s="196">
        <f t="shared" si="423"/>
        <v>1</v>
      </c>
      <c r="NZ90" s="222">
        <v>9100280</v>
      </c>
      <c r="OA90" s="195"/>
      <c r="OB90" s="195"/>
      <c r="OC90" s="195"/>
      <c r="OD90" s="195"/>
      <c r="OE90" s="207">
        <f t="shared" si="723"/>
        <v>0</v>
      </c>
      <c r="OF90" s="207">
        <f t="shared" si="724"/>
        <v>0</v>
      </c>
      <c r="OG90" s="207">
        <f t="shared" si="725"/>
        <v>0</v>
      </c>
      <c r="OH90" s="207">
        <f t="shared" si="726"/>
        <v>0</v>
      </c>
      <c r="OI90" s="207">
        <f t="shared" si="727"/>
        <v>0</v>
      </c>
      <c r="OJ90" s="199">
        <f t="shared" si="728"/>
        <v>0</v>
      </c>
      <c r="OK90" s="199">
        <f t="shared" si="729"/>
        <v>0</v>
      </c>
      <c r="OL90" s="199">
        <f t="shared" si="730"/>
        <v>0</v>
      </c>
      <c r="OM90" s="199">
        <f t="shared" si="731"/>
        <v>0</v>
      </c>
      <c r="ON90" s="195"/>
      <c r="OO90" s="207">
        <f t="shared" si="732"/>
        <v>0</v>
      </c>
      <c r="OP90" s="207">
        <f t="shared" si="733"/>
        <v>0</v>
      </c>
      <c r="OQ90" s="207">
        <f t="shared" si="734"/>
        <v>0</v>
      </c>
      <c r="OR90" s="207">
        <f t="shared" si="735"/>
        <v>0</v>
      </c>
      <c r="OS90" s="207">
        <f t="shared" si="736"/>
        <v>0</v>
      </c>
      <c r="OT90" s="199">
        <f t="shared" si="737"/>
        <v>0</v>
      </c>
      <c r="OU90" s="199">
        <f t="shared" si="738"/>
        <v>0</v>
      </c>
      <c r="OV90" s="199">
        <f t="shared" si="739"/>
        <v>0</v>
      </c>
      <c r="OW90" s="199">
        <f t="shared" si="740"/>
        <v>0</v>
      </c>
      <c r="OX90" s="195"/>
      <c r="OY90" s="195"/>
      <c r="OZ90" s="195"/>
      <c r="PA90" s="260"/>
      <c r="PB90" s="260"/>
      <c r="PC90" s="260"/>
      <c r="PD90" s="210">
        <f t="shared" si="430"/>
        <v>0</v>
      </c>
      <c r="PE90" s="210"/>
      <c r="PF90" s="210">
        <f t="shared" si="431"/>
        <v>0</v>
      </c>
      <c r="PG90" s="210">
        <f t="shared" si="302"/>
        <v>0</v>
      </c>
      <c r="PH90" s="210">
        <f t="shared" si="302"/>
        <v>0</v>
      </c>
      <c r="PI90" s="210">
        <f t="shared" si="302"/>
        <v>0</v>
      </c>
      <c r="PJ90" s="210">
        <f t="shared" si="300"/>
        <v>0</v>
      </c>
      <c r="PK90" s="210">
        <f t="shared" si="300"/>
        <v>0</v>
      </c>
      <c r="PL90" s="210">
        <f t="shared" si="300"/>
        <v>0</v>
      </c>
      <c r="PM90" s="195"/>
      <c r="PN90" s="195"/>
      <c r="PO90" s="212">
        <f t="shared" si="715"/>
        <v>0</v>
      </c>
      <c r="PP90" s="212">
        <f t="shared" si="716"/>
        <v>0</v>
      </c>
      <c r="PQ90" s="212">
        <f t="shared" si="717"/>
        <v>0</v>
      </c>
    </row>
    <row r="91" spans="1:433 16383:16383" ht="16" x14ac:dyDescent="0.2">
      <c r="A91" s="213">
        <f t="shared" si="718"/>
        <v>82</v>
      </c>
      <c r="B91" s="186" t="s">
        <v>634</v>
      </c>
      <c r="C91" s="255">
        <v>83</v>
      </c>
      <c r="D91" s="188">
        <v>1</v>
      </c>
      <c r="E91" s="188">
        <v>388</v>
      </c>
      <c r="F91" s="188">
        <v>1</v>
      </c>
      <c r="G91" s="188">
        <f t="shared" si="719"/>
        <v>388</v>
      </c>
      <c r="H91" s="214">
        <f t="shared" si="566"/>
        <v>1</v>
      </c>
      <c r="I91" s="214">
        <f t="shared" si="720"/>
        <v>1</v>
      </c>
      <c r="J91" s="188">
        <v>1</v>
      </c>
      <c r="K91" s="188">
        <f t="shared" si="567"/>
        <v>388</v>
      </c>
      <c r="L91" s="214">
        <f t="shared" si="568"/>
        <v>1</v>
      </c>
      <c r="M91" s="214">
        <f t="shared" si="721"/>
        <v>1</v>
      </c>
      <c r="N91" s="188">
        <v>1</v>
      </c>
      <c r="O91" s="188">
        <f t="shared" si="722"/>
        <v>388</v>
      </c>
      <c r="P91" s="214">
        <f t="shared" si="569"/>
        <v>1</v>
      </c>
      <c r="Q91" s="214">
        <f t="shared" si="570"/>
        <v>1</v>
      </c>
      <c r="R91" s="188">
        <v>1</v>
      </c>
      <c r="S91" s="188">
        <f t="shared" si="571"/>
        <v>388</v>
      </c>
      <c r="T91" s="214">
        <f t="shared" si="572"/>
        <v>1</v>
      </c>
      <c r="U91" s="214">
        <f t="shared" si="573"/>
        <v>1</v>
      </c>
      <c r="V91" s="188">
        <v>1</v>
      </c>
      <c r="W91" s="188">
        <f t="shared" si="574"/>
        <v>388</v>
      </c>
      <c r="X91" s="214">
        <f t="shared" si="575"/>
        <v>1</v>
      </c>
      <c r="Y91" s="214">
        <v>0</v>
      </c>
      <c r="Z91" s="224">
        <f>5843663000/1000000000</f>
        <v>5.8436630000000003</v>
      </c>
      <c r="AA91" s="188"/>
      <c r="AB91" s="188">
        <v>0</v>
      </c>
      <c r="AC91" s="214">
        <f t="shared" si="576"/>
        <v>0</v>
      </c>
      <c r="AD91" s="214">
        <v>0</v>
      </c>
      <c r="AE91" s="188"/>
      <c r="AF91" s="188">
        <f t="shared" si="577"/>
        <v>0</v>
      </c>
      <c r="AG91" s="187"/>
      <c r="AH91" s="187"/>
      <c r="AI91" s="188">
        <v>0</v>
      </c>
      <c r="AJ91" s="188">
        <f t="shared" si="578"/>
        <v>0</v>
      </c>
      <c r="AK91" s="188"/>
      <c r="AL91" s="188">
        <v>0</v>
      </c>
      <c r="AM91" s="188">
        <v>0</v>
      </c>
      <c r="AN91" s="217"/>
      <c r="AO91" s="196">
        <f t="shared" si="579"/>
        <v>0</v>
      </c>
      <c r="AP91" s="195"/>
      <c r="AQ91" s="195"/>
      <c r="AR91" s="195"/>
      <c r="AS91" s="195"/>
      <c r="AT91" s="195"/>
      <c r="AU91" s="195"/>
      <c r="AV91" s="195"/>
      <c r="AW91" s="195"/>
      <c r="AX91" s="195"/>
      <c r="AY91" s="195"/>
      <c r="AZ91" s="195"/>
      <c r="BA91" s="195"/>
      <c r="BB91" s="188">
        <f t="shared" si="580"/>
        <v>0</v>
      </c>
      <c r="BC91" s="195"/>
      <c r="BD91" s="196"/>
      <c r="BE91" s="226">
        <f t="shared" si="581"/>
        <v>0</v>
      </c>
      <c r="BF91" s="188">
        <f t="shared" si="582"/>
        <v>0</v>
      </c>
      <c r="BG91" s="188">
        <f t="shared" si="583"/>
        <v>0</v>
      </c>
      <c r="BH91" s="188">
        <f t="shared" si="584"/>
        <v>0</v>
      </c>
      <c r="BI91" s="188">
        <f t="shared" si="585"/>
        <v>0</v>
      </c>
      <c r="BJ91" s="188">
        <f t="shared" si="586"/>
        <v>0</v>
      </c>
      <c r="BK91" s="188">
        <f t="shared" si="587"/>
        <v>0</v>
      </c>
      <c r="BL91" s="195"/>
      <c r="BM91" s="195"/>
      <c r="BN91" s="215"/>
      <c r="BO91" s="218"/>
      <c r="BP91" s="188"/>
      <c r="BQ91" s="188"/>
      <c r="BR91" s="188"/>
      <c r="BS91" s="188"/>
      <c r="BT91" s="188"/>
      <c r="BU91" s="188"/>
      <c r="BV91" s="188"/>
      <c r="BW91" s="188"/>
      <c r="BX91" s="188"/>
      <c r="BY91" s="188"/>
      <c r="BZ91" s="188"/>
      <c r="CA91" s="195"/>
      <c r="CB91" s="188">
        <v>0</v>
      </c>
      <c r="CC91" s="195"/>
      <c r="CD91" s="189">
        <f t="shared" si="588"/>
        <v>0</v>
      </c>
      <c r="CE91" s="189">
        <f t="shared" si="589"/>
        <v>0</v>
      </c>
      <c r="CF91" s="189">
        <f t="shared" si="590"/>
        <v>0</v>
      </c>
      <c r="CG91" s="189">
        <f t="shared" si="591"/>
        <v>0</v>
      </c>
      <c r="CH91" s="189">
        <f t="shared" si="592"/>
        <v>0</v>
      </c>
      <c r="CI91" s="189">
        <f t="shared" si="593"/>
        <v>0</v>
      </c>
      <c r="CJ91" s="189">
        <f t="shared" si="594"/>
        <v>0</v>
      </c>
      <c r="CK91" s="189">
        <f t="shared" si="595"/>
        <v>0</v>
      </c>
      <c r="CL91" s="189">
        <f t="shared" si="596"/>
        <v>0</v>
      </c>
      <c r="CM91" s="189">
        <f t="shared" si="597"/>
        <v>0</v>
      </c>
      <c r="CN91" s="189">
        <f t="shared" si="598"/>
        <v>0</v>
      </c>
      <c r="CO91" s="189">
        <f t="shared" si="599"/>
        <v>0</v>
      </c>
      <c r="CP91" s="189">
        <f t="shared" si="600"/>
        <v>0</v>
      </c>
      <c r="CQ91" s="195"/>
      <c r="CR91" s="195"/>
      <c r="CS91" s="195"/>
      <c r="CT91" s="195"/>
      <c r="CU91" s="195"/>
      <c r="CV91" s="195"/>
      <c r="CW91" s="195"/>
      <c r="CX91" s="195"/>
      <c r="CY91" s="195"/>
      <c r="CZ91" s="195"/>
      <c r="DA91" s="195"/>
      <c r="DB91" s="195"/>
      <c r="DC91" s="195"/>
      <c r="DD91" s="195"/>
      <c r="DE91" s="195"/>
      <c r="DF91" s="195"/>
      <c r="DG91" s="195"/>
      <c r="DH91" s="195"/>
      <c r="DI91" s="195"/>
      <c r="DJ91" s="195"/>
      <c r="DK91" s="195"/>
      <c r="DL91" s="195"/>
      <c r="DM91" s="195"/>
      <c r="DN91" s="195"/>
      <c r="DO91" s="195"/>
      <c r="DP91" s="195"/>
      <c r="DQ91" s="195"/>
      <c r="DR91" s="195"/>
      <c r="DS91" s="195"/>
      <c r="DT91" s="195"/>
      <c r="DU91" s="195"/>
      <c r="DV91" s="188">
        <f t="shared" si="601"/>
        <v>0</v>
      </c>
      <c r="DW91" s="188">
        <f t="shared" si="602"/>
        <v>0</v>
      </c>
      <c r="DX91" s="188">
        <f t="shared" si="603"/>
        <v>0</v>
      </c>
      <c r="DY91" s="188">
        <f t="shared" si="604"/>
        <v>0</v>
      </c>
      <c r="DZ91" s="188">
        <f t="shared" si="605"/>
        <v>0</v>
      </c>
      <c r="EA91" s="188">
        <f t="shared" si="606"/>
        <v>0</v>
      </c>
      <c r="EB91" s="188">
        <f t="shared" si="607"/>
        <v>0</v>
      </c>
      <c r="EC91" s="195"/>
      <c r="ED91" s="195"/>
      <c r="EE91" s="195"/>
      <c r="EF91" s="195"/>
      <c r="EG91" s="252">
        <f t="shared" si="608"/>
        <v>0</v>
      </c>
      <c r="EH91" s="252">
        <f t="shared" si="609"/>
        <v>0</v>
      </c>
      <c r="EI91" s="189"/>
      <c r="EJ91" s="189"/>
      <c r="EK91" s="189"/>
      <c r="EL91" s="189"/>
      <c r="EM91" s="189"/>
      <c r="EN91" s="189"/>
      <c r="EO91" s="189"/>
      <c r="EP91" s="189"/>
      <c r="EQ91" s="189"/>
      <c r="ER91" s="189"/>
      <c r="ES91" s="189"/>
      <c r="ET91" s="189"/>
      <c r="EU91" s="189"/>
      <c r="EV91" s="189"/>
      <c r="EW91" s="189"/>
      <c r="EX91" s="189"/>
      <c r="EY91" s="189"/>
      <c r="EZ91" s="189"/>
      <c r="FA91" s="189"/>
      <c r="FB91" s="189"/>
      <c r="FC91" s="189"/>
      <c r="FD91" s="189"/>
      <c r="FE91" s="189"/>
      <c r="FF91" s="189"/>
      <c r="FG91" s="195"/>
      <c r="FH91" s="189"/>
      <c r="FI91" s="189"/>
      <c r="FJ91" s="189"/>
      <c r="FK91" s="189"/>
      <c r="FL91" s="189"/>
      <c r="FM91" s="189"/>
      <c r="FN91" s="189"/>
      <c r="FO91" s="189"/>
      <c r="FP91" s="189"/>
      <c r="FQ91" s="189"/>
      <c r="FR91" s="189"/>
      <c r="FS91" s="189"/>
      <c r="FT91" s="189"/>
      <c r="FU91" s="189"/>
      <c r="FV91" s="189"/>
      <c r="FW91" s="195"/>
      <c r="FX91" s="253"/>
      <c r="FY91" s="189">
        <f t="shared" si="610"/>
        <v>0</v>
      </c>
      <c r="FZ91" s="189">
        <f t="shared" si="611"/>
        <v>0</v>
      </c>
      <c r="GA91" s="189">
        <f t="shared" si="612"/>
        <v>0</v>
      </c>
      <c r="GB91" s="189">
        <f t="shared" si="613"/>
        <v>0</v>
      </c>
      <c r="GC91" s="189">
        <f t="shared" si="614"/>
        <v>0</v>
      </c>
      <c r="GD91" s="189">
        <f t="shared" si="615"/>
        <v>0</v>
      </c>
      <c r="GE91" s="189">
        <f t="shared" si="616"/>
        <v>0</v>
      </c>
      <c r="GF91" s="235"/>
      <c r="GG91" s="256">
        <v>0</v>
      </c>
      <c r="GH91" s="257">
        <v>0</v>
      </c>
      <c r="GI91" s="235"/>
      <c r="GJ91" s="258">
        <f t="shared" si="617"/>
        <v>0</v>
      </c>
      <c r="GK91" s="259">
        <f t="shared" si="618"/>
        <v>0</v>
      </c>
      <c r="GL91" s="195"/>
      <c r="GM91" s="195"/>
      <c r="GN91" s="195"/>
      <c r="GO91" s="188">
        <f t="shared" si="619"/>
        <v>0</v>
      </c>
      <c r="GP91" s="188">
        <f t="shared" si="620"/>
        <v>0</v>
      </c>
      <c r="GQ91" s="188">
        <f t="shared" si="621"/>
        <v>0</v>
      </c>
      <c r="GR91" s="188">
        <f t="shared" si="622"/>
        <v>0</v>
      </c>
      <c r="GS91" s="188">
        <f t="shared" si="623"/>
        <v>0</v>
      </c>
      <c r="GT91" s="188">
        <f t="shared" si="624"/>
        <v>1</v>
      </c>
      <c r="GU91" s="228">
        <f t="shared" si="457"/>
        <v>43243</v>
      </c>
      <c r="GV91" s="188" t="str">
        <f t="shared" si="625"/>
        <v>SELESAI</v>
      </c>
      <c r="GW91" s="188">
        <f t="shared" si="626"/>
        <v>0</v>
      </c>
      <c r="GX91" s="188" t="str">
        <f t="shared" si="627"/>
        <v>SELESAI</v>
      </c>
      <c r="GY91" s="188">
        <f t="shared" si="628"/>
        <v>0</v>
      </c>
      <c r="GZ91" s="228" t="str">
        <f t="shared" si="629"/>
        <v>SELESAI</v>
      </c>
      <c r="HA91" s="204"/>
      <c r="HB91" s="204"/>
      <c r="HC91" s="188">
        <f t="shared" si="630"/>
        <v>0</v>
      </c>
      <c r="HD91" s="188">
        <f t="shared" si="631"/>
        <v>0</v>
      </c>
      <c r="HE91" s="188">
        <f t="shared" si="632"/>
        <v>0</v>
      </c>
      <c r="HF91" s="188">
        <f t="shared" si="633"/>
        <v>0</v>
      </c>
      <c r="HG91" s="188">
        <f t="shared" si="634"/>
        <v>0</v>
      </c>
      <c r="HH91" s="228" t="str">
        <f t="shared" si="635"/>
        <v>TIDAK KONSINYASI</v>
      </c>
      <c r="HI91" s="228" t="str">
        <f t="shared" si="636"/>
        <v>SELESAI</v>
      </c>
      <c r="HJ91" s="195"/>
      <c r="HK91" s="201">
        <f t="shared" si="637"/>
        <v>0</v>
      </c>
      <c r="HL91" s="204"/>
      <c r="HM91" s="204"/>
      <c r="HN91" s="204"/>
      <c r="HO91" s="204"/>
      <c r="HP91" s="203">
        <f t="shared" si="638"/>
        <v>0</v>
      </c>
      <c r="HQ91" s="202">
        <f t="shared" si="639"/>
        <v>0</v>
      </c>
      <c r="HR91" s="202">
        <f t="shared" si="640"/>
        <v>0</v>
      </c>
      <c r="HS91" s="203">
        <f t="shared" si="641"/>
        <v>0</v>
      </c>
      <c r="HT91" s="202">
        <f t="shared" si="642"/>
        <v>0</v>
      </c>
      <c r="HU91" s="202">
        <f t="shared" si="643"/>
        <v>0</v>
      </c>
      <c r="HV91" s="203">
        <f t="shared" si="644"/>
        <v>0</v>
      </c>
      <c r="HW91" s="202">
        <f t="shared" si="645"/>
        <v>0</v>
      </c>
      <c r="HX91" s="202">
        <f t="shared" si="646"/>
        <v>0</v>
      </c>
      <c r="HY91" s="203">
        <f t="shared" si="647"/>
        <v>0</v>
      </c>
      <c r="HZ91" s="202">
        <f t="shared" si="648"/>
        <v>0</v>
      </c>
      <c r="IA91" s="202">
        <f t="shared" si="649"/>
        <v>0</v>
      </c>
      <c r="IB91" s="232">
        <f t="shared" si="650"/>
        <v>0</v>
      </c>
      <c r="IC91" s="226">
        <f t="shared" si="651"/>
        <v>0</v>
      </c>
      <c r="ID91" s="226">
        <f t="shared" si="652"/>
        <v>0</v>
      </c>
      <c r="IE91" s="232">
        <f t="shared" si="653"/>
        <v>0</v>
      </c>
      <c r="IF91" s="226">
        <f t="shared" si="654"/>
        <v>0</v>
      </c>
      <c r="IG91" s="226">
        <f t="shared" si="655"/>
        <v>0</v>
      </c>
      <c r="IH91" s="232">
        <f t="shared" si="656"/>
        <v>0</v>
      </c>
      <c r="II91" s="226">
        <f t="shared" si="657"/>
        <v>0</v>
      </c>
      <c r="IJ91" s="226">
        <f t="shared" si="658"/>
        <v>0</v>
      </c>
      <c r="IK91" s="232">
        <f t="shared" si="659"/>
        <v>0</v>
      </c>
      <c r="IL91" s="226">
        <f t="shared" si="660"/>
        <v>0</v>
      </c>
      <c r="IM91" s="226">
        <f t="shared" si="661"/>
        <v>0</v>
      </c>
      <c r="IN91" s="204"/>
      <c r="IO91" s="203">
        <f t="shared" si="662"/>
        <v>0</v>
      </c>
      <c r="IP91" s="202">
        <f t="shared" si="663"/>
        <v>0</v>
      </c>
      <c r="IQ91" s="202">
        <f t="shared" si="664"/>
        <v>0</v>
      </c>
      <c r="IR91" s="204"/>
      <c r="IS91" s="203"/>
      <c r="IT91" s="202">
        <f t="shared" si="665"/>
        <v>1</v>
      </c>
      <c r="IU91" s="226">
        <f t="shared" si="666"/>
        <v>388</v>
      </c>
      <c r="IV91" s="204"/>
      <c r="IW91" s="203"/>
      <c r="IX91" s="202">
        <f t="shared" si="667"/>
        <v>0</v>
      </c>
      <c r="IY91" s="202">
        <f t="shared" si="668"/>
        <v>0</v>
      </c>
      <c r="IZ91" s="204"/>
      <c r="JA91" s="203"/>
      <c r="JB91" s="202">
        <f t="shared" si="669"/>
        <v>0</v>
      </c>
      <c r="JC91" s="226">
        <f t="shared" si="670"/>
        <v>0</v>
      </c>
      <c r="JD91" s="204"/>
      <c r="JE91" s="203"/>
      <c r="JF91" s="202">
        <f t="shared" si="671"/>
        <v>1</v>
      </c>
      <c r="JG91" s="202">
        <f t="shared" si="672"/>
        <v>388</v>
      </c>
      <c r="JH91" s="204"/>
      <c r="JI91" s="203"/>
      <c r="JJ91" s="202">
        <f t="shared" si="673"/>
        <v>0</v>
      </c>
      <c r="JK91" s="202">
        <f t="shared" si="674"/>
        <v>0</v>
      </c>
      <c r="JL91" s="195"/>
      <c r="JM91" s="203">
        <f t="shared" si="675"/>
        <v>0</v>
      </c>
      <c r="JN91" s="195"/>
      <c r="JO91" s="196">
        <f t="shared" si="676"/>
        <v>0</v>
      </c>
      <c r="JP91" s="206">
        <f t="shared" si="677"/>
        <v>0</v>
      </c>
      <c r="JQ91" s="206">
        <f t="shared" si="678"/>
        <v>0</v>
      </c>
      <c r="JR91" s="206">
        <f t="shared" si="679"/>
        <v>0</v>
      </c>
      <c r="JS91" s="206">
        <f t="shared" si="680"/>
        <v>0</v>
      </c>
      <c r="JT91" s="206">
        <f t="shared" si="681"/>
        <v>0</v>
      </c>
      <c r="JU91" s="206">
        <f t="shared" si="682"/>
        <v>0</v>
      </c>
      <c r="JV91" s="206">
        <f t="shared" si="683"/>
        <v>0</v>
      </c>
      <c r="JW91" s="206">
        <f t="shared" si="684"/>
        <v>0</v>
      </c>
      <c r="JX91" s="206">
        <f t="shared" si="685"/>
        <v>0</v>
      </c>
      <c r="JY91" s="206">
        <f t="shared" si="686"/>
        <v>0</v>
      </c>
      <c r="JZ91" s="206">
        <f t="shared" si="687"/>
        <v>0</v>
      </c>
      <c r="KA91" s="206">
        <f t="shared" si="688"/>
        <v>0</v>
      </c>
      <c r="KB91" s="206">
        <f t="shared" si="689"/>
        <v>0</v>
      </c>
      <c r="KC91" s="195"/>
      <c r="KD91" s="206">
        <f t="shared" si="690"/>
        <v>0</v>
      </c>
      <c r="KE91" s="206">
        <f t="shared" si="691"/>
        <v>0</v>
      </c>
      <c r="KF91" s="206">
        <f t="shared" si="692"/>
        <v>0</v>
      </c>
      <c r="KG91" s="206">
        <f t="shared" si="693"/>
        <v>0</v>
      </c>
      <c r="KH91" s="206">
        <f t="shared" si="694"/>
        <v>0</v>
      </c>
      <c r="KI91" s="206">
        <f t="shared" si="695"/>
        <v>0</v>
      </c>
      <c r="KJ91" s="206">
        <f t="shared" si="696"/>
        <v>0</v>
      </c>
      <c r="KK91" s="206">
        <f t="shared" si="697"/>
        <v>0</v>
      </c>
      <c r="KL91" s="206">
        <f t="shared" si="698"/>
        <v>0</v>
      </c>
      <c r="KM91" s="206">
        <f t="shared" si="699"/>
        <v>0</v>
      </c>
      <c r="KN91" s="221">
        <f t="shared" si="700"/>
        <v>0</v>
      </c>
      <c r="KO91" s="221">
        <f t="shared" si="701"/>
        <v>0</v>
      </c>
      <c r="KP91" s="221">
        <f t="shared" si="702"/>
        <v>0</v>
      </c>
      <c r="KQ91" s="221">
        <f t="shared" si="703"/>
        <v>0</v>
      </c>
      <c r="KR91" s="221">
        <f t="shared" si="704"/>
        <v>0</v>
      </c>
      <c r="KS91" s="195"/>
      <c r="KT91" s="195">
        <f t="shared" si="705"/>
        <v>0</v>
      </c>
      <c r="KU91" s="221"/>
      <c r="KV91" s="221"/>
      <c r="KW91" s="221"/>
      <c r="KX91" s="221"/>
      <c r="KY91" s="221"/>
      <c r="KZ91" s="221"/>
      <c r="LA91" s="221"/>
      <c r="LB91" s="221"/>
      <c r="LC91" s="221"/>
      <c r="LD91" s="221"/>
      <c r="LE91" s="221"/>
      <c r="LF91" s="221"/>
      <c r="LG91" s="221"/>
      <c r="LH91" s="221"/>
      <c r="LI91" s="221"/>
      <c r="LJ91" s="221"/>
      <c r="LK91" s="221"/>
      <c r="LL91" s="221"/>
      <c r="LM91" s="221"/>
      <c r="LN91" s="221"/>
      <c r="LO91" s="221"/>
      <c r="LP91" s="221"/>
      <c r="LQ91" s="221"/>
      <c r="LR91" s="221"/>
      <c r="LS91" s="221"/>
      <c r="LT91" s="221"/>
      <c r="LU91" s="221"/>
      <c r="LV91" s="221"/>
      <c r="LW91" s="221"/>
      <c r="LX91" s="221"/>
      <c r="LY91" s="221"/>
      <c r="LZ91" s="221"/>
      <c r="MA91" s="221"/>
      <c r="MB91" s="221"/>
      <c r="MC91" s="221"/>
      <c r="MD91" s="221"/>
      <c r="ME91" s="221"/>
      <c r="MF91" s="221"/>
      <c r="MG91" s="221"/>
      <c r="MH91" s="221"/>
      <c r="MI91" s="221"/>
      <c r="MJ91" s="221"/>
      <c r="MK91" s="221"/>
      <c r="ML91" s="221"/>
      <c r="MM91" s="221"/>
      <c r="MN91" s="221"/>
      <c r="MO91" s="221"/>
      <c r="MP91" s="221"/>
      <c r="MQ91" s="221"/>
      <c r="MR91" s="221"/>
      <c r="MS91" s="221"/>
      <c r="MT91" s="221"/>
      <c r="MU91" s="221"/>
      <c r="MV91" s="221"/>
      <c r="MW91" s="221"/>
      <c r="MX91" s="221"/>
      <c r="MY91" s="221"/>
      <c r="MZ91" s="221"/>
      <c r="NA91" s="221"/>
      <c r="NB91" s="221"/>
      <c r="NC91" s="221"/>
      <c r="ND91" s="221"/>
      <c r="NE91" s="221"/>
      <c r="NF91" s="221"/>
      <c r="NG91" s="221"/>
      <c r="NH91" s="221"/>
      <c r="NI91" s="221"/>
      <c r="NJ91" s="221"/>
      <c r="NK91" s="221"/>
      <c r="NL91" s="195"/>
      <c r="NM91" s="195">
        <f t="shared" si="706"/>
        <v>0</v>
      </c>
      <c r="NN91" s="195">
        <f t="shared" si="707"/>
        <v>0</v>
      </c>
      <c r="NO91" s="195">
        <f t="shared" si="708"/>
        <v>0</v>
      </c>
      <c r="NP91" s="195">
        <f t="shared" si="709"/>
        <v>0</v>
      </c>
      <c r="NQ91" s="195">
        <f t="shared" si="710"/>
        <v>0</v>
      </c>
      <c r="NR91" s="195">
        <f t="shared" si="711"/>
        <v>0</v>
      </c>
      <c r="NS91" s="195">
        <f t="shared" si="712"/>
        <v>0</v>
      </c>
      <c r="NT91" s="195">
        <f t="shared" si="713"/>
        <v>0</v>
      </c>
      <c r="NU91" s="196">
        <f t="shared" si="714"/>
        <v>0</v>
      </c>
      <c r="NV91" s="195"/>
      <c r="NW91" s="195"/>
      <c r="NX91" s="195"/>
      <c r="NY91" s="196">
        <f t="shared" si="423"/>
        <v>1</v>
      </c>
      <c r="NZ91" s="222">
        <v>9100280</v>
      </c>
      <c r="OA91" s="195"/>
      <c r="OB91" s="195"/>
      <c r="OC91" s="195"/>
      <c r="OD91" s="195"/>
      <c r="OE91" s="207">
        <f t="shared" si="723"/>
        <v>0</v>
      </c>
      <c r="OF91" s="207">
        <f t="shared" si="724"/>
        <v>0</v>
      </c>
      <c r="OG91" s="207">
        <f t="shared" si="725"/>
        <v>0</v>
      </c>
      <c r="OH91" s="207">
        <f t="shared" si="726"/>
        <v>0</v>
      </c>
      <c r="OI91" s="207">
        <f t="shared" si="727"/>
        <v>0</v>
      </c>
      <c r="OJ91" s="199">
        <f t="shared" si="728"/>
        <v>0</v>
      </c>
      <c r="OK91" s="199">
        <f t="shared" si="729"/>
        <v>0</v>
      </c>
      <c r="OL91" s="199">
        <f t="shared" si="730"/>
        <v>0</v>
      </c>
      <c r="OM91" s="199">
        <f t="shared" si="731"/>
        <v>0</v>
      </c>
      <c r="ON91" s="195"/>
      <c r="OO91" s="207">
        <f t="shared" si="732"/>
        <v>0</v>
      </c>
      <c r="OP91" s="207">
        <f t="shared" si="733"/>
        <v>0</v>
      </c>
      <c r="OQ91" s="207">
        <f t="shared" si="734"/>
        <v>0</v>
      </c>
      <c r="OR91" s="207">
        <f t="shared" si="735"/>
        <v>0</v>
      </c>
      <c r="OS91" s="207">
        <f t="shared" si="736"/>
        <v>0</v>
      </c>
      <c r="OT91" s="199">
        <f t="shared" si="737"/>
        <v>0</v>
      </c>
      <c r="OU91" s="199">
        <f t="shared" si="738"/>
        <v>0</v>
      </c>
      <c r="OV91" s="199">
        <f t="shared" si="739"/>
        <v>0</v>
      </c>
      <c r="OW91" s="199">
        <f t="shared" si="740"/>
        <v>0</v>
      </c>
      <c r="OX91" s="195"/>
      <c r="OY91" s="195"/>
      <c r="OZ91" s="195"/>
      <c r="PA91" s="260"/>
      <c r="PB91" s="260"/>
      <c r="PC91" s="260"/>
      <c r="PD91" s="210">
        <f t="shared" si="430"/>
        <v>0</v>
      </c>
      <c r="PE91" s="210"/>
      <c r="PF91" s="210">
        <f t="shared" si="431"/>
        <v>0</v>
      </c>
      <c r="PG91" s="210">
        <f t="shared" si="302"/>
        <v>0</v>
      </c>
      <c r="PH91" s="210">
        <f t="shared" si="302"/>
        <v>0</v>
      </c>
      <c r="PI91" s="210">
        <f t="shared" si="302"/>
        <v>0</v>
      </c>
      <c r="PJ91" s="210">
        <f t="shared" si="300"/>
        <v>0</v>
      </c>
      <c r="PK91" s="210">
        <f t="shared" si="300"/>
        <v>0</v>
      </c>
      <c r="PL91" s="210">
        <f t="shared" si="300"/>
        <v>0</v>
      </c>
      <c r="PM91" s="195"/>
      <c r="PN91" s="195"/>
      <c r="PO91" s="212">
        <f t="shared" si="715"/>
        <v>0</v>
      </c>
      <c r="PP91" s="212">
        <f t="shared" si="716"/>
        <v>0</v>
      </c>
      <c r="PQ91" s="212">
        <f t="shared" si="717"/>
        <v>0</v>
      </c>
    </row>
    <row r="92" spans="1:433 16383:16383" ht="16" x14ac:dyDescent="0.2">
      <c r="A92" s="213">
        <f t="shared" si="718"/>
        <v>83</v>
      </c>
      <c r="B92" s="186" t="s">
        <v>633</v>
      </c>
      <c r="C92" s="255">
        <v>84</v>
      </c>
      <c r="D92" s="188">
        <v>1</v>
      </c>
      <c r="E92" s="188">
        <v>83</v>
      </c>
      <c r="F92" s="188">
        <v>1</v>
      </c>
      <c r="G92" s="188">
        <f t="shared" si="719"/>
        <v>83</v>
      </c>
      <c r="H92" s="214">
        <f t="shared" si="566"/>
        <v>1</v>
      </c>
      <c r="I92" s="214">
        <f t="shared" si="720"/>
        <v>1</v>
      </c>
      <c r="J92" s="188">
        <v>1</v>
      </c>
      <c r="K92" s="188">
        <f t="shared" si="567"/>
        <v>83</v>
      </c>
      <c r="L92" s="214">
        <f t="shared" si="568"/>
        <v>1</v>
      </c>
      <c r="M92" s="214">
        <f t="shared" si="721"/>
        <v>1</v>
      </c>
      <c r="N92" s="188">
        <v>1</v>
      </c>
      <c r="O92" s="188">
        <f t="shared" si="722"/>
        <v>83</v>
      </c>
      <c r="P92" s="214">
        <f t="shared" si="569"/>
        <v>1</v>
      </c>
      <c r="Q92" s="214">
        <f t="shared" si="570"/>
        <v>1</v>
      </c>
      <c r="R92" s="188">
        <v>1</v>
      </c>
      <c r="S92" s="188">
        <f t="shared" si="571"/>
        <v>83</v>
      </c>
      <c r="T92" s="214">
        <f t="shared" si="572"/>
        <v>1</v>
      </c>
      <c r="U92" s="214">
        <f t="shared" si="573"/>
        <v>1</v>
      </c>
      <c r="V92" s="188">
        <v>1</v>
      </c>
      <c r="W92" s="188">
        <f t="shared" si="574"/>
        <v>83</v>
      </c>
      <c r="X92" s="214">
        <f t="shared" si="575"/>
        <v>1</v>
      </c>
      <c r="Y92" s="214">
        <v>0</v>
      </c>
      <c r="Z92" s="224">
        <f>1216528000/1000000000</f>
        <v>1.2165280000000001</v>
      </c>
      <c r="AA92" s="188"/>
      <c r="AB92" s="188">
        <v>0</v>
      </c>
      <c r="AC92" s="214">
        <f t="shared" si="576"/>
        <v>0</v>
      </c>
      <c r="AD92" s="214">
        <v>0</v>
      </c>
      <c r="AE92" s="188"/>
      <c r="AF92" s="188">
        <f t="shared" si="577"/>
        <v>0</v>
      </c>
      <c r="AG92" s="187"/>
      <c r="AH92" s="187"/>
      <c r="AI92" s="188">
        <v>0</v>
      </c>
      <c r="AJ92" s="188">
        <f t="shared" si="578"/>
        <v>0</v>
      </c>
      <c r="AK92" s="188"/>
      <c r="AL92" s="188">
        <v>0</v>
      </c>
      <c r="AM92" s="188">
        <v>0</v>
      </c>
      <c r="AN92" s="217"/>
      <c r="AO92" s="196">
        <f t="shared" si="579"/>
        <v>0</v>
      </c>
      <c r="AP92" s="195"/>
      <c r="AQ92" s="195"/>
      <c r="AR92" s="195"/>
      <c r="AS92" s="195"/>
      <c r="AT92" s="195"/>
      <c r="AU92" s="195"/>
      <c r="AV92" s="195"/>
      <c r="AW92" s="195"/>
      <c r="AX92" s="195"/>
      <c r="AY92" s="195"/>
      <c r="AZ92" s="195"/>
      <c r="BA92" s="195"/>
      <c r="BB92" s="188">
        <f t="shared" si="580"/>
        <v>0</v>
      </c>
      <c r="BC92" s="195"/>
      <c r="BD92" s="196"/>
      <c r="BE92" s="226">
        <f t="shared" si="581"/>
        <v>0</v>
      </c>
      <c r="BF92" s="188">
        <f t="shared" si="582"/>
        <v>0</v>
      </c>
      <c r="BG92" s="188">
        <f t="shared" si="583"/>
        <v>0</v>
      </c>
      <c r="BH92" s="188">
        <f t="shared" si="584"/>
        <v>0</v>
      </c>
      <c r="BI92" s="188">
        <f t="shared" si="585"/>
        <v>0</v>
      </c>
      <c r="BJ92" s="188">
        <f t="shared" si="586"/>
        <v>0</v>
      </c>
      <c r="BK92" s="188">
        <f t="shared" si="587"/>
        <v>0</v>
      </c>
      <c r="BL92" s="195"/>
      <c r="BM92" s="195"/>
      <c r="BN92" s="215"/>
      <c r="BO92" s="218"/>
      <c r="BP92" s="188"/>
      <c r="BQ92" s="188"/>
      <c r="BR92" s="188"/>
      <c r="BS92" s="188"/>
      <c r="BT92" s="188"/>
      <c r="BU92" s="188"/>
      <c r="BV92" s="188"/>
      <c r="BW92" s="188"/>
      <c r="BX92" s="188"/>
      <c r="BY92" s="188"/>
      <c r="BZ92" s="188"/>
      <c r="CA92" s="195"/>
      <c r="CB92" s="188">
        <v>0</v>
      </c>
      <c r="CC92" s="195"/>
      <c r="CD92" s="189">
        <f t="shared" si="588"/>
        <v>0</v>
      </c>
      <c r="CE92" s="189">
        <f t="shared" si="589"/>
        <v>0</v>
      </c>
      <c r="CF92" s="189">
        <f t="shared" si="590"/>
        <v>0</v>
      </c>
      <c r="CG92" s="189">
        <f t="shared" si="591"/>
        <v>0</v>
      </c>
      <c r="CH92" s="189">
        <f t="shared" si="592"/>
        <v>0</v>
      </c>
      <c r="CI92" s="189">
        <f t="shared" si="593"/>
        <v>0</v>
      </c>
      <c r="CJ92" s="189">
        <f t="shared" si="594"/>
        <v>0</v>
      </c>
      <c r="CK92" s="189">
        <f t="shared" si="595"/>
        <v>0</v>
      </c>
      <c r="CL92" s="189">
        <f t="shared" si="596"/>
        <v>0</v>
      </c>
      <c r="CM92" s="189">
        <f t="shared" si="597"/>
        <v>0</v>
      </c>
      <c r="CN92" s="189">
        <f t="shared" si="598"/>
        <v>0</v>
      </c>
      <c r="CO92" s="189">
        <f t="shared" si="599"/>
        <v>0</v>
      </c>
      <c r="CP92" s="189">
        <f t="shared" si="600"/>
        <v>0</v>
      </c>
      <c r="CQ92" s="195"/>
      <c r="CR92" s="195"/>
      <c r="CS92" s="195"/>
      <c r="CT92" s="195"/>
      <c r="CU92" s="195"/>
      <c r="CV92" s="195"/>
      <c r="CW92" s="195"/>
      <c r="CX92" s="195"/>
      <c r="CY92" s="195"/>
      <c r="CZ92" s="195"/>
      <c r="DA92" s="195"/>
      <c r="DB92" s="195"/>
      <c r="DC92" s="195"/>
      <c r="DD92" s="195"/>
      <c r="DE92" s="195"/>
      <c r="DF92" s="195"/>
      <c r="DG92" s="195"/>
      <c r="DH92" s="195"/>
      <c r="DI92" s="195"/>
      <c r="DJ92" s="195"/>
      <c r="DK92" s="195"/>
      <c r="DL92" s="195"/>
      <c r="DM92" s="195"/>
      <c r="DN92" s="195"/>
      <c r="DO92" s="195"/>
      <c r="DP92" s="195"/>
      <c r="DQ92" s="195"/>
      <c r="DR92" s="195"/>
      <c r="DS92" s="195"/>
      <c r="DT92" s="195"/>
      <c r="DU92" s="195"/>
      <c r="DV92" s="188">
        <f t="shared" si="601"/>
        <v>0</v>
      </c>
      <c r="DW92" s="188">
        <f t="shared" si="602"/>
        <v>0</v>
      </c>
      <c r="DX92" s="188">
        <f t="shared" si="603"/>
        <v>0</v>
      </c>
      <c r="DY92" s="188">
        <f t="shared" si="604"/>
        <v>0</v>
      </c>
      <c r="DZ92" s="188">
        <f t="shared" si="605"/>
        <v>0</v>
      </c>
      <c r="EA92" s="188">
        <f t="shared" si="606"/>
        <v>0</v>
      </c>
      <c r="EB92" s="188">
        <f t="shared" si="607"/>
        <v>0</v>
      </c>
      <c r="EC92" s="195"/>
      <c r="ED92" s="195"/>
      <c r="EE92" s="195"/>
      <c r="EF92" s="195"/>
      <c r="EG92" s="252">
        <f t="shared" si="608"/>
        <v>0</v>
      </c>
      <c r="EH92" s="252">
        <f t="shared" si="609"/>
        <v>0</v>
      </c>
      <c r="EI92" s="189"/>
      <c r="EJ92" s="189"/>
      <c r="EK92" s="189"/>
      <c r="EL92" s="189"/>
      <c r="EM92" s="189"/>
      <c r="EN92" s="189"/>
      <c r="EO92" s="189"/>
      <c r="EP92" s="189"/>
      <c r="EQ92" s="189"/>
      <c r="ER92" s="189"/>
      <c r="ES92" s="189"/>
      <c r="ET92" s="189"/>
      <c r="EU92" s="189"/>
      <c r="EV92" s="189"/>
      <c r="EW92" s="189"/>
      <c r="EX92" s="189"/>
      <c r="EY92" s="189"/>
      <c r="EZ92" s="189"/>
      <c r="FA92" s="189"/>
      <c r="FB92" s="189"/>
      <c r="FC92" s="189"/>
      <c r="FD92" s="189"/>
      <c r="FE92" s="189"/>
      <c r="FF92" s="189"/>
      <c r="FG92" s="195"/>
      <c r="FH92" s="189"/>
      <c r="FI92" s="189"/>
      <c r="FJ92" s="189"/>
      <c r="FK92" s="189"/>
      <c r="FL92" s="189"/>
      <c r="FM92" s="189"/>
      <c r="FN92" s="189"/>
      <c r="FO92" s="189"/>
      <c r="FP92" s="189"/>
      <c r="FQ92" s="189"/>
      <c r="FR92" s="189"/>
      <c r="FS92" s="189"/>
      <c r="FT92" s="189"/>
      <c r="FU92" s="189"/>
      <c r="FV92" s="189"/>
      <c r="FW92" s="195"/>
      <c r="FX92" s="253"/>
      <c r="FY92" s="189">
        <f t="shared" si="610"/>
        <v>0</v>
      </c>
      <c r="FZ92" s="189">
        <f t="shared" si="611"/>
        <v>0</v>
      </c>
      <c r="GA92" s="189">
        <f t="shared" si="612"/>
        <v>0</v>
      </c>
      <c r="GB92" s="189">
        <f t="shared" si="613"/>
        <v>0</v>
      </c>
      <c r="GC92" s="189">
        <f t="shared" si="614"/>
        <v>0</v>
      </c>
      <c r="GD92" s="189">
        <f t="shared" si="615"/>
        <v>0</v>
      </c>
      <c r="GE92" s="189">
        <f t="shared" si="616"/>
        <v>0</v>
      </c>
      <c r="GF92" s="235"/>
      <c r="GG92" s="256">
        <v>0</v>
      </c>
      <c r="GH92" s="257">
        <v>0</v>
      </c>
      <c r="GI92" s="235"/>
      <c r="GJ92" s="258">
        <f t="shared" si="617"/>
        <v>0</v>
      </c>
      <c r="GK92" s="259">
        <f t="shared" si="618"/>
        <v>0</v>
      </c>
      <c r="GL92" s="195"/>
      <c r="GM92" s="195"/>
      <c r="GN92" s="195"/>
      <c r="GO92" s="188">
        <f t="shared" si="619"/>
        <v>0</v>
      </c>
      <c r="GP92" s="188">
        <f t="shared" si="620"/>
        <v>0</v>
      </c>
      <c r="GQ92" s="188">
        <f t="shared" si="621"/>
        <v>0</v>
      </c>
      <c r="GR92" s="188">
        <f t="shared" si="622"/>
        <v>0</v>
      </c>
      <c r="GS92" s="188">
        <f t="shared" si="623"/>
        <v>0</v>
      </c>
      <c r="GT92" s="188">
        <f t="shared" si="624"/>
        <v>1</v>
      </c>
      <c r="GU92" s="228">
        <f t="shared" si="457"/>
        <v>43243</v>
      </c>
      <c r="GV92" s="188" t="str">
        <f t="shared" si="625"/>
        <v>SELESAI</v>
      </c>
      <c r="GW92" s="188">
        <f t="shared" si="626"/>
        <v>0</v>
      </c>
      <c r="GX92" s="188" t="str">
        <f t="shared" si="627"/>
        <v>SELESAI</v>
      </c>
      <c r="GY92" s="188">
        <f t="shared" si="628"/>
        <v>0</v>
      </c>
      <c r="GZ92" s="228" t="str">
        <f t="shared" si="629"/>
        <v>SELESAI</v>
      </c>
      <c r="HA92" s="204"/>
      <c r="HB92" s="204"/>
      <c r="HC92" s="188">
        <f t="shared" si="630"/>
        <v>0</v>
      </c>
      <c r="HD92" s="188">
        <f t="shared" si="631"/>
        <v>0</v>
      </c>
      <c r="HE92" s="188">
        <f t="shared" si="632"/>
        <v>0</v>
      </c>
      <c r="HF92" s="188">
        <f t="shared" si="633"/>
        <v>0</v>
      </c>
      <c r="HG92" s="188">
        <f t="shared" si="634"/>
        <v>0</v>
      </c>
      <c r="HH92" s="228" t="str">
        <f t="shared" si="635"/>
        <v>TIDAK KONSINYASI</v>
      </c>
      <c r="HI92" s="228" t="str">
        <f t="shared" si="636"/>
        <v>SELESAI</v>
      </c>
      <c r="HJ92" s="195"/>
      <c r="HK92" s="201">
        <f t="shared" si="637"/>
        <v>0</v>
      </c>
      <c r="HL92" s="204"/>
      <c r="HM92" s="204"/>
      <c r="HN92" s="204"/>
      <c r="HO92" s="204"/>
      <c r="HP92" s="203">
        <f t="shared" si="638"/>
        <v>0</v>
      </c>
      <c r="HQ92" s="202">
        <f t="shared" si="639"/>
        <v>0</v>
      </c>
      <c r="HR92" s="202">
        <f t="shared" si="640"/>
        <v>0</v>
      </c>
      <c r="HS92" s="203">
        <f t="shared" si="641"/>
        <v>0</v>
      </c>
      <c r="HT92" s="202">
        <f t="shared" si="642"/>
        <v>0</v>
      </c>
      <c r="HU92" s="202">
        <f t="shared" si="643"/>
        <v>0</v>
      </c>
      <c r="HV92" s="203">
        <f t="shared" si="644"/>
        <v>0</v>
      </c>
      <c r="HW92" s="202">
        <f t="shared" si="645"/>
        <v>0</v>
      </c>
      <c r="HX92" s="202">
        <f t="shared" si="646"/>
        <v>0</v>
      </c>
      <c r="HY92" s="203">
        <f t="shared" si="647"/>
        <v>0</v>
      </c>
      <c r="HZ92" s="202">
        <f t="shared" si="648"/>
        <v>0</v>
      </c>
      <c r="IA92" s="202">
        <f t="shared" si="649"/>
        <v>0</v>
      </c>
      <c r="IB92" s="232">
        <f t="shared" si="650"/>
        <v>0</v>
      </c>
      <c r="IC92" s="226">
        <f t="shared" si="651"/>
        <v>0</v>
      </c>
      <c r="ID92" s="226">
        <f t="shared" si="652"/>
        <v>0</v>
      </c>
      <c r="IE92" s="232">
        <f t="shared" si="653"/>
        <v>0</v>
      </c>
      <c r="IF92" s="226">
        <f t="shared" si="654"/>
        <v>0</v>
      </c>
      <c r="IG92" s="226">
        <f t="shared" si="655"/>
        <v>0</v>
      </c>
      <c r="IH92" s="232">
        <f t="shared" si="656"/>
        <v>0</v>
      </c>
      <c r="II92" s="226">
        <f t="shared" si="657"/>
        <v>0</v>
      </c>
      <c r="IJ92" s="226">
        <f t="shared" si="658"/>
        <v>0</v>
      </c>
      <c r="IK92" s="232">
        <f t="shared" si="659"/>
        <v>0</v>
      </c>
      <c r="IL92" s="226">
        <f t="shared" si="660"/>
        <v>0</v>
      </c>
      <c r="IM92" s="226">
        <f t="shared" si="661"/>
        <v>0</v>
      </c>
      <c r="IN92" s="204"/>
      <c r="IO92" s="203">
        <f t="shared" si="662"/>
        <v>0</v>
      </c>
      <c r="IP92" s="202">
        <f t="shared" si="663"/>
        <v>0</v>
      </c>
      <c r="IQ92" s="202">
        <f t="shared" si="664"/>
        <v>0</v>
      </c>
      <c r="IR92" s="204"/>
      <c r="IS92" s="203"/>
      <c r="IT92" s="202">
        <f t="shared" si="665"/>
        <v>1</v>
      </c>
      <c r="IU92" s="226">
        <f t="shared" si="666"/>
        <v>83</v>
      </c>
      <c r="IV92" s="204"/>
      <c r="IW92" s="203"/>
      <c r="IX92" s="202">
        <f t="shared" si="667"/>
        <v>0</v>
      </c>
      <c r="IY92" s="202">
        <f t="shared" si="668"/>
        <v>0</v>
      </c>
      <c r="IZ92" s="204"/>
      <c r="JA92" s="203"/>
      <c r="JB92" s="202">
        <f t="shared" si="669"/>
        <v>0</v>
      </c>
      <c r="JC92" s="226">
        <f t="shared" si="670"/>
        <v>0</v>
      </c>
      <c r="JD92" s="204"/>
      <c r="JE92" s="203"/>
      <c r="JF92" s="202">
        <f t="shared" si="671"/>
        <v>1</v>
      </c>
      <c r="JG92" s="202">
        <f t="shared" si="672"/>
        <v>83</v>
      </c>
      <c r="JH92" s="204"/>
      <c r="JI92" s="203"/>
      <c r="JJ92" s="202">
        <f t="shared" si="673"/>
        <v>0</v>
      </c>
      <c r="JK92" s="202">
        <f t="shared" si="674"/>
        <v>0</v>
      </c>
      <c r="JL92" s="195"/>
      <c r="JM92" s="203">
        <f t="shared" si="675"/>
        <v>0</v>
      </c>
      <c r="JN92" s="195"/>
      <c r="JO92" s="196">
        <f t="shared" si="676"/>
        <v>0</v>
      </c>
      <c r="JP92" s="206">
        <f t="shared" si="677"/>
        <v>0</v>
      </c>
      <c r="JQ92" s="206">
        <f t="shared" si="678"/>
        <v>0</v>
      </c>
      <c r="JR92" s="206">
        <f t="shared" si="679"/>
        <v>0</v>
      </c>
      <c r="JS92" s="206">
        <f t="shared" si="680"/>
        <v>0</v>
      </c>
      <c r="JT92" s="206">
        <f t="shared" si="681"/>
        <v>0</v>
      </c>
      <c r="JU92" s="206">
        <f t="shared" si="682"/>
        <v>0</v>
      </c>
      <c r="JV92" s="206">
        <f t="shared" si="683"/>
        <v>0</v>
      </c>
      <c r="JW92" s="206">
        <f t="shared" si="684"/>
        <v>0</v>
      </c>
      <c r="JX92" s="206">
        <f t="shared" si="685"/>
        <v>0</v>
      </c>
      <c r="JY92" s="206">
        <f t="shared" si="686"/>
        <v>0</v>
      </c>
      <c r="JZ92" s="206">
        <f t="shared" si="687"/>
        <v>0</v>
      </c>
      <c r="KA92" s="206">
        <f t="shared" si="688"/>
        <v>0</v>
      </c>
      <c r="KB92" s="206">
        <f t="shared" si="689"/>
        <v>0</v>
      </c>
      <c r="KC92" s="195"/>
      <c r="KD92" s="206">
        <f t="shared" si="690"/>
        <v>0</v>
      </c>
      <c r="KE92" s="206">
        <f t="shared" si="691"/>
        <v>0</v>
      </c>
      <c r="KF92" s="206">
        <f t="shared" si="692"/>
        <v>0</v>
      </c>
      <c r="KG92" s="206">
        <f t="shared" si="693"/>
        <v>0</v>
      </c>
      <c r="KH92" s="206">
        <f t="shared" si="694"/>
        <v>0</v>
      </c>
      <c r="KI92" s="206">
        <f t="shared" si="695"/>
        <v>0</v>
      </c>
      <c r="KJ92" s="206">
        <f t="shared" si="696"/>
        <v>0</v>
      </c>
      <c r="KK92" s="206">
        <f t="shared" si="697"/>
        <v>0</v>
      </c>
      <c r="KL92" s="206">
        <f t="shared" si="698"/>
        <v>0</v>
      </c>
      <c r="KM92" s="206">
        <f t="shared" si="699"/>
        <v>0</v>
      </c>
      <c r="KN92" s="221">
        <f t="shared" si="700"/>
        <v>0</v>
      </c>
      <c r="KO92" s="221">
        <f t="shared" si="701"/>
        <v>0</v>
      </c>
      <c r="KP92" s="221">
        <f t="shared" si="702"/>
        <v>0</v>
      </c>
      <c r="KQ92" s="221">
        <f t="shared" si="703"/>
        <v>0</v>
      </c>
      <c r="KR92" s="221">
        <f t="shared" si="704"/>
        <v>0</v>
      </c>
      <c r="KS92" s="195"/>
      <c r="KT92" s="195">
        <f t="shared" si="705"/>
        <v>0</v>
      </c>
      <c r="KU92" s="221"/>
      <c r="KV92" s="221"/>
      <c r="KW92" s="221"/>
      <c r="KX92" s="221"/>
      <c r="KY92" s="221"/>
      <c r="KZ92" s="221"/>
      <c r="LA92" s="221"/>
      <c r="LB92" s="221"/>
      <c r="LC92" s="221"/>
      <c r="LD92" s="221"/>
      <c r="LE92" s="221"/>
      <c r="LF92" s="221"/>
      <c r="LG92" s="221"/>
      <c r="LH92" s="221"/>
      <c r="LI92" s="221"/>
      <c r="LJ92" s="221"/>
      <c r="LK92" s="221"/>
      <c r="LL92" s="221"/>
      <c r="LM92" s="221"/>
      <c r="LN92" s="221"/>
      <c r="LO92" s="221"/>
      <c r="LP92" s="221"/>
      <c r="LQ92" s="221"/>
      <c r="LR92" s="221"/>
      <c r="LS92" s="221"/>
      <c r="LT92" s="221"/>
      <c r="LU92" s="221"/>
      <c r="LV92" s="221"/>
      <c r="LW92" s="221"/>
      <c r="LX92" s="221"/>
      <c r="LY92" s="221"/>
      <c r="LZ92" s="221"/>
      <c r="MA92" s="221"/>
      <c r="MB92" s="221"/>
      <c r="MC92" s="221"/>
      <c r="MD92" s="221"/>
      <c r="ME92" s="221"/>
      <c r="MF92" s="221"/>
      <c r="MG92" s="221"/>
      <c r="MH92" s="221"/>
      <c r="MI92" s="221"/>
      <c r="MJ92" s="221"/>
      <c r="MK92" s="221"/>
      <c r="ML92" s="221"/>
      <c r="MM92" s="221"/>
      <c r="MN92" s="221"/>
      <c r="MO92" s="221"/>
      <c r="MP92" s="221"/>
      <c r="MQ92" s="221"/>
      <c r="MR92" s="221"/>
      <c r="MS92" s="221"/>
      <c r="MT92" s="221"/>
      <c r="MU92" s="221"/>
      <c r="MV92" s="221"/>
      <c r="MW92" s="221"/>
      <c r="MX92" s="221"/>
      <c r="MY92" s="221"/>
      <c r="MZ92" s="221"/>
      <c r="NA92" s="221"/>
      <c r="NB92" s="221"/>
      <c r="NC92" s="221"/>
      <c r="ND92" s="221"/>
      <c r="NE92" s="221"/>
      <c r="NF92" s="221"/>
      <c r="NG92" s="221"/>
      <c r="NH92" s="221"/>
      <c r="NI92" s="221"/>
      <c r="NJ92" s="221"/>
      <c r="NK92" s="221"/>
      <c r="NL92" s="195"/>
      <c r="NM92" s="195">
        <f t="shared" si="706"/>
        <v>0</v>
      </c>
      <c r="NN92" s="195">
        <f t="shared" si="707"/>
        <v>0</v>
      </c>
      <c r="NO92" s="195">
        <f t="shared" si="708"/>
        <v>0</v>
      </c>
      <c r="NP92" s="195">
        <f t="shared" si="709"/>
        <v>0</v>
      </c>
      <c r="NQ92" s="195">
        <f t="shared" si="710"/>
        <v>0</v>
      </c>
      <c r="NR92" s="195">
        <f t="shared" si="711"/>
        <v>0</v>
      </c>
      <c r="NS92" s="195">
        <f t="shared" si="712"/>
        <v>0</v>
      </c>
      <c r="NT92" s="195">
        <f t="shared" si="713"/>
        <v>0</v>
      </c>
      <c r="NU92" s="196">
        <f t="shared" si="714"/>
        <v>0</v>
      </c>
      <c r="NV92" s="195"/>
      <c r="NW92" s="195"/>
      <c r="NX92" s="195"/>
      <c r="NY92" s="196">
        <f t="shared" si="423"/>
        <v>1</v>
      </c>
      <c r="NZ92" s="222">
        <v>9100280</v>
      </c>
      <c r="OA92" s="195"/>
      <c r="OB92" s="195"/>
      <c r="OC92" s="195"/>
      <c r="OD92" s="195"/>
      <c r="OE92" s="207">
        <f t="shared" si="723"/>
        <v>0</v>
      </c>
      <c r="OF92" s="207">
        <f t="shared" si="724"/>
        <v>0</v>
      </c>
      <c r="OG92" s="207">
        <f t="shared" si="725"/>
        <v>0</v>
      </c>
      <c r="OH92" s="207">
        <f t="shared" si="726"/>
        <v>0</v>
      </c>
      <c r="OI92" s="207">
        <f t="shared" si="727"/>
        <v>0</v>
      </c>
      <c r="OJ92" s="199">
        <f t="shared" si="728"/>
        <v>0</v>
      </c>
      <c r="OK92" s="199">
        <f t="shared" si="729"/>
        <v>0</v>
      </c>
      <c r="OL92" s="199">
        <f t="shared" si="730"/>
        <v>0</v>
      </c>
      <c r="OM92" s="199">
        <f t="shared" si="731"/>
        <v>0</v>
      </c>
      <c r="ON92" s="195"/>
      <c r="OO92" s="207">
        <f t="shared" si="732"/>
        <v>0</v>
      </c>
      <c r="OP92" s="207">
        <f t="shared" si="733"/>
        <v>0</v>
      </c>
      <c r="OQ92" s="207">
        <f t="shared" si="734"/>
        <v>0</v>
      </c>
      <c r="OR92" s="207">
        <f t="shared" si="735"/>
        <v>0</v>
      </c>
      <c r="OS92" s="207">
        <f t="shared" si="736"/>
        <v>0</v>
      </c>
      <c r="OT92" s="199">
        <f t="shared" si="737"/>
        <v>0</v>
      </c>
      <c r="OU92" s="199">
        <f t="shared" si="738"/>
        <v>0</v>
      </c>
      <c r="OV92" s="199">
        <f t="shared" si="739"/>
        <v>0</v>
      </c>
      <c r="OW92" s="199">
        <f t="shared" si="740"/>
        <v>0</v>
      </c>
      <c r="OX92" s="195"/>
      <c r="OY92" s="195"/>
      <c r="OZ92" s="195"/>
      <c r="PA92" s="260"/>
      <c r="PB92" s="260"/>
      <c r="PC92" s="260"/>
      <c r="PD92" s="210">
        <f t="shared" si="430"/>
        <v>0</v>
      </c>
      <c r="PE92" s="210"/>
      <c r="PF92" s="210">
        <f t="shared" si="431"/>
        <v>0</v>
      </c>
      <c r="PG92" s="210">
        <f t="shared" si="302"/>
        <v>0</v>
      </c>
      <c r="PH92" s="210">
        <f t="shared" si="302"/>
        <v>0</v>
      </c>
      <c r="PI92" s="210">
        <f t="shared" si="302"/>
        <v>0</v>
      </c>
      <c r="PJ92" s="210">
        <f t="shared" si="300"/>
        <v>0</v>
      </c>
      <c r="PK92" s="210">
        <f t="shared" si="300"/>
        <v>0</v>
      </c>
      <c r="PL92" s="210">
        <f t="shared" si="300"/>
        <v>0</v>
      </c>
      <c r="PM92" s="195"/>
      <c r="PN92" s="195"/>
      <c r="PO92" s="212">
        <f t="shared" si="715"/>
        <v>0</v>
      </c>
      <c r="PP92" s="212">
        <f t="shared" si="716"/>
        <v>0</v>
      </c>
      <c r="PQ92" s="212">
        <f t="shared" si="717"/>
        <v>0</v>
      </c>
    </row>
    <row r="93" spans="1:433 16383:16383" ht="16" x14ac:dyDescent="0.2">
      <c r="A93" s="213">
        <f t="shared" si="718"/>
        <v>84</v>
      </c>
      <c r="B93" s="186" t="s">
        <v>633</v>
      </c>
      <c r="C93" s="255">
        <v>85</v>
      </c>
      <c r="D93" s="188">
        <v>1</v>
      </c>
      <c r="E93" s="188">
        <v>42</v>
      </c>
      <c r="F93" s="188">
        <v>1</v>
      </c>
      <c r="G93" s="188">
        <f t="shared" si="719"/>
        <v>42</v>
      </c>
      <c r="H93" s="214">
        <f t="shared" si="566"/>
        <v>1</v>
      </c>
      <c r="I93" s="214">
        <f t="shared" si="720"/>
        <v>1</v>
      </c>
      <c r="J93" s="188">
        <v>1</v>
      </c>
      <c r="K93" s="188">
        <f t="shared" si="567"/>
        <v>42</v>
      </c>
      <c r="L93" s="214">
        <f t="shared" si="568"/>
        <v>1</v>
      </c>
      <c r="M93" s="214">
        <f t="shared" si="721"/>
        <v>1</v>
      </c>
      <c r="N93" s="188">
        <v>1</v>
      </c>
      <c r="O93" s="188">
        <f t="shared" si="722"/>
        <v>42</v>
      </c>
      <c r="P93" s="214">
        <f t="shared" si="569"/>
        <v>1</v>
      </c>
      <c r="Q93" s="214">
        <f t="shared" si="570"/>
        <v>1</v>
      </c>
      <c r="R93" s="188">
        <v>1</v>
      </c>
      <c r="S93" s="188">
        <f t="shared" si="571"/>
        <v>42</v>
      </c>
      <c r="T93" s="214">
        <f t="shared" si="572"/>
        <v>1</v>
      </c>
      <c r="U93" s="214">
        <f t="shared" si="573"/>
        <v>1</v>
      </c>
      <c r="V93" s="188">
        <v>1</v>
      </c>
      <c r="W93" s="188">
        <f t="shared" si="574"/>
        <v>42</v>
      </c>
      <c r="X93" s="214">
        <f t="shared" si="575"/>
        <v>1</v>
      </c>
      <c r="Y93" s="214">
        <v>0</v>
      </c>
      <c r="Z93" s="224">
        <f>611683000/1000000000</f>
        <v>0.61168299999999998</v>
      </c>
      <c r="AA93" s="188"/>
      <c r="AB93" s="188">
        <v>0</v>
      </c>
      <c r="AC93" s="214">
        <f t="shared" si="576"/>
        <v>0</v>
      </c>
      <c r="AD93" s="214">
        <v>0</v>
      </c>
      <c r="AE93" s="188"/>
      <c r="AF93" s="188">
        <f t="shared" si="577"/>
        <v>0</v>
      </c>
      <c r="AG93" s="187"/>
      <c r="AH93" s="187"/>
      <c r="AI93" s="188">
        <v>0</v>
      </c>
      <c r="AJ93" s="188">
        <f t="shared" si="578"/>
        <v>0</v>
      </c>
      <c r="AK93" s="188"/>
      <c r="AL93" s="188">
        <v>0</v>
      </c>
      <c r="AM93" s="188">
        <v>0</v>
      </c>
      <c r="AN93" s="217"/>
      <c r="AO93" s="196">
        <f t="shared" si="579"/>
        <v>0</v>
      </c>
      <c r="AP93" s="195"/>
      <c r="AQ93" s="195"/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88">
        <f t="shared" si="580"/>
        <v>0</v>
      </c>
      <c r="BC93" s="195"/>
      <c r="BD93" s="196"/>
      <c r="BE93" s="226">
        <f t="shared" si="581"/>
        <v>0</v>
      </c>
      <c r="BF93" s="188">
        <f t="shared" si="582"/>
        <v>0</v>
      </c>
      <c r="BG93" s="188">
        <f t="shared" si="583"/>
        <v>0</v>
      </c>
      <c r="BH93" s="188">
        <f t="shared" si="584"/>
        <v>0</v>
      </c>
      <c r="BI93" s="188">
        <f t="shared" si="585"/>
        <v>0</v>
      </c>
      <c r="BJ93" s="188">
        <f t="shared" si="586"/>
        <v>0</v>
      </c>
      <c r="BK93" s="188">
        <f t="shared" si="587"/>
        <v>0</v>
      </c>
      <c r="BL93" s="195"/>
      <c r="BM93" s="195"/>
      <c r="BN93" s="215"/>
      <c r="BO93" s="218"/>
      <c r="BP93" s="188"/>
      <c r="BQ93" s="188"/>
      <c r="BR93" s="188"/>
      <c r="BS93" s="188"/>
      <c r="BT93" s="188"/>
      <c r="BU93" s="188"/>
      <c r="BV93" s="188"/>
      <c r="BW93" s="188"/>
      <c r="BX93" s="188"/>
      <c r="BY93" s="188"/>
      <c r="BZ93" s="188"/>
      <c r="CA93" s="195"/>
      <c r="CB93" s="188">
        <v>0</v>
      </c>
      <c r="CC93" s="195"/>
      <c r="CD93" s="189">
        <f t="shared" si="588"/>
        <v>0</v>
      </c>
      <c r="CE93" s="189">
        <f t="shared" si="589"/>
        <v>0</v>
      </c>
      <c r="CF93" s="189">
        <f t="shared" si="590"/>
        <v>0</v>
      </c>
      <c r="CG93" s="189">
        <f t="shared" si="591"/>
        <v>0</v>
      </c>
      <c r="CH93" s="189">
        <f t="shared" si="592"/>
        <v>0</v>
      </c>
      <c r="CI93" s="189">
        <f t="shared" si="593"/>
        <v>0</v>
      </c>
      <c r="CJ93" s="189">
        <f t="shared" si="594"/>
        <v>0</v>
      </c>
      <c r="CK93" s="189">
        <f t="shared" si="595"/>
        <v>0</v>
      </c>
      <c r="CL93" s="189">
        <f t="shared" si="596"/>
        <v>0</v>
      </c>
      <c r="CM93" s="189">
        <f t="shared" si="597"/>
        <v>0</v>
      </c>
      <c r="CN93" s="189">
        <f t="shared" si="598"/>
        <v>0</v>
      </c>
      <c r="CO93" s="189">
        <f t="shared" si="599"/>
        <v>0</v>
      </c>
      <c r="CP93" s="189">
        <f t="shared" si="600"/>
        <v>0</v>
      </c>
      <c r="CQ93" s="195"/>
      <c r="CR93" s="195"/>
      <c r="CS93" s="195"/>
      <c r="CT93" s="195"/>
      <c r="CU93" s="195"/>
      <c r="CV93" s="195"/>
      <c r="CW93" s="195"/>
      <c r="CX93" s="195"/>
      <c r="CY93" s="195"/>
      <c r="CZ93" s="195"/>
      <c r="DA93" s="195"/>
      <c r="DB93" s="195"/>
      <c r="DC93" s="195"/>
      <c r="DD93" s="195"/>
      <c r="DE93" s="195"/>
      <c r="DF93" s="195"/>
      <c r="DG93" s="195"/>
      <c r="DH93" s="195"/>
      <c r="DI93" s="195"/>
      <c r="DJ93" s="195"/>
      <c r="DK93" s="195"/>
      <c r="DL93" s="195"/>
      <c r="DM93" s="195"/>
      <c r="DN93" s="195"/>
      <c r="DO93" s="195"/>
      <c r="DP93" s="195"/>
      <c r="DQ93" s="195"/>
      <c r="DR93" s="195"/>
      <c r="DS93" s="195"/>
      <c r="DT93" s="195"/>
      <c r="DU93" s="195"/>
      <c r="DV93" s="188">
        <f t="shared" si="601"/>
        <v>0</v>
      </c>
      <c r="DW93" s="188">
        <f t="shared" si="602"/>
        <v>0</v>
      </c>
      <c r="DX93" s="188">
        <f t="shared" si="603"/>
        <v>0</v>
      </c>
      <c r="DY93" s="188">
        <f t="shared" si="604"/>
        <v>0</v>
      </c>
      <c r="DZ93" s="188">
        <f t="shared" si="605"/>
        <v>0</v>
      </c>
      <c r="EA93" s="188">
        <f t="shared" si="606"/>
        <v>0</v>
      </c>
      <c r="EB93" s="188">
        <f t="shared" si="607"/>
        <v>0</v>
      </c>
      <c r="EC93" s="195"/>
      <c r="ED93" s="195"/>
      <c r="EE93" s="195"/>
      <c r="EF93" s="195"/>
      <c r="EG93" s="252">
        <f t="shared" si="608"/>
        <v>0</v>
      </c>
      <c r="EH93" s="252">
        <f t="shared" si="609"/>
        <v>0</v>
      </c>
      <c r="EI93" s="189"/>
      <c r="EJ93" s="189"/>
      <c r="EK93" s="189"/>
      <c r="EL93" s="189"/>
      <c r="EM93" s="189"/>
      <c r="EN93" s="189"/>
      <c r="EO93" s="189"/>
      <c r="EP93" s="189"/>
      <c r="EQ93" s="189"/>
      <c r="ER93" s="189"/>
      <c r="ES93" s="189"/>
      <c r="ET93" s="189"/>
      <c r="EU93" s="189"/>
      <c r="EV93" s="189"/>
      <c r="EW93" s="189"/>
      <c r="EX93" s="189"/>
      <c r="EY93" s="189"/>
      <c r="EZ93" s="189"/>
      <c r="FA93" s="189"/>
      <c r="FB93" s="189"/>
      <c r="FC93" s="189"/>
      <c r="FD93" s="189"/>
      <c r="FE93" s="189"/>
      <c r="FF93" s="189"/>
      <c r="FG93" s="195"/>
      <c r="FH93" s="189"/>
      <c r="FI93" s="189"/>
      <c r="FJ93" s="189"/>
      <c r="FK93" s="189"/>
      <c r="FL93" s="189"/>
      <c r="FM93" s="189"/>
      <c r="FN93" s="189"/>
      <c r="FO93" s="189"/>
      <c r="FP93" s="189"/>
      <c r="FQ93" s="189"/>
      <c r="FR93" s="189"/>
      <c r="FS93" s="189"/>
      <c r="FT93" s="189"/>
      <c r="FU93" s="189"/>
      <c r="FV93" s="189"/>
      <c r="FW93" s="195"/>
      <c r="FX93" s="253"/>
      <c r="FY93" s="189">
        <f t="shared" si="610"/>
        <v>0</v>
      </c>
      <c r="FZ93" s="189">
        <f t="shared" si="611"/>
        <v>0</v>
      </c>
      <c r="GA93" s="189">
        <f t="shared" si="612"/>
        <v>0</v>
      </c>
      <c r="GB93" s="189">
        <f t="shared" si="613"/>
        <v>0</v>
      </c>
      <c r="GC93" s="189">
        <f t="shared" si="614"/>
        <v>0</v>
      </c>
      <c r="GD93" s="189">
        <f t="shared" si="615"/>
        <v>0</v>
      </c>
      <c r="GE93" s="189">
        <f t="shared" si="616"/>
        <v>0</v>
      </c>
      <c r="GF93" s="235"/>
      <c r="GG93" s="256">
        <v>0</v>
      </c>
      <c r="GH93" s="257">
        <v>0</v>
      </c>
      <c r="GI93" s="235"/>
      <c r="GJ93" s="258">
        <f t="shared" si="617"/>
        <v>0</v>
      </c>
      <c r="GK93" s="259">
        <f t="shared" si="618"/>
        <v>0</v>
      </c>
      <c r="GL93" s="195"/>
      <c r="GM93" s="195"/>
      <c r="GN93" s="195"/>
      <c r="GO93" s="188">
        <f t="shared" si="619"/>
        <v>0</v>
      </c>
      <c r="GP93" s="188">
        <f t="shared" si="620"/>
        <v>0</v>
      </c>
      <c r="GQ93" s="188">
        <f t="shared" si="621"/>
        <v>0</v>
      </c>
      <c r="GR93" s="188">
        <f t="shared" si="622"/>
        <v>0</v>
      </c>
      <c r="GS93" s="188">
        <f t="shared" si="623"/>
        <v>0</v>
      </c>
      <c r="GT93" s="188">
        <f t="shared" si="624"/>
        <v>1</v>
      </c>
      <c r="GU93" s="228">
        <f t="shared" si="457"/>
        <v>43243</v>
      </c>
      <c r="GV93" s="188" t="str">
        <f t="shared" si="625"/>
        <v>SELESAI</v>
      </c>
      <c r="GW93" s="188">
        <f t="shared" si="626"/>
        <v>0</v>
      </c>
      <c r="GX93" s="188" t="str">
        <f t="shared" si="627"/>
        <v>SELESAI</v>
      </c>
      <c r="GY93" s="188">
        <f t="shared" si="628"/>
        <v>0</v>
      </c>
      <c r="GZ93" s="228" t="str">
        <f t="shared" si="629"/>
        <v>SELESAI</v>
      </c>
      <c r="HA93" s="204"/>
      <c r="HB93" s="204"/>
      <c r="HC93" s="188">
        <f t="shared" si="630"/>
        <v>0</v>
      </c>
      <c r="HD93" s="188">
        <f t="shared" si="631"/>
        <v>0</v>
      </c>
      <c r="HE93" s="188">
        <f t="shared" si="632"/>
        <v>0</v>
      </c>
      <c r="HF93" s="188">
        <f t="shared" si="633"/>
        <v>0</v>
      </c>
      <c r="HG93" s="188">
        <f t="shared" si="634"/>
        <v>0</v>
      </c>
      <c r="HH93" s="228" t="str">
        <f t="shared" si="635"/>
        <v>TIDAK KONSINYASI</v>
      </c>
      <c r="HI93" s="228" t="str">
        <f t="shared" si="636"/>
        <v>SELESAI</v>
      </c>
      <c r="HJ93" s="195"/>
      <c r="HK93" s="201">
        <f t="shared" si="637"/>
        <v>0</v>
      </c>
      <c r="HL93" s="204"/>
      <c r="HM93" s="204"/>
      <c r="HN93" s="204"/>
      <c r="HO93" s="204"/>
      <c r="HP93" s="203">
        <f t="shared" si="638"/>
        <v>0</v>
      </c>
      <c r="HQ93" s="202">
        <f t="shared" si="639"/>
        <v>0</v>
      </c>
      <c r="HR93" s="202">
        <f t="shared" si="640"/>
        <v>0</v>
      </c>
      <c r="HS93" s="203">
        <f t="shared" si="641"/>
        <v>0</v>
      </c>
      <c r="HT93" s="202">
        <f t="shared" si="642"/>
        <v>0</v>
      </c>
      <c r="HU93" s="202">
        <f t="shared" si="643"/>
        <v>0</v>
      </c>
      <c r="HV93" s="203">
        <f t="shared" si="644"/>
        <v>0</v>
      </c>
      <c r="HW93" s="202">
        <f t="shared" si="645"/>
        <v>0</v>
      </c>
      <c r="HX93" s="202">
        <f t="shared" si="646"/>
        <v>0</v>
      </c>
      <c r="HY93" s="203">
        <f t="shared" si="647"/>
        <v>0</v>
      </c>
      <c r="HZ93" s="202">
        <f t="shared" si="648"/>
        <v>0</v>
      </c>
      <c r="IA93" s="202">
        <f t="shared" si="649"/>
        <v>0</v>
      </c>
      <c r="IB93" s="232">
        <f t="shared" si="650"/>
        <v>0</v>
      </c>
      <c r="IC93" s="226">
        <f t="shared" si="651"/>
        <v>0</v>
      </c>
      <c r="ID93" s="226">
        <f t="shared" si="652"/>
        <v>0</v>
      </c>
      <c r="IE93" s="232">
        <f t="shared" si="653"/>
        <v>0</v>
      </c>
      <c r="IF93" s="226">
        <f t="shared" si="654"/>
        <v>0</v>
      </c>
      <c r="IG93" s="226">
        <f t="shared" si="655"/>
        <v>0</v>
      </c>
      <c r="IH93" s="232">
        <f t="shared" si="656"/>
        <v>0</v>
      </c>
      <c r="II93" s="226">
        <f t="shared" si="657"/>
        <v>0</v>
      </c>
      <c r="IJ93" s="226">
        <f t="shared" si="658"/>
        <v>0</v>
      </c>
      <c r="IK93" s="232">
        <f t="shared" si="659"/>
        <v>0</v>
      </c>
      <c r="IL93" s="226">
        <f t="shared" si="660"/>
        <v>0</v>
      </c>
      <c r="IM93" s="226">
        <f t="shared" si="661"/>
        <v>0</v>
      </c>
      <c r="IN93" s="204"/>
      <c r="IO93" s="203">
        <f t="shared" si="662"/>
        <v>0</v>
      </c>
      <c r="IP93" s="202">
        <f t="shared" si="663"/>
        <v>0</v>
      </c>
      <c r="IQ93" s="202">
        <f t="shared" si="664"/>
        <v>0</v>
      </c>
      <c r="IR93" s="204"/>
      <c r="IS93" s="203"/>
      <c r="IT93" s="202">
        <f t="shared" si="665"/>
        <v>1</v>
      </c>
      <c r="IU93" s="226">
        <f t="shared" si="666"/>
        <v>42</v>
      </c>
      <c r="IV93" s="204"/>
      <c r="IW93" s="203"/>
      <c r="IX93" s="202">
        <f t="shared" si="667"/>
        <v>0</v>
      </c>
      <c r="IY93" s="202">
        <f t="shared" si="668"/>
        <v>0</v>
      </c>
      <c r="IZ93" s="204"/>
      <c r="JA93" s="203"/>
      <c r="JB93" s="202">
        <f t="shared" si="669"/>
        <v>0</v>
      </c>
      <c r="JC93" s="226">
        <f t="shared" si="670"/>
        <v>0</v>
      </c>
      <c r="JD93" s="204"/>
      <c r="JE93" s="203"/>
      <c r="JF93" s="202">
        <f t="shared" si="671"/>
        <v>1</v>
      </c>
      <c r="JG93" s="202">
        <f t="shared" si="672"/>
        <v>42</v>
      </c>
      <c r="JH93" s="204"/>
      <c r="JI93" s="203"/>
      <c r="JJ93" s="202">
        <f t="shared" si="673"/>
        <v>0</v>
      </c>
      <c r="JK93" s="202">
        <f t="shared" si="674"/>
        <v>0</v>
      </c>
      <c r="JL93" s="195"/>
      <c r="JM93" s="203">
        <f t="shared" si="675"/>
        <v>0</v>
      </c>
      <c r="JN93" s="195"/>
      <c r="JO93" s="196">
        <f t="shared" si="676"/>
        <v>0</v>
      </c>
      <c r="JP93" s="206">
        <f t="shared" si="677"/>
        <v>0</v>
      </c>
      <c r="JQ93" s="206">
        <f t="shared" si="678"/>
        <v>0</v>
      </c>
      <c r="JR93" s="206">
        <f t="shared" si="679"/>
        <v>0</v>
      </c>
      <c r="JS93" s="206">
        <f t="shared" si="680"/>
        <v>0</v>
      </c>
      <c r="JT93" s="206">
        <f t="shared" si="681"/>
        <v>0</v>
      </c>
      <c r="JU93" s="206">
        <f t="shared" si="682"/>
        <v>0</v>
      </c>
      <c r="JV93" s="206">
        <f t="shared" si="683"/>
        <v>0</v>
      </c>
      <c r="JW93" s="206">
        <f t="shared" si="684"/>
        <v>0</v>
      </c>
      <c r="JX93" s="206">
        <f t="shared" si="685"/>
        <v>0</v>
      </c>
      <c r="JY93" s="206">
        <f t="shared" si="686"/>
        <v>0</v>
      </c>
      <c r="JZ93" s="206">
        <f t="shared" si="687"/>
        <v>0</v>
      </c>
      <c r="KA93" s="206">
        <f t="shared" si="688"/>
        <v>0</v>
      </c>
      <c r="KB93" s="206">
        <f t="shared" si="689"/>
        <v>0</v>
      </c>
      <c r="KC93" s="195"/>
      <c r="KD93" s="206">
        <f t="shared" si="690"/>
        <v>0</v>
      </c>
      <c r="KE93" s="206">
        <f t="shared" si="691"/>
        <v>0</v>
      </c>
      <c r="KF93" s="206">
        <f t="shared" si="692"/>
        <v>0</v>
      </c>
      <c r="KG93" s="206">
        <f t="shared" si="693"/>
        <v>0</v>
      </c>
      <c r="KH93" s="206">
        <f t="shared" si="694"/>
        <v>0</v>
      </c>
      <c r="KI93" s="206">
        <f t="shared" si="695"/>
        <v>0</v>
      </c>
      <c r="KJ93" s="206">
        <f t="shared" si="696"/>
        <v>0</v>
      </c>
      <c r="KK93" s="206">
        <f t="shared" si="697"/>
        <v>0</v>
      </c>
      <c r="KL93" s="206">
        <f t="shared" si="698"/>
        <v>0</v>
      </c>
      <c r="KM93" s="206">
        <f t="shared" si="699"/>
        <v>0</v>
      </c>
      <c r="KN93" s="221">
        <f t="shared" si="700"/>
        <v>0</v>
      </c>
      <c r="KO93" s="221">
        <f t="shared" si="701"/>
        <v>0</v>
      </c>
      <c r="KP93" s="221">
        <f t="shared" si="702"/>
        <v>0</v>
      </c>
      <c r="KQ93" s="221">
        <f t="shared" si="703"/>
        <v>0</v>
      </c>
      <c r="KR93" s="221">
        <f t="shared" si="704"/>
        <v>0</v>
      </c>
      <c r="KS93" s="195"/>
      <c r="KT93" s="195">
        <f t="shared" si="705"/>
        <v>0</v>
      </c>
      <c r="KU93" s="221"/>
      <c r="KV93" s="221"/>
      <c r="KW93" s="221"/>
      <c r="KX93" s="221"/>
      <c r="KY93" s="221"/>
      <c r="KZ93" s="221"/>
      <c r="LA93" s="221"/>
      <c r="LB93" s="221"/>
      <c r="LC93" s="221"/>
      <c r="LD93" s="221"/>
      <c r="LE93" s="221"/>
      <c r="LF93" s="221"/>
      <c r="LG93" s="221"/>
      <c r="LH93" s="221"/>
      <c r="LI93" s="221"/>
      <c r="LJ93" s="221"/>
      <c r="LK93" s="221"/>
      <c r="LL93" s="221"/>
      <c r="LM93" s="221"/>
      <c r="LN93" s="221"/>
      <c r="LO93" s="221"/>
      <c r="LP93" s="221"/>
      <c r="LQ93" s="221"/>
      <c r="LR93" s="221"/>
      <c r="LS93" s="221"/>
      <c r="LT93" s="221"/>
      <c r="LU93" s="221"/>
      <c r="LV93" s="221"/>
      <c r="LW93" s="221"/>
      <c r="LX93" s="221"/>
      <c r="LY93" s="221"/>
      <c r="LZ93" s="221"/>
      <c r="MA93" s="221"/>
      <c r="MB93" s="221"/>
      <c r="MC93" s="221"/>
      <c r="MD93" s="221"/>
      <c r="ME93" s="221"/>
      <c r="MF93" s="221"/>
      <c r="MG93" s="221"/>
      <c r="MH93" s="221"/>
      <c r="MI93" s="221"/>
      <c r="MJ93" s="221"/>
      <c r="MK93" s="221"/>
      <c r="ML93" s="221"/>
      <c r="MM93" s="221"/>
      <c r="MN93" s="221"/>
      <c r="MO93" s="221"/>
      <c r="MP93" s="221"/>
      <c r="MQ93" s="221"/>
      <c r="MR93" s="221"/>
      <c r="MS93" s="221"/>
      <c r="MT93" s="221"/>
      <c r="MU93" s="221"/>
      <c r="MV93" s="221"/>
      <c r="MW93" s="221"/>
      <c r="MX93" s="221"/>
      <c r="MY93" s="221"/>
      <c r="MZ93" s="221"/>
      <c r="NA93" s="221"/>
      <c r="NB93" s="221"/>
      <c r="NC93" s="221"/>
      <c r="ND93" s="221"/>
      <c r="NE93" s="221"/>
      <c r="NF93" s="221"/>
      <c r="NG93" s="221"/>
      <c r="NH93" s="221"/>
      <c r="NI93" s="221"/>
      <c r="NJ93" s="221"/>
      <c r="NK93" s="221"/>
      <c r="NL93" s="195"/>
      <c r="NM93" s="195">
        <f t="shared" si="706"/>
        <v>0</v>
      </c>
      <c r="NN93" s="195">
        <f t="shared" si="707"/>
        <v>0</v>
      </c>
      <c r="NO93" s="195">
        <f t="shared" si="708"/>
        <v>0</v>
      </c>
      <c r="NP93" s="195">
        <f t="shared" si="709"/>
        <v>0</v>
      </c>
      <c r="NQ93" s="195">
        <f t="shared" si="710"/>
        <v>0</v>
      </c>
      <c r="NR93" s="195">
        <f t="shared" si="711"/>
        <v>0</v>
      </c>
      <c r="NS93" s="195">
        <f t="shared" si="712"/>
        <v>0</v>
      </c>
      <c r="NT93" s="195">
        <f t="shared" si="713"/>
        <v>0</v>
      </c>
      <c r="NU93" s="196">
        <f t="shared" si="714"/>
        <v>0</v>
      </c>
      <c r="NV93" s="195"/>
      <c r="NW93" s="195"/>
      <c r="NX93" s="195"/>
      <c r="NY93" s="196">
        <f t="shared" si="423"/>
        <v>1</v>
      </c>
      <c r="NZ93" s="222">
        <v>9100280</v>
      </c>
      <c r="OA93" s="195"/>
      <c r="OB93" s="195"/>
      <c r="OC93" s="195"/>
      <c r="OD93" s="195"/>
      <c r="OE93" s="207">
        <f t="shared" si="723"/>
        <v>0</v>
      </c>
      <c r="OF93" s="207">
        <f t="shared" si="724"/>
        <v>0</v>
      </c>
      <c r="OG93" s="207">
        <f t="shared" si="725"/>
        <v>0</v>
      </c>
      <c r="OH93" s="207">
        <f t="shared" si="726"/>
        <v>0</v>
      </c>
      <c r="OI93" s="207">
        <f t="shared" si="727"/>
        <v>0</v>
      </c>
      <c r="OJ93" s="199">
        <f t="shared" si="728"/>
        <v>0</v>
      </c>
      <c r="OK93" s="199">
        <f t="shared" si="729"/>
        <v>0</v>
      </c>
      <c r="OL93" s="199">
        <f t="shared" si="730"/>
        <v>0</v>
      </c>
      <c r="OM93" s="199">
        <f t="shared" si="731"/>
        <v>0</v>
      </c>
      <c r="ON93" s="195"/>
      <c r="OO93" s="207">
        <f t="shared" si="732"/>
        <v>0</v>
      </c>
      <c r="OP93" s="207">
        <f t="shared" si="733"/>
        <v>0</v>
      </c>
      <c r="OQ93" s="207">
        <f t="shared" si="734"/>
        <v>0</v>
      </c>
      <c r="OR93" s="207">
        <f t="shared" si="735"/>
        <v>0</v>
      </c>
      <c r="OS93" s="207">
        <f t="shared" si="736"/>
        <v>0</v>
      </c>
      <c r="OT93" s="199">
        <f t="shared" si="737"/>
        <v>0</v>
      </c>
      <c r="OU93" s="199">
        <f t="shared" si="738"/>
        <v>0</v>
      </c>
      <c r="OV93" s="199">
        <f t="shared" si="739"/>
        <v>0</v>
      </c>
      <c r="OW93" s="199">
        <f t="shared" si="740"/>
        <v>0</v>
      </c>
      <c r="OX93" s="195"/>
      <c r="OY93" s="195"/>
      <c r="OZ93" s="195"/>
      <c r="PA93" s="260"/>
      <c r="PB93" s="260"/>
      <c r="PC93" s="260"/>
      <c r="PD93" s="210">
        <f t="shared" si="430"/>
        <v>0</v>
      </c>
      <c r="PE93" s="210"/>
      <c r="PF93" s="210">
        <f t="shared" si="431"/>
        <v>0</v>
      </c>
      <c r="PG93" s="210">
        <f t="shared" si="302"/>
        <v>0</v>
      </c>
      <c r="PH93" s="210">
        <f t="shared" si="302"/>
        <v>0</v>
      </c>
      <c r="PI93" s="210">
        <f t="shared" si="302"/>
        <v>0</v>
      </c>
      <c r="PJ93" s="210">
        <f t="shared" si="300"/>
        <v>0</v>
      </c>
      <c r="PK93" s="210">
        <f t="shared" si="300"/>
        <v>0</v>
      </c>
      <c r="PL93" s="210">
        <f t="shared" si="300"/>
        <v>0</v>
      </c>
      <c r="PM93" s="195"/>
      <c r="PN93" s="195"/>
      <c r="PO93" s="212">
        <f t="shared" si="715"/>
        <v>0</v>
      </c>
      <c r="PP93" s="212">
        <f t="shared" si="716"/>
        <v>0</v>
      </c>
      <c r="PQ93" s="212">
        <f t="shared" si="717"/>
        <v>0</v>
      </c>
    </row>
    <row r="94" spans="1:433 16383:16383" ht="16" x14ac:dyDescent="0.2">
      <c r="A94" s="213">
        <f t="shared" si="718"/>
        <v>85</v>
      </c>
      <c r="B94" s="186" t="s">
        <v>633</v>
      </c>
      <c r="C94" s="255">
        <v>86</v>
      </c>
      <c r="D94" s="188">
        <v>1</v>
      </c>
      <c r="E94" s="188">
        <v>54</v>
      </c>
      <c r="F94" s="188">
        <v>1</v>
      </c>
      <c r="G94" s="188">
        <f t="shared" si="719"/>
        <v>54</v>
      </c>
      <c r="H94" s="214">
        <f t="shared" si="566"/>
        <v>1</v>
      </c>
      <c r="I94" s="214">
        <f t="shared" si="720"/>
        <v>1</v>
      </c>
      <c r="J94" s="188">
        <v>1</v>
      </c>
      <c r="K94" s="188">
        <f t="shared" si="567"/>
        <v>54</v>
      </c>
      <c r="L94" s="214">
        <f t="shared" si="568"/>
        <v>1</v>
      </c>
      <c r="M94" s="214">
        <f t="shared" si="721"/>
        <v>1</v>
      </c>
      <c r="N94" s="188">
        <v>1</v>
      </c>
      <c r="O94" s="188">
        <f t="shared" si="722"/>
        <v>54</v>
      </c>
      <c r="P94" s="214">
        <f t="shared" si="569"/>
        <v>1</v>
      </c>
      <c r="Q94" s="214">
        <f t="shared" si="570"/>
        <v>1</v>
      </c>
      <c r="R94" s="188">
        <v>1</v>
      </c>
      <c r="S94" s="188">
        <f t="shared" si="571"/>
        <v>54</v>
      </c>
      <c r="T94" s="214">
        <f t="shared" si="572"/>
        <v>1</v>
      </c>
      <c r="U94" s="214">
        <f t="shared" si="573"/>
        <v>1</v>
      </c>
      <c r="V94" s="188">
        <v>1</v>
      </c>
      <c r="W94" s="188">
        <f t="shared" si="574"/>
        <v>54</v>
      </c>
      <c r="X94" s="214">
        <f t="shared" si="575"/>
        <v>1</v>
      </c>
      <c r="Y94" s="214">
        <v>0</v>
      </c>
      <c r="Z94" s="224">
        <f>809962000/1000000000</f>
        <v>0.80996199999999996</v>
      </c>
      <c r="AA94" s="188"/>
      <c r="AB94" s="188">
        <v>0</v>
      </c>
      <c r="AC94" s="214">
        <f t="shared" si="576"/>
        <v>0</v>
      </c>
      <c r="AD94" s="214">
        <v>0</v>
      </c>
      <c r="AE94" s="188"/>
      <c r="AF94" s="188">
        <f t="shared" si="577"/>
        <v>0</v>
      </c>
      <c r="AG94" s="187"/>
      <c r="AH94" s="187"/>
      <c r="AI94" s="188">
        <v>0</v>
      </c>
      <c r="AJ94" s="188">
        <f t="shared" si="578"/>
        <v>0</v>
      </c>
      <c r="AK94" s="188"/>
      <c r="AL94" s="188">
        <v>0</v>
      </c>
      <c r="AM94" s="188">
        <v>0</v>
      </c>
      <c r="AN94" s="217"/>
      <c r="AO94" s="196">
        <f t="shared" si="579"/>
        <v>0</v>
      </c>
      <c r="AP94" s="195"/>
      <c r="AQ94" s="195"/>
      <c r="AR94" s="195"/>
      <c r="AS94" s="195"/>
      <c r="AT94" s="195"/>
      <c r="AU94" s="195"/>
      <c r="AV94" s="195"/>
      <c r="AW94" s="195"/>
      <c r="AX94" s="195"/>
      <c r="AY94" s="195"/>
      <c r="AZ94" s="195"/>
      <c r="BA94" s="195"/>
      <c r="BB94" s="188">
        <f t="shared" si="580"/>
        <v>0</v>
      </c>
      <c r="BC94" s="195"/>
      <c r="BD94" s="196"/>
      <c r="BE94" s="226">
        <f t="shared" si="581"/>
        <v>0</v>
      </c>
      <c r="BF94" s="188">
        <f t="shared" si="582"/>
        <v>0</v>
      </c>
      <c r="BG94" s="188">
        <f t="shared" si="583"/>
        <v>0</v>
      </c>
      <c r="BH94" s="188">
        <f t="shared" si="584"/>
        <v>0</v>
      </c>
      <c r="BI94" s="188">
        <f t="shared" si="585"/>
        <v>0</v>
      </c>
      <c r="BJ94" s="188">
        <f t="shared" si="586"/>
        <v>0</v>
      </c>
      <c r="BK94" s="188">
        <f t="shared" si="587"/>
        <v>0</v>
      </c>
      <c r="BL94" s="195"/>
      <c r="BM94" s="195"/>
      <c r="BN94" s="215"/>
      <c r="BO94" s="218"/>
      <c r="BP94" s="188"/>
      <c r="BQ94" s="188"/>
      <c r="BR94" s="188"/>
      <c r="BS94" s="188"/>
      <c r="BT94" s="188"/>
      <c r="BU94" s="188"/>
      <c r="BV94" s="188"/>
      <c r="BW94" s="188"/>
      <c r="BX94" s="188"/>
      <c r="BY94" s="188"/>
      <c r="BZ94" s="188"/>
      <c r="CA94" s="195"/>
      <c r="CB94" s="188">
        <v>0</v>
      </c>
      <c r="CC94" s="195"/>
      <c r="CD94" s="189">
        <f t="shared" si="588"/>
        <v>0</v>
      </c>
      <c r="CE94" s="189">
        <f t="shared" si="589"/>
        <v>0</v>
      </c>
      <c r="CF94" s="189">
        <f t="shared" si="590"/>
        <v>0</v>
      </c>
      <c r="CG94" s="189">
        <f t="shared" si="591"/>
        <v>0</v>
      </c>
      <c r="CH94" s="189">
        <f t="shared" si="592"/>
        <v>0</v>
      </c>
      <c r="CI94" s="189">
        <f t="shared" si="593"/>
        <v>0</v>
      </c>
      <c r="CJ94" s="189">
        <f t="shared" si="594"/>
        <v>0</v>
      </c>
      <c r="CK94" s="189">
        <f t="shared" si="595"/>
        <v>0</v>
      </c>
      <c r="CL94" s="189">
        <f t="shared" si="596"/>
        <v>0</v>
      </c>
      <c r="CM94" s="189">
        <f t="shared" si="597"/>
        <v>0</v>
      </c>
      <c r="CN94" s="189">
        <f t="shared" si="598"/>
        <v>0</v>
      </c>
      <c r="CO94" s="189">
        <f t="shared" si="599"/>
        <v>0</v>
      </c>
      <c r="CP94" s="189">
        <f t="shared" si="600"/>
        <v>0</v>
      </c>
      <c r="CQ94" s="195"/>
      <c r="CR94" s="195"/>
      <c r="CS94" s="195"/>
      <c r="CT94" s="195"/>
      <c r="CU94" s="195"/>
      <c r="CV94" s="195"/>
      <c r="CW94" s="195"/>
      <c r="CX94" s="195"/>
      <c r="CY94" s="195"/>
      <c r="CZ94" s="195"/>
      <c r="DA94" s="195"/>
      <c r="DB94" s="195"/>
      <c r="DC94" s="195"/>
      <c r="DD94" s="195"/>
      <c r="DE94" s="195"/>
      <c r="DF94" s="195"/>
      <c r="DG94" s="195"/>
      <c r="DH94" s="195"/>
      <c r="DI94" s="195"/>
      <c r="DJ94" s="195"/>
      <c r="DK94" s="195"/>
      <c r="DL94" s="195"/>
      <c r="DM94" s="195"/>
      <c r="DN94" s="195"/>
      <c r="DO94" s="195"/>
      <c r="DP94" s="195"/>
      <c r="DQ94" s="195"/>
      <c r="DR94" s="195"/>
      <c r="DS94" s="195"/>
      <c r="DT94" s="195"/>
      <c r="DU94" s="195"/>
      <c r="DV94" s="188">
        <f t="shared" si="601"/>
        <v>0</v>
      </c>
      <c r="DW94" s="188">
        <f t="shared" si="602"/>
        <v>0</v>
      </c>
      <c r="DX94" s="188">
        <f t="shared" si="603"/>
        <v>0</v>
      </c>
      <c r="DY94" s="188">
        <f t="shared" si="604"/>
        <v>0</v>
      </c>
      <c r="DZ94" s="188">
        <f t="shared" si="605"/>
        <v>0</v>
      </c>
      <c r="EA94" s="188">
        <f t="shared" si="606"/>
        <v>0</v>
      </c>
      <c r="EB94" s="188">
        <f t="shared" si="607"/>
        <v>0</v>
      </c>
      <c r="EC94" s="195"/>
      <c r="ED94" s="195"/>
      <c r="EE94" s="195"/>
      <c r="EF94" s="195"/>
      <c r="EG94" s="252">
        <f t="shared" si="608"/>
        <v>0</v>
      </c>
      <c r="EH94" s="252">
        <f t="shared" si="609"/>
        <v>0</v>
      </c>
      <c r="EI94" s="189"/>
      <c r="EJ94" s="189"/>
      <c r="EK94" s="189"/>
      <c r="EL94" s="189"/>
      <c r="EM94" s="189"/>
      <c r="EN94" s="189"/>
      <c r="EO94" s="189"/>
      <c r="EP94" s="189"/>
      <c r="EQ94" s="189"/>
      <c r="ER94" s="189"/>
      <c r="ES94" s="189"/>
      <c r="ET94" s="189"/>
      <c r="EU94" s="189"/>
      <c r="EV94" s="189"/>
      <c r="EW94" s="189"/>
      <c r="EX94" s="189"/>
      <c r="EY94" s="189"/>
      <c r="EZ94" s="189"/>
      <c r="FA94" s="189"/>
      <c r="FB94" s="189"/>
      <c r="FC94" s="189"/>
      <c r="FD94" s="189"/>
      <c r="FE94" s="189"/>
      <c r="FF94" s="189"/>
      <c r="FG94" s="195"/>
      <c r="FH94" s="189"/>
      <c r="FI94" s="189"/>
      <c r="FJ94" s="189"/>
      <c r="FK94" s="189"/>
      <c r="FL94" s="189"/>
      <c r="FM94" s="189"/>
      <c r="FN94" s="189"/>
      <c r="FO94" s="189"/>
      <c r="FP94" s="189"/>
      <c r="FQ94" s="189"/>
      <c r="FR94" s="189"/>
      <c r="FS94" s="189"/>
      <c r="FT94" s="189"/>
      <c r="FU94" s="189"/>
      <c r="FV94" s="189"/>
      <c r="FW94" s="195"/>
      <c r="FX94" s="253"/>
      <c r="FY94" s="189">
        <f t="shared" si="610"/>
        <v>0</v>
      </c>
      <c r="FZ94" s="189">
        <f t="shared" si="611"/>
        <v>0</v>
      </c>
      <c r="GA94" s="189">
        <f t="shared" si="612"/>
        <v>0</v>
      </c>
      <c r="GB94" s="189">
        <f t="shared" si="613"/>
        <v>0</v>
      </c>
      <c r="GC94" s="189">
        <f t="shared" si="614"/>
        <v>0</v>
      </c>
      <c r="GD94" s="189">
        <f t="shared" si="615"/>
        <v>0</v>
      </c>
      <c r="GE94" s="189">
        <f t="shared" si="616"/>
        <v>0</v>
      </c>
      <c r="GF94" s="235"/>
      <c r="GG94" s="256">
        <v>0</v>
      </c>
      <c r="GH94" s="257">
        <v>0</v>
      </c>
      <c r="GI94" s="235"/>
      <c r="GJ94" s="258">
        <f t="shared" si="617"/>
        <v>0</v>
      </c>
      <c r="GK94" s="259">
        <f t="shared" si="618"/>
        <v>0</v>
      </c>
      <c r="GL94" s="195"/>
      <c r="GM94" s="195"/>
      <c r="GN94" s="195"/>
      <c r="GO94" s="188">
        <f t="shared" si="619"/>
        <v>0</v>
      </c>
      <c r="GP94" s="188">
        <f t="shared" si="620"/>
        <v>0</v>
      </c>
      <c r="GQ94" s="188">
        <f t="shared" si="621"/>
        <v>0</v>
      </c>
      <c r="GR94" s="188">
        <f t="shared" si="622"/>
        <v>0</v>
      </c>
      <c r="GS94" s="188">
        <f t="shared" si="623"/>
        <v>0</v>
      </c>
      <c r="GT94" s="188">
        <f t="shared" si="624"/>
        <v>1</v>
      </c>
      <c r="GU94" s="228">
        <f t="shared" si="457"/>
        <v>43243</v>
      </c>
      <c r="GV94" s="188" t="str">
        <f t="shared" si="625"/>
        <v>SELESAI</v>
      </c>
      <c r="GW94" s="188">
        <f t="shared" si="626"/>
        <v>0</v>
      </c>
      <c r="GX94" s="188" t="str">
        <f t="shared" si="627"/>
        <v>SELESAI</v>
      </c>
      <c r="GY94" s="188">
        <f t="shared" si="628"/>
        <v>0</v>
      </c>
      <c r="GZ94" s="228" t="str">
        <f t="shared" si="629"/>
        <v>SELESAI</v>
      </c>
      <c r="HA94" s="204"/>
      <c r="HB94" s="204"/>
      <c r="HC94" s="188">
        <f t="shared" si="630"/>
        <v>0</v>
      </c>
      <c r="HD94" s="188">
        <f t="shared" si="631"/>
        <v>0</v>
      </c>
      <c r="HE94" s="188">
        <f t="shared" si="632"/>
        <v>0</v>
      </c>
      <c r="HF94" s="188">
        <f t="shared" si="633"/>
        <v>0</v>
      </c>
      <c r="HG94" s="188">
        <f t="shared" si="634"/>
        <v>0</v>
      </c>
      <c r="HH94" s="228" t="str">
        <f t="shared" si="635"/>
        <v>TIDAK KONSINYASI</v>
      </c>
      <c r="HI94" s="228" t="str">
        <f t="shared" si="636"/>
        <v>SELESAI</v>
      </c>
      <c r="HJ94" s="195"/>
      <c r="HK94" s="201">
        <f t="shared" si="637"/>
        <v>0</v>
      </c>
      <c r="HL94" s="204"/>
      <c r="HM94" s="204"/>
      <c r="HN94" s="204"/>
      <c r="HO94" s="204"/>
      <c r="HP94" s="203">
        <f t="shared" si="638"/>
        <v>0</v>
      </c>
      <c r="HQ94" s="202">
        <f t="shared" si="639"/>
        <v>0</v>
      </c>
      <c r="HR94" s="202">
        <f t="shared" si="640"/>
        <v>0</v>
      </c>
      <c r="HS94" s="203">
        <f t="shared" si="641"/>
        <v>0</v>
      </c>
      <c r="HT94" s="202">
        <f t="shared" si="642"/>
        <v>0</v>
      </c>
      <c r="HU94" s="202">
        <f t="shared" si="643"/>
        <v>0</v>
      </c>
      <c r="HV94" s="203">
        <f t="shared" si="644"/>
        <v>0</v>
      </c>
      <c r="HW94" s="202">
        <f t="shared" si="645"/>
        <v>0</v>
      </c>
      <c r="HX94" s="202">
        <f t="shared" si="646"/>
        <v>0</v>
      </c>
      <c r="HY94" s="203">
        <f t="shared" si="647"/>
        <v>0</v>
      </c>
      <c r="HZ94" s="202">
        <f t="shared" si="648"/>
        <v>0</v>
      </c>
      <c r="IA94" s="202">
        <f t="shared" si="649"/>
        <v>0</v>
      </c>
      <c r="IB94" s="232">
        <f t="shared" si="650"/>
        <v>0</v>
      </c>
      <c r="IC94" s="226">
        <f t="shared" si="651"/>
        <v>0</v>
      </c>
      <c r="ID94" s="226">
        <f t="shared" si="652"/>
        <v>0</v>
      </c>
      <c r="IE94" s="232">
        <f t="shared" si="653"/>
        <v>0</v>
      </c>
      <c r="IF94" s="226">
        <f t="shared" si="654"/>
        <v>0</v>
      </c>
      <c r="IG94" s="226">
        <f t="shared" si="655"/>
        <v>0</v>
      </c>
      <c r="IH94" s="232">
        <f t="shared" si="656"/>
        <v>0</v>
      </c>
      <c r="II94" s="226">
        <f t="shared" si="657"/>
        <v>0</v>
      </c>
      <c r="IJ94" s="226">
        <f t="shared" si="658"/>
        <v>0</v>
      </c>
      <c r="IK94" s="232">
        <f t="shared" si="659"/>
        <v>0</v>
      </c>
      <c r="IL94" s="226">
        <f t="shared" si="660"/>
        <v>0</v>
      </c>
      <c r="IM94" s="226">
        <f t="shared" si="661"/>
        <v>0</v>
      </c>
      <c r="IN94" s="204"/>
      <c r="IO94" s="203">
        <f t="shared" si="662"/>
        <v>0</v>
      </c>
      <c r="IP94" s="202">
        <f t="shared" si="663"/>
        <v>0</v>
      </c>
      <c r="IQ94" s="202">
        <f t="shared" si="664"/>
        <v>0</v>
      </c>
      <c r="IR94" s="204"/>
      <c r="IS94" s="203"/>
      <c r="IT94" s="202">
        <f t="shared" si="665"/>
        <v>1</v>
      </c>
      <c r="IU94" s="226">
        <f t="shared" si="666"/>
        <v>54</v>
      </c>
      <c r="IV94" s="204"/>
      <c r="IW94" s="203"/>
      <c r="IX94" s="202">
        <f t="shared" si="667"/>
        <v>0</v>
      </c>
      <c r="IY94" s="202">
        <f t="shared" si="668"/>
        <v>0</v>
      </c>
      <c r="IZ94" s="204"/>
      <c r="JA94" s="203"/>
      <c r="JB94" s="202">
        <f t="shared" si="669"/>
        <v>0</v>
      </c>
      <c r="JC94" s="226">
        <f t="shared" si="670"/>
        <v>0</v>
      </c>
      <c r="JD94" s="204"/>
      <c r="JE94" s="203"/>
      <c r="JF94" s="202">
        <f t="shared" si="671"/>
        <v>1</v>
      </c>
      <c r="JG94" s="202">
        <f t="shared" si="672"/>
        <v>54</v>
      </c>
      <c r="JH94" s="204"/>
      <c r="JI94" s="203"/>
      <c r="JJ94" s="202">
        <f t="shared" si="673"/>
        <v>0</v>
      </c>
      <c r="JK94" s="202">
        <f t="shared" si="674"/>
        <v>0</v>
      </c>
      <c r="JL94" s="195"/>
      <c r="JM94" s="203">
        <f t="shared" si="675"/>
        <v>0</v>
      </c>
      <c r="JN94" s="195"/>
      <c r="JO94" s="196">
        <f t="shared" si="676"/>
        <v>0</v>
      </c>
      <c r="JP94" s="206">
        <f t="shared" si="677"/>
        <v>0</v>
      </c>
      <c r="JQ94" s="206">
        <f t="shared" si="678"/>
        <v>0</v>
      </c>
      <c r="JR94" s="206">
        <f t="shared" si="679"/>
        <v>0</v>
      </c>
      <c r="JS94" s="206">
        <f t="shared" si="680"/>
        <v>0</v>
      </c>
      <c r="JT94" s="206">
        <f t="shared" si="681"/>
        <v>0</v>
      </c>
      <c r="JU94" s="206">
        <f t="shared" si="682"/>
        <v>0</v>
      </c>
      <c r="JV94" s="206">
        <f t="shared" si="683"/>
        <v>0</v>
      </c>
      <c r="JW94" s="206">
        <f t="shared" si="684"/>
        <v>0</v>
      </c>
      <c r="JX94" s="206">
        <f t="shared" si="685"/>
        <v>0</v>
      </c>
      <c r="JY94" s="206">
        <f t="shared" si="686"/>
        <v>0</v>
      </c>
      <c r="JZ94" s="206">
        <f t="shared" si="687"/>
        <v>0</v>
      </c>
      <c r="KA94" s="206">
        <f t="shared" si="688"/>
        <v>0</v>
      </c>
      <c r="KB94" s="206">
        <f t="shared" si="689"/>
        <v>0</v>
      </c>
      <c r="KC94" s="195"/>
      <c r="KD94" s="206">
        <f t="shared" si="690"/>
        <v>0</v>
      </c>
      <c r="KE94" s="206">
        <f t="shared" si="691"/>
        <v>0</v>
      </c>
      <c r="KF94" s="206">
        <f t="shared" si="692"/>
        <v>0</v>
      </c>
      <c r="KG94" s="206">
        <f t="shared" si="693"/>
        <v>0</v>
      </c>
      <c r="KH94" s="206">
        <f t="shared" si="694"/>
        <v>0</v>
      </c>
      <c r="KI94" s="206">
        <f t="shared" si="695"/>
        <v>0</v>
      </c>
      <c r="KJ94" s="206">
        <f t="shared" si="696"/>
        <v>0</v>
      </c>
      <c r="KK94" s="206">
        <f t="shared" si="697"/>
        <v>0</v>
      </c>
      <c r="KL94" s="206">
        <f t="shared" si="698"/>
        <v>0</v>
      </c>
      <c r="KM94" s="206">
        <f t="shared" si="699"/>
        <v>0</v>
      </c>
      <c r="KN94" s="221">
        <f t="shared" si="700"/>
        <v>0</v>
      </c>
      <c r="KO94" s="221">
        <f t="shared" si="701"/>
        <v>0</v>
      </c>
      <c r="KP94" s="221">
        <f t="shared" si="702"/>
        <v>0</v>
      </c>
      <c r="KQ94" s="221">
        <f t="shared" si="703"/>
        <v>0</v>
      </c>
      <c r="KR94" s="221">
        <f t="shared" si="704"/>
        <v>0</v>
      </c>
      <c r="KS94" s="195"/>
      <c r="KT94" s="195">
        <f t="shared" si="705"/>
        <v>0</v>
      </c>
      <c r="KU94" s="221"/>
      <c r="KV94" s="221"/>
      <c r="KW94" s="221"/>
      <c r="KX94" s="221"/>
      <c r="KY94" s="221"/>
      <c r="KZ94" s="221"/>
      <c r="LA94" s="221"/>
      <c r="LB94" s="221"/>
      <c r="LC94" s="221"/>
      <c r="LD94" s="221"/>
      <c r="LE94" s="221"/>
      <c r="LF94" s="221"/>
      <c r="LG94" s="221"/>
      <c r="LH94" s="221"/>
      <c r="LI94" s="221"/>
      <c r="LJ94" s="221"/>
      <c r="LK94" s="221"/>
      <c r="LL94" s="221"/>
      <c r="LM94" s="221"/>
      <c r="LN94" s="221"/>
      <c r="LO94" s="221"/>
      <c r="LP94" s="221"/>
      <c r="LQ94" s="221"/>
      <c r="LR94" s="221"/>
      <c r="LS94" s="221"/>
      <c r="LT94" s="221"/>
      <c r="LU94" s="221"/>
      <c r="LV94" s="221"/>
      <c r="LW94" s="221"/>
      <c r="LX94" s="221"/>
      <c r="LY94" s="221"/>
      <c r="LZ94" s="221"/>
      <c r="MA94" s="221"/>
      <c r="MB94" s="221"/>
      <c r="MC94" s="221"/>
      <c r="MD94" s="221"/>
      <c r="ME94" s="221"/>
      <c r="MF94" s="221"/>
      <c r="MG94" s="221"/>
      <c r="MH94" s="221"/>
      <c r="MI94" s="221"/>
      <c r="MJ94" s="221"/>
      <c r="MK94" s="221"/>
      <c r="ML94" s="221"/>
      <c r="MM94" s="221"/>
      <c r="MN94" s="221"/>
      <c r="MO94" s="221"/>
      <c r="MP94" s="221"/>
      <c r="MQ94" s="221"/>
      <c r="MR94" s="221"/>
      <c r="MS94" s="221"/>
      <c r="MT94" s="221"/>
      <c r="MU94" s="221"/>
      <c r="MV94" s="221"/>
      <c r="MW94" s="221"/>
      <c r="MX94" s="221"/>
      <c r="MY94" s="221"/>
      <c r="MZ94" s="221"/>
      <c r="NA94" s="221"/>
      <c r="NB94" s="221"/>
      <c r="NC94" s="221"/>
      <c r="ND94" s="221"/>
      <c r="NE94" s="221"/>
      <c r="NF94" s="221"/>
      <c r="NG94" s="221"/>
      <c r="NH94" s="221"/>
      <c r="NI94" s="221"/>
      <c r="NJ94" s="221"/>
      <c r="NK94" s="221"/>
      <c r="NL94" s="195"/>
      <c r="NM94" s="195">
        <f t="shared" si="706"/>
        <v>0</v>
      </c>
      <c r="NN94" s="195">
        <f t="shared" si="707"/>
        <v>0</v>
      </c>
      <c r="NO94" s="195">
        <f t="shared" si="708"/>
        <v>0</v>
      </c>
      <c r="NP94" s="195">
        <f t="shared" si="709"/>
        <v>0</v>
      </c>
      <c r="NQ94" s="195">
        <f t="shared" si="710"/>
        <v>0</v>
      </c>
      <c r="NR94" s="195">
        <f t="shared" si="711"/>
        <v>0</v>
      </c>
      <c r="NS94" s="195">
        <f t="shared" si="712"/>
        <v>0</v>
      </c>
      <c r="NT94" s="195">
        <f t="shared" si="713"/>
        <v>0</v>
      </c>
      <c r="NU94" s="196">
        <f t="shared" si="714"/>
        <v>0</v>
      </c>
      <c r="NV94" s="195"/>
      <c r="NW94" s="195"/>
      <c r="NX94" s="195"/>
      <c r="NY94" s="196">
        <f t="shared" si="423"/>
        <v>1</v>
      </c>
      <c r="NZ94" s="222">
        <v>9100280</v>
      </c>
      <c r="OA94" s="195"/>
      <c r="OB94" s="195"/>
      <c r="OC94" s="195"/>
      <c r="OD94" s="195"/>
      <c r="OE94" s="207">
        <f t="shared" si="723"/>
        <v>0</v>
      </c>
      <c r="OF94" s="207">
        <f t="shared" si="724"/>
        <v>0</v>
      </c>
      <c r="OG94" s="207">
        <f t="shared" si="725"/>
        <v>0</v>
      </c>
      <c r="OH94" s="207">
        <f t="shared" si="726"/>
        <v>0</v>
      </c>
      <c r="OI94" s="207">
        <f t="shared" si="727"/>
        <v>0</v>
      </c>
      <c r="OJ94" s="199">
        <f t="shared" si="728"/>
        <v>0</v>
      </c>
      <c r="OK94" s="199">
        <f t="shared" si="729"/>
        <v>0</v>
      </c>
      <c r="OL94" s="199">
        <f t="shared" si="730"/>
        <v>0</v>
      </c>
      <c r="OM94" s="199">
        <f t="shared" si="731"/>
        <v>0</v>
      </c>
      <c r="ON94" s="195"/>
      <c r="OO94" s="207">
        <f t="shared" si="732"/>
        <v>0</v>
      </c>
      <c r="OP94" s="207">
        <f t="shared" si="733"/>
        <v>0</v>
      </c>
      <c r="OQ94" s="207">
        <f t="shared" si="734"/>
        <v>0</v>
      </c>
      <c r="OR94" s="207">
        <f t="shared" si="735"/>
        <v>0</v>
      </c>
      <c r="OS94" s="207">
        <f t="shared" si="736"/>
        <v>0</v>
      </c>
      <c r="OT94" s="199">
        <f t="shared" si="737"/>
        <v>0</v>
      </c>
      <c r="OU94" s="199">
        <f t="shared" si="738"/>
        <v>0</v>
      </c>
      <c r="OV94" s="199">
        <f t="shared" si="739"/>
        <v>0</v>
      </c>
      <c r="OW94" s="199">
        <f t="shared" si="740"/>
        <v>0</v>
      </c>
      <c r="OX94" s="195"/>
      <c r="OY94" s="195"/>
      <c r="OZ94" s="195"/>
      <c r="PA94" s="260"/>
      <c r="PB94" s="260"/>
      <c r="PC94" s="260"/>
      <c r="PD94" s="210">
        <f t="shared" si="430"/>
        <v>0</v>
      </c>
      <c r="PE94" s="210"/>
      <c r="PF94" s="210">
        <f t="shared" si="431"/>
        <v>0</v>
      </c>
      <c r="PG94" s="210">
        <f t="shared" si="302"/>
        <v>0</v>
      </c>
      <c r="PH94" s="210">
        <f t="shared" si="302"/>
        <v>0</v>
      </c>
      <c r="PI94" s="210">
        <f t="shared" si="302"/>
        <v>0</v>
      </c>
      <c r="PJ94" s="210">
        <f t="shared" si="300"/>
        <v>0</v>
      </c>
      <c r="PK94" s="210">
        <f t="shared" si="300"/>
        <v>0</v>
      </c>
      <c r="PL94" s="210">
        <f t="shared" si="300"/>
        <v>0</v>
      </c>
      <c r="PM94" s="195"/>
      <c r="PN94" s="195"/>
      <c r="PO94" s="212">
        <f t="shared" si="715"/>
        <v>0</v>
      </c>
      <c r="PP94" s="212">
        <f t="shared" si="716"/>
        <v>0</v>
      </c>
      <c r="PQ94" s="212">
        <f t="shared" si="717"/>
        <v>0</v>
      </c>
    </row>
    <row r="95" spans="1:433 16383:16383" ht="16" x14ac:dyDescent="0.2">
      <c r="A95" s="213">
        <f t="shared" si="718"/>
        <v>86</v>
      </c>
      <c r="B95" s="186" t="s">
        <v>633</v>
      </c>
      <c r="C95" s="255">
        <v>87</v>
      </c>
      <c r="D95" s="188">
        <v>1</v>
      </c>
      <c r="E95" s="188">
        <v>46</v>
      </c>
      <c r="F95" s="188">
        <v>1</v>
      </c>
      <c r="G95" s="188">
        <f t="shared" si="719"/>
        <v>46</v>
      </c>
      <c r="H95" s="214">
        <f t="shared" si="566"/>
        <v>1</v>
      </c>
      <c r="I95" s="214">
        <f t="shared" si="720"/>
        <v>1</v>
      </c>
      <c r="J95" s="188">
        <v>1</v>
      </c>
      <c r="K95" s="188">
        <f t="shared" si="567"/>
        <v>46</v>
      </c>
      <c r="L95" s="214">
        <f t="shared" si="568"/>
        <v>1</v>
      </c>
      <c r="M95" s="214">
        <f t="shared" si="721"/>
        <v>1</v>
      </c>
      <c r="N95" s="188">
        <v>1</v>
      </c>
      <c r="O95" s="188">
        <f t="shared" si="722"/>
        <v>46</v>
      </c>
      <c r="P95" s="214">
        <f t="shared" si="569"/>
        <v>1</v>
      </c>
      <c r="Q95" s="214">
        <f t="shared" si="570"/>
        <v>1</v>
      </c>
      <c r="R95" s="188">
        <v>1</v>
      </c>
      <c r="S95" s="188">
        <f t="shared" si="571"/>
        <v>46</v>
      </c>
      <c r="T95" s="214">
        <f t="shared" si="572"/>
        <v>1</v>
      </c>
      <c r="U95" s="214">
        <f t="shared" si="573"/>
        <v>1</v>
      </c>
      <c r="V95" s="188">
        <v>1</v>
      </c>
      <c r="W95" s="188">
        <f t="shared" si="574"/>
        <v>46</v>
      </c>
      <c r="X95" s="214">
        <f t="shared" si="575"/>
        <v>1</v>
      </c>
      <c r="Y95" s="214">
        <v>0</v>
      </c>
      <c r="Z95" s="224">
        <f>712983000/1000000000</f>
        <v>0.71298300000000003</v>
      </c>
      <c r="AA95" s="188"/>
      <c r="AB95" s="188">
        <v>0</v>
      </c>
      <c r="AC95" s="214">
        <f t="shared" si="576"/>
        <v>0</v>
      </c>
      <c r="AD95" s="214">
        <v>0</v>
      </c>
      <c r="AE95" s="188"/>
      <c r="AF95" s="188">
        <f t="shared" si="577"/>
        <v>0</v>
      </c>
      <c r="AG95" s="187"/>
      <c r="AH95" s="187"/>
      <c r="AI95" s="188">
        <v>0</v>
      </c>
      <c r="AJ95" s="188">
        <f t="shared" si="578"/>
        <v>0</v>
      </c>
      <c r="AK95" s="188"/>
      <c r="AL95" s="188">
        <v>0</v>
      </c>
      <c r="AM95" s="188">
        <v>0</v>
      </c>
      <c r="AN95" s="217"/>
      <c r="AO95" s="196">
        <f t="shared" si="579"/>
        <v>0</v>
      </c>
      <c r="AP95" s="195"/>
      <c r="AQ95" s="195"/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88">
        <f t="shared" si="580"/>
        <v>0</v>
      </c>
      <c r="BC95" s="195"/>
      <c r="BD95" s="196"/>
      <c r="BE95" s="226">
        <f t="shared" si="581"/>
        <v>0</v>
      </c>
      <c r="BF95" s="188">
        <f t="shared" si="582"/>
        <v>0</v>
      </c>
      <c r="BG95" s="188">
        <f t="shared" si="583"/>
        <v>0</v>
      </c>
      <c r="BH95" s="188">
        <f t="shared" si="584"/>
        <v>0</v>
      </c>
      <c r="BI95" s="188">
        <f t="shared" si="585"/>
        <v>0</v>
      </c>
      <c r="BJ95" s="188">
        <f t="shared" si="586"/>
        <v>0</v>
      </c>
      <c r="BK95" s="188">
        <f t="shared" si="587"/>
        <v>0</v>
      </c>
      <c r="BL95" s="195"/>
      <c r="BM95" s="195"/>
      <c r="BN95" s="215"/>
      <c r="BO95" s="218"/>
      <c r="BP95" s="188"/>
      <c r="BQ95" s="188"/>
      <c r="BR95" s="188"/>
      <c r="BS95" s="188"/>
      <c r="BT95" s="188"/>
      <c r="BU95" s="188"/>
      <c r="BV95" s="188"/>
      <c r="BW95" s="188"/>
      <c r="BX95" s="188"/>
      <c r="BY95" s="188"/>
      <c r="BZ95" s="188"/>
      <c r="CA95" s="195"/>
      <c r="CB95" s="188">
        <v>0</v>
      </c>
      <c r="CC95" s="195"/>
      <c r="CD95" s="189">
        <f t="shared" si="588"/>
        <v>0</v>
      </c>
      <c r="CE95" s="189">
        <f t="shared" si="589"/>
        <v>0</v>
      </c>
      <c r="CF95" s="189">
        <f t="shared" si="590"/>
        <v>0</v>
      </c>
      <c r="CG95" s="189">
        <f t="shared" si="591"/>
        <v>0</v>
      </c>
      <c r="CH95" s="189">
        <f t="shared" si="592"/>
        <v>0</v>
      </c>
      <c r="CI95" s="189">
        <f t="shared" si="593"/>
        <v>0</v>
      </c>
      <c r="CJ95" s="189">
        <f t="shared" si="594"/>
        <v>0</v>
      </c>
      <c r="CK95" s="189">
        <f t="shared" si="595"/>
        <v>0</v>
      </c>
      <c r="CL95" s="189">
        <f t="shared" si="596"/>
        <v>0</v>
      </c>
      <c r="CM95" s="189">
        <f t="shared" si="597"/>
        <v>0</v>
      </c>
      <c r="CN95" s="189">
        <f t="shared" si="598"/>
        <v>0</v>
      </c>
      <c r="CO95" s="189">
        <f t="shared" si="599"/>
        <v>0</v>
      </c>
      <c r="CP95" s="189">
        <f t="shared" si="600"/>
        <v>0</v>
      </c>
      <c r="CQ95" s="195"/>
      <c r="CR95" s="195"/>
      <c r="CS95" s="195"/>
      <c r="CT95" s="195"/>
      <c r="CU95" s="195"/>
      <c r="CV95" s="195"/>
      <c r="CW95" s="195"/>
      <c r="CX95" s="195"/>
      <c r="CY95" s="195"/>
      <c r="CZ95" s="195"/>
      <c r="DA95" s="195"/>
      <c r="DB95" s="195"/>
      <c r="DC95" s="195"/>
      <c r="DD95" s="195"/>
      <c r="DE95" s="195"/>
      <c r="DF95" s="195"/>
      <c r="DG95" s="195"/>
      <c r="DH95" s="195"/>
      <c r="DI95" s="195"/>
      <c r="DJ95" s="195"/>
      <c r="DK95" s="195"/>
      <c r="DL95" s="195"/>
      <c r="DM95" s="195"/>
      <c r="DN95" s="195"/>
      <c r="DO95" s="195"/>
      <c r="DP95" s="195"/>
      <c r="DQ95" s="195"/>
      <c r="DR95" s="195"/>
      <c r="DS95" s="195"/>
      <c r="DT95" s="195"/>
      <c r="DU95" s="195"/>
      <c r="DV95" s="188">
        <f t="shared" si="601"/>
        <v>0</v>
      </c>
      <c r="DW95" s="188">
        <f t="shared" si="602"/>
        <v>0</v>
      </c>
      <c r="DX95" s="188">
        <f t="shared" si="603"/>
        <v>0</v>
      </c>
      <c r="DY95" s="188">
        <f t="shared" si="604"/>
        <v>0</v>
      </c>
      <c r="DZ95" s="188">
        <f t="shared" si="605"/>
        <v>0</v>
      </c>
      <c r="EA95" s="188">
        <f t="shared" si="606"/>
        <v>0</v>
      </c>
      <c r="EB95" s="188">
        <f t="shared" si="607"/>
        <v>0</v>
      </c>
      <c r="EC95" s="195"/>
      <c r="ED95" s="195"/>
      <c r="EE95" s="195"/>
      <c r="EF95" s="195"/>
      <c r="EG95" s="252">
        <f t="shared" si="608"/>
        <v>0</v>
      </c>
      <c r="EH95" s="252">
        <f t="shared" si="609"/>
        <v>0</v>
      </c>
      <c r="EI95" s="189"/>
      <c r="EJ95" s="189"/>
      <c r="EK95" s="189"/>
      <c r="EL95" s="189"/>
      <c r="EM95" s="189"/>
      <c r="EN95" s="189"/>
      <c r="EO95" s="189"/>
      <c r="EP95" s="189"/>
      <c r="EQ95" s="189"/>
      <c r="ER95" s="189"/>
      <c r="ES95" s="189"/>
      <c r="ET95" s="189"/>
      <c r="EU95" s="189"/>
      <c r="EV95" s="189"/>
      <c r="EW95" s="189"/>
      <c r="EX95" s="189"/>
      <c r="EY95" s="189"/>
      <c r="EZ95" s="189"/>
      <c r="FA95" s="189"/>
      <c r="FB95" s="189"/>
      <c r="FC95" s="189"/>
      <c r="FD95" s="189"/>
      <c r="FE95" s="189"/>
      <c r="FF95" s="189"/>
      <c r="FG95" s="195"/>
      <c r="FH95" s="189"/>
      <c r="FI95" s="189"/>
      <c r="FJ95" s="189"/>
      <c r="FK95" s="189"/>
      <c r="FL95" s="189"/>
      <c r="FM95" s="189"/>
      <c r="FN95" s="189"/>
      <c r="FO95" s="189"/>
      <c r="FP95" s="189"/>
      <c r="FQ95" s="189"/>
      <c r="FR95" s="189"/>
      <c r="FS95" s="189"/>
      <c r="FT95" s="189"/>
      <c r="FU95" s="189"/>
      <c r="FV95" s="189"/>
      <c r="FW95" s="195"/>
      <c r="FX95" s="253"/>
      <c r="FY95" s="189">
        <f t="shared" si="610"/>
        <v>0</v>
      </c>
      <c r="FZ95" s="189">
        <f t="shared" si="611"/>
        <v>0</v>
      </c>
      <c r="GA95" s="189">
        <f t="shared" si="612"/>
        <v>0</v>
      </c>
      <c r="GB95" s="189">
        <f t="shared" si="613"/>
        <v>0</v>
      </c>
      <c r="GC95" s="189">
        <f t="shared" si="614"/>
        <v>0</v>
      </c>
      <c r="GD95" s="189">
        <f t="shared" si="615"/>
        <v>0</v>
      </c>
      <c r="GE95" s="189">
        <f t="shared" si="616"/>
        <v>0</v>
      </c>
      <c r="GF95" s="235"/>
      <c r="GG95" s="256">
        <v>0</v>
      </c>
      <c r="GH95" s="257">
        <v>0</v>
      </c>
      <c r="GI95" s="235"/>
      <c r="GJ95" s="258">
        <f t="shared" si="617"/>
        <v>0</v>
      </c>
      <c r="GK95" s="259">
        <f t="shared" si="618"/>
        <v>0</v>
      </c>
      <c r="GL95" s="195"/>
      <c r="GM95" s="195"/>
      <c r="GN95" s="195"/>
      <c r="GO95" s="188">
        <f t="shared" si="619"/>
        <v>0</v>
      </c>
      <c r="GP95" s="188">
        <f t="shared" si="620"/>
        <v>0</v>
      </c>
      <c r="GQ95" s="188">
        <f t="shared" si="621"/>
        <v>0</v>
      </c>
      <c r="GR95" s="188">
        <f t="shared" si="622"/>
        <v>0</v>
      </c>
      <c r="GS95" s="188">
        <f t="shared" si="623"/>
        <v>0</v>
      </c>
      <c r="GT95" s="188">
        <f t="shared" si="624"/>
        <v>1</v>
      </c>
      <c r="GU95" s="228">
        <f t="shared" si="457"/>
        <v>43243</v>
      </c>
      <c r="GV95" s="188" t="str">
        <f t="shared" si="625"/>
        <v>SELESAI</v>
      </c>
      <c r="GW95" s="188">
        <f t="shared" si="626"/>
        <v>0</v>
      </c>
      <c r="GX95" s="188" t="str">
        <f t="shared" si="627"/>
        <v>SELESAI</v>
      </c>
      <c r="GY95" s="188">
        <f t="shared" si="628"/>
        <v>0</v>
      </c>
      <c r="GZ95" s="228" t="str">
        <f t="shared" si="629"/>
        <v>SELESAI</v>
      </c>
      <c r="HA95" s="204"/>
      <c r="HB95" s="204"/>
      <c r="HC95" s="188">
        <f t="shared" si="630"/>
        <v>0</v>
      </c>
      <c r="HD95" s="188">
        <f t="shared" si="631"/>
        <v>0</v>
      </c>
      <c r="HE95" s="188">
        <f t="shared" si="632"/>
        <v>0</v>
      </c>
      <c r="HF95" s="188">
        <f t="shared" si="633"/>
        <v>0</v>
      </c>
      <c r="HG95" s="188">
        <f t="shared" si="634"/>
        <v>0</v>
      </c>
      <c r="HH95" s="228" t="str">
        <f t="shared" si="635"/>
        <v>TIDAK KONSINYASI</v>
      </c>
      <c r="HI95" s="228" t="str">
        <f t="shared" si="636"/>
        <v>SELESAI</v>
      </c>
      <c r="HJ95" s="195"/>
      <c r="HK95" s="201">
        <f t="shared" si="637"/>
        <v>0</v>
      </c>
      <c r="HL95" s="204"/>
      <c r="HM95" s="204"/>
      <c r="HN95" s="204"/>
      <c r="HO95" s="204"/>
      <c r="HP95" s="203">
        <f t="shared" si="638"/>
        <v>0</v>
      </c>
      <c r="HQ95" s="202">
        <f t="shared" si="639"/>
        <v>0</v>
      </c>
      <c r="HR95" s="202">
        <f t="shared" si="640"/>
        <v>0</v>
      </c>
      <c r="HS95" s="203">
        <f t="shared" si="641"/>
        <v>0</v>
      </c>
      <c r="HT95" s="202">
        <f t="shared" si="642"/>
        <v>0</v>
      </c>
      <c r="HU95" s="202">
        <f t="shared" si="643"/>
        <v>0</v>
      </c>
      <c r="HV95" s="203">
        <f t="shared" si="644"/>
        <v>0</v>
      </c>
      <c r="HW95" s="202">
        <f t="shared" si="645"/>
        <v>0</v>
      </c>
      <c r="HX95" s="202">
        <f t="shared" si="646"/>
        <v>0</v>
      </c>
      <c r="HY95" s="203">
        <f t="shared" si="647"/>
        <v>0</v>
      </c>
      <c r="HZ95" s="202">
        <f t="shared" si="648"/>
        <v>0</v>
      </c>
      <c r="IA95" s="202">
        <f t="shared" si="649"/>
        <v>0</v>
      </c>
      <c r="IB95" s="232">
        <f t="shared" si="650"/>
        <v>0</v>
      </c>
      <c r="IC95" s="226">
        <f t="shared" si="651"/>
        <v>0</v>
      </c>
      <c r="ID95" s="226">
        <f t="shared" si="652"/>
        <v>0</v>
      </c>
      <c r="IE95" s="232">
        <f t="shared" si="653"/>
        <v>0</v>
      </c>
      <c r="IF95" s="226">
        <f t="shared" si="654"/>
        <v>0</v>
      </c>
      <c r="IG95" s="226">
        <f t="shared" si="655"/>
        <v>0</v>
      </c>
      <c r="IH95" s="232">
        <f t="shared" si="656"/>
        <v>0</v>
      </c>
      <c r="II95" s="226">
        <f t="shared" si="657"/>
        <v>0</v>
      </c>
      <c r="IJ95" s="226">
        <f t="shared" si="658"/>
        <v>0</v>
      </c>
      <c r="IK95" s="232">
        <f t="shared" si="659"/>
        <v>0</v>
      </c>
      <c r="IL95" s="226">
        <f t="shared" si="660"/>
        <v>0</v>
      </c>
      <c r="IM95" s="226">
        <f t="shared" si="661"/>
        <v>0</v>
      </c>
      <c r="IN95" s="204"/>
      <c r="IO95" s="203">
        <f t="shared" si="662"/>
        <v>0</v>
      </c>
      <c r="IP95" s="202">
        <f t="shared" si="663"/>
        <v>0</v>
      </c>
      <c r="IQ95" s="202">
        <f t="shared" si="664"/>
        <v>0</v>
      </c>
      <c r="IR95" s="204"/>
      <c r="IS95" s="203"/>
      <c r="IT95" s="202">
        <f t="shared" si="665"/>
        <v>1</v>
      </c>
      <c r="IU95" s="226">
        <f t="shared" si="666"/>
        <v>46</v>
      </c>
      <c r="IV95" s="204"/>
      <c r="IW95" s="203"/>
      <c r="IX95" s="202">
        <f t="shared" si="667"/>
        <v>0</v>
      </c>
      <c r="IY95" s="202">
        <f t="shared" si="668"/>
        <v>0</v>
      </c>
      <c r="IZ95" s="204"/>
      <c r="JA95" s="203"/>
      <c r="JB95" s="202">
        <f t="shared" si="669"/>
        <v>0</v>
      </c>
      <c r="JC95" s="226">
        <f t="shared" si="670"/>
        <v>0</v>
      </c>
      <c r="JD95" s="204"/>
      <c r="JE95" s="203"/>
      <c r="JF95" s="202">
        <f t="shared" si="671"/>
        <v>1</v>
      </c>
      <c r="JG95" s="202">
        <f t="shared" si="672"/>
        <v>46</v>
      </c>
      <c r="JH95" s="204"/>
      <c r="JI95" s="203"/>
      <c r="JJ95" s="202">
        <f t="shared" si="673"/>
        <v>0</v>
      </c>
      <c r="JK95" s="202">
        <f t="shared" si="674"/>
        <v>0</v>
      </c>
      <c r="JL95" s="195"/>
      <c r="JM95" s="203">
        <f t="shared" si="675"/>
        <v>0</v>
      </c>
      <c r="JN95" s="195"/>
      <c r="JO95" s="196">
        <f t="shared" si="676"/>
        <v>0</v>
      </c>
      <c r="JP95" s="206">
        <f t="shared" si="677"/>
        <v>0</v>
      </c>
      <c r="JQ95" s="206">
        <f t="shared" si="678"/>
        <v>0</v>
      </c>
      <c r="JR95" s="206">
        <f t="shared" si="679"/>
        <v>0</v>
      </c>
      <c r="JS95" s="206">
        <f t="shared" si="680"/>
        <v>0</v>
      </c>
      <c r="JT95" s="206">
        <f t="shared" si="681"/>
        <v>0</v>
      </c>
      <c r="JU95" s="206">
        <f t="shared" si="682"/>
        <v>0</v>
      </c>
      <c r="JV95" s="206">
        <f t="shared" si="683"/>
        <v>0</v>
      </c>
      <c r="JW95" s="206">
        <f t="shared" si="684"/>
        <v>0</v>
      </c>
      <c r="JX95" s="206">
        <f t="shared" si="685"/>
        <v>0</v>
      </c>
      <c r="JY95" s="206">
        <f t="shared" si="686"/>
        <v>0</v>
      </c>
      <c r="JZ95" s="206">
        <f t="shared" si="687"/>
        <v>0</v>
      </c>
      <c r="KA95" s="206">
        <f t="shared" si="688"/>
        <v>0</v>
      </c>
      <c r="KB95" s="206">
        <f t="shared" si="689"/>
        <v>0</v>
      </c>
      <c r="KC95" s="195"/>
      <c r="KD95" s="206">
        <f t="shared" si="690"/>
        <v>0</v>
      </c>
      <c r="KE95" s="206">
        <f t="shared" si="691"/>
        <v>0</v>
      </c>
      <c r="KF95" s="206">
        <f t="shared" si="692"/>
        <v>0</v>
      </c>
      <c r="KG95" s="206">
        <f t="shared" si="693"/>
        <v>0</v>
      </c>
      <c r="KH95" s="206">
        <f t="shared" si="694"/>
        <v>0</v>
      </c>
      <c r="KI95" s="206">
        <f t="shared" si="695"/>
        <v>0</v>
      </c>
      <c r="KJ95" s="206">
        <f t="shared" si="696"/>
        <v>0</v>
      </c>
      <c r="KK95" s="206">
        <f t="shared" si="697"/>
        <v>0</v>
      </c>
      <c r="KL95" s="206">
        <f t="shared" si="698"/>
        <v>0</v>
      </c>
      <c r="KM95" s="206">
        <f t="shared" si="699"/>
        <v>0</v>
      </c>
      <c r="KN95" s="221">
        <f t="shared" si="700"/>
        <v>0</v>
      </c>
      <c r="KO95" s="221">
        <f t="shared" si="701"/>
        <v>0</v>
      </c>
      <c r="KP95" s="221">
        <f t="shared" si="702"/>
        <v>0</v>
      </c>
      <c r="KQ95" s="221">
        <f t="shared" si="703"/>
        <v>0</v>
      </c>
      <c r="KR95" s="221">
        <f t="shared" si="704"/>
        <v>0</v>
      </c>
      <c r="KS95" s="195"/>
      <c r="KT95" s="195">
        <f t="shared" si="705"/>
        <v>0</v>
      </c>
      <c r="KU95" s="221"/>
      <c r="KV95" s="221"/>
      <c r="KW95" s="221"/>
      <c r="KX95" s="221"/>
      <c r="KY95" s="221"/>
      <c r="KZ95" s="221"/>
      <c r="LA95" s="221"/>
      <c r="LB95" s="221"/>
      <c r="LC95" s="221"/>
      <c r="LD95" s="221"/>
      <c r="LE95" s="221"/>
      <c r="LF95" s="221"/>
      <c r="LG95" s="221"/>
      <c r="LH95" s="221"/>
      <c r="LI95" s="221"/>
      <c r="LJ95" s="221"/>
      <c r="LK95" s="221"/>
      <c r="LL95" s="221"/>
      <c r="LM95" s="221"/>
      <c r="LN95" s="221"/>
      <c r="LO95" s="221"/>
      <c r="LP95" s="221"/>
      <c r="LQ95" s="221"/>
      <c r="LR95" s="221"/>
      <c r="LS95" s="221"/>
      <c r="LT95" s="221"/>
      <c r="LU95" s="221"/>
      <c r="LV95" s="221"/>
      <c r="LW95" s="221"/>
      <c r="LX95" s="221"/>
      <c r="LY95" s="221"/>
      <c r="LZ95" s="221"/>
      <c r="MA95" s="221"/>
      <c r="MB95" s="221"/>
      <c r="MC95" s="221"/>
      <c r="MD95" s="221"/>
      <c r="ME95" s="221"/>
      <c r="MF95" s="221"/>
      <c r="MG95" s="221"/>
      <c r="MH95" s="221"/>
      <c r="MI95" s="221"/>
      <c r="MJ95" s="221"/>
      <c r="MK95" s="221"/>
      <c r="ML95" s="221"/>
      <c r="MM95" s="221"/>
      <c r="MN95" s="221"/>
      <c r="MO95" s="221"/>
      <c r="MP95" s="221"/>
      <c r="MQ95" s="221"/>
      <c r="MR95" s="221"/>
      <c r="MS95" s="221"/>
      <c r="MT95" s="221"/>
      <c r="MU95" s="221"/>
      <c r="MV95" s="221"/>
      <c r="MW95" s="221"/>
      <c r="MX95" s="221"/>
      <c r="MY95" s="221"/>
      <c r="MZ95" s="221"/>
      <c r="NA95" s="221"/>
      <c r="NB95" s="221"/>
      <c r="NC95" s="221"/>
      <c r="ND95" s="221"/>
      <c r="NE95" s="221"/>
      <c r="NF95" s="221"/>
      <c r="NG95" s="221"/>
      <c r="NH95" s="221"/>
      <c r="NI95" s="221"/>
      <c r="NJ95" s="221"/>
      <c r="NK95" s="221"/>
      <c r="NL95" s="195"/>
      <c r="NM95" s="195">
        <f t="shared" si="706"/>
        <v>0</v>
      </c>
      <c r="NN95" s="195">
        <f t="shared" si="707"/>
        <v>0</v>
      </c>
      <c r="NO95" s="195">
        <f t="shared" si="708"/>
        <v>0</v>
      </c>
      <c r="NP95" s="195">
        <f t="shared" si="709"/>
        <v>0</v>
      </c>
      <c r="NQ95" s="195">
        <f t="shared" si="710"/>
        <v>0</v>
      </c>
      <c r="NR95" s="195">
        <f t="shared" si="711"/>
        <v>0</v>
      </c>
      <c r="NS95" s="195">
        <f t="shared" si="712"/>
        <v>0</v>
      </c>
      <c r="NT95" s="195">
        <f t="shared" si="713"/>
        <v>0</v>
      </c>
      <c r="NU95" s="196">
        <f t="shared" si="714"/>
        <v>0</v>
      </c>
      <c r="NV95" s="195"/>
      <c r="NW95" s="195"/>
      <c r="NX95" s="195"/>
      <c r="NY95" s="196">
        <f t="shared" si="423"/>
        <v>1</v>
      </c>
      <c r="NZ95" s="222">
        <v>9100280</v>
      </c>
      <c r="OA95" s="195"/>
      <c r="OB95" s="195"/>
      <c r="OC95" s="195"/>
      <c r="OD95" s="195"/>
      <c r="OE95" s="207">
        <f t="shared" si="723"/>
        <v>0</v>
      </c>
      <c r="OF95" s="207">
        <f t="shared" si="724"/>
        <v>0</v>
      </c>
      <c r="OG95" s="207">
        <f t="shared" si="725"/>
        <v>0</v>
      </c>
      <c r="OH95" s="207">
        <f t="shared" si="726"/>
        <v>0</v>
      </c>
      <c r="OI95" s="207">
        <f t="shared" si="727"/>
        <v>0</v>
      </c>
      <c r="OJ95" s="199">
        <f t="shared" si="728"/>
        <v>0</v>
      </c>
      <c r="OK95" s="199">
        <f t="shared" si="729"/>
        <v>0</v>
      </c>
      <c r="OL95" s="199">
        <f t="shared" si="730"/>
        <v>0</v>
      </c>
      <c r="OM95" s="199">
        <f t="shared" si="731"/>
        <v>0</v>
      </c>
      <c r="ON95" s="195"/>
      <c r="OO95" s="207">
        <f t="shared" si="732"/>
        <v>0</v>
      </c>
      <c r="OP95" s="207">
        <f t="shared" si="733"/>
        <v>0</v>
      </c>
      <c r="OQ95" s="207">
        <f t="shared" si="734"/>
        <v>0</v>
      </c>
      <c r="OR95" s="207">
        <f t="shared" si="735"/>
        <v>0</v>
      </c>
      <c r="OS95" s="207">
        <f t="shared" si="736"/>
        <v>0</v>
      </c>
      <c r="OT95" s="199">
        <f t="shared" si="737"/>
        <v>0</v>
      </c>
      <c r="OU95" s="199">
        <f t="shared" si="738"/>
        <v>0</v>
      </c>
      <c r="OV95" s="199">
        <f t="shared" si="739"/>
        <v>0</v>
      </c>
      <c r="OW95" s="199">
        <f t="shared" si="740"/>
        <v>0</v>
      </c>
      <c r="OX95" s="195"/>
      <c r="OY95" s="195"/>
      <c r="OZ95" s="195"/>
      <c r="PA95" s="260"/>
      <c r="PB95" s="260"/>
      <c r="PC95" s="260"/>
      <c r="PD95" s="210">
        <f t="shared" si="430"/>
        <v>0</v>
      </c>
      <c r="PE95" s="210"/>
      <c r="PF95" s="210">
        <f t="shared" si="431"/>
        <v>0</v>
      </c>
      <c r="PG95" s="210">
        <f t="shared" si="302"/>
        <v>0</v>
      </c>
      <c r="PH95" s="210">
        <f t="shared" si="302"/>
        <v>0</v>
      </c>
      <c r="PI95" s="210">
        <f t="shared" si="302"/>
        <v>0</v>
      </c>
      <c r="PJ95" s="210">
        <f t="shared" si="300"/>
        <v>0</v>
      </c>
      <c r="PK95" s="210">
        <f t="shared" si="300"/>
        <v>0</v>
      </c>
      <c r="PL95" s="210">
        <f t="shared" si="300"/>
        <v>0</v>
      </c>
      <c r="PM95" s="195"/>
      <c r="PN95" s="195"/>
      <c r="PO95" s="212">
        <f t="shared" si="715"/>
        <v>0</v>
      </c>
      <c r="PP95" s="212">
        <f t="shared" si="716"/>
        <v>0</v>
      </c>
      <c r="PQ95" s="212">
        <f t="shared" si="717"/>
        <v>0</v>
      </c>
    </row>
    <row r="96" spans="1:433 16383:16383" ht="16" x14ac:dyDescent="0.2">
      <c r="A96" s="213">
        <f t="shared" si="718"/>
        <v>87</v>
      </c>
      <c r="B96" s="186" t="s">
        <v>633</v>
      </c>
      <c r="C96" s="255">
        <v>88</v>
      </c>
      <c r="D96" s="188">
        <v>1</v>
      </c>
      <c r="E96" s="188">
        <v>33</v>
      </c>
      <c r="F96" s="188">
        <v>1</v>
      </c>
      <c r="G96" s="188">
        <f t="shared" si="719"/>
        <v>33</v>
      </c>
      <c r="H96" s="214">
        <f t="shared" si="566"/>
        <v>1</v>
      </c>
      <c r="I96" s="214">
        <f t="shared" si="720"/>
        <v>1</v>
      </c>
      <c r="J96" s="188">
        <v>1</v>
      </c>
      <c r="K96" s="188">
        <f t="shared" si="567"/>
        <v>33</v>
      </c>
      <c r="L96" s="214">
        <f t="shared" si="568"/>
        <v>1</v>
      </c>
      <c r="M96" s="214">
        <f t="shared" si="721"/>
        <v>1</v>
      </c>
      <c r="N96" s="188">
        <v>1</v>
      </c>
      <c r="O96" s="188">
        <f t="shared" si="722"/>
        <v>33</v>
      </c>
      <c r="P96" s="214">
        <f t="shared" si="569"/>
        <v>1</v>
      </c>
      <c r="Q96" s="214">
        <f t="shared" si="570"/>
        <v>1</v>
      </c>
      <c r="R96" s="188">
        <v>1</v>
      </c>
      <c r="S96" s="188">
        <f t="shared" si="571"/>
        <v>33</v>
      </c>
      <c r="T96" s="214">
        <f t="shared" si="572"/>
        <v>1</v>
      </c>
      <c r="U96" s="214">
        <f t="shared" si="573"/>
        <v>1</v>
      </c>
      <c r="V96" s="188">
        <v>1</v>
      </c>
      <c r="W96" s="188">
        <f t="shared" si="574"/>
        <v>33</v>
      </c>
      <c r="X96" s="214">
        <f t="shared" si="575"/>
        <v>1</v>
      </c>
      <c r="Y96" s="214">
        <v>0</v>
      </c>
      <c r="Z96" s="224">
        <f>522381000/1000000000</f>
        <v>0.52238099999999998</v>
      </c>
      <c r="AA96" s="188"/>
      <c r="AB96" s="188">
        <v>0</v>
      </c>
      <c r="AC96" s="214">
        <f t="shared" si="576"/>
        <v>0</v>
      </c>
      <c r="AD96" s="214">
        <v>0</v>
      </c>
      <c r="AE96" s="188"/>
      <c r="AF96" s="188">
        <f t="shared" si="577"/>
        <v>0</v>
      </c>
      <c r="AG96" s="187"/>
      <c r="AH96" s="187"/>
      <c r="AI96" s="188">
        <v>0</v>
      </c>
      <c r="AJ96" s="188">
        <f t="shared" si="578"/>
        <v>0</v>
      </c>
      <c r="AK96" s="188"/>
      <c r="AL96" s="188">
        <v>0</v>
      </c>
      <c r="AM96" s="188">
        <v>0</v>
      </c>
      <c r="AN96" s="217"/>
      <c r="AO96" s="196">
        <f t="shared" si="579"/>
        <v>0</v>
      </c>
      <c r="AP96" s="195"/>
      <c r="AQ96" s="195"/>
      <c r="AR96" s="195"/>
      <c r="AS96" s="195"/>
      <c r="AT96" s="195"/>
      <c r="AU96" s="195"/>
      <c r="AV96" s="195"/>
      <c r="AW96" s="195"/>
      <c r="AX96" s="195"/>
      <c r="AY96" s="195"/>
      <c r="AZ96" s="195"/>
      <c r="BA96" s="195"/>
      <c r="BB96" s="188">
        <f t="shared" si="580"/>
        <v>0</v>
      </c>
      <c r="BC96" s="195"/>
      <c r="BD96" s="196"/>
      <c r="BE96" s="226">
        <f t="shared" si="581"/>
        <v>0</v>
      </c>
      <c r="BF96" s="188">
        <f t="shared" si="582"/>
        <v>0</v>
      </c>
      <c r="BG96" s="188">
        <f t="shared" si="583"/>
        <v>0</v>
      </c>
      <c r="BH96" s="188">
        <f t="shared" si="584"/>
        <v>0</v>
      </c>
      <c r="BI96" s="188">
        <f t="shared" si="585"/>
        <v>0</v>
      </c>
      <c r="BJ96" s="188">
        <f t="shared" si="586"/>
        <v>0</v>
      </c>
      <c r="BK96" s="188">
        <f t="shared" si="587"/>
        <v>0</v>
      </c>
      <c r="BL96" s="195"/>
      <c r="BM96" s="195"/>
      <c r="BN96" s="215"/>
      <c r="BO96" s="218"/>
      <c r="BP96" s="188"/>
      <c r="BQ96" s="188"/>
      <c r="BR96" s="188"/>
      <c r="BS96" s="188"/>
      <c r="BT96" s="188"/>
      <c r="BU96" s="188"/>
      <c r="BV96" s="188"/>
      <c r="BW96" s="188"/>
      <c r="BX96" s="188"/>
      <c r="BY96" s="188"/>
      <c r="BZ96" s="188"/>
      <c r="CA96" s="195"/>
      <c r="CB96" s="188">
        <v>0</v>
      </c>
      <c r="CC96" s="195"/>
      <c r="CD96" s="189">
        <f t="shared" si="588"/>
        <v>0</v>
      </c>
      <c r="CE96" s="189">
        <f t="shared" si="589"/>
        <v>0</v>
      </c>
      <c r="CF96" s="189">
        <f t="shared" si="590"/>
        <v>0</v>
      </c>
      <c r="CG96" s="189">
        <f t="shared" si="591"/>
        <v>0</v>
      </c>
      <c r="CH96" s="189">
        <f t="shared" si="592"/>
        <v>0</v>
      </c>
      <c r="CI96" s="189">
        <f t="shared" si="593"/>
        <v>0</v>
      </c>
      <c r="CJ96" s="189">
        <f t="shared" si="594"/>
        <v>0</v>
      </c>
      <c r="CK96" s="189">
        <f t="shared" si="595"/>
        <v>0</v>
      </c>
      <c r="CL96" s="189">
        <f t="shared" si="596"/>
        <v>0</v>
      </c>
      <c r="CM96" s="189">
        <f t="shared" si="597"/>
        <v>0</v>
      </c>
      <c r="CN96" s="189">
        <f t="shared" si="598"/>
        <v>0</v>
      </c>
      <c r="CO96" s="189">
        <f t="shared" si="599"/>
        <v>0</v>
      </c>
      <c r="CP96" s="189">
        <f t="shared" si="600"/>
        <v>0</v>
      </c>
      <c r="CQ96" s="195"/>
      <c r="CR96" s="195"/>
      <c r="CS96" s="195"/>
      <c r="CT96" s="195"/>
      <c r="CU96" s="195"/>
      <c r="CV96" s="195"/>
      <c r="CW96" s="195"/>
      <c r="CX96" s="195"/>
      <c r="CY96" s="195"/>
      <c r="CZ96" s="195"/>
      <c r="DA96" s="195"/>
      <c r="DB96" s="195"/>
      <c r="DC96" s="195"/>
      <c r="DD96" s="195"/>
      <c r="DE96" s="195"/>
      <c r="DF96" s="195"/>
      <c r="DG96" s="195"/>
      <c r="DH96" s="195"/>
      <c r="DI96" s="195"/>
      <c r="DJ96" s="195"/>
      <c r="DK96" s="195"/>
      <c r="DL96" s="195"/>
      <c r="DM96" s="195"/>
      <c r="DN96" s="195"/>
      <c r="DO96" s="195"/>
      <c r="DP96" s="195"/>
      <c r="DQ96" s="195"/>
      <c r="DR96" s="195"/>
      <c r="DS96" s="195"/>
      <c r="DT96" s="195"/>
      <c r="DU96" s="195"/>
      <c r="DV96" s="188">
        <f t="shared" si="601"/>
        <v>0</v>
      </c>
      <c r="DW96" s="188">
        <f t="shared" si="602"/>
        <v>0</v>
      </c>
      <c r="DX96" s="188">
        <f t="shared" si="603"/>
        <v>0</v>
      </c>
      <c r="DY96" s="188">
        <f t="shared" si="604"/>
        <v>0</v>
      </c>
      <c r="DZ96" s="188">
        <f t="shared" si="605"/>
        <v>0</v>
      </c>
      <c r="EA96" s="188">
        <f t="shared" si="606"/>
        <v>0</v>
      </c>
      <c r="EB96" s="188">
        <f t="shared" si="607"/>
        <v>0</v>
      </c>
      <c r="EC96" s="195"/>
      <c r="ED96" s="195"/>
      <c r="EE96" s="195"/>
      <c r="EF96" s="195"/>
      <c r="EG96" s="252">
        <f t="shared" si="608"/>
        <v>0</v>
      </c>
      <c r="EH96" s="252">
        <f t="shared" si="609"/>
        <v>0</v>
      </c>
      <c r="EI96" s="189"/>
      <c r="EJ96" s="189"/>
      <c r="EK96" s="189"/>
      <c r="EL96" s="189"/>
      <c r="EM96" s="189"/>
      <c r="EN96" s="189"/>
      <c r="EO96" s="189"/>
      <c r="EP96" s="189"/>
      <c r="EQ96" s="189"/>
      <c r="ER96" s="189"/>
      <c r="ES96" s="189"/>
      <c r="ET96" s="189"/>
      <c r="EU96" s="189"/>
      <c r="EV96" s="189"/>
      <c r="EW96" s="189"/>
      <c r="EX96" s="189"/>
      <c r="EY96" s="189"/>
      <c r="EZ96" s="189"/>
      <c r="FA96" s="189"/>
      <c r="FB96" s="189"/>
      <c r="FC96" s="189"/>
      <c r="FD96" s="189"/>
      <c r="FE96" s="189"/>
      <c r="FF96" s="189"/>
      <c r="FG96" s="195"/>
      <c r="FH96" s="189"/>
      <c r="FI96" s="189"/>
      <c r="FJ96" s="189"/>
      <c r="FK96" s="189"/>
      <c r="FL96" s="189"/>
      <c r="FM96" s="189"/>
      <c r="FN96" s="189"/>
      <c r="FO96" s="189"/>
      <c r="FP96" s="189"/>
      <c r="FQ96" s="189"/>
      <c r="FR96" s="189"/>
      <c r="FS96" s="189"/>
      <c r="FT96" s="189"/>
      <c r="FU96" s="189"/>
      <c r="FV96" s="189"/>
      <c r="FW96" s="195"/>
      <c r="FX96" s="253"/>
      <c r="FY96" s="189">
        <f t="shared" si="610"/>
        <v>0</v>
      </c>
      <c r="FZ96" s="189">
        <f t="shared" si="611"/>
        <v>0</v>
      </c>
      <c r="GA96" s="189">
        <f t="shared" si="612"/>
        <v>0</v>
      </c>
      <c r="GB96" s="189">
        <f t="shared" si="613"/>
        <v>0</v>
      </c>
      <c r="GC96" s="189">
        <f t="shared" si="614"/>
        <v>0</v>
      </c>
      <c r="GD96" s="189">
        <f t="shared" si="615"/>
        <v>0</v>
      </c>
      <c r="GE96" s="189">
        <f t="shared" si="616"/>
        <v>0</v>
      </c>
      <c r="GF96" s="235"/>
      <c r="GG96" s="256">
        <v>0</v>
      </c>
      <c r="GH96" s="257">
        <v>0</v>
      </c>
      <c r="GI96" s="235"/>
      <c r="GJ96" s="258">
        <f t="shared" si="617"/>
        <v>0</v>
      </c>
      <c r="GK96" s="259">
        <f t="shared" si="618"/>
        <v>0</v>
      </c>
      <c r="GL96" s="195"/>
      <c r="GM96" s="195"/>
      <c r="GN96" s="195"/>
      <c r="GO96" s="188">
        <f t="shared" si="619"/>
        <v>0</v>
      </c>
      <c r="GP96" s="188">
        <f t="shared" si="620"/>
        <v>0</v>
      </c>
      <c r="GQ96" s="188">
        <f t="shared" si="621"/>
        <v>0</v>
      </c>
      <c r="GR96" s="188">
        <f t="shared" si="622"/>
        <v>0</v>
      </c>
      <c r="GS96" s="188">
        <f t="shared" si="623"/>
        <v>0</v>
      </c>
      <c r="GT96" s="188">
        <f t="shared" si="624"/>
        <v>1</v>
      </c>
      <c r="GU96" s="228">
        <f t="shared" si="457"/>
        <v>43243</v>
      </c>
      <c r="GV96" s="188" t="str">
        <f t="shared" si="625"/>
        <v>SELESAI</v>
      </c>
      <c r="GW96" s="188">
        <f t="shared" si="626"/>
        <v>0</v>
      </c>
      <c r="GX96" s="188" t="str">
        <f t="shared" si="627"/>
        <v>SELESAI</v>
      </c>
      <c r="GY96" s="188">
        <f t="shared" si="628"/>
        <v>0</v>
      </c>
      <c r="GZ96" s="228" t="str">
        <f t="shared" si="629"/>
        <v>SELESAI</v>
      </c>
      <c r="HA96" s="204"/>
      <c r="HB96" s="204"/>
      <c r="HC96" s="188">
        <f t="shared" si="630"/>
        <v>0</v>
      </c>
      <c r="HD96" s="188">
        <f t="shared" si="631"/>
        <v>0</v>
      </c>
      <c r="HE96" s="188">
        <f t="shared" si="632"/>
        <v>0</v>
      </c>
      <c r="HF96" s="188">
        <f t="shared" si="633"/>
        <v>0</v>
      </c>
      <c r="HG96" s="188">
        <f t="shared" si="634"/>
        <v>0</v>
      </c>
      <c r="HH96" s="228" t="str">
        <f t="shared" si="635"/>
        <v>TIDAK KONSINYASI</v>
      </c>
      <c r="HI96" s="228" t="str">
        <f t="shared" si="636"/>
        <v>SELESAI</v>
      </c>
      <c r="HJ96" s="195"/>
      <c r="HK96" s="201">
        <f t="shared" si="637"/>
        <v>0</v>
      </c>
      <c r="HL96" s="204"/>
      <c r="HM96" s="204"/>
      <c r="HN96" s="204"/>
      <c r="HO96" s="204"/>
      <c r="HP96" s="203">
        <f t="shared" si="638"/>
        <v>0</v>
      </c>
      <c r="HQ96" s="202">
        <f t="shared" si="639"/>
        <v>0</v>
      </c>
      <c r="HR96" s="202">
        <f t="shared" si="640"/>
        <v>0</v>
      </c>
      <c r="HS96" s="203">
        <f t="shared" si="641"/>
        <v>0</v>
      </c>
      <c r="HT96" s="202">
        <f t="shared" si="642"/>
        <v>0</v>
      </c>
      <c r="HU96" s="202">
        <f t="shared" si="643"/>
        <v>0</v>
      </c>
      <c r="HV96" s="203">
        <f t="shared" si="644"/>
        <v>0</v>
      </c>
      <c r="HW96" s="202">
        <f t="shared" si="645"/>
        <v>0</v>
      </c>
      <c r="HX96" s="202">
        <f t="shared" si="646"/>
        <v>0</v>
      </c>
      <c r="HY96" s="203">
        <f t="shared" si="647"/>
        <v>0</v>
      </c>
      <c r="HZ96" s="202">
        <f t="shared" si="648"/>
        <v>0</v>
      </c>
      <c r="IA96" s="202">
        <f t="shared" si="649"/>
        <v>0</v>
      </c>
      <c r="IB96" s="232">
        <f t="shared" si="650"/>
        <v>0</v>
      </c>
      <c r="IC96" s="226">
        <f t="shared" si="651"/>
        <v>0</v>
      </c>
      <c r="ID96" s="226">
        <f t="shared" si="652"/>
        <v>0</v>
      </c>
      <c r="IE96" s="232">
        <f t="shared" si="653"/>
        <v>0</v>
      </c>
      <c r="IF96" s="226">
        <f t="shared" si="654"/>
        <v>0</v>
      </c>
      <c r="IG96" s="226">
        <f t="shared" si="655"/>
        <v>0</v>
      </c>
      <c r="IH96" s="232">
        <f t="shared" si="656"/>
        <v>0</v>
      </c>
      <c r="II96" s="226">
        <f t="shared" si="657"/>
        <v>0</v>
      </c>
      <c r="IJ96" s="226">
        <f t="shared" si="658"/>
        <v>0</v>
      </c>
      <c r="IK96" s="232">
        <f t="shared" si="659"/>
        <v>0</v>
      </c>
      <c r="IL96" s="226">
        <f t="shared" si="660"/>
        <v>0</v>
      </c>
      <c r="IM96" s="226">
        <f t="shared" si="661"/>
        <v>0</v>
      </c>
      <c r="IN96" s="204"/>
      <c r="IO96" s="203">
        <f t="shared" si="662"/>
        <v>0</v>
      </c>
      <c r="IP96" s="202">
        <f t="shared" si="663"/>
        <v>0</v>
      </c>
      <c r="IQ96" s="202">
        <f t="shared" si="664"/>
        <v>0</v>
      </c>
      <c r="IR96" s="204"/>
      <c r="IS96" s="203"/>
      <c r="IT96" s="202">
        <f t="shared" si="665"/>
        <v>1</v>
      </c>
      <c r="IU96" s="226">
        <f t="shared" si="666"/>
        <v>33</v>
      </c>
      <c r="IV96" s="204"/>
      <c r="IW96" s="203"/>
      <c r="IX96" s="202">
        <f t="shared" si="667"/>
        <v>0</v>
      </c>
      <c r="IY96" s="202">
        <f t="shared" si="668"/>
        <v>0</v>
      </c>
      <c r="IZ96" s="204"/>
      <c r="JA96" s="203"/>
      <c r="JB96" s="202">
        <f t="shared" si="669"/>
        <v>0</v>
      </c>
      <c r="JC96" s="226">
        <f t="shared" si="670"/>
        <v>0</v>
      </c>
      <c r="JD96" s="204"/>
      <c r="JE96" s="203"/>
      <c r="JF96" s="202">
        <f t="shared" si="671"/>
        <v>1</v>
      </c>
      <c r="JG96" s="202">
        <f t="shared" si="672"/>
        <v>33</v>
      </c>
      <c r="JH96" s="204"/>
      <c r="JI96" s="203"/>
      <c r="JJ96" s="202">
        <f t="shared" si="673"/>
        <v>0</v>
      </c>
      <c r="JK96" s="202">
        <f t="shared" si="674"/>
        <v>0</v>
      </c>
      <c r="JL96" s="195"/>
      <c r="JM96" s="203">
        <f t="shared" si="675"/>
        <v>0</v>
      </c>
      <c r="JN96" s="195"/>
      <c r="JO96" s="196">
        <f t="shared" si="676"/>
        <v>0</v>
      </c>
      <c r="JP96" s="206">
        <f t="shared" si="677"/>
        <v>0</v>
      </c>
      <c r="JQ96" s="206">
        <f t="shared" si="678"/>
        <v>0</v>
      </c>
      <c r="JR96" s="206">
        <f t="shared" si="679"/>
        <v>0</v>
      </c>
      <c r="JS96" s="206">
        <f t="shared" si="680"/>
        <v>0</v>
      </c>
      <c r="JT96" s="206">
        <f t="shared" si="681"/>
        <v>0</v>
      </c>
      <c r="JU96" s="206">
        <f t="shared" si="682"/>
        <v>0</v>
      </c>
      <c r="JV96" s="206">
        <f t="shared" si="683"/>
        <v>0</v>
      </c>
      <c r="JW96" s="206">
        <f t="shared" si="684"/>
        <v>0</v>
      </c>
      <c r="JX96" s="206">
        <f t="shared" si="685"/>
        <v>0</v>
      </c>
      <c r="JY96" s="206">
        <f t="shared" si="686"/>
        <v>0</v>
      </c>
      <c r="JZ96" s="206">
        <f t="shared" si="687"/>
        <v>0</v>
      </c>
      <c r="KA96" s="206">
        <f t="shared" si="688"/>
        <v>0</v>
      </c>
      <c r="KB96" s="206">
        <f t="shared" si="689"/>
        <v>0</v>
      </c>
      <c r="KC96" s="195"/>
      <c r="KD96" s="206">
        <f t="shared" si="690"/>
        <v>0</v>
      </c>
      <c r="KE96" s="206">
        <f t="shared" si="691"/>
        <v>0</v>
      </c>
      <c r="KF96" s="206">
        <f t="shared" si="692"/>
        <v>0</v>
      </c>
      <c r="KG96" s="206">
        <f t="shared" si="693"/>
        <v>0</v>
      </c>
      <c r="KH96" s="206">
        <f t="shared" si="694"/>
        <v>0</v>
      </c>
      <c r="KI96" s="206">
        <f t="shared" si="695"/>
        <v>0</v>
      </c>
      <c r="KJ96" s="206">
        <f t="shared" si="696"/>
        <v>0</v>
      </c>
      <c r="KK96" s="206">
        <f t="shared" si="697"/>
        <v>0</v>
      </c>
      <c r="KL96" s="206">
        <f t="shared" si="698"/>
        <v>0</v>
      </c>
      <c r="KM96" s="206">
        <f t="shared" si="699"/>
        <v>0</v>
      </c>
      <c r="KN96" s="221">
        <f t="shared" si="700"/>
        <v>0</v>
      </c>
      <c r="KO96" s="221">
        <f t="shared" si="701"/>
        <v>0</v>
      </c>
      <c r="KP96" s="221">
        <f t="shared" si="702"/>
        <v>0</v>
      </c>
      <c r="KQ96" s="221">
        <f t="shared" si="703"/>
        <v>0</v>
      </c>
      <c r="KR96" s="221">
        <f t="shared" si="704"/>
        <v>0</v>
      </c>
      <c r="KS96" s="195"/>
      <c r="KT96" s="195">
        <f t="shared" si="705"/>
        <v>0</v>
      </c>
      <c r="KU96" s="221"/>
      <c r="KV96" s="221"/>
      <c r="KW96" s="221"/>
      <c r="KX96" s="221"/>
      <c r="KY96" s="221"/>
      <c r="KZ96" s="221"/>
      <c r="LA96" s="221"/>
      <c r="LB96" s="221"/>
      <c r="LC96" s="221"/>
      <c r="LD96" s="221"/>
      <c r="LE96" s="221"/>
      <c r="LF96" s="221"/>
      <c r="LG96" s="221"/>
      <c r="LH96" s="221"/>
      <c r="LI96" s="221"/>
      <c r="LJ96" s="221"/>
      <c r="LK96" s="221"/>
      <c r="LL96" s="221"/>
      <c r="LM96" s="221"/>
      <c r="LN96" s="221"/>
      <c r="LO96" s="221"/>
      <c r="LP96" s="221"/>
      <c r="LQ96" s="221"/>
      <c r="LR96" s="221"/>
      <c r="LS96" s="221"/>
      <c r="LT96" s="221"/>
      <c r="LU96" s="221"/>
      <c r="LV96" s="221"/>
      <c r="LW96" s="221"/>
      <c r="LX96" s="221"/>
      <c r="LY96" s="221"/>
      <c r="LZ96" s="221"/>
      <c r="MA96" s="221"/>
      <c r="MB96" s="221"/>
      <c r="MC96" s="221"/>
      <c r="MD96" s="221"/>
      <c r="ME96" s="221"/>
      <c r="MF96" s="221"/>
      <c r="MG96" s="221"/>
      <c r="MH96" s="221"/>
      <c r="MI96" s="221"/>
      <c r="MJ96" s="221"/>
      <c r="MK96" s="221"/>
      <c r="ML96" s="221"/>
      <c r="MM96" s="221"/>
      <c r="MN96" s="221"/>
      <c r="MO96" s="221"/>
      <c r="MP96" s="221"/>
      <c r="MQ96" s="221"/>
      <c r="MR96" s="221"/>
      <c r="MS96" s="221"/>
      <c r="MT96" s="221"/>
      <c r="MU96" s="221"/>
      <c r="MV96" s="221"/>
      <c r="MW96" s="221"/>
      <c r="MX96" s="221"/>
      <c r="MY96" s="221"/>
      <c r="MZ96" s="221"/>
      <c r="NA96" s="221"/>
      <c r="NB96" s="221"/>
      <c r="NC96" s="221"/>
      <c r="ND96" s="221"/>
      <c r="NE96" s="221"/>
      <c r="NF96" s="221"/>
      <c r="NG96" s="221"/>
      <c r="NH96" s="221"/>
      <c r="NI96" s="221"/>
      <c r="NJ96" s="221"/>
      <c r="NK96" s="221"/>
      <c r="NL96" s="195"/>
      <c r="NM96" s="195">
        <f t="shared" si="706"/>
        <v>0</v>
      </c>
      <c r="NN96" s="195">
        <f t="shared" si="707"/>
        <v>0</v>
      </c>
      <c r="NO96" s="195">
        <f t="shared" si="708"/>
        <v>0</v>
      </c>
      <c r="NP96" s="195">
        <f t="shared" si="709"/>
        <v>0</v>
      </c>
      <c r="NQ96" s="195">
        <f t="shared" si="710"/>
        <v>0</v>
      </c>
      <c r="NR96" s="195">
        <f t="shared" si="711"/>
        <v>0</v>
      </c>
      <c r="NS96" s="195">
        <f t="shared" si="712"/>
        <v>0</v>
      </c>
      <c r="NT96" s="195">
        <f t="shared" si="713"/>
        <v>0</v>
      </c>
      <c r="NU96" s="196">
        <f t="shared" si="714"/>
        <v>0</v>
      </c>
      <c r="NV96" s="195"/>
      <c r="NW96" s="195"/>
      <c r="NX96" s="195"/>
      <c r="NY96" s="196">
        <f t="shared" si="423"/>
        <v>1</v>
      </c>
      <c r="NZ96" s="222">
        <v>9100280</v>
      </c>
      <c r="OA96" s="195"/>
      <c r="OB96" s="195"/>
      <c r="OC96" s="195"/>
      <c r="OD96" s="195"/>
      <c r="OE96" s="207">
        <f t="shared" si="723"/>
        <v>0</v>
      </c>
      <c r="OF96" s="207">
        <f t="shared" si="724"/>
        <v>0</v>
      </c>
      <c r="OG96" s="207">
        <f t="shared" si="725"/>
        <v>0</v>
      </c>
      <c r="OH96" s="207">
        <f t="shared" si="726"/>
        <v>0</v>
      </c>
      <c r="OI96" s="207">
        <f t="shared" si="727"/>
        <v>0</v>
      </c>
      <c r="OJ96" s="199">
        <f t="shared" si="728"/>
        <v>0</v>
      </c>
      <c r="OK96" s="199">
        <f t="shared" si="729"/>
        <v>0</v>
      </c>
      <c r="OL96" s="199">
        <f t="shared" si="730"/>
        <v>0</v>
      </c>
      <c r="OM96" s="199">
        <f t="shared" si="731"/>
        <v>0</v>
      </c>
      <c r="ON96" s="195"/>
      <c r="OO96" s="207">
        <f t="shared" si="732"/>
        <v>0</v>
      </c>
      <c r="OP96" s="207">
        <f t="shared" si="733"/>
        <v>0</v>
      </c>
      <c r="OQ96" s="207">
        <f t="shared" si="734"/>
        <v>0</v>
      </c>
      <c r="OR96" s="207">
        <f t="shared" si="735"/>
        <v>0</v>
      </c>
      <c r="OS96" s="207">
        <f t="shared" si="736"/>
        <v>0</v>
      </c>
      <c r="OT96" s="199">
        <f t="shared" si="737"/>
        <v>0</v>
      </c>
      <c r="OU96" s="199">
        <f t="shared" si="738"/>
        <v>0</v>
      </c>
      <c r="OV96" s="199">
        <f t="shared" si="739"/>
        <v>0</v>
      </c>
      <c r="OW96" s="199">
        <f t="shared" si="740"/>
        <v>0</v>
      </c>
      <c r="OX96" s="195"/>
      <c r="OY96" s="195"/>
      <c r="OZ96" s="195"/>
      <c r="PA96" s="260"/>
      <c r="PB96" s="260"/>
      <c r="PC96" s="260"/>
      <c r="PD96" s="210">
        <f t="shared" si="430"/>
        <v>0</v>
      </c>
      <c r="PE96" s="210"/>
      <c r="PF96" s="210">
        <f t="shared" si="431"/>
        <v>0</v>
      </c>
      <c r="PG96" s="210">
        <f t="shared" si="302"/>
        <v>0</v>
      </c>
      <c r="PH96" s="210">
        <f t="shared" si="302"/>
        <v>0</v>
      </c>
      <c r="PI96" s="210">
        <f t="shared" si="302"/>
        <v>0</v>
      </c>
      <c r="PJ96" s="210">
        <f t="shared" si="300"/>
        <v>0</v>
      </c>
      <c r="PK96" s="210">
        <f t="shared" si="300"/>
        <v>0</v>
      </c>
      <c r="PL96" s="210">
        <f t="shared" si="300"/>
        <v>0</v>
      </c>
      <c r="PM96" s="195"/>
      <c r="PN96" s="195"/>
      <c r="PO96" s="212">
        <f t="shared" si="715"/>
        <v>0</v>
      </c>
      <c r="PP96" s="212">
        <f t="shared" si="716"/>
        <v>0</v>
      </c>
      <c r="PQ96" s="212">
        <f t="shared" si="717"/>
        <v>0</v>
      </c>
    </row>
    <row r="97" spans="1:433 16383:16384" ht="16" x14ac:dyDescent="0.2">
      <c r="A97" s="213">
        <f t="shared" si="718"/>
        <v>88</v>
      </c>
      <c r="B97" s="186" t="s">
        <v>633</v>
      </c>
      <c r="C97" s="255">
        <v>89</v>
      </c>
      <c r="D97" s="188">
        <v>1</v>
      </c>
      <c r="E97" s="188">
        <v>71</v>
      </c>
      <c r="F97" s="188">
        <v>1</v>
      </c>
      <c r="G97" s="188">
        <f t="shared" si="719"/>
        <v>71</v>
      </c>
      <c r="H97" s="214">
        <f t="shared" si="566"/>
        <v>1</v>
      </c>
      <c r="I97" s="214">
        <f t="shared" si="720"/>
        <v>1</v>
      </c>
      <c r="J97" s="188">
        <v>1</v>
      </c>
      <c r="K97" s="188">
        <f t="shared" si="567"/>
        <v>71</v>
      </c>
      <c r="L97" s="214">
        <f t="shared" si="568"/>
        <v>1</v>
      </c>
      <c r="M97" s="214">
        <f t="shared" si="721"/>
        <v>1</v>
      </c>
      <c r="N97" s="188">
        <v>1</v>
      </c>
      <c r="O97" s="188">
        <f t="shared" si="722"/>
        <v>71</v>
      </c>
      <c r="P97" s="214">
        <f t="shared" si="569"/>
        <v>1</v>
      </c>
      <c r="Q97" s="214">
        <f t="shared" si="570"/>
        <v>1</v>
      </c>
      <c r="R97" s="188">
        <v>1</v>
      </c>
      <c r="S97" s="188">
        <f t="shared" si="571"/>
        <v>71</v>
      </c>
      <c r="T97" s="214">
        <f t="shared" si="572"/>
        <v>1</v>
      </c>
      <c r="U97" s="214">
        <f t="shared" si="573"/>
        <v>1</v>
      </c>
      <c r="V97" s="188">
        <v>1</v>
      </c>
      <c r="W97" s="188">
        <f t="shared" si="574"/>
        <v>71</v>
      </c>
      <c r="X97" s="214">
        <f t="shared" si="575"/>
        <v>1</v>
      </c>
      <c r="Y97" s="214">
        <v>0</v>
      </c>
      <c r="Z97" s="224">
        <f>1097875000/1000000000</f>
        <v>1.0978749999999999</v>
      </c>
      <c r="AA97" s="188"/>
      <c r="AB97" s="188">
        <v>0</v>
      </c>
      <c r="AC97" s="214">
        <f t="shared" si="576"/>
        <v>0</v>
      </c>
      <c r="AD97" s="214">
        <v>0</v>
      </c>
      <c r="AE97" s="188"/>
      <c r="AF97" s="188">
        <f t="shared" si="577"/>
        <v>0</v>
      </c>
      <c r="AG97" s="187"/>
      <c r="AH97" s="187"/>
      <c r="AI97" s="188">
        <v>0</v>
      </c>
      <c r="AJ97" s="188">
        <f t="shared" si="578"/>
        <v>0</v>
      </c>
      <c r="AK97" s="188"/>
      <c r="AL97" s="188">
        <v>0</v>
      </c>
      <c r="AM97" s="188">
        <v>0</v>
      </c>
      <c r="AN97" s="217"/>
      <c r="AO97" s="196">
        <f t="shared" si="579"/>
        <v>0</v>
      </c>
      <c r="AP97" s="195"/>
      <c r="AQ97" s="195"/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88">
        <f t="shared" si="580"/>
        <v>0</v>
      </c>
      <c r="BC97" s="195"/>
      <c r="BD97" s="196"/>
      <c r="BE97" s="226">
        <f t="shared" si="581"/>
        <v>0</v>
      </c>
      <c r="BF97" s="188">
        <f t="shared" si="582"/>
        <v>0</v>
      </c>
      <c r="BG97" s="188">
        <f t="shared" si="583"/>
        <v>0</v>
      </c>
      <c r="BH97" s="188">
        <f t="shared" si="584"/>
        <v>0</v>
      </c>
      <c r="BI97" s="188">
        <f t="shared" si="585"/>
        <v>0</v>
      </c>
      <c r="BJ97" s="188">
        <f t="shared" si="586"/>
        <v>0</v>
      </c>
      <c r="BK97" s="188">
        <f t="shared" si="587"/>
        <v>0</v>
      </c>
      <c r="BL97" s="195"/>
      <c r="BM97" s="195"/>
      <c r="BN97" s="215"/>
      <c r="BO97" s="218"/>
      <c r="BP97" s="188"/>
      <c r="BQ97" s="188"/>
      <c r="BR97" s="188"/>
      <c r="BS97" s="188"/>
      <c r="BT97" s="188"/>
      <c r="BU97" s="188"/>
      <c r="BV97" s="188"/>
      <c r="BW97" s="188"/>
      <c r="BX97" s="188"/>
      <c r="BY97" s="188"/>
      <c r="BZ97" s="188"/>
      <c r="CA97" s="195"/>
      <c r="CB97" s="188">
        <v>0</v>
      </c>
      <c r="CC97" s="195"/>
      <c r="CD97" s="189">
        <f t="shared" si="588"/>
        <v>0</v>
      </c>
      <c r="CE97" s="189">
        <f t="shared" si="589"/>
        <v>0</v>
      </c>
      <c r="CF97" s="189">
        <f t="shared" si="590"/>
        <v>0</v>
      </c>
      <c r="CG97" s="189">
        <f t="shared" si="591"/>
        <v>0</v>
      </c>
      <c r="CH97" s="189">
        <f t="shared" si="592"/>
        <v>0</v>
      </c>
      <c r="CI97" s="189">
        <f t="shared" si="593"/>
        <v>0</v>
      </c>
      <c r="CJ97" s="189">
        <f t="shared" si="594"/>
        <v>0</v>
      </c>
      <c r="CK97" s="189">
        <f t="shared" si="595"/>
        <v>0</v>
      </c>
      <c r="CL97" s="189">
        <f t="shared" si="596"/>
        <v>0</v>
      </c>
      <c r="CM97" s="189">
        <f t="shared" si="597"/>
        <v>0</v>
      </c>
      <c r="CN97" s="189">
        <f t="shared" si="598"/>
        <v>0</v>
      </c>
      <c r="CO97" s="189">
        <f t="shared" si="599"/>
        <v>0</v>
      </c>
      <c r="CP97" s="189">
        <f t="shared" si="600"/>
        <v>0</v>
      </c>
      <c r="CQ97" s="195"/>
      <c r="CR97" s="195"/>
      <c r="CS97" s="195"/>
      <c r="CT97" s="195"/>
      <c r="CU97" s="195"/>
      <c r="CV97" s="195"/>
      <c r="CW97" s="195"/>
      <c r="CX97" s="195"/>
      <c r="CY97" s="195"/>
      <c r="CZ97" s="195"/>
      <c r="DA97" s="195"/>
      <c r="DB97" s="195"/>
      <c r="DC97" s="195"/>
      <c r="DD97" s="195"/>
      <c r="DE97" s="195"/>
      <c r="DF97" s="195"/>
      <c r="DG97" s="195"/>
      <c r="DH97" s="195"/>
      <c r="DI97" s="195"/>
      <c r="DJ97" s="195"/>
      <c r="DK97" s="195"/>
      <c r="DL97" s="195"/>
      <c r="DM97" s="195"/>
      <c r="DN97" s="195"/>
      <c r="DO97" s="195"/>
      <c r="DP97" s="195"/>
      <c r="DQ97" s="195"/>
      <c r="DR97" s="195"/>
      <c r="DS97" s="195"/>
      <c r="DT97" s="195"/>
      <c r="DU97" s="195"/>
      <c r="DV97" s="188">
        <f t="shared" si="601"/>
        <v>0</v>
      </c>
      <c r="DW97" s="188">
        <f t="shared" si="602"/>
        <v>0</v>
      </c>
      <c r="DX97" s="188">
        <f t="shared" si="603"/>
        <v>0</v>
      </c>
      <c r="DY97" s="188">
        <f t="shared" si="604"/>
        <v>0</v>
      </c>
      <c r="DZ97" s="188">
        <f t="shared" si="605"/>
        <v>0</v>
      </c>
      <c r="EA97" s="188">
        <f t="shared" si="606"/>
        <v>0</v>
      </c>
      <c r="EB97" s="188">
        <f t="shared" si="607"/>
        <v>0</v>
      </c>
      <c r="EC97" s="195"/>
      <c r="ED97" s="195"/>
      <c r="EE97" s="195"/>
      <c r="EF97" s="195"/>
      <c r="EG97" s="252">
        <f t="shared" si="608"/>
        <v>0</v>
      </c>
      <c r="EH97" s="252">
        <f t="shared" si="609"/>
        <v>0</v>
      </c>
      <c r="EI97" s="189"/>
      <c r="EJ97" s="189"/>
      <c r="EK97" s="189"/>
      <c r="EL97" s="189"/>
      <c r="EM97" s="189"/>
      <c r="EN97" s="189"/>
      <c r="EO97" s="189"/>
      <c r="EP97" s="189"/>
      <c r="EQ97" s="189"/>
      <c r="ER97" s="189"/>
      <c r="ES97" s="189"/>
      <c r="ET97" s="189"/>
      <c r="EU97" s="189"/>
      <c r="EV97" s="189"/>
      <c r="EW97" s="189"/>
      <c r="EX97" s="189"/>
      <c r="EY97" s="189"/>
      <c r="EZ97" s="189"/>
      <c r="FA97" s="189"/>
      <c r="FB97" s="189"/>
      <c r="FC97" s="189"/>
      <c r="FD97" s="189"/>
      <c r="FE97" s="189"/>
      <c r="FF97" s="189"/>
      <c r="FG97" s="195"/>
      <c r="FH97" s="189"/>
      <c r="FI97" s="189"/>
      <c r="FJ97" s="189"/>
      <c r="FK97" s="189"/>
      <c r="FL97" s="189"/>
      <c r="FM97" s="189"/>
      <c r="FN97" s="189"/>
      <c r="FO97" s="189"/>
      <c r="FP97" s="189"/>
      <c r="FQ97" s="189"/>
      <c r="FR97" s="189"/>
      <c r="FS97" s="189"/>
      <c r="FT97" s="189"/>
      <c r="FU97" s="189"/>
      <c r="FV97" s="189"/>
      <c r="FW97" s="195"/>
      <c r="FX97" s="253"/>
      <c r="FY97" s="189">
        <f t="shared" si="610"/>
        <v>0</v>
      </c>
      <c r="FZ97" s="189">
        <f t="shared" si="611"/>
        <v>0</v>
      </c>
      <c r="GA97" s="189">
        <f t="shared" si="612"/>
        <v>0</v>
      </c>
      <c r="GB97" s="189">
        <f t="shared" si="613"/>
        <v>0</v>
      </c>
      <c r="GC97" s="189">
        <f t="shared" si="614"/>
        <v>0</v>
      </c>
      <c r="GD97" s="189">
        <f t="shared" si="615"/>
        <v>0</v>
      </c>
      <c r="GE97" s="189">
        <f t="shared" si="616"/>
        <v>0</v>
      </c>
      <c r="GF97" s="235"/>
      <c r="GG97" s="256">
        <v>0</v>
      </c>
      <c r="GH97" s="257">
        <v>0</v>
      </c>
      <c r="GI97" s="235"/>
      <c r="GJ97" s="258">
        <f t="shared" si="617"/>
        <v>0</v>
      </c>
      <c r="GK97" s="259">
        <f t="shared" si="618"/>
        <v>0</v>
      </c>
      <c r="GL97" s="195"/>
      <c r="GM97" s="195"/>
      <c r="GN97" s="195"/>
      <c r="GO97" s="188">
        <f t="shared" si="619"/>
        <v>0</v>
      </c>
      <c r="GP97" s="188">
        <f t="shared" si="620"/>
        <v>0</v>
      </c>
      <c r="GQ97" s="188">
        <f t="shared" si="621"/>
        <v>0</v>
      </c>
      <c r="GR97" s="188">
        <f t="shared" si="622"/>
        <v>0</v>
      </c>
      <c r="GS97" s="188">
        <f t="shared" si="623"/>
        <v>0</v>
      </c>
      <c r="GT97" s="188">
        <f t="shared" si="624"/>
        <v>1</v>
      </c>
      <c r="GU97" s="228">
        <f t="shared" si="457"/>
        <v>43243</v>
      </c>
      <c r="GV97" s="188" t="str">
        <f t="shared" si="625"/>
        <v>SELESAI</v>
      </c>
      <c r="GW97" s="188">
        <f t="shared" si="626"/>
        <v>0</v>
      </c>
      <c r="GX97" s="188" t="str">
        <f t="shared" si="627"/>
        <v>SELESAI</v>
      </c>
      <c r="GY97" s="188">
        <f t="shared" si="628"/>
        <v>0</v>
      </c>
      <c r="GZ97" s="228" t="str">
        <f t="shared" si="629"/>
        <v>SELESAI</v>
      </c>
      <c r="HA97" s="204"/>
      <c r="HB97" s="204"/>
      <c r="HC97" s="188">
        <f t="shared" si="630"/>
        <v>0</v>
      </c>
      <c r="HD97" s="188">
        <f t="shared" si="631"/>
        <v>0</v>
      </c>
      <c r="HE97" s="188">
        <f t="shared" si="632"/>
        <v>0</v>
      </c>
      <c r="HF97" s="188">
        <f t="shared" si="633"/>
        <v>0</v>
      </c>
      <c r="HG97" s="188">
        <f t="shared" si="634"/>
        <v>0</v>
      </c>
      <c r="HH97" s="228" t="str">
        <f t="shared" si="635"/>
        <v>TIDAK KONSINYASI</v>
      </c>
      <c r="HI97" s="228" t="str">
        <f t="shared" si="636"/>
        <v>SELESAI</v>
      </c>
      <c r="HJ97" s="195"/>
      <c r="HK97" s="201">
        <f t="shared" si="637"/>
        <v>0</v>
      </c>
      <c r="HL97" s="204"/>
      <c r="HM97" s="204"/>
      <c r="HN97" s="204"/>
      <c r="HO97" s="204"/>
      <c r="HP97" s="203">
        <f t="shared" si="638"/>
        <v>0</v>
      </c>
      <c r="HQ97" s="202">
        <f t="shared" si="639"/>
        <v>0</v>
      </c>
      <c r="HR97" s="202">
        <f t="shared" si="640"/>
        <v>0</v>
      </c>
      <c r="HS97" s="203">
        <f t="shared" si="641"/>
        <v>0</v>
      </c>
      <c r="HT97" s="202">
        <f t="shared" si="642"/>
        <v>0</v>
      </c>
      <c r="HU97" s="202">
        <f t="shared" si="643"/>
        <v>0</v>
      </c>
      <c r="HV97" s="203">
        <f t="shared" si="644"/>
        <v>0</v>
      </c>
      <c r="HW97" s="202">
        <f t="shared" si="645"/>
        <v>0</v>
      </c>
      <c r="HX97" s="202">
        <f t="shared" si="646"/>
        <v>0</v>
      </c>
      <c r="HY97" s="203">
        <f t="shared" si="647"/>
        <v>0</v>
      </c>
      <c r="HZ97" s="202">
        <f t="shared" si="648"/>
        <v>0</v>
      </c>
      <c r="IA97" s="202">
        <f t="shared" si="649"/>
        <v>0</v>
      </c>
      <c r="IB97" s="232">
        <f t="shared" si="650"/>
        <v>0</v>
      </c>
      <c r="IC97" s="226">
        <f t="shared" si="651"/>
        <v>0</v>
      </c>
      <c r="ID97" s="226">
        <f t="shared" si="652"/>
        <v>0</v>
      </c>
      <c r="IE97" s="232">
        <f t="shared" si="653"/>
        <v>0</v>
      </c>
      <c r="IF97" s="226">
        <f t="shared" si="654"/>
        <v>0</v>
      </c>
      <c r="IG97" s="226">
        <f t="shared" si="655"/>
        <v>0</v>
      </c>
      <c r="IH97" s="232">
        <f t="shared" si="656"/>
        <v>0</v>
      </c>
      <c r="II97" s="226">
        <f t="shared" si="657"/>
        <v>0</v>
      </c>
      <c r="IJ97" s="226">
        <f t="shared" si="658"/>
        <v>0</v>
      </c>
      <c r="IK97" s="232">
        <f t="shared" si="659"/>
        <v>0</v>
      </c>
      <c r="IL97" s="226">
        <f t="shared" si="660"/>
        <v>0</v>
      </c>
      <c r="IM97" s="226">
        <f t="shared" si="661"/>
        <v>0</v>
      </c>
      <c r="IN97" s="204"/>
      <c r="IO97" s="203">
        <f t="shared" si="662"/>
        <v>0</v>
      </c>
      <c r="IP97" s="202">
        <f t="shared" si="663"/>
        <v>0</v>
      </c>
      <c r="IQ97" s="202">
        <f t="shared" si="664"/>
        <v>0</v>
      </c>
      <c r="IR97" s="204"/>
      <c r="IS97" s="203"/>
      <c r="IT97" s="202">
        <f t="shared" si="665"/>
        <v>1</v>
      </c>
      <c r="IU97" s="226">
        <f t="shared" si="666"/>
        <v>71</v>
      </c>
      <c r="IV97" s="204"/>
      <c r="IW97" s="203"/>
      <c r="IX97" s="202">
        <f t="shared" si="667"/>
        <v>0</v>
      </c>
      <c r="IY97" s="202">
        <f t="shared" si="668"/>
        <v>0</v>
      </c>
      <c r="IZ97" s="204"/>
      <c r="JA97" s="203"/>
      <c r="JB97" s="202">
        <f t="shared" si="669"/>
        <v>0</v>
      </c>
      <c r="JC97" s="226">
        <f t="shared" si="670"/>
        <v>0</v>
      </c>
      <c r="JD97" s="204"/>
      <c r="JE97" s="203"/>
      <c r="JF97" s="202">
        <f t="shared" si="671"/>
        <v>1</v>
      </c>
      <c r="JG97" s="202">
        <f t="shared" si="672"/>
        <v>71</v>
      </c>
      <c r="JH97" s="204"/>
      <c r="JI97" s="203"/>
      <c r="JJ97" s="202">
        <f t="shared" si="673"/>
        <v>0</v>
      </c>
      <c r="JK97" s="202">
        <f t="shared" si="674"/>
        <v>0</v>
      </c>
      <c r="JL97" s="195"/>
      <c r="JM97" s="203">
        <f t="shared" si="675"/>
        <v>0</v>
      </c>
      <c r="JN97" s="195"/>
      <c r="JO97" s="196">
        <f t="shared" si="676"/>
        <v>0</v>
      </c>
      <c r="JP97" s="206">
        <f t="shared" si="677"/>
        <v>0</v>
      </c>
      <c r="JQ97" s="206">
        <f t="shared" si="678"/>
        <v>0</v>
      </c>
      <c r="JR97" s="206">
        <f t="shared" si="679"/>
        <v>0</v>
      </c>
      <c r="JS97" s="206">
        <f t="shared" si="680"/>
        <v>0</v>
      </c>
      <c r="JT97" s="206">
        <f t="shared" si="681"/>
        <v>0</v>
      </c>
      <c r="JU97" s="206">
        <f t="shared" si="682"/>
        <v>0</v>
      </c>
      <c r="JV97" s="206">
        <f t="shared" si="683"/>
        <v>0</v>
      </c>
      <c r="JW97" s="206">
        <f t="shared" si="684"/>
        <v>0</v>
      </c>
      <c r="JX97" s="206">
        <f t="shared" si="685"/>
        <v>0</v>
      </c>
      <c r="JY97" s="206">
        <f t="shared" si="686"/>
        <v>0</v>
      </c>
      <c r="JZ97" s="206">
        <f t="shared" si="687"/>
        <v>0</v>
      </c>
      <c r="KA97" s="206">
        <f t="shared" si="688"/>
        <v>0</v>
      </c>
      <c r="KB97" s="206">
        <f t="shared" si="689"/>
        <v>0</v>
      </c>
      <c r="KC97" s="195"/>
      <c r="KD97" s="206">
        <f t="shared" si="690"/>
        <v>0</v>
      </c>
      <c r="KE97" s="206">
        <f t="shared" si="691"/>
        <v>0</v>
      </c>
      <c r="KF97" s="206">
        <f t="shared" si="692"/>
        <v>0</v>
      </c>
      <c r="KG97" s="206">
        <f t="shared" si="693"/>
        <v>0</v>
      </c>
      <c r="KH97" s="206">
        <f t="shared" si="694"/>
        <v>0</v>
      </c>
      <c r="KI97" s="206">
        <f t="shared" si="695"/>
        <v>0</v>
      </c>
      <c r="KJ97" s="206">
        <f t="shared" si="696"/>
        <v>0</v>
      </c>
      <c r="KK97" s="206">
        <f t="shared" si="697"/>
        <v>0</v>
      </c>
      <c r="KL97" s="206">
        <f t="shared" si="698"/>
        <v>0</v>
      </c>
      <c r="KM97" s="206">
        <f t="shared" si="699"/>
        <v>0</v>
      </c>
      <c r="KN97" s="221">
        <f t="shared" si="700"/>
        <v>0</v>
      </c>
      <c r="KO97" s="221">
        <f t="shared" si="701"/>
        <v>0</v>
      </c>
      <c r="KP97" s="221">
        <f t="shared" si="702"/>
        <v>0</v>
      </c>
      <c r="KQ97" s="221">
        <f t="shared" si="703"/>
        <v>0</v>
      </c>
      <c r="KR97" s="221">
        <f t="shared" si="704"/>
        <v>0</v>
      </c>
      <c r="KS97" s="195"/>
      <c r="KT97" s="195">
        <f t="shared" si="705"/>
        <v>0</v>
      </c>
      <c r="KU97" s="221"/>
      <c r="KV97" s="221"/>
      <c r="KW97" s="221"/>
      <c r="KX97" s="221"/>
      <c r="KY97" s="221"/>
      <c r="KZ97" s="221"/>
      <c r="LA97" s="221"/>
      <c r="LB97" s="221"/>
      <c r="LC97" s="221"/>
      <c r="LD97" s="221"/>
      <c r="LE97" s="221"/>
      <c r="LF97" s="221"/>
      <c r="LG97" s="221"/>
      <c r="LH97" s="221"/>
      <c r="LI97" s="221"/>
      <c r="LJ97" s="221"/>
      <c r="LK97" s="221"/>
      <c r="LL97" s="221"/>
      <c r="LM97" s="221"/>
      <c r="LN97" s="221"/>
      <c r="LO97" s="221"/>
      <c r="LP97" s="221"/>
      <c r="LQ97" s="221"/>
      <c r="LR97" s="221"/>
      <c r="LS97" s="221"/>
      <c r="LT97" s="221"/>
      <c r="LU97" s="221"/>
      <c r="LV97" s="221"/>
      <c r="LW97" s="221"/>
      <c r="LX97" s="221"/>
      <c r="LY97" s="221"/>
      <c r="LZ97" s="221"/>
      <c r="MA97" s="221"/>
      <c r="MB97" s="221"/>
      <c r="MC97" s="221"/>
      <c r="MD97" s="221"/>
      <c r="ME97" s="221"/>
      <c r="MF97" s="221"/>
      <c r="MG97" s="221"/>
      <c r="MH97" s="221"/>
      <c r="MI97" s="221"/>
      <c r="MJ97" s="221"/>
      <c r="MK97" s="221"/>
      <c r="ML97" s="221"/>
      <c r="MM97" s="221"/>
      <c r="MN97" s="221"/>
      <c r="MO97" s="221"/>
      <c r="MP97" s="221"/>
      <c r="MQ97" s="221"/>
      <c r="MR97" s="221"/>
      <c r="MS97" s="221"/>
      <c r="MT97" s="221"/>
      <c r="MU97" s="221"/>
      <c r="MV97" s="221"/>
      <c r="MW97" s="221"/>
      <c r="MX97" s="221"/>
      <c r="MY97" s="221"/>
      <c r="MZ97" s="221"/>
      <c r="NA97" s="221"/>
      <c r="NB97" s="221"/>
      <c r="NC97" s="221"/>
      <c r="ND97" s="221"/>
      <c r="NE97" s="221"/>
      <c r="NF97" s="221"/>
      <c r="NG97" s="221"/>
      <c r="NH97" s="221"/>
      <c r="NI97" s="221"/>
      <c r="NJ97" s="221"/>
      <c r="NK97" s="221"/>
      <c r="NL97" s="195"/>
      <c r="NM97" s="195">
        <f t="shared" si="706"/>
        <v>0</v>
      </c>
      <c r="NN97" s="195">
        <f t="shared" si="707"/>
        <v>0</v>
      </c>
      <c r="NO97" s="195">
        <f t="shared" si="708"/>
        <v>0</v>
      </c>
      <c r="NP97" s="195">
        <f t="shared" si="709"/>
        <v>0</v>
      </c>
      <c r="NQ97" s="195">
        <f t="shared" si="710"/>
        <v>0</v>
      </c>
      <c r="NR97" s="195">
        <f t="shared" si="711"/>
        <v>0</v>
      </c>
      <c r="NS97" s="195">
        <f t="shared" si="712"/>
        <v>0</v>
      </c>
      <c r="NT97" s="195">
        <f t="shared" si="713"/>
        <v>0</v>
      </c>
      <c r="NU97" s="196">
        <f t="shared" si="714"/>
        <v>0</v>
      </c>
      <c r="NV97" s="195"/>
      <c r="NW97" s="195"/>
      <c r="NX97" s="195"/>
      <c r="NY97" s="196">
        <f t="shared" si="423"/>
        <v>1</v>
      </c>
      <c r="NZ97" s="222">
        <v>9100280</v>
      </c>
      <c r="OA97" s="195"/>
      <c r="OB97" s="195"/>
      <c r="OC97" s="195"/>
      <c r="OD97" s="195"/>
      <c r="OE97" s="207">
        <f t="shared" si="723"/>
        <v>0</v>
      </c>
      <c r="OF97" s="207">
        <f t="shared" si="724"/>
        <v>0</v>
      </c>
      <c r="OG97" s="207">
        <f t="shared" si="725"/>
        <v>0</v>
      </c>
      <c r="OH97" s="207">
        <f t="shared" si="726"/>
        <v>0</v>
      </c>
      <c r="OI97" s="207">
        <f t="shared" si="727"/>
        <v>0</v>
      </c>
      <c r="OJ97" s="199">
        <f t="shared" si="728"/>
        <v>0</v>
      </c>
      <c r="OK97" s="199">
        <f t="shared" si="729"/>
        <v>0</v>
      </c>
      <c r="OL97" s="199">
        <f t="shared" si="730"/>
        <v>0</v>
      </c>
      <c r="OM97" s="199">
        <f t="shared" si="731"/>
        <v>0</v>
      </c>
      <c r="ON97" s="195"/>
      <c r="OO97" s="207">
        <f t="shared" si="732"/>
        <v>0</v>
      </c>
      <c r="OP97" s="207">
        <f t="shared" si="733"/>
        <v>0</v>
      </c>
      <c r="OQ97" s="207">
        <f t="shared" si="734"/>
        <v>0</v>
      </c>
      <c r="OR97" s="207">
        <f t="shared" si="735"/>
        <v>0</v>
      </c>
      <c r="OS97" s="207">
        <f t="shared" si="736"/>
        <v>0</v>
      </c>
      <c r="OT97" s="199">
        <f t="shared" si="737"/>
        <v>0</v>
      </c>
      <c r="OU97" s="199">
        <f t="shared" si="738"/>
        <v>0</v>
      </c>
      <c r="OV97" s="199">
        <f t="shared" si="739"/>
        <v>0</v>
      </c>
      <c r="OW97" s="199">
        <f t="shared" si="740"/>
        <v>0</v>
      </c>
      <c r="OX97" s="195"/>
      <c r="OY97" s="195"/>
      <c r="OZ97" s="195"/>
      <c r="PA97" s="260"/>
      <c r="PB97" s="260"/>
      <c r="PC97" s="260"/>
      <c r="PD97" s="210">
        <f t="shared" si="430"/>
        <v>0</v>
      </c>
      <c r="PE97" s="210"/>
      <c r="PF97" s="210">
        <f t="shared" si="431"/>
        <v>0</v>
      </c>
      <c r="PG97" s="210">
        <f t="shared" si="302"/>
        <v>0</v>
      </c>
      <c r="PH97" s="210">
        <f t="shared" si="302"/>
        <v>0</v>
      </c>
      <c r="PI97" s="210">
        <f t="shared" si="302"/>
        <v>0</v>
      </c>
      <c r="PJ97" s="210">
        <f t="shared" si="300"/>
        <v>0</v>
      </c>
      <c r="PK97" s="210">
        <f t="shared" si="300"/>
        <v>0</v>
      </c>
      <c r="PL97" s="210">
        <f t="shared" si="300"/>
        <v>0</v>
      </c>
      <c r="PM97" s="195"/>
      <c r="PN97" s="195"/>
      <c r="PO97" s="212">
        <f t="shared" si="715"/>
        <v>0</v>
      </c>
      <c r="PP97" s="212">
        <f t="shared" si="716"/>
        <v>0</v>
      </c>
      <c r="PQ97" s="212">
        <f t="shared" si="717"/>
        <v>0</v>
      </c>
    </row>
    <row r="98" spans="1:433 16383:16384" ht="16" x14ac:dyDescent="0.2">
      <c r="A98" s="213">
        <f t="shared" si="718"/>
        <v>89</v>
      </c>
      <c r="B98" s="186" t="s">
        <v>633</v>
      </c>
      <c r="C98" s="255">
        <v>90</v>
      </c>
      <c r="D98" s="188">
        <v>1</v>
      </c>
      <c r="E98" s="188">
        <v>73</v>
      </c>
      <c r="F98" s="188">
        <v>1</v>
      </c>
      <c r="G98" s="188">
        <f t="shared" si="719"/>
        <v>73</v>
      </c>
      <c r="H98" s="214">
        <f t="shared" si="566"/>
        <v>1</v>
      </c>
      <c r="I98" s="214">
        <f t="shared" si="720"/>
        <v>1</v>
      </c>
      <c r="J98" s="188">
        <v>1</v>
      </c>
      <c r="K98" s="188">
        <f t="shared" si="567"/>
        <v>73</v>
      </c>
      <c r="L98" s="214">
        <f t="shared" si="568"/>
        <v>1</v>
      </c>
      <c r="M98" s="214">
        <f t="shared" si="721"/>
        <v>1</v>
      </c>
      <c r="N98" s="188">
        <v>1</v>
      </c>
      <c r="O98" s="188">
        <f t="shared" si="722"/>
        <v>73</v>
      </c>
      <c r="P98" s="214">
        <f t="shared" si="569"/>
        <v>1</v>
      </c>
      <c r="Q98" s="214">
        <f t="shared" si="570"/>
        <v>1</v>
      </c>
      <c r="R98" s="188">
        <v>1</v>
      </c>
      <c r="S98" s="188">
        <f t="shared" si="571"/>
        <v>73</v>
      </c>
      <c r="T98" s="214">
        <f t="shared" si="572"/>
        <v>1</v>
      </c>
      <c r="U98" s="214">
        <f t="shared" si="573"/>
        <v>1</v>
      </c>
      <c r="V98" s="188">
        <v>1</v>
      </c>
      <c r="W98" s="188">
        <f t="shared" si="574"/>
        <v>73</v>
      </c>
      <c r="X98" s="214">
        <f t="shared" si="575"/>
        <v>1</v>
      </c>
      <c r="Y98" s="214">
        <v>0</v>
      </c>
      <c r="Z98" s="224">
        <f>1156909000/1000000000</f>
        <v>1.156909</v>
      </c>
      <c r="AA98" s="188"/>
      <c r="AB98" s="188">
        <v>0</v>
      </c>
      <c r="AC98" s="214">
        <f t="shared" si="576"/>
        <v>0</v>
      </c>
      <c r="AD98" s="214">
        <v>0</v>
      </c>
      <c r="AE98" s="188"/>
      <c r="AF98" s="188">
        <f t="shared" si="577"/>
        <v>0</v>
      </c>
      <c r="AG98" s="187"/>
      <c r="AH98" s="187"/>
      <c r="AI98" s="188">
        <v>0</v>
      </c>
      <c r="AJ98" s="188">
        <f t="shared" si="578"/>
        <v>0</v>
      </c>
      <c r="AK98" s="188"/>
      <c r="AL98" s="188">
        <v>0</v>
      </c>
      <c r="AM98" s="188">
        <v>0</v>
      </c>
      <c r="AN98" s="217"/>
      <c r="AO98" s="196">
        <f t="shared" si="579"/>
        <v>0</v>
      </c>
      <c r="AP98" s="195"/>
      <c r="AQ98" s="195"/>
      <c r="AR98" s="195"/>
      <c r="AS98" s="195"/>
      <c r="AT98" s="195"/>
      <c r="AU98" s="195"/>
      <c r="AV98" s="195"/>
      <c r="AW98" s="195"/>
      <c r="AX98" s="195"/>
      <c r="AY98" s="195"/>
      <c r="AZ98" s="195"/>
      <c r="BA98" s="195"/>
      <c r="BB98" s="188">
        <f t="shared" si="580"/>
        <v>0</v>
      </c>
      <c r="BC98" s="195"/>
      <c r="BD98" s="196"/>
      <c r="BE98" s="226">
        <f t="shared" si="581"/>
        <v>0</v>
      </c>
      <c r="BF98" s="188">
        <f t="shared" si="582"/>
        <v>0</v>
      </c>
      <c r="BG98" s="188">
        <f t="shared" si="583"/>
        <v>0</v>
      </c>
      <c r="BH98" s="188">
        <f t="shared" si="584"/>
        <v>0</v>
      </c>
      <c r="BI98" s="188">
        <f t="shared" si="585"/>
        <v>0</v>
      </c>
      <c r="BJ98" s="188">
        <f t="shared" si="586"/>
        <v>0</v>
      </c>
      <c r="BK98" s="188">
        <f t="shared" si="587"/>
        <v>0</v>
      </c>
      <c r="BL98" s="195"/>
      <c r="BM98" s="195"/>
      <c r="BN98" s="215"/>
      <c r="BO98" s="218"/>
      <c r="BP98" s="188"/>
      <c r="BQ98" s="188"/>
      <c r="BR98" s="188"/>
      <c r="BS98" s="188"/>
      <c r="BT98" s="188"/>
      <c r="BU98" s="188"/>
      <c r="BV98" s="188"/>
      <c r="BW98" s="188"/>
      <c r="BX98" s="188"/>
      <c r="BY98" s="188"/>
      <c r="BZ98" s="188"/>
      <c r="CA98" s="195"/>
      <c r="CB98" s="188">
        <v>0</v>
      </c>
      <c r="CC98" s="195"/>
      <c r="CD98" s="189">
        <f t="shared" si="588"/>
        <v>0</v>
      </c>
      <c r="CE98" s="189">
        <f t="shared" si="589"/>
        <v>0</v>
      </c>
      <c r="CF98" s="189">
        <f t="shared" si="590"/>
        <v>0</v>
      </c>
      <c r="CG98" s="189">
        <f t="shared" si="591"/>
        <v>0</v>
      </c>
      <c r="CH98" s="189">
        <f t="shared" si="592"/>
        <v>0</v>
      </c>
      <c r="CI98" s="189">
        <f t="shared" si="593"/>
        <v>0</v>
      </c>
      <c r="CJ98" s="189">
        <f t="shared" si="594"/>
        <v>0</v>
      </c>
      <c r="CK98" s="189">
        <f t="shared" si="595"/>
        <v>0</v>
      </c>
      <c r="CL98" s="189">
        <f t="shared" si="596"/>
        <v>0</v>
      </c>
      <c r="CM98" s="189">
        <f t="shared" si="597"/>
        <v>0</v>
      </c>
      <c r="CN98" s="189">
        <f t="shared" si="598"/>
        <v>0</v>
      </c>
      <c r="CO98" s="189">
        <f t="shared" si="599"/>
        <v>0</v>
      </c>
      <c r="CP98" s="189">
        <f t="shared" si="600"/>
        <v>0</v>
      </c>
      <c r="CQ98" s="195"/>
      <c r="CR98" s="195"/>
      <c r="CS98" s="195"/>
      <c r="CT98" s="195"/>
      <c r="CU98" s="195"/>
      <c r="CV98" s="195"/>
      <c r="CW98" s="195"/>
      <c r="CX98" s="195"/>
      <c r="CY98" s="195"/>
      <c r="CZ98" s="195"/>
      <c r="DA98" s="195"/>
      <c r="DB98" s="195"/>
      <c r="DC98" s="195"/>
      <c r="DD98" s="195"/>
      <c r="DE98" s="195"/>
      <c r="DF98" s="195"/>
      <c r="DG98" s="195"/>
      <c r="DH98" s="195"/>
      <c r="DI98" s="195"/>
      <c r="DJ98" s="195"/>
      <c r="DK98" s="195"/>
      <c r="DL98" s="195"/>
      <c r="DM98" s="195"/>
      <c r="DN98" s="195"/>
      <c r="DO98" s="195"/>
      <c r="DP98" s="195"/>
      <c r="DQ98" s="195"/>
      <c r="DR98" s="195"/>
      <c r="DS98" s="195"/>
      <c r="DT98" s="195"/>
      <c r="DU98" s="195"/>
      <c r="DV98" s="188">
        <f t="shared" si="601"/>
        <v>0</v>
      </c>
      <c r="DW98" s="188">
        <f t="shared" si="602"/>
        <v>0</v>
      </c>
      <c r="DX98" s="188">
        <f t="shared" si="603"/>
        <v>0</v>
      </c>
      <c r="DY98" s="188">
        <f t="shared" si="604"/>
        <v>0</v>
      </c>
      <c r="DZ98" s="188">
        <f t="shared" si="605"/>
        <v>0</v>
      </c>
      <c r="EA98" s="188">
        <f t="shared" si="606"/>
        <v>0</v>
      </c>
      <c r="EB98" s="188">
        <f t="shared" si="607"/>
        <v>0</v>
      </c>
      <c r="EC98" s="195"/>
      <c r="ED98" s="195"/>
      <c r="EE98" s="195"/>
      <c r="EF98" s="195"/>
      <c r="EG98" s="252">
        <f t="shared" si="608"/>
        <v>0</v>
      </c>
      <c r="EH98" s="252">
        <f t="shared" si="609"/>
        <v>0</v>
      </c>
      <c r="EI98" s="189"/>
      <c r="EJ98" s="189"/>
      <c r="EK98" s="189"/>
      <c r="EL98" s="189"/>
      <c r="EM98" s="189"/>
      <c r="EN98" s="189"/>
      <c r="EO98" s="189"/>
      <c r="EP98" s="189"/>
      <c r="EQ98" s="189"/>
      <c r="ER98" s="189"/>
      <c r="ES98" s="189"/>
      <c r="ET98" s="189"/>
      <c r="EU98" s="189"/>
      <c r="EV98" s="189"/>
      <c r="EW98" s="189"/>
      <c r="EX98" s="189"/>
      <c r="EY98" s="189"/>
      <c r="EZ98" s="189"/>
      <c r="FA98" s="189"/>
      <c r="FB98" s="189"/>
      <c r="FC98" s="189"/>
      <c r="FD98" s="189"/>
      <c r="FE98" s="189"/>
      <c r="FF98" s="189"/>
      <c r="FG98" s="195"/>
      <c r="FH98" s="189"/>
      <c r="FI98" s="189"/>
      <c r="FJ98" s="189"/>
      <c r="FK98" s="189"/>
      <c r="FL98" s="189"/>
      <c r="FM98" s="189"/>
      <c r="FN98" s="189"/>
      <c r="FO98" s="189"/>
      <c r="FP98" s="189"/>
      <c r="FQ98" s="189"/>
      <c r="FR98" s="189"/>
      <c r="FS98" s="189"/>
      <c r="FT98" s="189"/>
      <c r="FU98" s="189"/>
      <c r="FV98" s="189"/>
      <c r="FW98" s="195"/>
      <c r="FX98" s="253"/>
      <c r="FY98" s="189">
        <f t="shared" si="610"/>
        <v>0</v>
      </c>
      <c r="FZ98" s="189">
        <f t="shared" si="611"/>
        <v>0</v>
      </c>
      <c r="GA98" s="189">
        <f t="shared" si="612"/>
        <v>0</v>
      </c>
      <c r="GB98" s="189">
        <f t="shared" si="613"/>
        <v>0</v>
      </c>
      <c r="GC98" s="189">
        <f t="shared" si="614"/>
        <v>0</v>
      </c>
      <c r="GD98" s="189">
        <f t="shared" si="615"/>
        <v>0</v>
      </c>
      <c r="GE98" s="189">
        <f t="shared" si="616"/>
        <v>0</v>
      </c>
      <c r="GF98" s="235"/>
      <c r="GG98" s="256">
        <v>0</v>
      </c>
      <c r="GH98" s="257">
        <v>0</v>
      </c>
      <c r="GI98" s="235"/>
      <c r="GJ98" s="258">
        <f t="shared" si="617"/>
        <v>0</v>
      </c>
      <c r="GK98" s="259">
        <f t="shared" si="618"/>
        <v>0</v>
      </c>
      <c r="GL98" s="195"/>
      <c r="GM98" s="195"/>
      <c r="GN98" s="195"/>
      <c r="GO98" s="188">
        <f t="shared" si="619"/>
        <v>0</v>
      </c>
      <c r="GP98" s="188">
        <f t="shared" si="620"/>
        <v>0</v>
      </c>
      <c r="GQ98" s="188">
        <f t="shared" si="621"/>
        <v>0</v>
      </c>
      <c r="GR98" s="188">
        <f t="shared" si="622"/>
        <v>0</v>
      </c>
      <c r="GS98" s="188">
        <f t="shared" si="623"/>
        <v>0</v>
      </c>
      <c r="GT98" s="188">
        <f t="shared" si="624"/>
        <v>1</v>
      </c>
      <c r="GU98" s="228">
        <f t="shared" si="457"/>
        <v>43243</v>
      </c>
      <c r="GV98" s="188" t="str">
        <f t="shared" si="625"/>
        <v>SELESAI</v>
      </c>
      <c r="GW98" s="188">
        <f t="shared" si="626"/>
        <v>0</v>
      </c>
      <c r="GX98" s="188" t="str">
        <f t="shared" si="627"/>
        <v>SELESAI</v>
      </c>
      <c r="GY98" s="188">
        <f t="shared" si="628"/>
        <v>0</v>
      </c>
      <c r="GZ98" s="228" t="str">
        <f t="shared" si="629"/>
        <v>SELESAI</v>
      </c>
      <c r="HA98" s="204"/>
      <c r="HB98" s="204"/>
      <c r="HC98" s="188">
        <f t="shared" si="630"/>
        <v>0</v>
      </c>
      <c r="HD98" s="188">
        <f t="shared" si="631"/>
        <v>0</v>
      </c>
      <c r="HE98" s="188">
        <f t="shared" si="632"/>
        <v>0</v>
      </c>
      <c r="HF98" s="188">
        <f t="shared" si="633"/>
        <v>0</v>
      </c>
      <c r="HG98" s="188">
        <f t="shared" si="634"/>
        <v>0</v>
      </c>
      <c r="HH98" s="228" t="str">
        <f t="shared" si="635"/>
        <v>TIDAK KONSINYASI</v>
      </c>
      <c r="HI98" s="228" t="str">
        <f t="shared" si="636"/>
        <v>SELESAI</v>
      </c>
      <c r="HJ98" s="195"/>
      <c r="HK98" s="201">
        <f t="shared" si="637"/>
        <v>0</v>
      </c>
      <c r="HL98" s="204"/>
      <c r="HM98" s="204"/>
      <c r="HN98" s="204"/>
      <c r="HO98" s="204"/>
      <c r="HP98" s="203">
        <f t="shared" si="638"/>
        <v>0</v>
      </c>
      <c r="HQ98" s="202">
        <f t="shared" si="639"/>
        <v>0</v>
      </c>
      <c r="HR98" s="202">
        <f t="shared" si="640"/>
        <v>0</v>
      </c>
      <c r="HS98" s="203">
        <f t="shared" si="641"/>
        <v>0</v>
      </c>
      <c r="HT98" s="202">
        <f t="shared" si="642"/>
        <v>0</v>
      </c>
      <c r="HU98" s="202">
        <f t="shared" si="643"/>
        <v>0</v>
      </c>
      <c r="HV98" s="203">
        <f t="shared" si="644"/>
        <v>0</v>
      </c>
      <c r="HW98" s="202">
        <f t="shared" si="645"/>
        <v>0</v>
      </c>
      <c r="HX98" s="202">
        <f t="shared" si="646"/>
        <v>0</v>
      </c>
      <c r="HY98" s="203">
        <f t="shared" si="647"/>
        <v>0</v>
      </c>
      <c r="HZ98" s="202">
        <f t="shared" si="648"/>
        <v>0</v>
      </c>
      <c r="IA98" s="202">
        <f t="shared" si="649"/>
        <v>0</v>
      </c>
      <c r="IB98" s="232">
        <f t="shared" si="650"/>
        <v>0</v>
      </c>
      <c r="IC98" s="226">
        <f t="shared" si="651"/>
        <v>0</v>
      </c>
      <c r="ID98" s="226">
        <f t="shared" si="652"/>
        <v>0</v>
      </c>
      <c r="IE98" s="232">
        <f t="shared" si="653"/>
        <v>0</v>
      </c>
      <c r="IF98" s="226">
        <f t="shared" si="654"/>
        <v>0</v>
      </c>
      <c r="IG98" s="226">
        <f t="shared" si="655"/>
        <v>0</v>
      </c>
      <c r="IH98" s="232">
        <f t="shared" si="656"/>
        <v>0</v>
      </c>
      <c r="II98" s="226">
        <f t="shared" si="657"/>
        <v>0</v>
      </c>
      <c r="IJ98" s="226">
        <f t="shared" si="658"/>
        <v>0</v>
      </c>
      <c r="IK98" s="232">
        <f t="shared" si="659"/>
        <v>0</v>
      </c>
      <c r="IL98" s="226">
        <f t="shared" si="660"/>
        <v>0</v>
      </c>
      <c r="IM98" s="226">
        <f t="shared" si="661"/>
        <v>0</v>
      </c>
      <c r="IN98" s="204"/>
      <c r="IO98" s="203">
        <f t="shared" si="662"/>
        <v>0</v>
      </c>
      <c r="IP98" s="202">
        <f t="shared" si="663"/>
        <v>0</v>
      </c>
      <c r="IQ98" s="202">
        <f t="shared" si="664"/>
        <v>0</v>
      </c>
      <c r="IR98" s="204"/>
      <c r="IS98" s="203"/>
      <c r="IT98" s="202">
        <f t="shared" si="665"/>
        <v>1</v>
      </c>
      <c r="IU98" s="226">
        <f t="shared" si="666"/>
        <v>73</v>
      </c>
      <c r="IV98" s="204"/>
      <c r="IW98" s="203"/>
      <c r="IX98" s="202">
        <f t="shared" si="667"/>
        <v>0</v>
      </c>
      <c r="IY98" s="202">
        <f t="shared" si="668"/>
        <v>0</v>
      </c>
      <c r="IZ98" s="204"/>
      <c r="JA98" s="203"/>
      <c r="JB98" s="202">
        <f t="shared" si="669"/>
        <v>0</v>
      </c>
      <c r="JC98" s="226">
        <f t="shared" si="670"/>
        <v>0</v>
      </c>
      <c r="JD98" s="204"/>
      <c r="JE98" s="203"/>
      <c r="JF98" s="202">
        <f t="shared" si="671"/>
        <v>1</v>
      </c>
      <c r="JG98" s="202">
        <f t="shared" si="672"/>
        <v>73</v>
      </c>
      <c r="JH98" s="204"/>
      <c r="JI98" s="203"/>
      <c r="JJ98" s="202">
        <f t="shared" si="673"/>
        <v>0</v>
      </c>
      <c r="JK98" s="202">
        <f t="shared" si="674"/>
        <v>0</v>
      </c>
      <c r="JL98" s="195"/>
      <c r="JM98" s="203">
        <f t="shared" si="675"/>
        <v>0</v>
      </c>
      <c r="JN98" s="195"/>
      <c r="JO98" s="196">
        <f t="shared" si="676"/>
        <v>0</v>
      </c>
      <c r="JP98" s="206">
        <f t="shared" si="677"/>
        <v>0</v>
      </c>
      <c r="JQ98" s="206">
        <f t="shared" si="678"/>
        <v>0</v>
      </c>
      <c r="JR98" s="206">
        <f t="shared" si="679"/>
        <v>0</v>
      </c>
      <c r="JS98" s="206">
        <f t="shared" si="680"/>
        <v>0</v>
      </c>
      <c r="JT98" s="206">
        <f t="shared" si="681"/>
        <v>0</v>
      </c>
      <c r="JU98" s="206">
        <f t="shared" si="682"/>
        <v>0</v>
      </c>
      <c r="JV98" s="206">
        <f t="shared" si="683"/>
        <v>0</v>
      </c>
      <c r="JW98" s="206">
        <f t="shared" si="684"/>
        <v>0</v>
      </c>
      <c r="JX98" s="206">
        <f t="shared" si="685"/>
        <v>0</v>
      </c>
      <c r="JY98" s="206">
        <f t="shared" si="686"/>
        <v>0</v>
      </c>
      <c r="JZ98" s="206">
        <f t="shared" si="687"/>
        <v>0</v>
      </c>
      <c r="KA98" s="206">
        <f t="shared" si="688"/>
        <v>0</v>
      </c>
      <c r="KB98" s="206">
        <f t="shared" si="689"/>
        <v>0</v>
      </c>
      <c r="KC98" s="195"/>
      <c r="KD98" s="206">
        <f t="shared" si="690"/>
        <v>0</v>
      </c>
      <c r="KE98" s="206">
        <f t="shared" si="691"/>
        <v>0</v>
      </c>
      <c r="KF98" s="206">
        <f t="shared" si="692"/>
        <v>0</v>
      </c>
      <c r="KG98" s="206">
        <f t="shared" si="693"/>
        <v>0</v>
      </c>
      <c r="KH98" s="206">
        <f t="shared" si="694"/>
        <v>0</v>
      </c>
      <c r="KI98" s="206">
        <f t="shared" si="695"/>
        <v>0</v>
      </c>
      <c r="KJ98" s="206">
        <f t="shared" si="696"/>
        <v>0</v>
      </c>
      <c r="KK98" s="206">
        <f t="shared" si="697"/>
        <v>0</v>
      </c>
      <c r="KL98" s="206">
        <f t="shared" si="698"/>
        <v>0</v>
      </c>
      <c r="KM98" s="206">
        <f t="shared" si="699"/>
        <v>0</v>
      </c>
      <c r="KN98" s="221">
        <f t="shared" si="700"/>
        <v>0</v>
      </c>
      <c r="KO98" s="221">
        <f t="shared" si="701"/>
        <v>0</v>
      </c>
      <c r="KP98" s="221">
        <f t="shared" si="702"/>
        <v>0</v>
      </c>
      <c r="KQ98" s="221">
        <f t="shared" si="703"/>
        <v>0</v>
      </c>
      <c r="KR98" s="221">
        <f t="shared" si="704"/>
        <v>0</v>
      </c>
      <c r="KS98" s="195"/>
      <c r="KT98" s="195">
        <f t="shared" si="705"/>
        <v>0</v>
      </c>
      <c r="KU98" s="221"/>
      <c r="KV98" s="221"/>
      <c r="KW98" s="221"/>
      <c r="KX98" s="221"/>
      <c r="KY98" s="221"/>
      <c r="KZ98" s="221"/>
      <c r="LA98" s="221"/>
      <c r="LB98" s="221"/>
      <c r="LC98" s="221"/>
      <c r="LD98" s="221"/>
      <c r="LE98" s="221"/>
      <c r="LF98" s="221"/>
      <c r="LG98" s="221"/>
      <c r="LH98" s="221"/>
      <c r="LI98" s="221"/>
      <c r="LJ98" s="221"/>
      <c r="LK98" s="221"/>
      <c r="LL98" s="221"/>
      <c r="LM98" s="221"/>
      <c r="LN98" s="221"/>
      <c r="LO98" s="221"/>
      <c r="LP98" s="221"/>
      <c r="LQ98" s="221"/>
      <c r="LR98" s="221"/>
      <c r="LS98" s="221"/>
      <c r="LT98" s="221"/>
      <c r="LU98" s="221"/>
      <c r="LV98" s="221"/>
      <c r="LW98" s="221"/>
      <c r="LX98" s="221"/>
      <c r="LY98" s="221"/>
      <c r="LZ98" s="221"/>
      <c r="MA98" s="221"/>
      <c r="MB98" s="221"/>
      <c r="MC98" s="221"/>
      <c r="MD98" s="221"/>
      <c r="ME98" s="221"/>
      <c r="MF98" s="221"/>
      <c r="MG98" s="221"/>
      <c r="MH98" s="221"/>
      <c r="MI98" s="221"/>
      <c r="MJ98" s="221"/>
      <c r="MK98" s="221"/>
      <c r="ML98" s="221"/>
      <c r="MM98" s="221"/>
      <c r="MN98" s="221"/>
      <c r="MO98" s="221"/>
      <c r="MP98" s="221"/>
      <c r="MQ98" s="221"/>
      <c r="MR98" s="221"/>
      <c r="MS98" s="221"/>
      <c r="MT98" s="221"/>
      <c r="MU98" s="221"/>
      <c r="MV98" s="221"/>
      <c r="MW98" s="221"/>
      <c r="MX98" s="221"/>
      <c r="MY98" s="221"/>
      <c r="MZ98" s="221"/>
      <c r="NA98" s="221"/>
      <c r="NB98" s="221"/>
      <c r="NC98" s="221"/>
      <c r="ND98" s="221"/>
      <c r="NE98" s="221"/>
      <c r="NF98" s="221"/>
      <c r="NG98" s="221"/>
      <c r="NH98" s="221"/>
      <c r="NI98" s="221"/>
      <c r="NJ98" s="221"/>
      <c r="NK98" s="221"/>
      <c r="NL98" s="195"/>
      <c r="NM98" s="195">
        <f t="shared" si="706"/>
        <v>0</v>
      </c>
      <c r="NN98" s="195">
        <f t="shared" si="707"/>
        <v>0</v>
      </c>
      <c r="NO98" s="195">
        <f t="shared" si="708"/>
        <v>0</v>
      </c>
      <c r="NP98" s="195">
        <f t="shared" si="709"/>
        <v>0</v>
      </c>
      <c r="NQ98" s="195">
        <f t="shared" si="710"/>
        <v>0</v>
      </c>
      <c r="NR98" s="195">
        <f t="shared" si="711"/>
        <v>0</v>
      </c>
      <c r="NS98" s="195">
        <f t="shared" si="712"/>
        <v>0</v>
      </c>
      <c r="NT98" s="195">
        <f t="shared" si="713"/>
        <v>0</v>
      </c>
      <c r="NU98" s="196">
        <f t="shared" si="714"/>
        <v>0</v>
      </c>
      <c r="NV98" s="195"/>
      <c r="NW98" s="195"/>
      <c r="NX98" s="195"/>
      <c r="NY98" s="196">
        <f t="shared" si="423"/>
        <v>1</v>
      </c>
      <c r="NZ98" s="222">
        <v>9100280</v>
      </c>
      <c r="OA98" s="195"/>
      <c r="OB98" s="195"/>
      <c r="OC98" s="195"/>
      <c r="OD98" s="195"/>
      <c r="OE98" s="207">
        <f t="shared" si="723"/>
        <v>0</v>
      </c>
      <c r="OF98" s="207">
        <f t="shared" si="724"/>
        <v>0</v>
      </c>
      <c r="OG98" s="207">
        <f t="shared" si="725"/>
        <v>0</v>
      </c>
      <c r="OH98" s="207">
        <f t="shared" si="726"/>
        <v>0</v>
      </c>
      <c r="OI98" s="207">
        <f t="shared" si="727"/>
        <v>0</v>
      </c>
      <c r="OJ98" s="199">
        <f t="shared" si="728"/>
        <v>0</v>
      </c>
      <c r="OK98" s="199">
        <f t="shared" si="729"/>
        <v>0</v>
      </c>
      <c r="OL98" s="199">
        <f t="shared" si="730"/>
        <v>0</v>
      </c>
      <c r="OM98" s="199">
        <f t="shared" si="731"/>
        <v>0</v>
      </c>
      <c r="ON98" s="195"/>
      <c r="OO98" s="207">
        <f t="shared" si="732"/>
        <v>0</v>
      </c>
      <c r="OP98" s="207">
        <f t="shared" si="733"/>
        <v>0</v>
      </c>
      <c r="OQ98" s="207">
        <f t="shared" si="734"/>
        <v>0</v>
      </c>
      <c r="OR98" s="207">
        <f t="shared" si="735"/>
        <v>0</v>
      </c>
      <c r="OS98" s="207">
        <f t="shared" si="736"/>
        <v>0</v>
      </c>
      <c r="OT98" s="199">
        <f t="shared" si="737"/>
        <v>0</v>
      </c>
      <c r="OU98" s="199">
        <f t="shared" si="738"/>
        <v>0</v>
      </c>
      <c r="OV98" s="199">
        <f t="shared" si="739"/>
        <v>0</v>
      </c>
      <c r="OW98" s="199">
        <f t="shared" si="740"/>
        <v>0</v>
      </c>
      <c r="OX98" s="195"/>
      <c r="OY98" s="195"/>
      <c r="OZ98" s="195"/>
      <c r="PA98" s="260"/>
      <c r="PB98" s="260"/>
      <c r="PC98" s="260"/>
      <c r="PD98" s="210">
        <f t="shared" si="430"/>
        <v>0</v>
      </c>
      <c r="PE98" s="210"/>
      <c r="PF98" s="210">
        <f t="shared" si="431"/>
        <v>0</v>
      </c>
      <c r="PG98" s="210">
        <f t="shared" si="302"/>
        <v>0</v>
      </c>
      <c r="PH98" s="210">
        <f t="shared" si="302"/>
        <v>0</v>
      </c>
      <c r="PI98" s="210">
        <f t="shared" si="302"/>
        <v>0</v>
      </c>
      <c r="PJ98" s="210">
        <f t="shared" si="300"/>
        <v>0</v>
      </c>
      <c r="PK98" s="210">
        <f t="shared" si="300"/>
        <v>0</v>
      </c>
      <c r="PL98" s="210">
        <f t="shared" si="300"/>
        <v>0</v>
      </c>
      <c r="PM98" s="195"/>
      <c r="PN98" s="195"/>
      <c r="PO98" s="212">
        <f t="shared" si="715"/>
        <v>0</v>
      </c>
      <c r="PP98" s="212">
        <f t="shared" si="716"/>
        <v>0</v>
      </c>
      <c r="PQ98" s="212">
        <f t="shared" si="717"/>
        <v>0</v>
      </c>
    </row>
    <row r="99" spans="1:433 16383:16384" ht="16" x14ac:dyDescent="0.2">
      <c r="A99" s="213">
        <f t="shared" si="718"/>
        <v>90</v>
      </c>
      <c r="B99" s="186" t="s">
        <v>633</v>
      </c>
      <c r="C99" s="255">
        <v>91</v>
      </c>
      <c r="D99" s="188">
        <v>1</v>
      </c>
      <c r="E99" s="188">
        <v>73</v>
      </c>
      <c r="F99" s="188">
        <v>1</v>
      </c>
      <c r="G99" s="188">
        <f t="shared" si="719"/>
        <v>73</v>
      </c>
      <c r="H99" s="214">
        <f t="shared" si="566"/>
        <v>1</v>
      </c>
      <c r="I99" s="214">
        <f t="shared" si="720"/>
        <v>1</v>
      </c>
      <c r="J99" s="188">
        <v>1</v>
      </c>
      <c r="K99" s="188">
        <f t="shared" si="567"/>
        <v>73</v>
      </c>
      <c r="L99" s="214">
        <f t="shared" si="568"/>
        <v>1</v>
      </c>
      <c r="M99" s="214">
        <f t="shared" si="721"/>
        <v>1</v>
      </c>
      <c r="N99" s="188">
        <v>1</v>
      </c>
      <c r="O99" s="188">
        <f t="shared" si="722"/>
        <v>73</v>
      </c>
      <c r="P99" s="214">
        <f t="shared" si="569"/>
        <v>1</v>
      </c>
      <c r="Q99" s="214">
        <f t="shared" si="570"/>
        <v>1</v>
      </c>
      <c r="R99" s="188">
        <v>1</v>
      </c>
      <c r="S99" s="188">
        <f t="shared" si="571"/>
        <v>73</v>
      </c>
      <c r="T99" s="214">
        <f t="shared" si="572"/>
        <v>1</v>
      </c>
      <c r="U99" s="214">
        <f t="shared" si="573"/>
        <v>1</v>
      </c>
      <c r="V99" s="188">
        <v>1</v>
      </c>
      <c r="W99" s="188">
        <f t="shared" si="574"/>
        <v>73</v>
      </c>
      <c r="X99" s="214">
        <f t="shared" si="575"/>
        <v>1</v>
      </c>
      <c r="Y99" s="214">
        <v>0</v>
      </c>
      <c r="Z99" s="224">
        <f>1157391000/1000000000</f>
        <v>1.1573910000000001</v>
      </c>
      <c r="AA99" s="188"/>
      <c r="AB99" s="188">
        <v>0</v>
      </c>
      <c r="AC99" s="214">
        <f t="shared" si="576"/>
        <v>0</v>
      </c>
      <c r="AD99" s="214">
        <v>0</v>
      </c>
      <c r="AE99" s="188"/>
      <c r="AF99" s="188">
        <f t="shared" si="577"/>
        <v>0</v>
      </c>
      <c r="AG99" s="187"/>
      <c r="AH99" s="187"/>
      <c r="AI99" s="188">
        <v>0</v>
      </c>
      <c r="AJ99" s="188">
        <f t="shared" si="578"/>
        <v>0</v>
      </c>
      <c r="AK99" s="188"/>
      <c r="AL99" s="188">
        <v>0</v>
      </c>
      <c r="AM99" s="188">
        <v>0</v>
      </c>
      <c r="AN99" s="217"/>
      <c r="AO99" s="196">
        <f t="shared" si="579"/>
        <v>0</v>
      </c>
      <c r="AP99" s="195"/>
      <c r="AQ99" s="195"/>
      <c r="AR99" s="195"/>
      <c r="AS99" s="195"/>
      <c r="AT99" s="195"/>
      <c r="AU99" s="195"/>
      <c r="AV99" s="195"/>
      <c r="AW99" s="195"/>
      <c r="AX99" s="195"/>
      <c r="AY99" s="195"/>
      <c r="AZ99" s="195"/>
      <c r="BA99" s="195"/>
      <c r="BB99" s="188">
        <f t="shared" si="580"/>
        <v>0</v>
      </c>
      <c r="BC99" s="195"/>
      <c r="BD99" s="196"/>
      <c r="BE99" s="226">
        <f t="shared" si="581"/>
        <v>0</v>
      </c>
      <c r="BF99" s="188">
        <f t="shared" si="582"/>
        <v>0</v>
      </c>
      <c r="BG99" s="188">
        <f t="shared" si="583"/>
        <v>0</v>
      </c>
      <c r="BH99" s="188">
        <f t="shared" si="584"/>
        <v>0</v>
      </c>
      <c r="BI99" s="188">
        <f t="shared" si="585"/>
        <v>0</v>
      </c>
      <c r="BJ99" s="188">
        <f t="shared" si="586"/>
        <v>0</v>
      </c>
      <c r="BK99" s="188">
        <f t="shared" si="587"/>
        <v>0</v>
      </c>
      <c r="BL99" s="195"/>
      <c r="BM99" s="195"/>
      <c r="BN99" s="215"/>
      <c r="BO99" s="218"/>
      <c r="BP99" s="188"/>
      <c r="BQ99" s="188"/>
      <c r="BR99" s="188"/>
      <c r="BS99" s="188"/>
      <c r="BT99" s="188"/>
      <c r="BU99" s="188"/>
      <c r="BV99" s="188"/>
      <c r="BW99" s="188"/>
      <c r="BX99" s="188"/>
      <c r="BY99" s="188"/>
      <c r="BZ99" s="188"/>
      <c r="CA99" s="195"/>
      <c r="CB99" s="188">
        <v>0</v>
      </c>
      <c r="CC99" s="195"/>
      <c r="CD99" s="189">
        <f t="shared" si="588"/>
        <v>0</v>
      </c>
      <c r="CE99" s="189">
        <f t="shared" si="589"/>
        <v>0</v>
      </c>
      <c r="CF99" s="189">
        <f t="shared" si="590"/>
        <v>0</v>
      </c>
      <c r="CG99" s="189">
        <f t="shared" si="591"/>
        <v>0</v>
      </c>
      <c r="CH99" s="189">
        <f t="shared" si="592"/>
        <v>0</v>
      </c>
      <c r="CI99" s="189">
        <f t="shared" si="593"/>
        <v>0</v>
      </c>
      <c r="CJ99" s="189">
        <f t="shared" si="594"/>
        <v>0</v>
      </c>
      <c r="CK99" s="189">
        <f t="shared" si="595"/>
        <v>0</v>
      </c>
      <c r="CL99" s="189">
        <f t="shared" si="596"/>
        <v>0</v>
      </c>
      <c r="CM99" s="189">
        <f t="shared" si="597"/>
        <v>0</v>
      </c>
      <c r="CN99" s="189">
        <f t="shared" si="598"/>
        <v>0</v>
      </c>
      <c r="CO99" s="189">
        <f t="shared" si="599"/>
        <v>0</v>
      </c>
      <c r="CP99" s="189">
        <f t="shared" si="600"/>
        <v>0</v>
      </c>
      <c r="CQ99" s="195"/>
      <c r="CR99" s="195"/>
      <c r="CS99" s="195"/>
      <c r="CT99" s="195"/>
      <c r="CU99" s="195"/>
      <c r="CV99" s="195"/>
      <c r="CW99" s="195"/>
      <c r="CX99" s="195"/>
      <c r="CY99" s="195"/>
      <c r="CZ99" s="195"/>
      <c r="DA99" s="195"/>
      <c r="DB99" s="195"/>
      <c r="DC99" s="195"/>
      <c r="DD99" s="195"/>
      <c r="DE99" s="195"/>
      <c r="DF99" s="195"/>
      <c r="DG99" s="195"/>
      <c r="DH99" s="195"/>
      <c r="DI99" s="195"/>
      <c r="DJ99" s="195"/>
      <c r="DK99" s="195"/>
      <c r="DL99" s="195"/>
      <c r="DM99" s="195"/>
      <c r="DN99" s="195"/>
      <c r="DO99" s="195"/>
      <c r="DP99" s="195"/>
      <c r="DQ99" s="195"/>
      <c r="DR99" s="195"/>
      <c r="DS99" s="195"/>
      <c r="DT99" s="195"/>
      <c r="DU99" s="195"/>
      <c r="DV99" s="188">
        <f t="shared" si="601"/>
        <v>0</v>
      </c>
      <c r="DW99" s="188">
        <f t="shared" si="602"/>
        <v>0</v>
      </c>
      <c r="DX99" s="188">
        <f t="shared" si="603"/>
        <v>0</v>
      </c>
      <c r="DY99" s="188">
        <f t="shared" si="604"/>
        <v>0</v>
      </c>
      <c r="DZ99" s="188">
        <f t="shared" si="605"/>
        <v>0</v>
      </c>
      <c r="EA99" s="188">
        <f t="shared" si="606"/>
        <v>0</v>
      </c>
      <c r="EB99" s="188">
        <f t="shared" si="607"/>
        <v>0</v>
      </c>
      <c r="EC99" s="195"/>
      <c r="ED99" s="195"/>
      <c r="EE99" s="195"/>
      <c r="EF99" s="195"/>
      <c r="EG99" s="252">
        <f t="shared" si="608"/>
        <v>0</v>
      </c>
      <c r="EH99" s="252">
        <f t="shared" si="609"/>
        <v>0</v>
      </c>
      <c r="EI99" s="189"/>
      <c r="EJ99" s="189"/>
      <c r="EK99" s="189"/>
      <c r="EL99" s="189"/>
      <c r="EM99" s="189"/>
      <c r="EN99" s="189"/>
      <c r="EO99" s="189"/>
      <c r="EP99" s="189"/>
      <c r="EQ99" s="189"/>
      <c r="ER99" s="189"/>
      <c r="ES99" s="189"/>
      <c r="ET99" s="189"/>
      <c r="EU99" s="189"/>
      <c r="EV99" s="189"/>
      <c r="EW99" s="189"/>
      <c r="EX99" s="189"/>
      <c r="EY99" s="189"/>
      <c r="EZ99" s="189"/>
      <c r="FA99" s="189"/>
      <c r="FB99" s="189"/>
      <c r="FC99" s="189"/>
      <c r="FD99" s="189"/>
      <c r="FE99" s="189"/>
      <c r="FF99" s="189"/>
      <c r="FG99" s="195"/>
      <c r="FH99" s="189"/>
      <c r="FI99" s="189"/>
      <c r="FJ99" s="189"/>
      <c r="FK99" s="189"/>
      <c r="FL99" s="189"/>
      <c r="FM99" s="189"/>
      <c r="FN99" s="189"/>
      <c r="FO99" s="189"/>
      <c r="FP99" s="189"/>
      <c r="FQ99" s="189"/>
      <c r="FR99" s="189"/>
      <c r="FS99" s="189"/>
      <c r="FT99" s="189"/>
      <c r="FU99" s="189"/>
      <c r="FV99" s="189"/>
      <c r="FW99" s="195"/>
      <c r="FX99" s="253"/>
      <c r="FY99" s="189">
        <f t="shared" si="610"/>
        <v>0</v>
      </c>
      <c r="FZ99" s="189">
        <f t="shared" si="611"/>
        <v>0</v>
      </c>
      <c r="GA99" s="189">
        <f t="shared" si="612"/>
        <v>0</v>
      </c>
      <c r="GB99" s="189">
        <f t="shared" si="613"/>
        <v>0</v>
      </c>
      <c r="GC99" s="189">
        <f t="shared" si="614"/>
        <v>0</v>
      </c>
      <c r="GD99" s="189">
        <f t="shared" si="615"/>
        <v>0</v>
      </c>
      <c r="GE99" s="189">
        <f t="shared" si="616"/>
        <v>0</v>
      </c>
      <c r="GF99" s="235"/>
      <c r="GG99" s="256">
        <v>0</v>
      </c>
      <c r="GH99" s="257">
        <v>0</v>
      </c>
      <c r="GI99" s="235"/>
      <c r="GJ99" s="258">
        <f t="shared" si="617"/>
        <v>0</v>
      </c>
      <c r="GK99" s="259">
        <f t="shared" si="618"/>
        <v>0</v>
      </c>
      <c r="GL99" s="195"/>
      <c r="GM99" s="195"/>
      <c r="GN99" s="195"/>
      <c r="GO99" s="188">
        <f t="shared" si="619"/>
        <v>0</v>
      </c>
      <c r="GP99" s="188">
        <f t="shared" si="620"/>
        <v>0</v>
      </c>
      <c r="GQ99" s="188">
        <f t="shared" si="621"/>
        <v>0</v>
      </c>
      <c r="GR99" s="188">
        <f t="shared" si="622"/>
        <v>0</v>
      </c>
      <c r="GS99" s="188">
        <f t="shared" si="623"/>
        <v>0</v>
      </c>
      <c r="GT99" s="188">
        <f t="shared" si="624"/>
        <v>1</v>
      </c>
      <c r="GU99" s="228">
        <f t="shared" si="457"/>
        <v>43243</v>
      </c>
      <c r="GV99" s="188" t="str">
        <f t="shared" si="625"/>
        <v>SELESAI</v>
      </c>
      <c r="GW99" s="188">
        <f t="shared" si="626"/>
        <v>0</v>
      </c>
      <c r="GX99" s="188" t="str">
        <f t="shared" si="627"/>
        <v>SELESAI</v>
      </c>
      <c r="GY99" s="188">
        <f t="shared" si="628"/>
        <v>0</v>
      </c>
      <c r="GZ99" s="228" t="str">
        <f t="shared" si="629"/>
        <v>SELESAI</v>
      </c>
      <c r="HA99" s="204"/>
      <c r="HB99" s="204"/>
      <c r="HC99" s="188">
        <f t="shared" si="630"/>
        <v>0</v>
      </c>
      <c r="HD99" s="188">
        <f t="shared" si="631"/>
        <v>0</v>
      </c>
      <c r="HE99" s="188">
        <f t="shared" si="632"/>
        <v>0</v>
      </c>
      <c r="HF99" s="188">
        <f t="shared" si="633"/>
        <v>0</v>
      </c>
      <c r="HG99" s="188">
        <f t="shared" si="634"/>
        <v>0</v>
      </c>
      <c r="HH99" s="228" t="str">
        <f t="shared" si="635"/>
        <v>TIDAK KONSINYASI</v>
      </c>
      <c r="HI99" s="228" t="str">
        <f t="shared" si="636"/>
        <v>SELESAI</v>
      </c>
      <c r="HJ99" s="195"/>
      <c r="HK99" s="201">
        <f t="shared" si="637"/>
        <v>0</v>
      </c>
      <c r="HL99" s="204"/>
      <c r="HM99" s="204"/>
      <c r="HN99" s="204"/>
      <c r="HO99" s="204"/>
      <c r="HP99" s="203">
        <f t="shared" si="638"/>
        <v>0</v>
      </c>
      <c r="HQ99" s="202">
        <f t="shared" si="639"/>
        <v>0</v>
      </c>
      <c r="HR99" s="202">
        <f t="shared" si="640"/>
        <v>0</v>
      </c>
      <c r="HS99" s="203">
        <f t="shared" si="641"/>
        <v>0</v>
      </c>
      <c r="HT99" s="202">
        <f t="shared" si="642"/>
        <v>0</v>
      </c>
      <c r="HU99" s="202">
        <f t="shared" si="643"/>
        <v>0</v>
      </c>
      <c r="HV99" s="203">
        <f t="shared" si="644"/>
        <v>0</v>
      </c>
      <c r="HW99" s="202">
        <f t="shared" si="645"/>
        <v>0</v>
      </c>
      <c r="HX99" s="202">
        <f t="shared" si="646"/>
        <v>0</v>
      </c>
      <c r="HY99" s="203">
        <f t="shared" si="647"/>
        <v>0</v>
      </c>
      <c r="HZ99" s="202">
        <f t="shared" si="648"/>
        <v>0</v>
      </c>
      <c r="IA99" s="202">
        <f t="shared" si="649"/>
        <v>0</v>
      </c>
      <c r="IB99" s="232">
        <f t="shared" si="650"/>
        <v>0</v>
      </c>
      <c r="IC99" s="226">
        <f t="shared" si="651"/>
        <v>0</v>
      </c>
      <c r="ID99" s="226">
        <f t="shared" si="652"/>
        <v>0</v>
      </c>
      <c r="IE99" s="232">
        <f t="shared" si="653"/>
        <v>0</v>
      </c>
      <c r="IF99" s="226">
        <f t="shared" si="654"/>
        <v>0</v>
      </c>
      <c r="IG99" s="226">
        <f t="shared" si="655"/>
        <v>0</v>
      </c>
      <c r="IH99" s="232">
        <f t="shared" si="656"/>
        <v>0</v>
      </c>
      <c r="II99" s="226">
        <f t="shared" si="657"/>
        <v>0</v>
      </c>
      <c r="IJ99" s="226">
        <f t="shared" si="658"/>
        <v>0</v>
      </c>
      <c r="IK99" s="232">
        <f t="shared" si="659"/>
        <v>0</v>
      </c>
      <c r="IL99" s="226">
        <f t="shared" si="660"/>
        <v>0</v>
      </c>
      <c r="IM99" s="226">
        <f t="shared" si="661"/>
        <v>0</v>
      </c>
      <c r="IN99" s="204"/>
      <c r="IO99" s="203">
        <f t="shared" si="662"/>
        <v>0</v>
      </c>
      <c r="IP99" s="202">
        <f t="shared" si="663"/>
        <v>0</v>
      </c>
      <c r="IQ99" s="202">
        <f t="shared" si="664"/>
        <v>0</v>
      </c>
      <c r="IR99" s="204"/>
      <c r="IS99" s="203"/>
      <c r="IT99" s="202">
        <f t="shared" si="665"/>
        <v>1</v>
      </c>
      <c r="IU99" s="226">
        <f t="shared" si="666"/>
        <v>73</v>
      </c>
      <c r="IV99" s="204"/>
      <c r="IW99" s="203"/>
      <c r="IX99" s="202">
        <f t="shared" si="667"/>
        <v>0</v>
      </c>
      <c r="IY99" s="202">
        <f t="shared" si="668"/>
        <v>0</v>
      </c>
      <c r="IZ99" s="204"/>
      <c r="JA99" s="203"/>
      <c r="JB99" s="202">
        <f t="shared" si="669"/>
        <v>0</v>
      </c>
      <c r="JC99" s="226">
        <f t="shared" si="670"/>
        <v>0</v>
      </c>
      <c r="JD99" s="204"/>
      <c r="JE99" s="203"/>
      <c r="JF99" s="202">
        <f t="shared" si="671"/>
        <v>1</v>
      </c>
      <c r="JG99" s="202">
        <f t="shared" si="672"/>
        <v>73</v>
      </c>
      <c r="JH99" s="204"/>
      <c r="JI99" s="203"/>
      <c r="JJ99" s="202">
        <f t="shared" si="673"/>
        <v>0</v>
      </c>
      <c r="JK99" s="202">
        <f t="shared" si="674"/>
        <v>0</v>
      </c>
      <c r="JL99" s="195"/>
      <c r="JM99" s="203">
        <f t="shared" si="675"/>
        <v>0</v>
      </c>
      <c r="JN99" s="195"/>
      <c r="JO99" s="196">
        <f t="shared" si="676"/>
        <v>0</v>
      </c>
      <c r="JP99" s="206">
        <f t="shared" si="677"/>
        <v>0</v>
      </c>
      <c r="JQ99" s="206">
        <f t="shared" si="678"/>
        <v>0</v>
      </c>
      <c r="JR99" s="206">
        <f t="shared" si="679"/>
        <v>0</v>
      </c>
      <c r="JS99" s="206">
        <f t="shared" si="680"/>
        <v>0</v>
      </c>
      <c r="JT99" s="206">
        <f t="shared" si="681"/>
        <v>0</v>
      </c>
      <c r="JU99" s="206">
        <f t="shared" si="682"/>
        <v>0</v>
      </c>
      <c r="JV99" s="206">
        <f t="shared" si="683"/>
        <v>0</v>
      </c>
      <c r="JW99" s="206">
        <f t="shared" si="684"/>
        <v>0</v>
      </c>
      <c r="JX99" s="206">
        <f t="shared" si="685"/>
        <v>0</v>
      </c>
      <c r="JY99" s="206">
        <f t="shared" si="686"/>
        <v>0</v>
      </c>
      <c r="JZ99" s="206">
        <f t="shared" si="687"/>
        <v>0</v>
      </c>
      <c r="KA99" s="206">
        <f t="shared" si="688"/>
        <v>0</v>
      </c>
      <c r="KB99" s="206">
        <f t="shared" si="689"/>
        <v>0</v>
      </c>
      <c r="KC99" s="195"/>
      <c r="KD99" s="206">
        <f t="shared" si="690"/>
        <v>0</v>
      </c>
      <c r="KE99" s="206">
        <f t="shared" si="691"/>
        <v>0</v>
      </c>
      <c r="KF99" s="206">
        <f t="shared" si="692"/>
        <v>0</v>
      </c>
      <c r="KG99" s="206">
        <f t="shared" si="693"/>
        <v>0</v>
      </c>
      <c r="KH99" s="206">
        <f t="shared" si="694"/>
        <v>0</v>
      </c>
      <c r="KI99" s="206">
        <f t="shared" si="695"/>
        <v>0</v>
      </c>
      <c r="KJ99" s="206">
        <f t="shared" si="696"/>
        <v>0</v>
      </c>
      <c r="KK99" s="206">
        <f t="shared" si="697"/>
        <v>0</v>
      </c>
      <c r="KL99" s="206">
        <f t="shared" si="698"/>
        <v>0</v>
      </c>
      <c r="KM99" s="206">
        <f t="shared" si="699"/>
        <v>0</v>
      </c>
      <c r="KN99" s="221">
        <f t="shared" si="700"/>
        <v>0</v>
      </c>
      <c r="KO99" s="221">
        <f t="shared" si="701"/>
        <v>0</v>
      </c>
      <c r="KP99" s="221">
        <f t="shared" si="702"/>
        <v>0</v>
      </c>
      <c r="KQ99" s="221">
        <f t="shared" si="703"/>
        <v>0</v>
      </c>
      <c r="KR99" s="221">
        <f t="shared" si="704"/>
        <v>0</v>
      </c>
      <c r="KS99" s="195"/>
      <c r="KT99" s="195">
        <f t="shared" si="705"/>
        <v>0</v>
      </c>
      <c r="KU99" s="221"/>
      <c r="KV99" s="221"/>
      <c r="KW99" s="221"/>
      <c r="KX99" s="221"/>
      <c r="KY99" s="221"/>
      <c r="KZ99" s="221"/>
      <c r="LA99" s="221"/>
      <c r="LB99" s="221"/>
      <c r="LC99" s="221"/>
      <c r="LD99" s="221"/>
      <c r="LE99" s="221"/>
      <c r="LF99" s="221"/>
      <c r="LG99" s="221"/>
      <c r="LH99" s="221"/>
      <c r="LI99" s="221"/>
      <c r="LJ99" s="221"/>
      <c r="LK99" s="221"/>
      <c r="LL99" s="221"/>
      <c r="LM99" s="221"/>
      <c r="LN99" s="221"/>
      <c r="LO99" s="221"/>
      <c r="LP99" s="221"/>
      <c r="LQ99" s="221"/>
      <c r="LR99" s="221"/>
      <c r="LS99" s="221"/>
      <c r="LT99" s="221"/>
      <c r="LU99" s="221"/>
      <c r="LV99" s="221"/>
      <c r="LW99" s="221"/>
      <c r="LX99" s="221"/>
      <c r="LY99" s="221"/>
      <c r="LZ99" s="221"/>
      <c r="MA99" s="221"/>
      <c r="MB99" s="221"/>
      <c r="MC99" s="221"/>
      <c r="MD99" s="221"/>
      <c r="ME99" s="221"/>
      <c r="MF99" s="221"/>
      <c r="MG99" s="221"/>
      <c r="MH99" s="221"/>
      <c r="MI99" s="221"/>
      <c r="MJ99" s="221"/>
      <c r="MK99" s="221"/>
      <c r="ML99" s="221"/>
      <c r="MM99" s="221"/>
      <c r="MN99" s="221"/>
      <c r="MO99" s="221"/>
      <c r="MP99" s="221"/>
      <c r="MQ99" s="221"/>
      <c r="MR99" s="221"/>
      <c r="MS99" s="221"/>
      <c r="MT99" s="221"/>
      <c r="MU99" s="221"/>
      <c r="MV99" s="221"/>
      <c r="MW99" s="221"/>
      <c r="MX99" s="221"/>
      <c r="MY99" s="221"/>
      <c r="MZ99" s="221"/>
      <c r="NA99" s="221"/>
      <c r="NB99" s="221"/>
      <c r="NC99" s="221"/>
      <c r="ND99" s="221"/>
      <c r="NE99" s="221"/>
      <c r="NF99" s="221"/>
      <c r="NG99" s="221"/>
      <c r="NH99" s="221"/>
      <c r="NI99" s="221"/>
      <c r="NJ99" s="221"/>
      <c r="NK99" s="221"/>
      <c r="NL99" s="195"/>
      <c r="NM99" s="195">
        <f t="shared" si="706"/>
        <v>0</v>
      </c>
      <c r="NN99" s="195">
        <f t="shared" si="707"/>
        <v>0</v>
      </c>
      <c r="NO99" s="195">
        <f t="shared" si="708"/>
        <v>0</v>
      </c>
      <c r="NP99" s="195">
        <f t="shared" si="709"/>
        <v>0</v>
      </c>
      <c r="NQ99" s="195">
        <f t="shared" si="710"/>
        <v>0</v>
      </c>
      <c r="NR99" s="195">
        <f t="shared" si="711"/>
        <v>0</v>
      </c>
      <c r="NS99" s="195">
        <f t="shared" si="712"/>
        <v>0</v>
      </c>
      <c r="NT99" s="195">
        <f t="shared" si="713"/>
        <v>0</v>
      </c>
      <c r="NU99" s="196">
        <f t="shared" si="714"/>
        <v>0</v>
      </c>
      <c r="NV99" s="195"/>
      <c r="NW99" s="195"/>
      <c r="NX99" s="195"/>
      <c r="NY99" s="196">
        <f t="shared" si="423"/>
        <v>1</v>
      </c>
      <c r="NZ99" s="222">
        <v>9100280</v>
      </c>
      <c r="OA99" s="195"/>
      <c r="OB99" s="195"/>
      <c r="OC99" s="195"/>
      <c r="OD99" s="195"/>
      <c r="OE99" s="207">
        <f t="shared" si="723"/>
        <v>0</v>
      </c>
      <c r="OF99" s="207">
        <f t="shared" si="724"/>
        <v>0</v>
      </c>
      <c r="OG99" s="207">
        <f t="shared" si="725"/>
        <v>0</v>
      </c>
      <c r="OH99" s="207">
        <f t="shared" si="726"/>
        <v>0</v>
      </c>
      <c r="OI99" s="207">
        <f t="shared" si="727"/>
        <v>0</v>
      </c>
      <c r="OJ99" s="199">
        <f t="shared" si="728"/>
        <v>0</v>
      </c>
      <c r="OK99" s="199">
        <f t="shared" si="729"/>
        <v>0</v>
      </c>
      <c r="OL99" s="199">
        <f t="shared" si="730"/>
        <v>0</v>
      </c>
      <c r="OM99" s="199">
        <f t="shared" si="731"/>
        <v>0</v>
      </c>
      <c r="ON99" s="195"/>
      <c r="OO99" s="207">
        <f t="shared" si="732"/>
        <v>0</v>
      </c>
      <c r="OP99" s="207">
        <f t="shared" si="733"/>
        <v>0</v>
      </c>
      <c r="OQ99" s="207">
        <f t="shared" si="734"/>
        <v>0</v>
      </c>
      <c r="OR99" s="207">
        <f t="shared" si="735"/>
        <v>0</v>
      </c>
      <c r="OS99" s="207">
        <f t="shared" si="736"/>
        <v>0</v>
      </c>
      <c r="OT99" s="199">
        <f t="shared" si="737"/>
        <v>0</v>
      </c>
      <c r="OU99" s="199">
        <f t="shared" si="738"/>
        <v>0</v>
      </c>
      <c r="OV99" s="199">
        <f t="shared" si="739"/>
        <v>0</v>
      </c>
      <c r="OW99" s="199">
        <f t="shared" si="740"/>
        <v>0</v>
      </c>
      <c r="OX99" s="195"/>
      <c r="OY99" s="195"/>
      <c r="OZ99" s="195"/>
      <c r="PA99" s="260"/>
      <c r="PB99" s="260"/>
      <c r="PC99" s="260"/>
      <c r="PD99" s="210">
        <f t="shared" si="430"/>
        <v>0</v>
      </c>
      <c r="PE99" s="210"/>
      <c r="PF99" s="210">
        <f t="shared" si="431"/>
        <v>0</v>
      </c>
      <c r="PG99" s="210">
        <f t="shared" si="302"/>
        <v>0</v>
      </c>
      <c r="PH99" s="210">
        <f t="shared" si="302"/>
        <v>0</v>
      </c>
      <c r="PI99" s="210">
        <f t="shared" si="302"/>
        <v>0</v>
      </c>
      <c r="PJ99" s="210">
        <f t="shared" si="300"/>
        <v>0</v>
      </c>
      <c r="PK99" s="210">
        <f t="shared" si="300"/>
        <v>0</v>
      </c>
      <c r="PL99" s="210">
        <f t="shared" si="300"/>
        <v>0</v>
      </c>
      <c r="PM99" s="195"/>
      <c r="PN99" s="195"/>
      <c r="PO99" s="212">
        <f t="shared" si="715"/>
        <v>0</v>
      </c>
      <c r="PP99" s="212">
        <f t="shared" si="716"/>
        <v>0</v>
      </c>
      <c r="PQ99" s="212">
        <f t="shared" si="717"/>
        <v>0</v>
      </c>
    </row>
    <row r="100" spans="1:433 16383:16384" ht="16" x14ac:dyDescent="0.2">
      <c r="A100" s="213">
        <f t="shared" si="718"/>
        <v>91</v>
      </c>
      <c r="B100" s="186" t="s">
        <v>633</v>
      </c>
      <c r="C100" s="255">
        <v>92</v>
      </c>
      <c r="D100" s="188">
        <v>1</v>
      </c>
      <c r="E100" s="188">
        <v>75</v>
      </c>
      <c r="F100" s="188">
        <v>1</v>
      </c>
      <c r="G100" s="188">
        <f t="shared" si="719"/>
        <v>75</v>
      </c>
      <c r="H100" s="214">
        <f t="shared" si="566"/>
        <v>1</v>
      </c>
      <c r="I100" s="214">
        <f t="shared" si="720"/>
        <v>1</v>
      </c>
      <c r="J100" s="188">
        <v>1</v>
      </c>
      <c r="K100" s="188">
        <f t="shared" si="567"/>
        <v>75</v>
      </c>
      <c r="L100" s="214">
        <f t="shared" si="568"/>
        <v>1</v>
      </c>
      <c r="M100" s="214">
        <f t="shared" si="721"/>
        <v>1</v>
      </c>
      <c r="N100" s="188">
        <v>1</v>
      </c>
      <c r="O100" s="188">
        <f t="shared" si="722"/>
        <v>75</v>
      </c>
      <c r="P100" s="214">
        <f t="shared" si="569"/>
        <v>1</v>
      </c>
      <c r="Q100" s="214">
        <f t="shared" si="570"/>
        <v>1</v>
      </c>
      <c r="R100" s="188">
        <v>1</v>
      </c>
      <c r="S100" s="188">
        <f t="shared" si="571"/>
        <v>75</v>
      </c>
      <c r="T100" s="214">
        <f t="shared" si="572"/>
        <v>1</v>
      </c>
      <c r="U100" s="214">
        <f t="shared" si="573"/>
        <v>1</v>
      </c>
      <c r="V100" s="188">
        <v>1</v>
      </c>
      <c r="W100" s="188">
        <f t="shared" si="574"/>
        <v>75</v>
      </c>
      <c r="X100" s="214">
        <f t="shared" si="575"/>
        <v>1</v>
      </c>
      <c r="Y100" s="214">
        <v>0</v>
      </c>
      <c r="Z100" s="224">
        <f>2939022000/1000000000</f>
        <v>2.939022</v>
      </c>
      <c r="AA100" s="188"/>
      <c r="AB100" s="188">
        <v>0</v>
      </c>
      <c r="AC100" s="214">
        <f t="shared" si="576"/>
        <v>0</v>
      </c>
      <c r="AD100" s="214">
        <v>0</v>
      </c>
      <c r="AE100" s="188"/>
      <c r="AF100" s="188">
        <f t="shared" si="577"/>
        <v>0</v>
      </c>
      <c r="AG100" s="187"/>
      <c r="AH100" s="187"/>
      <c r="AI100" s="188">
        <v>0</v>
      </c>
      <c r="AJ100" s="188">
        <f t="shared" si="578"/>
        <v>0</v>
      </c>
      <c r="AK100" s="188"/>
      <c r="AL100" s="188">
        <v>0</v>
      </c>
      <c r="AM100" s="188">
        <v>0</v>
      </c>
      <c r="AN100" s="217"/>
      <c r="AO100" s="196">
        <f t="shared" si="579"/>
        <v>0</v>
      </c>
      <c r="AP100" s="195"/>
      <c r="AQ100" s="195"/>
      <c r="AR100" s="195"/>
      <c r="AS100" s="195"/>
      <c r="AT100" s="195"/>
      <c r="AU100" s="195"/>
      <c r="AV100" s="195"/>
      <c r="AW100" s="195"/>
      <c r="AX100" s="195"/>
      <c r="AY100" s="195"/>
      <c r="AZ100" s="195"/>
      <c r="BA100" s="195"/>
      <c r="BB100" s="188">
        <f t="shared" si="580"/>
        <v>0</v>
      </c>
      <c r="BC100" s="195"/>
      <c r="BD100" s="196"/>
      <c r="BE100" s="226">
        <f t="shared" si="581"/>
        <v>0</v>
      </c>
      <c r="BF100" s="188">
        <f t="shared" si="582"/>
        <v>0</v>
      </c>
      <c r="BG100" s="188">
        <f t="shared" si="583"/>
        <v>0</v>
      </c>
      <c r="BH100" s="188">
        <f t="shared" si="584"/>
        <v>0</v>
      </c>
      <c r="BI100" s="188">
        <f t="shared" si="585"/>
        <v>0</v>
      </c>
      <c r="BJ100" s="188">
        <f t="shared" si="586"/>
        <v>0</v>
      </c>
      <c r="BK100" s="188">
        <f t="shared" si="587"/>
        <v>0</v>
      </c>
      <c r="BL100" s="195"/>
      <c r="BM100" s="195"/>
      <c r="BN100" s="215"/>
      <c r="BO100" s="218"/>
      <c r="BP100" s="188"/>
      <c r="BQ100" s="188"/>
      <c r="BR100" s="188"/>
      <c r="BS100" s="188"/>
      <c r="BT100" s="188"/>
      <c r="BU100" s="188"/>
      <c r="BV100" s="188"/>
      <c r="BW100" s="188"/>
      <c r="BX100" s="188"/>
      <c r="BY100" s="188"/>
      <c r="BZ100" s="188"/>
      <c r="CA100" s="195"/>
      <c r="CB100" s="188">
        <v>0</v>
      </c>
      <c r="CC100" s="195"/>
      <c r="CD100" s="189">
        <f t="shared" si="588"/>
        <v>0</v>
      </c>
      <c r="CE100" s="189">
        <f t="shared" si="589"/>
        <v>0</v>
      </c>
      <c r="CF100" s="189">
        <f t="shared" si="590"/>
        <v>0</v>
      </c>
      <c r="CG100" s="189">
        <f t="shared" si="591"/>
        <v>0</v>
      </c>
      <c r="CH100" s="189">
        <f t="shared" si="592"/>
        <v>0</v>
      </c>
      <c r="CI100" s="189">
        <f t="shared" si="593"/>
        <v>0</v>
      </c>
      <c r="CJ100" s="189">
        <f t="shared" si="594"/>
        <v>0</v>
      </c>
      <c r="CK100" s="189">
        <f t="shared" si="595"/>
        <v>0</v>
      </c>
      <c r="CL100" s="189">
        <f t="shared" si="596"/>
        <v>0</v>
      </c>
      <c r="CM100" s="189">
        <f t="shared" si="597"/>
        <v>0</v>
      </c>
      <c r="CN100" s="189">
        <f t="shared" si="598"/>
        <v>0</v>
      </c>
      <c r="CO100" s="189">
        <f t="shared" si="599"/>
        <v>0</v>
      </c>
      <c r="CP100" s="189">
        <f t="shared" si="600"/>
        <v>0</v>
      </c>
      <c r="CQ100" s="195"/>
      <c r="CR100" s="195"/>
      <c r="CS100" s="195"/>
      <c r="CT100" s="195"/>
      <c r="CU100" s="195"/>
      <c r="CV100" s="195"/>
      <c r="CW100" s="195"/>
      <c r="CX100" s="195"/>
      <c r="CY100" s="195"/>
      <c r="CZ100" s="195"/>
      <c r="DA100" s="195"/>
      <c r="DB100" s="195"/>
      <c r="DC100" s="195"/>
      <c r="DD100" s="195"/>
      <c r="DE100" s="195"/>
      <c r="DF100" s="195"/>
      <c r="DG100" s="195"/>
      <c r="DH100" s="195"/>
      <c r="DI100" s="195"/>
      <c r="DJ100" s="195"/>
      <c r="DK100" s="195"/>
      <c r="DL100" s="195"/>
      <c r="DM100" s="195"/>
      <c r="DN100" s="195"/>
      <c r="DO100" s="195"/>
      <c r="DP100" s="195"/>
      <c r="DQ100" s="195"/>
      <c r="DR100" s="195"/>
      <c r="DS100" s="195"/>
      <c r="DT100" s="195"/>
      <c r="DU100" s="195"/>
      <c r="DV100" s="188">
        <f t="shared" si="601"/>
        <v>0</v>
      </c>
      <c r="DW100" s="188">
        <f t="shared" si="602"/>
        <v>0</v>
      </c>
      <c r="DX100" s="188">
        <f t="shared" si="603"/>
        <v>0</v>
      </c>
      <c r="DY100" s="188">
        <f t="shared" si="604"/>
        <v>0</v>
      </c>
      <c r="DZ100" s="188">
        <f t="shared" si="605"/>
        <v>0</v>
      </c>
      <c r="EA100" s="188">
        <f t="shared" si="606"/>
        <v>0</v>
      </c>
      <c r="EB100" s="188">
        <f t="shared" si="607"/>
        <v>0</v>
      </c>
      <c r="EC100" s="195"/>
      <c r="ED100" s="195"/>
      <c r="EE100" s="195"/>
      <c r="EF100" s="195"/>
      <c r="EG100" s="252">
        <f t="shared" si="608"/>
        <v>0</v>
      </c>
      <c r="EH100" s="252">
        <f t="shared" si="609"/>
        <v>0</v>
      </c>
      <c r="EI100" s="189"/>
      <c r="EJ100" s="189"/>
      <c r="EK100" s="189"/>
      <c r="EL100" s="189"/>
      <c r="EM100" s="189"/>
      <c r="EN100" s="189"/>
      <c r="EO100" s="189"/>
      <c r="EP100" s="189"/>
      <c r="EQ100" s="189"/>
      <c r="ER100" s="189"/>
      <c r="ES100" s="189"/>
      <c r="ET100" s="189"/>
      <c r="EU100" s="189"/>
      <c r="EV100" s="189"/>
      <c r="EW100" s="189"/>
      <c r="EX100" s="189"/>
      <c r="EY100" s="189"/>
      <c r="EZ100" s="189"/>
      <c r="FA100" s="189"/>
      <c r="FB100" s="189"/>
      <c r="FC100" s="189"/>
      <c r="FD100" s="189"/>
      <c r="FE100" s="189"/>
      <c r="FF100" s="189"/>
      <c r="FG100" s="195"/>
      <c r="FH100" s="189"/>
      <c r="FI100" s="189"/>
      <c r="FJ100" s="189"/>
      <c r="FK100" s="189"/>
      <c r="FL100" s="189"/>
      <c r="FM100" s="189"/>
      <c r="FN100" s="189"/>
      <c r="FO100" s="189"/>
      <c r="FP100" s="189"/>
      <c r="FQ100" s="189"/>
      <c r="FR100" s="189"/>
      <c r="FS100" s="189"/>
      <c r="FT100" s="189"/>
      <c r="FU100" s="189"/>
      <c r="FV100" s="189"/>
      <c r="FW100" s="195"/>
      <c r="FX100" s="253"/>
      <c r="FY100" s="189">
        <f t="shared" si="610"/>
        <v>0</v>
      </c>
      <c r="FZ100" s="189">
        <f t="shared" si="611"/>
        <v>0</v>
      </c>
      <c r="GA100" s="189">
        <f t="shared" si="612"/>
        <v>0</v>
      </c>
      <c r="GB100" s="189">
        <f t="shared" si="613"/>
        <v>0</v>
      </c>
      <c r="GC100" s="189">
        <f t="shared" si="614"/>
        <v>0</v>
      </c>
      <c r="GD100" s="189">
        <f t="shared" si="615"/>
        <v>0</v>
      </c>
      <c r="GE100" s="189">
        <f t="shared" si="616"/>
        <v>0</v>
      </c>
      <c r="GF100" s="235"/>
      <c r="GG100" s="256">
        <v>0</v>
      </c>
      <c r="GH100" s="257">
        <v>0</v>
      </c>
      <c r="GI100" s="235"/>
      <c r="GJ100" s="258">
        <f t="shared" si="617"/>
        <v>0</v>
      </c>
      <c r="GK100" s="259">
        <f t="shared" si="618"/>
        <v>0</v>
      </c>
      <c r="GL100" s="195"/>
      <c r="GM100" s="195"/>
      <c r="GN100" s="195"/>
      <c r="GO100" s="188">
        <f t="shared" si="619"/>
        <v>0</v>
      </c>
      <c r="GP100" s="188">
        <f t="shared" si="620"/>
        <v>0</v>
      </c>
      <c r="GQ100" s="188">
        <f t="shared" si="621"/>
        <v>0</v>
      </c>
      <c r="GR100" s="188">
        <f t="shared" si="622"/>
        <v>0</v>
      </c>
      <c r="GS100" s="188">
        <f t="shared" si="623"/>
        <v>0</v>
      </c>
      <c r="GT100" s="188">
        <f t="shared" si="624"/>
        <v>1</v>
      </c>
      <c r="GU100" s="228">
        <f t="shared" si="457"/>
        <v>43243</v>
      </c>
      <c r="GV100" s="188" t="str">
        <f t="shared" si="625"/>
        <v>SELESAI</v>
      </c>
      <c r="GW100" s="188">
        <f t="shared" si="626"/>
        <v>0</v>
      </c>
      <c r="GX100" s="188" t="str">
        <f t="shared" si="627"/>
        <v>SELESAI</v>
      </c>
      <c r="GY100" s="188">
        <f t="shared" si="628"/>
        <v>0</v>
      </c>
      <c r="GZ100" s="228" t="str">
        <f t="shared" si="629"/>
        <v>SELESAI</v>
      </c>
      <c r="HA100" s="204"/>
      <c r="HB100" s="204"/>
      <c r="HC100" s="188">
        <f t="shared" si="630"/>
        <v>0</v>
      </c>
      <c r="HD100" s="188">
        <f t="shared" si="631"/>
        <v>0</v>
      </c>
      <c r="HE100" s="188">
        <f t="shared" si="632"/>
        <v>0</v>
      </c>
      <c r="HF100" s="188">
        <f t="shared" si="633"/>
        <v>0</v>
      </c>
      <c r="HG100" s="188">
        <f t="shared" si="634"/>
        <v>0</v>
      </c>
      <c r="HH100" s="228" t="str">
        <f t="shared" si="635"/>
        <v>TIDAK KONSINYASI</v>
      </c>
      <c r="HI100" s="228" t="str">
        <f t="shared" si="636"/>
        <v>SELESAI</v>
      </c>
      <c r="HJ100" s="195"/>
      <c r="HK100" s="201">
        <f t="shared" si="637"/>
        <v>0</v>
      </c>
      <c r="HL100" s="204"/>
      <c r="HM100" s="204"/>
      <c r="HN100" s="204"/>
      <c r="HO100" s="204"/>
      <c r="HP100" s="203">
        <f t="shared" si="638"/>
        <v>0</v>
      </c>
      <c r="HQ100" s="202">
        <f t="shared" si="639"/>
        <v>0</v>
      </c>
      <c r="HR100" s="202">
        <f t="shared" si="640"/>
        <v>0</v>
      </c>
      <c r="HS100" s="203">
        <f t="shared" si="641"/>
        <v>0</v>
      </c>
      <c r="HT100" s="202">
        <f t="shared" si="642"/>
        <v>0</v>
      </c>
      <c r="HU100" s="202">
        <f t="shared" si="643"/>
        <v>0</v>
      </c>
      <c r="HV100" s="203">
        <f t="shared" si="644"/>
        <v>0</v>
      </c>
      <c r="HW100" s="202">
        <f t="shared" si="645"/>
        <v>0</v>
      </c>
      <c r="HX100" s="202">
        <f t="shared" si="646"/>
        <v>0</v>
      </c>
      <c r="HY100" s="203">
        <f t="shared" si="647"/>
        <v>0</v>
      </c>
      <c r="HZ100" s="202">
        <f t="shared" si="648"/>
        <v>0</v>
      </c>
      <c r="IA100" s="202">
        <f t="shared" si="649"/>
        <v>0</v>
      </c>
      <c r="IB100" s="232">
        <f t="shared" si="650"/>
        <v>0</v>
      </c>
      <c r="IC100" s="226">
        <f t="shared" si="651"/>
        <v>0</v>
      </c>
      <c r="ID100" s="226">
        <f t="shared" si="652"/>
        <v>0</v>
      </c>
      <c r="IE100" s="232">
        <f t="shared" si="653"/>
        <v>0</v>
      </c>
      <c r="IF100" s="226">
        <f t="shared" si="654"/>
        <v>0</v>
      </c>
      <c r="IG100" s="226">
        <f t="shared" si="655"/>
        <v>0</v>
      </c>
      <c r="IH100" s="232">
        <f t="shared" si="656"/>
        <v>0</v>
      </c>
      <c r="II100" s="226">
        <f t="shared" si="657"/>
        <v>0</v>
      </c>
      <c r="IJ100" s="226">
        <f t="shared" si="658"/>
        <v>0</v>
      </c>
      <c r="IK100" s="232">
        <f t="shared" si="659"/>
        <v>0</v>
      </c>
      <c r="IL100" s="226">
        <f t="shared" si="660"/>
        <v>0</v>
      </c>
      <c r="IM100" s="226">
        <f t="shared" si="661"/>
        <v>0</v>
      </c>
      <c r="IN100" s="204"/>
      <c r="IO100" s="203">
        <f t="shared" si="662"/>
        <v>0</v>
      </c>
      <c r="IP100" s="202">
        <f t="shared" si="663"/>
        <v>0</v>
      </c>
      <c r="IQ100" s="202">
        <f t="shared" si="664"/>
        <v>0</v>
      </c>
      <c r="IR100" s="204"/>
      <c r="IS100" s="203"/>
      <c r="IT100" s="202">
        <f t="shared" si="665"/>
        <v>1</v>
      </c>
      <c r="IU100" s="226">
        <f t="shared" si="666"/>
        <v>75</v>
      </c>
      <c r="IV100" s="204"/>
      <c r="IW100" s="203"/>
      <c r="IX100" s="202">
        <f t="shared" si="667"/>
        <v>0</v>
      </c>
      <c r="IY100" s="202">
        <f t="shared" si="668"/>
        <v>0</v>
      </c>
      <c r="IZ100" s="204"/>
      <c r="JA100" s="203"/>
      <c r="JB100" s="202">
        <f t="shared" si="669"/>
        <v>0</v>
      </c>
      <c r="JC100" s="226">
        <f t="shared" si="670"/>
        <v>0</v>
      </c>
      <c r="JD100" s="204"/>
      <c r="JE100" s="203"/>
      <c r="JF100" s="202">
        <f t="shared" si="671"/>
        <v>1</v>
      </c>
      <c r="JG100" s="202">
        <f t="shared" si="672"/>
        <v>75</v>
      </c>
      <c r="JH100" s="204"/>
      <c r="JI100" s="203"/>
      <c r="JJ100" s="202">
        <f t="shared" si="673"/>
        <v>0</v>
      </c>
      <c r="JK100" s="202">
        <f t="shared" si="674"/>
        <v>0</v>
      </c>
      <c r="JL100" s="195"/>
      <c r="JM100" s="203">
        <f t="shared" si="675"/>
        <v>0</v>
      </c>
      <c r="JN100" s="195"/>
      <c r="JO100" s="196">
        <f t="shared" si="676"/>
        <v>0</v>
      </c>
      <c r="JP100" s="206">
        <f t="shared" si="677"/>
        <v>0</v>
      </c>
      <c r="JQ100" s="206">
        <f t="shared" si="678"/>
        <v>0</v>
      </c>
      <c r="JR100" s="206">
        <f t="shared" si="679"/>
        <v>0</v>
      </c>
      <c r="JS100" s="206">
        <f t="shared" si="680"/>
        <v>0</v>
      </c>
      <c r="JT100" s="206">
        <f t="shared" si="681"/>
        <v>0</v>
      </c>
      <c r="JU100" s="206">
        <f t="shared" si="682"/>
        <v>0</v>
      </c>
      <c r="JV100" s="206">
        <f t="shared" si="683"/>
        <v>0</v>
      </c>
      <c r="JW100" s="206">
        <f t="shared" si="684"/>
        <v>0</v>
      </c>
      <c r="JX100" s="206">
        <f t="shared" si="685"/>
        <v>0</v>
      </c>
      <c r="JY100" s="206">
        <f t="shared" si="686"/>
        <v>0</v>
      </c>
      <c r="JZ100" s="206">
        <f t="shared" si="687"/>
        <v>0</v>
      </c>
      <c r="KA100" s="206">
        <f t="shared" si="688"/>
        <v>0</v>
      </c>
      <c r="KB100" s="206">
        <f t="shared" si="689"/>
        <v>0</v>
      </c>
      <c r="KC100" s="195"/>
      <c r="KD100" s="206">
        <f t="shared" si="690"/>
        <v>0</v>
      </c>
      <c r="KE100" s="206">
        <f t="shared" si="691"/>
        <v>0</v>
      </c>
      <c r="KF100" s="206">
        <f t="shared" si="692"/>
        <v>0</v>
      </c>
      <c r="KG100" s="206">
        <f t="shared" si="693"/>
        <v>0</v>
      </c>
      <c r="KH100" s="206">
        <f t="shared" si="694"/>
        <v>0</v>
      </c>
      <c r="KI100" s="206">
        <f t="shared" si="695"/>
        <v>0</v>
      </c>
      <c r="KJ100" s="206">
        <f t="shared" si="696"/>
        <v>0</v>
      </c>
      <c r="KK100" s="206">
        <f t="shared" si="697"/>
        <v>0</v>
      </c>
      <c r="KL100" s="206">
        <f t="shared" si="698"/>
        <v>0</v>
      </c>
      <c r="KM100" s="206">
        <f t="shared" si="699"/>
        <v>0</v>
      </c>
      <c r="KN100" s="221">
        <f t="shared" si="700"/>
        <v>0</v>
      </c>
      <c r="KO100" s="221">
        <f t="shared" si="701"/>
        <v>0</v>
      </c>
      <c r="KP100" s="221">
        <f t="shared" si="702"/>
        <v>0</v>
      </c>
      <c r="KQ100" s="221">
        <f t="shared" si="703"/>
        <v>0</v>
      </c>
      <c r="KR100" s="221">
        <f t="shared" si="704"/>
        <v>0</v>
      </c>
      <c r="KS100" s="195"/>
      <c r="KT100" s="195">
        <f t="shared" si="705"/>
        <v>0</v>
      </c>
      <c r="KU100" s="221"/>
      <c r="KV100" s="221"/>
      <c r="KW100" s="221"/>
      <c r="KX100" s="221"/>
      <c r="KY100" s="221"/>
      <c r="KZ100" s="221"/>
      <c r="LA100" s="221"/>
      <c r="LB100" s="221"/>
      <c r="LC100" s="221"/>
      <c r="LD100" s="221"/>
      <c r="LE100" s="221"/>
      <c r="LF100" s="221"/>
      <c r="LG100" s="221"/>
      <c r="LH100" s="221"/>
      <c r="LI100" s="221"/>
      <c r="LJ100" s="221"/>
      <c r="LK100" s="221"/>
      <c r="LL100" s="221"/>
      <c r="LM100" s="221"/>
      <c r="LN100" s="221"/>
      <c r="LO100" s="221"/>
      <c r="LP100" s="221"/>
      <c r="LQ100" s="221"/>
      <c r="LR100" s="221"/>
      <c r="LS100" s="221"/>
      <c r="LT100" s="221"/>
      <c r="LU100" s="221"/>
      <c r="LV100" s="221"/>
      <c r="LW100" s="221"/>
      <c r="LX100" s="221"/>
      <c r="LY100" s="221"/>
      <c r="LZ100" s="221"/>
      <c r="MA100" s="221"/>
      <c r="MB100" s="221"/>
      <c r="MC100" s="221"/>
      <c r="MD100" s="221"/>
      <c r="ME100" s="221"/>
      <c r="MF100" s="221"/>
      <c r="MG100" s="221"/>
      <c r="MH100" s="221"/>
      <c r="MI100" s="221"/>
      <c r="MJ100" s="221"/>
      <c r="MK100" s="221"/>
      <c r="ML100" s="221"/>
      <c r="MM100" s="221"/>
      <c r="MN100" s="221"/>
      <c r="MO100" s="221"/>
      <c r="MP100" s="221"/>
      <c r="MQ100" s="221"/>
      <c r="MR100" s="221"/>
      <c r="MS100" s="221"/>
      <c r="MT100" s="221"/>
      <c r="MU100" s="221"/>
      <c r="MV100" s="221"/>
      <c r="MW100" s="221"/>
      <c r="MX100" s="221"/>
      <c r="MY100" s="221"/>
      <c r="MZ100" s="221"/>
      <c r="NA100" s="221"/>
      <c r="NB100" s="221"/>
      <c r="NC100" s="221"/>
      <c r="ND100" s="221"/>
      <c r="NE100" s="221"/>
      <c r="NF100" s="221"/>
      <c r="NG100" s="221"/>
      <c r="NH100" s="221"/>
      <c r="NI100" s="221"/>
      <c r="NJ100" s="221"/>
      <c r="NK100" s="221"/>
      <c r="NL100" s="195"/>
      <c r="NM100" s="195">
        <f t="shared" si="706"/>
        <v>0</v>
      </c>
      <c r="NN100" s="195">
        <f t="shared" si="707"/>
        <v>0</v>
      </c>
      <c r="NO100" s="195">
        <f t="shared" si="708"/>
        <v>0</v>
      </c>
      <c r="NP100" s="195">
        <f t="shared" si="709"/>
        <v>0</v>
      </c>
      <c r="NQ100" s="195">
        <f t="shared" si="710"/>
        <v>0</v>
      </c>
      <c r="NR100" s="195">
        <f t="shared" si="711"/>
        <v>0</v>
      </c>
      <c r="NS100" s="195">
        <f t="shared" si="712"/>
        <v>0</v>
      </c>
      <c r="NT100" s="195">
        <f t="shared" si="713"/>
        <v>0</v>
      </c>
      <c r="NU100" s="196">
        <f t="shared" si="714"/>
        <v>0</v>
      </c>
      <c r="NV100" s="195"/>
      <c r="NW100" s="195"/>
      <c r="NX100" s="195"/>
      <c r="NY100" s="196">
        <f t="shared" si="423"/>
        <v>1</v>
      </c>
      <c r="NZ100" s="222">
        <v>9100280</v>
      </c>
      <c r="OA100" s="195"/>
      <c r="OB100" s="195"/>
      <c r="OC100" s="195"/>
      <c r="OD100" s="195"/>
      <c r="OE100" s="207">
        <f t="shared" si="723"/>
        <v>0</v>
      </c>
      <c r="OF100" s="207">
        <f t="shared" si="724"/>
        <v>0</v>
      </c>
      <c r="OG100" s="207">
        <f t="shared" si="725"/>
        <v>0</v>
      </c>
      <c r="OH100" s="207">
        <f t="shared" si="726"/>
        <v>0</v>
      </c>
      <c r="OI100" s="207">
        <f t="shared" si="727"/>
        <v>0</v>
      </c>
      <c r="OJ100" s="199">
        <f t="shared" si="728"/>
        <v>0</v>
      </c>
      <c r="OK100" s="199">
        <f t="shared" si="729"/>
        <v>0</v>
      </c>
      <c r="OL100" s="199">
        <f t="shared" si="730"/>
        <v>0</v>
      </c>
      <c r="OM100" s="199">
        <f t="shared" si="731"/>
        <v>0</v>
      </c>
      <c r="ON100" s="195"/>
      <c r="OO100" s="207">
        <f t="shared" si="732"/>
        <v>0</v>
      </c>
      <c r="OP100" s="207">
        <f t="shared" si="733"/>
        <v>0</v>
      </c>
      <c r="OQ100" s="207">
        <f t="shared" si="734"/>
        <v>0</v>
      </c>
      <c r="OR100" s="207">
        <f t="shared" si="735"/>
        <v>0</v>
      </c>
      <c r="OS100" s="207">
        <f t="shared" si="736"/>
        <v>0</v>
      </c>
      <c r="OT100" s="199">
        <f t="shared" si="737"/>
        <v>0</v>
      </c>
      <c r="OU100" s="199">
        <f t="shared" si="738"/>
        <v>0</v>
      </c>
      <c r="OV100" s="199">
        <f t="shared" si="739"/>
        <v>0</v>
      </c>
      <c r="OW100" s="199">
        <f t="shared" si="740"/>
        <v>0</v>
      </c>
      <c r="OX100" s="195"/>
      <c r="OY100" s="195"/>
      <c r="OZ100" s="195"/>
      <c r="PA100" s="260"/>
      <c r="PB100" s="260"/>
      <c r="PC100" s="260"/>
      <c r="PD100" s="210">
        <f t="shared" si="430"/>
        <v>0</v>
      </c>
      <c r="PE100" s="210"/>
      <c r="PF100" s="210">
        <f t="shared" si="431"/>
        <v>0</v>
      </c>
      <c r="PG100" s="210">
        <f t="shared" si="302"/>
        <v>0</v>
      </c>
      <c r="PH100" s="210">
        <f t="shared" si="302"/>
        <v>0</v>
      </c>
      <c r="PI100" s="210">
        <f t="shared" si="302"/>
        <v>0</v>
      </c>
      <c r="PJ100" s="210">
        <f t="shared" si="300"/>
        <v>0</v>
      </c>
      <c r="PK100" s="210">
        <f t="shared" si="300"/>
        <v>0</v>
      </c>
      <c r="PL100" s="210">
        <f t="shared" si="300"/>
        <v>0</v>
      </c>
      <c r="PM100" s="195"/>
      <c r="PN100" s="195"/>
      <c r="PO100" s="212">
        <f t="shared" si="715"/>
        <v>0</v>
      </c>
      <c r="PP100" s="212">
        <f t="shared" si="716"/>
        <v>0</v>
      </c>
      <c r="PQ100" s="212">
        <f t="shared" si="717"/>
        <v>0</v>
      </c>
    </row>
    <row r="101" spans="1:433 16383:16384" ht="16" x14ac:dyDescent="0.2">
      <c r="A101" s="213">
        <f t="shared" si="718"/>
        <v>92</v>
      </c>
      <c r="B101" s="186" t="s">
        <v>635</v>
      </c>
      <c r="C101" s="255">
        <v>93</v>
      </c>
      <c r="D101" s="188">
        <v>1</v>
      </c>
      <c r="E101" s="165">
        <v>90</v>
      </c>
      <c r="F101" s="188">
        <v>1</v>
      </c>
      <c r="G101" s="188">
        <f t="shared" si="719"/>
        <v>90</v>
      </c>
      <c r="H101" s="214">
        <f t="shared" si="566"/>
        <v>1</v>
      </c>
      <c r="I101" s="214">
        <f t="shared" si="720"/>
        <v>1</v>
      </c>
      <c r="J101" s="188">
        <v>1</v>
      </c>
      <c r="K101" s="188">
        <f t="shared" si="567"/>
        <v>90</v>
      </c>
      <c r="L101" s="214">
        <f t="shared" si="568"/>
        <v>1</v>
      </c>
      <c r="M101" s="214">
        <f t="shared" si="721"/>
        <v>1</v>
      </c>
      <c r="N101" s="188">
        <v>1</v>
      </c>
      <c r="O101" s="188">
        <f t="shared" si="722"/>
        <v>90</v>
      </c>
      <c r="P101" s="214">
        <f t="shared" si="569"/>
        <v>1</v>
      </c>
      <c r="Q101" s="214">
        <f t="shared" si="570"/>
        <v>1</v>
      </c>
      <c r="R101" s="188">
        <v>0</v>
      </c>
      <c r="S101" s="188">
        <f t="shared" si="571"/>
        <v>0</v>
      </c>
      <c r="T101" s="214">
        <f t="shared" si="572"/>
        <v>0</v>
      </c>
      <c r="U101" s="214">
        <f t="shared" si="573"/>
        <v>0</v>
      </c>
      <c r="V101" s="188">
        <v>0</v>
      </c>
      <c r="W101" s="188">
        <f t="shared" si="574"/>
        <v>0</v>
      </c>
      <c r="X101" s="214">
        <f t="shared" si="575"/>
        <v>0</v>
      </c>
      <c r="Y101" s="214">
        <v>0</v>
      </c>
      <c r="Z101" s="224"/>
      <c r="AA101" s="188"/>
      <c r="AB101" s="188">
        <v>0</v>
      </c>
      <c r="AC101" s="214">
        <f t="shared" si="576"/>
        <v>0</v>
      </c>
      <c r="AD101" s="214">
        <v>0</v>
      </c>
      <c r="AE101" s="188"/>
      <c r="AF101" s="188">
        <f t="shared" si="577"/>
        <v>0</v>
      </c>
      <c r="AG101" s="187"/>
      <c r="AH101" s="187"/>
      <c r="AI101" s="188">
        <v>0</v>
      </c>
      <c r="AJ101" s="188">
        <f t="shared" si="578"/>
        <v>0</v>
      </c>
      <c r="AK101" s="188"/>
      <c r="AL101" s="188">
        <v>0</v>
      </c>
      <c r="AM101" s="188">
        <v>0</v>
      </c>
      <c r="AN101" s="217">
        <v>1</v>
      </c>
      <c r="AO101" s="196">
        <f t="shared" si="579"/>
        <v>0</v>
      </c>
      <c r="AP101" s="195"/>
      <c r="AQ101" s="195"/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88">
        <f t="shared" si="580"/>
        <v>90</v>
      </c>
      <c r="BC101" s="195"/>
      <c r="BD101" s="196"/>
      <c r="BE101" s="226">
        <f t="shared" si="581"/>
        <v>0</v>
      </c>
      <c r="BF101" s="188">
        <f t="shared" si="582"/>
        <v>0</v>
      </c>
      <c r="BG101" s="188">
        <f t="shared" si="583"/>
        <v>0</v>
      </c>
      <c r="BH101" s="188">
        <f t="shared" si="584"/>
        <v>0</v>
      </c>
      <c r="BI101" s="188">
        <f t="shared" si="585"/>
        <v>0</v>
      </c>
      <c r="BJ101" s="188">
        <f t="shared" si="586"/>
        <v>0</v>
      </c>
      <c r="BK101" s="188">
        <f t="shared" si="587"/>
        <v>0</v>
      </c>
      <c r="BL101" s="195"/>
      <c r="BM101" s="195"/>
      <c r="BN101" s="215"/>
      <c r="BO101" s="218"/>
      <c r="BP101" s="188"/>
      <c r="BQ101" s="188"/>
      <c r="BR101" s="188"/>
      <c r="BS101" s="188"/>
      <c r="BT101" s="188"/>
      <c r="BU101" s="188"/>
      <c r="BV101" s="188"/>
      <c r="BW101" s="188"/>
      <c r="BX101" s="188"/>
      <c r="BY101" s="188"/>
      <c r="BZ101" s="188"/>
      <c r="CA101" s="195"/>
      <c r="CB101" s="188"/>
      <c r="CC101" s="195"/>
      <c r="CD101" s="189">
        <f t="shared" si="588"/>
        <v>0</v>
      </c>
      <c r="CE101" s="189">
        <f t="shared" si="589"/>
        <v>0</v>
      </c>
      <c r="CF101" s="189">
        <f t="shared" si="590"/>
        <v>0</v>
      </c>
      <c r="CG101" s="189">
        <f t="shared" si="591"/>
        <v>0</v>
      </c>
      <c r="CH101" s="189">
        <f t="shared" si="592"/>
        <v>0</v>
      </c>
      <c r="CI101" s="189">
        <f t="shared" si="593"/>
        <v>0</v>
      </c>
      <c r="CJ101" s="189">
        <f t="shared" si="594"/>
        <v>0</v>
      </c>
      <c r="CK101" s="189">
        <f t="shared" si="595"/>
        <v>0</v>
      </c>
      <c r="CL101" s="189">
        <f t="shared" si="596"/>
        <v>0</v>
      </c>
      <c r="CM101" s="189">
        <f t="shared" si="597"/>
        <v>0</v>
      </c>
      <c r="CN101" s="189">
        <f t="shared" si="598"/>
        <v>0</v>
      </c>
      <c r="CO101" s="189">
        <f t="shared" si="599"/>
        <v>0</v>
      </c>
      <c r="CP101" s="189">
        <f t="shared" si="600"/>
        <v>0</v>
      </c>
      <c r="CQ101" s="195"/>
      <c r="CR101" s="195"/>
      <c r="CS101" s="195"/>
      <c r="CT101" s="195"/>
      <c r="CU101" s="195"/>
      <c r="CV101" s="195"/>
      <c r="CW101" s="195"/>
      <c r="CX101" s="195"/>
      <c r="CY101" s="195"/>
      <c r="CZ101" s="195"/>
      <c r="DA101" s="195"/>
      <c r="DB101" s="195"/>
      <c r="DC101" s="195"/>
      <c r="DD101" s="195"/>
      <c r="DE101" s="195"/>
      <c r="DF101" s="195"/>
      <c r="DG101" s="195"/>
      <c r="DH101" s="195"/>
      <c r="DI101" s="195"/>
      <c r="DJ101" s="195"/>
      <c r="DK101" s="195"/>
      <c r="DL101" s="195"/>
      <c r="DM101" s="195"/>
      <c r="DN101" s="195"/>
      <c r="DO101" s="195"/>
      <c r="DP101" s="195"/>
      <c r="DQ101" s="195"/>
      <c r="DR101" s="195"/>
      <c r="DS101" s="195"/>
      <c r="DT101" s="195"/>
      <c r="DU101" s="195"/>
      <c r="DV101" s="188">
        <f t="shared" si="601"/>
        <v>0</v>
      </c>
      <c r="DW101" s="188">
        <f t="shared" si="602"/>
        <v>0</v>
      </c>
      <c r="DX101" s="188">
        <f t="shared" si="603"/>
        <v>0</v>
      </c>
      <c r="DY101" s="188">
        <f t="shared" si="604"/>
        <v>0</v>
      </c>
      <c r="DZ101" s="188">
        <f t="shared" si="605"/>
        <v>0</v>
      </c>
      <c r="EA101" s="188">
        <f t="shared" si="606"/>
        <v>0</v>
      </c>
      <c r="EB101" s="188">
        <f t="shared" si="607"/>
        <v>0</v>
      </c>
      <c r="EC101" s="195"/>
      <c r="ED101" s="195"/>
      <c r="EE101" s="195"/>
      <c r="EF101" s="195"/>
      <c r="EG101" s="252">
        <f t="shared" si="608"/>
        <v>0</v>
      </c>
      <c r="EH101" s="252">
        <f t="shared" si="609"/>
        <v>0</v>
      </c>
      <c r="EI101" s="189"/>
      <c r="EJ101" s="189"/>
      <c r="EK101" s="189"/>
      <c r="EL101" s="189"/>
      <c r="EM101" s="189"/>
      <c r="EN101" s="189"/>
      <c r="EO101" s="189"/>
      <c r="EP101" s="189"/>
      <c r="EQ101" s="189"/>
      <c r="ER101" s="189"/>
      <c r="ES101" s="189"/>
      <c r="ET101" s="189"/>
      <c r="EU101" s="189"/>
      <c r="EV101" s="189"/>
      <c r="EW101" s="189"/>
      <c r="EX101" s="189"/>
      <c r="EY101" s="189"/>
      <c r="EZ101" s="189"/>
      <c r="FA101" s="189"/>
      <c r="FB101" s="189"/>
      <c r="FC101" s="189"/>
      <c r="FD101" s="189"/>
      <c r="FE101" s="189"/>
      <c r="FF101" s="189"/>
      <c r="FG101" s="195"/>
      <c r="FH101" s="189"/>
      <c r="FI101" s="189"/>
      <c r="FJ101" s="189"/>
      <c r="FK101" s="189"/>
      <c r="FL101" s="189"/>
      <c r="FM101" s="189"/>
      <c r="FN101" s="189"/>
      <c r="FO101" s="189"/>
      <c r="FP101" s="189"/>
      <c r="FQ101" s="189"/>
      <c r="FR101" s="189"/>
      <c r="FS101" s="189"/>
      <c r="FT101" s="189"/>
      <c r="FU101" s="189"/>
      <c r="FV101" s="189"/>
      <c r="FW101" s="195"/>
      <c r="FX101" s="253"/>
      <c r="FY101" s="189">
        <f t="shared" si="610"/>
        <v>0</v>
      </c>
      <c r="FZ101" s="189">
        <f t="shared" si="611"/>
        <v>0</v>
      </c>
      <c r="GA101" s="189">
        <f t="shared" si="612"/>
        <v>0</v>
      </c>
      <c r="GB101" s="189">
        <f t="shared" si="613"/>
        <v>0</v>
      </c>
      <c r="GC101" s="189">
        <f t="shared" si="614"/>
        <v>0</v>
      </c>
      <c r="GD101" s="189">
        <f t="shared" si="615"/>
        <v>0</v>
      </c>
      <c r="GE101" s="189">
        <f t="shared" si="616"/>
        <v>0</v>
      </c>
      <c r="GF101" s="235"/>
      <c r="GG101" s="256">
        <v>0</v>
      </c>
      <c r="GH101" s="257">
        <v>0</v>
      </c>
      <c r="GI101" s="235"/>
      <c r="GJ101" s="258">
        <f t="shared" si="617"/>
        <v>0</v>
      </c>
      <c r="GK101" s="259">
        <f t="shared" si="618"/>
        <v>0</v>
      </c>
      <c r="GL101" s="195"/>
      <c r="GM101" s="195"/>
      <c r="GN101" s="195"/>
      <c r="GO101" s="188">
        <f t="shared" si="619"/>
        <v>0</v>
      </c>
      <c r="GP101" s="188">
        <f t="shared" si="620"/>
        <v>0</v>
      </c>
      <c r="GQ101" s="188">
        <f t="shared" si="621"/>
        <v>0</v>
      </c>
      <c r="GR101" s="188">
        <f t="shared" si="622"/>
        <v>1</v>
      </c>
      <c r="GS101" s="188">
        <f t="shared" si="623"/>
        <v>1</v>
      </c>
      <c r="GT101" s="188">
        <f t="shared" si="624"/>
        <v>0</v>
      </c>
      <c r="GU101" s="228">
        <f t="shared" si="457"/>
        <v>43243</v>
      </c>
      <c r="GV101" s="188" t="str">
        <f t="shared" si="625"/>
        <v>Musyawarah</v>
      </c>
      <c r="GW101" s="188">
        <f t="shared" si="626"/>
        <v>1</v>
      </c>
      <c r="GX101" s="188" t="str">
        <f t="shared" si="627"/>
        <v>Musyawarah</v>
      </c>
      <c r="GY101" s="188">
        <f t="shared" si="628"/>
        <v>24</v>
      </c>
      <c r="GZ101" s="228">
        <f t="shared" si="629"/>
        <v>43267</v>
      </c>
      <c r="HA101" s="204"/>
      <c r="HB101" s="204"/>
      <c r="HC101" s="188">
        <f t="shared" si="630"/>
        <v>0</v>
      </c>
      <c r="HD101" s="188">
        <f t="shared" si="631"/>
        <v>0</v>
      </c>
      <c r="HE101" s="188">
        <f t="shared" si="632"/>
        <v>0</v>
      </c>
      <c r="HF101" s="188">
        <f t="shared" si="633"/>
        <v>0</v>
      </c>
      <c r="HG101" s="188">
        <f t="shared" si="634"/>
        <v>0</v>
      </c>
      <c r="HH101" s="228" t="str">
        <f t="shared" si="635"/>
        <v>TIDAK KONSINYASI</v>
      </c>
      <c r="HI101" s="228">
        <f t="shared" si="636"/>
        <v>43312</v>
      </c>
      <c r="HJ101" s="195"/>
      <c r="HK101" s="201">
        <f t="shared" si="637"/>
        <v>43312</v>
      </c>
      <c r="HL101" s="204"/>
      <c r="HM101" s="204"/>
      <c r="HN101" s="204"/>
      <c r="HO101" s="204"/>
      <c r="HP101" s="203">
        <f t="shared" si="638"/>
        <v>0</v>
      </c>
      <c r="HQ101" s="202">
        <f t="shared" si="639"/>
        <v>0</v>
      </c>
      <c r="HR101" s="202">
        <f t="shared" si="640"/>
        <v>0</v>
      </c>
      <c r="HS101" s="203">
        <f t="shared" si="641"/>
        <v>0</v>
      </c>
      <c r="HT101" s="202">
        <f t="shared" si="642"/>
        <v>0</v>
      </c>
      <c r="HU101" s="202">
        <f t="shared" si="643"/>
        <v>0</v>
      </c>
      <c r="HV101" s="203">
        <f t="shared" si="644"/>
        <v>0</v>
      </c>
      <c r="HW101" s="202">
        <f t="shared" si="645"/>
        <v>0</v>
      </c>
      <c r="HX101" s="202">
        <f t="shared" si="646"/>
        <v>0</v>
      </c>
      <c r="HY101" s="203">
        <f t="shared" si="647"/>
        <v>0</v>
      </c>
      <c r="HZ101" s="202">
        <f t="shared" si="648"/>
        <v>0</v>
      </c>
      <c r="IA101" s="202">
        <f t="shared" si="649"/>
        <v>0</v>
      </c>
      <c r="IB101" s="232">
        <f t="shared" si="650"/>
        <v>0</v>
      </c>
      <c r="IC101" s="226">
        <f t="shared" si="651"/>
        <v>0</v>
      </c>
      <c r="ID101" s="226">
        <f t="shared" si="652"/>
        <v>0</v>
      </c>
      <c r="IE101" s="232">
        <f t="shared" si="653"/>
        <v>0</v>
      </c>
      <c r="IF101" s="226">
        <f t="shared" si="654"/>
        <v>0</v>
      </c>
      <c r="IG101" s="226">
        <f t="shared" si="655"/>
        <v>0</v>
      </c>
      <c r="IH101" s="232">
        <f t="shared" si="656"/>
        <v>0</v>
      </c>
      <c r="II101" s="226">
        <f t="shared" si="657"/>
        <v>0</v>
      </c>
      <c r="IJ101" s="226">
        <f t="shared" si="658"/>
        <v>0</v>
      </c>
      <c r="IK101" s="232">
        <f t="shared" si="659"/>
        <v>0</v>
      </c>
      <c r="IL101" s="226">
        <f t="shared" si="660"/>
        <v>0</v>
      </c>
      <c r="IM101" s="226">
        <f t="shared" si="661"/>
        <v>0</v>
      </c>
      <c r="IN101" s="204"/>
      <c r="IO101" s="203">
        <f t="shared" si="662"/>
        <v>0</v>
      </c>
      <c r="IP101" s="202">
        <f t="shared" si="663"/>
        <v>0</v>
      </c>
      <c r="IQ101" s="202">
        <f t="shared" si="664"/>
        <v>0</v>
      </c>
      <c r="IR101" s="204"/>
      <c r="IS101" s="203"/>
      <c r="IT101" s="202">
        <f t="shared" si="665"/>
        <v>0</v>
      </c>
      <c r="IU101" s="226">
        <f t="shared" si="666"/>
        <v>0</v>
      </c>
      <c r="IV101" s="204"/>
      <c r="IW101" s="203"/>
      <c r="IX101" s="202">
        <f t="shared" si="667"/>
        <v>0</v>
      </c>
      <c r="IY101" s="202">
        <f t="shared" si="668"/>
        <v>0</v>
      </c>
      <c r="IZ101" s="204"/>
      <c r="JA101" s="203"/>
      <c r="JB101" s="202">
        <f t="shared" si="669"/>
        <v>1</v>
      </c>
      <c r="JC101" s="226">
        <f t="shared" si="670"/>
        <v>90</v>
      </c>
      <c r="JD101" s="204"/>
      <c r="JE101" s="203"/>
      <c r="JF101" s="202">
        <f t="shared" si="671"/>
        <v>1</v>
      </c>
      <c r="JG101" s="202">
        <f t="shared" si="672"/>
        <v>90</v>
      </c>
      <c r="JH101" s="204"/>
      <c r="JI101" s="203"/>
      <c r="JJ101" s="202">
        <f t="shared" si="673"/>
        <v>0</v>
      </c>
      <c r="JK101" s="202">
        <f t="shared" si="674"/>
        <v>0</v>
      </c>
      <c r="JL101" s="195"/>
      <c r="JM101" s="203">
        <f t="shared" si="675"/>
        <v>0</v>
      </c>
      <c r="JN101" s="195"/>
      <c r="JO101" s="196">
        <f t="shared" si="676"/>
        <v>0</v>
      </c>
      <c r="JP101" s="206">
        <f t="shared" si="677"/>
        <v>0</v>
      </c>
      <c r="JQ101" s="206">
        <f t="shared" si="678"/>
        <v>0</v>
      </c>
      <c r="JR101" s="206">
        <f t="shared" si="679"/>
        <v>0</v>
      </c>
      <c r="JS101" s="206">
        <f t="shared" si="680"/>
        <v>0</v>
      </c>
      <c r="JT101" s="206">
        <f t="shared" si="681"/>
        <v>0</v>
      </c>
      <c r="JU101" s="206">
        <f t="shared" si="682"/>
        <v>0</v>
      </c>
      <c r="JV101" s="206">
        <f t="shared" si="683"/>
        <v>0</v>
      </c>
      <c r="JW101" s="206">
        <f t="shared" si="684"/>
        <v>0</v>
      </c>
      <c r="JX101" s="206">
        <f t="shared" si="685"/>
        <v>0</v>
      </c>
      <c r="JY101" s="206">
        <f t="shared" si="686"/>
        <v>0</v>
      </c>
      <c r="JZ101" s="206">
        <f t="shared" si="687"/>
        <v>0</v>
      </c>
      <c r="KA101" s="206">
        <f t="shared" si="688"/>
        <v>0</v>
      </c>
      <c r="KB101" s="206">
        <f t="shared" si="689"/>
        <v>0</v>
      </c>
      <c r="KC101" s="195"/>
      <c r="KD101" s="206">
        <f t="shared" si="690"/>
        <v>0</v>
      </c>
      <c r="KE101" s="206">
        <f t="shared" si="691"/>
        <v>0</v>
      </c>
      <c r="KF101" s="206">
        <f t="shared" si="692"/>
        <v>0</v>
      </c>
      <c r="KG101" s="206">
        <f t="shared" si="693"/>
        <v>0</v>
      </c>
      <c r="KH101" s="206">
        <f t="shared" si="694"/>
        <v>0</v>
      </c>
      <c r="KI101" s="206">
        <f t="shared" si="695"/>
        <v>0</v>
      </c>
      <c r="KJ101" s="206">
        <f t="shared" si="696"/>
        <v>0</v>
      </c>
      <c r="KK101" s="206">
        <f t="shared" si="697"/>
        <v>0</v>
      </c>
      <c r="KL101" s="206">
        <f t="shared" si="698"/>
        <v>0</v>
      </c>
      <c r="KM101" s="206">
        <f t="shared" si="699"/>
        <v>0</v>
      </c>
      <c r="KN101" s="221">
        <f t="shared" si="700"/>
        <v>0</v>
      </c>
      <c r="KO101" s="221">
        <f t="shared" si="701"/>
        <v>0</v>
      </c>
      <c r="KP101" s="221">
        <f t="shared" si="702"/>
        <v>0</v>
      </c>
      <c r="KQ101" s="221">
        <f t="shared" si="703"/>
        <v>0</v>
      </c>
      <c r="KR101" s="221">
        <f t="shared" si="704"/>
        <v>0</v>
      </c>
      <c r="KS101" s="195">
        <v>2</v>
      </c>
      <c r="KT101" s="195">
        <f t="shared" si="705"/>
        <v>1</v>
      </c>
      <c r="KU101" s="221"/>
      <c r="KV101" s="221"/>
      <c r="KW101" s="221"/>
      <c r="KX101" s="221"/>
      <c r="KY101" s="221"/>
      <c r="KZ101" s="221"/>
      <c r="LA101" s="221"/>
      <c r="LB101" s="221"/>
      <c r="LC101" s="221"/>
      <c r="LD101" s="221"/>
      <c r="LE101" s="221"/>
      <c r="LF101" s="221"/>
      <c r="LG101" s="221"/>
      <c r="LH101" s="221"/>
      <c r="LI101" s="221"/>
      <c r="LJ101" s="221"/>
      <c r="LK101" s="221"/>
      <c r="LL101" s="221"/>
      <c r="LM101" s="221">
        <v>1</v>
      </c>
      <c r="LN101" s="221">
        <v>1</v>
      </c>
      <c r="LO101" s="221"/>
      <c r="LP101" s="221"/>
      <c r="LQ101" s="221"/>
      <c r="LR101" s="221"/>
      <c r="LS101" s="221"/>
      <c r="LT101" s="221"/>
      <c r="LU101" s="221"/>
      <c r="LV101" s="221"/>
      <c r="LW101" s="221"/>
      <c r="LX101" s="221"/>
      <c r="LY101" s="221"/>
      <c r="LZ101" s="221"/>
      <c r="MA101" s="221"/>
      <c r="MB101" s="221"/>
      <c r="MC101" s="221"/>
      <c r="MD101" s="221"/>
      <c r="ME101" s="221"/>
      <c r="MF101" s="221"/>
      <c r="MG101" s="221"/>
      <c r="MH101" s="221"/>
      <c r="MI101" s="221"/>
      <c r="MJ101" s="221"/>
      <c r="MK101" s="221"/>
      <c r="ML101" s="221"/>
      <c r="MM101" s="221"/>
      <c r="MN101" s="221"/>
      <c r="MO101" s="221"/>
      <c r="MP101" s="221"/>
      <c r="MQ101" s="221"/>
      <c r="MR101" s="221"/>
      <c r="MS101" s="221"/>
      <c r="MT101" s="221"/>
      <c r="MU101" s="221"/>
      <c r="MV101" s="221"/>
      <c r="MW101" s="221"/>
      <c r="MX101" s="221"/>
      <c r="MY101" s="221"/>
      <c r="MZ101" s="221"/>
      <c r="NA101" s="221"/>
      <c r="NB101" s="221"/>
      <c r="NC101" s="221"/>
      <c r="ND101" s="221"/>
      <c r="NE101" s="221"/>
      <c r="NF101" s="221"/>
      <c r="NG101" s="221"/>
      <c r="NH101" s="221"/>
      <c r="NI101" s="221"/>
      <c r="NJ101" s="221"/>
      <c r="NK101" s="221"/>
      <c r="NL101" s="195"/>
      <c r="NM101" s="195">
        <f t="shared" si="706"/>
        <v>0</v>
      </c>
      <c r="NN101" s="195">
        <f t="shared" si="707"/>
        <v>1</v>
      </c>
      <c r="NO101" s="195">
        <f t="shared" si="708"/>
        <v>0</v>
      </c>
      <c r="NP101" s="195">
        <f t="shared" si="709"/>
        <v>0</v>
      </c>
      <c r="NQ101" s="195">
        <f t="shared" si="710"/>
        <v>0</v>
      </c>
      <c r="NR101" s="195">
        <f t="shared" si="711"/>
        <v>0</v>
      </c>
      <c r="NS101" s="195">
        <f t="shared" si="712"/>
        <v>0</v>
      </c>
      <c r="NT101" s="195">
        <f t="shared" si="713"/>
        <v>1</v>
      </c>
      <c r="NU101" s="196">
        <f t="shared" si="714"/>
        <v>0</v>
      </c>
      <c r="NV101" s="195"/>
      <c r="NW101" s="195"/>
      <c r="NX101" s="195"/>
      <c r="NY101" s="196">
        <f t="shared" si="423"/>
        <v>0</v>
      </c>
      <c r="NZ101" s="222"/>
      <c r="OA101" s="195"/>
      <c r="OB101" s="195"/>
      <c r="OC101" s="195"/>
      <c r="OD101" s="195"/>
      <c r="OE101" s="207">
        <f t="shared" si="723"/>
        <v>0</v>
      </c>
      <c r="OF101" s="207">
        <f t="shared" si="724"/>
        <v>0</v>
      </c>
      <c r="OG101" s="207">
        <f t="shared" si="725"/>
        <v>1</v>
      </c>
      <c r="OH101" s="207">
        <f t="shared" si="726"/>
        <v>0</v>
      </c>
      <c r="OI101" s="207">
        <f t="shared" si="727"/>
        <v>1</v>
      </c>
      <c r="OJ101" s="199">
        <f t="shared" si="728"/>
        <v>0</v>
      </c>
      <c r="OK101" s="199">
        <f t="shared" si="729"/>
        <v>0</v>
      </c>
      <c r="OL101" s="199">
        <f t="shared" si="730"/>
        <v>0</v>
      </c>
      <c r="OM101" s="199">
        <f t="shared" si="731"/>
        <v>0</v>
      </c>
      <c r="ON101" s="195"/>
      <c r="OO101" s="207">
        <f t="shared" si="732"/>
        <v>0</v>
      </c>
      <c r="OP101" s="207">
        <f t="shared" si="733"/>
        <v>0</v>
      </c>
      <c r="OQ101" s="207">
        <f t="shared" si="734"/>
        <v>1</v>
      </c>
      <c r="OR101" s="207">
        <f t="shared" si="735"/>
        <v>0</v>
      </c>
      <c r="OS101" s="207">
        <f t="shared" si="736"/>
        <v>1</v>
      </c>
      <c r="OT101" s="199">
        <f t="shared" si="737"/>
        <v>0</v>
      </c>
      <c r="OU101" s="199">
        <f t="shared" si="738"/>
        <v>0</v>
      </c>
      <c r="OV101" s="199">
        <f t="shared" si="739"/>
        <v>0</v>
      </c>
      <c r="OW101" s="199">
        <f t="shared" si="740"/>
        <v>0</v>
      </c>
      <c r="OX101" s="195"/>
      <c r="OY101" s="195"/>
      <c r="OZ101" s="195"/>
      <c r="PA101" s="260">
        <v>1</v>
      </c>
      <c r="PB101" s="260"/>
      <c r="PC101" s="260"/>
      <c r="PD101" s="210">
        <f t="shared" si="430"/>
        <v>0</v>
      </c>
      <c r="PE101" s="210"/>
      <c r="PF101" s="210">
        <f t="shared" si="431"/>
        <v>0</v>
      </c>
      <c r="PG101" s="210">
        <f t="shared" si="302"/>
        <v>90</v>
      </c>
      <c r="PH101" s="210">
        <f t="shared" si="302"/>
        <v>0</v>
      </c>
      <c r="PI101" s="210">
        <f t="shared" si="302"/>
        <v>0</v>
      </c>
      <c r="PJ101" s="210">
        <f t="shared" si="300"/>
        <v>0</v>
      </c>
      <c r="PK101" s="210">
        <f t="shared" si="300"/>
        <v>0</v>
      </c>
      <c r="PL101" s="210">
        <f t="shared" si="300"/>
        <v>0</v>
      </c>
      <c r="PM101" s="195"/>
      <c r="PN101" s="195"/>
      <c r="PO101" s="212">
        <f t="shared" si="715"/>
        <v>0</v>
      </c>
      <c r="PP101" s="212">
        <f t="shared" si="716"/>
        <v>0</v>
      </c>
      <c r="PQ101" s="212">
        <f t="shared" si="717"/>
        <v>0</v>
      </c>
    </row>
    <row r="102" spans="1:433 16383:16384" ht="16" x14ac:dyDescent="0.2">
      <c r="A102" s="213">
        <f t="shared" ref="A102" si="741">A98+1</f>
        <v>90</v>
      </c>
      <c r="B102" s="239" t="s">
        <v>636</v>
      </c>
      <c r="C102" s="261">
        <v>94</v>
      </c>
      <c r="D102" s="240">
        <v>1</v>
      </c>
      <c r="E102" s="240">
        <v>47</v>
      </c>
      <c r="F102" s="240">
        <v>1</v>
      </c>
      <c r="G102" s="240">
        <f t="shared" ref="G102:G107" si="742">E102</f>
        <v>47</v>
      </c>
      <c r="H102" s="241">
        <f t="shared" ref="H102:H106" si="743">F102/$D102</f>
        <v>1</v>
      </c>
      <c r="I102" s="241">
        <f t="shared" ref="I102:I106" si="744">G102/$E102</f>
        <v>1</v>
      </c>
      <c r="J102" s="240">
        <v>1</v>
      </c>
      <c r="K102" s="240">
        <f t="shared" ref="K102:K106" si="745">IF(J102=D102,E102,0)</f>
        <v>47</v>
      </c>
      <c r="L102" s="241">
        <f t="shared" ref="L102:L106" si="746">J102/$D102</f>
        <v>1</v>
      </c>
      <c r="M102" s="241">
        <f t="shared" ref="M102:M106" si="747">K102/$E102</f>
        <v>1</v>
      </c>
      <c r="N102" s="240">
        <v>1</v>
      </c>
      <c r="O102" s="240">
        <f t="shared" ref="O102:O106" si="748">IF(N102=D102,E102,0)</f>
        <v>47</v>
      </c>
      <c r="P102" s="241">
        <f t="shared" ref="P102:P106" si="749">N102/$D102</f>
        <v>1</v>
      </c>
      <c r="Q102" s="241">
        <f t="shared" ref="Q102:Q106" si="750">O102/$E102</f>
        <v>1</v>
      </c>
      <c r="R102" s="240">
        <v>0</v>
      </c>
      <c r="S102" s="240">
        <f t="shared" ref="S102:S106" si="751">IF(R102=D102,E102,0)</f>
        <v>0</v>
      </c>
      <c r="T102" s="241">
        <f t="shared" ref="T102:T106" si="752">R102/$D102</f>
        <v>0</v>
      </c>
      <c r="U102" s="241">
        <f t="shared" ref="U102:U106" si="753">S102/$E102</f>
        <v>0</v>
      </c>
      <c r="V102" s="240">
        <v>0</v>
      </c>
      <c r="W102" s="240">
        <f t="shared" ref="W102:W106" si="754">IF(V102=D102,E102,0)</f>
        <v>0</v>
      </c>
      <c r="X102" s="241">
        <f t="shared" ref="X102:X106" si="755">V102/$D102</f>
        <v>0</v>
      </c>
      <c r="Y102" s="241">
        <v>0</v>
      </c>
      <c r="Z102" s="247"/>
      <c r="AA102" s="240"/>
      <c r="AB102" s="240">
        <v>0</v>
      </c>
      <c r="AC102" s="241">
        <f t="shared" ref="AC102:AC106" si="756">AA102/$D102</f>
        <v>0</v>
      </c>
      <c r="AD102" s="241">
        <v>0</v>
      </c>
      <c r="AE102" s="240"/>
      <c r="AF102" s="240">
        <f t="shared" ref="AF102:AF106" si="757">R102-V102</f>
        <v>0</v>
      </c>
      <c r="AG102" s="262"/>
      <c r="AH102" s="262"/>
      <c r="AI102" s="240">
        <v>0</v>
      </c>
      <c r="AJ102" s="240">
        <f t="shared" ref="AJ102:AJ106" si="758">IF(AI102=D102,E102,0)</f>
        <v>0</v>
      </c>
      <c r="AK102" s="240"/>
      <c r="AL102" s="240">
        <v>0</v>
      </c>
      <c r="AM102" s="240">
        <v>0</v>
      </c>
      <c r="AN102" s="244">
        <v>1</v>
      </c>
      <c r="AO102" s="196">
        <f t="shared" ref="AO102:AO106" si="759">D102-R102-AN102-CB102</f>
        <v>0</v>
      </c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88">
        <f t="shared" ref="BB102:BB106" si="760">IF(AN102=1,E102,0)</f>
        <v>47</v>
      </c>
      <c r="BC102" s="195"/>
      <c r="BD102" s="196"/>
      <c r="BE102" s="226">
        <f t="shared" ref="BE102:BE106" si="761">IF(AF102=1,S102,0)</f>
        <v>0</v>
      </c>
      <c r="BF102" s="188">
        <f t="shared" ref="BF102:BF106" si="762">IF(AG102="A",S102,0)</f>
        <v>0</v>
      </c>
      <c r="BG102" s="188">
        <f t="shared" ref="BG102:BG106" si="763">IF(AG102="B",S102,0)</f>
        <v>0</v>
      </c>
      <c r="BH102" s="188">
        <f t="shared" ref="BH102:BH106" si="764">IF(AG102="C",S102,0)</f>
        <v>0</v>
      </c>
      <c r="BI102" s="188">
        <f t="shared" ref="BI102:BI106" si="765">IF(AG102="D",S102,0)</f>
        <v>0</v>
      </c>
      <c r="BJ102" s="188">
        <f t="shared" ref="BJ102:BJ106" si="766">IF(AG102="E",S102,0)</f>
        <v>0</v>
      </c>
      <c r="BK102" s="188">
        <f t="shared" ref="BK102:BK106" si="767">SUM(BF102:BJ102)</f>
        <v>0</v>
      </c>
      <c r="BL102" s="195"/>
      <c r="BM102" s="195"/>
      <c r="BN102" s="215"/>
      <c r="BO102" s="218"/>
      <c r="BP102" s="188"/>
      <c r="BQ102" s="188"/>
      <c r="BR102" s="188"/>
      <c r="BS102" s="188"/>
      <c r="BT102" s="188"/>
      <c r="BU102" s="188"/>
      <c r="BV102" s="188"/>
      <c r="BW102" s="188"/>
      <c r="BX102" s="188"/>
      <c r="BY102" s="188"/>
      <c r="BZ102" s="188"/>
      <c r="CA102" s="195"/>
      <c r="CB102" s="188"/>
      <c r="CC102" s="195"/>
      <c r="CD102" s="189">
        <f t="shared" ref="CD102:CD106" si="768">BN102</f>
        <v>0</v>
      </c>
      <c r="CE102" s="189">
        <f t="shared" ref="CE102:CE106" si="769">IF(BO102=1,$CD102,0)</f>
        <v>0</v>
      </c>
      <c r="CF102" s="189">
        <f t="shared" ref="CF102:CF106" si="770">IF(BP102=1,$CD102,0)</f>
        <v>0</v>
      </c>
      <c r="CG102" s="189">
        <f t="shared" ref="CG102:CG106" si="771">IF(BQ102=1,$CD102,0)</f>
        <v>0</v>
      </c>
      <c r="CH102" s="189">
        <f t="shared" ref="CH102:CH106" si="772">IF(BR102=1,$CD102,0)</f>
        <v>0</v>
      </c>
      <c r="CI102" s="189">
        <f t="shared" ref="CI102:CI106" si="773">IF(BS102=1,$CD102,0)</f>
        <v>0</v>
      </c>
      <c r="CJ102" s="189">
        <f t="shared" ref="CJ102:CJ106" si="774">IF(BT102=1,$CD102,0)</f>
        <v>0</v>
      </c>
      <c r="CK102" s="189">
        <f t="shared" ref="CK102:CK106" si="775">IF(BU102=1,$CD102,0)</f>
        <v>0</v>
      </c>
      <c r="CL102" s="189">
        <f t="shared" ref="CL102:CL106" si="776">IF(BV102=1,$CD102,0)</f>
        <v>0</v>
      </c>
      <c r="CM102" s="189">
        <f t="shared" ref="CM102:CM106" si="777">IF(BW102=1,$CD102,0)</f>
        <v>0</v>
      </c>
      <c r="CN102" s="189">
        <f t="shared" ref="CN102:CN106" si="778">IF(BX102=1,$CD102,0)</f>
        <v>0</v>
      </c>
      <c r="CO102" s="189">
        <f t="shared" ref="CO102:CO106" si="779">IF(BY102=1,$CD102,0)</f>
        <v>0</v>
      </c>
      <c r="CP102" s="189">
        <f t="shared" ref="CP102:CP106" si="780">IF(BZ102=1,$CD102,0)</f>
        <v>0</v>
      </c>
      <c r="CQ102" s="195"/>
      <c r="CR102" s="195"/>
      <c r="CS102" s="195"/>
      <c r="CT102" s="195"/>
      <c r="CU102" s="195"/>
      <c r="CV102" s="195"/>
      <c r="CW102" s="195"/>
      <c r="CX102" s="195"/>
      <c r="CY102" s="195"/>
      <c r="CZ102" s="195"/>
      <c r="DA102" s="195"/>
      <c r="DB102" s="195"/>
      <c r="DC102" s="195"/>
      <c r="DD102" s="195"/>
      <c r="DE102" s="195"/>
      <c r="DF102" s="195"/>
      <c r="DG102" s="195"/>
      <c r="DH102" s="195"/>
      <c r="DI102" s="195"/>
      <c r="DJ102" s="195"/>
      <c r="DK102" s="195"/>
      <c r="DL102" s="195"/>
      <c r="DM102" s="195"/>
      <c r="DN102" s="195"/>
      <c r="DO102" s="195"/>
      <c r="DP102" s="195"/>
      <c r="DQ102" s="195"/>
      <c r="DR102" s="195"/>
      <c r="DS102" s="195"/>
      <c r="DT102" s="195"/>
      <c r="DU102" s="195"/>
      <c r="DV102" s="240">
        <f t="shared" ref="DV102:DV106" si="781">IF(CB102=1,G102,0)</f>
        <v>0</v>
      </c>
      <c r="DW102" s="240">
        <f t="shared" ref="DW102:DW106" si="782">IF(CC102="A",G102,0)</f>
        <v>0</v>
      </c>
      <c r="DX102" s="240">
        <f t="shared" ref="DX102:DX106" si="783">IF(CC102="B",G102,0)</f>
        <v>0</v>
      </c>
      <c r="DY102" s="240">
        <f t="shared" ref="DY102:DY106" si="784">IF(CC102="C",G102,0)</f>
        <v>0</v>
      </c>
      <c r="DZ102" s="240">
        <f t="shared" ref="DZ102:DZ106" si="785">IF(CC102="D",G102,0)</f>
        <v>0</v>
      </c>
      <c r="EA102" s="240">
        <f t="shared" ref="EA102:EA106" si="786">IF(CC102="E",G102,0)</f>
        <v>0</v>
      </c>
      <c r="EB102" s="240">
        <f t="shared" ref="EB102:EB106" si="787">SUM(DW102:EA102)</f>
        <v>0</v>
      </c>
      <c r="EC102" s="195"/>
      <c r="ED102" s="195"/>
      <c r="EE102" s="195"/>
      <c r="EF102" s="195"/>
      <c r="EG102" s="252">
        <f t="shared" ref="EG102:EG106" si="788">IF(AG102="C","C",IF(AG102="D","D",0))</f>
        <v>0</v>
      </c>
      <c r="EH102" s="252">
        <f t="shared" ref="EH102:EH106" si="789">CC102</f>
        <v>0</v>
      </c>
      <c r="EI102" s="189"/>
      <c r="EJ102" s="189"/>
      <c r="EK102" s="189"/>
      <c r="EL102" s="189"/>
      <c r="EM102" s="189"/>
      <c r="EN102" s="189"/>
      <c r="EO102" s="189"/>
      <c r="EP102" s="189"/>
      <c r="EQ102" s="189"/>
      <c r="ER102" s="189"/>
      <c r="ES102" s="189"/>
      <c r="ET102" s="189"/>
      <c r="EU102" s="189"/>
      <c r="EV102" s="189"/>
      <c r="EW102" s="189"/>
      <c r="EX102" s="189"/>
      <c r="EY102" s="189"/>
      <c r="EZ102" s="189"/>
      <c r="FA102" s="189"/>
      <c r="FB102" s="189"/>
      <c r="FC102" s="189"/>
      <c r="FD102" s="189"/>
      <c r="FE102" s="189"/>
      <c r="FF102" s="189"/>
      <c r="FG102" s="195"/>
      <c r="FH102" s="189"/>
      <c r="FI102" s="189"/>
      <c r="FJ102" s="189"/>
      <c r="FK102" s="189"/>
      <c r="FL102" s="189"/>
      <c r="FM102" s="189"/>
      <c r="FN102" s="189"/>
      <c r="FO102" s="189"/>
      <c r="FP102" s="189"/>
      <c r="FQ102" s="189"/>
      <c r="FR102" s="189"/>
      <c r="FS102" s="189"/>
      <c r="FT102" s="189"/>
      <c r="FU102" s="189"/>
      <c r="FV102" s="189"/>
      <c r="FW102" s="195"/>
      <c r="FX102" s="253"/>
      <c r="FY102" s="189">
        <f t="shared" ref="FY102:FY106" si="790">SUM(FZ102:GE102)</f>
        <v>0</v>
      </c>
      <c r="FZ102" s="189">
        <f t="shared" ref="FZ102:FZ106" si="791">DI102+CE102</f>
        <v>0</v>
      </c>
      <c r="GA102" s="189">
        <f t="shared" ref="GA102:GA106" si="792">DJ102+CF102</f>
        <v>0</v>
      </c>
      <c r="GB102" s="189">
        <f t="shared" ref="GB102:GB106" si="793">DK102+CG102</f>
        <v>0</v>
      </c>
      <c r="GC102" s="189">
        <f t="shared" ref="GC102:GC106" si="794">DM102+CI102</f>
        <v>0</v>
      </c>
      <c r="GD102" s="189">
        <f t="shared" ref="GD102:GD106" si="795">DO102+CK102</f>
        <v>0</v>
      </c>
      <c r="GE102" s="189">
        <f t="shared" ref="GE102:GE106" si="796">DT102+CP102</f>
        <v>0</v>
      </c>
      <c r="GF102" s="235"/>
      <c r="GG102" s="263">
        <v>0</v>
      </c>
      <c r="GH102" s="264">
        <v>0</v>
      </c>
      <c r="GI102" s="235"/>
      <c r="GJ102" s="265">
        <f t="shared" ref="GJ102:GJ106" si="797">FY102*GG102/1000000000</f>
        <v>0</v>
      </c>
      <c r="GK102" s="266">
        <f t="shared" ref="GK102:GK106" si="798">FY102*GH102/1000000000</f>
        <v>0</v>
      </c>
      <c r="GL102" s="195"/>
      <c r="GM102" s="195"/>
      <c r="GN102" s="195"/>
      <c r="GO102" s="240">
        <f t="shared" ref="GO102:GO106" si="799">D102-F102</f>
        <v>0</v>
      </c>
      <c r="GP102" s="240">
        <f t="shared" ref="GP102:GP106" si="800">D102-J102</f>
        <v>0</v>
      </c>
      <c r="GQ102" s="240">
        <f t="shared" ref="GQ102:GQ106" si="801">D102-N102</f>
        <v>0</v>
      </c>
      <c r="GR102" s="240">
        <f t="shared" ref="GR102:GR106" si="802">D102-R102</f>
        <v>1</v>
      </c>
      <c r="GS102" s="240">
        <f t="shared" ref="GS102:GS106" si="803">D102-V102</f>
        <v>1</v>
      </c>
      <c r="GT102" s="240">
        <f t="shared" ref="GT102:GT106" si="804">IF(SUM(GO102:GS102)=0,1,0)</f>
        <v>0</v>
      </c>
      <c r="GU102" s="248">
        <f t="shared" si="457"/>
        <v>43243</v>
      </c>
      <c r="GV102" s="240" t="str">
        <f t="shared" ref="GV102:GV106" si="805">IF(GO102&gt;0,$GO$6,IF(GP102&gt;0,$GP$6,IF(GQ102&gt;0,$GQ$6,IF(GR102&gt;0,$GR$6,IF(GS102&gt;0,$GS$6,IF(GT102&gt;0,$GT$6,0))))))</f>
        <v>Musyawarah</v>
      </c>
      <c r="GW102" s="240">
        <f t="shared" ref="GW102:GW106" si="806">IF(GV102=$GO$6,GO102,IF(GV102=$GP$6,GP102,IF(GV102=$GQ$6,GQ102,IF(GV102=$GR$6,GR102,IF(GV102=$GS$6,GS102,0)))))</f>
        <v>1</v>
      </c>
      <c r="GX102" s="240" t="str">
        <f t="shared" ref="GX102:GX106" si="807">GV102</f>
        <v>Musyawarah</v>
      </c>
      <c r="GY102" s="240">
        <f t="shared" ref="GY102:GY106" si="808">IF(GX102="DNP",SUM($GY$4:$GY$8),IF(GX102="Survey KJPP",SUM($GY$5:$GY$8),IF(GX102="Hasil Valuasi",SUM($GY$6:$GY$8),IF(GX102="Musyawarah",SUM($GY$7:$GY$8),IF(GX102="UGR",$GY$8,0)))))</f>
        <v>24</v>
      </c>
      <c r="GZ102" s="248">
        <f t="shared" ref="GZ102:GZ106" si="809">IF(GW102=0,"SELESAI",GU102+GY102)</f>
        <v>43267</v>
      </c>
      <c r="HA102" s="204"/>
      <c r="HB102" s="204"/>
      <c r="HC102" s="240">
        <f t="shared" ref="HC102:HC106" si="810">IF(BH102&gt;0,1,IF(BI102&gt;0,1,0))</f>
        <v>0</v>
      </c>
      <c r="HD102" s="240">
        <f t="shared" ref="HD102:HD106" si="811">IF(CB102&gt;0,1,0)</f>
        <v>0</v>
      </c>
      <c r="HE102" s="240">
        <f t="shared" ref="HE102:HE106" si="812">HC102+HD102</f>
        <v>0</v>
      </c>
      <c r="HF102" s="240">
        <f t="shared" ref="HF102:HF106" si="813">FQ102</f>
        <v>0</v>
      </c>
      <c r="HG102" s="240">
        <f t="shared" ref="HG102:HG106" si="814">HE102-HF102</f>
        <v>0</v>
      </c>
      <c r="HH102" s="248" t="str">
        <f t="shared" ref="HH102:HH106" si="815">IF(HG102=1,GU102+$HH$8,"TIDAK KONSINYASI")</f>
        <v>TIDAK KONSINYASI</v>
      </c>
      <c r="HI102" s="248">
        <f t="shared" ref="HI102:HI106" si="816">IF(GW102=0,"SELESAI",GZ102+$HI$8)</f>
        <v>43312</v>
      </c>
      <c r="HJ102" s="195"/>
      <c r="HK102" s="201">
        <f t="shared" ref="HK102:HK106" si="817">MAX(GZ102,HH102,HI102)</f>
        <v>43312</v>
      </c>
      <c r="HL102" s="204"/>
      <c r="HM102" s="204"/>
      <c r="HN102" s="204"/>
      <c r="HO102" s="204"/>
      <c r="HP102" s="203">
        <f t="shared" ref="HP102:HP106" si="818">IF(HQ102=1,GZ102,0)</f>
        <v>0</v>
      </c>
      <c r="HQ102" s="202">
        <f t="shared" ref="HQ102:HQ106" si="819">IF(IX102=0,IF(HT102=0,IF(IP102=0,IF(GV102="UGR",GS102,0),0),0),0)</f>
        <v>0</v>
      </c>
      <c r="HR102" s="202">
        <f t="shared" ref="HR102:HR106" si="820">IF(HQ102=1,E102,0)</f>
        <v>0</v>
      </c>
      <c r="HS102" s="203">
        <f t="shared" ref="HS102:HS106" si="821">IF(HT102=1,HH102,0)</f>
        <v>0</v>
      </c>
      <c r="HT102" s="202">
        <f t="shared" ref="HT102:HT106" si="822">HG102</f>
        <v>0</v>
      </c>
      <c r="HU102" s="202">
        <f t="shared" ref="HU102:HU106" si="823">IF(HT102=1,E102,0)</f>
        <v>0</v>
      </c>
      <c r="HV102" s="203">
        <f t="shared" ref="HV102:HV106" si="824">IF(HW102=1,GZ102,0)</f>
        <v>0</v>
      </c>
      <c r="HW102" s="202">
        <f t="shared" ref="HW102:HW106" si="825">IF(JB102=0,IF(IX102=0,IF(HT102=0,IF(GV102="MUSYAWARAH",GR102,0),0),0),0)</f>
        <v>0</v>
      </c>
      <c r="HX102" s="202">
        <f t="shared" ref="HX102:HX106" si="826">IF(HW102=1,E102,0)</f>
        <v>0</v>
      </c>
      <c r="HY102" s="203">
        <f t="shared" ref="HY102:HY106" si="827">IF(HZ102=1,HV102+$HI$8,0)</f>
        <v>0</v>
      </c>
      <c r="HZ102" s="202">
        <f t="shared" ref="HZ102:HZ106" si="828">HW102</f>
        <v>0</v>
      </c>
      <c r="IA102" s="202">
        <f t="shared" ref="IA102:IA106" si="829">IF(HZ102=1,E102,0)</f>
        <v>0</v>
      </c>
      <c r="IB102" s="232">
        <f t="shared" ref="IB102:IB106" si="830">IF(IC102=1,$GU$3+SUM($GY$6:$GY$8),0)</f>
        <v>0</v>
      </c>
      <c r="IC102" s="226">
        <f t="shared" ref="IC102:IC106" si="831">IF(GV102="Hasil Valuasi",GQ102,0)</f>
        <v>0</v>
      </c>
      <c r="ID102" s="226">
        <f t="shared" ref="ID102:ID106" si="832">IF(IC102=1,E102,0)</f>
        <v>0</v>
      </c>
      <c r="IE102" s="232">
        <f t="shared" ref="IE102:IE106" si="833">IF(IF102=1,IB102+$HI$8,0)</f>
        <v>0</v>
      </c>
      <c r="IF102" s="226">
        <f t="shared" ref="IF102:IF106" si="834">IC102</f>
        <v>0</v>
      </c>
      <c r="IG102" s="226">
        <f t="shared" ref="IG102:IG106" si="835">IF(IF102=1,E102,0)</f>
        <v>0</v>
      </c>
      <c r="IH102" s="232">
        <f t="shared" ref="IH102:IH106" si="836">IF(II102=1,$GU$3+SUM($GY$5:$GY$8),0)</f>
        <v>0</v>
      </c>
      <c r="II102" s="226">
        <f t="shared" ref="II102:II106" si="837">IF(GV102="Survey KJPP",GP102,0)</f>
        <v>0</v>
      </c>
      <c r="IJ102" s="226">
        <f t="shared" ref="IJ102:IJ106" si="838">IF(II102=1,E102,0)</f>
        <v>0</v>
      </c>
      <c r="IK102" s="232">
        <f t="shared" ref="IK102:IK106" si="839">IF(IL102=1,IH102+$HI$8,0)</f>
        <v>0</v>
      </c>
      <c r="IL102" s="226">
        <f t="shared" ref="IL102:IL106" si="840">II102</f>
        <v>0</v>
      </c>
      <c r="IM102" s="226">
        <f t="shared" ref="IM102:IM106" si="841">IF(IL102=1,E102,0)</f>
        <v>0</v>
      </c>
      <c r="IN102" s="204"/>
      <c r="IO102" s="203">
        <f t="shared" ref="IO102:IO106" si="842">IF(IP102=1,+$GU$3+$HH$8,0)</f>
        <v>0</v>
      </c>
      <c r="IP102" s="202">
        <f t="shared" ref="IP102:IP106" si="843">IF(BG102&gt;0,1,0)</f>
        <v>0</v>
      </c>
      <c r="IQ102" s="202">
        <f t="shared" ref="IQ102:IQ106" si="844">IF(IP102=1,E102,0)</f>
        <v>0</v>
      </c>
      <c r="IR102" s="204"/>
      <c r="IS102" s="203"/>
      <c r="IT102" s="202">
        <f t="shared" ref="IT102:IT106" si="845">V102</f>
        <v>0</v>
      </c>
      <c r="IU102" s="226">
        <f t="shared" ref="IU102:IU106" si="846">W102</f>
        <v>0</v>
      </c>
      <c r="IV102" s="204"/>
      <c r="IW102" s="203"/>
      <c r="IX102" s="202">
        <f t="shared" ref="IX102:IX106" si="847">AA102</f>
        <v>0</v>
      </c>
      <c r="IY102" s="202">
        <f t="shared" ref="IY102:IY106" si="848">AB102</f>
        <v>0</v>
      </c>
      <c r="IZ102" s="204"/>
      <c r="JA102" s="203"/>
      <c r="JB102" s="202">
        <f t="shared" ref="JB102:JB106" si="849">AN102</f>
        <v>1</v>
      </c>
      <c r="JC102" s="226">
        <f t="shared" ref="JC102:JC106" si="850">BB102</f>
        <v>47</v>
      </c>
      <c r="JD102" s="204"/>
      <c r="JE102" s="203"/>
      <c r="JF102" s="202">
        <f t="shared" ref="JF102:JF106" si="851">IT102+HQ102+HT102+HZ102+IF102+IL102+IP102+IX102+JB102</f>
        <v>1</v>
      </c>
      <c r="JG102" s="202">
        <f t="shared" ref="JG102:JG106" si="852">IU102+HR102+HU102+IA102+IG102+IM102+IQ102+IY102+JC102</f>
        <v>47</v>
      </c>
      <c r="JH102" s="204"/>
      <c r="JI102" s="203"/>
      <c r="JJ102" s="202">
        <f t="shared" ref="JJ102:JJ106" si="853">JF102-D102</f>
        <v>0</v>
      </c>
      <c r="JK102" s="202">
        <f t="shared" ref="JK102:JK106" si="854">JG102-E102</f>
        <v>0</v>
      </c>
      <c r="JL102" s="195"/>
      <c r="JM102" s="203">
        <f t="shared" ref="JM102:JM106" si="855">MAX(IW102,IS102,IO102,IK102,IE102,HY102,HS102,HP102)</f>
        <v>0</v>
      </c>
      <c r="JN102" s="195"/>
      <c r="JO102" s="196">
        <f t="shared" ref="JO102:JO106" si="856">SUM(JQ102:KB102)</f>
        <v>0</v>
      </c>
      <c r="JP102" s="206">
        <f t="shared" ref="JP102:JP106" si="857">BN102+CR102</f>
        <v>0</v>
      </c>
      <c r="JQ102" s="206">
        <f t="shared" ref="JQ102:JQ106" si="858">IF(BO102+CS102=2,1,IF(BO102+CS102=1,1,0))</f>
        <v>0</v>
      </c>
      <c r="JR102" s="206">
        <f t="shared" ref="JR102:JR106" si="859">IF(BP102+CT102=2,1,IF(BP102+CT102=1,1,0))</f>
        <v>0</v>
      </c>
      <c r="JS102" s="206">
        <f t="shared" ref="JS102:JS106" si="860">IF(BQ102+CU102=2,1,IF(BQ102+CU102=1,1,0))</f>
        <v>0</v>
      </c>
      <c r="JT102" s="206">
        <f t="shared" ref="JT102:JT106" si="861">IF(BR102+CV102=2,1,IF(BR102+CV102=1,1,0))</f>
        <v>0</v>
      </c>
      <c r="JU102" s="206">
        <f t="shared" ref="JU102:JU106" si="862">IF(BS102+CW102=2,1,IF(BS102+CW102=1,1,0))</f>
        <v>0</v>
      </c>
      <c r="JV102" s="206">
        <f t="shared" ref="JV102:JV106" si="863">IF(BT102+CX102=2,1,IF(BT102+CX102=1,1,0))</f>
        <v>0</v>
      </c>
      <c r="JW102" s="206">
        <f t="shared" ref="JW102:JW106" si="864">IF(BU102+CY102=2,1,IF(BU102+CY102=1,1,0))</f>
        <v>0</v>
      </c>
      <c r="JX102" s="206">
        <f t="shared" ref="JX102:JX106" si="865">IF(BV102+CZ102=2,1,IF(BV102+CZ102=1,1,0))</f>
        <v>0</v>
      </c>
      <c r="JY102" s="206">
        <f t="shared" ref="JY102:JY106" si="866">IF(BW102+DA102=2,1,IF(BW102+DA102=1,1,0))</f>
        <v>0</v>
      </c>
      <c r="JZ102" s="206">
        <f t="shared" ref="JZ102:JZ106" si="867">IF(BX102+DB102=2,1,IF(BX102+DB102=1,1,0))</f>
        <v>0</v>
      </c>
      <c r="KA102" s="206">
        <f t="shared" ref="KA102:KA106" si="868">IF(BY102+DC102=2,1,IF(BY102+DC102=1,1,0))</f>
        <v>0</v>
      </c>
      <c r="KB102" s="206">
        <f t="shared" ref="KB102:KB106" si="869">IF(BZ102+DD102=2,1,IF(BZ102+DD102=1,1,0))</f>
        <v>0</v>
      </c>
      <c r="KC102" s="195"/>
      <c r="KD102" s="206">
        <f t="shared" ref="KD102:KD106" si="870">IF(IF(SUM(GA102:GE102)&gt;100,1,0)+IF(FX102=1,1,0)=2,1,0)</f>
        <v>0</v>
      </c>
      <c r="KE102" s="206">
        <f t="shared" ref="KE102:KE106" si="871">IF(KD102=1,KF102,0)</f>
        <v>0</v>
      </c>
      <c r="KF102" s="206">
        <f t="shared" ref="KF102:KF106" si="872">CD102+DH102</f>
        <v>0</v>
      </c>
      <c r="KG102" s="206">
        <f t="shared" ref="KG102:KG106" si="873">CE102+DI102</f>
        <v>0</v>
      </c>
      <c r="KH102" s="206">
        <f t="shared" ref="KH102:KH106" si="874">CF102+DJ102</f>
        <v>0</v>
      </c>
      <c r="KI102" s="206">
        <f t="shared" ref="KI102:KI106" si="875">CG102+DK102</f>
        <v>0</v>
      </c>
      <c r="KJ102" s="206">
        <f t="shared" ref="KJ102:KJ106" si="876">CH102+DL102</f>
        <v>0</v>
      </c>
      <c r="KK102" s="206">
        <f t="shared" ref="KK102:KK106" si="877">CI102+DM102</f>
        <v>0</v>
      </c>
      <c r="KL102" s="206">
        <f t="shared" ref="KL102:KL106" si="878">CJ102+DN102</f>
        <v>0</v>
      </c>
      <c r="KM102" s="206">
        <f t="shared" ref="KM102:KM106" si="879">CK102+DO102</f>
        <v>0</v>
      </c>
      <c r="KN102" s="221">
        <f t="shared" ref="KN102:KN106" si="880">CL102+DP102</f>
        <v>0</v>
      </c>
      <c r="KO102" s="221">
        <f t="shared" ref="KO102:KO106" si="881">CM102+DQ102</f>
        <v>0</v>
      </c>
      <c r="KP102" s="221">
        <f t="shared" ref="KP102:KP106" si="882">CN102+DR102</f>
        <v>0</v>
      </c>
      <c r="KQ102" s="221">
        <f t="shared" ref="KQ102:KQ106" si="883">CO102+DS102</f>
        <v>0</v>
      </c>
      <c r="KR102" s="221">
        <f t="shared" ref="KR102:KR106" si="884">CP102+DT102</f>
        <v>0</v>
      </c>
      <c r="KS102" s="195">
        <v>2</v>
      </c>
      <c r="KT102" s="195">
        <f t="shared" ref="KT102:KT106" si="885">AN102</f>
        <v>1</v>
      </c>
      <c r="KU102" s="221"/>
      <c r="KV102" s="221"/>
      <c r="KW102" s="221"/>
      <c r="KX102" s="221"/>
      <c r="KY102" s="221"/>
      <c r="KZ102" s="221"/>
      <c r="LA102" s="221"/>
      <c r="LB102" s="221"/>
      <c r="LC102" s="221"/>
      <c r="LD102" s="221"/>
      <c r="LE102" s="221"/>
      <c r="LF102" s="221"/>
      <c r="LG102" s="221"/>
      <c r="LH102" s="221"/>
      <c r="LI102" s="221"/>
      <c r="LJ102" s="221"/>
      <c r="LK102" s="221"/>
      <c r="LL102" s="221"/>
      <c r="LM102" s="221">
        <v>1</v>
      </c>
      <c r="LN102" s="221">
        <v>1</v>
      </c>
      <c r="LO102" s="221"/>
      <c r="LP102" s="221"/>
      <c r="LQ102" s="221"/>
      <c r="LR102" s="221"/>
      <c r="LS102" s="221"/>
      <c r="LT102" s="221"/>
      <c r="LU102" s="221"/>
      <c r="LV102" s="221"/>
      <c r="LW102" s="221"/>
      <c r="LX102" s="221"/>
      <c r="LY102" s="221"/>
      <c r="LZ102" s="221"/>
      <c r="MA102" s="221"/>
      <c r="MB102" s="221"/>
      <c r="MC102" s="221"/>
      <c r="MD102" s="221"/>
      <c r="ME102" s="221"/>
      <c r="MF102" s="221"/>
      <c r="MG102" s="221"/>
      <c r="MH102" s="221"/>
      <c r="MI102" s="221"/>
      <c r="MJ102" s="221"/>
      <c r="MK102" s="221"/>
      <c r="ML102" s="221"/>
      <c r="MM102" s="221"/>
      <c r="MN102" s="221"/>
      <c r="MO102" s="221"/>
      <c r="MP102" s="221"/>
      <c r="MQ102" s="221"/>
      <c r="MR102" s="221"/>
      <c r="MS102" s="221"/>
      <c r="MT102" s="221"/>
      <c r="MU102" s="221"/>
      <c r="MV102" s="221"/>
      <c r="MW102" s="221"/>
      <c r="MX102" s="221"/>
      <c r="MY102" s="221"/>
      <c r="MZ102" s="221"/>
      <c r="NA102" s="221"/>
      <c r="NB102" s="221"/>
      <c r="NC102" s="221"/>
      <c r="ND102" s="221"/>
      <c r="NE102" s="221"/>
      <c r="NF102" s="221"/>
      <c r="NG102" s="221"/>
      <c r="NH102" s="221"/>
      <c r="NI102" s="221"/>
      <c r="NJ102" s="221"/>
      <c r="NK102" s="221"/>
      <c r="NL102" s="195"/>
      <c r="NM102" s="195">
        <f t="shared" ref="NM102:NM106" si="886">IF(KS102=1,1,0)</f>
        <v>0</v>
      </c>
      <c r="NN102" s="195">
        <f t="shared" ref="NN102:NN106" si="887">IF(KS102=2,1,0)</f>
        <v>1</v>
      </c>
      <c r="NO102" s="195">
        <f t="shared" ref="NO102:NO106" si="888">IF(KS102=3,1,0)</f>
        <v>0</v>
      </c>
      <c r="NP102" s="195">
        <f t="shared" ref="NP102:NP106" si="889">IF(KS102=4,1,0)</f>
        <v>0</v>
      </c>
      <c r="NQ102" s="195">
        <f t="shared" ref="NQ102:NQ106" si="890">IF(KS102=5,1,0)</f>
        <v>0</v>
      </c>
      <c r="NR102" s="195">
        <f t="shared" ref="NR102:NR106" si="891">IF(KS102=6,1,0)</f>
        <v>0</v>
      </c>
      <c r="NS102" s="195">
        <f t="shared" ref="NS102:NS106" si="892">IF(KS102=7,1,0)</f>
        <v>0</v>
      </c>
      <c r="NT102" s="195">
        <f t="shared" ref="NT102:NT106" si="893">SUM(NM102:NS102)</f>
        <v>1</v>
      </c>
      <c r="NU102" s="196">
        <f t="shared" ref="NU102:NU106" si="894">NT102-KT102</f>
        <v>0</v>
      </c>
      <c r="NV102" s="195"/>
      <c r="NW102" s="195"/>
      <c r="NX102" s="195"/>
      <c r="NY102" s="196">
        <f t="shared" ref="NY102:NY106" si="895">V102</f>
        <v>0</v>
      </c>
      <c r="NZ102" s="222"/>
      <c r="OA102" s="195"/>
      <c r="OB102" s="195"/>
      <c r="OC102" s="195"/>
      <c r="OD102" s="195"/>
      <c r="OE102" s="207">
        <f t="shared" ref="OE102:OE106" si="896">D102-J102</f>
        <v>0</v>
      </c>
      <c r="OF102" s="207">
        <f t="shared" ref="OF102:OF106" si="897">D102-N102</f>
        <v>0</v>
      </c>
      <c r="OG102" s="207">
        <f t="shared" ref="OG102:OG106" si="898">AN102</f>
        <v>1</v>
      </c>
      <c r="OH102" s="207">
        <f t="shared" ref="OH102:OH106" si="899">HE102</f>
        <v>0</v>
      </c>
      <c r="OI102" s="207">
        <f t="shared" ref="OI102:OI106" si="900">D102-R102</f>
        <v>1</v>
      </c>
      <c r="OJ102" s="199">
        <f t="shared" ref="OJ102:OJ106" si="901">IF(OG102=1,OF102,0)</f>
        <v>0</v>
      </c>
      <c r="OK102" s="199">
        <f t="shared" ref="OK102:OK106" si="902">IF(OH102=1,OF102,0)</f>
        <v>0</v>
      </c>
      <c r="OL102" s="199">
        <f t="shared" ref="OL102:OL106" si="903">IF((OG102+OH102)=0,OF102,0)</f>
        <v>0</v>
      </c>
      <c r="OM102" s="199">
        <f t="shared" ref="OM102:OM106" si="904">SUM(OJ102:OL102)</f>
        <v>0</v>
      </c>
      <c r="ON102" s="195"/>
      <c r="OO102" s="207">
        <f t="shared" ref="OO102:OO106" si="905">E102-K102</f>
        <v>0</v>
      </c>
      <c r="OP102" s="207">
        <f t="shared" ref="OP102:OP106" si="906">E102-O102</f>
        <v>0</v>
      </c>
      <c r="OQ102" s="207">
        <f t="shared" ref="OQ102:OQ106" si="907">OG102</f>
        <v>1</v>
      </c>
      <c r="OR102" s="207">
        <f t="shared" ref="OR102:OR106" si="908">OH102</f>
        <v>0</v>
      </c>
      <c r="OS102" s="207">
        <f t="shared" ref="OS102:OS106" si="909">OI102</f>
        <v>1</v>
      </c>
      <c r="OT102" s="199">
        <f t="shared" ref="OT102:OT106" si="910">IF(OQ102=1,OP102,0)</f>
        <v>0</v>
      </c>
      <c r="OU102" s="199">
        <f t="shared" ref="OU102:OU106" si="911">IF(OR102=1,OP102,0)</f>
        <v>0</v>
      </c>
      <c r="OV102" s="199">
        <f t="shared" ref="OV102:OV106" si="912">IF((OQ102+OR102)=0,OP102,0)</f>
        <v>0</v>
      </c>
      <c r="OW102" s="199">
        <f t="shared" ref="OW102:OW106" si="913">SUM(OT102:OV102)</f>
        <v>0</v>
      </c>
      <c r="OX102" s="195"/>
      <c r="OY102" s="195"/>
      <c r="OZ102" s="195"/>
      <c r="PA102" s="260"/>
      <c r="PB102" s="260">
        <v>1</v>
      </c>
      <c r="PC102" s="260"/>
      <c r="PD102" s="210">
        <f t="shared" si="430"/>
        <v>1</v>
      </c>
      <c r="PE102" s="210">
        <v>1</v>
      </c>
      <c r="PF102" s="210">
        <f t="shared" si="431"/>
        <v>0</v>
      </c>
      <c r="PG102" s="210">
        <f t="shared" si="302"/>
        <v>0</v>
      </c>
      <c r="PH102" s="210">
        <f t="shared" si="302"/>
        <v>47</v>
      </c>
      <c r="PI102" s="210">
        <f t="shared" si="302"/>
        <v>0</v>
      </c>
      <c r="PJ102" s="210">
        <f t="shared" si="300"/>
        <v>47</v>
      </c>
      <c r="PK102" s="210">
        <f t="shared" si="300"/>
        <v>47</v>
      </c>
      <c r="PL102" s="210">
        <f t="shared" si="300"/>
        <v>0</v>
      </c>
      <c r="PM102" s="195"/>
      <c r="PN102" s="195"/>
      <c r="PO102" s="212">
        <f t="shared" ref="PO102:PO106" si="914">IF(FC102=1,AB102,0)</f>
        <v>0</v>
      </c>
      <c r="PP102" s="212">
        <f t="shared" ref="PP102:PP106" si="915">IF(FF102=1,AB102,0)</f>
        <v>0</v>
      </c>
      <c r="PQ102" s="212">
        <f t="shared" ref="PQ102:PQ106" si="916">AB102-(PO102+PP102)</f>
        <v>0</v>
      </c>
    </row>
    <row r="103" spans="1:433 16383:16384" ht="16" x14ac:dyDescent="0.2">
      <c r="A103" s="213">
        <f>A100+1</f>
        <v>92</v>
      </c>
      <c r="B103" s="239" t="s">
        <v>653</v>
      </c>
      <c r="C103" s="261">
        <v>2</v>
      </c>
      <c r="D103" s="240">
        <v>1</v>
      </c>
      <c r="E103" s="240">
        <v>167</v>
      </c>
      <c r="F103" s="240">
        <v>1</v>
      </c>
      <c r="G103" s="240">
        <f t="shared" si="742"/>
        <v>167</v>
      </c>
      <c r="H103" s="241">
        <f t="shared" si="743"/>
        <v>1</v>
      </c>
      <c r="I103" s="241">
        <f t="shared" si="744"/>
        <v>1</v>
      </c>
      <c r="J103" s="165">
        <v>1</v>
      </c>
      <c r="K103" s="240">
        <f t="shared" si="745"/>
        <v>167</v>
      </c>
      <c r="L103" s="241">
        <f t="shared" si="746"/>
        <v>1</v>
      </c>
      <c r="M103" s="241">
        <f t="shared" si="747"/>
        <v>1</v>
      </c>
      <c r="N103" s="165">
        <v>1</v>
      </c>
      <c r="O103" s="240">
        <f t="shared" si="748"/>
        <v>167</v>
      </c>
      <c r="P103" s="241">
        <f t="shared" si="749"/>
        <v>1</v>
      </c>
      <c r="Q103" s="241">
        <f t="shared" si="750"/>
        <v>1</v>
      </c>
      <c r="R103" s="240">
        <v>0</v>
      </c>
      <c r="S103" s="240">
        <f t="shared" si="751"/>
        <v>0</v>
      </c>
      <c r="T103" s="241">
        <f t="shared" si="752"/>
        <v>0</v>
      </c>
      <c r="U103" s="241">
        <f t="shared" si="753"/>
        <v>0</v>
      </c>
      <c r="V103" s="240">
        <v>0</v>
      </c>
      <c r="W103" s="240">
        <f t="shared" si="754"/>
        <v>0</v>
      </c>
      <c r="X103" s="241">
        <f t="shared" si="755"/>
        <v>0</v>
      </c>
      <c r="Y103" s="241">
        <v>0</v>
      </c>
      <c r="Z103" s="247"/>
      <c r="AA103" s="240"/>
      <c r="AB103" s="240">
        <v>0</v>
      </c>
      <c r="AC103" s="241">
        <f t="shared" si="756"/>
        <v>0</v>
      </c>
      <c r="AD103" s="241">
        <v>0</v>
      </c>
      <c r="AE103" s="240"/>
      <c r="AF103" s="240">
        <f t="shared" si="757"/>
        <v>0</v>
      </c>
      <c r="AG103" s="262"/>
      <c r="AH103" s="262"/>
      <c r="AI103" s="240">
        <v>0</v>
      </c>
      <c r="AJ103" s="240">
        <f t="shared" si="758"/>
        <v>0</v>
      </c>
      <c r="AK103" s="240"/>
      <c r="AL103" s="240">
        <v>0</v>
      </c>
      <c r="AM103" s="240">
        <v>0</v>
      </c>
      <c r="AN103" s="244">
        <v>1</v>
      </c>
      <c r="AO103" s="196">
        <f t="shared" si="759"/>
        <v>0</v>
      </c>
      <c r="AP103" s="195"/>
      <c r="AQ103" s="195"/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/>
      <c r="BB103" s="188">
        <f t="shared" si="760"/>
        <v>167</v>
      </c>
      <c r="BC103" s="195"/>
      <c r="BD103" s="196"/>
      <c r="BE103" s="226">
        <f t="shared" si="761"/>
        <v>0</v>
      </c>
      <c r="BF103" s="188">
        <f t="shared" si="762"/>
        <v>0</v>
      </c>
      <c r="BG103" s="188">
        <f t="shared" si="763"/>
        <v>0</v>
      </c>
      <c r="BH103" s="188">
        <f t="shared" si="764"/>
        <v>0</v>
      </c>
      <c r="BI103" s="188">
        <f t="shared" si="765"/>
        <v>0</v>
      </c>
      <c r="BJ103" s="188">
        <f t="shared" si="766"/>
        <v>0</v>
      </c>
      <c r="BK103" s="188">
        <f t="shared" si="767"/>
        <v>0</v>
      </c>
      <c r="BL103" s="195"/>
      <c r="BM103" s="195"/>
      <c r="BN103" s="215"/>
      <c r="BO103" s="218"/>
      <c r="BP103" s="188"/>
      <c r="BQ103" s="188"/>
      <c r="BR103" s="188"/>
      <c r="BS103" s="188"/>
      <c r="BT103" s="188"/>
      <c r="BU103" s="188"/>
      <c r="BV103" s="188"/>
      <c r="BW103" s="188"/>
      <c r="BX103" s="188"/>
      <c r="BY103" s="188"/>
      <c r="BZ103" s="188"/>
      <c r="CA103" s="195"/>
      <c r="CB103" s="188"/>
      <c r="CC103" s="195"/>
      <c r="CD103" s="189">
        <f t="shared" si="768"/>
        <v>0</v>
      </c>
      <c r="CE103" s="189">
        <f t="shared" si="769"/>
        <v>0</v>
      </c>
      <c r="CF103" s="189">
        <f t="shared" si="770"/>
        <v>0</v>
      </c>
      <c r="CG103" s="189">
        <f t="shared" si="771"/>
        <v>0</v>
      </c>
      <c r="CH103" s="189">
        <f t="shared" si="772"/>
        <v>0</v>
      </c>
      <c r="CI103" s="189">
        <f t="shared" si="773"/>
        <v>0</v>
      </c>
      <c r="CJ103" s="189">
        <f t="shared" si="774"/>
        <v>0</v>
      </c>
      <c r="CK103" s="189">
        <f t="shared" si="775"/>
        <v>0</v>
      </c>
      <c r="CL103" s="189">
        <f t="shared" si="776"/>
        <v>0</v>
      </c>
      <c r="CM103" s="189">
        <f t="shared" si="777"/>
        <v>0</v>
      </c>
      <c r="CN103" s="189">
        <f t="shared" si="778"/>
        <v>0</v>
      </c>
      <c r="CO103" s="189">
        <f t="shared" si="779"/>
        <v>0</v>
      </c>
      <c r="CP103" s="189">
        <f t="shared" si="780"/>
        <v>0</v>
      </c>
      <c r="CQ103" s="195"/>
      <c r="CR103" s="195"/>
      <c r="CS103" s="195"/>
      <c r="CT103" s="195"/>
      <c r="CU103" s="195"/>
      <c r="CV103" s="195"/>
      <c r="CW103" s="195"/>
      <c r="CX103" s="195"/>
      <c r="CY103" s="195"/>
      <c r="CZ103" s="195"/>
      <c r="DA103" s="195"/>
      <c r="DB103" s="195"/>
      <c r="DC103" s="195"/>
      <c r="DD103" s="195"/>
      <c r="DE103" s="195"/>
      <c r="DF103" s="195"/>
      <c r="DG103" s="195"/>
      <c r="DH103" s="195"/>
      <c r="DI103" s="195"/>
      <c r="DJ103" s="195"/>
      <c r="DK103" s="195"/>
      <c r="DL103" s="195"/>
      <c r="DM103" s="195"/>
      <c r="DN103" s="195"/>
      <c r="DO103" s="195"/>
      <c r="DP103" s="195"/>
      <c r="DQ103" s="195"/>
      <c r="DR103" s="195"/>
      <c r="DS103" s="195"/>
      <c r="DT103" s="195"/>
      <c r="DU103" s="195"/>
      <c r="DV103" s="240">
        <f t="shared" si="781"/>
        <v>0</v>
      </c>
      <c r="DW103" s="240">
        <f t="shared" si="782"/>
        <v>0</v>
      </c>
      <c r="DX103" s="240">
        <f t="shared" si="783"/>
        <v>0</v>
      </c>
      <c r="DY103" s="240">
        <f t="shared" si="784"/>
        <v>0</v>
      </c>
      <c r="DZ103" s="240">
        <f t="shared" si="785"/>
        <v>0</v>
      </c>
      <c r="EA103" s="240">
        <f t="shared" si="786"/>
        <v>0</v>
      </c>
      <c r="EB103" s="240">
        <f t="shared" si="787"/>
        <v>0</v>
      </c>
      <c r="EC103" s="195"/>
      <c r="ED103" s="195"/>
      <c r="EE103" s="195"/>
      <c r="EF103" s="195"/>
      <c r="EG103" s="252">
        <f t="shared" si="788"/>
        <v>0</v>
      </c>
      <c r="EH103" s="252">
        <f t="shared" si="789"/>
        <v>0</v>
      </c>
      <c r="EI103" s="189"/>
      <c r="EJ103" s="189"/>
      <c r="EK103" s="189"/>
      <c r="EL103" s="189"/>
      <c r="EM103" s="189"/>
      <c r="EN103" s="189"/>
      <c r="EO103" s="189"/>
      <c r="EP103" s="189"/>
      <c r="EQ103" s="189"/>
      <c r="ER103" s="189"/>
      <c r="ES103" s="189"/>
      <c r="ET103" s="189"/>
      <c r="EU103" s="189"/>
      <c r="EV103" s="189"/>
      <c r="EW103" s="189"/>
      <c r="EX103" s="189"/>
      <c r="EY103" s="189"/>
      <c r="EZ103" s="189"/>
      <c r="FA103" s="189"/>
      <c r="FB103" s="189"/>
      <c r="FC103" s="189"/>
      <c r="FD103" s="189"/>
      <c r="FE103" s="189"/>
      <c r="FF103" s="189"/>
      <c r="FG103" s="195"/>
      <c r="FH103" s="189"/>
      <c r="FI103" s="189"/>
      <c r="FJ103" s="189"/>
      <c r="FK103" s="189"/>
      <c r="FL103" s="189"/>
      <c r="FM103" s="189"/>
      <c r="FN103" s="189"/>
      <c r="FO103" s="189"/>
      <c r="FP103" s="189"/>
      <c r="FQ103" s="189"/>
      <c r="FR103" s="189"/>
      <c r="FS103" s="189"/>
      <c r="FT103" s="189"/>
      <c r="FU103" s="189"/>
      <c r="FV103" s="189"/>
      <c r="FW103" s="195"/>
      <c r="FX103" s="253"/>
      <c r="FY103" s="189">
        <f t="shared" si="790"/>
        <v>0</v>
      </c>
      <c r="FZ103" s="189">
        <f t="shared" si="791"/>
        <v>0</v>
      </c>
      <c r="GA103" s="189">
        <f t="shared" si="792"/>
        <v>0</v>
      </c>
      <c r="GB103" s="189">
        <f t="shared" si="793"/>
        <v>0</v>
      </c>
      <c r="GC103" s="189">
        <f t="shared" si="794"/>
        <v>0</v>
      </c>
      <c r="GD103" s="189">
        <f t="shared" si="795"/>
        <v>0</v>
      </c>
      <c r="GE103" s="189">
        <f t="shared" si="796"/>
        <v>0</v>
      </c>
      <c r="GF103" s="235"/>
      <c r="GG103" s="263">
        <v>0</v>
      </c>
      <c r="GH103" s="264">
        <v>0</v>
      </c>
      <c r="GI103" s="235"/>
      <c r="GJ103" s="265">
        <f t="shared" si="797"/>
        <v>0</v>
      </c>
      <c r="GK103" s="266">
        <f t="shared" si="798"/>
        <v>0</v>
      </c>
      <c r="GL103" s="195"/>
      <c r="GM103" s="195"/>
      <c r="GN103" s="195"/>
      <c r="GO103" s="240">
        <f t="shared" si="799"/>
        <v>0</v>
      </c>
      <c r="GP103" s="240">
        <f t="shared" si="800"/>
        <v>0</v>
      </c>
      <c r="GQ103" s="240">
        <f t="shared" si="801"/>
        <v>0</v>
      </c>
      <c r="GR103" s="240">
        <f t="shared" si="802"/>
        <v>1</v>
      </c>
      <c r="GS103" s="240">
        <f t="shared" si="803"/>
        <v>1</v>
      </c>
      <c r="GT103" s="240">
        <f t="shared" si="804"/>
        <v>0</v>
      </c>
      <c r="GU103" s="248">
        <f t="shared" si="457"/>
        <v>43243</v>
      </c>
      <c r="GV103" s="240" t="str">
        <f t="shared" si="805"/>
        <v>Musyawarah</v>
      </c>
      <c r="GW103" s="240">
        <f t="shared" si="806"/>
        <v>1</v>
      </c>
      <c r="GX103" s="240" t="str">
        <f t="shared" si="807"/>
        <v>Musyawarah</v>
      </c>
      <c r="GY103" s="240">
        <f t="shared" si="808"/>
        <v>24</v>
      </c>
      <c r="GZ103" s="248">
        <f t="shared" si="809"/>
        <v>43267</v>
      </c>
      <c r="HA103" s="204"/>
      <c r="HB103" s="204"/>
      <c r="HC103" s="240">
        <f t="shared" si="810"/>
        <v>0</v>
      </c>
      <c r="HD103" s="240">
        <f t="shared" si="811"/>
        <v>0</v>
      </c>
      <c r="HE103" s="240">
        <f t="shared" si="812"/>
        <v>0</v>
      </c>
      <c r="HF103" s="240">
        <f t="shared" si="813"/>
        <v>0</v>
      </c>
      <c r="HG103" s="240">
        <f t="shared" si="814"/>
        <v>0</v>
      </c>
      <c r="HH103" s="248" t="str">
        <f t="shared" si="815"/>
        <v>TIDAK KONSINYASI</v>
      </c>
      <c r="HI103" s="248">
        <f t="shared" si="816"/>
        <v>43312</v>
      </c>
      <c r="HJ103" s="195"/>
      <c r="HK103" s="201">
        <f t="shared" si="817"/>
        <v>43312</v>
      </c>
      <c r="HL103" s="204"/>
      <c r="HM103" s="204"/>
      <c r="HN103" s="204"/>
      <c r="HO103" s="204"/>
      <c r="HP103" s="203">
        <f t="shared" si="818"/>
        <v>0</v>
      </c>
      <c r="HQ103" s="202">
        <f t="shared" si="819"/>
        <v>0</v>
      </c>
      <c r="HR103" s="202">
        <f t="shared" si="820"/>
        <v>0</v>
      </c>
      <c r="HS103" s="203">
        <f t="shared" si="821"/>
        <v>0</v>
      </c>
      <c r="HT103" s="202">
        <f t="shared" si="822"/>
        <v>0</v>
      </c>
      <c r="HU103" s="202">
        <f t="shared" si="823"/>
        <v>0</v>
      </c>
      <c r="HV103" s="203">
        <f t="shared" si="824"/>
        <v>0</v>
      </c>
      <c r="HW103" s="202">
        <f t="shared" si="825"/>
        <v>0</v>
      </c>
      <c r="HX103" s="202">
        <f t="shared" si="826"/>
        <v>0</v>
      </c>
      <c r="HY103" s="203">
        <f t="shared" si="827"/>
        <v>0</v>
      </c>
      <c r="HZ103" s="202">
        <f t="shared" si="828"/>
        <v>0</v>
      </c>
      <c r="IA103" s="202">
        <f t="shared" si="829"/>
        <v>0</v>
      </c>
      <c r="IB103" s="232">
        <f t="shared" si="830"/>
        <v>0</v>
      </c>
      <c r="IC103" s="226">
        <f t="shared" si="831"/>
        <v>0</v>
      </c>
      <c r="ID103" s="226">
        <f t="shared" si="832"/>
        <v>0</v>
      </c>
      <c r="IE103" s="232">
        <f t="shared" si="833"/>
        <v>0</v>
      </c>
      <c r="IF103" s="226">
        <f t="shared" si="834"/>
        <v>0</v>
      </c>
      <c r="IG103" s="226">
        <f t="shared" si="835"/>
        <v>0</v>
      </c>
      <c r="IH103" s="232">
        <f t="shared" si="836"/>
        <v>0</v>
      </c>
      <c r="II103" s="226">
        <f t="shared" si="837"/>
        <v>0</v>
      </c>
      <c r="IJ103" s="226">
        <f t="shared" si="838"/>
        <v>0</v>
      </c>
      <c r="IK103" s="232">
        <f t="shared" si="839"/>
        <v>0</v>
      </c>
      <c r="IL103" s="226">
        <f t="shared" si="840"/>
        <v>0</v>
      </c>
      <c r="IM103" s="226">
        <f t="shared" si="841"/>
        <v>0</v>
      </c>
      <c r="IN103" s="204"/>
      <c r="IO103" s="203">
        <f t="shared" si="842"/>
        <v>0</v>
      </c>
      <c r="IP103" s="202">
        <f t="shared" si="843"/>
        <v>0</v>
      </c>
      <c r="IQ103" s="202">
        <f t="shared" si="844"/>
        <v>0</v>
      </c>
      <c r="IR103" s="204"/>
      <c r="IS103" s="203"/>
      <c r="IT103" s="202">
        <f t="shared" si="845"/>
        <v>0</v>
      </c>
      <c r="IU103" s="226">
        <f t="shared" si="846"/>
        <v>0</v>
      </c>
      <c r="IV103" s="204"/>
      <c r="IW103" s="203"/>
      <c r="IX103" s="202">
        <f t="shared" si="847"/>
        <v>0</v>
      </c>
      <c r="IY103" s="202">
        <f t="shared" si="848"/>
        <v>0</v>
      </c>
      <c r="IZ103" s="204"/>
      <c r="JA103" s="203"/>
      <c r="JB103" s="202">
        <f t="shared" si="849"/>
        <v>1</v>
      </c>
      <c r="JC103" s="226">
        <f t="shared" si="850"/>
        <v>167</v>
      </c>
      <c r="JD103" s="204"/>
      <c r="JE103" s="203"/>
      <c r="JF103" s="202">
        <f t="shared" si="851"/>
        <v>1</v>
      </c>
      <c r="JG103" s="202">
        <f t="shared" si="852"/>
        <v>167</v>
      </c>
      <c r="JH103" s="204"/>
      <c r="JI103" s="203"/>
      <c r="JJ103" s="202">
        <f t="shared" si="853"/>
        <v>0</v>
      </c>
      <c r="JK103" s="202">
        <f t="shared" si="854"/>
        <v>0</v>
      </c>
      <c r="JL103" s="195"/>
      <c r="JM103" s="203">
        <f t="shared" si="855"/>
        <v>0</v>
      </c>
      <c r="JN103" s="195"/>
      <c r="JO103" s="196">
        <f t="shared" si="856"/>
        <v>0</v>
      </c>
      <c r="JP103" s="206">
        <f t="shared" si="857"/>
        <v>0</v>
      </c>
      <c r="JQ103" s="206">
        <f t="shared" si="858"/>
        <v>0</v>
      </c>
      <c r="JR103" s="206">
        <f t="shared" si="859"/>
        <v>0</v>
      </c>
      <c r="JS103" s="206">
        <f t="shared" si="860"/>
        <v>0</v>
      </c>
      <c r="JT103" s="206">
        <f t="shared" si="861"/>
        <v>0</v>
      </c>
      <c r="JU103" s="206">
        <f t="shared" si="862"/>
        <v>0</v>
      </c>
      <c r="JV103" s="206">
        <f t="shared" si="863"/>
        <v>0</v>
      </c>
      <c r="JW103" s="206">
        <f t="shared" si="864"/>
        <v>0</v>
      </c>
      <c r="JX103" s="206">
        <f t="shared" si="865"/>
        <v>0</v>
      </c>
      <c r="JY103" s="206">
        <f t="shared" si="866"/>
        <v>0</v>
      </c>
      <c r="JZ103" s="206">
        <f t="shared" si="867"/>
        <v>0</v>
      </c>
      <c r="KA103" s="206">
        <f t="shared" si="868"/>
        <v>0</v>
      </c>
      <c r="KB103" s="206">
        <f t="shared" si="869"/>
        <v>0</v>
      </c>
      <c r="KC103" s="195"/>
      <c r="KD103" s="206">
        <f t="shared" si="870"/>
        <v>0</v>
      </c>
      <c r="KE103" s="206">
        <f t="shared" si="871"/>
        <v>0</v>
      </c>
      <c r="KF103" s="206">
        <f t="shared" si="872"/>
        <v>0</v>
      </c>
      <c r="KG103" s="206">
        <f t="shared" si="873"/>
        <v>0</v>
      </c>
      <c r="KH103" s="206">
        <f t="shared" si="874"/>
        <v>0</v>
      </c>
      <c r="KI103" s="206">
        <f t="shared" si="875"/>
        <v>0</v>
      </c>
      <c r="KJ103" s="206">
        <f t="shared" si="876"/>
        <v>0</v>
      </c>
      <c r="KK103" s="206">
        <f t="shared" si="877"/>
        <v>0</v>
      </c>
      <c r="KL103" s="206">
        <f t="shared" si="878"/>
        <v>0</v>
      </c>
      <c r="KM103" s="206">
        <f t="shared" si="879"/>
        <v>0</v>
      </c>
      <c r="KN103" s="221">
        <f t="shared" si="880"/>
        <v>0</v>
      </c>
      <c r="KO103" s="221">
        <f t="shared" si="881"/>
        <v>0</v>
      </c>
      <c r="KP103" s="221">
        <f t="shared" si="882"/>
        <v>0</v>
      </c>
      <c r="KQ103" s="221">
        <f t="shared" si="883"/>
        <v>0</v>
      </c>
      <c r="KR103" s="221">
        <f t="shared" si="884"/>
        <v>0</v>
      </c>
      <c r="KS103" s="195">
        <v>2</v>
      </c>
      <c r="KT103" s="195">
        <f t="shared" si="885"/>
        <v>1</v>
      </c>
      <c r="KU103" s="221"/>
      <c r="KV103" s="221"/>
      <c r="KW103" s="221"/>
      <c r="KX103" s="221"/>
      <c r="KY103" s="221"/>
      <c r="KZ103" s="221"/>
      <c r="LA103" s="221"/>
      <c r="LB103" s="221"/>
      <c r="LC103" s="221"/>
      <c r="LD103" s="221"/>
      <c r="LE103" s="221"/>
      <c r="LF103" s="221"/>
      <c r="LG103" s="221"/>
      <c r="LH103" s="221"/>
      <c r="LI103" s="221"/>
      <c r="LJ103" s="221"/>
      <c r="LK103" s="221"/>
      <c r="LL103" s="221"/>
      <c r="LM103" s="221"/>
      <c r="LN103" s="221"/>
      <c r="LO103" s="221"/>
      <c r="LP103" s="221"/>
      <c r="LQ103" s="221"/>
      <c r="LR103" s="221"/>
      <c r="LS103" s="221"/>
      <c r="LT103" s="221"/>
      <c r="LU103" s="221"/>
      <c r="LV103" s="221"/>
      <c r="LW103" s="221"/>
      <c r="LX103" s="221"/>
      <c r="LY103" s="221"/>
      <c r="LZ103" s="221"/>
      <c r="MA103" s="221"/>
      <c r="MB103" s="221"/>
      <c r="MC103" s="221"/>
      <c r="MD103" s="221"/>
      <c r="ME103" s="221"/>
      <c r="MF103" s="221"/>
      <c r="MG103" s="221"/>
      <c r="MH103" s="221"/>
      <c r="MI103" s="221"/>
      <c r="MJ103" s="221"/>
      <c r="MK103" s="221"/>
      <c r="ML103" s="221"/>
      <c r="MM103" s="221"/>
      <c r="MN103" s="221"/>
      <c r="MO103" s="221"/>
      <c r="MP103" s="221"/>
      <c r="MQ103" s="221"/>
      <c r="MR103" s="221"/>
      <c r="MS103" s="221"/>
      <c r="MT103" s="221"/>
      <c r="MU103" s="221"/>
      <c r="MV103" s="221"/>
      <c r="MW103" s="221"/>
      <c r="MX103" s="221"/>
      <c r="MY103" s="221"/>
      <c r="MZ103" s="221"/>
      <c r="NA103" s="221"/>
      <c r="NB103" s="221"/>
      <c r="NC103" s="221"/>
      <c r="ND103" s="221"/>
      <c r="NE103" s="221"/>
      <c r="NF103" s="221"/>
      <c r="NG103" s="221"/>
      <c r="NH103" s="221"/>
      <c r="NI103" s="221"/>
      <c r="NJ103" s="221"/>
      <c r="NK103" s="221"/>
      <c r="NL103" s="195"/>
      <c r="NM103" s="195">
        <f t="shared" si="886"/>
        <v>0</v>
      </c>
      <c r="NN103" s="195">
        <f t="shared" si="887"/>
        <v>1</v>
      </c>
      <c r="NO103" s="195">
        <f t="shared" si="888"/>
        <v>0</v>
      </c>
      <c r="NP103" s="195">
        <f t="shared" si="889"/>
        <v>0</v>
      </c>
      <c r="NQ103" s="195">
        <f t="shared" si="890"/>
        <v>0</v>
      </c>
      <c r="NR103" s="195">
        <f t="shared" si="891"/>
        <v>0</v>
      </c>
      <c r="NS103" s="195">
        <f t="shared" si="892"/>
        <v>0</v>
      </c>
      <c r="NT103" s="195">
        <f t="shared" si="893"/>
        <v>1</v>
      </c>
      <c r="NU103" s="196">
        <f t="shared" si="894"/>
        <v>0</v>
      </c>
      <c r="NV103" s="195"/>
      <c r="NW103" s="195"/>
      <c r="NX103" s="195"/>
      <c r="NY103" s="196">
        <f t="shared" si="895"/>
        <v>0</v>
      </c>
      <c r="NZ103" s="222"/>
      <c r="OA103" s="195"/>
      <c r="OB103" s="195"/>
      <c r="OC103" s="195"/>
      <c r="OD103" s="195"/>
      <c r="OE103" s="207">
        <f t="shared" si="896"/>
        <v>0</v>
      </c>
      <c r="OF103" s="207">
        <f t="shared" si="897"/>
        <v>0</v>
      </c>
      <c r="OG103" s="207">
        <f t="shared" si="898"/>
        <v>1</v>
      </c>
      <c r="OH103" s="207">
        <f t="shared" si="899"/>
        <v>0</v>
      </c>
      <c r="OI103" s="207">
        <f t="shared" si="900"/>
        <v>1</v>
      </c>
      <c r="OJ103" s="199">
        <f t="shared" si="901"/>
        <v>0</v>
      </c>
      <c r="OK103" s="199">
        <f t="shared" si="902"/>
        <v>0</v>
      </c>
      <c r="OL103" s="199">
        <f t="shared" si="903"/>
        <v>0</v>
      </c>
      <c r="OM103" s="199">
        <f t="shared" si="904"/>
        <v>0</v>
      </c>
      <c r="ON103" s="195"/>
      <c r="OO103" s="207">
        <f t="shared" si="905"/>
        <v>0</v>
      </c>
      <c r="OP103" s="207">
        <f t="shared" si="906"/>
        <v>0</v>
      </c>
      <c r="OQ103" s="207">
        <f t="shared" si="907"/>
        <v>1</v>
      </c>
      <c r="OR103" s="207">
        <f t="shared" si="908"/>
        <v>0</v>
      </c>
      <c r="OS103" s="207">
        <f t="shared" si="909"/>
        <v>1</v>
      </c>
      <c r="OT103" s="199">
        <f t="shared" si="910"/>
        <v>0</v>
      </c>
      <c r="OU103" s="199">
        <f t="shared" si="911"/>
        <v>0</v>
      </c>
      <c r="OV103" s="199">
        <f t="shared" si="912"/>
        <v>0</v>
      </c>
      <c r="OW103" s="199">
        <f t="shared" si="913"/>
        <v>0</v>
      </c>
      <c r="OX103" s="195"/>
      <c r="OY103" s="195"/>
      <c r="OZ103" s="195"/>
      <c r="PA103" s="260">
        <v>1</v>
      </c>
      <c r="PB103" s="260"/>
      <c r="PC103" s="260"/>
      <c r="PD103" s="210">
        <f t="shared" si="430"/>
        <v>0</v>
      </c>
      <c r="PE103" s="210"/>
      <c r="PF103" s="210">
        <f t="shared" si="431"/>
        <v>0</v>
      </c>
      <c r="PG103" s="210">
        <f t="shared" si="302"/>
        <v>167</v>
      </c>
      <c r="PH103" s="210">
        <f t="shared" si="302"/>
        <v>0</v>
      </c>
      <c r="PI103" s="210">
        <f t="shared" si="302"/>
        <v>0</v>
      </c>
      <c r="PJ103" s="210">
        <f t="shared" si="300"/>
        <v>0</v>
      </c>
      <c r="PK103" s="210">
        <f t="shared" si="300"/>
        <v>0</v>
      </c>
      <c r="PL103" s="210">
        <f t="shared" si="300"/>
        <v>0</v>
      </c>
      <c r="PM103" s="195"/>
      <c r="PN103" s="195"/>
      <c r="PO103" s="212">
        <f t="shared" si="914"/>
        <v>0</v>
      </c>
      <c r="PP103" s="212">
        <f t="shared" si="915"/>
        <v>0</v>
      </c>
      <c r="PQ103" s="212">
        <f t="shared" si="916"/>
        <v>0</v>
      </c>
    </row>
    <row r="104" spans="1:433 16383:16384" ht="16" x14ac:dyDescent="0.2">
      <c r="A104" s="213">
        <f t="shared" ref="A104:A105" si="917">A99+1</f>
        <v>91</v>
      </c>
      <c r="B104" s="239" t="s">
        <v>701</v>
      </c>
      <c r="C104" s="261">
        <v>1</v>
      </c>
      <c r="D104" s="240">
        <v>1</v>
      </c>
      <c r="E104" s="240">
        <v>250</v>
      </c>
      <c r="F104" s="240">
        <v>1</v>
      </c>
      <c r="G104" s="240">
        <f t="shared" si="742"/>
        <v>250</v>
      </c>
      <c r="H104" s="241">
        <f t="shared" si="743"/>
        <v>1</v>
      </c>
      <c r="I104" s="241">
        <f t="shared" si="744"/>
        <v>1</v>
      </c>
      <c r="J104" s="165">
        <v>1</v>
      </c>
      <c r="K104" s="240">
        <f t="shared" si="745"/>
        <v>250</v>
      </c>
      <c r="L104" s="241">
        <f t="shared" si="746"/>
        <v>1</v>
      </c>
      <c r="M104" s="241">
        <f t="shared" si="747"/>
        <v>1</v>
      </c>
      <c r="N104" s="165">
        <v>1</v>
      </c>
      <c r="O104" s="240">
        <f t="shared" si="748"/>
        <v>250</v>
      </c>
      <c r="P104" s="241">
        <f t="shared" si="749"/>
        <v>1</v>
      </c>
      <c r="Q104" s="241">
        <f t="shared" si="750"/>
        <v>1</v>
      </c>
      <c r="R104" s="240">
        <v>0</v>
      </c>
      <c r="S104" s="240">
        <f t="shared" si="751"/>
        <v>0</v>
      </c>
      <c r="T104" s="241">
        <f t="shared" si="752"/>
        <v>0</v>
      </c>
      <c r="U104" s="241">
        <f t="shared" si="753"/>
        <v>0</v>
      </c>
      <c r="V104" s="240">
        <v>0</v>
      </c>
      <c r="W104" s="240">
        <f t="shared" si="754"/>
        <v>0</v>
      </c>
      <c r="X104" s="241">
        <f t="shared" si="755"/>
        <v>0</v>
      </c>
      <c r="Y104" s="241">
        <v>0</v>
      </c>
      <c r="Z104" s="247"/>
      <c r="AA104" s="240"/>
      <c r="AB104" s="240">
        <v>0</v>
      </c>
      <c r="AC104" s="241">
        <f t="shared" si="756"/>
        <v>0</v>
      </c>
      <c r="AD104" s="241">
        <v>0</v>
      </c>
      <c r="AE104" s="240"/>
      <c r="AF104" s="240">
        <f t="shared" si="757"/>
        <v>0</v>
      </c>
      <c r="AG104" s="262"/>
      <c r="AH104" s="262"/>
      <c r="AI104" s="240">
        <v>0</v>
      </c>
      <c r="AJ104" s="240">
        <f t="shared" si="758"/>
        <v>0</v>
      </c>
      <c r="AK104" s="240"/>
      <c r="AL104" s="240">
        <v>0</v>
      </c>
      <c r="AM104" s="240">
        <v>0</v>
      </c>
      <c r="AN104" s="244">
        <v>1</v>
      </c>
      <c r="AO104" s="196">
        <f t="shared" si="759"/>
        <v>0</v>
      </c>
      <c r="AP104" s="195"/>
      <c r="AQ104" s="195"/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88">
        <f t="shared" si="760"/>
        <v>250</v>
      </c>
      <c r="BC104" s="195"/>
      <c r="BD104" s="196"/>
      <c r="BE104" s="226">
        <f t="shared" si="761"/>
        <v>0</v>
      </c>
      <c r="BF104" s="188">
        <f t="shared" si="762"/>
        <v>0</v>
      </c>
      <c r="BG104" s="188">
        <f t="shared" si="763"/>
        <v>0</v>
      </c>
      <c r="BH104" s="188">
        <f t="shared" si="764"/>
        <v>0</v>
      </c>
      <c r="BI104" s="188">
        <f t="shared" si="765"/>
        <v>0</v>
      </c>
      <c r="BJ104" s="188">
        <f t="shared" si="766"/>
        <v>0</v>
      </c>
      <c r="BK104" s="188">
        <f t="shared" si="767"/>
        <v>0</v>
      </c>
      <c r="BL104" s="195"/>
      <c r="BM104" s="195"/>
      <c r="BN104" s="215"/>
      <c r="BO104" s="218"/>
      <c r="BP104" s="188"/>
      <c r="BQ104" s="188"/>
      <c r="BR104" s="188"/>
      <c r="BS104" s="188"/>
      <c r="BT104" s="188"/>
      <c r="BU104" s="188"/>
      <c r="BV104" s="188"/>
      <c r="BW104" s="188"/>
      <c r="BX104" s="188"/>
      <c r="BY104" s="188"/>
      <c r="BZ104" s="188"/>
      <c r="CA104" s="195"/>
      <c r="CB104" s="188"/>
      <c r="CC104" s="195"/>
      <c r="CD104" s="189">
        <f t="shared" si="768"/>
        <v>0</v>
      </c>
      <c r="CE104" s="189">
        <f t="shared" si="769"/>
        <v>0</v>
      </c>
      <c r="CF104" s="189">
        <f t="shared" si="770"/>
        <v>0</v>
      </c>
      <c r="CG104" s="189">
        <f t="shared" si="771"/>
        <v>0</v>
      </c>
      <c r="CH104" s="189">
        <f t="shared" si="772"/>
        <v>0</v>
      </c>
      <c r="CI104" s="189">
        <f t="shared" si="773"/>
        <v>0</v>
      </c>
      <c r="CJ104" s="189">
        <f t="shared" si="774"/>
        <v>0</v>
      </c>
      <c r="CK104" s="189">
        <f t="shared" si="775"/>
        <v>0</v>
      </c>
      <c r="CL104" s="189">
        <f t="shared" si="776"/>
        <v>0</v>
      </c>
      <c r="CM104" s="189">
        <f t="shared" si="777"/>
        <v>0</v>
      </c>
      <c r="CN104" s="189">
        <f t="shared" si="778"/>
        <v>0</v>
      </c>
      <c r="CO104" s="189">
        <f t="shared" si="779"/>
        <v>0</v>
      </c>
      <c r="CP104" s="189">
        <f t="shared" si="780"/>
        <v>0</v>
      </c>
      <c r="CQ104" s="195"/>
      <c r="CR104" s="195"/>
      <c r="CS104" s="195"/>
      <c r="CT104" s="195"/>
      <c r="CU104" s="195"/>
      <c r="CV104" s="195"/>
      <c r="CW104" s="195"/>
      <c r="CX104" s="195"/>
      <c r="CY104" s="195"/>
      <c r="CZ104" s="195"/>
      <c r="DA104" s="195"/>
      <c r="DB104" s="195"/>
      <c r="DC104" s="195"/>
      <c r="DD104" s="195"/>
      <c r="DE104" s="195"/>
      <c r="DF104" s="195"/>
      <c r="DG104" s="195"/>
      <c r="DH104" s="195"/>
      <c r="DI104" s="195"/>
      <c r="DJ104" s="195"/>
      <c r="DK104" s="195"/>
      <c r="DL104" s="195"/>
      <c r="DM104" s="195"/>
      <c r="DN104" s="195"/>
      <c r="DO104" s="195"/>
      <c r="DP104" s="195"/>
      <c r="DQ104" s="195"/>
      <c r="DR104" s="195"/>
      <c r="DS104" s="195"/>
      <c r="DT104" s="195"/>
      <c r="DU104" s="195"/>
      <c r="DV104" s="240">
        <f t="shared" si="781"/>
        <v>0</v>
      </c>
      <c r="DW104" s="240">
        <f t="shared" si="782"/>
        <v>0</v>
      </c>
      <c r="DX104" s="240">
        <f t="shared" si="783"/>
        <v>0</v>
      </c>
      <c r="DY104" s="240">
        <f t="shared" si="784"/>
        <v>0</v>
      </c>
      <c r="DZ104" s="240">
        <f t="shared" si="785"/>
        <v>0</v>
      </c>
      <c r="EA104" s="240">
        <f t="shared" si="786"/>
        <v>0</v>
      </c>
      <c r="EB104" s="240">
        <f t="shared" si="787"/>
        <v>0</v>
      </c>
      <c r="EC104" s="195"/>
      <c r="ED104" s="195"/>
      <c r="EE104" s="195"/>
      <c r="EF104" s="195"/>
      <c r="EG104" s="252">
        <f t="shared" si="788"/>
        <v>0</v>
      </c>
      <c r="EH104" s="252">
        <f t="shared" si="789"/>
        <v>0</v>
      </c>
      <c r="EI104" s="189"/>
      <c r="EJ104" s="189"/>
      <c r="EK104" s="189"/>
      <c r="EL104" s="189"/>
      <c r="EM104" s="189"/>
      <c r="EN104" s="189"/>
      <c r="EO104" s="189"/>
      <c r="EP104" s="189"/>
      <c r="EQ104" s="189"/>
      <c r="ER104" s="189"/>
      <c r="ES104" s="189"/>
      <c r="ET104" s="189"/>
      <c r="EU104" s="189"/>
      <c r="EV104" s="189"/>
      <c r="EW104" s="189"/>
      <c r="EX104" s="189"/>
      <c r="EY104" s="189"/>
      <c r="EZ104" s="189"/>
      <c r="FA104" s="189"/>
      <c r="FB104" s="189"/>
      <c r="FC104" s="189"/>
      <c r="FD104" s="189"/>
      <c r="FE104" s="189"/>
      <c r="FF104" s="189"/>
      <c r="FG104" s="195"/>
      <c r="FH104" s="189"/>
      <c r="FI104" s="189"/>
      <c r="FJ104" s="189"/>
      <c r="FK104" s="189"/>
      <c r="FL104" s="189"/>
      <c r="FM104" s="189"/>
      <c r="FN104" s="189"/>
      <c r="FO104" s="189"/>
      <c r="FP104" s="189"/>
      <c r="FQ104" s="189"/>
      <c r="FR104" s="189"/>
      <c r="FS104" s="189"/>
      <c r="FT104" s="189"/>
      <c r="FU104" s="189"/>
      <c r="FV104" s="189"/>
      <c r="FW104" s="195"/>
      <c r="FX104" s="253"/>
      <c r="FY104" s="189">
        <f t="shared" si="790"/>
        <v>0</v>
      </c>
      <c r="FZ104" s="189">
        <f t="shared" si="791"/>
        <v>0</v>
      </c>
      <c r="GA104" s="189">
        <f t="shared" si="792"/>
        <v>0</v>
      </c>
      <c r="GB104" s="189">
        <f t="shared" si="793"/>
        <v>0</v>
      </c>
      <c r="GC104" s="189">
        <f t="shared" si="794"/>
        <v>0</v>
      </c>
      <c r="GD104" s="189">
        <f t="shared" si="795"/>
        <v>0</v>
      </c>
      <c r="GE104" s="189">
        <f t="shared" si="796"/>
        <v>0</v>
      </c>
      <c r="GF104" s="235"/>
      <c r="GG104" s="263">
        <v>0</v>
      </c>
      <c r="GH104" s="264">
        <v>0</v>
      </c>
      <c r="GI104" s="235"/>
      <c r="GJ104" s="265">
        <f t="shared" si="797"/>
        <v>0</v>
      </c>
      <c r="GK104" s="266">
        <f t="shared" si="798"/>
        <v>0</v>
      </c>
      <c r="GL104" s="195"/>
      <c r="GM104" s="195"/>
      <c r="GN104" s="195"/>
      <c r="GO104" s="240">
        <f t="shared" si="799"/>
        <v>0</v>
      </c>
      <c r="GP104" s="240">
        <f t="shared" si="800"/>
        <v>0</v>
      </c>
      <c r="GQ104" s="240">
        <f t="shared" si="801"/>
        <v>0</v>
      </c>
      <c r="GR104" s="240">
        <f t="shared" si="802"/>
        <v>1</v>
      </c>
      <c r="GS104" s="240">
        <f t="shared" si="803"/>
        <v>1</v>
      </c>
      <c r="GT104" s="240">
        <f t="shared" si="804"/>
        <v>0</v>
      </c>
      <c r="GU104" s="248">
        <f t="shared" si="457"/>
        <v>43243</v>
      </c>
      <c r="GV104" s="240" t="str">
        <f t="shared" si="805"/>
        <v>Musyawarah</v>
      </c>
      <c r="GW104" s="240">
        <f t="shared" si="806"/>
        <v>1</v>
      </c>
      <c r="GX104" s="240" t="str">
        <f t="shared" si="807"/>
        <v>Musyawarah</v>
      </c>
      <c r="GY104" s="240">
        <f t="shared" si="808"/>
        <v>24</v>
      </c>
      <c r="GZ104" s="248">
        <f t="shared" si="809"/>
        <v>43267</v>
      </c>
      <c r="HA104" s="204"/>
      <c r="HB104" s="204"/>
      <c r="HC104" s="240">
        <f t="shared" si="810"/>
        <v>0</v>
      </c>
      <c r="HD104" s="240">
        <f t="shared" si="811"/>
        <v>0</v>
      </c>
      <c r="HE104" s="240">
        <f t="shared" si="812"/>
        <v>0</v>
      </c>
      <c r="HF104" s="240">
        <f t="shared" si="813"/>
        <v>0</v>
      </c>
      <c r="HG104" s="240">
        <f t="shared" si="814"/>
        <v>0</v>
      </c>
      <c r="HH104" s="248" t="str">
        <f t="shared" si="815"/>
        <v>TIDAK KONSINYASI</v>
      </c>
      <c r="HI104" s="248">
        <f t="shared" si="816"/>
        <v>43312</v>
      </c>
      <c r="HJ104" s="195"/>
      <c r="HK104" s="201">
        <f t="shared" si="817"/>
        <v>43312</v>
      </c>
      <c r="HL104" s="204"/>
      <c r="HM104" s="204"/>
      <c r="HN104" s="204"/>
      <c r="HO104" s="204"/>
      <c r="HP104" s="203">
        <f t="shared" si="818"/>
        <v>0</v>
      </c>
      <c r="HQ104" s="202">
        <f t="shared" si="819"/>
        <v>0</v>
      </c>
      <c r="HR104" s="202">
        <f t="shared" si="820"/>
        <v>0</v>
      </c>
      <c r="HS104" s="203">
        <f t="shared" si="821"/>
        <v>0</v>
      </c>
      <c r="HT104" s="202">
        <f t="shared" si="822"/>
        <v>0</v>
      </c>
      <c r="HU104" s="202">
        <f t="shared" si="823"/>
        <v>0</v>
      </c>
      <c r="HV104" s="203">
        <f t="shared" si="824"/>
        <v>0</v>
      </c>
      <c r="HW104" s="202">
        <f t="shared" si="825"/>
        <v>0</v>
      </c>
      <c r="HX104" s="202">
        <f t="shared" si="826"/>
        <v>0</v>
      </c>
      <c r="HY104" s="203">
        <f t="shared" si="827"/>
        <v>0</v>
      </c>
      <c r="HZ104" s="202">
        <f t="shared" si="828"/>
        <v>0</v>
      </c>
      <c r="IA104" s="202">
        <f t="shared" si="829"/>
        <v>0</v>
      </c>
      <c r="IB104" s="232">
        <f t="shared" si="830"/>
        <v>0</v>
      </c>
      <c r="IC104" s="226">
        <f t="shared" si="831"/>
        <v>0</v>
      </c>
      <c r="ID104" s="226">
        <f t="shared" si="832"/>
        <v>0</v>
      </c>
      <c r="IE104" s="232">
        <f t="shared" si="833"/>
        <v>0</v>
      </c>
      <c r="IF104" s="226">
        <f t="shared" si="834"/>
        <v>0</v>
      </c>
      <c r="IG104" s="226">
        <f t="shared" si="835"/>
        <v>0</v>
      </c>
      <c r="IH104" s="232">
        <f t="shared" si="836"/>
        <v>0</v>
      </c>
      <c r="II104" s="226">
        <f t="shared" si="837"/>
        <v>0</v>
      </c>
      <c r="IJ104" s="226">
        <f t="shared" si="838"/>
        <v>0</v>
      </c>
      <c r="IK104" s="232">
        <f t="shared" si="839"/>
        <v>0</v>
      </c>
      <c r="IL104" s="226">
        <f t="shared" si="840"/>
        <v>0</v>
      </c>
      <c r="IM104" s="226">
        <f t="shared" si="841"/>
        <v>0</v>
      </c>
      <c r="IN104" s="204"/>
      <c r="IO104" s="203">
        <f t="shared" si="842"/>
        <v>0</v>
      </c>
      <c r="IP104" s="202">
        <f t="shared" si="843"/>
        <v>0</v>
      </c>
      <c r="IQ104" s="202">
        <f t="shared" si="844"/>
        <v>0</v>
      </c>
      <c r="IR104" s="204"/>
      <c r="IS104" s="203"/>
      <c r="IT104" s="202">
        <f t="shared" si="845"/>
        <v>0</v>
      </c>
      <c r="IU104" s="226">
        <f t="shared" si="846"/>
        <v>0</v>
      </c>
      <c r="IV104" s="204"/>
      <c r="IW104" s="203"/>
      <c r="IX104" s="202">
        <f t="shared" si="847"/>
        <v>0</v>
      </c>
      <c r="IY104" s="202">
        <f t="shared" si="848"/>
        <v>0</v>
      </c>
      <c r="IZ104" s="204"/>
      <c r="JA104" s="203"/>
      <c r="JB104" s="202">
        <f t="shared" si="849"/>
        <v>1</v>
      </c>
      <c r="JC104" s="226">
        <f t="shared" si="850"/>
        <v>250</v>
      </c>
      <c r="JD104" s="204"/>
      <c r="JE104" s="203"/>
      <c r="JF104" s="202">
        <f t="shared" si="851"/>
        <v>1</v>
      </c>
      <c r="JG104" s="202">
        <f t="shared" si="852"/>
        <v>250</v>
      </c>
      <c r="JH104" s="204"/>
      <c r="JI104" s="203"/>
      <c r="JJ104" s="202">
        <f t="shared" si="853"/>
        <v>0</v>
      </c>
      <c r="JK104" s="202">
        <f t="shared" si="854"/>
        <v>0</v>
      </c>
      <c r="JL104" s="195"/>
      <c r="JM104" s="203">
        <f t="shared" si="855"/>
        <v>0</v>
      </c>
      <c r="JN104" s="195"/>
      <c r="JO104" s="196">
        <f t="shared" si="856"/>
        <v>0</v>
      </c>
      <c r="JP104" s="206">
        <f t="shared" si="857"/>
        <v>0</v>
      </c>
      <c r="JQ104" s="206">
        <f t="shared" si="858"/>
        <v>0</v>
      </c>
      <c r="JR104" s="206">
        <f t="shared" si="859"/>
        <v>0</v>
      </c>
      <c r="JS104" s="206">
        <f t="shared" si="860"/>
        <v>0</v>
      </c>
      <c r="JT104" s="206">
        <f t="shared" si="861"/>
        <v>0</v>
      </c>
      <c r="JU104" s="206">
        <f t="shared" si="862"/>
        <v>0</v>
      </c>
      <c r="JV104" s="206">
        <f t="shared" si="863"/>
        <v>0</v>
      </c>
      <c r="JW104" s="206">
        <f t="shared" si="864"/>
        <v>0</v>
      </c>
      <c r="JX104" s="206">
        <f t="shared" si="865"/>
        <v>0</v>
      </c>
      <c r="JY104" s="206">
        <f t="shared" si="866"/>
        <v>0</v>
      </c>
      <c r="JZ104" s="206">
        <f t="shared" si="867"/>
        <v>0</v>
      </c>
      <c r="KA104" s="206">
        <f t="shared" si="868"/>
        <v>0</v>
      </c>
      <c r="KB104" s="206">
        <f t="shared" si="869"/>
        <v>0</v>
      </c>
      <c r="KC104" s="195"/>
      <c r="KD104" s="206">
        <f t="shared" si="870"/>
        <v>0</v>
      </c>
      <c r="KE104" s="206">
        <f t="shared" si="871"/>
        <v>0</v>
      </c>
      <c r="KF104" s="206">
        <f t="shared" si="872"/>
        <v>0</v>
      </c>
      <c r="KG104" s="206">
        <f t="shared" si="873"/>
        <v>0</v>
      </c>
      <c r="KH104" s="206">
        <f t="shared" si="874"/>
        <v>0</v>
      </c>
      <c r="KI104" s="206">
        <f t="shared" si="875"/>
        <v>0</v>
      </c>
      <c r="KJ104" s="206">
        <f t="shared" si="876"/>
        <v>0</v>
      </c>
      <c r="KK104" s="206">
        <f t="shared" si="877"/>
        <v>0</v>
      </c>
      <c r="KL104" s="206">
        <f t="shared" si="878"/>
        <v>0</v>
      </c>
      <c r="KM104" s="206">
        <f t="shared" si="879"/>
        <v>0</v>
      </c>
      <c r="KN104" s="221">
        <f t="shared" si="880"/>
        <v>0</v>
      </c>
      <c r="KO104" s="221">
        <f t="shared" si="881"/>
        <v>0</v>
      </c>
      <c r="KP104" s="221">
        <f t="shared" si="882"/>
        <v>0</v>
      </c>
      <c r="KQ104" s="221">
        <f t="shared" si="883"/>
        <v>0</v>
      </c>
      <c r="KR104" s="221">
        <f t="shared" si="884"/>
        <v>0</v>
      </c>
      <c r="KS104" s="109">
        <v>2</v>
      </c>
      <c r="KT104" s="195">
        <f t="shared" si="885"/>
        <v>1</v>
      </c>
      <c r="KU104" s="221"/>
      <c r="KV104" s="221"/>
      <c r="KW104" s="221"/>
      <c r="KX104" s="221"/>
      <c r="KY104" s="221"/>
      <c r="KZ104" s="221"/>
      <c r="LA104" s="221"/>
      <c r="LB104" s="221"/>
      <c r="LC104" s="221"/>
      <c r="LD104" s="221"/>
      <c r="LE104" s="221"/>
      <c r="LF104" s="221"/>
      <c r="LG104" s="221"/>
      <c r="LH104" s="221"/>
      <c r="LI104" s="221"/>
      <c r="LJ104" s="221"/>
      <c r="LK104" s="221"/>
      <c r="LL104" s="221"/>
      <c r="LM104" s="221"/>
      <c r="LN104" s="221"/>
      <c r="LO104" s="221"/>
      <c r="LP104" s="221"/>
      <c r="LQ104" s="221"/>
      <c r="LR104" s="221"/>
      <c r="LS104" s="221"/>
      <c r="LT104" s="221"/>
      <c r="LU104" s="221"/>
      <c r="LV104" s="221"/>
      <c r="LW104" s="221"/>
      <c r="LX104" s="221"/>
      <c r="LY104" s="221"/>
      <c r="LZ104" s="221"/>
      <c r="MA104" s="221"/>
      <c r="MB104" s="221"/>
      <c r="MC104" s="221"/>
      <c r="MD104" s="221"/>
      <c r="ME104" s="221"/>
      <c r="MF104" s="221"/>
      <c r="MG104" s="221"/>
      <c r="MH104" s="221"/>
      <c r="MI104" s="221"/>
      <c r="MJ104" s="221"/>
      <c r="MK104" s="221"/>
      <c r="ML104" s="221"/>
      <c r="MM104" s="221"/>
      <c r="MN104" s="221"/>
      <c r="MO104" s="221"/>
      <c r="MP104" s="221"/>
      <c r="MQ104" s="221"/>
      <c r="MR104" s="221"/>
      <c r="MS104" s="221"/>
      <c r="MT104" s="221"/>
      <c r="MU104" s="221"/>
      <c r="MV104" s="221"/>
      <c r="MW104" s="221"/>
      <c r="MX104" s="221"/>
      <c r="MY104" s="221"/>
      <c r="MZ104" s="221"/>
      <c r="NA104" s="221"/>
      <c r="NB104" s="221"/>
      <c r="NC104" s="221"/>
      <c r="ND104" s="221"/>
      <c r="NE104" s="221"/>
      <c r="NF104" s="221"/>
      <c r="NG104" s="221"/>
      <c r="NH104" s="221"/>
      <c r="NI104" s="221"/>
      <c r="NJ104" s="221"/>
      <c r="NK104" s="221"/>
      <c r="NL104" s="195"/>
      <c r="NM104" s="195">
        <f t="shared" si="886"/>
        <v>0</v>
      </c>
      <c r="NN104" s="195">
        <f t="shared" si="887"/>
        <v>1</v>
      </c>
      <c r="NO104" s="195">
        <f t="shared" si="888"/>
        <v>0</v>
      </c>
      <c r="NP104" s="195">
        <f t="shared" si="889"/>
        <v>0</v>
      </c>
      <c r="NQ104" s="195">
        <f t="shared" si="890"/>
        <v>0</v>
      </c>
      <c r="NR104" s="195">
        <f t="shared" si="891"/>
        <v>0</v>
      </c>
      <c r="NS104" s="195">
        <f t="shared" si="892"/>
        <v>0</v>
      </c>
      <c r="NT104" s="195">
        <f t="shared" si="893"/>
        <v>1</v>
      </c>
      <c r="NU104" s="196">
        <f t="shared" si="894"/>
        <v>0</v>
      </c>
      <c r="NV104" s="195"/>
      <c r="NW104" s="195"/>
      <c r="NX104" s="195"/>
      <c r="NY104" s="196">
        <f t="shared" si="895"/>
        <v>0</v>
      </c>
      <c r="NZ104" s="222"/>
      <c r="OA104" s="195"/>
      <c r="OB104" s="195"/>
      <c r="OC104" s="195"/>
      <c r="OD104" s="195"/>
      <c r="OE104" s="207">
        <f t="shared" si="896"/>
        <v>0</v>
      </c>
      <c r="OF104" s="207">
        <f t="shared" si="897"/>
        <v>0</v>
      </c>
      <c r="OG104" s="207">
        <f t="shared" si="898"/>
        <v>1</v>
      </c>
      <c r="OH104" s="207">
        <f t="shared" si="899"/>
        <v>0</v>
      </c>
      <c r="OI104" s="207">
        <f t="shared" si="900"/>
        <v>1</v>
      </c>
      <c r="OJ104" s="199">
        <f t="shared" si="901"/>
        <v>0</v>
      </c>
      <c r="OK104" s="199">
        <f t="shared" si="902"/>
        <v>0</v>
      </c>
      <c r="OL104" s="199">
        <f t="shared" si="903"/>
        <v>0</v>
      </c>
      <c r="OM104" s="199">
        <f t="shared" si="904"/>
        <v>0</v>
      </c>
      <c r="ON104" s="195"/>
      <c r="OO104" s="207">
        <f t="shared" si="905"/>
        <v>0</v>
      </c>
      <c r="OP104" s="207">
        <f t="shared" si="906"/>
        <v>0</v>
      </c>
      <c r="OQ104" s="207">
        <f t="shared" si="907"/>
        <v>1</v>
      </c>
      <c r="OR104" s="207">
        <f t="shared" si="908"/>
        <v>0</v>
      </c>
      <c r="OS104" s="207">
        <f t="shared" si="909"/>
        <v>1</v>
      </c>
      <c r="OT104" s="199">
        <f t="shared" si="910"/>
        <v>0</v>
      </c>
      <c r="OU104" s="199">
        <f t="shared" si="911"/>
        <v>0</v>
      </c>
      <c r="OV104" s="199">
        <f t="shared" si="912"/>
        <v>0</v>
      </c>
      <c r="OW104" s="199">
        <f t="shared" si="913"/>
        <v>0</v>
      </c>
      <c r="OX104" s="195"/>
      <c r="OY104" s="195"/>
      <c r="OZ104" s="195"/>
      <c r="PA104" s="260">
        <v>1</v>
      </c>
      <c r="PB104" s="260"/>
      <c r="PC104" s="260"/>
      <c r="PD104" s="210">
        <f t="shared" ref="PD104:PD106" si="918">PB104-PC104</f>
        <v>0</v>
      </c>
      <c r="PE104" s="210"/>
      <c r="PF104" s="210">
        <f t="shared" ref="PF104:PF106" si="919">PD104-PE104</f>
        <v>0</v>
      </c>
      <c r="PG104" s="210">
        <f t="shared" ref="PG104:PG106" si="920">IF(PA104=1,$BB104,0)</f>
        <v>250</v>
      </c>
      <c r="PH104" s="210">
        <f t="shared" ref="PH104:PH106" si="921">IF(PB104=1,$BB104,0)</f>
        <v>0</v>
      </c>
      <c r="PI104" s="210">
        <f t="shared" ref="PI104:PI106" si="922">IF(PC104=1,$BB104,0)</f>
        <v>0</v>
      </c>
      <c r="PJ104" s="210">
        <f t="shared" ref="PJ104:PJ106" si="923">IF(PD104=1,$BB104,0)</f>
        <v>0</v>
      </c>
      <c r="PK104" s="210">
        <f t="shared" ref="PK104:PK106" si="924">IF(PE104=1,$BB104,0)</f>
        <v>0</v>
      </c>
      <c r="PL104" s="210">
        <f t="shared" ref="PL104:PL106" si="925">IF(PF104=1,$BB104,0)</f>
        <v>0</v>
      </c>
      <c r="PM104" s="195"/>
      <c r="PN104" s="195"/>
      <c r="PO104" s="212">
        <f t="shared" si="914"/>
        <v>0</v>
      </c>
      <c r="PP104" s="212">
        <f t="shared" si="915"/>
        <v>0</v>
      </c>
      <c r="PQ104" s="212">
        <f t="shared" si="916"/>
        <v>0</v>
      </c>
    </row>
    <row r="105" spans="1:433 16383:16384" ht="16" x14ac:dyDescent="0.2">
      <c r="A105" s="213">
        <f t="shared" si="917"/>
        <v>92</v>
      </c>
      <c r="B105" s="239" t="s">
        <v>702</v>
      </c>
      <c r="C105" s="261">
        <v>2</v>
      </c>
      <c r="D105" s="240">
        <v>1</v>
      </c>
      <c r="E105" s="240">
        <v>158</v>
      </c>
      <c r="F105" s="240">
        <v>1</v>
      </c>
      <c r="G105" s="240">
        <f t="shared" ref="G105" si="926">E105</f>
        <v>158</v>
      </c>
      <c r="H105" s="241">
        <f t="shared" ref="H105" si="927">F105/$D105</f>
        <v>1</v>
      </c>
      <c r="I105" s="241">
        <f t="shared" ref="I105" si="928">G105/$E105</f>
        <v>1</v>
      </c>
      <c r="J105" s="165">
        <v>1</v>
      </c>
      <c r="K105" s="240">
        <f t="shared" ref="K105" si="929">IF(J105=D105,E105,0)</f>
        <v>158</v>
      </c>
      <c r="L105" s="241">
        <f t="shared" ref="L105" si="930">J105/$D105</f>
        <v>1</v>
      </c>
      <c r="M105" s="241">
        <f t="shared" ref="M105" si="931">K105/$E105</f>
        <v>1</v>
      </c>
      <c r="N105" s="165">
        <v>1</v>
      </c>
      <c r="O105" s="240">
        <f t="shared" ref="O105" si="932">IF(N105=D105,E105,0)</f>
        <v>158</v>
      </c>
      <c r="P105" s="241">
        <f t="shared" ref="P105" si="933">N105/$D105</f>
        <v>1</v>
      </c>
      <c r="Q105" s="241">
        <f t="shared" ref="Q105" si="934">O105/$E105</f>
        <v>1</v>
      </c>
      <c r="R105" s="240">
        <v>0</v>
      </c>
      <c r="S105" s="240">
        <f t="shared" ref="S105" si="935">IF(R105=D105,E105,0)</f>
        <v>0</v>
      </c>
      <c r="T105" s="241">
        <f t="shared" ref="T105" si="936">R105/$D105</f>
        <v>0</v>
      </c>
      <c r="U105" s="241">
        <f t="shared" ref="U105" si="937">S105/$E105</f>
        <v>0</v>
      </c>
      <c r="V105" s="240">
        <v>0</v>
      </c>
      <c r="W105" s="240">
        <f t="shared" ref="W105" si="938">IF(V105=D105,E105,0)</f>
        <v>0</v>
      </c>
      <c r="X105" s="241">
        <f t="shared" ref="X105" si="939">V105/$D105</f>
        <v>0</v>
      </c>
      <c r="Y105" s="241">
        <v>0</v>
      </c>
      <c r="Z105" s="247"/>
      <c r="AA105" s="240"/>
      <c r="AB105" s="240">
        <v>0</v>
      </c>
      <c r="AC105" s="241">
        <f t="shared" ref="AC105" si="940">AA105/$D105</f>
        <v>0</v>
      </c>
      <c r="AD105" s="241">
        <v>0</v>
      </c>
      <c r="AE105" s="240"/>
      <c r="AF105" s="240">
        <f t="shared" ref="AF105" si="941">R105-V105</f>
        <v>0</v>
      </c>
      <c r="AG105" s="262"/>
      <c r="AH105" s="262"/>
      <c r="AI105" s="240">
        <v>0</v>
      </c>
      <c r="AJ105" s="240">
        <f t="shared" ref="AJ105" si="942">IF(AI105=D105,E105,0)</f>
        <v>0</v>
      </c>
      <c r="AK105" s="240"/>
      <c r="AL105" s="240">
        <v>0</v>
      </c>
      <c r="AM105" s="240">
        <v>0</v>
      </c>
      <c r="AN105" s="244">
        <v>1</v>
      </c>
      <c r="AO105" s="196">
        <f t="shared" ref="AO105" si="943">D105-R105-AN105-CB105</f>
        <v>0</v>
      </c>
      <c r="AP105" s="195"/>
      <c r="AQ105" s="195"/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88">
        <f t="shared" ref="BB105" si="944">IF(AN105=1,E105,0)</f>
        <v>158</v>
      </c>
      <c r="BC105" s="195"/>
      <c r="BD105" s="196"/>
      <c r="BE105" s="226">
        <f t="shared" ref="BE105" si="945">IF(AF105=1,S105,0)</f>
        <v>0</v>
      </c>
      <c r="BF105" s="188">
        <f t="shared" ref="BF105" si="946">IF(AG105="A",S105,0)</f>
        <v>0</v>
      </c>
      <c r="BG105" s="188">
        <f t="shared" ref="BG105" si="947">IF(AG105="B",S105,0)</f>
        <v>0</v>
      </c>
      <c r="BH105" s="188">
        <f t="shared" ref="BH105" si="948">IF(AG105="C",S105,0)</f>
        <v>0</v>
      </c>
      <c r="BI105" s="188">
        <f t="shared" ref="BI105" si="949">IF(AG105="D",S105,0)</f>
        <v>0</v>
      </c>
      <c r="BJ105" s="188">
        <f t="shared" ref="BJ105" si="950">IF(AG105="E",S105,0)</f>
        <v>0</v>
      </c>
      <c r="BK105" s="188">
        <f t="shared" ref="BK105" si="951">SUM(BF105:BJ105)</f>
        <v>0</v>
      </c>
      <c r="BL105" s="195"/>
      <c r="BM105" s="195"/>
      <c r="BN105" s="215"/>
      <c r="BO105" s="218"/>
      <c r="BP105" s="188"/>
      <c r="BQ105" s="188"/>
      <c r="BR105" s="188"/>
      <c r="BS105" s="188"/>
      <c r="BT105" s="188"/>
      <c r="BU105" s="188"/>
      <c r="BV105" s="188"/>
      <c r="BW105" s="188"/>
      <c r="BX105" s="188"/>
      <c r="BY105" s="188"/>
      <c r="BZ105" s="188"/>
      <c r="CA105" s="195"/>
      <c r="CB105" s="188"/>
      <c r="CC105" s="195"/>
      <c r="CD105" s="189">
        <f t="shared" ref="CD105" si="952">BN105</f>
        <v>0</v>
      </c>
      <c r="CE105" s="189">
        <f t="shared" ref="CE105" si="953">IF(BO105=1,$CD105,0)</f>
        <v>0</v>
      </c>
      <c r="CF105" s="189">
        <f t="shared" ref="CF105" si="954">IF(BP105=1,$CD105,0)</f>
        <v>0</v>
      </c>
      <c r="CG105" s="189">
        <f t="shared" ref="CG105" si="955">IF(BQ105=1,$CD105,0)</f>
        <v>0</v>
      </c>
      <c r="CH105" s="189">
        <f t="shared" ref="CH105" si="956">IF(BR105=1,$CD105,0)</f>
        <v>0</v>
      </c>
      <c r="CI105" s="189">
        <f t="shared" ref="CI105" si="957">IF(BS105=1,$CD105,0)</f>
        <v>0</v>
      </c>
      <c r="CJ105" s="189">
        <f t="shared" ref="CJ105" si="958">IF(BT105=1,$CD105,0)</f>
        <v>0</v>
      </c>
      <c r="CK105" s="189">
        <f t="shared" ref="CK105" si="959">IF(BU105=1,$CD105,0)</f>
        <v>0</v>
      </c>
      <c r="CL105" s="189">
        <f t="shared" ref="CL105" si="960">IF(BV105=1,$CD105,0)</f>
        <v>0</v>
      </c>
      <c r="CM105" s="189">
        <f t="shared" ref="CM105" si="961">IF(BW105=1,$CD105,0)</f>
        <v>0</v>
      </c>
      <c r="CN105" s="189">
        <f t="shared" ref="CN105" si="962">IF(BX105=1,$CD105,0)</f>
        <v>0</v>
      </c>
      <c r="CO105" s="189">
        <f t="shared" ref="CO105" si="963">IF(BY105=1,$CD105,0)</f>
        <v>0</v>
      </c>
      <c r="CP105" s="189">
        <f t="shared" ref="CP105" si="964">IF(BZ105=1,$CD105,0)</f>
        <v>0</v>
      </c>
      <c r="CQ105" s="195"/>
      <c r="CR105" s="195"/>
      <c r="CS105" s="195"/>
      <c r="CT105" s="195"/>
      <c r="CU105" s="195"/>
      <c r="CV105" s="195"/>
      <c r="CW105" s="195"/>
      <c r="CX105" s="195"/>
      <c r="CY105" s="195"/>
      <c r="CZ105" s="195"/>
      <c r="DA105" s="195"/>
      <c r="DB105" s="195"/>
      <c r="DC105" s="195"/>
      <c r="DD105" s="195"/>
      <c r="DE105" s="195"/>
      <c r="DF105" s="195"/>
      <c r="DG105" s="195"/>
      <c r="DH105" s="195"/>
      <c r="DI105" s="195"/>
      <c r="DJ105" s="195"/>
      <c r="DK105" s="195"/>
      <c r="DL105" s="195"/>
      <c r="DM105" s="195"/>
      <c r="DN105" s="195"/>
      <c r="DO105" s="195"/>
      <c r="DP105" s="195"/>
      <c r="DQ105" s="195"/>
      <c r="DR105" s="195"/>
      <c r="DS105" s="195"/>
      <c r="DT105" s="195"/>
      <c r="DU105" s="195"/>
      <c r="DV105" s="240">
        <f t="shared" ref="DV105" si="965">IF(CB105=1,G105,0)</f>
        <v>0</v>
      </c>
      <c r="DW105" s="240">
        <f t="shared" ref="DW105" si="966">IF(CC105="A",G105,0)</f>
        <v>0</v>
      </c>
      <c r="DX105" s="240">
        <f t="shared" ref="DX105" si="967">IF(CC105="B",G105,0)</f>
        <v>0</v>
      </c>
      <c r="DY105" s="240">
        <f t="shared" ref="DY105" si="968">IF(CC105="C",G105,0)</f>
        <v>0</v>
      </c>
      <c r="DZ105" s="240">
        <f t="shared" ref="DZ105" si="969">IF(CC105="D",G105,0)</f>
        <v>0</v>
      </c>
      <c r="EA105" s="240">
        <f t="shared" ref="EA105" si="970">IF(CC105="E",G105,0)</f>
        <v>0</v>
      </c>
      <c r="EB105" s="240">
        <f t="shared" ref="EB105" si="971">SUM(DW105:EA105)</f>
        <v>0</v>
      </c>
      <c r="EC105" s="195"/>
      <c r="ED105" s="195"/>
      <c r="EE105" s="195"/>
      <c r="EF105" s="195"/>
      <c r="EG105" s="252">
        <f t="shared" ref="EG105" si="972">IF(AG105="C","C",IF(AG105="D","D",0))</f>
        <v>0</v>
      </c>
      <c r="EH105" s="252">
        <f t="shared" ref="EH105" si="973">CC105</f>
        <v>0</v>
      </c>
      <c r="EI105" s="189"/>
      <c r="EJ105" s="189"/>
      <c r="EK105" s="189"/>
      <c r="EL105" s="189"/>
      <c r="EM105" s="189"/>
      <c r="EN105" s="189"/>
      <c r="EO105" s="189"/>
      <c r="EP105" s="189"/>
      <c r="EQ105" s="189"/>
      <c r="ER105" s="189"/>
      <c r="ES105" s="189"/>
      <c r="ET105" s="189"/>
      <c r="EU105" s="189"/>
      <c r="EV105" s="189"/>
      <c r="EW105" s="189"/>
      <c r="EX105" s="189"/>
      <c r="EY105" s="189"/>
      <c r="EZ105" s="189"/>
      <c r="FA105" s="189"/>
      <c r="FB105" s="189"/>
      <c r="FC105" s="189"/>
      <c r="FD105" s="189"/>
      <c r="FE105" s="189"/>
      <c r="FF105" s="189"/>
      <c r="FG105" s="195"/>
      <c r="FH105" s="189"/>
      <c r="FI105" s="189"/>
      <c r="FJ105" s="189"/>
      <c r="FK105" s="189"/>
      <c r="FL105" s="189"/>
      <c r="FM105" s="189"/>
      <c r="FN105" s="189"/>
      <c r="FO105" s="189"/>
      <c r="FP105" s="189"/>
      <c r="FQ105" s="189"/>
      <c r="FR105" s="189"/>
      <c r="FS105" s="189"/>
      <c r="FT105" s="189"/>
      <c r="FU105" s="189"/>
      <c r="FV105" s="189"/>
      <c r="FW105" s="195"/>
      <c r="FX105" s="253"/>
      <c r="FY105" s="189">
        <f t="shared" ref="FY105" si="974">SUM(FZ105:GE105)</f>
        <v>0</v>
      </c>
      <c r="FZ105" s="189">
        <f t="shared" ref="FZ105" si="975">DI105+CE105</f>
        <v>0</v>
      </c>
      <c r="GA105" s="189">
        <f t="shared" ref="GA105" si="976">DJ105+CF105</f>
        <v>0</v>
      </c>
      <c r="GB105" s="189">
        <f t="shared" ref="GB105" si="977">DK105+CG105</f>
        <v>0</v>
      </c>
      <c r="GC105" s="189">
        <f t="shared" ref="GC105" si="978">DM105+CI105</f>
        <v>0</v>
      </c>
      <c r="GD105" s="189">
        <f t="shared" ref="GD105" si="979">DO105+CK105</f>
        <v>0</v>
      </c>
      <c r="GE105" s="189">
        <f t="shared" ref="GE105" si="980">DT105+CP105</f>
        <v>0</v>
      </c>
      <c r="GF105" s="235"/>
      <c r="GG105" s="263">
        <v>0</v>
      </c>
      <c r="GH105" s="264">
        <v>0</v>
      </c>
      <c r="GI105" s="235"/>
      <c r="GJ105" s="265">
        <f t="shared" ref="GJ105" si="981">FY105*GG105/1000000000</f>
        <v>0</v>
      </c>
      <c r="GK105" s="266">
        <f t="shared" ref="GK105" si="982">FY105*GH105/1000000000</f>
        <v>0</v>
      </c>
      <c r="GL105" s="195"/>
      <c r="GM105" s="195"/>
      <c r="GN105" s="195"/>
      <c r="GO105" s="240">
        <f t="shared" ref="GO105" si="983">D105-F105</f>
        <v>0</v>
      </c>
      <c r="GP105" s="240">
        <f t="shared" ref="GP105" si="984">D105-J105</f>
        <v>0</v>
      </c>
      <c r="GQ105" s="240">
        <f t="shared" ref="GQ105" si="985">D105-N105</f>
        <v>0</v>
      </c>
      <c r="GR105" s="240">
        <f t="shared" ref="GR105" si="986">D105-R105</f>
        <v>1</v>
      </c>
      <c r="GS105" s="240">
        <f t="shared" ref="GS105" si="987">D105-V105</f>
        <v>1</v>
      </c>
      <c r="GT105" s="240">
        <f t="shared" ref="GT105" si="988">IF(SUM(GO105:GS105)=0,1,0)</f>
        <v>0</v>
      </c>
      <c r="GU105" s="248">
        <f t="shared" si="457"/>
        <v>43243</v>
      </c>
      <c r="GV105" s="240" t="str">
        <f t="shared" ref="GV105" si="989">IF(GO105&gt;0,$GO$6,IF(GP105&gt;0,$GP$6,IF(GQ105&gt;0,$GQ$6,IF(GR105&gt;0,$GR$6,IF(GS105&gt;0,$GS$6,IF(GT105&gt;0,$GT$6,0))))))</f>
        <v>Musyawarah</v>
      </c>
      <c r="GW105" s="240">
        <f t="shared" ref="GW105" si="990">IF(GV105=$GO$6,GO105,IF(GV105=$GP$6,GP105,IF(GV105=$GQ$6,GQ105,IF(GV105=$GR$6,GR105,IF(GV105=$GS$6,GS105,0)))))</f>
        <v>1</v>
      </c>
      <c r="GX105" s="240" t="str">
        <f t="shared" ref="GX105" si="991">GV105</f>
        <v>Musyawarah</v>
      </c>
      <c r="GY105" s="240">
        <f t="shared" ref="GY105" si="992">IF(GX105="DNP",SUM($GY$4:$GY$8),IF(GX105="Survey KJPP",SUM($GY$5:$GY$8),IF(GX105="Hasil Valuasi",SUM($GY$6:$GY$8),IF(GX105="Musyawarah",SUM($GY$7:$GY$8),IF(GX105="UGR",$GY$8,0)))))</f>
        <v>24</v>
      </c>
      <c r="GZ105" s="248">
        <f t="shared" ref="GZ105" si="993">IF(GW105=0,"SELESAI",GU105+GY105)</f>
        <v>43267</v>
      </c>
      <c r="HA105" s="204"/>
      <c r="HB105" s="204"/>
      <c r="HC105" s="240">
        <f t="shared" ref="HC105" si="994">IF(BH105&gt;0,1,IF(BI105&gt;0,1,0))</f>
        <v>0</v>
      </c>
      <c r="HD105" s="240">
        <f t="shared" ref="HD105" si="995">IF(CB105&gt;0,1,0)</f>
        <v>0</v>
      </c>
      <c r="HE105" s="240">
        <f t="shared" ref="HE105" si="996">HC105+HD105</f>
        <v>0</v>
      </c>
      <c r="HF105" s="240">
        <f t="shared" ref="HF105" si="997">FQ105</f>
        <v>0</v>
      </c>
      <c r="HG105" s="240">
        <f t="shared" ref="HG105" si="998">HE105-HF105</f>
        <v>0</v>
      </c>
      <c r="HH105" s="248" t="str">
        <f t="shared" ref="HH105" si="999">IF(HG105=1,GU105+$HH$8,"TIDAK KONSINYASI")</f>
        <v>TIDAK KONSINYASI</v>
      </c>
      <c r="HI105" s="248">
        <f t="shared" ref="HI105" si="1000">IF(GW105=0,"SELESAI",GZ105+$HI$8)</f>
        <v>43312</v>
      </c>
      <c r="HJ105" s="195"/>
      <c r="HK105" s="201">
        <f t="shared" ref="HK105" si="1001">MAX(GZ105,HH105,HI105)</f>
        <v>43312</v>
      </c>
      <c r="HL105" s="204"/>
      <c r="HM105" s="204"/>
      <c r="HN105" s="204"/>
      <c r="HO105" s="204"/>
      <c r="HP105" s="203">
        <f t="shared" ref="HP105" si="1002">IF(HQ105=1,GZ105,0)</f>
        <v>0</v>
      </c>
      <c r="HQ105" s="202">
        <f t="shared" ref="HQ105" si="1003">IF(IX105=0,IF(HT105=0,IF(IP105=0,IF(GV105="UGR",GS105,0),0),0),0)</f>
        <v>0</v>
      </c>
      <c r="HR105" s="202">
        <f t="shared" ref="HR105" si="1004">IF(HQ105=1,E105,0)</f>
        <v>0</v>
      </c>
      <c r="HS105" s="203">
        <f t="shared" ref="HS105" si="1005">IF(HT105=1,HH105,0)</f>
        <v>0</v>
      </c>
      <c r="HT105" s="202">
        <f t="shared" ref="HT105" si="1006">HG105</f>
        <v>0</v>
      </c>
      <c r="HU105" s="202">
        <f t="shared" ref="HU105" si="1007">IF(HT105=1,E105,0)</f>
        <v>0</v>
      </c>
      <c r="HV105" s="203">
        <f t="shared" ref="HV105" si="1008">IF(HW105=1,GZ105,0)</f>
        <v>0</v>
      </c>
      <c r="HW105" s="202">
        <f t="shared" ref="HW105" si="1009">IF(JB105=0,IF(IX105=0,IF(HT105=0,IF(GV105="MUSYAWARAH",GR105,0),0),0),0)</f>
        <v>0</v>
      </c>
      <c r="HX105" s="202">
        <f t="shared" ref="HX105" si="1010">IF(HW105=1,E105,0)</f>
        <v>0</v>
      </c>
      <c r="HY105" s="203">
        <f t="shared" ref="HY105" si="1011">IF(HZ105=1,HV105+$HI$8,0)</f>
        <v>0</v>
      </c>
      <c r="HZ105" s="202">
        <f t="shared" ref="HZ105" si="1012">HW105</f>
        <v>0</v>
      </c>
      <c r="IA105" s="202">
        <f t="shared" ref="IA105" si="1013">IF(HZ105=1,E105,0)</f>
        <v>0</v>
      </c>
      <c r="IB105" s="232">
        <f t="shared" ref="IB105" si="1014">IF(IC105=1,$GU$3+SUM($GY$6:$GY$8),0)</f>
        <v>0</v>
      </c>
      <c r="IC105" s="226">
        <f t="shared" ref="IC105" si="1015">IF(GV105="Hasil Valuasi",GQ105,0)</f>
        <v>0</v>
      </c>
      <c r="ID105" s="226">
        <f t="shared" ref="ID105" si="1016">IF(IC105=1,E105,0)</f>
        <v>0</v>
      </c>
      <c r="IE105" s="232">
        <f t="shared" ref="IE105" si="1017">IF(IF105=1,IB105+$HI$8,0)</f>
        <v>0</v>
      </c>
      <c r="IF105" s="226">
        <f t="shared" ref="IF105" si="1018">IC105</f>
        <v>0</v>
      </c>
      <c r="IG105" s="226">
        <f t="shared" ref="IG105" si="1019">IF(IF105=1,E105,0)</f>
        <v>0</v>
      </c>
      <c r="IH105" s="232">
        <f t="shared" ref="IH105" si="1020">IF(II105=1,$GU$3+SUM($GY$5:$GY$8),0)</f>
        <v>0</v>
      </c>
      <c r="II105" s="226">
        <f t="shared" ref="II105" si="1021">IF(GV105="Survey KJPP",GP105,0)</f>
        <v>0</v>
      </c>
      <c r="IJ105" s="226">
        <f t="shared" ref="IJ105" si="1022">IF(II105=1,E105,0)</f>
        <v>0</v>
      </c>
      <c r="IK105" s="232">
        <f t="shared" ref="IK105" si="1023">IF(IL105=1,IH105+$HI$8,0)</f>
        <v>0</v>
      </c>
      <c r="IL105" s="226">
        <f t="shared" ref="IL105" si="1024">II105</f>
        <v>0</v>
      </c>
      <c r="IM105" s="226">
        <f t="shared" ref="IM105" si="1025">IF(IL105=1,E105,0)</f>
        <v>0</v>
      </c>
      <c r="IN105" s="204"/>
      <c r="IO105" s="203">
        <f t="shared" ref="IO105" si="1026">IF(IP105=1,+$GU$3+$HH$8,0)</f>
        <v>0</v>
      </c>
      <c r="IP105" s="202">
        <f t="shared" ref="IP105" si="1027">IF(BG105&gt;0,1,0)</f>
        <v>0</v>
      </c>
      <c r="IQ105" s="202">
        <f t="shared" ref="IQ105" si="1028">IF(IP105=1,E105,0)</f>
        <v>0</v>
      </c>
      <c r="IR105" s="204"/>
      <c r="IS105" s="203"/>
      <c r="IT105" s="202">
        <f t="shared" ref="IT105" si="1029">V105</f>
        <v>0</v>
      </c>
      <c r="IU105" s="226">
        <f t="shared" ref="IU105" si="1030">W105</f>
        <v>0</v>
      </c>
      <c r="IV105" s="204"/>
      <c r="IW105" s="203"/>
      <c r="IX105" s="202">
        <f t="shared" ref="IX105" si="1031">AA105</f>
        <v>0</v>
      </c>
      <c r="IY105" s="202">
        <f t="shared" ref="IY105" si="1032">AB105</f>
        <v>0</v>
      </c>
      <c r="IZ105" s="204"/>
      <c r="JA105" s="203"/>
      <c r="JB105" s="202">
        <f t="shared" ref="JB105" si="1033">AN105</f>
        <v>1</v>
      </c>
      <c r="JC105" s="226">
        <f t="shared" ref="JC105" si="1034">BB105</f>
        <v>158</v>
      </c>
      <c r="JD105" s="204"/>
      <c r="JE105" s="203"/>
      <c r="JF105" s="202">
        <f t="shared" ref="JF105" si="1035">IT105+HQ105+HT105+HZ105+IF105+IL105+IP105+IX105+JB105</f>
        <v>1</v>
      </c>
      <c r="JG105" s="202">
        <f t="shared" ref="JG105" si="1036">IU105+HR105+HU105+IA105+IG105+IM105+IQ105+IY105+JC105</f>
        <v>158</v>
      </c>
      <c r="JH105" s="204"/>
      <c r="JI105" s="203"/>
      <c r="JJ105" s="202">
        <f t="shared" ref="JJ105" si="1037">JF105-D105</f>
        <v>0</v>
      </c>
      <c r="JK105" s="202">
        <f t="shared" ref="JK105" si="1038">JG105-E105</f>
        <v>0</v>
      </c>
      <c r="JL105" s="195"/>
      <c r="JM105" s="203">
        <f t="shared" ref="JM105" si="1039">MAX(IW105,IS105,IO105,IK105,IE105,HY105,HS105,HP105)</f>
        <v>0</v>
      </c>
      <c r="JN105" s="195"/>
      <c r="JO105" s="196">
        <f t="shared" ref="JO105" si="1040">SUM(JQ105:KB105)</f>
        <v>0</v>
      </c>
      <c r="JP105" s="206">
        <f t="shared" ref="JP105" si="1041">BN105+CR105</f>
        <v>0</v>
      </c>
      <c r="JQ105" s="206">
        <f t="shared" ref="JQ105" si="1042">IF(BO105+CS105=2,1,IF(BO105+CS105=1,1,0))</f>
        <v>0</v>
      </c>
      <c r="JR105" s="206">
        <f t="shared" ref="JR105" si="1043">IF(BP105+CT105=2,1,IF(BP105+CT105=1,1,0))</f>
        <v>0</v>
      </c>
      <c r="JS105" s="206">
        <f t="shared" ref="JS105" si="1044">IF(BQ105+CU105=2,1,IF(BQ105+CU105=1,1,0))</f>
        <v>0</v>
      </c>
      <c r="JT105" s="206">
        <f t="shared" ref="JT105" si="1045">IF(BR105+CV105=2,1,IF(BR105+CV105=1,1,0))</f>
        <v>0</v>
      </c>
      <c r="JU105" s="206">
        <f t="shared" ref="JU105" si="1046">IF(BS105+CW105=2,1,IF(BS105+CW105=1,1,0))</f>
        <v>0</v>
      </c>
      <c r="JV105" s="206">
        <f t="shared" ref="JV105" si="1047">IF(BT105+CX105=2,1,IF(BT105+CX105=1,1,0))</f>
        <v>0</v>
      </c>
      <c r="JW105" s="206">
        <f t="shared" ref="JW105" si="1048">IF(BU105+CY105=2,1,IF(BU105+CY105=1,1,0))</f>
        <v>0</v>
      </c>
      <c r="JX105" s="206">
        <f t="shared" ref="JX105" si="1049">IF(BV105+CZ105=2,1,IF(BV105+CZ105=1,1,0))</f>
        <v>0</v>
      </c>
      <c r="JY105" s="206">
        <f t="shared" ref="JY105" si="1050">IF(BW105+DA105=2,1,IF(BW105+DA105=1,1,0))</f>
        <v>0</v>
      </c>
      <c r="JZ105" s="206">
        <f t="shared" ref="JZ105" si="1051">IF(BX105+DB105=2,1,IF(BX105+DB105=1,1,0))</f>
        <v>0</v>
      </c>
      <c r="KA105" s="206">
        <f t="shared" ref="KA105" si="1052">IF(BY105+DC105=2,1,IF(BY105+DC105=1,1,0))</f>
        <v>0</v>
      </c>
      <c r="KB105" s="206">
        <f t="shared" ref="KB105" si="1053">IF(BZ105+DD105=2,1,IF(BZ105+DD105=1,1,0))</f>
        <v>0</v>
      </c>
      <c r="KC105" s="195"/>
      <c r="KD105" s="206">
        <f t="shared" ref="KD105" si="1054">IF(IF(SUM(GA105:GE105)&gt;100,1,0)+IF(FX105=1,1,0)=2,1,0)</f>
        <v>0</v>
      </c>
      <c r="KE105" s="206">
        <f t="shared" ref="KE105" si="1055">IF(KD105=1,KF105,0)</f>
        <v>0</v>
      </c>
      <c r="KF105" s="206">
        <f t="shared" ref="KF105" si="1056">CD105+DH105</f>
        <v>0</v>
      </c>
      <c r="KG105" s="206">
        <f t="shared" ref="KG105" si="1057">CE105+DI105</f>
        <v>0</v>
      </c>
      <c r="KH105" s="206">
        <f t="shared" ref="KH105" si="1058">CF105+DJ105</f>
        <v>0</v>
      </c>
      <c r="KI105" s="206">
        <f t="shared" ref="KI105" si="1059">CG105+DK105</f>
        <v>0</v>
      </c>
      <c r="KJ105" s="206">
        <f t="shared" ref="KJ105" si="1060">CH105+DL105</f>
        <v>0</v>
      </c>
      <c r="KK105" s="206">
        <f t="shared" ref="KK105" si="1061">CI105+DM105</f>
        <v>0</v>
      </c>
      <c r="KL105" s="206">
        <f t="shared" ref="KL105" si="1062">CJ105+DN105</f>
        <v>0</v>
      </c>
      <c r="KM105" s="206">
        <f t="shared" ref="KM105" si="1063">CK105+DO105</f>
        <v>0</v>
      </c>
      <c r="KN105" s="221">
        <f t="shared" ref="KN105" si="1064">CL105+DP105</f>
        <v>0</v>
      </c>
      <c r="KO105" s="221">
        <f t="shared" ref="KO105" si="1065">CM105+DQ105</f>
        <v>0</v>
      </c>
      <c r="KP105" s="221">
        <f t="shared" ref="KP105" si="1066">CN105+DR105</f>
        <v>0</v>
      </c>
      <c r="KQ105" s="221">
        <f t="shared" ref="KQ105" si="1067">CO105+DS105</f>
        <v>0</v>
      </c>
      <c r="KR105" s="221">
        <f t="shared" ref="KR105" si="1068">CP105+DT105</f>
        <v>0</v>
      </c>
      <c r="KS105" s="109">
        <v>2</v>
      </c>
      <c r="KT105" s="195">
        <f t="shared" ref="KT105" si="1069">AN105</f>
        <v>1</v>
      </c>
      <c r="KU105" s="221"/>
      <c r="KV105" s="221"/>
      <c r="KW105" s="221"/>
      <c r="KX105" s="221"/>
      <c r="KY105" s="221"/>
      <c r="KZ105" s="221"/>
      <c r="LA105" s="221"/>
      <c r="LB105" s="221"/>
      <c r="LC105" s="221"/>
      <c r="LD105" s="221"/>
      <c r="LE105" s="221"/>
      <c r="LF105" s="221"/>
      <c r="LG105" s="221"/>
      <c r="LH105" s="221"/>
      <c r="LI105" s="221"/>
      <c r="LJ105" s="221"/>
      <c r="LK105" s="221"/>
      <c r="LL105" s="221"/>
      <c r="LM105" s="221"/>
      <c r="LN105" s="221"/>
      <c r="LO105" s="221"/>
      <c r="LP105" s="221"/>
      <c r="LQ105" s="221"/>
      <c r="LR105" s="221"/>
      <c r="LS105" s="221"/>
      <c r="LT105" s="221"/>
      <c r="LU105" s="221"/>
      <c r="LV105" s="221"/>
      <c r="LW105" s="221"/>
      <c r="LX105" s="221"/>
      <c r="LY105" s="221"/>
      <c r="LZ105" s="221"/>
      <c r="MA105" s="221"/>
      <c r="MB105" s="221"/>
      <c r="MC105" s="221"/>
      <c r="MD105" s="221"/>
      <c r="ME105" s="221"/>
      <c r="MF105" s="221"/>
      <c r="MG105" s="221"/>
      <c r="MH105" s="221"/>
      <c r="MI105" s="221"/>
      <c r="MJ105" s="221"/>
      <c r="MK105" s="221"/>
      <c r="ML105" s="221"/>
      <c r="MM105" s="221"/>
      <c r="MN105" s="221"/>
      <c r="MO105" s="221"/>
      <c r="MP105" s="221"/>
      <c r="MQ105" s="221"/>
      <c r="MR105" s="221"/>
      <c r="MS105" s="221"/>
      <c r="MT105" s="221"/>
      <c r="MU105" s="221"/>
      <c r="MV105" s="221"/>
      <c r="MW105" s="221"/>
      <c r="MX105" s="221"/>
      <c r="MY105" s="221"/>
      <c r="MZ105" s="221"/>
      <c r="NA105" s="221"/>
      <c r="NB105" s="221"/>
      <c r="NC105" s="221"/>
      <c r="ND105" s="221"/>
      <c r="NE105" s="221"/>
      <c r="NF105" s="221"/>
      <c r="NG105" s="221"/>
      <c r="NH105" s="221"/>
      <c r="NI105" s="221"/>
      <c r="NJ105" s="221"/>
      <c r="NK105" s="221"/>
      <c r="NL105" s="195"/>
      <c r="NM105" s="195">
        <f t="shared" ref="NM105" si="1070">IF(KS105=1,1,0)</f>
        <v>0</v>
      </c>
      <c r="NN105" s="195">
        <f t="shared" ref="NN105" si="1071">IF(KS105=2,1,0)</f>
        <v>1</v>
      </c>
      <c r="NO105" s="195">
        <f t="shared" ref="NO105" si="1072">IF(KS105=3,1,0)</f>
        <v>0</v>
      </c>
      <c r="NP105" s="195">
        <f t="shared" ref="NP105" si="1073">IF(KS105=4,1,0)</f>
        <v>0</v>
      </c>
      <c r="NQ105" s="195">
        <f t="shared" ref="NQ105" si="1074">IF(KS105=5,1,0)</f>
        <v>0</v>
      </c>
      <c r="NR105" s="195">
        <f t="shared" ref="NR105" si="1075">IF(KS105=6,1,0)</f>
        <v>0</v>
      </c>
      <c r="NS105" s="195">
        <f t="shared" ref="NS105" si="1076">IF(KS105=7,1,0)</f>
        <v>0</v>
      </c>
      <c r="NT105" s="195">
        <f t="shared" ref="NT105" si="1077">SUM(NM105:NS105)</f>
        <v>1</v>
      </c>
      <c r="NU105" s="196">
        <f t="shared" ref="NU105" si="1078">NT105-KT105</f>
        <v>0</v>
      </c>
      <c r="NV105" s="195"/>
      <c r="NW105" s="195"/>
      <c r="NX105" s="195"/>
      <c r="NY105" s="196">
        <f t="shared" ref="NY105" si="1079">V105</f>
        <v>0</v>
      </c>
      <c r="NZ105" s="222"/>
      <c r="OA105" s="195"/>
      <c r="OB105" s="195"/>
      <c r="OC105" s="195"/>
      <c r="OD105" s="195"/>
      <c r="OE105" s="207">
        <f t="shared" ref="OE105" si="1080">D105-J105</f>
        <v>0</v>
      </c>
      <c r="OF105" s="207">
        <f t="shared" ref="OF105" si="1081">D105-N105</f>
        <v>0</v>
      </c>
      <c r="OG105" s="207">
        <f t="shared" ref="OG105" si="1082">AN105</f>
        <v>1</v>
      </c>
      <c r="OH105" s="207">
        <f t="shared" ref="OH105" si="1083">HE105</f>
        <v>0</v>
      </c>
      <c r="OI105" s="207">
        <f t="shared" ref="OI105" si="1084">D105-R105</f>
        <v>1</v>
      </c>
      <c r="OJ105" s="199">
        <f t="shared" ref="OJ105" si="1085">IF(OG105=1,OF105,0)</f>
        <v>0</v>
      </c>
      <c r="OK105" s="199">
        <f t="shared" ref="OK105" si="1086">IF(OH105=1,OF105,0)</f>
        <v>0</v>
      </c>
      <c r="OL105" s="199">
        <f t="shared" ref="OL105" si="1087">IF((OG105+OH105)=0,OF105,0)</f>
        <v>0</v>
      </c>
      <c r="OM105" s="199">
        <f t="shared" ref="OM105" si="1088">SUM(OJ105:OL105)</f>
        <v>0</v>
      </c>
      <c r="ON105" s="195"/>
      <c r="OO105" s="207">
        <f t="shared" ref="OO105" si="1089">E105-K105</f>
        <v>0</v>
      </c>
      <c r="OP105" s="207">
        <f t="shared" ref="OP105" si="1090">E105-O105</f>
        <v>0</v>
      </c>
      <c r="OQ105" s="207">
        <f t="shared" ref="OQ105" si="1091">OG105</f>
        <v>1</v>
      </c>
      <c r="OR105" s="207">
        <f t="shared" ref="OR105" si="1092">OH105</f>
        <v>0</v>
      </c>
      <c r="OS105" s="207">
        <f t="shared" ref="OS105" si="1093">OI105</f>
        <v>1</v>
      </c>
      <c r="OT105" s="199">
        <f t="shared" ref="OT105" si="1094">IF(OQ105=1,OP105,0)</f>
        <v>0</v>
      </c>
      <c r="OU105" s="199">
        <f t="shared" ref="OU105" si="1095">IF(OR105=1,OP105,0)</f>
        <v>0</v>
      </c>
      <c r="OV105" s="199">
        <f t="shared" ref="OV105" si="1096">IF((OQ105+OR105)=0,OP105,0)</f>
        <v>0</v>
      </c>
      <c r="OW105" s="199">
        <f t="shared" ref="OW105" si="1097">SUM(OT105:OV105)</f>
        <v>0</v>
      </c>
      <c r="OX105" s="195"/>
      <c r="OY105" s="195"/>
      <c r="OZ105" s="195"/>
      <c r="PA105" s="260">
        <v>1</v>
      </c>
      <c r="PB105" s="260"/>
      <c r="PC105" s="260"/>
      <c r="PD105" s="210">
        <f t="shared" ref="PD105" si="1098">PB105-PC105</f>
        <v>0</v>
      </c>
      <c r="PE105" s="210"/>
      <c r="PF105" s="210">
        <f t="shared" ref="PF105" si="1099">PD105-PE105</f>
        <v>0</v>
      </c>
      <c r="PG105" s="210">
        <f t="shared" ref="PG105" si="1100">IF(PA105=1,$BB105,0)</f>
        <v>158</v>
      </c>
      <c r="PH105" s="210">
        <f t="shared" ref="PH105" si="1101">IF(PB105=1,$BB105,0)</f>
        <v>0</v>
      </c>
      <c r="PI105" s="210">
        <f t="shared" ref="PI105" si="1102">IF(PC105=1,$BB105,0)</f>
        <v>0</v>
      </c>
      <c r="PJ105" s="210">
        <f t="shared" ref="PJ105" si="1103">IF(PD105=1,$BB105,0)</f>
        <v>0</v>
      </c>
      <c r="PK105" s="210">
        <f t="shared" ref="PK105" si="1104">IF(PE105=1,$BB105,0)</f>
        <v>0</v>
      </c>
      <c r="PL105" s="210">
        <f t="shared" ref="PL105" si="1105">IF(PF105=1,$BB105,0)</f>
        <v>0</v>
      </c>
      <c r="PM105" s="195"/>
      <c r="PN105" s="195"/>
      <c r="PO105" s="212">
        <f t="shared" ref="PO105" si="1106">IF(FC105=1,AB105,0)</f>
        <v>0</v>
      </c>
      <c r="PP105" s="212">
        <f t="shared" ref="PP105" si="1107">IF(FF105=1,AB105,0)</f>
        <v>0</v>
      </c>
      <c r="PQ105" s="212">
        <f t="shared" ref="PQ105" si="1108">AB105-(PO105+PP105)</f>
        <v>0</v>
      </c>
    </row>
    <row r="106" spans="1:433 16383:16384" ht="16" x14ac:dyDescent="0.2">
      <c r="A106" s="213">
        <f>A100+1</f>
        <v>92</v>
      </c>
      <c r="B106" s="239" t="s">
        <v>671</v>
      </c>
      <c r="C106" s="261">
        <v>95</v>
      </c>
      <c r="D106" s="240">
        <v>1</v>
      </c>
      <c r="E106" s="240">
        <v>134</v>
      </c>
      <c r="F106" s="240">
        <v>1</v>
      </c>
      <c r="G106" s="240">
        <f t="shared" si="742"/>
        <v>134</v>
      </c>
      <c r="H106" s="241">
        <f t="shared" si="743"/>
        <v>1</v>
      </c>
      <c r="I106" s="241">
        <f t="shared" si="744"/>
        <v>1</v>
      </c>
      <c r="J106" s="240">
        <v>1</v>
      </c>
      <c r="K106" s="240">
        <f t="shared" si="745"/>
        <v>134</v>
      </c>
      <c r="L106" s="241">
        <f t="shared" si="746"/>
        <v>1</v>
      </c>
      <c r="M106" s="241">
        <f t="shared" si="747"/>
        <v>1</v>
      </c>
      <c r="N106" s="240">
        <v>1</v>
      </c>
      <c r="O106" s="240">
        <f t="shared" si="748"/>
        <v>134</v>
      </c>
      <c r="P106" s="241">
        <f t="shared" si="749"/>
        <v>1</v>
      </c>
      <c r="Q106" s="241">
        <f t="shared" si="750"/>
        <v>1</v>
      </c>
      <c r="R106" s="240">
        <v>0</v>
      </c>
      <c r="S106" s="240">
        <f t="shared" si="751"/>
        <v>0</v>
      </c>
      <c r="T106" s="241">
        <f t="shared" si="752"/>
        <v>0</v>
      </c>
      <c r="U106" s="241">
        <f t="shared" si="753"/>
        <v>0</v>
      </c>
      <c r="V106" s="240">
        <v>0</v>
      </c>
      <c r="W106" s="240">
        <f t="shared" si="754"/>
        <v>0</v>
      </c>
      <c r="X106" s="241">
        <f t="shared" si="755"/>
        <v>0</v>
      </c>
      <c r="Y106" s="241">
        <v>0</v>
      </c>
      <c r="Z106" s="247"/>
      <c r="AA106" s="240"/>
      <c r="AB106" s="240">
        <v>0</v>
      </c>
      <c r="AC106" s="241">
        <f t="shared" si="756"/>
        <v>0</v>
      </c>
      <c r="AD106" s="241">
        <v>0</v>
      </c>
      <c r="AE106" s="240"/>
      <c r="AF106" s="240">
        <f t="shared" si="757"/>
        <v>0</v>
      </c>
      <c r="AG106" s="262"/>
      <c r="AH106" s="262"/>
      <c r="AI106" s="240">
        <v>0</v>
      </c>
      <c r="AJ106" s="240">
        <f t="shared" si="758"/>
        <v>0</v>
      </c>
      <c r="AK106" s="240"/>
      <c r="AL106" s="240">
        <v>0</v>
      </c>
      <c r="AM106" s="240">
        <v>0</v>
      </c>
      <c r="AN106" s="244">
        <v>1</v>
      </c>
      <c r="AO106" s="196">
        <f t="shared" si="759"/>
        <v>0</v>
      </c>
      <c r="AP106" s="195"/>
      <c r="AQ106" s="195"/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88">
        <f t="shared" si="760"/>
        <v>134</v>
      </c>
      <c r="BC106" s="195"/>
      <c r="BD106" s="196"/>
      <c r="BE106" s="226">
        <f t="shared" si="761"/>
        <v>0</v>
      </c>
      <c r="BF106" s="188">
        <f t="shared" si="762"/>
        <v>0</v>
      </c>
      <c r="BG106" s="188">
        <f t="shared" si="763"/>
        <v>0</v>
      </c>
      <c r="BH106" s="188">
        <f t="shared" si="764"/>
        <v>0</v>
      </c>
      <c r="BI106" s="188">
        <f t="shared" si="765"/>
        <v>0</v>
      </c>
      <c r="BJ106" s="188">
        <f t="shared" si="766"/>
        <v>0</v>
      </c>
      <c r="BK106" s="188">
        <f t="shared" si="767"/>
        <v>0</v>
      </c>
      <c r="BL106" s="195"/>
      <c r="BM106" s="195"/>
      <c r="BN106" s="215"/>
      <c r="BO106" s="218"/>
      <c r="BP106" s="188"/>
      <c r="BQ106" s="188"/>
      <c r="BR106" s="188"/>
      <c r="BS106" s="188"/>
      <c r="BT106" s="188"/>
      <c r="BU106" s="188"/>
      <c r="BV106" s="188"/>
      <c r="BW106" s="188"/>
      <c r="BX106" s="188"/>
      <c r="BY106" s="188"/>
      <c r="BZ106" s="188"/>
      <c r="CA106" s="195"/>
      <c r="CB106" s="188"/>
      <c r="CC106" s="195"/>
      <c r="CD106" s="189">
        <f t="shared" si="768"/>
        <v>0</v>
      </c>
      <c r="CE106" s="189">
        <f t="shared" si="769"/>
        <v>0</v>
      </c>
      <c r="CF106" s="189">
        <f t="shared" si="770"/>
        <v>0</v>
      </c>
      <c r="CG106" s="189">
        <f t="shared" si="771"/>
        <v>0</v>
      </c>
      <c r="CH106" s="189">
        <f t="shared" si="772"/>
        <v>0</v>
      </c>
      <c r="CI106" s="189">
        <f t="shared" si="773"/>
        <v>0</v>
      </c>
      <c r="CJ106" s="189">
        <f t="shared" si="774"/>
        <v>0</v>
      </c>
      <c r="CK106" s="189">
        <f t="shared" si="775"/>
        <v>0</v>
      </c>
      <c r="CL106" s="189">
        <f t="shared" si="776"/>
        <v>0</v>
      </c>
      <c r="CM106" s="189">
        <f t="shared" si="777"/>
        <v>0</v>
      </c>
      <c r="CN106" s="189">
        <f t="shared" si="778"/>
        <v>0</v>
      </c>
      <c r="CO106" s="189">
        <f t="shared" si="779"/>
        <v>0</v>
      </c>
      <c r="CP106" s="189">
        <f t="shared" si="780"/>
        <v>0</v>
      </c>
      <c r="CQ106" s="195"/>
      <c r="CR106" s="195"/>
      <c r="CS106" s="195"/>
      <c r="CT106" s="195"/>
      <c r="CU106" s="195"/>
      <c r="CV106" s="195"/>
      <c r="CW106" s="195"/>
      <c r="CX106" s="195"/>
      <c r="CY106" s="195"/>
      <c r="CZ106" s="195"/>
      <c r="DA106" s="195"/>
      <c r="DB106" s="195"/>
      <c r="DC106" s="195"/>
      <c r="DD106" s="195"/>
      <c r="DE106" s="195"/>
      <c r="DF106" s="195"/>
      <c r="DG106" s="195"/>
      <c r="DH106" s="195"/>
      <c r="DI106" s="195"/>
      <c r="DJ106" s="195"/>
      <c r="DK106" s="195"/>
      <c r="DL106" s="195"/>
      <c r="DM106" s="195"/>
      <c r="DN106" s="195"/>
      <c r="DO106" s="195"/>
      <c r="DP106" s="195"/>
      <c r="DQ106" s="195"/>
      <c r="DR106" s="195"/>
      <c r="DS106" s="195"/>
      <c r="DT106" s="195"/>
      <c r="DU106" s="195"/>
      <c r="DV106" s="240">
        <f t="shared" si="781"/>
        <v>0</v>
      </c>
      <c r="DW106" s="240">
        <f t="shared" si="782"/>
        <v>0</v>
      </c>
      <c r="DX106" s="240">
        <f t="shared" si="783"/>
        <v>0</v>
      </c>
      <c r="DY106" s="240">
        <f t="shared" si="784"/>
        <v>0</v>
      </c>
      <c r="DZ106" s="240">
        <f t="shared" si="785"/>
        <v>0</v>
      </c>
      <c r="EA106" s="240">
        <f t="shared" si="786"/>
        <v>0</v>
      </c>
      <c r="EB106" s="240">
        <f t="shared" si="787"/>
        <v>0</v>
      </c>
      <c r="EC106" s="195"/>
      <c r="ED106" s="195"/>
      <c r="EE106" s="195"/>
      <c r="EF106" s="195"/>
      <c r="EG106" s="252">
        <f t="shared" si="788"/>
        <v>0</v>
      </c>
      <c r="EH106" s="252">
        <f t="shared" si="789"/>
        <v>0</v>
      </c>
      <c r="EI106" s="189"/>
      <c r="EJ106" s="189"/>
      <c r="EK106" s="189"/>
      <c r="EL106" s="189"/>
      <c r="EM106" s="189"/>
      <c r="EN106" s="189"/>
      <c r="EO106" s="189"/>
      <c r="EP106" s="189"/>
      <c r="EQ106" s="189"/>
      <c r="ER106" s="189"/>
      <c r="ES106" s="189"/>
      <c r="ET106" s="189"/>
      <c r="EU106" s="189"/>
      <c r="EV106" s="189"/>
      <c r="EW106" s="189"/>
      <c r="EX106" s="189"/>
      <c r="EY106" s="189"/>
      <c r="EZ106" s="189"/>
      <c r="FA106" s="189"/>
      <c r="FB106" s="189"/>
      <c r="FC106" s="189"/>
      <c r="FD106" s="189"/>
      <c r="FE106" s="189"/>
      <c r="FF106" s="189"/>
      <c r="FG106" s="195"/>
      <c r="FH106" s="189"/>
      <c r="FI106" s="189"/>
      <c r="FJ106" s="189"/>
      <c r="FK106" s="189"/>
      <c r="FL106" s="189"/>
      <c r="FM106" s="189"/>
      <c r="FN106" s="189"/>
      <c r="FO106" s="189"/>
      <c r="FP106" s="189"/>
      <c r="FQ106" s="189"/>
      <c r="FR106" s="189"/>
      <c r="FS106" s="189"/>
      <c r="FT106" s="189"/>
      <c r="FU106" s="189"/>
      <c r="FV106" s="189"/>
      <c r="FW106" s="195"/>
      <c r="FX106" s="253"/>
      <c r="FY106" s="189">
        <f t="shared" si="790"/>
        <v>0</v>
      </c>
      <c r="FZ106" s="189">
        <f t="shared" si="791"/>
        <v>0</v>
      </c>
      <c r="GA106" s="189">
        <f t="shared" si="792"/>
        <v>0</v>
      </c>
      <c r="GB106" s="189">
        <f t="shared" si="793"/>
        <v>0</v>
      </c>
      <c r="GC106" s="189">
        <f t="shared" si="794"/>
        <v>0</v>
      </c>
      <c r="GD106" s="189">
        <f t="shared" si="795"/>
        <v>0</v>
      </c>
      <c r="GE106" s="189">
        <f t="shared" si="796"/>
        <v>0</v>
      </c>
      <c r="GF106" s="235"/>
      <c r="GG106" s="263">
        <v>0</v>
      </c>
      <c r="GH106" s="264">
        <v>0</v>
      </c>
      <c r="GI106" s="235"/>
      <c r="GJ106" s="265">
        <f t="shared" si="797"/>
        <v>0</v>
      </c>
      <c r="GK106" s="266">
        <f t="shared" si="798"/>
        <v>0</v>
      </c>
      <c r="GL106" s="195"/>
      <c r="GM106" s="195"/>
      <c r="GN106" s="195"/>
      <c r="GO106" s="240">
        <f t="shared" si="799"/>
        <v>0</v>
      </c>
      <c r="GP106" s="240">
        <f t="shared" si="800"/>
        <v>0</v>
      </c>
      <c r="GQ106" s="240">
        <f t="shared" si="801"/>
        <v>0</v>
      </c>
      <c r="GR106" s="240">
        <f t="shared" si="802"/>
        <v>1</v>
      </c>
      <c r="GS106" s="240">
        <f t="shared" si="803"/>
        <v>1</v>
      </c>
      <c r="GT106" s="240">
        <f t="shared" si="804"/>
        <v>0</v>
      </c>
      <c r="GU106" s="248">
        <f t="shared" si="457"/>
        <v>43243</v>
      </c>
      <c r="GV106" s="240" t="str">
        <f t="shared" si="805"/>
        <v>Musyawarah</v>
      </c>
      <c r="GW106" s="240">
        <f t="shared" si="806"/>
        <v>1</v>
      </c>
      <c r="GX106" s="240" t="str">
        <f t="shared" si="807"/>
        <v>Musyawarah</v>
      </c>
      <c r="GY106" s="240">
        <f t="shared" si="808"/>
        <v>24</v>
      </c>
      <c r="GZ106" s="248">
        <f t="shared" si="809"/>
        <v>43267</v>
      </c>
      <c r="HA106" s="204"/>
      <c r="HB106" s="204"/>
      <c r="HC106" s="240">
        <f t="shared" si="810"/>
        <v>0</v>
      </c>
      <c r="HD106" s="240">
        <f t="shared" si="811"/>
        <v>0</v>
      </c>
      <c r="HE106" s="240">
        <f t="shared" si="812"/>
        <v>0</v>
      </c>
      <c r="HF106" s="240">
        <f t="shared" si="813"/>
        <v>0</v>
      </c>
      <c r="HG106" s="240">
        <f t="shared" si="814"/>
        <v>0</v>
      </c>
      <c r="HH106" s="248" t="str">
        <f t="shared" si="815"/>
        <v>TIDAK KONSINYASI</v>
      </c>
      <c r="HI106" s="248">
        <f t="shared" si="816"/>
        <v>43312</v>
      </c>
      <c r="HJ106" s="195"/>
      <c r="HK106" s="201">
        <f t="shared" si="817"/>
        <v>43312</v>
      </c>
      <c r="HL106" s="204"/>
      <c r="HM106" s="204"/>
      <c r="HN106" s="204"/>
      <c r="HO106" s="204"/>
      <c r="HP106" s="203">
        <f t="shared" si="818"/>
        <v>0</v>
      </c>
      <c r="HQ106" s="202">
        <f t="shared" si="819"/>
        <v>0</v>
      </c>
      <c r="HR106" s="202">
        <f t="shared" si="820"/>
        <v>0</v>
      </c>
      <c r="HS106" s="203">
        <f t="shared" si="821"/>
        <v>0</v>
      </c>
      <c r="HT106" s="202">
        <f t="shared" si="822"/>
        <v>0</v>
      </c>
      <c r="HU106" s="202">
        <f t="shared" si="823"/>
        <v>0</v>
      </c>
      <c r="HV106" s="203">
        <f t="shared" si="824"/>
        <v>0</v>
      </c>
      <c r="HW106" s="202">
        <f t="shared" si="825"/>
        <v>0</v>
      </c>
      <c r="HX106" s="202">
        <f t="shared" si="826"/>
        <v>0</v>
      </c>
      <c r="HY106" s="203">
        <f t="shared" si="827"/>
        <v>0</v>
      </c>
      <c r="HZ106" s="202">
        <f t="shared" si="828"/>
        <v>0</v>
      </c>
      <c r="IA106" s="202">
        <f t="shared" si="829"/>
        <v>0</v>
      </c>
      <c r="IB106" s="232">
        <f t="shared" si="830"/>
        <v>0</v>
      </c>
      <c r="IC106" s="226">
        <f t="shared" si="831"/>
        <v>0</v>
      </c>
      <c r="ID106" s="226">
        <f t="shared" si="832"/>
        <v>0</v>
      </c>
      <c r="IE106" s="232">
        <f t="shared" si="833"/>
        <v>0</v>
      </c>
      <c r="IF106" s="226">
        <f t="shared" si="834"/>
        <v>0</v>
      </c>
      <c r="IG106" s="226">
        <f t="shared" si="835"/>
        <v>0</v>
      </c>
      <c r="IH106" s="232">
        <f t="shared" si="836"/>
        <v>0</v>
      </c>
      <c r="II106" s="226">
        <f t="shared" si="837"/>
        <v>0</v>
      </c>
      <c r="IJ106" s="226">
        <f t="shared" si="838"/>
        <v>0</v>
      </c>
      <c r="IK106" s="232">
        <f t="shared" si="839"/>
        <v>0</v>
      </c>
      <c r="IL106" s="226">
        <f t="shared" si="840"/>
        <v>0</v>
      </c>
      <c r="IM106" s="226">
        <f t="shared" si="841"/>
        <v>0</v>
      </c>
      <c r="IN106" s="204"/>
      <c r="IO106" s="203">
        <f t="shared" si="842"/>
        <v>0</v>
      </c>
      <c r="IP106" s="202">
        <f t="shared" si="843"/>
        <v>0</v>
      </c>
      <c r="IQ106" s="202">
        <f t="shared" si="844"/>
        <v>0</v>
      </c>
      <c r="IR106" s="204"/>
      <c r="IS106" s="203"/>
      <c r="IT106" s="202">
        <f t="shared" si="845"/>
        <v>0</v>
      </c>
      <c r="IU106" s="226">
        <f t="shared" si="846"/>
        <v>0</v>
      </c>
      <c r="IV106" s="204"/>
      <c r="IW106" s="203"/>
      <c r="IX106" s="202">
        <f t="shared" si="847"/>
        <v>0</v>
      </c>
      <c r="IY106" s="202">
        <f t="shared" si="848"/>
        <v>0</v>
      </c>
      <c r="IZ106" s="204"/>
      <c r="JA106" s="203"/>
      <c r="JB106" s="202">
        <f t="shared" si="849"/>
        <v>1</v>
      </c>
      <c r="JC106" s="226">
        <f t="shared" si="850"/>
        <v>134</v>
      </c>
      <c r="JD106" s="204"/>
      <c r="JE106" s="203"/>
      <c r="JF106" s="202">
        <f t="shared" si="851"/>
        <v>1</v>
      </c>
      <c r="JG106" s="202">
        <f t="shared" si="852"/>
        <v>134</v>
      </c>
      <c r="JH106" s="204"/>
      <c r="JI106" s="203"/>
      <c r="JJ106" s="202">
        <f t="shared" si="853"/>
        <v>0</v>
      </c>
      <c r="JK106" s="202">
        <f t="shared" si="854"/>
        <v>0</v>
      </c>
      <c r="JL106" s="195"/>
      <c r="JM106" s="203">
        <f t="shared" si="855"/>
        <v>0</v>
      </c>
      <c r="JN106" s="195"/>
      <c r="JO106" s="196">
        <f t="shared" si="856"/>
        <v>0</v>
      </c>
      <c r="JP106" s="206">
        <f t="shared" si="857"/>
        <v>0</v>
      </c>
      <c r="JQ106" s="206">
        <f t="shared" si="858"/>
        <v>0</v>
      </c>
      <c r="JR106" s="206">
        <f t="shared" si="859"/>
        <v>0</v>
      </c>
      <c r="JS106" s="206">
        <f t="shared" si="860"/>
        <v>0</v>
      </c>
      <c r="JT106" s="206">
        <f t="shared" si="861"/>
        <v>0</v>
      </c>
      <c r="JU106" s="206">
        <f t="shared" si="862"/>
        <v>0</v>
      </c>
      <c r="JV106" s="206">
        <f t="shared" si="863"/>
        <v>0</v>
      </c>
      <c r="JW106" s="206">
        <f t="shared" si="864"/>
        <v>0</v>
      </c>
      <c r="JX106" s="206">
        <f t="shared" si="865"/>
        <v>0</v>
      </c>
      <c r="JY106" s="206">
        <f t="shared" si="866"/>
        <v>0</v>
      </c>
      <c r="JZ106" s="206">
        <f t="shared" si="867"/>
        <v>0</v>
      </c>
      <c r="KA106" s="206">
        <f t="shared" si="868"/>
        <v>0</v>
      </c>
      <c r="KB106" s="206">
        <f t="shared" si="869"/>
        <v>0</v>
      </c>
      <c r="KC106" s="195"/>
      <c r="KD106" s="206">
        <f t="shared" si="870"/>
        <v>0</v>
      </c>
      <c r="KE106" s="206">
        <f t="shared" si="871"/>
        <v>0</v>
      </c>
      <c r="KF106" s="206">
        <f t="shared" si="872"/>
        <v>0</v>
      </c>
      <c r="KG106" s="206">
        <f t="shared" si="873"/>
        <v>0</v>
      </c>
      <c r="KH106" s="206">
        <f t="shared" si="874"/>
        <v>0</v>
      </c>
      <c r="KI106" s="206">
        <f t="shared" si="875"/>
        <v>0</v>
      </c>
      <c r="KJ106" s="206">
        <f t="shared" si="876"/>
        <v>0</v>
      </c>
      <c r="KK106" s="206">
        <f t="shared" si="877"/>
        <v>0</v>
      </c>
      <c r="KL106" s="206">
        <f t="shared" si="878"/>
        <v>0</v>
      </c>
      <c r="KM106" s="206">
        <f t="shared" si="879"/>
        <v>0</v>
      </c>
      <c r="KN106" s="221">
        <f t="shared" si="880"/>
        <v>0</v>
      </c>
      <c r="KO106" s="221">
        <f t="shared" si="881"/>
        <v>0</v>
      </c>
      <c r="KP106" s="221">
        <f t="shared" si="882"/>
        <v>0</v>
      </c>
      <c r="KQ106" s="221">
        <f t="shared" si="883"/>
        <v>0</v>
      </c>
      <c r="KR106" s="221">
        <f t="shared" si="884"/>
        <v>0</v>
      </c>
      <c r="KS106" s="195">
        <v>2</v>
      </c>
      <c r="KT106" s="195">
        <f t="shared" si="885"/>
        <v>1</v>
      </c>
      <c r="KU106" s="221"/>
      <c r="KV106" s="221"/>
      <c r="KW106" s="221"/>
      <c r="KX106" s="221"/>
      <c r="KY106" s="221"/>
      <c r="KZ106" s="221"/>
      <c r="LA106" s="221"/>
      <c r="LB106" s="221"/>
      <c r="LC106" s="221"/>
      <c r="LD106" s="221"/>
      <c r="LE106" s="221"/>
      <c r="LF106" s="221"/>
      <c r="LG106" s="221"/>
      <c r="LH106" s="221"/>
      <c r="LI106" s="221"/>
      <c r="LJ106" s="221"/>
      <c r="LK106" s="221"/>
      <c r="LL106" s="221"/>
      <c r="LM106" s="221"/>
      <c r="LN106" s="221"/>
      <c r="LO106" s="221"/>
      <c r="LP106" s="221"/>
      <c r="LQ106" s="221"/>
      <c r="LR106" s="221"/>
      <c r="LS106" s="221"/>
      <c r="LT106" s="221"/>
      <c r="LU106" s="221"/>
      <c r="LV106" s="221"/>
      <c r="LW106" s="221"/>
      <c r="LX106" s="221"/>
      <c r="LY106" s="221"/>
      <c r="LZ106" s="221"/>
      <c r="MA106" s="221"/>
      <c r="MB106" s="221"/>
      <c r="MC106" s="221"/>
      <c r="MD106" s="221"/>
      <c r="ME106" s="221"/>
      <c r="MF106" s="221"/>
      <c r="MG106" s="221"/>
      <c r="MH106" s="221"/>
      <c r="MI106" s="221"/>
      <c r="MJ106" s="221"/>
      <c r="MK106" s="221"/>
      <c r="ML106" s="221"/>
      <c r="MM106" s="221"/>
      <c r="MN106" s="221"/>
      <c r="MO106" s="221"/>
      <c r="MP106" s="221"/>
      <c r="MQ106" s="221"/>
      <c r="MR106" s="221"/>
      <c r="MS106" s="221"/>
      <c r="MT106" s="221"/>
      <c r="MU106" s="221"/>
      <c r="MV106" s="221"/>
      <c r="MW106" s="221"/>
      <c r="MX106" s="221"/>
      <c r="MY106" s="221"/>
      <c r="MZ106" s="221"/>
      <c r="NA106" s="221"/>
      <c r="NB106" s="221"/>
      <c r="NC106" s="221"/>
      <c r="ND106" s="221"/>
      <c r="NE106" s="221"/>
      <c r="NF106" s="221"/>
      <c r="NG106" s="221"/>
      <c r="NH106" s="221"/>
      <c r="NI106" s="221"/>
      <c r="NJ106" s="221"/>
      <c r="NK106" s="221"/>
      <c r="NL106" s="195"/>
      <c r="NM106" s="195">
        <f t="shared" si="886"/>
        <v>0</v>
      </c>
      <c r="NN106" s="195">
        <f t="shared" si="887"/>
        <v>1</v>
      </c>
      <c r="NO106" s="195">
        <f t="shared" si="888"/>
        <v>0</v>
      </c>
      <c r="NP106" s="195">
        <f t="shared" si="889"/>
        <v>0</v>
      </c>
      <c r="NQ106" s="195">
        <f t="shared" si="890"/>
        <v>0</v>
      </c>
      <c r="NR106" s="195">
        <f t="shared" si="891"/>
        <v>0</v>
      </c>
      <c r="NS106" s="195">
        <f t="shared" si="892"/>
        <v>0</v>
      </c>
      <c r="NT106" s="195">
        <f t="shared" si="893"/>
        <v>1</v>
      </c>
      <c r="NU106" s="196">
        <f t="shared" si="894"/>
        <v>0</v>
      </c>
      <c r="NV106" s="195"/>
      <c r="NW106" s="195"/>
      <c r="NX106" s="195"/>
      <c r="NY106" s="196">
        <f t="shared" si="895"/>
        <v>0</v>
      </c>
      <c r="NZ106" s="222"/>
      <c r="OA106" s="195"/>
      <c r="OB106" s="195"/>
      <c r="OC106" s="195"/>
      <c r="OD106" s="195"/>
      <c r="OE106" s="207">
        <f t="shared" si="896"/>
        <v>0</v>
      </c>
      <c r="OF106" s="207">
        <f t="shared" si="897"/>
        <v>0</v>
      </c>
      <c r="OG106" s="207">
        <f t="shared" si="898"/>
        <v>1</v>
      </c>
      <c r="OH106" s="207">
        <f t="shared" si="899"/>
        <v>0</v>
      </c>
      <c r="OI106" s="207">
        <f t="shared" si="900"/>
        <v>1</v>
      </c>
      <c r="OJ106" s="199">
        <f t="shared" si="901"/>
        <v>0</v>
      </c>
      <c r="OK106" s="199">
        <f t="shared" si="902"/>
        <v>0</v>
      </c>
      <c r="OL106" s="199">
        <f t="shared" si="903"/>
        <v>0</v>
      </c>
      <c r="OM106" s="199">
        <f t="shared" si="904"/>
        <v>0</v>
      </c>
      <c r="ON106" s="195"/>
      <c r="OO106" s="207">
        <f t="shared" si="905"/>
        <v>0</v>
      </c>
      <c r="OP106" s="207">
        <f t="shared" si="906"/>
        <v>0</v>
      </c>
      <c r="OQ106" s="207">
        <f t="shared" si="907"/>
        <v>1</v>
      </c>
      <c r="OR106" s="207">
        <f t="shared" si="908"/>
        <v>0</v>
      </c>
      <c r="OS106" s="207">
        <f t="shared" si="909"/>
        <v>1</v>
      </c>
      <c r="OT106" s="199">
        <f t="shared" si="910"/>
        <v>0</v>
      </c>
      <c r="OU106" s="199">
        <f t="shared" si="911"/>
        <v>0</v>
      </c>
      <c r="OV106" s="199">
        <f t="shared" si="912"/>
        <v>0</v>
      </c>
      <c r="OW106" s="199">
        <f t="shared" si="913"/>
        <v>0</v>
      </c>
      <c r="OX106" s="195"/>
      <c r="OY106" s="195"/>
      <c r="OZ106" s="195"/>
      <c r="PA106" s="260">
        <v>1</v>
      </c>
      <c r="PB106" s="260"/>
      <c r="PC106" s="260"/>
      <c r="PD106" s="210">
        <f t="shared" si="918"/>
        <v>0</v>
      </c>
      <c r="PE106" s="210"/>
      <c r="PF106" s="210">
        <f t="shared" si="919"/>
        <v>0</v>
      </c>
      <c r="PG106" s="210">
        <f t="shared" si="920"/>
        <v>134</v>
      </c>
      <c r="PH106" s="210">
        <f t="shared" si="921"/>
        <v>0</v>
      </c>
      <c r="PI106" s="210">
        <f t="shared" si="922"/>
        <v>0</v>
      </c>
      <c r="PJ106" s="210">
        <f t="shared" si="923"/>
        <v>0</v>
      </c>
      <c r="PK106" s="210">
        <f t="shared" si="924"/>
        <v>0</v>
      </c>
      <c r="PL106" s="210">
        <f t="shared" si="925"/>
        <v>0</v>
      </c>
      <c r="PM106" s="195"/>
      <c r="PN106" s="195"/>
      <c r="PO106" s="212">
        <f t="shared" si="914"/>
        <v>0</v>
      </c>
      <c r="PP106" s="212">
        <f t="shared" si="915"/>
        <v>0</v>
      </c>
      <c r="PQ106" s="212">
        <f t="shared" si="916"/>
        <v>0</v>
      </c>
    </row>
    <row r="107" spans="1:433 16383:16384" ht="16" x14ac:dyDescent="0.2">
      <c r="A107" s="213">
        <f>A101+1</f>
        <v>93</v>
      </c>
      <c r="B107" s="239" t="s">
        <v>671</v>
      </c>
      <c r="C107" s="261">
        <v>96</v>
      </c>
      <c r="D107" s="240">
        <v>1</v>
      </c>
      <c r="E107" s="240">
        <v>12</v>
      </c>
      <c r="F107" s="240">
        <v>1</v>
      </c>
      <c r="G107" s="240">
        <f t="shared" si="742"/>
        <v>12</v>
      </c>
      <c r="H107" s="241">
        <f t="shared" si="566"/>
        <v>1</v>
      </c>
      <c r="I107" s="241">
        <f t="shared" si="720"/>
        <v>1</v>
      </c>
      <c r="J107" s="240">
        <v>1</v>
      </c>
      <c r="K107" s="240">
        <f t="shared" si="567"/>
        <v>12</v>
      </c>
      <c r="L107" s="241">
        <f t="shared" si="568"/>
        <v>1</v>
      </c>
      <c r="M107" s="241">
        <f t="shared" si="721"/>
        <v>1</v>
      </c>
      <c r="N107" s="240">
        <v>1</v>
      </c>
      <c r="O107" s="240">
        <f t="shared" si="722"/>
        <v>12</v>
      </c>
      <c r="P107" s="241">
        <f t="shared" si="569"/>
        <v>1</v>
      </c>
      <c r="Q107" s="241">
        <f t="shared" si="570"/>
        <v>1</v>
      </c>
      <c r="R107" s="240">
        <v>0</v>
      </c>
      <c r="S107" s="240">
        <f t="shared" si="571"/>
        <v>0</v>
      </c>
      <c r="T107" s="241">
        <f t="shared" si="572"/>
        <v>0</v>
      </c>
      <c r="U107" s="241">
        <f t="shared" si="573"/>
        <v>0</v>
      </c>
      <c r="V107" s="240">
        <v>0</v>
      </c>
      <c r="W107" s="240">
        <f t="shared" si="574"/>
        <v>0</v>
      </c>
      <c r="X107" s="241">
        <f t="shared" si="575"/>
        <v>0</v>
      </c>
      <c r="Y107" s="241">
        <v>0</v>
      </c>
      <c r="Z107" s="247"/>
      <c r="AA107" s="240"/>
      <c r="AB107" s="240">
        <v>0</v>
      </c>
      <c r="AC107" s="241">
        <f t="shared" si="576"/>
        <v>0</v>
      </c>
      <c r="AD107" s="241">
        <v>0</v>
      </c>
      <c r="AE107" s="240"/>
      <c r="AF107" s="240">
        <f t="shared" si="577"/>
        <v>0</v>
      </c>
      <c r="AG107" s="262"/>
      <c r="AH107" s="262"/>
      <c r="AI107" s="240">
        <v>0</v>
      </c>
      <c r="AJ107" s="240">
        <f t="shared" si="578"/>
        <v>0</v>
      </c>
      <c r="AK107" s="240"/>
      <c r="AL107" s="240">
        <v>0</v>
      </c>
      <c r="AM107" s="240">
        <v>0</v>
      </c>
      <c r="AN107" s="244">
        <v>1</v>
      </c>
      <c r="AO107" s="196">
        <f t="shared" si="579"/>
        <v>0</v>
      </c>
      <c r="AP107" s="195"/>
      <c r="AQ107" s="195"/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88">
        <f t="shared" si="580"/>
        <v>12</v>
      </c>
      <c r="BC107" s="195"/>
      <c r="BD107" s="196"/>
      <c r="BE107" s="226">
        <f t="shared" si="581"/>
        <v>0</v>
      </c>
      <c r="BF107" s="188">
        <f t="shared" si="582"/>
        <v>0</v>
      </c>
      <c r="BG107" s="188">
        <f t="shared" si="583"/>
        <v>0</v>
      </c>
      <c r="BH107" s="188">
        <f t="shared" si="584"/>
        <v>0</v>
      </c>
      <c r="BI107" s="188">
        <f t="shared" si="585"/>
        <v>0</v>
      </c>
      <c r="BJ107" s="188">
        <f t="shared" si="586"/>
        <v>0</v>
      </c>
      <c r="BK107" s="188">
        <f t="shared" si="587"/>
        <v>0</v>
      </c>
      <c r="BL107" s="195"/>
      <c r="BM107" s="195"/>
      <c r="BN107" s="215"/>
      <c r="BO107" s="218"/>
      <c r="BP107" s="188"/>
      <c r="BQ107" s="188"/>
      <c r="BR107" s="188"/>
      <c r="BS107" s="188"/>
      <c r="BT107" s="188"/>
      <c r="BU107" s="188"/>
      <c r="BV107" s="188"/>
      <c r="BW107" s="188"/>
      <c r="BX107" s="188"/>
      <c r="BY107" s="188"/>
      <c r="BZ107" s="188"/>
      <c r="CA107" s="195"/>
      <c r="CB107" s="188"/>
      <c r="CC107" s="195"/>
      <c r="CD107" s="189">
        <f t="shared" si="588"/>
        <v>0</v>
      </c>
      <c r="CE107" s="189">
        <f t="shared" si="589"/>
        <v>0</v>
      </c>
      <c r="CF107" s="189">
        <f t="shared" si="590"/>
        <v>0</v>
      </c>
      <c r="CG107" s="189">
        <f t="shared" si="591"/>
        <v>0</v>
      </c>
      <c r="CH107" s="189">
        <f t="shared" si="592"/>
        <v>0</v>
      </c>
      <c r="CI107" s="189">
        <f t="shared" si="593"/>
        <v>0</v>
      </c>
      <c r="CJ107" s="189">
        <f t="shared" si="594"/>
        <v>0</v>
      </c>
      <c r="CK107" s="189">
        <f t="shared" si="595"/>
        <v>0</v>
      </c>
      <c r="CL107" s="189">
        <f t="shared" si="596"/>
        <v>0</v>
      </c>
      <c r="CM107" s="189">
        <f t="shared" si="597"/>
        <v>0</v>
      </c>
      <c r="CN107" s="189">
        <f t="shared" si="598"/>
        <v>0</v>
      </c>
      <c r="CO107" s="189">
        <f t="shared" si="599"/>
        <v>0</v>
      </c>
      <c r="CP107" s="189">
        <f t="shared" si="600"/>
        <v>0</v>
      </c>
      <c r="CQ107" s="195"/>
      <c r="CR107" s="195"/>
      <c r="CS107" s="195"/>
      <c r="CT107" s="195"/>
      <c r="CU107" s="195"/>
      <c r="CV107" s="195"/>
      <c r="CW107" s="195"/>
      <c r="CX107" s="195"/>
      <c r="CY107" s="195"/>
      <c r="CZ107" s="195"/>
      <c r="DA107" s="195"/>
      <c r="DB107" s="195"/>
      <c r="DC107" s="195"/>
      <c r="DD107" s="195"/>
      <c r="DE107" s="195"/>
      <c r="DF107" s="195"/>
      <c r="DG107" s="195"/>
      <c r="DH107" s="195"/>
      <c r="DI107" s="195"/>
      <c r="DJ107" s="195"/>
      <c r="DK107" s="195"/>
      <c r="DL107" s="195"/>
      <c r="DM107" s="195"/>
      <c r="DN107" s="195"/>
      <c r="DO107" s="195"/>
      <c r="DP107" s="195"/>
      <c r="DQ107" s="195"/>
      <c r="DR107" s="195"/>
      <c r="DS107" s="195"/>
      <c r="DT107" s="195"/>
      <c r="DU107" s="195"/>
      <c r="DV107" s="240">
        <f t="shared" si="601"/>
        <v>0</v>
      </c>
      <c r="DW107" s="240">
        <f t="shared" si="602"/>
        <v>0</v>
      </c>
      <c r="DX107" s="240">
        <f t="shared" si="603"/>
        <v>0</v>
      </c>
      <c r="DY107" s="240">
        <f t="shared" si="604"/>
        <v>0</v>
      </c>
      <c r="DZ107" s="240">
        <f t="shared" si="605"/>
        <v>0</v>
      </c>
      <c r="EA107" s="240">
        <f t="shared" si="606"/>
        <v>0</v>
      </c>
      <c r="EB107" s="240">
        <f t="shared" si="607"/>
        <v>0</v>
      </c>
      <c r="EC107" s="195"/>
      <c r="ED107" s="195"/>
      <c r="EE107" s="195"/>
      <c r="EF107" s="195"/>
      <c r="EG107" s="252">
        <f t="shared" si="608"/>
        <v>0</v>
      </c>
      <c r="EH107" s="252">
        <f t="shared" si="609"/>
        <v>0</v>
      </c>
      <c r="EI107" s="189"/>
      <c r="EJ107" s="189"/>
      <c r="EK107" s="189"/>
      <c r="EL107" s="189"/>
      <c r="EM107" s="189"/>
      <c r="EN107" s="189"/>
      <c r="EO107" s="189"/>
      <c r="EP107" s="189"/>
      <c r="EQ107" s="189"/>
      <c r="ER107" s="189"/>
      <c r="ES107" s="189"/>
      <c r="ET107" s="189"/>
      <c r="EU107" s="189"/>
      <c r="EV107" s="189"/>
      <c r="EW107" s="189"/>
      <c r="EX107" s="189"/>
      <c r="EY107" s="189"/>
      <c r="EZ107" s="189"/>
      <c r="FA107" s="189"/>
      <c r="FB107" s="189"/>
      <c r="FC107" s="189"/>
      <c r="FD107" s="189"/>
      <c r="FE107" s="189"/>
      <c r="FF107" s="189"/>
      <c r="FG107" s="195"/>
      <c r="FH107" s="189"/>
      <c r="FI107" s="189"/>
      <c r="FJ107" s="189"/>
      <c r="FK107" s="189"/>
      <c r="FL107" s="189"/>
      <c r="FM107" s="189"/>
      <c r="FN107" s="189"/>
      <c r="FO107" s="189"/>
      <c r="FP107" s="189"/>
      <c r="FQ107" s="189"/>
      <c r="FR107" s="189"/>
      <c r="FS107" s="189"/>
      <c r="FT107" s="189"/>
      <c r="FU107" s="189"/>
      <c r="FV107" s="189"/>
      <c r="FW107" s="195"/>
      <c r="FX107" s="253"/>
      <c r="FY107" s="189">
        <f t="shared" si="610"/>
        <v>0</v>
      </c>
      <c r="FZ107" s="189">
        <f t="shared" si="611"/>
        <v>0</v>
      </c>
      <c r="GA107" s="189">
        <f t="shared" si="612"/>
        <v>0</v>
      </c>
      <c r="GB107" s="189">
        <f t="shared" si="613"/>
        <v>0</v>
      </c>
      <c r="GC107" s="189">
        <f t="shared" si="614"/>
        <v>0</v>
      </c>
      <c r="GD107" s="189">
        <f t="shared" si="615"/>
        <v>0</v>
      </c>
      <c r="GE107" s="189">
        <f t="shared" si="616"/>
        <v>0</v>
      </c>
      <c r="GF107" s="235"/>
      <c r="GG107" s="263">
        <v>0</v>
      </c>
      <c r="GH107" s="264">
        <v>0</v>
      </c>
      <c r="GI107" s="235"/>
      <c r="GJ107" s="265">
        <f t="shared" si="617"/>
        <v>0</v>
      </c>
      <c r="GK107" s="266">
        <f t="shared" si="618"/>
        <v>0</v>
      </c>
      <c r="GL107" s="195"/>
      <c r="GM107" s="195"/>
      <c r="GN107" s="195"/>
      <c r="GO107" s="240">
        <f t="shared" si="619"/>
        <v>0</v>
      </c>
      <c r="GP107" s="240">
        <f t="shared" si="620"/>
        <v>0</v>
      </c>
      <c r="GQ107" s="240">
        <f t="shared" si="621"/>
        <v>0</v>
      </c>
      <c r="GR107" s="240">
        <f t="shared" si="622"/>
        <v>1</v>
      </c>
      <c r="GS107" s="240">
        <f t="shared" si="623"/>
        <v>1</v>
      </c>
      <c r="GT107" s="240">
        <f t="shared" si="624"/>
        <v>0</v>
      </c>
      <c r="GU107" s="248">
        <f t="shared" si="457"/>
        <v>43243</v>
      </c>
      <c r="GV107" s="240" t="str">
        <f t="shared" si="625"/>
        <v>Musyawarah</v>
      </c>
      <c r="GW107" s="240">
        <f t="shared" si="626"/>
        <v>1</v>
      </c>
      <c r="GX107" s="240" t="str">
        <f t="shared" si="627"/>
        <v>Musyawarah</v>
      </c>
      <c r="GY107" s="240">
        <f t="shared" si="628"/>
        <v>24</v>
      </c>
      <c r="GZ107" s="248">
        <f t="shared" si="629"/>
        <v>43267</v>
      </c>
      <c r="HA107" s="204"/>
      <c r="HB107" s="204"/>
      <c r="HC107" s="240">
        <f t="shared" si="630"/>
        <v>0</v>
      </c>
      <c r="HD107" s="240">
        <f t="shared" si="631"/>
        <v>0</v>
      </c>
      <c r="HE107" s="240">
        <f t="shared" si="632"/>
        <v>0</v>
      </c>
      <c r="HF107" s="240">
        <f t="shared" si="633"/>
        <v>0</v>
      </c>
      <c r="HG107" s="240">
        <f t="shared" si="634"/>
        <v>0</v>
      </c>
      <c r="HH107" s="248" t="str">
        <f t="shared" si="635"/>
        <v>TIDAK KONSINYASI</v>
      </c>
      <c r="HI107" s="248">
        <f t="shared" si="636"/>
        <v>43312</v>
      </c>
      <c r="HJ107" s="195"/>
      <c r="HK107" s="201">
        <f t="shared" si="637"/>
        <v>43312</v>
      </c>
      <c r="HL107" s="204"/>
      <c r="HM107" s="204"/>
      <c r="HN107" s="204"/>
      <c r="HO107" s="204"/>
      <c r="HP107" s="203">
        <f t="shared" si="638"/>
        <v>0</v>
      </c>
      <c r="HQ107" s="202">
        <f t="shared" si="639"/>
        <v>0</v>
      </c>
      <c r="HR107" s="202">
        <f t="shared" si="640"/>
        <v>0</v>
      </c>
      <c r="HS107" s="203">
        <f t="shared" si="641"/>
        <v>0</v>
      </c>
      <c r="HT107" s="202">
        <f t="shared" si="642"/>
        <v>0</v>
      </c>
      <c r="HU107" s="202">
        <f t="shared" si="643"/>
        <v>0</v>
      </c>
      <c r="HV107" s="203">
        <f t="shared" si="644"/>
        <v>0</v>
      </c>
      <c r="HW107" s="202">
        <f t="shared" si="645"/>
        <v>0</v>
      </c>
      <c r="HX107" s="202">
        <f t="shared" si="646"/>
        <v>0</v>
      </c>
      <c r="HY107" s="203">
        <f t="shared" si="647"/>
        <v>0</v>
      </c>
      <c r="HZ107" s="202">
        <f t="shared" si="648"/>
        <v>0</v>
      </c>
      <c r="IA107" s="202">
        <f t="shared" si="649"/>
        <v>0</v>
      </c>
      <c r="IB107" s="232">
        <f t="shared" si="650"/>
        <v>0</v>
      </c>
      <c r="IC107" s="226">
        <f t="shared" si="651"/>
        <v>0</v>
      </c>
      <c r="ID107" s="226">
        <f t="shared" si="652"/>
        <v>0</v>
      </c>
      <c r="IE107" s="232">
        <f t="shared" si="653"/>
        <v>0</v>
      </c>
      <c r="IF107" s="226">
        <f t="shared" si="654"/>
        <v>0</v>
      </c>
      <c r="IG107" s="226">
        <f t="shared" si="655"/>
        <v>0</v>
      </c>
      <c r="IH107" s="232">
        <f t="shared" si="656"/>
        <v>0</v>
      </c>
      <c r="II107" s="226">
        <f t="shared" si="657"/>
        <v>0</v>
      </c>
      <c r="IJ107" s="226">
        <f t="shared" si="658"/>
        <v>0</v>
      </c>
      <c r="IK107" s="232">
        <f t="shared" si="659"/>
        <v>0</v>
      </c>
      <c r="IL107" s="226">
        <f t="shared" si="660"/>
        <v>0</v>
      </c>
      <c r="IM107" s="226">
        <f t="shared" si="661"/>
        <v>0</v>
      </c>
      <c r="IN107" s="204"/>
      <c r="IO107" s="203">
        <f t="shared" si="662"/>
        <v>0</v>
      </c>
      <c r="IP107" s="202">
        <f t="shared" si="663"/>
        <v>0</v>
      </c>
      <c r="IQ107" s="202">
        <f t="shared" si="664"/>
        <v>0</v>
      </c>
      <c r="IR107" s="204"/>
      <c r="IS107" s="203"/>
      <c r="IT107" s="202">
        <f t="shared" si="665"/>
        <v>0</v>
      </c>
      <c r="IU107" s="226">
        <f t="shared" si="666"/>
        <v>0</v>
      </c>
      <c r="IV107" s="204"/>
      <c r="IW107" s="203"/>
      <c r="IX107" s="202">
        <f t="shared" si="667"/>
        <v>0</v>
      </c>
      <c r="IY107" s="202">
        <f t="shared" si="668"/>
        <v>0</v>
      </c>
      <c r="IZ107" s="204"/>
      <c r="JA107" s="203"/>
      <c r="JB107" s="202">
        <f t="shared" si="669"/>
        <v>1</v>
      </c>
      <c r="JC107" s="226">
        <f t="shared" si="670"/>
        <v>12</v>
      </c>
      <c r="JD107" s="204"/>
      <c r="JE107" s="203"/>
      <c r="JF107" s="202">
        <f t="shared" si="671"/>
        <v>1</v>
      </c>
      <c r="JG107" s="202">
        <f t="shared" si="672"/>
        <v>12</v>
      </c>
      <c r="JH107" s="204"/>
      <c r="JI107" s="203"/>
      <c r="JJ107" s="202">
        <f t="shared" si="673"/>
        <v>0</v>
      </c>
      <c r="JK107" s="202">
        <f t="shared" si="674"/>
        <v>0</v>
      </c>
      <c r="JL107" s="195"/>
      <c r="JM107" s="203">
        <f t="shared" si="675"/>
        <v>0</v>
      </c>
      <c r="JN107" s="195"/>
      <c r="JO107" s="196">
        <f t="shared" si="676"/>
        <v>0</v>
      </c>
      <c r="JP107" s="206">
        <f t="shared" si="677"/>
        <v>0</v>
      </c>
      <c r="JQ107" s="206">
        <f t="shared" si="678"/>
        <v>0</v>
      </c>
      <c r="JR107" s="206">
        <f t="shared" si="679"/>
        <v>0</v>
      </c>
      <c r="JS107" s="206">
        <f t="shared" si="680"/>
        <v>0</v>
      </c>
      <c r="JT107" s="206">
        <f t="shared" si="681"/>
        <v>0</v>
      </c>
      <c r="JU107" s="206">
        <f t="shared" si="682"/>
        <v>0</v>
      </c>
      <c r="JV107" s="206">
        <f t="shared" si="683"/>
        <v>0</v>
      </c>
      <c r="JW107" s="206">
        <f t="shared" si="684"/>
        <v>0</v>
      </c>
      <c r="JX107" s="206">
        <f t="shared" si="685"/>
        <v>0</v>
      </c>
      <c r="JY107" s="206">
        <f t="shared" si="686"/>
        <v>0</v>
      </c>
      <c r="JZ107" s="206">
        <f t="shared" si="687"/>
        <v>0</v>
      </c>
      <c r="KA107" s="206">
        <f t="shared" si="688"/>
        <v>0</v>
      </c>
      <c r="KB107" s="206">
        <f t="shared" si="689"/>
        <v>0</v>
      </c>
      <c r="KC107" s="195"/>
      <c r="KD107" s="206">
        <f t="shared" si="690"/>
        <v>0</v>
      </c>
      <c r="KE107" s="206">
        <f t="shared" si="691"/>
        <v>0</v>
      </c>
      <c r="KF107" s="206">
        <f t="shared" si="692"/>
        <v>0</v>
      </c>
      <c r="KG107" s="206">
        <f t="shared" si="693"/>
        <v>0</v>
      </c>
      <c r="KH107" s="206">
        <f t="shared" si="694"/>
        <v>0</v>
      </c>
      <c r="KI107" s="206">
        <f t="shared" si="695"/>
        <v>0</v>
      </c>
      <c r="KJ107" s="206">
        <f t="shared" si="696"/>
        <v>0</v>
      </c>
      <c r="KK107" s="206">
        <f t="shared" si="697"/>
        <v>0</v>
      </c>
      <c r="KL107" s="206">
        <f t="shared" si="698"/>
        <v>0</v>
      </c>
      <c r="KM107" s="206">
        <f t="shared" si="699"/>
        <v>0</v>
      </c>
      <c r="KN107" s="221">
        <f t="shared" si="700"/>
        <v>0</v>
      </c>
      <c r="KO107" s="221">
        <f t="shared" si="701"/>
        <v>0</v>
      </c>
      <c r="KP107" s="221">
        <f t="shared" si="702"/>
        <v>0</v>
      </c>
      <c r="KQ107" s="221">
        <f t="shared" si="703"/>
        <v>0</v>
      </c>
      <c r="KR107" s="221">
        <f t="shared" si="704"/>
        <v>0</v>
      </c>
      <c r="KS107" s="195">
        <v>2</v>
      </c>
      <c r="KT107" s="195">
        <f t="shared" si="705"/>
        <v>1</v>
      </c>
      <c r="KU107" s="221"/>
      <c r="KV107" s="221"/>
      <c r="KW107" s="221"/>
      <c r="KX107" s="221"/>
      <c r="KY107" s="221"/>
      <c r="KZ107" s="221"/>
      <c r="LA107" s="221"/>
      <c r="LB107" s="221"/>
      <c r="LC107" s="221"/>
      <c r="LD107" s="221"/>
      <c r="LE107" s="221"/>
      <c r="LF107" s="221"/>
      <c r="LG107" s="221"/>
      <c r="LH107" s="221"/>
      <c r="LI107" s="221"/>
      <c r="LJ107" s="221"/>
      <c r="LK107" s="221"/>
      <c r="LL107" s="221"/>
      <c r="LM107" s="221"/>
      <c r="LN107" s="221"/>
      <c r="LO107" s="221"/>
      <c r="LP107" s="221"/>
      <c r="LQ107" s="221"/>
      <c r="LR107" s="221"/>
      <c r="LS107" s="221"/>
      <c r="LT107" s="221"/>
      <c r="LU107" s="221"/>
      <c r="LV107" s="221"/>
      <c r="LW107" s="221"/>
      <c r="LX107" s="221"/>
      <c r="LY107" s="221"/>
      <c r="LZ107" s="221"/>
      <c r="MA107" s="221"/>
      <c r="MB107" s="221"/>
      <c r="MC107" s="221"/>
      <c r="MD107" s="221"/>
      <c r="ME107" s="221"/>
      <c r="MF107" s="221"/>
      <c r="MG107" s="221"/>
      <c r="MH107" s="221"/>
      <c r="MI107" s="221"/>
      <c r="MJ107" s="221"/>
      <c r="MK107" s="221"/>
      <c r="ML107" s="221"/>
      <c r="MM107" s="221"/>
      <c r="MN107" s="221"/>
      <c r="MO107" s="221"/>
      <c r="MP107" s="221"/>
      <c r="MQ107" s="221"/>
      <c r="MR107" s="221"/>
      <c r="MS107" s="221"/>
      <c r="MT107" s="221"/>
      <c r="MU107" s="221"/>
      <c r="MV107" s="221"/>
      <c r="MW107" s="221"/>
      <c r="MX107" s="221"/>
      <c r="MY107" s="221"/>
      <c r="MZ107" s="221"/>
      <c r="NA107" s="221"/>
      <c r="NB107" s="221"/>
      <c r="NC107" s="221"/>
      <c r="ND107" s="221"/>
      <c r="NE107" s="221"/>
      <c r="NF107" s="221"/>
      <c r="NG107" s="221"/>
      <c r="NH107" s="221"/>
      <c r="NI107" s="221"/>
      <c r="NJ107" s="221"/>
      <c r="NK107" s="221"/>
      <c r="NL107" s="195"/>
      <c r="NM107" s="195">
        <f t="shared" si="706"/>
        <v>0</v>
      </c>
      <c r="NN107" s="195">
        <f t="shared" si="707"/>
        <v>1</v>
      </c>
      <c r="NO107" s="195">
        <f t="shared" si="708"/>
        <v>0</v>
      </c>
      <c r="NP107" s="195">
        <f t="shared" si="709"/>
        <v>0</v>
      </c>
      <c r="NQ107" s="195">
        <f t="shared" si="710"/>
        <v>0</v>
      </c>
      <c r="NR107" s="195">
        <f t="shared" si="711"/>
        <v>0</v>
      </c>
      <c r="NS107" s="195">
        <f t="shared" si="712"/>
        <v>0</v>
      </c>
      <c r="NT107" s="195">
        <f t="shared" si="713"/>
        <v>1</v>
      </c>
      <c r="NU107" s="196">
        <f t="shared" si="714"/>
        <v>0</v>
      </c>
      <c r="NV107" s="195"/>
      <c r="NW107" s="195"/>
      <c r="NX107" s="195"/>
      <c r="NY107" s="196">
        <f t="shared" si="423"/>
        <v>0</v>
      </c>
      <c r="NZ107" s="222"/>
      <c r="OA107" s="195"/>
      <c r="OB107" s="195"/>
      <c r="OC107" s="195"/>
      <c r="OD107" s="195"/>
      <c r="OE107" s="207">
        <f t="shared" si="723"/>
        <v>0</v>
      </c>
      <c r="OF107" s="207">
        <f t="shared" si="724"/>
        <v>0</v>
      </c>
      <c r="OG107" s="207">
        <f t="shared" si="725"/>
        <v>1</v>
      </c>
      <c r="OH107" s="207">
        <f t="shared" si="726"/>
        <v>0</v>
      </c>
      <c r="OI107" s="207">
        <f t="shared" si="727"/>
        <v>1</v>
      </c>
      <c r="OJ107" s="199">
        <f t="shared" si="728"/>
        <v>0</v>
      </c>
      <c r="OK107" s="199">
        <f t="shared" si="729"/>
        <v>0</v>
      </c>
      <c r="OL107" s="199">
        <f t="shared" si="730"/>
        <v>0</v>
      </c>
      <c r="OM107" s="199">
        <f t="shared" si="731"/>
        <v>0</v>
      </c>
      <c r="ON107" s="195"/>
      <c r="OO107" s="207">
        <f t="shared" si="732"/>
        <v>0</v>
      </c>
      <c r="OP107" s="207">
        <f t="shared" si="733"/>
        <v>0</v>
      </c>
      <c r="OQ107" s="207">
        <f t="shared" si="734"/>
        <v>1</v>
      </c>
      <c r="OR107" s="207">
        <f t="shared" si="735"/>
        <v>0</v>
      </c>
      <c r="OS107" s="207">
        <f t="shared" si="736"/>
        <v>1</v>
      </c>
      <c r="OT107" s="199">
        <f t="shared" si="737"/>
        <v>0</v>
      </c>
      <c r="OU107" s="199">
        <f t="shared" si="738"/>
        <v>0</v>
      </c>
      <c r="OV107" s="199">
        <f t="shared" si="739"/>
        <v>0</v>
      </c>
      <c r="OW107" s="199">
        <f t="shared" si="740"/>
        <v>0</v>
      </c>
      <c r="OX107" s="195"/>
      <c r="OY107" s="195"/>
      <c r="OZ107" s="195"/>
      <c r="PA107" s="260">
        <v>1</v>
      </c>
      <c r="PB107" s="260"/>
      <c r="PC107" s="260"/>
      <c r="PD107" s="210">
        <f t="shared" si="430"/>
        <v>0</v>
      </c>
      <c r="PE107" s="210"/>
      <c r="PF107" s="210">
        <f t="shared" si="431"/>
        <v>0</v>
      </c>
      <c r="PG107" s="210">
        <f t="shared" si="302"/>
        <v>12</v>
      </c>
      <c r="PH107" s="210">
        <f t="shared" si="302"/>
        <v>0</v>
      </c>
      <c r="PI107" s="210">
        <f t="shared" si="302"/>
        <v>0</v>
      </c>
      <c r="PJ107" s="210">
        <f t="shared" si="300"/>
        <v>0</v>
      </c>
      <c r="PK107" s="210">
        <f t="shared" si="300"/>
        <v>0</v>
      </c>
      <c r="PL107" s="210">
        <f t="shared" si="300"/>
        <v>0</v>
      </c>
      <c r="PM107" s="195"/>
      <c r="PN107" s="195"/>
      <c r="PO107" s="212">
        <f t="shared" si="715"/>
        <v>0</v>
      </c>
      <c r="PP107" s="212">
        <f t="shared" si="716"/>
        <v>0</v>
      </c>
      <c r="PQ107" s="212">
        <f t="shared" si="717"/>
        <v>0</v>
      </c>
    </row>
    <row r="108" spans="1:433 16383:16384" ht="16" x14ac:dyDescent="0.2">
      <c r="A108" s="21"/>
      <c r="B108" s="174" t="s">
        <v>18</v>
      </c>
      <c r="C108" s="174"/>
      <c r="D108" s="116">
        <f>SUM(D9:D107)</f>
        <v>98</v>
      </c>
      <c r="E108" s="116">
        <f>SUM(E9:E107)</f>
        <v>10942</v>
      </c>
      <c r="F108" s="116">
        <f>SUM(F9:F107)</f>
        <v>98</v>
      </c>
      <c r="G108" s="116">
        <f>SUM(G9:G107)</f>
        <v>10942</v>
      </c>
      <c r="H108" s="24">
        <f t="shared" ref="H108" si="1109">F108/$D108</f>
        <v>1</v>
      </c>
      <c r="I108" s="24">
        <f t="shared" ref="I108" si="1110">G108/$E108</f>
        <v>1</v>
      </c>
      <c r="J108" s="116">
        <f>SUM(J9:J107)</f>
        <v>98</v>
      </c>
      <c r="K108" s="116">
        <f>SUM(K9:K107)</f>
        <v>10942</v>
      </c>
      <c r="L108" s="24">
        <f t="shared" si="363"/>
        <v>1</v>
      </c>
      <c r="M108" s="24">
        <f t="shared" si="364"/>
        <v>1</v>
      </c>
      <c r="N108" s="116">
        <f>SUM(N9:N107)</f>
        <v>98</v>
      </c>
      <c r="O108" s="116">
        <f>SUM(O9:O107)</f>
        <v>10772</v>
      </c>
      <c r="P108" s="24">
        <f t="shared" si="366"/>
        <v>1</v>
      </c>
      <c r="Q108" s="24">
        <f t="shared" si="367"/>
        <v>0.98446353500274175</v>
      </c>
      <c r="R108" s="116">
        <f>SUM(R9:R107)</f>
        <v>89</v>
      </c>
      <c r="S108" s="116">
        <f>SUM(S9:S107)</f>
        <v>9681</v>
      </c>
      <c r="T108" s="24">
        <f t="shared" ref="T108" si="1111">R108/$D108</f>
        <v>0.90816326530612246</v>
      </c>
      <c r="U108" s="24">
        <f t="shared" ref="U108" si="1112">S108/$E108</f>
        <v>0.88475598610857242</v>
      </c>
      <c r="V108" s="116">
        <f>SUM(V9:V107)</f>
        <v>86</v>
      </c>
      <c r="W108" s="116">
        <f>SUM(W9:W107)</f>
        <v>9458</v>
      </c>
      <c r="X108" s="24">
        <f t="shared" ref="X108" si="1113">V108/$D108</f>
        <v>0.87755102040816324</v>
      </c>
      <c r="Y108" s="24">
        <f t="shared" ref="Y108" si="1114">W108/$E108</f>
        <v>0.86437579967099254</v>
      </c>
      <c r="Z108" s="118">
        <f>SUM(Z9:Z107)</f>
        <v>131.86152399999997</v>
      </c>
      <c r="AA108" s="116">
        <f>SUM(AA9:AA107)</f>
        <v>3</v>
      </c>
      <c r="AB108" s="116">
        <f>SUM(AB9:AB107)</f>
        <v>223</v>
      </c>
      <c r="AC108" s="24">
        <f t="shared" ref="AC108" si="1115">AA108/$D108</f>
        <v>3.0612244897959183E-2</v>
      </c>
      <c r="AD108" s="24">
        <f t="shared" ref="AD108" si="1116">AB108/$E108</f>
        <v>2.0380186437579967E-2</v>
      </c>
      <c r="AE108" s="116">
        <f>SUM(AE9:AE107)</f>
        <v>3.610614</v>
      </c>
      <c r="AF108" s="116">
        <f>SUM(AF9:AF107)</f>
        <v>3</v>
      </c>
      <c r="AG108" s="116">
        <f>COUNTA(AG9:AG107)</f>
        <v>3</v>
      </c>
      <c r="AH108" s="116"/>
      <c r="AI108" s="116">
        <f>SUM(AI9:AI107)</f>
        <v>0</v>
      </c>
      <c r="AJ108" s="116">
        <f>SUM(AJ9:AJ107)</f>
        <v>0</v>
      </c>
      <c r="AK108" s="116"/>
      <c r="AL108" s="116">
        <f>SUM(AL9:AL107)</f>
        <v>0</v>
      </c>
      <c r="AM108" s="116">
        <f>SUM(AM9:AM107)</f>
        <v>0</v>
      </c>
      <c r="AN108" s="116">
        <f>SUM(AN9:AN107)</f>
        <v>9</v>
      </c>
      <c r="AO108" s="29">
        <f t="shared" si="432"/>
        <v>0</v>
      </c>
      <c r="BB108" s="23">
        <f>SUM(BB9:BB107)</f>
        <v>1261</v>
      </c>
      <c r="BD108" s="29"/>
      <c r="BE108" s="23">
        <f t="shared" ref="BE108:BK108" si="1117">SUM(BE9:BE107)</f>
        <v>223</v>
      </c>
      <c r="BF108" s="23">
        <f t="shared" si="1117"/>
        <v>0</v>
      </c>
      <c r="BG108" s="23">
        <f t="shared" si="1117"/>
        <v>0</v>
      </c>
      <c r="BH108" s="23">
        <f t="shared" si="1117"/>
        <v>184</v>
      </c>
      <c r="BI108" s="23">
        <f t="shared" si="1117"/>
        <v>39</v>
      </c>
      <c r="BJ108" s="23">
        <f t="shared" si="1117"/>
        <v>0</v>
      </c>
      <c r="BK108" s="23">
        <f t="shared" si="1117"/>
        <v>223</v>
      </c>
      <c r="BN108" s="116">
        <f t="shared" ref="BN108:BZ108" si="1118">SUM(BN9:BN107)</f>
        <v>1695</v>
      </c>
      <c r="BO108" s="116">
        <f t="shared" si="1118"/>
        <v>37</v>
      </c>
      <c r="BP108" s="116">
        <f t="shared" si="1118"/>
        <v>0</v>
      </c>
      <c r="BQ108" s="116">
        <f t="shared" si="1118"/>
        <v>0</v>
      </c>
      <c r="BR108" s="116">
        <f t="shared" si="1118"/>
        <v>0</v>
      </c>
      <c r="BS108" s="116">
        <f t="shared" si="1118"/>
        <v>0</v>
      </c>
      <c r="BT108" s="116">
        <f t="shared" si="1118"/>
        <v>0</v>
      </c>
      <c r="BU108" s="116">
        <f t="shared" si="1118"/>
        <v>0</v>
      </c>
      <c r="BV108" s="116">
        <f t="shared" si="1118"/>
        <v>0</v>
      </c>
      <c r="BW108" s="116">
        <f t="shared" si="1118"/>
        <v>0</v>
      </c>
      <c r="BX108" s="116">
        <f t="shared" si="1118"/>
        <v>0</v>
      </c>
      <c r="BY108" s="116">
        <f t="shared" si="1118"/>
        <v>0</v>
      </c>
      <c r="BZ108" s="116">
        <f t="shared" si="1118"/>
        <v>0</v>
      </c>
      <c r="CB108" s="23">
        <f>SUM(CB9:CB107)</f>
        <v>0</v>
      </c>
      <c r="CD108" s="23">
        <f t="shared" ref="CD108:CP108" si="1119">SUM(CD9:CD107)</f>
        <v>1695</v>
      </c>
      <c r="CE108" s="23">
        <f t="shared" si="1119"/>
        <v>1695</v>
      </c>
      <c r="CF108" s="23">
        <f t="shared" si="1119"/>
        <v>0</v>
      </c>
      <c r="CG108" s="23">
        <f t="shared" si="1119"/>
        <v>0</v>
      </c>
      <c r="CH108" s="23">
        <f t="shared" si="1119"/>
        <v>0</v>
      </c>
      <c r="CI108" s="23">
        <f t="shared" si="1119"/>
        <v>0</v>
      </c>
      <c r="CJ108" s="23">
        <f t="shared" si="1119"/>
        <v>0</v>
      </c>
      <c r="CK108" s="23">
        <f t="shared" si="1119"/>
        <v>0</v>
      </c>
      <c r="CL108" s="23">
        <f t="shared" si="1119"/>
        <v>0</v>
      </c>
      <c r="CM108" s="23">
        <f t="shared" si="1119"/>
        <v>0</v>
      </c>
      <c r="CN108" s="23">
        <f t="shared" si="1119"/>
        <v>0</v>
      </c>
      <c r="CO108" s="23">
        <f t="shared" si="1119"/>
        <v>0</v>
      </c>
      <c r="CP108" s="23">
        <f t="shared" si="1119"/>
        <v>0</v>
      </c>
      <c r="DV108" s="23">
        <f>SUM(DV9:DV84)</f>
        <v>0</v>
      </c>
      <c r="DW108" s="23">
        <f t="shared" ref="DW108:EB108" si="1120">SUM(DW9:DW107)</f>
        <v>0</v>
      </c>
      <c r="DX108" s="23">
        <f t="shared" si="1120"/>
        <v>0</v>
      </c>
      <c r="DY108" s="23">
        <f t="shared" si="1120"/>
        <v>0</v>
      </c>
      <c r="DZ108" s="23">
        <f t="shared" si="1120"/>
        <v>0</v>
      </c>
      <c r="EA108" s="23">
        <f t="shared" si="1120"/>
        <v>0</v>
      </c>
      <c r="EB108" s="23">
        <f t="shared" si="1120"/>
        <v>0</v>
      </c>
      <c r="EG108" s="58">
        <f>COUNTIF(EG9:EG107,"&gt;&lt;0")</f>
        <v>3</v>
      </c>
      <c r="EH108" s="58">
        <f>COUNTIF(EH9:EH107,"&gt;&lt;0")</f>
        <v>0</v>
      </c>
      <c r="EI108" s="23">
        <f t="shared" ref="EI108:FF108" si="1121">SUM(EI9:EI107)</f>
        <v>6</v>
      </c>
      <c r="EJ108" s="23">
        <f t="shared" si="1121"/>
        <v>6</v>
      </c>
      <c r="EK108" s="23">
        <f t="shared" si="1121"/>
        <v>0</v>
      </c>
      <c r="EL108" s="23">
        <f t="shared" si="1121"/>
        <v>0</v>
      </c>
      <c r="EM108" s="23">
        <f t="shared" si="1121"/>
        <v>0</v>
      </c>
      <c r="EN108" s="23">
        <f t="shared" si="1121"/>
        <v>0</v>
      </c>
      <c r="EO108" s="23">
        <f t="shared" si="1121"/>
        <v>0</v>
      </c>
      <c r="EP108" s="23">
        <f t="shared" si="1121"/>
        <v>0</v>
      </c>
      <c r="EQ108" s="23">
        <f t="shared" si="1121"/>
        <v>3</v>
      </c>
      <c r="ER108" s="23">
        <f t="shared" si="1121"/>
        <v>3</v>
      </c>
      <c r="ES108" s="23">
        <f t="shared" si="1121"/>
        <v>3</v>
      </c>
      <c r="ET108" s="23">
        <f t="shared" si="1121"/>
        <v>0</v>
      </c>
      <c r="EU108" s="23">
        <f t="shared" si="1121"/>
        <v>0</v>
      </c>
      <c r="EV108" s="23">
        <f t="shared" si="1121"/>
        <v>3</v>
      </c>
      <c r="EW108" s="23">
        <f t="shared" si="1121"/>
        <v>0</v>
      </c>
      <c r="EX108" s="23">
        <f t="shared" si="1121"/>
        <v>0</v>
      </c>
      <c r="EY108" s="23">
        <f t="shared" si="1121"/>
        <v>0</v>
      </c>
      <c r="EZ108" s="23">
        <f t="shared" si="1121"/>
        <v>3</v>
      </c>
      <c r="FA108" s="23">
        <f t="shared" si="1121"/>
        <v>3</v>
      </c>
      <c r="FB108" s="23">
        <f t="shared" si="1121"/>
        <v>3</v>
      </c>
      <c r="FC108" s="23">
        <f t="shared" si="1121"/>
        <v>2</v>
      </c>
      <c r="FD108" s="23">
        <f t="shared" si="1121"/>
        <v>0</v>
      </c>
      <c r="FE108" s="23">
        <f t="shared" si="1121"/>
        <v>1</v>
      </c>
      <c r="FF108" s="23">
        <f t="shared" si="1121"/>
        <v>1</v>
      </c>
      <c r="FH108" s="23">
        <f t="shared" ref="FH108:FV108" si="1122">SUM(FH9:FH107)</f>
        <v>0</v>
      </c>
      <c r="FI108" s="23">
        <f t="shared" si="1122"/>
        <v>0</v>
      </c>
      <c r="FJ108" s="23">
        <f t="shared" si="1122"/>
        <v>0</v>
      </c>
      <c r="FK108" s="23">
        <f t="shared" si="1122"/>
        <v>0</v>
      </c>
      <c r="FL108" s="23">
        <f t="shared" si="1122"/>
        <v>0</v>
      </c>
      <c r="FM108" s="23">
        <f t="shared" si="1122"/>
        <v>0</v>
      </c>
      <c r="FN108" s="23">
        <f t="shared" si="1122"/>
        <v>0</v>
      </c>
      <c r="FO108" s="23">
        <f t="shared" si="1122"/>
        <v>0</v>
      </c>
      <c r="FP108" s="23">
        <f t="shared" si="1122"/>
        <v>0</v>
      </c>
      <c r="FQ108" s="23">
        <f t="shared" si="1122"/>
        <v>0</v>
      </c>
      <c r="FR108" s="23">
        <f t="shared" si="1122"/>
        <v>0</v>
      </c>
      <c r="FS108" s="23">
        <f t="shared" si="1122"/>
        <v>0</v>
      </c>
      <c r="FT108" s="23">
        <f t="shared" si="1122"/>
        <v>0</v>
      </c>
      <c r="FU108" s="23">
        <f t="shared" si="1122"/>
        <v>0</v>
      </c>
      <c r="FV108" s="23">
        <f t="shared" si="1122"/>
        <v>0</v>
      </c>
      <c r="FX108" s="23">
        <f t="shared" ref="FX108:GE108" si="1123">SUM(FX9:FX107)</f>
        <v>37</v>
      </c>
      <c r="FY108" s="23">
        <f t="shared" si="1123"/>
        <v>1695</v>
      </c>
      <c r="FZ108" s="23">
        <f t="shared" si="1123"/>
        <v>1695</v>
      </c>
      <c r="GA108" s="23">
        <f t="shared" si="1123"/>
        <v>0</v>
      </c>
      <c r="GB108" s="23">
        <f t="shared" si="1123"/>
        <v>0</v>
      </c>
      <c r="GC108" s="23">
        <f t="shared" si="1123"/>
        <v>0</v>
      </c>
      <c r="GD108" s="23">
        <f t="shared" si="1123"/>
        <v>0</v>
      </c>
      <c r="GE108" s="23">
        <f t="shared" si="1123"/>
        <v>0</v>
      </c>
      <c r="GG108" s="23">
        <f>SUM(GG9:GG107)</f>
        <v>0</v>
      </c>
      <c r="GH108" s="23">
        <f>SUM(GH9:GH107)</f>
        <v>0</v>
      </c>
      <c r="GJ108" s="39">
        <f>SUM(GJ9:GJ107)</f>
        <v>0</v>
      </c>
      <c r="GK108" s="39">
        <f>SUM(GK9:GK107)</f>
        <v>0</v>
      </c>
      <c r="GO108" s="103">
        <f t="shared" ref="GO108:GT108" si="1124">SUM(GO9:GO107)</f>
        <v>0</v>
      </c>
      <c r="GP108" s="103">
        <f t="shared" si="1124"/>
        <v>0</v>
      </c>
      <c r="GQ108" s="103">
        <f t="shared" si="1124"/>
        <v>0</v>
      </c>
      <c r="GR108" s="103">
        <f t="shared" si="1124"/>
        <v>9</v>
      </c>
      <c r="GS108" s="103">
        <f t="shared" si="1124"/>
        <v>12</v>
      </c>
      <c r="GT108" s="103">
        <f t="shared" si="1124"/>
        <v>86</v>
      </c>
      <c r="GU108" s="103">
        <f>COUNTA(GU9:GU107)</f>
        <v>98</v>
      </c>
      <c r="GV108" s="103">
        <f>COUNTA(GV9:GV107)</f>
        <v>98</v>
      </c>
      <c r="GW108" s="103">
        <f>SUM(GW9:GW107)</f>
        <v>12</v>
      </c>
      <c r="GX108" s="103">
        <f>COUNTA(GX9:GX107)</f>
        <v>98</v>
      </c>
      <c r="GY108" s="103"/>
      <c r="GZ108" s="103">
        <f>COUNTA(GZ9:GZ107)</f>
        <v>98</v>
      </c>
      <c r="HA108" s="83"/>
      <c r="HB108" s="83"/>
      <c r="HC108" s="103">
        <f>SUM(HC9:HC107)</f>
        <v>3</v>
      </c>
      <c r="HD108" s="103">
        <f>SUM(HD9:HD107)</f>
        <v>0</v>
      </c>
      <c r="HE108" s="103">
        <f>SUM(HE9:HE107)</f>
        <v>3</v>
      </c>
      <c r="HF108" s="103">
        <f>SUM(HF9:HF107)</f>
        <v>0</v>
      </c>
      <c r="HG108" s="103">
        <f>SUM(HG9:HG107)</f>
        <v>3</v>
      </c>
      <c r="HH108" s="103">
        <f>COUNTA(HH9:HH107)</f>
        <v>98</v>
      </c>
      <c r="HI108" s="103">
        <f>COUNTA(HI9:HI107)</f>
        <v>98</v>
      </c>
      <c r="HJ108" s="83"/>
      <c r="HK108" s="103">
        <f>COUNTA(HK9:HK107)</f>
        <v>98</v>
      </c>
      <c r="HL108" s="83"/>
      <c r="HM108" s="83"/>
      <c r="HN108" s="83"/>
      <c r="HO108" s="83"/>
      <c r="HP108" s="104">
        <f>HP110</f>
        <v>43257</v>
      </c>
      <c r="HQ108" s="103">
        <f>SUM(HQ9:HQ107)</f>
        <v>0</v>
      </c>
      <c r="HR108" s="103">
        <f>SUM(HR9:HR107)</f>
        <v>0</v>
      </c>
      <c r="HS108" s="104">
        <f>HS110</f>
        <v>43288</v>
      </c>
      <c r="HT108" s="103">
        <f>SUM(HT9:HT107)</f>
        <v>3</v>
      </c>
      <c r="HU108" s="103">
        <f>SUM(HU9:HU107)</f>
        <v>223</v>
      </c>
      <c r="HV108" s="104">
        <f>HV110</f>
        <v>43267</v>
      </c>
      <c r="HW108" s="103"/>
      <c r="HX108" s="103">
        <f>SUM(HX9:HX107)</f>
        <v>0</v>
      </c>
      <c r="HY108" s="104">
        <f>HY110</f>
        <v>43312</v>
      </c>
      <c r="HZ108" s="103">
        <f>SUM(HZ8:HZ9)</f>
        <v>0</v>
      </c>
      <c r="IA108" s="103">
        <f>SUM(IA8:IA9)</f>
        <v>0</v>
      </c>
      <c r="IB108" s="104">
        <f>IB110</f>
        <v>43277</v>
      </c>
      <c r="IC108" s="103">
        <f>SUM(IC9:IC107)</f>
        <v>0</v>
      </c>
      <c r="ID108" s="103">
        <f>SUM(ID9:ID107)</f>
        <v>0</v>
      </c>
      <c r="IE108" s="104">
        <f>IE110</f>
        <v>43322</v>
      </c>
      <c r="IF108" s="103">
        <f>SUM(IF9:IF107)</f>
        <v>0</v>
      </c>
      <c r="IG108" s="103">
        <f>SUM(IG9:IG107)</f>
        <v>0</v>
      </c>
      <c r="IH108" s="104">
        <f>IH110</f>
        <v>43297</v>
      </c>
      <c r="II108" s="103">
        <f>SUM(II9:II107)</f>
        <v>0</v>
      </c>
      <c r="IJ108" s="103">
        <f>SUM(IJ9:IJ107)</f>
        <v>0</v>
      </c>
      <c r="IK108" s="104">
        <f>IK110</f>
        <v>43342</v>
      </c>
      <c r="IL108" s="103">
        <f>SUM(IL9:IL107)</f>
        <v>0</v>
      </c>
      <c r="IM108" s="103">
        <f>SUM(IM9:IM107)</f>
        <v>0</v>
      </c>
      <c r="IN108" s="83"/>
      <c r="IO108" s="104">
        <f>IO110</f>
        <v>43288</v>
      </c>
      <c r="IP108" s="103">
        <f>SUM(IP8:IP107)</f>
        <v>0</v>
      </c>
      <c r="IQ108" s="103">
        <f>SUM(IQ9:IQ107)</f>
        <v>0</v>
      </c>
      <c r="IR108" s="83"/>
      <c r="IS108" s="104">
        <f>$D$3</f>
        <v>44201</v>
      </c>
      <c r="IT108" s="103">
        <f>SUM(IT9:IT107)</f>
        <v>86</v>
      </c>
      <c r="IU108" s="103">
        <f>SUM(IU9:IU107)</f>
        <v>9458</v>
      </c>
      <c r="IV108" s="83"/>
      <c r="IW108" s="104">
        <f>$D$3</f>
        <v>44201</v>
      </c>
      <c r="IX108" s="103">
        <f>SUM(IX9:IX107)</f>
        <v>3</v>
      </c>
      <c r="IY108" s="103">
        <f>SUM(IY9:IY107)</f>
        <v>223</v>
      </c>
      <c r="IZ108" s="83"/>
      <c r="JA108" s="103"/>
      <c r="JB108" s="103">
        <f>SUM(JB9:JB107)</f>
        <v>9</v>
      </c>
      <c r="JC108" s="103">
        <f>SUM(JC9:JC107)</f>
        <v>1261</v>
      </c>
      <c r="JD108" s="83"/>
      <c r="JE108" s="103"/>
      <c r="JF108" s="103">
        <f>SUM(JF9:JF107)</f>
        <v>101</v>
      </c>
      <c r="JG108" s="103">
        <f>SUM(JG9:JG107)</f>
        <v>11165</v>
      </c>
      <c r="JH108" s="83"/>
      <c r="JI108" s="103"/>
      <c r="JJ108" s="103">
        <f>SUM(JJ9:JJ107)</f>
        <v>3</v>
      </c>
      <c r="JK108" s="103">
        <f>SUM(JK9:JK107)</f>
        <v>223</v>
      </c>
      <c r="JM108" s="104">
        <f>MAX(JM9:JM107)</f>
        <v>43288</v>
      </c>
      <c r="JO108" s="29">
        <f>MAX(JO9:JO83)</f>
        <v>1</v>
      </c>
      <c r="JP108" s="122">
        <f t="shared" si="271"/>
        <v>1695</v>
      </c>
      <c r="JQ108" s="125">
        <f t="shared" ref="JQ108:KB108" si="1125">SUM(JQ9:JQ107)</f>
        <v>37</v>
      </c>
      <c r="JR108" s="125">
        <f t="shared" si="1125"/>
        <v>0</v>
      </c>
      <c r="JS108" s="125">
        <f t="shared" si="1125"/>
        <v>0</v>
      </c>
      <c r="JT108" s="125">
        <f t="shared" si="1125"/>
        <v>0</v>
      </c>
      <c r="JU108" s="125">
        <f t="shared" si="1125"/>
        <v>0</v>
      </c>
      <c r="JV108" s="125">
        <f t="shared" si="1125"/>
        <v>0</v>
      </c>
      <c r="JW108" s="125">
        <f t="shared" si="1125"/>
        <v>0</v>
      </c>
      <c r="JX108" s="125">
        <f t="shared" si="1125"/>
        <v>0</v>
      </c>
      <c r="JY108" s="125">
        <f t="shared" si="1125"/>
        <v>0</v>
      </c>
      <c r="JZ108" s="125">
        <f t="shared" si="1125"/>
        <v>0</v>
      </c>
      <c r="KA108" s="125">
        <f t="shared" si="1125"/>
        <v>0</v>
      </c>
      <c r="KB108" s="125">
        <f t="shared" si="1125"/>
        <v>0</v>
      </c>
      <c r="KD108" s="125">
        <f t="shared" ref="KD108:KR108" si="1126">SUM(KD9:KD107)</f>
        <v>0</v>
      </c>
      <c r="KE108" s="125">
        <f t="shared" si="1126"/>
        <v>0</v>
      </c>
      <c r="KF108" s="125">
        <f t="shared" si="1126"/>
        <v>1695</v>
      </c>
      <c r="KG108" s="125">
        <f t="shared" si="1126"/>
        <v>1695</v>
      </c>
      <c r="KH108" s="125">
        <f t="shared" si="1126"/>
        <v>0</v>
      </c>
      <c r="KI108" s="125">
        <f t="shared" si="1126"/>
        <v>0</v>
      </c>
      <c r="KJ108" s="125">
        <f t="shared" si="1126"/>
        <v>0</v>
      </c>
      <c r="KK108" s="125">
        <f t="shared" si="1126"/>
        <v>0</v>
      </c>
      <c r="KL108" s="125">
        <f t="shared" si="1126"/>
        <v>0</v>
      </c>
      <c r="KM108" s="125">
        <f t="shared" si="1126"/>
        <v>0</v>
      </c>
      <c r="KN108" s="125">
        <f t="shared" si="1126"/>
        <v>0</v>
      </c>
      <c r="KO108" s="125">
        <f t="shared" si="1126"/>
        <v>0</v>
      </c>
      <c r="KP108" s="125">
        <f t="shared" si="1126"/>
        <v>0</v>
      </c>
      <c r="KQ108" s="125">
        <f t="shared" si="1126"/>
        <v>0</v>
      </c>
      <c r="KR108" s="125">
        <f t="shared" si="1126"/>
        <v>0</v>
      </c>
      <c r="KT108" s="125">
        <f t="shared" ref="KT108:LY108" si="1127">SUM(KT9:KT107)</f>
        <v>9</v>
      </c>
      <c r="KU108" s="125">
        <f t="shared" si="1127"/>
        <v>0</v>
      </c>
      <c r="KV108" s="125">
        <f t="shared" si="1127"/>
        <v>0</v>
      </c>
      <c r="KW108" s="125">
        <f t="shared" si="1127"/>
        <v>0</v>
      </c>
      <c r="KX108" s="125">
        <f t="shared" si="1127"/>
        <v>0</v>
      </c>
      <c r="KY108" s="125">
        <f t="shared" si="1127"/>
        <v>0</v>
      </c>
      <c r="KZ108" s="125">
        <f t="shared" si="1127"/>
        <v>0</v>
      </c>
      <c r="LA108" s="125">
        <f t="shared" si="1127"/>
        <v>0</v>
      </c>
      <c r="LB108" s="125">
        <f t="shared" si="1127"/>
        <v>0</v>
      </c>
      <c r="LC108" s="125">
        <f t="shared" si="1127"/>
        <v>0</v>
      </c>
      <c r="LD108" s="125">
        <f t="shared" si="1127"/>
        <v>0</v>
      </c>
      <c r="LE108" s="125">
        <f t="shared" si="1127"/>
        <v>0</v>
      </c>
      <c r="LF108" s="125">
        <f t="shared" si="1127"/>
        <v>0</v>
      </c>
      <c r="LG108" s="125">
        <f t="shared" si="1127"/>
        <v>0</v>
      </c>
      <c r="LH108" s="125">
        <f t="shared" si="1127"/>
        <v>0</v>
      </c>
      <c r="LI108" s="125">
        <f t="shared" si="1127"/>
        <v>0</v>
      </c>
      <c r="LJ108" s="125">
        <f t="shared" si="1127"/>
        <v>0</v>
      </c>
      <c r="LK108" s="125">
        <f t="shared" si="1127"/>
        <v>0</v>
      </c>
      <c r="LL108" s="125">
        <f t="shared" si="1127"/>
        <v>0</v>
      </c>
      <c r="LM108" s="125">
        <f t="shared" si="1127"/>
        <v>3</v>
      </c>
      <c r="LN108" s="125">
        <f t="shared" si="1127"/>
        <v>3</v>
      </c>
      <c r="LO108" s="125">
        <f t="shared" si="1127"/>
        <v>0</v>
      </c>
      <c r="LP108" s="125">
        <f t="shared" si="1127"/>
        <v>0</v>
      </c>
      <c r="LQ108" s="125">
        <f t="shared" si="1127"/>
        <v>0</v>
      </c>
      <c r="LR108" s="125">
        <f t="shared" si="1127"/>
        <v>0</v>
      </c>
      <c r="LS108" s="125">
        <f t="shared" si="1127"/>
        <v>0</v>
      </c>
      <c r="LT108" s="125">
        <f t="shared" si="1127"/>
        <v>0</v>
      </c>
      <c r="LU108" s="125">
        <f t="shared" si="1127"/>
        <v>0</v>
      </c>
      <c r="LV108" s="125">
        <f t="shared" si="1127"/>
        <v>0</v>
      </c>
      <c r="LW108" s="125">
        <f t="shared" si="1127"/>
        <v>0</v>
      </c>
      <c r="LX108" s="125">
        <f t="shared" si="1127"/>
        <v>0</v>
      </c>
      <c r="LY108" s="125">
        <f t="shared" si="1127"/>
        <v>0</v>
      </c>
      <c r="LZ108" s="125">
        <f t="shared" ref="LZ108:NE108" si="1128">SUM(LZ9:LZ107)</f>
        <v>0</v>
      </c>
      <c r="MA108" s="125">
        <f t="shared" si="1128"/>
        <v>0</v>
      </c>
      <c r="MB108" s="125">
        <f t="shared" si="1128"/>
        <v>0</v>
      </c>
      <c r="MC108" s="125">
        <f t="shared" si="1128"/>
        <v>0</v>
      </c>
      <c r="MD108" s="125">
        <f t="shared" si="1128"/>
        <v>0</v>
      </c>
      <c r="ME108" s="125">
        <f t="shared" si="1128"/>
        <v>0</v>
      </c>
      <c r="MF108" s="125">
        <f t="shared" si="1128"/>
        <v>0</v>
      </c>
      <c r="MG108" s="125">
        <f t="shared" si="1128"/>
        <v>0</v>
      </c>
      <c r="MH108" s="125">
        <f t="shared" si="1128"/>
        <v>0</v>
      </c>
      <c r="MI108" s="125">
        <f t="shared" si="1128"/>
        <v>0</v>
      </c>
      <c r="MJ108" s="125">
        <f t="shared" si="1128"/>
        <v>0</v>
      </c>
      <c r="MK108" s="125">
        <f t="shared" si="1128"/>
        <v>0</v>
      </c>
      <c r="ML108" s="125">
        <f t="shared" si="1128"/>
        <v>0</v>
      </c>
      <c r="MM108" s="125">
        <f t="shared" si="1128"/>
        <v>0</v>
      </c>
      <c r="MN108" s="125">
        <f t="shared" si="1128"/>
        <v>0</v>
      </c>
      <c r="MO108" s="125">
        <f t="shared" si="1128"/>
        <v>0</v>
      </c>
      <c r="MP108" s="125">
        <f t="shared" si="1128"/>
        <v>0</v>
      </c>
      <c r="MQ108" s="125">
        <f t="shared" si="1128"/>
        <v>0</v>
      </c>
      <c r="MR108" s="125">
        <f t="shared" si="1128"/>
        <v>0</v>
      </c>
      <c r="MS108" s="125">
        <f t="shared" si="1128"/>
        <v>0</v>
      </c>
      <c r="MT108" s="125">
        <f t="shared" si="1128"/>
        <v>0</v>
      </c>
      <c r="MU108" s="125">
        <f t="shared" si="1128"/>
        <v>0</v>
      </c>
      <c r="MV108" s="125">
        <f t="shared" si="1128"/>
        <v>0</v>
      </c>
      <c r="MW108" s="125">
        <f t="shared" si="1128"/>
        <v>0</v>
      </c>
      <c r="MX108" s="125">
        <f t="shared" si="1128"/>
        <v>0</v>
      </c>
      <c r="MY108" s="125">
        <f t="shared" si="1128"/>
        <v>0</v>
      </c>
      <c r="MZ108" s="125">
        <f t="shared" si="1128"/>
        <v>0</v>
      </c>
      <c r="NA108" s="125">
        <f t="shared" si="1128"/>
        <v>0</v>
      </c>
      <c r="NB108" s="125">
        <f t="shared" si="1128"/>
        <v>0</v>
      </c>
      <c r="NC108" s="125">
        <f t="shared" si="1128"/>
        <v>0</v>
      </c>
      <c r="ND108" s="125">
        <f t="shared" si="1128"/>
        <v>0</v>
      </c>
      <c r="NE108" s="125">
        <f t="shared" si="1128"/>
        <v>0</v>
      </c>
      <c r="NF108" s="125">
        <f t="shared" ref="NF108:NK108" si="1129">SUM(NF9:NF107)</f>
        <v>0</v>
      </c>
      <c r="NG108" s="125">
        <f t="shared" si="1129"/>
        <v>0</v>
      </c>
      <c r="NH108" s="125">
        <f t="shared" si="1129"/>
        <v>0</v>
      </c>
      <c r="NI108" s="125">
        <f t="shared" si="1129"/>
        <v>0</v>
      </c>
      <c r="NJ108" s="125">
        <f t="shared" si="1129"/>
        <v>0</v>
      </c>
      <c r="NK108" s="125">
        <f t="shared" si="1129"/>
        <v>0</v>
      </c>
      <c r="NM108" s="125">
        <f t="shared" ref="NM108:NU108" si="1130">SUM(NM9:NM107)</f>
        <v>0</v>
      </c>
      <c r="NN108" s="125">
        <f t="shared" si="1130"/>
        <v>9</v>
      </c>
      <c r="NO108" s="125">
        <f t="shared" si="1130"/>
        <v>0</v>
      </c>
      <c r="NP108" s="125">
        <f t="shared" si="1130"/>
        <v>0</v>
      </c>
      <c r="NQ108" s="125">
        <f t="shared" si="1130"/>
        <v>0</v>
      </c>
      <c r="NR108" s="125">
        <f t="shared" si="1130"/>
        <v>0</v>
      </c>
      <c r="NS108" s="125">
        <f t="shared" si="1130"/>
        <v>0</v>
      </c>
      <c r="NT108" s="125">
        <f t="shared" si="1130"/>
        <v>9</v>
      </c>
      <c r="NU108" s="125">
        <f t="shared" si="1130"/>
        <v>0</v>
      </c>
      <c r="NZ108" s="153">
        <f>MAX(NZ9:NZ107)</f>
        <v>9286000</v>
      </c>
      <c r="OA108" s="153">
        <f>MIN(NZ9:NZ107)</f>
        <v>7885900</v>
      </c>
      <c r="OB108" s="153">
        <f>AVERAGE(NZ9:NZ107)</f>
        <v>8348492.6704545459</v>
      </c>
      <c r="OE108" s="125">
        <f t="shared" ref="OE108:OM108" si="1131">SUM(OE9:OE107)</f>
        <v>0</v>
      </c>
      <c r="OF108" s="125">
        <f t="shared" si="1131"/>
        <v>0</v>
      </c>
      <c r="OG108" s="125">
        <f t="shared" si="1131"/>
        <v>8</v>
      </c>
      <c r="OH108" s="125">
        <f t="shared" si="1131"/>
        <v>3</v>
      </c>
      <c r="OI108" s="125">
        <f t="shared" si="1131"/>
        <v>8</v>
      </c>
      <c r="OJ108" s="125">
        <f t="shared" si="1131"/>
        <v>0</v>
      </c>
      <c r="OK108" s="125">
        <f t="shared" si="1131"/>
        <v>0</v>
      </c>
      <c r="OL108" s="125">
        <f t="shared" si="1131"/>
        <v>0</v>
      </c>
      <c r="OM108" s="125">
        <f t="shared" si="1131"/>
        <v>0</v>
      </c>
      <c r="OO108" s="125">
        <f t="shared" ref="OO108:OW108" si="1132">SUM(OO9:OO107)</f>
        <v>0</v>
      </c>
      <c r="OP108" s="125">
        <f t="shared" si="1132"/>
        <v>0</v>
      </c>
      <c r="OQ108" s="125">
        <f t="shared" si="1132"/>
        <v>8</v>
      </c>
      <c r="OR108" s="125">
        <f t="shared" si="1132"/>
        <v>3</v>
      </c>
      <c r="OS108" s="125">
        <f t="shared" si="1132"/>
        <v>8</v>
      </c>
      <c r="OT108" s="125">
        <f t="shared" si="1132"/>
        <v>0</v>
      </c>
      <c r="OU108" s="125">
        <f t="shared" si="1132"/>
        <v>0</v>
      </c>
      <c r="OV108" s="125">
        <f t="shared" si="1132"/>
        <v>0</v>
      </c>
      <c r="OW108" s="125">
        <f t="shared" si="1132"/>
        <v>0</v>
      </c>
      <c r="PA108" s="293">
        <f t="shared" ref="PA108:PL108" si="1133">SUM(PA9:PA107)</f>
        <v>8</v>
      </c>
      <c r="PB108" s="293">
        <f t="shared" si="1133"/>
        <v>1</v>
      </c>
      <c r="PC108" s="293">
        <f t="shared" si="1133"/>
        <v>0</v>
      </c>
      <c r="PD108" s="293">
        <f t="shared" si="1133"/>
        <v>1</v>
      </c>
      <c r="PE108" s="293">
        <f t="shared" si="1133"/>
        <v>1</v>
      </c>
      <c r="PF108" s="293">
        <f t="shared" si="1133"/>
        <v>0</v>
      </c>
      <c r="PG108" s="293">
        <f t="shared" si="1133"/>
        <v>1214</v>
      </c>
      <c r="PH108" s="293">
        <f t="shared" si="1133"/>
        <v>47</v>
      </c>
      <c r="PI108" s="293">
        <f t="shared" si="1133"/>
        <v>0</v>
      </c>
      <c r="PJ108" s="293">
        <f t="shared" si="1133"/>
        <v>47</v>
      </c>
      <c r="PK108" s="293">
        <f t="shared" si="1133"/>
        <v>47</v>
      </c>
      <c r="PL108" s="293">
        <f t="shared" si="1133"/>
        <v>0</v>
      </c>
      <c r="PO108" s="125">
        <f>SUM(PO9:PO107)</f>
        <v>187</v>
      </c>
      <c r="PP108" s="125">
        <f>SUM(PP9:PP107)</f>
        <v>36</v>
      </c>
      <c r="PQ108" s="125">
        <f>SUM(PQ9:PQ107)</f>
        <v>0</v>
      </c>
      <c r="XFC108" s="125">
        <f>SUM(XFC9:XFC107)</f>
        <v>5221423000</v>
      </c>
      <c r="XFD108" s="125">
        <f>SUM(XFD9:XFD107)</f>
        <v>918114000</v>
      </c>
    </row>
    <row r="109" spans="1:433 16383:16384" ht="16" x14ac:dyDescent="0.2">
      <c r="GO109" s="83"/>
      <c r="GP109" s="83"/>
      <c r="GQ109" s="83"/>
      <c r="GR109" s="83"/>
      <c r="GS109" s="83"/>
      <c r="GT109" s="83"/>
      <c r="GU109" s="83"/>
      <c r="GV109" s="83"/>
      <c r="GW109" s="83"/>
      <c r="GX109" s="83"/>
      <c r="GY109" s="83"/>
      <c r="GZ109" s="83"/>
      <c r="HA109" s="83"/>
      <c r="HB109" s="83"/>
      <c r="HC109" s="83"/>
      <c r="HD109" s="83"/>
      <c r="HE109" s="83"/>
      <c r="HF109" s="83"/>
      <c r="HG109" s="83"/>
      <c r="HH109" s="83"/>
      <c r="HI109" s="83"/>
      <c r="HJ109" s="83"/>
      <c r="HK109" s="83"/>
      <c r="HL109" s="83"/>
      <c r="HM109" s="83"/>
      <c r="HN109" s="83"/>
      <c r="HO109" s="83"/>
      <c r="HP109" s="83"/>
      <c r="HQ109" s="83"/>
      <c r="HR109" s="83"/>
      <c r="HS109" s="83"/>
      <c r="HT109" s="83"/>
      <c r="HU109" s="83"/>
      <c r="HV109" s="83"/>
      <c r="HW109" s="83"/>
      <c r="HX109" s="83"/>
      <c r="HY109" s="105"/>
      <c r="HZ109" s="83"/>
      <c r="IA109" s="83"/>
      <c r="IB109" s="83"/>
      <c r="IC109" s="83"/>
      <c r="ID109" s="83"/>
      <c r="IE109" s="83"/>
      <c r="IF109" s="83"/>
      <c r="IG109" s="83"/>
      <c r="IH109" s="83"/>
      <c r="II109" s="83"/>
      <c r="IJ109" s="83"/>
      <c r="IK109" s="83"/>
      <c r="IL109" s="83"/>
      <c r="IM109" s="83"/>
      <c r="IN109" s="83"/>
      <c r="IO109" s="83"/>
      <c r="IP109" s="83"/>
      <c r="IQ109" s="83"/>
      <c r="IR109" s="83"/>
      <c r="IS109" s="83"/>
      <c r="IT109" s="83"/>
      <c r="IU109" s="83"/>
      <c r="IV109" s="83"/>
      <c r="IW109" s="83"/>
      <c r="IX109" s="83"/>
      <c r="IY109" s="83"/>
      <c r="IZ109" s="83"/>
      <c r="JA109" s="83"/>
      <c r="JB109" s="83"/>
      <c r="JC109" s="83"/>
      <c r="JD109" s="83"/>
      <c r="JE109" s="83"/>
      <c r="JF109" s="83"/>
      <c r="JG109" s="83"/>
      <c r="JH109" s="83"/>
      <c r="JI109" s="83"/>
      <c r="JJ109" s="83"/>
      <c r="JK109" s="83"/>
      <c r="JP109" s="124">
        <f>SUM(JQ108:KB108)</f>
        <v>37</v>
      </c>
      <c r="KF109" s="124">
        <f>SUM(KG108:KR108)</f>
        <v>1695</v>
      </c>
      <c r="NZ109" t="s">
        <v>593</v>
      </c>
      <c r="OA109" t="s">
        <v>594</v>
      </c>
      <c r="OB109" t="s">
        <v>595</v>
      </c>
      <c r="OY109" s="195"/>
      <c r="OZ109" s="195"/>
      <c r="PG109" s="294"/>
      <c r="PH109" s="294"/>
      <c r="PI109" s="294"/>
      <c r="PJ109" s="167"/>
      <c r="PK109" s="167"/>
      <c r="PL109" s="167"/>
    </row>
    <row r="110" spans="1:433 16383:16384" ht="16" x14ac:dyDescent="0.2">
      <c r="Y110" t="s">
        <v>18</v>
      </c>
      <c r="Z110" t="s">
        <v>294</v>
      </c>
      <c r="AG110" s="29">
        <f>COUNTIF(AG9:AG107,"A")</f>
        <v>0</v>
      </c>
      <c r="BW110" t="s">
        <v>344</v>
      </c>
      <c r="CC110" s="29">
        <f>COUNTIF(CC9:CC83,"A")</f>
        <v>0</v>
      </c>
      <c r="GO110" s="106">
        <f>GO108</f>
        <v>0</v>
      </c>
      <c r="GP110" s="106">
        <f>GP108-GO108</f>
        <v>0</v>
      </c>
      <c r="GQ110" s="106">
        <f>GQ108-GP108</f>
        <v>0</v>
      </c>
      <c r="GR110" s="106">
        <f>GR108-GQ108</f>
        <v>9</v>
      </c>
      <c r="GS110" s="106">
        <f>GS108-GR108</f>
        <v>3</v>
      </c>
      <c r="GT110" s="106">
        <f>GT108</f>
        <v>86</v>
      </c>
      <c r="GU110" s="83"/>
      <c r="GV110" s="83"/>
      <c r="GW110" s="83"/>
      <c r="GX110" s="83"/>
      <c r="GY110" s="107" t="s">
        <v>464</v>
      </c>
      <c r="GZ110" s="105">
        <f>MAX(GZ9:GZ83)</f>
        <v>43267</v>
      </c>
      <c r="HA110" s="83"/>
      <c r="HB110" s="83"/>
      <c r="HC110" s="83"/>
      <c r="HD110" s="83"/>
      <c r="HE110" s="83"/>
      <c r="HF110" s="83"/>
      <c r="HG110" s="83"/>
      <c r="HH110" s="105">
        <f>MAX(HH9:HH83)</f>
        <v>43288</v>
      </c>
      <c r="HI110" s="83"/>
      <c r="HJ110" s="83"/>
      <c r="HK110" s="83"/>
      <c r="HL110" s="83"/>
      <c r="HM110" s="83"/>
      <c r="HN110" s="83"/>
      <c r="HO110" s="83"/>
      <c r="HP110" s="102">
        <f>+$GU$3+$GY$8</f>
        <v>43257</v>
      </c>
      <c r="HQ110" s="106">
        <f>HQ108</f>
        <v>0</v>
      </c>
      <c r="HR110" s="106">
        <f>HR108</f>
        <v>0</v>
      </c>
      <c r="HS110" s="102">
        <f>+$GU$3+$HH$8</f>
        <v>43288</v>
      </c>
      <c r="HT110" s="106">
        <f>HT108</f>
        <v>3</v>
      </c>
      <c r="HU110" s="106">
        <f>HU108</f>
        <v>223</v>
      </c>
      <c r="HV110" s="102">
        <f>+$GU$3+SUM($GY$7:$GY$8)</f>
        <v>43267</v>
      </c>
      <c r="HW110" s="106">
        <f>HW108</f>
        <v>0</v>
      </c>
      <c r="HX110" s="106">
        <f>HX108</f>
        <v>0</v>
      </c>
      <c r="HY110" s="102">
        <f>+$GU$3+SUM($GY$7:$GY$8)+$HI$8</f>
        <v>43312</v>
      </c>
      <c r="HZ110" s="106">
        <f>HZ108</f>
        <v>0</v>
      </c>
      <c r="IA110" s="106">
        <f>IA108</f>
        <v>0</v>
      </c>
      <c r="IB110" s="102">
        <f>+$GU$3+SUM($GY$6:$GY$8)</f>
        <v>43277</v>
      </c>
      <c r="IC110" s="106">
        <f>IC108</f>
        <v>0</v>
      </c>
      <c r="ID110" s="106">
        <f>ID108</f>
        <v>0</v>
      </c>
      <c r="IE110" s="102">
        <f>+$GU$3+SUM($GY$6:$GY$8)+$HI$8</f>
        <v>43322</v>
      </c>
      <c r="IF110" s="106">
        <f>IF108</f>
        <v>0</v>
      </c>
      <c r="IG110" s="106">
        <f>IG108</f>
        <v>0</v>
      </c>
      <c r="IH110" s="102">
        <f>+$GU$3+SUM($GY$5:$GY$8)</f>
        <v>43297</v>
      </c>
      <c r="II110" s="106">
        <f>II108</f>
        <v>0</v>
      </c>
      <c r="IJ110" s="106">
        <f>IJ108</f>
        <v>0</v>
      </c>
      <c r="IK110" s="102">
        <f>+$GU$3+SUM($GY$5:$GY$8)+$HI$8</f>
        <v>43342</v>
      </c>
      <c r="IL110" s="106">
        <f>IL108</f>
        <v>0</v>
      </c>
      <c r="IM110" s="106">
        <f>IM108</f>
        <v>0</v>
      </c>
      <c r="IN110" s="83"/>
      <c r="IO110" s="102">
        <f>+$GU$3+$HH$8</f>
        <v>43288</v>
      </c>
      <c r="IP110" s="106">
        <f>IP108</f>
        <v>0</v>
      </c>
      <c r="IQ110" s="106">
        <f>IQ108</f>
        <v>0</v>
      </c>
      <c r="IR110" s="83"/>
      <c r="IS110" s="102"/>
      <c r="IT110" s="106">
        <f>IT108</f>
        <v>86</v>
      </c>
      <c r="IU110" s="106">
        <f>IU108</f>
        <v>9458</v>
      </c>
      <c r="IV110" s="83"/>
      <c r="IW110" s="102"/>
      <c r="IX110" s="106">
        <f>IX108</f>
        <v>3</v>
      </c>
      <c r="IY110" s="106">
        <f>IY108</f>
        <v>223</v>
      </c>
      <c r="IZ110" s="83"/>
      <c r="JA110" s="102"/>
      <c r="JB110" s="106">
        <f>JB108</f>
        <v>9</v>
      </c>
      <c r="JC110" s="106">
        <f>JC108</f>
        <v>1261</v>
      </c>
      <c r="JD110" s="83"/>
      <c r="JE110" s="102"/>
      <c r="JF110" s="106">
        <f>JF108</f>
        <v>101</v>
      </c>
      <c r="JG110" s="106">
        <f>JG108</f>
        <v>11165</v>
      </c>
      <c r="JH110" s="83"/>
      <c r="JI110" s="102"/>
      <c r="JJ110" s="66">
        <f>JJ108</f>
        <v>3</v>
      </c>
      <c r="JK110" s="66">
        <f>JK108</f>
        <v>223</v>
      </c>
      <c r="KF110" s="29"/>
      <c r="OY110" s="195"/>
      <c r="OZ110" s="195"/>
      <c r="PJ110" s="167"/>
      <c r="PK110" s="167"/>
      <c r="PL110" s="167"/>
    </row>
    <row r="111" spans="1:433 16383:16384" ht="16" x14ac:dyDescent="0.2">
      <c r="Y111" t="s">
        <v>18</v>
      </c>
      <c r="Z111" t="s">
        <v>295</v>
      </c>
      <c r="AG111" s="29">
        <f>COUNTIF(AG9:AG83,"b")</f>
        <v>0</v>
      </c>
      <c r="BW111" t="s">
        <v>345</v>
      </c>
      <c r="CC111" s="29">
        <f>COUNTIF(CC9:CC83,"b")</f>
        <v>0</v>
      </c>
      <c r="GO111" s="83"/>
      <c r="GP111" s="83"/>
      <c r="GQ111" s="83"/>
      <c r="GR111" s="83"/>
      <c r="GS111" s="83"/>
      <c r="GT111" s="106">
        <f>SUM(GO110:GT110)</f>
        <v>98</v>
      </c>
      <c r="GU111" s="83"/>
      <c r="GV111" s="83"/>
      <c r="GW111" s="83"/>
      <c r="GX111" s="83"/>
      <c r="GY111" s="107" t="s">
        <v>465</v>
      </c>
      <c r="GZ111" s="105">
        <f>MIN(GZ9:GZ83)</f>
        <v>43257</v>
      </c>
      <c r="HA111" s="83"/>
      <c r="HB111" s="83"/>
      <c r="HC111" s="83"/>
      <c r="HD111" s="83"/>
      <c r="HE111" s="83"/>
      <c r="HF111" s="83"/>
      <c r="HG111" s="83"/>
      <c r="HH111" s="105">
        <f>MIN(HH9:HH83)</f>
        <v>43288</v>
      </c>
      <c r="HI111" s="83"/>
      <c r="HJ111" s="83"/>
      <c r="HK111" s="83"/>
      <c r="HL111" s="83"/>
      <c r="HM111" s="83"/>
      <c r="HN111" s="83"/>
      <c r="HO111" s="83"/>
      <c r="HP111" s="83"/>
      <c r="HQ111" s="83"/>
      <c r="HR111" s="83"/>
      <c r="HS111" s="83"/>
      <c r="HT111" s="83"/>
      <c r="HU111" s="83"/>
      <c r="HV111" s="83"/>
      <c r="HW111" s="83"/>
      <c r="HX111" s="83"/>
      <c r="HY111" s="83"/>
      <c r="HZ111" s="83"/>
      <c r="IA111" s="83"/>
      <c r="IB111" s="83"/>
      <c r="IC111" s="83"/>
      <c r="ID111" s="83"/>
      <c r="IE111" s="83"/>
      <c r="IF111" s="83"/>
      <c r="IG111" s="83"/>
      <c r="IH111" s="83"/>
      <c r="II111" s="83"/>
      <c r="IJ111" s="83"/>
      <c r="IK111" s="83"/>
      <c r="IL111" s="83"/>
      <c r="IM111" s="83"/>
      <c r="IN111" s="83"/>
      <c r="IO111" s="83"/>
      <c r="IP111" s="83"/>
      <c r="IQ111" s="83"/>
      <c r="IR111" s="83"/>
      <c r="IS111" s="83"/>
      <c r="IT111" s="83"/>
      <c r="IU111" s="83"/>
      <c r="IV111" s="83"/>
      <c r="IW111" s="83"/>
      <c r="IX111" s="83"/>
      <c r="IY111" s="83"/>
      <c r="IZ111" s="83"/>
      <c r="JA111" s="83"/>
      <c r="JB111" s="83"/>
      <c r="JC111" s="83"/>
      <c r="JD111" s="83"/>
      <c r="JE111" s="83"/>
      <c r="JF111" s="83"/>
      <c r="JG111" s="83"/>
      <c r="JH111" s="83"/>
      <c r="JI111" s="83"/>
      <c r="JJ111" s="83"/>
      <c r="JK111" s="83"/>
      <c r="OY111" s="195"/>
      <c r="OZ111" s="195"/>
      <c r="PG111" s="294"/>
      <c r="PH111" s="294"/>
      <c r="PI111" s="294"/>
      <c r="PJ111" s="167"/>
      <c r="PK111" s="167"/>
      <c r="PL111" s="167"/>
    </row>
    <row r="112" spans="1:433 16383:16384" ht="16" x14ac:dyDescent="0.2">
      <c r="Y112" t="s">
        <v>18</v>
      </c>
      <c r="Z112" t="s">
        <v>296</v>
      </c>
      <c r="AG112" s="29">
        <f>COUNTIF(AG9:AG83,"c")</f>
        <v>2</v>
      </c>
      <c r="BW112" t="s">
        <v>346</v>
      </c>
      <c r="CC112" s="29">
        <f>COUNTIF(CC9:CC83,"c")</f>
        <v>0</v>
      </c>
      <c r="GO112" s="83"/>
      <c r="GP112" s="83"/>
      <c r="GQ112" s="83"/>
      <c r="GR112" s="83"/>
      <c r="GS112" s="83"/>
      <c r="GT112" s="83"/>
      <c r="GU112" s="83"/>
      <c r="GV112" s="83"/>
      <c r="GW112" s="83"/>
      <c r="GX112" s="83"/>
      <c r="GY112" s="83"/>
      <c r="GZ112" s="83"/>
      <c r="HA112" s="83"/>
      <c r="HB112" s="83"/>
      <c r="HC112" s="83"/>
      <c r="HD112" s="83"/>
      <c r="HE112" s="83"/>
      <c r="HF112" s="83"/>
      <c r="HG112" s="83"/>
      <c r="HH112" s="83"/>
      <c r="HI112" s="83"/>
      <c r="HJ112" s="83"/>
      <c r="HK112" s="83"/>
      <c r="HL112" s="83"/>
      <c r="HM112" s="83"/>
      <c r="HN112" s="83"/>
      <c r="HO112" s="83"/>
      <c r="HP112" s="83"/>
      <c r="HQ112" s="83"/>
      <c r="HR112" s="83"/>
      <c r="HS112" s="83"/>
      <c r="HT112" s="83"/>
      <c r="HU112" s="83"/>
      <c r="HV112" s="83"/>
      <c r="HW112" s="83"/>
      <c r="HX112" s="83"/>
      <c r="HY112" s="83"/>
      <c r="HZ112" s="83"/>
      <c r="IA112" s="83"/>
      <c r="IB112" s="83"/>
      <c r="IC112" s="83"/>
      <c r="ID112" s="83"/>
      <c r="IE112" s="83"/>
      <c r="IF112" s="83"/>
      <c r="IG112" s="83"/>
      <c r="IH112" s="83"/>
      <c r="II112" s="83"/>
      <c r="IJ112" s="83"/>
      <c r="IK112" s="83"/>
      <c r="IL112" s="83"/>
      <c r="IM112" s="83"/>
      <c r="IN112" s="83"/>
      <c r="IO112" s="83"/>
      <c r="IP112" s="83"/>
      <c r="IQ112" s="83"/>
      <c r="IR112" s="83"/>
      <c r="IS112" s="83"/>
      <c r="IT112" s="83"/>
      <c r="IU112" s="83"/>
      <c r="IV112" s="83"/>
      <c r="IW112" s="83"/>
      <c r="IX112" s="83"/>
      <c r="IY112" s="83"/>
      <c r="IZ112" s="83"/>
      <c r="JA112" s="83"/>
      <c r="JB112" s="83"/>
      <c r="JC112" s="83"/>
      <c r="JD112" s="83"/>
      <c r="JE112" s="83"/>
      <c r="JF112" s="83"/>
      <c r="JG112" s="83"/>
      <c r="JH112" s="83"/>
      <c r="JI112" s="83"/>
      <c r="JJ112" s="83"/>
      <c r="JK112" s="83"/>
      <c r="OY112" s="195"/>
      <c r="OZ112" s="195"/>
      <c r="PG112" s="294"/>
      <c r="PH112" s="294"/>
      <c r="PI112" s="294"/>
      <c r="PJ112" s="167"/>
      <c r="PK112" s="167"/>
      <c r="PL112" s="167"/>
    </row>
    <row r="113" spans="25:428" ht="16" x14ac:dyDescent="0.2">
      <c r="Y113" t="s">
        <v>18</v>
      </c>
      <c r="Z113" t="s">
        <v>297</v>
      </c>
      <c r="AG113" s="29">
        <f>COUNTIF(AG9:AG107,"D")</f>
        <v>1</v>
      </c>
      <c r="BW113" t="s">
        <v>347</v>
      </c>
      <c r="CC113" s="29">
        <f>COUNTIF(CC9:CC107,"D")</f>
        <v>0</v>
      </c>
      <c r="GO113" s="83"/>
      <c r="GP113" s="83"/>
      <c r="GQ113" s="83"/>
      <c r="GR113" s="83"/>
      <c r="GS113" s="83"/>
      <c r="GT113" s="83"/>
      <c r="GU113" s="83"/>
      <c r="GV113" s="83"/>
      <c r="GW113" s="83"/>
      <c r="GX113" s="107" t="s">
        <v>434</v>
      </c>
      <c r="GY113" s="105">
        <f>$GU$3+SUM($GY$4:$GY$8)</f>
        <v>43317</v>
      </c>
      <c r="GZ113" s="83">
        <f t="shared" ref="GZ113:GZ118" si="1134">COUNTIF($GZ$9:$GZ$83,GY113)</f>
        <v>0</v>
      </c>
      <c r="HA113" s="83"/>
      <c r="HB113" s="83"/>
      <c r="HC113" s="83"/>
      <c r="HD113" s="83"/>
      <c r="HE113" s="83"/>
      <c r="HF113" s="107"/>
      <c r="HG113" s="105"/>
      <c r="HH113" s="83"/>
      <c r="HI113" s="83">
        <f t="shared" ref="HI113:HI118" si="1135">COUNTIF($HI$9:$HI$83,HK113)</f>
        <v>0</v>
      </c>
      <c r="HJ113" s="83"/>
      <c r="HK113" s="105">
        <f>GY113+$HI$8</f>
        <v>43362</v>
      </c>
      <c r="HL113" s="83"/>
      <c r="HM113" s="83"/>
      <c r="HN113" s="83"/>
      <c r="HO113" s="83"/>
      <c r="HP113" s="83"/>
      <c r="HQ113" s="83"/>
      <c r="HR113" s="83"/>
      <c r="HS113" s="83"/>
      <c r="HT113" s="83"/>
      <c r="HU113" s="83"/>
      <c r="HV113" s="83"/>
      <c r="HW113" s="83"/>
      <c r="HX113" s="83"/>
      <c r="HY113" s="83"/>
      <c r="HZ113" s="83"/>
      <c r="IA113" s="83"/>
      <c r="IB113" s="83"/>
      <c r="IC113" s="83"/>
      <c r="ID113" s="83"/>
      <c r="IE113" s="83"/>
      <c r="IF113" s="83"/>
      <c r="IG113" s="83"/>
      <c r="IH113" s="83"/>
      <c r="II113" s="83"/>
      <c r="IJ113" s="83"/>
      <c r="IK113" s="83"/>
      <c r="IL113" s="83"/>
      <c r="IM113" s="83"/>
      <c r="IN113" s="83"/>
      <c r="IO113" s="83"/>
      <c r="IP113" s="83"/>
      <c r="IQ113" s="83"/>
      <c r="IR113" s="83"/>
      <c r="IS113" s="83"/>
      <c r="IT113" s="83"/>
      <c r="IU113" s="83"/>
      <c r="IV113" s="83"/>
      <c r="IW113" s="83"/>
      <c r="IX113" s="83"/>
      <c r="IY113" s="83"/>
      <c r="IZ113" s="83"/>
      <c r="JA113" s="83"/>
      <c r="JB113" s="83"/>
      <c r="JC113" s="83"/>
      <c r="JD113" s="83"/>
      <c r="JE113" s="83"/>
      <c r="JF113" s="83"/>
      <c r="JG113" s="83"/>
      <c r="JH113" s="83"/>
      <c r="JI113" s="83"/>
      <c r="JJ113" s="83"/>
      <c r="JK113" s="83"/>
      <c r="OY113" s="195"/>
      <c r="OZ113" s="195"/>
      <c r="PG113" s="294"/>
      <c r="PH113" s="294"/>
      <c r="PI113" s="294"/>
      <c r="PJ113" s="167"/>
      <c r="PK113" s="167"/>
      <c r="PL113" s="167"/>
    </row>
    <row r="114" spans="25:428" ht="16" x14ac:dyDescent="0.2">
      <c r="AG114" s="29"/>
      <c r="BW114" t="s">
        <v>348</v>
      </c>
      <c r="CC114" s="29">
        <f>COUNTIF(CC9:CC83,"E")</f>
        <v>0</v>
      </c>
      <c r="GO114" s="83"/>
      <c r="GP114" s="83"/>
      <c r="GQ114" s="83"/>
      <c r="GR114" s="83"/>
      <c r="GS114" s="83"/>
      <c r="GT114" s="83"/>
      <c r="GU114" s="83"/>
      <c r="GV114" s="83"/>
      <c r="GW114" s="83"/>
      <c r="GX114" s="83" t="s">
        <v>440</v>
      </c>
      <c r="GY114" s="105">
        <f>+$GU$3+SUM($GY$5:$GY$8)</f>
        <v>43297</v>
      </c>
      <c r="GZ114" s="83">
        <f t="shared" si="1134"/>
        <v>0</v>
      </c>
      <c r="HA114" s="83"/>
      <c r="HB114" s="83"/>
      <c r="HC114" s="83"/>
      <c r="HD114" s="83"/>
      <c r="HE114" s="83"/>
      <c r="HF114" s="83"/>
      <c r="HG114" s="105"/>
      <c r="HH114" s="83"/>
      <c r="HI114" s="83">
        <f t="shared" si="1135"/>
        <v>0</v>
      </c>
      <c r="HJ114" s="83"/>
      <c r="HK114" s="105">
        <f t="shared" ref="HK114:HK117" si="1136">GY114+$HI$8</f>
        <v>43342</v>
      </c>
      <c r="HL114" s="83"/>
      <c r="HM114" s="83"/>
      <c r="HN114" s="83"/>
      <c r="HO114" s="83"/>
      <c r="HP114" s="83"/>
      <c r="HQ114" s="83"/>
      <c r="HR114" s="83"/>
      <c r="HS114" s="83"/>
      <c r="HT114" s="83"/>
      <c r="HU114" s="83"/>
      <c r="HV114" s="83"/>
      <c r="HW114" s="83"/>
      <c r="HX114" s="83"/>
      <c r="HY114" s="83"/>
      <c r="HZ114" s="83"/>
      <c r="IA114" s="83"/>
      <c r="IB114" s="83"/>
      <c r="IC114" s="83"/>
      <c r="ID114" s="83"/>
      <c r="IE114" s="83"/>
      <c r="IF114" s="83"/>
      <c r="IG114" s="83"/>
      <c r="IH114" s="83"/>
      <c r="II114" s="83"/>
      <c r="IJ114" s="83"/>
      <c r="IK114" s="83"/>
      <c r="IL114" s="83"/>
      <c r="IM114" s="83"/>
      <c r="IN114" s="83"/>
      <c r="IO114" s="83"/>
      <c r="IP114" s="83"/>
      <c r="IQ114" s="83"/>
      <c r="IR114" s="83"/>
      <c r="IS114" s="83"/>
      <c r="IT114" s="83"/>
      <c r="IU114" s="83"/>
      <c r="IV114" s="83"/>
      <c r="IW114" s="83"/>
      <c r="IX114" s="83"/>
      <c r="IY114" s="83"/>
      <c r="IZ114" s="83"/>
      <c r="JA114" s="83"/>
      <c r="JB114" s="83"/>
      <c r="JC114" s="83"/>
      <c r="JD114" s="83"/>
      <c r="JE114" s="83"/>
      <c r="JF114" s="83"/>
      <c r="JG114" s="83"/>
      <c r="JH114" s="83"/>
      <c r="JI114" s="83"/>
      <c r="JJ114" s="83"/>
      <c r="JK114" s="83"/>
      <c r="OY114" s="195"/>
      <c r="OZ114" s="195"/>
      <c r="PG114" s="294"/>
      <c r="PH114" s="294"/>
      <c r="PI114" s="294"/>
      <c r="PJ114" s="167"/>
      <c r="PK114" s="167"/>
      <c r="PL114" s="167"/>
    </row>
    <row r="115" spans="25:428" ht="16" x14ac:dyDescent="0.2">
      <c r="Y115" t="s">
        <v>18</v>
      </c>
      <c r="Z115" t="s">
        <v>299</v>
      </c>
      <c r="AG115" s="29">
        <f>SUM(AG110:AG114)</f>
        <v>3</v>
      </c>
      <c r="BW115" t="s">
        <v>299</v>
      </c>
      <c r="CC115" s="29">
        <f>SUM(CC110:CC114)</f>
        <v>0</v>
      </c>
      <c r="GO115" s="83"/>
      <c r="GP115" s="83"/>
      <c r="GQ115" s="83"/>
      <c r="GR115" s="83"/>
      <c r="GS115" s="83"/>
      <c r="GT115" s="83"/>
      <c r="GU115" s="83"/>
      <c r="GV115" s="83"/>
      <c r="GW115" s="83"/>
      <c r="GX115" s="83" t="s">
        <v>7</v>
      </c>
      <c r="GY115" s="105">
        <f>$GU$3+SUM($GY$6:$GY$8)</f>
        <v>43277</v>
      </c>
      <c r="GZ115" s="83">
        <f t="shared" si="1134"/>
        <v>0</v>
      </c>
      <c r="HA115" s="83"/>
      <c r="HB115" s="83"/>
      <c r="HC115" s="83"/>
      <c r="HD115" s="83"/>
      <c r="HE115" s="83"/>
      <c r="HF115" s="83"/>
      <c r="HG115" s="105"/>
      <c r="HH115" s="83"/>
      <c r="HI115" s="83">
        <f t="shared" si="1135"/>
        <v>0</v>
      </c>
      <c r="HJ115" s="83"/>
      <c r="HK115" s="105">
        <f t="shared" si="1136"/>
        <v>43322</v>
      </c>
      <c r="HL115" s="83"/>
      <c r="HM115" s="83"/>
      <c r="HN115" s="83"/>
      <c r="HO115" s="83"/>
      <c r="HP115" s="83"/>
      <c r="HQ115" s="83"/>
      <c r="HR115" s="83"/>
      <c r="HS115" s="83"/>
      <c r="HT115" s="83"/>
      <c r="HU115" s="83"/>
      <c r="HV115" s="83"/>
      <c r="HW115" s="83"/>
      <c r="HX115" s="83"/>
      <c r="HY115" s="83"/>
      <c r="HZ115" s="83"/>
      <c r="IA115" s="83"/>
      <c r="IB115" s="83"/>
      <c r="IC115" s="83"/>
      <c r="ID115" s="83"/>
      <c r="IE115" s="83"/>
      <c r="IF115" s="83"/>
      <c r="IG115" s="83"/>
      <c r="IH115" s="83"/>
      <c r="II115" s="83"/>
      <c r="IJ115" s="83"/>
      <c r="IK115" s="83"/>
      <c r="IL115" s="83"/>
      <c r="IM115" s="83"/>
      <c r="IN115" s="83"/>
      <c r="IO115" s="83"/>
      <c r="IP115" s="83"/>
      <c r="IQ115" s="83"/>
      <c r="IR115" s="83"/>
      <c r="IS115" s="83"/>
      <c r="IT115" s="83"/>
      <c r="IU115" s="83"/>
      <c r="IV115" s="83"/>
      <c r="IW115" s="83"/>
      <c r="IX115" s="83"/>
      <c r="IY115" s="83"/>
      <c r="IZ115" s="83"/>
      <c r="JA115" s="83"/>
      <c r="JB115" s="83"/>
      <c r="JC115" s="83"/>
      <c r="JD115" s="83"/>
      <c r="JE115" s="83"/>
      <c r="JF115" s="83"/>
      <c r="JG115" s="83"/>
      <c r="JH115" s="83"/>
      <c r="JI115" s="83"/>
      <c r="JJ115" s="83"/>
      <c r="JK115" s="83"/>
      <c r="OY115" s="195"/>
      <c r="OZ115" s="195"/>
      <c r="PG115" s="294"/>
      <c r="PH115" s="294"/>
      <c r="PI115" s="294"/>
      <c r="PJ115" s="167"/>
      <c r="PK115" s="167"/>
      <c r="PL115" s="167"/>
    </row>
    <row r="116" spans="25:428" ht="16" x14ac:dyDescent="0.2">
      <c r="GO116" s="83"/>
      <c r="GP116" s="83"/>
      <c r="GQ116" s="83"/>
      <c r="GR116" s="83"/>
      <c r="GS116" s="83"/>
      <c r="GT116" s="83"/>
      <c r="GU116" s="83"/>
      <c r="GV116" s="83"/>
      <c r="GW116" s="83"/>
      <c r="GX116" s="83" t="s">
        <v>265</v>
      </c>
      <c r="GY116" s="105">
        <f>$GU$3+SUM($GY$7:$GY$8)</f>
        <v>43267</v>
      </c>
      <c r="GZ116" s="83">
        <f t="shared" si="1134"/>
        <v>1</v>
      </c>
      <c r="HA116" s="83"/>
      <c r="HB116" s="83"/>
      <c r="HC116" s="83"/>
      <c r="HD116" s="83"/>
      <c r="HE116" s="83"/>
      <c r="HF116" s="83"/>
      <c r="HG116" s="105"/>
      <c r="HH116" s="83"/>
      <c r="HI116" s="83">
        <f t="shared" si="1135"/>
        <v>1</v>
      </c>
      <c r="HJ116" s="83"/>
      <c r="HK116" s="105">
        <f t="shared" si="1136"/>
        <v>43312</v>
      </c>
      <c r="HL116" s="83"/>
      <c r="HM116" s="83"/>
      <c r="HN116" s="83"/>
      <c r="HO116" s="83"/>
      <c r="HP116" s="83"/>
      <c r="HQ116" s="83"/>
      <c r="HR116" s="83"/>
      <c r="HS116" s="83"/>
      <c r="HT116" s="83"/>
      <c r="HU116" s="83"/>
      <c r="HV116" s="83"/>
      <c r="HW116" s="83"/>
      <c r="HX116" s="83"/>
      <c r="HY116" s="83"/>
      <c r="HZ116" s="83"/>
      <c r="IA116" s="83"/>
      <c r="IB116" s="83"/>
      <c r="IC116" s="83"/>
      <c r="ID116" s="83"/>
      <c r="IE116" s="83"/>
      <c r="IF116" s="83"/>
      <c r="IG116" s="83"/>
      <c r="IH116" s="83"/>
      <c r="II116" s="83"/>
      <c r="IJ116" s="83"/>
      <c r="IK116" s="83"/>
      <c r="IL116" s="83"/>
      <c r="IM116" s="83"/>
      <c r="IN116" s="83"/>
      <c r="IO116" s="83"/>
      <c r="IP116" s="83"/>
      <c r="IQ116" s="83"/>
      <c r="IR116" s="83"/>
      <c r="IS116" s="83"/>
      <c r="IT116" s="83"/>
      <c r="IU116" s="83"/>
      <c r="IV116" s="83"/>
      <c r="IW116" s="83"/>
      <c r="IX116" s="83"/>
      <c r="IY116" s="83"/>
      <c r="IZ116" s="83"/>
      <c r="JA116" s="83"/>
      <c r="JB116" s="83"/>
      <c r="JC116" s="83"/>
      <c r="JD116" s="83"/>
      <c r="JE116" s="83"/>
      <c r="JF116" s="83"/>
      <c r="JG116" s="83"/>
      <c r="JH116" s="83"/>
      <c r="JI116" s="83"/>
      <c r="JJ116" s="83"/>
      <c r="JK116" s="83"/>
      <c r="OY116" s="195"/>
      <c r="OZ116" s="195"/>
      <c r="PG116" s="294"/>
      <c r="PH116" s="294"/>
      <c r="PI116" s="294"/>
      <c r="PJ116" s="167"/>
      <c r="PK116" s="167"/>
      <c r="PL116" s="167"/>
    </row>
    <row r="117" spans="25:428" ht="16" x14ac:dyDescent="0.2">
      <c r="GO117" s="83"/>
      <c r="GP117" s="83"/>
      <c r="GQ117" s="83"/>
      <c r="GR117" s="83"/>
      <c r="GS117" s="83"/>
      <c r="GT117" s="83"/>
      <c r="GU117" s="83"/>
      <c r="GV117" s="83"/>
      <c r="GW117" s="83"/>
      <c r="GX117" s="83" t="s">
        <v>447</v>
      </c>
      <c r="GY117" s="105">
        <f>$GU$3+$GY$8</f>
        <v>43257</v>
      </c>
      <c r="GZ117" s="83">
        <f t="shared" si="1134"/>
        <v>3</v>
      </c>
      <c r="HA117" s="83"/>
      <c r="HB117" s="83"/>
      <c r="HC117" s="83"/>
      <c r="HD117" s="105">
        <f>$GU$3+$HH$8</f>
        <v>43288</v>
      </c>
      <c r="HE117" s="83"/>
      <c r="HF117" s="83"/>
      <c r="HG117" s="83"/>
      <c r="HH117" s="83">
        <f>COUNTIF($HH$9:$HH$83,HD117)</f>
        <v>3</v>
      </c>
      <c r="HI117" s="83">
        <f t="shared" si="1135"/>
        <v>3</v>
      </c>
      <c r="HJ117" s="83"/>
      <c r="HK117" s="105">
        <f t="shared" si="1136"/>
        <v>43302</v>
      </c>
      <c r="HL117" s="83"/>
      <c r="HM117" s="83"/>
      <c r="HN117" s="83"/>
      <c r="HO117" s="83"/>
      <c r="HP117" s="83"/>
      <c r="HQ117" s="83"/>
      <c r="HR117" s="83"/>
      <c r="HS117" s="83"/>
      <c r="HT117" s="83"/>
      <c r="HU117" s="83"/>
      <c r="HV117" s="83"/>
      <c r="HW117" s="83"/>
      <c r="HX117" s="83"/>
      <c r="HY117" s="83"/>
      <c r="HZ117" s="83"/>
      <c r="IA117" s="83"/>
      <c r="IB117" s="83"/>
      <c r="IC117" s="83"/>
      <c r="ID117" s="83"/>
      <c r="IE117" s="83"/>
      <c r="IF117" s="83"/>
      <c r="IG117" s="83"/>
      <c r="IH117" s="83"/>
      <c r="II117" s="83"/>
      <c r="IJ117" s="83"/>
      <c r="IK117" s="83"/>
      <c r="IL117" s="83"/>
      <c r="IM117" s="83"/>
      <c r="IN117" s="83"/>
      <c r="IO117" s="83"/>
      <c r="IP117" s="83"/>
      <c r="IQ117" s="83"/>
      <c r="IR117" s="83"/>
      <c r="IS117" s="83"/>
      <c r="IT117" s="83"/>
      <c r="IU117" s="83"/>
      <c r="IV117" s="83"/>
      <c r="IW117" s="83"/>
      <c r="IX117" s="83"/>
      <c r="IY117" s="83"/>
      <c r="IZ117" s="83"/>
      <c r="JA117" s="83"/>
      <c r="JB117" s="83"/>
      <c r="JC117" s="83"/>
      <c r="JD117" s="83"/>
      <c r="JE117" s="83"/>
      <c r="JF117" s="83"/>
      <c r="JG117" s="83"/>
      <c r="JH117" s="83"/>
      <c r="JI117" s="83"/>
      <c r="JJ117" s="83"/>
      <c r="JK117" s="83"/>
      <c r="OY117" s="195"/>
      <c r="OZ117" s="195"/>
      <c r="PG117" s="294"/>
      <c r="PH117" s="294"/>
      <c r="PI117" s="294"/>
      <c r="PJ117" s="167"/>
      <c r="PK117" s="167"/>
      <c r="PL117" s="167"/>
    </row>
    <row r="118" spans="25:428" ht="16" x14ac:dyDescent="0.2">
      <c r="GO118" s="83"/>
      <c r="GP118" s="83"/>
      <c r="GQ118" s="83"/>
      <c r="GR118" s="83"/>
      <c r="GS118" s="83"/>
      <c r="GT118" s="83"/>
      <c r="GU118" s="83"/>
      <c r="GV118" s="83"/>
      <c r="GW118" s="83"/>
      <c r="GX118" s="107" t="s">
        <v>448</v>
      </c>
      <c r="GY118" s="107" t="s">
        <v>448</v>
      </c>
      <c r="GZ118" s="83">
        <f t="shared" si="1134"/>
        <v>70</v>
      </c>
      <c r="HA118" s="83"/>
      <c r="HB118" s="83"/>
      <c r="HC118" s="83"/>
      <c r="HD118" s="107" t="s">
        <v>466</v>
      </c>
      <c r="HE118" s="83"/>
      <c r="HF118" s="83"/>
      <c r="HG118" s="83"/>
      <c r="HH118" s="83">
        <f>COUNTIF($HH$9:$HH$83,HD118)</f>
        <v>71</v>
      </c>
      <c r="HI118" s="83">
        <f t="shared" si="1135"/>
        <v>70</v>
      </c>
      <c r="HJ118" s="83"/>
      <c r="HK118" s="108" t="s">
        <v>448</v>
      </c>
      <c r="HL118" s="83"/>
      <c r="HM118" s="83"/>
      <c r="HN118" s="83"/>
      <c r="HO118" s="83"/>
      <c r="HP118" s="83"/>
      <c r="HQ118" s="83"/>
      <c r="HR118" s="83"/>
      <c r="HS118" s="83"/>
      <c r="HT118" s="83"/>
      <c r="HU118" s="83"/>
      <c r="HV118" s="83"/>
      <c r="HW118" s="83"/>
      <c r="HX118" s="83"/>
      <c r="HY118" s="83"/>
      <c r="HZ118" s="83"/>
      <c r="IA118" s="83"/>
      <c r="IB118" s="83"/>
      <c r="IC118" s="83"/>
      <c r="ID118" s="83"/>
      <c r="IE118" s="83"/>
      <c r="IF118" s="83"/>
      <c r="IG118" s="83"/>
      <c r="IH118" s="83"/>
      <c r="II118" s="83"/>
      <c r="IJ118" s="83"/>
      <c r="IK118" s="83"/>
      <c r="IL118" s="83"/>
      <c r="IM118" s="83"/>
      <c r="IN118" s="83"/>
      <c r="IO118" s="83"/>
      <c r="IP118" s="83"/>
      <c r="IQ118" s="83"/>
      <c r="IR118" s="83"/>
      <c r="IS118" s="83"/>
      <c r="IT118" s="83"/>
      <c r="IU118" s="83"/>
      <c r="IV118" s="83"/>
      <c r="IW118" s="83"/>
      <c r="IX118" s="83"/>
      <c r="IY118" s="83"/>
      <c r="IZ118" s="83"/>
      <c r="JA118" s="83"/>
      <c r="JB118" s="83"/>
      <c r="JC118" s="83"/>
      <c r="JD118" s="83"/>
      <c r="JE118" s="83"/>
      <c r="JF118" s="83"/>
      <c r="JG118" s="83"/>
      <c r="JH118" s="83"/>
      <c r="JI118" s="83"/>
      <c r="JJ118" s="83"/>
      <c r="JK118" s="83"/>
      <c r="OY118" s="195"/>
      <c r="OZ118" s="195"/>
      <c r="PG118" s="294"/>
      <c r="PH118" s="294"/>
      <c r="PI118" s="294"/>
      <c r="PJ118" s="167"/>
      <c r="PK118" s="167"/>
      <c r="PL118" s="167"/>
    </row>
    <row r="119" spans="25:428" ht="16" x14ac:dyDescent="0.2">
      <c r="GO119" s="83"/>
      <c r="GP119" s="83"/>
      <c r="GQ119" s="83"/>
      <c r="GR119" s="83"/>
      <c r="GS119" s="83"/>
      <c r="GT119" s="83"/>
      <c r="GU119" s="83"/>
      <c r="GV119" s="83"/>
      <c r="GW119" s="83"/>
      <c r="GX119" s="83"/>
      <c r="GY119" s="83"/>
      <c r="GZ119" s="83">
        <f>SUM(GZ113:GZ118)</f>
        <v>74</v>
      </c>
      <c r="HA119" s="83"/>
      <c r="HB119" s="83"/>
      <c r="HC119" s="83"/>
      <c r="HD119" s="83"/>
      <c r="HE119" s="83"/>
      <c r="HF119" s="83"/>
      <c r="HG119" s="83"/>
      <c r="HH119" s="83">
        <f>SUM(HH113:HH118)</f>
        <v>74</v>
      </c>
      <c r="HI119" s="83">
        <f>SUM(HI113:HI118)</f>
        <v>74</v>
      </c>
      <c r="HJ119" s="83"/>
      <c r="HK119" s="105"/>
      <c r="HL119" s="83"/>
      <c r="HM119" s="83"/>
      <c r="HN119" s="83"/>
      <c r="HO119" s="83"/>
      <c r="HP119" s="83"/>
      <c r="HQ119" s="83"/>
      <c r="HR119" s="83"/>
      <c r="HS119" s="83"/>
      <c r="HT119" s="83"/>
      <c r="HU119" s="83"/>
      <c r="HV119" s="83"/>
      <c r="HW119" s="83"/>
      <c r="HX119" s="83"/>
      <c r="HY119" s="83"/>
      <c r="HZ119" s="83"/>
      <c r="IA119" s="83"/>
      <c r="IB119" s="83"/>
      <c r="IC119" s="83"/>
      <c r="ID119" s="83"/>
      <c r="IE119" s="83"/>
      <c r="IF119" s="83"/>
      <c r="IG119" s="83"/>
      <c r="IH119" s="83"/>
      <c r="II119" s="83"/>
      <c r="IJ119" s="83"/>
      <c r="IK119" s="83"/>
      <c r="IL119" s="83"/>
      <c r="IM119" s="83"/>
      <c r="IN119" s="83"/>
      <c r="IO119" s="83"/>
      <c r="IP119" s="83"/>
      <c r="IQ119" s="83"/>
      <c r="IR119" s="83"/>
      <c r="IS119" s="83"/>
      <c r="IT119" s="83"/>
      <c r="IU119" s="83"/>
      <c r="IV119" s="83"/>
      <c r="IW119" s="83"/>
      <c r="IX119" s="83"/>
      <c r="IY119" s="83"/>
      <c r="IZ119" s="83"/>
      <c r="JA119" s="83"/>
      <c r="JB119" s="83"/>
      <c r="JC119" s="83"/>
      <c r="JD119" s="83"/>
      <c r="JE119" s="83"/>
      <c r="JF119" s="83"/>
      <c r="JG119" s="83"/>
      <c r="JH119" s="83"/>
      <c r="JI119" s="83"/>
      <c r="JJ119" s="83"/>
      <c r="JK119" s="83"/>
      <c r="PG119" s="167"/>
      <c r="PH119" s="167"/>
      <c r="PI119" s="167"/>
      <c r="PJ119" s="167"/>
      <c r="PK119" s="167"/>
      <c r="PL119" s="167"/>
    </row>
    <row r="120" spans="25:428" ht="16" x14ac:dyDescent="0.2">
      <c r="PG120" s="167"/>
      <c r="PH120" s="167"/>
      <c r="PI120" s="167"/>
      <c r="PJ120" s="167"/>
      <c r="PK120" s="167"/>
      <c r="PL120" s="167"/>
    </row>
    <row r="121" spans="25:428" ht="16" x14ac:dyDescent="0.2">
      <c r="PG121" s="167"/>
      <c r="PH121" s="167"/>
      <c r="PI121" s="167"/>
      <c r="PJ121" s="167"/>
      <c r="PK121" s="167"/>
      <c r="PL121" s="167"/>
    </row>
    <row r="122" spans="25:428" ht="16" x14ac:dyDescent="0.2">
      <c r="PG122" s="167"/>
      <c r="PH122" s="167"/>
      <c r="PI122" s="167"/>
      <c r="PJ122" s="167"/>
      <c r="PK122" s="167"/>
      <c r="PL122" s="167"/>
    </row>
    <row r="123" spans="25:428" ht="16" x14ac:dyDescent="0.2">
      <c r="PG123" s="167"/>
      <c r="PH123" s="167"/>
      <c r="PI123" s="167"/>
      <c r="PJ123" s="167"/>
      <c r="PK123" s="167"/>
      <c r="PL123" s="167"/>
    </row>
    <row r="124" spans="25:428" ht="16" x14ac:dyDescent="0.2">
      <c r="PG124" s="167"/>
      <c r="PH124" s="167"/>
      <c r="PI124" s="167"/>
      <c r="PJ124" s="167"/>
      <c r="PK124" s="167"/>
      <c r="PL124" s="167"/>
    </row>
    <row r="125" spans="25:428" ht="16" x14ac:dyDescent="0.2">
      <c r="PG125" s="167"/>
      <c r="PH125" s="167"/>
      <c r="PI125" s="167"/>
      <c r="PJ125" s="167"/>
      <c r="PK125" s="167"/>
      <c r="PL125" s="167"/>
    </row>
    <row r="126" spans="25:428" ht="16" x14ac:dyDescent="0.2">
      <c r="PG126" s="167"/>
      <c r="PH126" s="167"/>
      <c r="PI126" s="167"/>
      <c r="PJ126" s="167"/>
      <c r="PK126" s="167"/>
      <c r="PL126" s="167"/>
    </row>
    <row r="127" spans="25:428" ht="16" x14ac:dyDescent="0.2">
      <c r="PG127" s="167"/>
      <c r="PH127" s="167"/>
      <c r="PI127" s="167"/>
      <c r="PJ127" s="167"/>
      <c r="PK127" s="167"/>
      <c r="PL127" s="167"/>
    </row>
    <row r="128" spans="25:428" ht="16" x14ac:dyDescent="0.2">
      <c r="PG128" s="167"/>
      <c r="PH128" s="167"/>
      <c r="PI128" s="167"/>
      <c r="PJ128" s="167"/>
      <c r="PK128" s="167"/>
      <c r="PL128" s="167"/>
    </row>
    <row r="129" spans="423:428" ht="16" x14ac:dyDescent="0.2">
      <c r="PG129" s="167"/>
      <c r="PH129" s="167"/>
      <c r="PI129" s="167"/>
      <c r="PJ129" s="167"/>
      <c r="PK129" s="167"/>
      <c r="PL129" s="167"/>
    </row>
    <row r="130" spans="423:428" ht="16" x14ac:dyDescent="0.2">
      <c r="PG130" s="167"/>
      <c r="PH130" s="167"/>
      <c r="PI130" s="167"/>
      <c r="PJ130" s="167"/>
      <c r="PK130" s="167"/>
      <c r="PL130" s="167"/>
    </row>
  </sheetData>
  <sortState xmlns:xlrd2="http://schemas.microsoft.com/office/spreadsheetml/2017/richdata2" ref="B9:AG83">
    <sortCondition ref="C9:C83"/>
  </sortState>
  <mergeCells count="323">
    <mergeCell ref="PL7:PL8"/>
    <mergeCell ref="PO1:PQ1"/>
    <mergeCell ref="PO2:PO7"/>
    <mergeCell ref="PP2:PP7"/>
    <mergeCell ref="PQ2:PQ7"/>
    <mergeCell ref="MC6:MC8"/>
    <mergeCell ref="MD6:MD8"/>
    <mergeCell ref="ME6:ME8"/>
    <mergeCell ref="MF6:MF8"/>
    <mergeCell ref="MG6:MG8"/>
    <mergeCell ref="MH6:MH8"/>
    <mergeCell ref="MI6:MI8"/>
    <mergeCell ref="MO6:MO8"/>
    <mergeCell ref="MP6:MP8"/>
    <mergeCell ref="MQ6:MQ8"/>
    <mergeCell ref="MP5:MW5"/>
    <mergeCell ref="MX5:NB5"/>
    <mergeCell ref="NC5:NE6"/>
    <mergeCell ref="NF5:NI6"/>
    <mergeCell ref="MK5:MO5"/>
    <mergeCell ref="MT6:MT8"/>
    <mergeCell ref="MU6:MU8"/>
    <mergeCell ref="MV6:MV8"/>
    <mergeCell ref="MW6:MW8"/>
    <mergeCell ref="MX6:MX8"/>
    <mergeCell ref="KU5:KU7"/>
    <mergeCell ref="KV5:KV7"/>
    <mergeCell ref="KW5:KW8"/>
    <mergeCell ref="KX5:KX8"/>
    <mergeCell ref="KY5:KY8"/>
    <mergeCell ref="KZ5:LA7"/>
    <mergeCell ref="LB5:LC7"/>
    <mergeCell ref="LD5:LE7"/>
    <mergeCell ref="LF5:LL5"/>
    <mergeCell ref="LF6:LF8"/>
    <mergeCell ref="LG6:LG8"/>
    <mergeCell ref="LH6:LH8"/>
    <mergeCell ref="LI6:LI8"/>
    <mergeCell ref="LJ6:LJ8"/>
    <mergeCell ref="LK6:LK8"/>
    <mergeCell ref="LL6:LL8"/>
    <mergeCell ref="LM6:LM8"/>
    <mergeCell ref="LN6:LN8"/>
    <mergeCell ref="MJ6:MJ8"/>
    <mergeCell ref="MK6:MK8"/>
    <mergeCell ref="ML6:ML8"/>
    <mergeCell ref="MM6:MM8"/>
    <mergeCell ref="MN6:MN8"/>
    <mergeCell ref="JU7:JV7"/>
    <mergeCell ref="JW7:JW8"/>
    <mergeCell ref="KP7:KP8"/>
    <mergeCell ref="KQ7:KQ8"/>
    <mergeCell ref="KR7:KR8"/>
    <mergeCell ref="JX7:JX8"/>
    <mergeCell ref="JZ7:JZ8"/>
    <mergeCell ref="KA7:KA8"/>
    <mergeCell ref="KB7:KB8"/>
    <mergeCell ref="KH7:KH8"/>
    <mergeCell ref="KI7:KJ7"/>
    <mergeCell ref="KK7:KL7"/>
    <mergeCell ref="KM7:KM8"/>
    <mergeCell ref="KN7:KN8"/>
    <mergeCell ref="KD4:KD8"/>
    <mergeCell ref="KE4:KE8"/>
    <mergeCell ref="IW6:IY7"/>
    <mergeCell ref="JA6:JC7"/>
    <mergeCell ref="JQ3:KB3"/>
    <mergeCell ref="KG3:KR3"/>
    <mergeCell ref="JP4:JP8"/>
    <mergeCell ref="JQ4:JQ8"/>
    <mergeCell ref="JR4:KB4"/>
    <mergeCell ref="KF4:KF8"/>
    <mergeCell ref="KG4:KG8"/>
    <mergeCell ref="KH4:KR4"/>
    <mergeCell ref="JR5:JX5"/>
    <mergeCell ref="JY5:KB5"/>
    <mergeCell ref="KH5:KN5"/>
    <mergeCell ref="KO5:KR5"/>
    <mergeCell ref="JR6:JV6"/>
    <mergeCell ref="JW6:JX6"/>
    <mergeCell ref="JY6:JY8"/>
    <mergeCell ref="JZ6:KB6"/>
    <mergeCell ref="KH6:KL6"/>
    <mergeCell ref="KM6:KN6"/>
    <mergeCell ref="KO6:KO8"/>
    <mergeCell ref="KP6:KR6"/>
    <mergeCell ref="JR7:JR8"/>
    <mergeCell ref="JS7:JT7"/>
    <mergeCell ref="IH7:IJ7"/>
    <mergeCell ref="IK7:IM7"/>
    <mergeCell ref="HP6:HR7"/>
    <mergeCell ref="HS6:HU7"/>
    <mergeCell ref="HV6:IA6"/>
    <mergeCell ref="IB6:IG6"/>
    <mergeCell ref="IH6:IM6"/>
    <mergeCell ref="IO6:IQ7"/>
    <mergeCell ref="IS6:IU7"/>
    <mergeCell ref="D3:E3"/>
    <mergeCell ref="GX3:GY3"/>
    <mergeCell ref="GO4:GT5"/>
    <mergeCell ref="GV4:GW6"/>
    <mergeCell ref="GZ4:GZ8"/>
    <mergeCell ref="HC4:HI4"/>
    <mergeCell ref="HK4:HK8"/>
    <mergeCell ref="HC5:HC8"/>
    <mergeCell ref="HD5:HD8"/>
    <mergeCell ref="HE5:HE8"/>
    <mergeCell ref="HF5:HF8"/>
    <mergeCell ref="HG5:HG8"/>
    <mergeCell ref="HH5:HH7"/>
    <mergeCell ref="HI5:HI7"/>
    <mergeCell ref="GO6:GO8"/>
    <mergeCell ref="GP6:GP8"/>
    <mergeCell ref="GQ6:GQ8"/>
    <mergeCell ref="GR6:GR8"/>
    <mergeCell ref="GS6:GS8"/>
    <mergeCell ref="GT6:GT8"/>
    <mergeCell ref="GA4:GA8"/>
    <mergeCell ref="GB4:GB8"/>
    <mergeCell ref="GC4:GC8"/>
    <mergeCell ref="GK4:GK8"/>
    <mergeCell ref="BO3:BZ3"/>
    <mergeCell ref="CE3:CP3"/>
    <mergeCell ref="BN4:BN8"/>
    <mergeCell ref="BO4:BO8"/>
    <mergeCell ref="BP4:BZ4"/>
    <mergeCell ref="CB4:CB8"/>
    <mergeCell ref="CD4:CD8"/>
    <mergeCell ref="CE4:CE8"/>
    <mergeCell ref="CF4:CP4"/>
    <mergeCell ref="BP5:BV5"/>
    <mergeCell ref="BW5:BZ5"/>
    <mergeCell ref="CF5:CL5"/>
    <mergeCell ref="CM5:CP5"/>
    <mergeCell ref="BP6:BT6"/>
    <mergeCell ref="BU6:BV6"/>
    <mergeCell ref="CK7:CK8"/>
    <mergeCell ref="CL7:CL8"/>
    <mergeCell ref="CN7:CN8"/>
    <mergeCell ref="CO7:CO8"/>
    <mergeCell ref="CP7:CP8"/>
    <mergeCell ref="CN6:CP6"/>
    <mergeCell ref="BX7:BX8"/>
    <mergeCell ref="BY7:BY8"/>
    <mergeCell ref="BZ7:BZ8"/>
    <mergeCell ref="F5:I7"/>
    <mergeCell ref="J5:Q5"/>
    <mergeCell ref="R5:U7"/>
    <mergeCell ref="V5:Z7"/>
    <mergeCell ref="F4:AE4"/>
    <mergeCell ref="AA5:AE7"/>
    <mergeCell ref="D7:E7"/>
    <mergeCell ref="BE4:BK5"/>
    <mergeCell ref="BE6:BE8"/>
    <mergeCell ref="BF6:BF8"/>
    <mergeCell ref="BG6:BG8"/>
    <mergeCell ref="BH6:BH8"/>
    <mergeCell ref="BI6:BI8"/>
    <mergeCell ref="BJ6:BJ8"/>
    <mergeCell ref="BK6:BK8"/>
    <mergeCell ref="CF7:CF8"/>
    <mergeCell ref="CG7:CH7"/>
    <mergeCell ref="CI7:CJ7"/>
    <mergeCell ref="A4:A8"/>
    <mergeCell ref="B4:B8"/>
    <mergeCell ref="C4:C8"/>
    <mergeCell ref="D4:E6"/>
    <mergeCell ref="AN4:AN8"/>
    <mergeCell ref="AI4:AK4"/>
    <mergeCell ref="AI5:AK7"/>
    <mergeCell ref="AF6:AF8"/>
    <mergeCell ref="BB4:BB8"/>
    <mergeCell ref="AG6:AG8"/>
    <mergeCell ref="AF4:AH5"/>
    <mergeCell ref="AH6:AH8"/>
    <mergeCell ref="AL4:AM5"/>
    <mergeCell ref="AL6:AL8"/>
    <mergeCell ref="AM6:AM8"/>
    <mergeCell ref="N6:Q7"/>
    <mergeCell ref="J6:M7"/>
    <mergeCell ref="BP7:BP8"/>
    <mergeCell ref="BQ7:BR7"/>
    <mergeCell ref="BS7:BT7"/>
    <mergeCell ref="BU7:BU8"/>
    <mergeCell ref="BV7:BV8"/>
    <mergeCell ref="BX6:BZ6"/>
    <mergeCell ref="CF6:CJ6"/>
    <mergeCell ref="CK6:CL6"/>
    <mergeCell ref="CM6:CM8"/>
    <mergeCell ref="BW6:BW8"/>
    <mergeCell ref="EI2:EI7"/>
    <mergeCell ref="FL2:FL7"/>
    <mergeCell ref="FM2:FM7"/>
    <mergeCell ref="FK2:FK7"/>
    <mergeCell ref="EJ2:EJ7"/>
    <mergeCell ref="EK2:EP2"/>
    <mergeCell ref="EQ2:EQ7"/>
    <mergeCell ref="ER2:ER7"/>
    <mergeCell ref="ES2:ES7"/>
    <mergeCell ref="ET2:ET7"/>
    <mergeCell ref="EU2:EU7"/>
    <mergeCell ref="EV2:EV7"/>
    <mergeCell ref="EW2:EY2"/>
    <mergeCell ref="EZ2:EZ7"/>
    <mergeCell ref="FA2:FA7"/>
    <mergeCell ref="FB2:FB7"/>
    <mergeCell ref="FD2:FD7"/>
    <mergeCell ref="FE2:FE7"/>
    <mergeCell ref="EK3:EK7"/>
    <mergeCell ref="EL3:EL7"/>
    <mergeCell ref="EM3:EM7"/>
    <mergeCell ref="DV4:EB5"/>
    <mergeCell ref="DV6:DV8"/>
    <mergeCell ref="DW6:DW8"/>
    <mergeCell ref="DX6:DX8"/>
    <mergeCell ref="DY6:DY8"/>
    <mergeCell ref="DZ6:DZ8"/>
    <mergeCell ref="EA6:EA8"/>
    <mergeCell ref="EB6:EB8"/>
    <mergeCell ref="EH2:EH8"/>
    <mergeCell ref="EG2:EG8"/>
    <mergeCell ref="GG4:GG8"/>
    <mergeCell ref="LM5:LS5"/>
    <mergeCell ref="LT5:LZ5"/>
    <mergeCell ref="MA5:MJ5"/>
    <mergeCell ref="GH4:GH8"/>
    <mergeCell ref="GJ4:GJ8"/>
    <mergeCell ref="FT2:FT7"/>
    <mergeCell ref="FU2:FU7"/>
    <mergeCell ref="FO2:FO7"/>
    <mergeCell ref="FP2:FP7"/>
    <mergeCell ref="FQ2:FQ7"/>
    <mergeCell ref="FR2:FR7"/>
    <mergeCell ref="FS2:FS7"/>
    <mergeCell ref="FY4:FY8"/>
    <mergeCell ref="FZ4:FZ8"/>
    <mergeCell ref="FV2:FV7"/>
    <mergeCell ref="JE6:JG7"/>
    <mergeCell ref="JI6:JK7"/>
    <mergeCell ref="GV7:GV8"/>
    <mergeCell ref="GW7:GW8"/>
    <mergeCell ref="HV7:HX7"/>
    <mergeCell ref="HY7:IA7"/>
    <mergeCell ref="IB7:ID7"/>
    <mergeCell ref="IE7:IG7"/>
    <mergeCell ref="EN3:EN7"/>
    <mergeCell ref="EO3:EO7"/>
    <mergeCell ref="EP3:EP7"/>
    <mergeCell ref="EW3:EW7"/>
    <mergeCell ref="EX3:EX7"/>
    <mergeCell ref="EY3:EY7"/>
    <mergeCell ref="FN2:FN7"/>
    <mergeCell ref="GD4:GD8"/>
    <mergeCell ref="GE4:GE8"/>
    <mergeCell ref="FH2:FH7"/>
    <mergeCell ref="FI2:FI7"/>
    <mergeCell ref="FJ2:FJ7"/>
    <mergeCell ref="FC2:FC7"/>
    <mergeCell ref="FX4:FX8"/>
    <mergeCell ref="FF2:FF7"/>
    <mergeCell ref="MR6:MR8"/>
    <mergeCell ref="MS6:MS8"/>
    <mergeCell ref="LO6:LO8"/>
    <mergeCell ref="LP6:LP8"/>
    <mergeCell ref="LQ6:LQ8"/>
    <mergeCell ref="LR6:LR8"/>
    <mergeCell ref="LS6:LS8"/>
    <mergeCell ref="LT6:LT8"/>
    <mergeCell ref="LU6:LU8"/>
    <mergeCell ref="LV6:LV8"/>
    <mergeCell ref="LW6:LW8"/>
    <mergeCell ref="LX6:LX8"/>
    <mergeCell ref="LY6:LY8"/>
    <mergeCell ref="LZ6:LZ8"/>
    <mergeCell ref="MA6:MA8"/>
    <mergeCell ref="MB6:MB8"/>
    <mergeCell ref="NB6:NB8"/>
    <mergeCell ref="NC7:NC8"/>
    <mergeCell ref="MY6:MY8"/>
    <mergeCell ref="MZ6:MZ8"/>
    <mergeCell ref="NA6:NA8"/>
    <mergeCell ref="OI5:OI8"/>
    <mergeCell ref="OJ5:OJ8"/>
    <mergeCell ref="OK5:OK8"/>
    <mergeCell ref="OL5:OL8"/>
    <mergeCell ref="NM7:NT7"/>
    <mergeCell ref="ND7:ND8"/>
    <mergeCell ref="NE7:NE8"/>
    <mergeCell ref="NF7:NF8"/>
    <mergeCell ref="NG7:NG8"/>
    <mergeCell ref="OE5:OE8"/>
    <mergeCell ref="OF5:OF8"/>
    <mergeCell ref="OG5:OG8"/>
    <mergeCell ref="OH5:OH8"/>
    <mergeCell ref="NH7:NH8"/>
    <mergeCell ref="NI7:NI8"/>
    <mergeCell ref="NK5:NK8"/>
    <mergeCell ref="NZ4:NZ8"/>
    <mergeCell ref="NJ5:NJ8"/>
    <mergeCell ref="OM5:OM8"/>
    <mergeCell ref="PA7:PA8"/>
    <mergeCell ref="PB7:PB8"/>
    <mergeCell ref="PC7:PC8"/>
    <mergeCell ref="PG7:PG8"/>
    <mergeCell ref="PH7:PH8"/>
    <mergeCell ref="PI7:PI8"/>
    <mergeCell ref="OV5:OV8"/>
    <mergeCell ref="OW5:OW8"/>
    <mergeCell ref="OO5:OO8"/>
    <mergeCell ref="OP5:OP8"/>
    <mergeCell ref="OQ5:OQ8"/>
    <mergeCell ref="OR5:OR8"/>
    <mergeCell ref="OS5:OS8"/>
    <mergeCell ref="OT5:OT8"/>
    <mergeCell ref="OU5:OU8"/>
    <mergeCell ref="PA5:PL5"/>
    <mergeCell ref="PA6:PF6"/>
    <mergeCell ref="PG6:PL6"/>
    <mergeCell ref="PD7:PD8"/>
    <mergeCell ref="PE7:PE8"/>
    <mergeCell ref="PF7:PF8"/>
    <mergeCell ref="PJ7:PJ8"/>
    <mergeCell ref="PK7:PK8"/>
  </mergeCells>
  <conditionalFormatting sqref="FY9:GE73 FY76:GE86 FY102:GE103">
    <cfRule type="cellIs" dxfId="366" priority="65" operator="greaterThan">
      <formula>0</formula>
    </cfRule>
  </conditionalFormatting>
  <conditionalFormatting sqref="JJ9:JK86 JJ102:JK103">
    <cfRule type="cellIs" dxfId="365" priority="63" operator="notEqual">
      <formula>0</formula>
    </cfRule>
  </conditionalFormatting>
  <conditionalFormatting sqref="JJ110:JK110">
    <cfRule type="cellIs" dxfId="364" priority="62" operator="notEqual">
      <formula>0</formula>
    </cfRule>
  </conditionalFormatting>
  <conditionalFormatting sqref="KT9:KT86 KT102:KT103">
    <cfRule type="cellIs" dxfId="363" priority="59" operator="notEqual">
      <formula>0</formula>
    </cfRule>
  </conditionalFormatting>
  <conditionalFormatting sqref="PA9:PC86 PA102:PC102 PB103:PC103">
    <cfRule type="cellIs" dxfId="362" priority="55" operator="equal">
      <formula>0</formula>
    </cfRule>
  </conditionalFormatting>
  <conditionalFormatting sqref="PA9:PC100">
    <cfRule type="cellIs" dxfId="361" priority="54" operator="equal">
      <formula>0</formula>
    </cfRule>
  </conditionalFormatting>
  <conditionalFormatting sqref="PA9:PC100">
    <cfRule type="cellIs" dxfId="360" priority="53" operator="equal">
      <formula>0</formula>
    </cfRule>
  </conditionalFormatting>
  <conditionalFormatting sqref="PC9:PC86">
    <cfRule type="cellIs" dxfId="359" priority="52" operator="equal">
      <formula>0</formula>
    </cfRule>
  </conditionalFormatting>
  <conditionalFormatting sqref="FY74:GE75">
    <cfRule type="cellIs" dxfId="358" priority="51" operator="greaterThan">
      <formula>0</formula>
    </cfRule>
  </conditionalFormatting>
  <conditionalFormatting sqref="FY87:GE101 FY107:GE107">
    <cfRule type="cellIs" dxfId="357" priority="50" operator="greaterThan">
      <formula>0</formula>
    </cfRule>
  </conditionalFormatting>
  <conditionalFormatting sqref="JJ87:JK101 JJ107:JK107">
    <cfRule type="cellIs" dxfId="356" priority="49" operator="notEqual">
      <formula>0</formula>
    </cfRule>
  </conditionalFormatting>
  <conditionalFormatting sqref="KT87:KT101 KT107">
    <cfRule type="cellIs" dxfId="355" priority="48" operator="notEqual">
      <formula>0</formula>
    </cfRule>
  </conditionalFormatting>
  <conditionalFormatting sqref="PA87:PC101 PB107:PC107">
    <cfRule type="cellIs" dxfId="354" priority="47" operator="equal">
      <formula>0</formula>
    </cfRule>
  </conditionalFormatting>
  <conditionalFormatting sqref="PA87:PC101 PB107:PC107">
    <cfRule type="cellIs" dxfId="353" priority="46" operator="equal">
      <formula>0</formula>
    </cfRule>
  </conditionalFormatting>
  <conditionalFormatting sqref="PA87:PC101 PB107:PC107">
    <cfRule type="cellIs" dxfId="352" priority="45" operator="equal">
      <formula>0</formula>
    </cfRule>
  </conditionalFormatting>
  <conditionalFormatting sqref="PC87:PC101 PC107">
    <cfRule type="cellIs" dxfId="351" priority="44" operator="equal">
      <formula>0</formula>
    </cfRule>
  </conditionalFormatting>
  <conditionalFormatting sqref="PA103">
    <cfRule type="cellIs" dxfId="350" priority="36" operator="equal">
      <formula>0</formula>
    </cfRule>
  </conditionalFormatting>
  <conditionalFormatting sqref="PA107">
    <cfRule type="cellIs" dxfId="349" priority="35" operator="equal">
      <formula>0</formula>
    </cfRule>
  </conditionalFormatting>
  <conditionalFormatting sqref="PA107">
    <cfRule type="cellIs" dxfId="348" priority="34" operator="equal">
      <formula>0</formula>
    </cfRule>
  </conditionalFormatting>
  <conditionalFormatting sqref="PA107">
    <cfRule type="cellIs" dxfId="347" priority="33" operator="equal">
      <formula>0</formula>
    </cfRule>
  </conditionalFormatting>
  <conditionalFormatting sqref="PD9:PF103 PD107:PF107">
    <cfRule type="cellIs" dxfId="346" priority="32" operator="equal">
      <formula>0</formula>
    </cfRule>
  </conditionalFormatting>
  <conditionalFormatting sqref="PD9:PF103 PD107:PF107">
    <cfRule type="cellIs" dxfId="345" priority="31" operator="equal">
      <formula>0</formula>
    </cfRule>
  </conditionalFormatting>
  <conditionalFormatting sqref="PD9:PF103 PD107:PF107">
    <cfRule type="cellIs" dxfId="344" priority="30" operator="equal">
      <formula>0</formula>
    </cfRule>
  </conditionalFormatting>
  <conditionalFormatting sqref="PD9:PF103 PD107:PF107">
    <cfRule type="cellIs" dxfId="343" priority="29" operator="equal">
      <formula>0</formula>
    </cfRule>
  </conditionalFormatting>
  <conditionalFormatting sqref="FY104:GE104 FY106:GE106">
    <cfRule type="cellIs" dxfId="342" priority="28" operator="greaterThan">
      <formula>0</formula>
    </cfRule>
  </conditionalFormatting>
  <conditionalFormatting sqref="JJ104:JK104 JJ106:JK106">
    <cfRule type="cellIs" dxfId="341" priority="27" operator="notEqual">
      <formula>0</formula>
    </cfRule>
  </conditionalFormatting>
  <conditionalFormatting sqref="KT104 KT106">
    <cfRule type="cellIs" dxfId="340" priority="26" operator="notEqual">
      <formula>0</formula>
    </cfRule>
  </conditionalFormatting>
  <conditionalFormatting sqref="PB104:PC104 PB106:PC106">
    <cfRule type="cellIs" dxfId="339" priority="25" operator="equal">
      <formula>0</formula>
    </cfRule>
  </conditionalFormatting>
  <conditionalFormatting sqref="PB104:PC104 PB106:PC106">
    <cfRule type="cellIs" dxfId="338" priority="24" operator="equal">
      <formula>0</formula>
    </cfRule>
  </conditionalFormatting>
  <conditionalFormatting sqref="PB104:PC104 PB106:PC106">
    <cfRule type="cellIs" dxfId="337" priority="23" operator="equal">
      <formula>0</formula>
    </cfRule>
  </conditionalFormatting>
  <conditionalFormatting sqref="PC104 PC106">
    <cfRule type="cellIs" dxfId="336" priority="22" operator="equal">
      <formula>0</formula>
    </cfRule>
  </conditionalFormatting>
  <conditionalFormatting sqref="PA104 PA106">
    <cfRule type="cellIs" dxfId="335" priority="21" operator="equal">
      <formula>0</formula>
    </cfRule>
  </conditionalFormatting>
  <conditionalFormatting sqref="PA104 PA106">
    <cfRule type="cellIs" dxfId="334" priority="20" operator="equal">
      <formula>0</formula>
    </cfRule>
  </conditionalFormatting>
  <conditionalFormatting sqref="PA104 PA106">
    <cfRule type="cellIs" dxfId="333" priority="19" operator="equal">
      <formula>0</formula>
    </cfRule>
  </conditionalFormatting>
  <conditionalFormatting sqref="PD104:PF104 PD106:PF106">
    <cfRule type="cellIs" dxfId="332" priority="18" operator="equal">
      <formula>0</formula>
    </cfRule>
  </conditionalFormatting>
  <conditionalFormatting sqref="PD104:PF104 PD106:PF106">
    <cfRule type="cellIs" dxfId="331" priority="17" operator="equal">
      <formula>0</formula>
    </cfRule>
  </conditionalFormatting>
  <conditionalFormatting sqref="PD104:PF104 PD106:PF106">
    <cfRule type="cellIs" dxfId="330" priority="16" operator="equal">
      <formula>0</formula>
    </cfRule>
  </conditionalFormatting>
  <conditionalFormatting sqref="PD104:PF104 PD106:PF106">
    <cfRule type="cellIs" dxfId="329" priority="15" operator="equal">
      <formula>0</formula>
    </cfRule>
  </conditionalFormatting>
  <conditionalFormatting sqref="FY105:GE105">
    <cfRule type="cellIs" dxfId="328" priority="14" operator="greaterThan">
      <formula>0</formula>
    </cfRule>
  </conditionalFormatting>
  <conditionalFormatting sqref="JJ105:JK105">
    <cfRule type="cellIs" dxfId="327" priority="13" operator="notEqual">
      <formula>0</formula>
    </cfRule>
  </conditionalFormatting>
  <conditionalFormatting sqref="KT105">
    <cfRule type="cellIs" dxfId="326" priority="12" operator="notEqual">
      <formula>0</formula>
    </cfRule>
  </conditionalFormatting>
  <conditionalFormatting sqref="PB105:PC105">
    <cfRule type="cellIs" dxfId="325" priority="11" operator="equal">
      <formula>0</formula>
    </cfRule>
  </conditionalFormatting>
  <conditionalFormatting sqref="PB105:PC105">
    <cfRule type="cellIs" dxfId="324" priority="10" operator="equal">
      <formula>0</formula>
    </cfRule>
  </conditionalFormatting>
  <conditionalFormatting sqref="PB105:PC105">
    <cfRule type="cellIs" dxfId="323" priority="9" operator="equal">
      <formula>0</formula>
    </cfRule>
  </conditionalFormatting>
  <conditionalFormatting sqref="PC105">
    <cfRule type="cellIs" dxfId="322" priority="8" operator="equal">
      <formula>0</formula>
    </cfRule>
  </conditionalFormatting>
  <conditionalFormatting sqref="PA105">
    <cfRule type="cellIs" dxfId="321" priority="7" operator="equal">
      <formula>0</formula>
    </cfRule>
  </conditionalFormatting>
  <conditionalFormatting sqref="PA105">
    <cfRule type="cellIs" dxfId="320" priority="6" operator="equal">
      <formula>0</formula>
    </cfRule>
  </conditionalFormatting>
  <conditionalFormatting sqref="PA105">
    <cfRule type="cellIs" dxfId="319" priority="5" operator="equal">
      <formula>0</formula>
    </cfRule>
  </conditionalFormatting>
  <conditionalFormatting sqref="PD105:PF105">
    <cfRule type="cellIs" dxfId="318" priority="4" operator="equal">
      <formula>0</formula>
    </cfRule>
  </conditionalFormatting>
  <conditionalFormatting sqref="PD105:PF105">
    <cfRule type="cellIs" dxfId="317" priority="3" operator="equal">
      <formula>0</formula>
    </cfRule>
  </conditionalFormatting>
  <conditionalFormatting sqref="PD105:PF105">
    <cfRule type="cellIs" dxfId="316" priority="2" operator="equal">
      <formula>0</formula>
    </cfRule>
  </conditionalFormatting>
  <conditionalFormatting sqref="PD105:PF105">
    <cfRule type="cellIs" dxfId="315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68"/>
  <sheetViews>
    <sheetView showGridLines="0" zoomScale="87" zoomScaleNormal="70" workbookViewId="0">
      <pane xSplit="5" ySplit="8" topLeftCell="OZ9" activePane="bottomRight" state="frozen"/>
      <selection activeCell="NZ67" sqref="NZ67"/>
      <selection pane="topRight" activeCell="NZ67" sqref="NZ67"/>
      <selection pane="bottomLeft" activeCell="NZ67" sqref="NZ67"/>
      <selection pane="bottomRight" activeCell="PI47" sqref="PI47"/>
    </sheetView>
  </sheetViews>
  <sheetFormatPr baseColWidth="10" defaultColWidth="8.5" defaultRowHeight="15" x14ac:dyDescent="0.2"/>
  <cols>
    <col min="1" max="1" width="9.5" customWidth="1"/>
    <col min="2" max="2" width="41.1640625" bestFit="1" customWidth="1"/>
    <col min="3" max="3" width="10.5" bestFit="1" customWidth="1"/>
    <col min="4" max="4" width="7.5" bestFit="1" customWidth="1"/>
    <col min="5" max="5" width="10" bestFit="1" customWidth="1"/>
    <col min="6" max="6" width="7.5" bestFit="1" customWidth="1"/>
    <col min="7" max="7" width="8.5" bestFit="1" customWidth="1"/>
    <col min="8" max="8" width="10.5" bestFit="1" customWidth="1"/>
    <col min="9" max="9" width="8.5" bestFit="1" customWidth="1"/>
    <col min="10" max="10" width="7.5" bestFit="1" customWidth="1"/>
    <col min="11" max="11" width="8.5" bestFit="1" customWidth="1"/>
    <col min="12" max="12" width="10.5" bestFit="1" customWidth="1"/>
    <col min="13" max="13" width="8.5" bestFit="1" customWidth="1"/>
    <col min="14" max="14" width="7.5" bestFit="1" customWidth="1"/>
    <col min="15" max="15" width="8.5" bestFit="1" customWidth="1"/>
    <col min="16" max="16" width="10.5" bestFit="1" customWidth="1"/>
    <col min="17" max="17" width="8.5" bestFit="1" customWidth="1"/>
    <col min="18" max="18" width="7.5" bestFit="1" customWidth="1"/>
    <col min="19" max="19" width="8.5" bestFit="1" customWidth="1"/>
    <col min="20" max="20" width="10.5" bestFit="1" customWidth="1"/>
    <col min="21" max="21" width="8.5" bestFit="1" customWidth="1"/>
    <col min="22" max="23" width="7.5" bestFit="1" customWidth="1"/>
    <col min="24" max="24" width="10.5" bestFit="1" customWidth="1"/>
    <col min="25" max="25" width="8.5" bestFit="1" customWidth="1"/>
    <col min="26" max="26" width="9.5" bestFit="1" customWidth="1"/>
    <col min="27" max="27" width="7.5" bestFit="1" customWidth="1"/>
    <col min="28" max="31" width="9.5" customWidth="1"/>
    <col min="32" max="32" width="16.5" customWidth="1"/>
    <col min="33" max="33" width="17.5" customWidth="1"/>
    <col min="34" max="34" width="24.5" bestFit="1" customWidth="1"/>
    <col min="37" max="37" width="21.5" bestFit="1" customWidth="1"/>
    <col min="38" max="38" width="14" customWidth="1"/>
    <col min="39" max="39" width="21.5" customWidth="1"/>
    <col min="40" max="40" width="23.5" customWidth="1"/>
    <col min="69" max="70" width="17.5" bestFit="1" customWidth="1"/>
    <col min="135" max="135" width="84.5" bestFit="1" customWidth="1"/>
    <col min="137" max="138" width="12.5" customWidth="1"/>
    <col min="139" max="177" width="15.5" customWidth="1"/>
    <col min="181" max="181" width="9.5" customWidth="1"/>
    <col min="224" max="224" width="9.5" bestFit="1" customWidth="1"/>
    <col min="227" max="227" width="9.5" bestFit="1" customWidth="1"/>
    <col min="230" max="230" width="9.5" bestFit="1" customWidth="1"/>
    <col min="233" max="233" width="9.5" bestFit="1" customWidth="1"/>
    <col min="236" max="236" width="9.5" bestFit="1" customWidth="1"/>
    <col min="239" max="239" width="9.5" bestFit="1" customWidth="1"/>
    <col min="242" max="242" width="9.5" bestFit="1" customWidth="1"/>
    <col min="245" max="245" width="9.5" bestFit="1" customWidth="1"/>
    <col min="249" max="249" width="9.5" bestFit="1" customWidth="1"/>
    <col min="273" max="273" width="9.5" bestFit="1" customWidth="1"/>
    <col min="292" max="292" width="10.5" customWidth="1"/>
    <col min="306" max="306" width="14.5" bestFit="1" customWidth="1"/>
    <col min="390" max="390" width="14.5" bestFit="1" customWidth="1"/>
    <col min="391" max="392" width="10.5" bestFit="1" customWidth="1"/>
    <col min="416" max="416" width="14.5" bestFit="1" customWidth="1"/>
    <col min="423" max="423" width="16.5" bestFit="1" customWidth="1"/>
    <col min="430" max="430" width="15.5" bestFit="1" customWidth="1"/>
  </cols>
  <sheetData>
    <row r="1" spans="1:437 16383:16383" ht="24" x14ac:dyDescent="0.2">
      <c r="A1" s="1" t="s">
        <v>0</v>
      </c>
      <c r="B1" s="2"/>
      <c r="C1" s="2"/>
      <c r="D1" s="2"/>
      <c r="E1" s="2"/>
      <c r="F1" s="2"/>
      <c r="G1" s="3"/>
      <c r="H1" s="3"/>
      <c r="I1" s="4"/>
      <c r="J1" s="4"/>
      <c r="K1" s="4"/>
      <c r="L1" s="4"/>
      <c r="M1" s="4"/>
      <c r="N1" s="4"/>
      <c r="O1" s="4"/>
      <c r="P1" s="4"/>
      <c r="Q1" s="4"/>
      <c r="R1" s="2"/>
      <c r="S1" s="2"/>
      <c r="T1" s="2"/>
      <c r="U1" s="2"/>
      <c r="V1" s="5"/>
      <c r="W1" s="5"/>
      <c r="X1" s="5"/>
      <c r="Y1" s="5"/>
      <c r="Z1" s="2"/>
      <c r="AA1" s="7"/>
      <c r="AB1" s="7"/>
      <c r="AC1" s="7"/>
      <c r="AD1" s="7"/>
      <c r="AE1" s="7"/>
      <c r="AF1" s="34" t="s">
        <v>294</v>
      </c>
      <c r="AG1" s="34" t="s">
        <v>296</v>
      </c>
      <c r="BF1" s="34" t="s">
        <v>294</v>
      </c>
      <c r="BG1" s="34"/>
      <c r="BH1" s="34" t="s">
        <v>296</v>
      </c>
      <c r="EI1" s="47">
        <v>1</v>
      </c>
      <c r="EJ1" s="47">
        <f>EI1+1</f>
        <v>2</v>
      </c>
      <c r="EK1" s="47">
        <f t="shared" ref="EK1:FF1" si="0">EJ1+1</f>
        <v>3</v>
      </c>
      <c r="EL1" s="47">
        <f t="shared" si="0"/>
        <v>4</v>
      </c>
      <c r="EM1" s="47">
        <f t="shared" si="0"/>
        <v>5</v>
      </c>
      <c r="EN1" s="47">
        <f t="shared" si="0"/>
        <v>6</v>
      </c>
      <c r="EO1" s="47">
        <f t="shared" si="0"/>
        <v>7</v>
      </c>
      <c r="EP1" s="47">
        <f t="shared" si="0"/>
        <v>8</v>
      </c>
      <c r="EQ1" s="47">
        <f t="shared" si="0"/>
        <v>9</v>
      </c>
      <c r="ER1" s="47">
        <f t="shared" si="0"/>
        <v>10</v>
      </c>
      <c r="ES1" s="47">
        <f t="shared" si="0"/>
        <v>11</v>
      </c>
      <c r="ET1" s="47">
        <f t="shared" si="0"/>
        <v>12</v>
      </c>
      <c r="EU1" s="47">
        <f t="shared" si="0"/>
        <v>13</v>
      </c>
      <c r="EV1" s="47">
        <f t="shared" si="0"/>
        <v>14</v>
      </c>
      <c r="EW1" s="47">
        <f t="shared" si="0"/>
        <v>15</v>
      </c>
      <c r="EX1" s="47">
        <f t="shared" si="0"/>
        <v>16</v>
      </c>
      <c r="EY1" s="47">
        <f t="shared" si="0"/>
        <v>17</v>
      </c>
      <c r="EZ1" s="47">
        <f t="shared" si="0"/>
        <v>18</v>
      </c>
      <c r="FA1" s="47">
        <f t="shared" si="0"/>
        <v>19</v>
      </c>
      <c r="FB1" s="47">
        <f t="shared" si="0"/>
        <v>20</v>
      </c>
      <c r="FC1" s="47">
        <f t="shared" si="0"/>
        <v>21</v>
      </c>
      <c r="FD1" s="47">
        <f t="shared" si="0"/>
        <v>22</v>
      </c>
      <c r="FE1" s="47">
        <f t="shared" si="0"/>
        <v>23</v>
      </c>
      <c r="FF1" s="47">
        <f t="shared" si="0"/>
        <v>24</v>
      </c>
      <c r="FH1" s="47">
        <f t="shared" ref="FH1:FV1" si="1">FG1+1</f>
        <v>1</v>
      </c>
      <c r="FI1" s="47">
        <f t="shared" si="1"/>
        <v>2</v>
      </c>
      <c r="FJ1" s="47">
        <f t="shared" si="1"/>
        <v>3</v>
      </c>
      <c r="FK1" s="47">
        <f t="shared" si="1"/>
        <v>4</v>
      </c>
      <c r="FL1" s="47">
        <f t="shared" si="1"/>
        <v>5</v>
      </c>
      <c r="FM1" s="47">
        <f t="shared" si="1"/>
        <v>6</v>
      </c>
      <c r="FN1" s="47">
        <f t="shared" si="1"/>
        <v>7</v>
      </c>
      <c r="FO1" s="47">
        <f t="shared" si="1"/>
        <v>8</v>
      </c>
      <c r="FP1" s="47">
        <f t="shared" si="1"/>
        <v>9</v>
      </c>
      <c r="FQ1" s="47">
        <f t="shared" si="1"/>
        <v>10</v>
      </c>
      <c r="FR1" s="47">
        <f t="shared" si="1"/>
        <v>11</v>
      </c>
      <c r="FS1" s="47">
        <f t="shared" si="1"/>
        <v>12</v>
      </c>
      <c r="FT1" s="47">
        <f t="shared" si="1"/>
        <v>13</v>
      </c>
      <c r="FU1" s="47">
        <f t="shared" si="1"/>
        <v>14</v>
      </c>
      <c r="FV1" s="47">
        <f t="shared" si="1"/>
        <v>15</v>
      </c>
      <c r="GO1" s="83"/>
      <c r="GP1" s="83"/>
      <c r="GQ1" s="83"/>
      <c r="GR1" s="83"/>
      <c r="GS1" s="83"/>
      <c r="GT1" s="83"/>
      <c r="GU1" s="83"/>
      <c r="GV1" s="83"/>
      <c r="GW1" s="83"/>
      <c r="GX1" s="83"/>
      <c r="GY1" s="83"/>
      <c r="GZ1" s="83"/>
      <c r="HA1" s="83"/>
      <c r="HB1" s="83"/>
      <c r="HC1" s="83"/>
      <c r="HD1" s="83"/>
      <c r="HE1" s="83"/>
      <c r="HF1" s="83"/>
      <c r="HG1" s="83"/>
      <c r="HH1" s="83"/>
      <c r="HI1" s="83"/>
      <c r="HJ1" s="83"/>
      <c r="HK1" s="83"/>
      <c r="HL1" s="83"/>
      <c r="HM1" s="83"/>
      <c r="HN1" s="83"/>
      <c r="HO1" s="83"/>
      <c r="HP1" s="84"/>
      <c r="HQ1" s="84"/>
      <c r="HR1" s="84"/>
      <c r="HS1" s="84" t="s">
        <v>425</v>
      </c>
      <c r="HT1" s="84"/>
      <c r="HU1" s="84"/>
      <c r="HV1" s="84"/>
      <c r="HW1" s="84"/>
      <c r="HX1" s="84"/>
      <c r="HY1" s="84"/>
      <c r="HZ1" s="84"/>
      <c r="IA1" s="84"/>
      <c r="IB1" s="84"/>
      <c r="IC1" s="84"/>
      <c r="ID1" s="84"/>
      <c r="IE1" s="84"/>
      <c r="IF1" s="84"/>
      <c r="IG1" s="84"/>
      <c r="IH1" s="84"/>
      <c r="II1" s="84"/>
      <c r="IJ1" s="84"/>
      <c r="IK1" s="84"/>
      <c r="IL1" s="84"/>
      <c r="IM1" s="83"/>
      <c r="IN1" s="83"/>
      <c r="IO1" s="83"/>
      <c r="IP1" s="83"/>
      <c r="IQ1" s="83"/>
      <c r="IR1" s="83"/>
      <c r="IS1" s="83"/>
      <c r="IT1" s="83"/>
      <c r="IU1" s="83"/>
      <c r="IV1" s="83"/>
      <c r="IW1" s="83"/>
      <c r="IX1" s="83"/>
      <c r="IY1" s="83"/>
      <c r="IZ1" s="83"/>
      <c r="JA1" s="83"/>
      <c r="JB1" s="83"/>
      <c r="JC1" s="83"/>
      <c r="JD1" s="83"/>
      <c r="JE1" s="83"/>
      <c r="JF1" s="83"/>
      <c r="JG1" s="83"/>
      <c r="JH1" s="83"/>
      <c r="JI1" s="83"/>
      <c r="JJ1" s="83"/>
      <c r="JK1" s="83"/>
      <c r="KS1">
        <v>1</v>
      </c>
      <c r="KT1" t="s">
        <v>580</v>
      </c>
      <c r="PO1" s="557" t="s">
        <v>630</v>
      </c>
      <c r="PP1" s="558"/>
      <c r="PQ1" s="559"/>
    </row>
    <row r="2" spans="1:437 16383:16383" ht="23.75" customHeight="1" x14ac:dyDescent="0.2">
      <c r="A2" s="6" t="s">
        <v>22</v>
      </c>
      <c r="B2" s="7"/>
      <c r="C2" s="7"/>
      <c r="D2" s="7"/>
      <c r="E2" s="7"/>
      <c r="F2" s="7"/>
      <c r="G2" s="8"/>
      <c r="H2" s="8"/>
      <c r="I2" s="9"/>
      <c r="J2" s="9"/>
      <c r="K2" s="9"/>
      <c r="L2" s="9"/>
      <c r="M2" s="9"/>
      <c r="N2" s="9"/>
      <c r="O2" s="9"/>
      <c r="P2" s="9"/>
      <c r="Q2" s="9"/>
      <c r="R2" s="7"/>
      <c r="S2" s="7"/>
      <c r="T2" s="7"/>
      <c r="U2" s="7"/>
      <c r="V2" s="10"/>
      <c r="W2" s="10"/>
      <c r="X2" s="10"/>
      <c r="Y2" s="10"/>
      <c r="Z2" s="7"/>
      <c r="AA2" s="7"/>
      <c r="AB2" s="7"/>
      <c r="AC2" s="7"/>
      <c r="AD2" s="7"/>
      <c r="AE2" s="7"/>
      <c r="AF2" s="34" t="s">
        <v>295</v>
      </c>
      <c r="AG2" s="35" t="s">
        <v>297</v>
      </c>
      <c r="BF2" s="34" t="s">
        <v>295</v>
      </c>
      <c r="BG2" s="34"/>
      <c r="BH2" s="35" t="s">
        <v>297</v>
      </c>
      <c r="BN2" s="30" t="s">
        <v>338</v>
      </c>
      <c r="CD2" s="30" t="s">
        <v>338</v>
      </c>
      <c r="ED2" s="48"/>
      <c r="EE2" s="49"/>
      <c r="EG2" s="533" t="s">
        <v>388</v>
      </c>
      <c r="EH2" s="533" t="s">
        <v>352</v>
      </c>
      <c r="EI2" s="429" t="s">
        <v>387</v>
      </c>
      <c r="EJ2" s="429" t="s">
        <v>482</v>
      </c>
      <c r="EK2" s="507" t="s">
        <v>483</v>
      </c>
      <c r="EL2" s="508"/>
      <c r="EM2" s="508"/>
      <c r="EN2" s="508"/>
      <c r="EO2" s="508"/>
      <c r="EP2" s="509"/>
      <c r="EQ2" s="429" t="s">
        <v>353</v>
      </c>
      <c r="ER2" s="429" t="s">
        <v>484</v>
      </c>
      <c r="ES2" s="429" t="s">
        <v>354</v>
      </c>
      <c r="ET2" s="429" t="s">
        <v>397</v>
      </c>
      <c r="EU2" s="429" t="s">
        <v>485</v>
      </c>
      <c r="EV2" s="429" t="s">
        <v>355</v>
      </c>
      <c r="EW2" s="507" t="s">
        <v>486</v>
      </c>
      <c r="EX2" s="508"/>
      <c r="EY2" s="509"/>
      <c r="EZ2" s="429" t="s">
        <v>356</v>
      </c>
      <c r="FA2" s="429" t="s">
        <v>357</v>
      </c>
      <c r="FB2" s="429" t="s">
        <v>358</v>
      </c>
      <c r="FC2" s="429" t="s">
        <v>623</v>
      </c>
      <c r="FD2" s="429" t="s">
        <v>359</v>
      </c>
      <c r="FE2" s="429" t="s">
        <v>360</v>
      </c>
      <c r="FF2" s="429" t="s">
        <v>629</v>
      </c>
      <c r="FH2" s="429" t="s">
        <v>11</v>
      </c>
      <c r="FI2" s="429" t="s">
        <v>487</v>
      </c>
      <c r="FJ2" s="429" t="s">
        <v>488</v>
      </c>
      <c r="FK2" s="429" t="s">
        <v>489</v>
      </c>
      <c r="FL2" s="429" t="s">
        <v>490</v>
      </c>
      <c r="FM2" s="429" t="s">
        <v>491</v>
      </c>
      <c r="FN2" s="429" t="s">
        <v>492</v>
      </c>
      <c r="FO2" s="429" t="s">
        <v>493</v>
      </c>
      <c r="FP2" s="429" t="s">
        <v>494</v>
      </c>
      <c r="FQ2" s="429" t="s">
        <v>495</v>
      </c>
      <c r="FR2" s="429" t="s">
        <v>496</v>
      </c>
      <c r="FS2" s="429" t="s">
        <v>497</v>
      </c>
      <c r="FT2" s="429" t="s">
        <v>498</v>
      </c>
      <c r="FU2" s="429" t="s">
        <v>499</v>
      </c>
      <c r="FV2" s="429" t="s">
        <v>500</v>
      </c>
      <c r="GO2" s="83"/>
      <c r="GP2" s="83"/>
      <c r="GQ2" s="83"/>
      <c r="GR2" s="83"/>
      <c r="GS2" s="83"/>
      <c r="GT2" s="83"/>
      <c r="GU2" s="83" t="s">
        <v>467</v>
      </c>
      <c r="GV2" s="83"/>
      <c r="GW2" s="83"/>
      <c r="GX2" s="83"/>
      <c r="GY2" s="83"/>
      <c r="GZ2" s="83"/>
      <c r="HA2" s="83"/>
      <c r="HB2" s="83"/>
      <c r="HC2" s="83"/>
      <c r="HD2" s="83"/>
      <c r="HE2" s="83"/>
      <c r="HF2" s="83"/>
      <c r="HG2" s="83"/>
      <c r="HH2" s="83"/>
      <c r="HI2" s="83"/>
      <c r="HJ2" s="83"/>
      <c r="HK2" s="83"/>
      <c r="HL2" s="83"/>
      <c r="HM2" s="83"/>
      <c r="HN2" s="83"/>
      <c r="HO2" s="83"/>
      <c r="HP2" s="82"/>
      <c r="HQ2" s="82"/>
      <c r="HR2" s="82"/>
      <c r="HS2" t="s">
        <v>426</v>
      </c>
      <c r="HT2" s="82"/>
      <c r="HU2" s="82"/>
      <c r="HV2" s="82"/>
      <c r="HW2" s="82"/>
      <c r="HX2" s="82"/>
      <c r="HY2" s="82"/>
      <c r="HZ2" s="82"/>
      <c r="IA2" s="82"/>
      <c r="IB2" s="82"/>
      <c r="IC2" s="82"/>
      <c r="ID2" s="82"/>
      <c r="IE2" s="82"/>
      <c r="IF2" s="82"/>
      <c r="IG2" s="82"/>
      <c r="IH2" s="82"/>
      <c r="II2" s="82"/>
      <c r="IJ2" s="82"/>
      <c r="IK2" s="82"/>
      <c r="IL2" s="82"/>
      <c r="IM2" s="83"/>
      <c r="IN2" s="83"/>
      <c r="IO2" s="83"/>
      <c r="IP2" s="83"/>
      <c r="IQ2" s="83"/>
      <c r="IR2" s="83"/>
      <c r="IS2" s="83"/>
      <c r="IT2" s="83"/>
      <c r="IU2" s="83"/>
      <c r="IV2" s="83"/>
      <c r="IW2" s="83"/>
      <c r="IX2" s="83"/>
      <c r="IY2" s="83"/>
      <c r="IZ2" s="83"/>
      <c r="JA2" s="83"/>
      <c r="JB2" s="83"/>
      <c r="JC2" s="83"/>
      <c r="JD2" s="83"/>
      <c r="JE2" s="83"/>
      <c r="JF2" s="83"/>
      <c r="JG2" s="83"/>
      <c r="JH2" s="83"/>
      <c r="JI2" s="83"/>
      <c r="JJ2" s="83"/>
      <c r="JK2" s="83"/>
      <c r="JP2" s="30" t="s">
        <v>338</v>
      </c>
      <c r="KB2" s="121" t="s">
        <v>477</v>
      </c>
      <c r="KF2" s="30" t="s">
        <v>338</v>
      </c>
      <c r="KR2" s="121" t="s">
        <v>477</v>
      </c>
      <c r="KS2">
        <v>2</v>
      </c>
      <c r="KT2" t="s">
        <v>581</v>
      </c>
      <c r="PO2" s="560" t="s">
        <v>623</v>
      </c>
      <c r="PP2" s="563" t="s">
        <v>629</v>
      </c>
      <c r="PQ2" s="563" t="s">
        <v>631</v>
      </c>
    </row>
    <row r="3" spans="1:437 16383:16383" ht="24" x14ac:dyDescent="0.2">
      <c r="A3" s="6" t="s">
        <v>424</v>
      </c>
      <c r="B3" s="82"/>
      <c r="C3" s="6"/>
      <c r="D3" s="584">
        <f>Jaticempaka!D3</f>
        <v>44201</v>
      </c>
      <c r="E3" s="585"/>
      <c r="F3" s="7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7"/>
      <c r="S3" s="7"/>
      <c r="T3" s="7"/>
      <c r="U3" s="7"/>
      <c r="V3" s="10"/>
      <c r="W3" s="10"/>
      <c r="X3" s="10"/>
      <c r="Y3" s="10"/>
      <c r="Z3" s="7"/>
      <c r="AA3" s="7"/>
      <c r="AB3" s="7"/>
      <c r="AC3" s="7"/>
      <c r="AD3" s="7"/>
      <c r="AE3" s="7"/>
      <c r="AF3" s="33"/>
      <c r="AG3" s="33"/>
      <c r="BF3" s="33"/>
      <c r="BG3" s="36"/>
      <c r="BH3" s="36"/>
      <c r="BN3" s="46" t="s">
        <v>336</v>
      </c>
      <c r="BO3" s="529" t="s">
        <v>337</v>
      </c>
      <c r="BP3" s="529"/>
      <c r="BQ3" s="529"/>
      <c r="BR3" s="529"/>
      <c r="BS3" s="529"/>
      <c r="BT3" s="529"/>
      <c r="BU3" s="529"/>
      <c r="BV3" s="529"/>
      <c r="BW3" s="529"/>
      <c r="BX3" s="529"/>
      <c r="BY3" s="529"/>
      <c r="BZ3" s="529"/>
      <c r="CB3" s="30" t="s">
        <v>340</v>
      </c>
      <c r="CD3" s="46"/>
      <c r="CE3" s="529"/>
      <c r="CF3" s="529"/>
      <c r="CG3" s="529"/>
      <c r="CH3" s="529"/>
      <c r="CI3" s="529"/>
      <c r="CJ3" s="529"/>
      <c r="CK3" s="529"/>
      <c r="CL3" s="529"/>
      <c r="CM3" s="529"/>
      <c r="CN3" s="529"/>
      <c r="CO3" s="529"/>
      <c r="CP3" s="529"/>
      <c r="ED3" s="50"/>
      <c r="EE3" s="51"/>
      <c r="EG3" s="533"/>
      <c r="EH3" s="533"/>
      <c r="EI3" s="429"/>
      <c r="EJ3" s="429"/>
      <c r="EK3" s="510" t="s">
        <v>308</v>
      </c>
      <c r="EL3" s="510" t="s">
        <v>501</v>
      </c>
      <c r="EM3" s="510" t="s">
        <v>502</v>
      </c>
      <c r="EN3" s="510" t="s">
        <v>503</v>
      </c>
      <c r="EO3" s="510"/>
      <c r="EP3" s="510"/>
      <c r="EQ3" s="429"/>
      <c r="ER3" s="429"/>
      <c r="ES3" s="429"/>
      <c r="ET3" s="429"/>
      <c r="EU3" s="429"/>
      <c r="EV3" s="429"/>
      <c r="EW3" s="510" t="s">
        <v>504</v>
      </c>
      <c r="EX3" s="510" t="s">
        <v>309</v>
      </c>
      <c r="EY3" s="510" t="s">
        <v>505</v>
      </c>
      <c r="EZ3" s="429"/>
      <c r="FA3" s="429"/>
      <c r="FB3" s="429"/>
      <c r="FC3" s="429"/>
      <c r="FD3" s="429"/>
      <c r="FE3" s="429"/>
      <c r="FF3" s="429"/>
      <c r="FH3" s="429"/>
      <c r="FI3" s="429"/>
      <c r="FJ3" s="429"/>
      <c r="FK3" s="429"/>
      <c r="FL3" s="429"/>
      <c r="FM3" s="429"/>
      <c r="FN3" s="429"/>
      <c r="FO3" s="429"/>
      <c r="FP3" s="429"/>
      <c r="FQ3" s="429"/>
      <c r="FR3" s="429"/>
      <c r="FS3" s="429"/>
      <c r="FT3" s="429"/>
      <c r="FU3" s="429"/>
      <c r="FV3" s="429"/>
      <c r="GU3" s="85">
        <v>43243</v>
      </c>
      <c r="GX3" s="519" t="s">
        <v>427</v>
      </c>
      <c r="GY3" s="520"/>
      <c r="GZ3" s="86"/>
      <c r="HA3" s="83"/>
      <c r="HB3" s="83"/>
      <c r="HC3" s="86"/>
      <c r="HD3" s="86"/>
      <c r="HE3" s="86"/>
      <c r="HF3" s="82"/>
      <c r="HG3" s="82"/>
      <c r="HH3" s="82" t="s">
        <v>428</v>
      </c>
      <c r="HI3" s="82"/>
      <c r="HJ3" s="86"/>
      <c r="HK3" s="82"/>
      <c r="HL3" s="83"/>
      <c r="HM3" s="83"/>
      <c r="HN3" s="83"/>
      <c r="HO3" s="83"/>
      <c r="HP3" s="86"/>
      <c r="HQ3" s="86"/>
      <c r="HR3" s="86"/>
      <c r="HS3" t="s">
        <v>429</v>
      </c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 t="s">
        <v>430</v>
      </c>
      <c r="II3" s="86"/>
      <c r="IJ3" s="86"/>
      <c r="IK3" s="86"/>
      <c r="IL3" s="86"/>
      <c r="IM3" s="83"/>
      <c r="IN3" s="83"/>
      <c r="IO3" s="83"/>
      <c r="IP3" s="83"/>
      <c r="IQ3" s="83"/>
      <c r="IR3" s="83"/>
      <c r="IS3" s="83"/>
      <c r="IT3" s="83"/>
      <c r="IU3" s="83"/>
      <c r="IV3" s="83"/>
      <c r="IW3" s="83"/>
      <c r="IX3" s="83"/>
      <c r="IY3" s="83"/>
      <c r="IZ3" s="83"/>
      <c r="JA3" s="83"/>
      <c r="JB3" s="83"/>
      <c r="JC3" s="83"/>
      <c r="JD3" s="83"/>
      <c r="JE3" s="83"/>
      <c r="JF3" s="83"/>
      <c r="JG3" s="83"/>
      <c r="JH3" s="83"/>
      <c r="JI3" s="83"/>
      <c r="JJ3" s="83"/>
      <c r="JK3" s="83"/>
      <c r="JP3" s="46" t="s">
        <v>336</v>
      </c>
      <c r="JQ3" s="529" t="s">
        <v>337</v>
      </c>
      <c r="JR3" s="529"/>
      <c r="JS3" s="529"/>
      <c r="JT3" s="529"/>
      <c r="JU3" s="529"/>
      <c r="JV3" s="529"/>
      <c r="JW3" s="529"/>
      <c r="JX3" s="529"/>
      <c r="JY3" s="529"/>
      <c r="JZ3" s="529"/>
      <c r="KA3" s="529"/>
      <c r="KB3" s="529"/>
      <c r="KF3" s="46"/>
      <c r="KG3" s="529"/>
      <c r="KH3" s="529"/>
      <c r="KI3" s="529"/>
      <c r="KJ3" s="529"/>
      <c r="KK3" s="529"/>
      <c r="KL3" s="529"/>
      <c r="KM3" s="529"/>
      <c r="KN3" s="529"/>
      <c r="KO3" s="529"/>
      <c r="KP3" s="529"/>
      <c r="KQ3" s="529"/>
      <c r="KR3" s="529"/>
      <c r="KS3">
        <v>3</v>
      </c>
      <c r="KT3" t="s">
        <v>582</v>
      </c>
      <c r="KU3" s="30" t="s">
        <v>508</v>
      </c>
      <c r="PO3" s="561"/>
      <c r="PP3" s="563"/>
      <c r="PQ3" s="563"/>
    </row>
    <row r="4" spans="1:437 16383:16383" ht="18" customHeight="1" thickBot="1" x14ac:dyDescent="0.25">
      <c r="A4" s="479" t="s">
        <v>1</v>
      </c>
      <c r="B4" s="479" t="s">
        <v>2</v>
      </c>
      <c r="C4" s="479" t="s">
        <v>3</v>
      </c>
      <c r="D4" s="482" t="s">
        <v>4</v>
      </c>
      <c r="E4" s="483"/>
      <c r="F4" s="499" t="s">
        <v>5</v>
      </c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0"/>
      <c r="AA4" s="500"/>
      <c r="AB4" s="500"/>
      <c r="AC4" s="500"/>
      <c r="AD4" s="500"/>
      <c r="AE4" s="501"/>
      <c r="AF4" s="431" t="s">
        <v>298</v>
      </c>
      <c r="AG4" s="432"/>
      <c r="AH4" s="433"/>
      <c r="AI4" s="496" t="s">
        <v>261</v>
      </c>
      <c r="AJ4" s="497"/>
      <c r="AK4" s="498"/>
      <c r="AL4" s="573" t="s">
        <v>292</v>
      </c>
      <c r="AM4" s="574"/>
      <c r="AN4" s="566" t="s">
        <v>312</v>
      </c>
      <c r="BB4" s="570" t="s">
        <v>349</v>
      </c>
      <c r="BE4" s="431" t="s">
        <v>298</v>
      </c>
      <c r="BF4" s="432"/>
      <c r="BG4" s="432"/>
      <c r="BH4" s="432"/>
      <c r="BI4" s="432"/>
      <c r="BJ4" s="432"/>
      <c r="BK4" s="433"/>
      <c r="BN4" s="400" t="s">
        <v>319</v>
      </c>
      <c r="BO4" s="397" t="s">
        <v>320</v>
      </c>
      <c r="BP4" s="468" t="s">
        <v>321</v>
      </c>
      <c r="BQ4" s="468"/>
      <c r="BR4" s="468"/>
      <c r="BS4" s="468"/>
      <c r="BT4" s="468"/>
      <c r="BU4" s="468"/>
      <c r="BV4" s="468"/>
      <c r="BW4" s="468"/>
      <c r="BX4" s="468"/>
      <c r="BY4" s="468"/>
      <c r="BZ4" s="468"/>
      <c r="CB4" s="469" t="s">
        <v>339</v>
      </c>
      <c r="CD4" s="400" t="s">
        <v>319</v>
      </c>
      <c r="CE4" s="397" t="s">
        <v>320</v>
      </c>
      <c r="CF4" s="468" t="s">
        <v>321</v>
      </c>
      <c r="CG4" s="468"/>
      <c r="CH4" s="468"/>
      <c r="CI4" s="468"/>
      <c r="CJ4" s="468"/>
      <c r="CK4" s="468"/>
      <c r="CL4" s="468"/>
      <c r="CM4" s="468"/>
      <c r="CN4" s="468"/>
      <c r="CO4" s="468"/>
      <c r="CP4" s="468"/>
      <c r="DV4" s="513" t="s">
        <v>350</v>
      </c>
      <c r="DW4" s="514"/>
      <c r="DX4" s="514"/>
      <c r="DY4" s="514"/>
      <c r="DZ4" s="514"/>
      <c r="EA4" s="514"/>
      <c r="EB4" s="515"/>
      <c r="ED4" s="50"/>
      <c r="EE4" s="51"/>
      <c r="EG4" s="533"/>
      <c r="EH4" s="533"/>
      <c r="EI4" s="429"/>
      <c r="EJ4" s="429"/>
      <c r="EK4" s="511"/>
      <c r="EL4" s="511"/>
      <c r="EM4" s="511"/>
      <c r="EN4" s="511"/>
      <c r="EO4" s="511"/>
      <c r="EP4" s="511"/>
      <c r="EQ4" s="429"/>
      <c r="ER4" s="429"/>
      <c r="ES4" s="429"/>
      <c r="ET4" s="429"/>
      <c r="EU4" s="429"/>
      <c r="EV4" s="429"/>
      <c r="EW4" s="511"/>
      <c r="EX4" s="511"/>
      <c r="EY4" s="511"/>
      <c r="EZ4" s="429"/>
      <c r="FA4" s="429"/>
      <c r="FB4" s="429"/>
      <c r="FC4" s="429"/>
      <c r="FD4" s="429"/>
      <c r="FE4" s="429"/>
      <c r="FF4" s="429"/>
      <c r="FH4" s="429"/>
      <c r="FI4" s="429"/>
      <c r="FJ4" s="429"/>
      <c r="FK4" s="429"/>
      <c r="FL4" s="429"/>
      <c r="FM4" s="429"/>
      <c r="FN4" s="429"/>
      <c r="FO4" s="429"/>
      <c r="FP4" s="429"/>
      <c r="FQ4" s="429"/>
      <c r="FR4" s="429"/>
      <c r="FS4" s="429"/>
      <c r="FT4" s="429"/>
      <c r="FU4" s="429"/>
      <c r="FV4" s="429"/>
      <c r="FX4" s="365" t="s">
        <v>624</v>
      </c>
      <c r="FY4" s="412" t="s">
        <v>319</v>
      </c>
      <c r="FZ4" s="397" t="s">
        <v>320</v>
      </c>
      <c r="GA4" s="397" t="s">
        <v>378</v>
      </c>
      <c r="GB4" s="397" t="s">
        <v>379</v>
      </c>
      <c r="GC4" s="397" t="s">
        <v>380</v>
      </c>
      <c r="GD4" s="397" t="s">
        <v>381</v>
      </c>
      <c r="GE4" s="397" t="s">
        <v>382</v>
      </c>
      <c r="GF4" s="27"/>
      <c r="GG4" s="397" t="s">
        <v>383</v>
      </c>
      <c r="GH4" s="397" t="s">
        <v>384</v>
      </c>
      <c r="GI4" s="27"/>
      <c r="GJ4" s="397" t="s">
        <v>385</v>
      </c>
      <c r="GK4" s="397" t="s">
        <v>386</v>
      </c>
      <c r="GO4" s="521" t="s">
        <v>431</v>
      </c>
      <c r="GP4" s="522"/>
      <c r="GQ4" s="522"/>
      <c r="GR4" s="522"/>
      <c r="GS4" s="522"/>
      <c r="GT4" s="523"/>
      <c r="GU4" s="87" t="s">
        <v>432</v>
      </c>
      <c r="GV4" s="521" t="s">
        <v>433</v>
      </c>
      <c r="GW4" s="523"/>
      <c r="GX4" s="88" t="s">
        <v>434</v>
      </c>
      <c r="GY4" s="89">
        <f>Jaticempaka!GY4</f>
        <v>20</v>
      </c>
      <c r="GZ4" s="423"/>
      <c r="HA4" s="83"/>
      <c r="HB4" s="83"/>
      <c r="HC4" s="426" t="s">
        <v>436</v>
      </c>
      <c r="HD4" s="427"/>
      <c r="HE4" s="427"/>
      <c r="HF4" s="427"/>
      <c r="HG4" s="427"/>
      <c r="HH4" s="427"/>
      <c r="HI4" s="428"/>
      <c r="HJ4" s="90"/>
      <c r="HK4" s="398" t="s">
        <v>437</v>
      </c>
      <c r="HL4" s="83"/>
      <c r="HM4" s="83"/>
      <c r="HN4" s="83"/>
      <c r="HO4" s="83"/>
      <c r="HS4" t="s">
        <v>438</v>
      </c>
      <c r="IM4" s="83"/>
      <c r="IN4" s="83"/>
      <c r="IO4" s="83"/>
      <c r="IP4" s="83"/>
      <c r="IQ4" s="83"/>
      <c r="IR4" s="83"/>
      <c r="IS4" s="83"/>
      <c r="IT4" s="83"/>
      <c r="IU4" s="83"/>
      <c r="IV4" s="83"/>
      <c r="IW4" s="83"/>
      <c r="IX4" s="83"/>
      <c r="IY4" s="83"/>
      <c r="IZ4" s="83"/>
      <c r="JA4" s="83"/>
      <c r="JB4" s="83"/>
      <c r="JC4" s="83"/>
      <c r="JD4" s="83"/>
      <c r="JE4" s="83"/>
      <c r="JF4" s="83"/>
      <c r="JG4" s="83"/>
      <c r="JH4" s="83"/>
      <c r="JI4" s="83"/>
      <c r="JJ4" s="83"/>
      <c r="JK4" s="83"/>
      <c r="JP4" s="400" t="s">
        <v>319</v>
      </c>
      <c r="JQ4" s="397" t="s">
        <v>320</v>
      </c>
      <c r="JR4" s="468" t="s">
        <v>321</v>
      </c>
      <c r="JS4" s="468"/>
      <c r="JT4" s="468"/>
      <c r="JU4" s="468"/>
      <c r="JV4" s="468"/>
      <c r="JW4" s="468"/>
      <c r="JX4" s="468"/>
      <c r="JY4" s="468"/>
      <c r="JZ4" s="468"/>
      <c r="KA4" s="468"/>
      <c r="KB4" s="468"/>
      <c r="KD4" s="400" t="s">
        <v>626</v>
      </c>
      <c r="KE4" s="400" t="s">
        <v>627</v>
      </c>
      <c r="KF4" s="400" t="s">
        <v>319</v>
      </c>
      <c r="KG4" s="397" t="s">
        <v>320</v>
      </c>
      <c r="KH4" s="468" t="s">
        <v>321</v>
      </c>
      <c r="KI4" s="468"/>
      <c r="KJ4" s="468"/>
      <c r="KK4" s="468"/>
      <c r="KL4" s="468"/>
      <c r="KM4" s="468"/>
      <c r="KN4" s="468"/>
      <c r="KO4" s="468"/>
      <c r="KP4" s="468"/>
      <c r="KQ4" s="468"/>
      <c r="KR4" s="468"/>
      <c r="KS4">
        <v>4</v>
      </c>
      <c r="KT4" t="s">
        <v>583</v>
      </c>
      <c r="LF4">
        <v>1</v>
      </c>
      <c r="LM4">
        <v>2</v>
      </c>
      <c r="LT4">
        <v>3</v>
      </c>
      <c r="MA4">
        <v>4</v>
      </c>
      <c r="MK4">
        <v>5</v>
      </c>
      <c r="MP4">
        <v>6</v>
      </c>
      <c r="MX4">
        <v>7</v>
      </c>
      <c r="NZ4" s="341" t="s">
        <v>592</v>
      </c>
      <c r="PO4" s="561"/>
      <c r="PP4" s="563"/>
      <c r="PQ4" s="563"/>
    </row>
    <row r="5" spans="1:437 16383:16383" ht="18" customHeight="1" x14ac:dyDescent="0.2">
      <c r="A5" s="480"/>
      <c r="B5" s="480"/>
      <c r="C5" s="480"/>
      <c r="D5" s="484"/>
      <c r="E5" s="485"/>
      <c r="F5" s="493" t="s">
        <v>6</v>
      </c>
      <c r="G5" s="493"/>
      <c r="H5" s="493"/>
      <c r="I5" s="493"/>
      <c r="J5" s="496" t="s">
        <v>283</v>
      </c>
      <c r="K5" s="497" t="s">
        <v>283</v>
      </c>
      <c r="L5" s="497" t="s">
        <v>283</v>
      </c>
      <c r="M5" s="497" t="s">
        <v>283</v>
      </c>
      <c r="N5" s="497" t="s">
        <v>283</v>
      </c>
      <c r="O5" s="497" t="s">
        <v>283</v>
      </c>
      <c r="P5" s="497" t="s">
        <v>283</v>
      </c>
      <c r="Q5" s="498" t="s">
        <v>283</v>
      </c>
      <c r="R5" s="493" t="s">
        <v>8</v>
      </c>
      <c r="S5" s="493"/>
      <c r="T5" s="493"/>
      <c r="U5" s="493"/>
      <c r="V5" s="493" t="s">
        <v>9</v>
      </c>
      <c r="W5" s="493"/>
      <c r="X5" s="493"/>
      <c r="Y5" s="493"/>
      <c r="Z5" s="493"/>
      <c r="AA5" s="502" t="s">
        <v>396</v>
      </c>
      <c r="AB5" s="502"/>
      <c r="AC5" s="502"/>
      <c r="AD5" s="502"/>
      <c r="AE5" s="502"/>
      <c r="AF5" s="434"/>
      <c r="AG5" s="435"/>
      <c r="AH5" s="436"/>
      <c r="AI5" s="489" t="s">
        <v>262</v>
      </c>
      <c r="AJ5" s="482"/>
      <c r="AK5" s="483"/>
      <c r="AL5" s="575"/>
      <c r="AM5" s="576"/>
      <c r="AN5" s="567"/>
      <c r="BB5" s="571"/>
      <c r="BE5" s="434"/>
      <c r="BF5" s="435"/>
      <c r="BG5" s="435"/>
      <c r="BH5" s="435"/>
      <c r="BI5" s="435"/>
      <c r="BJ5" s="435"/>
      <c r="BK5" s="436"/>
      <c r="BN5" s="400"/>
      <c r="BO5" s="397"/>
      <c r="BP5" s="472" t="s">
        <v>315</v>
      </c>
      <c r="BQ5" s="472"/>
      <c r="BR5" s="472"/>
      <c r="BS5" s="472"/>
      <c r="BT5" s="472"/>
      <c r="BU5" s="472"/>
      <c r="BV5" s="472"/>
      <c r="BW5" s="472" t="s">
        <v>330</v>
      </c>
      <c r="BX5" s="472"/>
      <c r="BY5" s="472"/>
      <c r="BZ5" s="472"/>
      <c r="CB5" s="470"/>
      <c r="CD5" s="400"/>
      <c r="CE5" s="397"/>
      <c r="CF5" s="472" t="s">
        <v>315</v>
      </c>
      <c r="CG5" s="472"/>
      <c r="CH5" s="472"/>
      <c r="CI5" s="472"/>
      <c r="CJ5" s="472"/>
      <c r="CK5" s="472"/>
      <c r="CL5" s="472"/>
      <c r="CM5" s="472" t="s">
        <v>330</v>
      </c>
      <c r="CN5" s="472"/>
      <c r="CO5" s="472"/>
      <c r="CP5" s="472"/>
      <c r="DV5" s="516"/>
      <c r="DW5" s="517"/>
      <c r="DX5" s="517"/>
      <c r="DY5" s="517"/>
      <c r="DZ5" s="517"/>
      <c r="EA5" s="517"/>
      <c r="EB5" s="518"/>
      <c r="ED5" s="52" t="s">
        <v>361</v>
      </c>
      <c r="EE5" s="51"/>
      <c r="EG5" s="533"/>
      <c r="EH5" s="533"/>
      <c r="EI5" s="429"/>
      <c r="EJ5" s="429"/>
      <c r="EK5" s="511"/>
      <c r="EL5" s="511"/>
      <c r="EM5" s="511"/>
      <c r="EN5" s="511"/>
      <c r="EO5" s="511"/>
      <c r="EP5" s="511"/>
      <c r="EQ5" s="429"/>
      <c r="ER5" s="429"/>
      <c r="ES5" s="429"/>
      <c r="ET5" s="429"/>
      <c r="EU5" s="429"/>
      <c r="EV5" s="429"/>
      <c r="EW5" s="511"/>
      <c r="EX5" s="511"/>
      <c r="EY5" s="511"/>
      <c r="EZ5" s="429"/>
      <c r="FA5" s="429"/>
      <c r="FB5" s="429"/>
      <c r="FC5" s="429"/>
      <c r="FD5" s="429"/>
      <c r="FE5" s="429"/>
      <c r="FF5" s="429"/>
      <c r="FH5" s="429"/>
      <c r="FI5" s="429"/>
      <c r="FJ5" s="429"/>
      <c r="FK5" s="429"/>
      <c r="FL5" s="429"/>
      <c r="FM5" s="429"/>
      <c r="FN5" s="429"/>
      <c r="FO5" s="429"/>
      <c r="FP5" s="429"/>
      <c r="FQ5" s="429"/>
      <c r="FR5" s="429"/>
      <c r="FS5" s="429"/>
      <c r="FT5" s="429"/>
      <c r="FU5" s="429"/>
      <c r="FV5" s="429"/>
      <c r="FX5" s="366"/>
      <c r="FY5" s="413"/>
      <c r="FZ5" s="397"/>
      <c r="GA5" s="397"/>
      <c r="GB5" s="397"/>
      <c r="GC5" s="397"/>
      <c r="GD5" s="397"/>
      <c r="GE5" s="397"/>
      <c r="GF5" s="27"/>
      <c r="GG5" s="397"/>
      <c r="GH5" s="397"/>
      <c r="GI5" s="27"/>
      <c r="GJ5" s="397"/>
      <c r="GK5" s="397"/>
      <c r="GO5" s="524"/>
      <c r="GP5" s="525"/>
      <c r="GQ5" s="525"/>
      <c r="GR5" s="525"/>
      <c r="GS5" s="525"/>
      <c r="GT5" s="526"/>
      <c r="GU5" s="91" t="s">
        <v>439</v>
      </c>
      <c r="GV5" s="524"/>
      <c r="GW5" s="526"/>
      <c r="GX5" s="92" t="s">
        <v>440</v>
      </c>
      <c r="GY5" s="93">
        <f>Jaticempaka!GY5</f>
        <v>20</v>
      </c>
      <c r="GZ5" s="424"/>
      <c r="HA5" s="83"/>
      <c r="HB5" s="83"/>
      <c r="HC5" s="399" t="s">
        <v>441</v>
      </c>
      <c r="HD5" s="399" t="s">
        <v>442</v>
      </c>
      <c r="HE5" s="399" t="s">
        <v>18</v>
      </c>
      <c r="HF5" s="399" t="s">
        <v>443</v>
      </c>
      <c r="HG5" s="399" t="s">
        <v>444</v>
      </c>
      <c r="HH5" s="398" t="s">
        <v>445</v>
      </c>
      <c r="HI5" s="398" t="s">
        <v>446</v>
      </c>
      <c r="HJ5" s="90"/>
      <c r="HK5" s="399"/>
      <c r="HL5" s="83"/>
      <c r="HM5" s="83"/>
      <c r="HN5" s="83"/>
      <c r="HO5" s="83"/>
      <c r="HP5">
        <v>1</v>
      </c>
      <c r="HS5" s="94">
        <v>2</v>
      </c>
      <c r="HV5">
        <v>3</v>
      </c>
      <c r="HY5">
        <v>4</v>
      </c>
      <c r="IB5">
        <v>5</v>
      </c>
      <c r="IE5">
        <v>6</v>
      </c>
      <c r="IH5">
        <v>7</v>
      </c>
      <c r="IK5">
        <v>8</v>
      </c>
      <c r="IM5" s="83"/>
      <c r="IN5" s="83"/>
      <c r="IO5" s="83"/>
      <c r="IP5" s="83"/>
      <c r="IQ5" s="83"/>
      <c r="IR5" s="83"/>
      <c r="IS5" s="83"/>
      <c r="IT5" s="83"/>
      <c r="IU5" s="83"/>
      <c r="IV5" s="83"/>
      <c r="IW5" s="83"/>
      <c r="IX5" s="83"/>
      <c r="IY5" s="83"/>
      <c r="IZ5" s="83"/>
      <c r="JA5" s="83"/>
      <c r="JB5" s="83"/>
      <c r="JC5" s="83"/>
      <c r="JD5" s="83"/>
      <c r="JE5" s="83"/>
      <c r="JF5" s="83"/>
      <c r="JG5" s="83"/>
      <c r="JH5" s="83"/>
      <c r="JI5" s="83"/>
      <c r="JJ5" s="83"/>
      <c r="JK5" s="83"/>
      <c r="JP5" s="400"/>
      <c r="JQ5" s="397"/>
      <c r="JR5" s="472" t="s">
        <v>315</v>
      </c>
      <c r="JS5" s="472"/>
      <c r="JT5" s="472"/>
      <c r="JU5" s="472"/>
      <c r="JV5" s="472"/>
      <c r="JW5" s="472"/>
      <c r="JX5" s="472"/>
      <c r="JY5" s="472" t="s">
        <v>330</v>
      </c>
      <c r="JZ5" s="472"/>
      <c r="KA5" s="472"/>
      <c r="KB5" s="472"/>
      <c r="KD5" s="400"/>
      <c r="KE5" s="400"/>
      <c r="KF5" s="400"/>
      <c r="KG5" s="397"/>
      <c r="KH5" s="472" t="s">
        <v>315</v>
      </c>
      <c r="KI5" s="472"/>
      <c r="KJ5" s="472"/>
      <c r="KK5" s="472"/>
      <c r="KL5" s="472"/>
      <c r="KM5" s="472"/>
      <c r="KN5" s="472"/>
      <c r="KO5" s="472" t="s">
        <v>330</v>
      </c>
      <c r="KP5" s="472"/>
      <c r="KQ5" s="472"/>
      <c r="KR5" s="472"/>
      <c r="KS5">
        <v>5</v>
      </c>
      <c r="KT5" t="s">
        <v>519</v>
      </c>
      <c r="KU5" s="534" t="s">
        <v>509</v>
      </c>
      <c r="KV5" s="534" t="s">
        <v>510</v>
      </c>
      <c r="KW5" s="536" t="s">
        <v>11</v>
      </c>
      <c r="KX5" s="537" t="s">
        <v>511</v>
      </c>
      <c r="KY5" s="537" t="s">
        <v>434</v>
      </c>
      <c r="KZ5" s="540" t="s">
        <v>512</v>
      </c>
      <c r="LA5" s="540"/>
      <c r="LB5" s="540" t="s">
        <v>513</v>
      </c>
      <c r="LC5" s="540"/>
      <c r="LD5" s="541" t="s">
        <v>514</v>
      </c>
      <c r="LE5" s="541"/>
      <c r="LF5" s="544" t="s">
        <v>515</v>
      </c>
      <c r="LG5" s="544"/>
      <c r="LH5" s="544"/>
      <c r="LI5" s="544"/>
      <c r="LJ5" s="544"/>
      <c r="LK5" s="544"/>
      <c r="LL5" s="544"/>
      <c r="LM5" s="547" t="s">
        <v>516</v>
      </c>
      <c r="LN5" s="547"/>
      <c r="LO5" s="547"/>
      <c r="LP5" s="547"/>
      <c r="LQ5" s="547"/>
      <c r="LR5" s="547"/>
      <c r="LS5" s="547"/>
      <c r="LT5" s="548" t="s">
        <v>517</v>
      </c>
      <c r="LU5" s="548"/>
      <c r="LV5" s="548"/>
      <c r="LW5" s="548"/>
      <c r="LX5" s="548"/>
      <c r="LY5" s="548"/>
      <c r="LZ5" s="548"/>
      <c r="MA5" s="549" t="s">
        <v>518</v>
      </c>
      <c r="MB5" s="549"/>
      <c r="MC5" s="549"/>
      <c r="MD5" s="549"/>
      <c r="ME5" s="549"/>
      <c r="MF5" s="549"/>
      <c r="MG5" s="549"/>
      <c r="MH5" s="549"/>
      <c r="MI5" s="549"/>
      <c r="MJ5" s="549"/>
      <c r="MK5" s="550" t="s">
        <v>519</v>
      </c>
      <c r="ML5" s="551"/>
      <c r="MM5" s="551"/>
      <c r="MN5" s="551"/>
      <c r="MO5" s="552"/>
      <c r="MP5" s="372" t="s">
        <v>520</v>
      </c>
      <c r="MQ5" s="373"/>
      <c r="MR5" s="373"/>
      <c r="MS5" s="373"/>
      <c r="MT5" s="373"/>
      <c r="MU5" s="373"/>
      <c r="MV5" s="373"/>
      <c r="MW5" s="374"/>
      <c r="MX5" s="375" t="s">
        <v>575</v>
      </c>
      <c r="MY5" s="376"/>
      <c r="MZ5" s="376"/>
      <c r="NA5" s="376"/>
      <c r="NB5" s="377"/>
      <c r="NC5" s="378" t="s">
        <v>521</v>
      </c>
      <c r="ND5" s="379"/>
      <c r="NE5" s="380"/>
      <c r="NF5" s="384" t="s">
        <v>522</v>
      </c>
      <c r="NG5" s="385"/>
      <c r="NH5" s="385"/>
      <c r="NI5" s="386"/>
      <c r="NJ5" s="350" t="s">
        <v>523</v>
      </c>
      <c r="NK5" s="370" t="s">
        <v>524</v>
      </c>
      <c r="NZ5" s="341"/>
      <c r="OE5" s="340" t="s">
        <v>596</v>
      </c>
      <c r="OF5" s="340" t="s">
        <v>597</v>
      </c>
      <c r="OG5" s="340" t="s">
        <v>457</v>
      </c>
      <c r="OH5" s="340" t="s">
        <v>303</v>
      </c>
      <c r="OI5" s="340" t="s">
        <v>598</v>
      </c>
      <c r="OJ5" s="340" t="s">
        <v>599</v>
      </c>
      <c r="OK5" s="340" t="s">
        <v>600</v>
      </c>
      <c r="OL5" s="340" t="s">
        <v>601</v>
      </c>
      <c r="OM5" s="340" t="s">
        <v>602</v>
      </c>
      <c r="OO5" s="340" t="s">
        <v>596</v>
      </c>
      <c r="OP5" s="340" t="s">
        <v>597</v>
      </c>
      <c r="OQ5" s="340" t="s">
        <v>457</v>
      </c>
      <c r="OR5" s="340" t="s">
        <v>303</v>
      </c>
      <c r="OS5" s="340" t="s">
        <v>598</v>
      </c>
      <c r="OT5" s="340" t="s">
        <v>599</v>
      </c>
      <c r="OU5" s="340" t="s">
        <v>600</v>
      </c>
      <c r="OV5" s="340" t="s">
        <v>601</v>
      </c>
      <c r="OW5" s="340" t="s">
        <v>602</v>
      </c>
      <c r="PA5" s="529" t="s">
        <v>617</v>
      </c>
      <c r="PB5" s="529"/>
      <c r="PC5" s="529"/>
      <c r="PD5" s="529"/>
      <c r="PE5" s="529"/>
      <c r="PF5" s="529"/>
      <c r="PG5" s="529"/>
      <c r="PH5" s="529"/>
      <c r="PI5" s="529"/>
      <c r="PJ5" s="529"/>
      <c r="PK5" s="529"/>
      <c r="PL5" s="529"/>
      <c r="PO5" s="561"/>
      <c r="PP5" s="563"/>
      <c r="PQ5" s="563"/>
    </row>
    <row r="6" spans="1:437 16383:16383" ht="14.75" customHeight="1" x14ac:dyDescent="0.2">
      <c r="A6" s="480"/>
      <c r="B6" s="480"/>
      <c r="C6" s="480"/>
      <c r="D6" s="484"/>
      <c r="E6" s="485"/>
      <c r="F6" s="494"/>
      <c r="G6" s="494"/>
      <c r="H6" s="494"/>
      <c r="I6" s="494"/>
      <c r="J6" s="489" t="s">
        <v>284</v>
      </c>
      <c r="K6" s="482" t="s">
        <v>284</v>
      </c>
      <c r="L6" s="482" t="s">
        <v>284</v>
      </c>
      <c r="M6" s="483" t="s">
        <v>284</v>
      </c>
      <c r="N6" s="489" t="s">
        <v>7</v>
      </c>
      <c r="O6" s="482" t="s">
        <v>285</v>
      </c>
      <c r="P6" s="482" t="s">
        <v>285</v>
      </c>
      <c r="Q6" s="483" t="s">
        <v>285</v>
      </c>
      <c r="R6" s="494"/>
      <c r="S6" s="494"/>
      <c r="T6" s="494"/>
      <c r="U6" s="494"/>
      <c r="V6" s="494"/>
      <c r="W6" s="494"/>
      <c r="X6" s="494"/>
      <c r="Y6" s="494"/>
      <c r="Z6" s="494"/>
      <c r="AA6" s="503"/>
      <c r="AB6" s="503"/>
      <c r="AC6" s="503"/>
      <c r="AD6" s="503"/>
      <c r="AE6" s="503"/>
      <c r="AF6" s="454" t="s">
        <v>11</v>
      </c>
      <c r="AG6" s="457" t="s">
        <v>311</v>
      </c>
      <c r="AH6" s="486" t="s">
        <v>293</v>
      </c>
      <c r="AI6" s="569"/>
      <c r="AJ6" s="484"/>
      <c r="AK6" s="485"/>
      <c r="AL6" s="577" t="s">
        <v>265</v>
      </c>
      <c r="AM6" s="580" t="s">
        <v>9</v>
      </c>
      <c r="AN6" s="567"/>
      <c r="BB6" s="571"/>
      <c r="BE6" s="454" t="s">
        <v>11</v>
      </c>
      <c r="BF6" s="457" t="s">
        <v>306</v>
      </c>
      <c r="BG6" s="457" t="s">
        <v>307</v>
      </c>
      <c r="BH6" s="457" t="s">
        <v>308</v>
      </c>
      <c r="BI6" s="457" t="s">
        <v>309</v>
      </c>
      <c r="BJ6" s="457"/>
      <c r="BK6" s="457" t="s">
        <v>310</v>
      </c>
      <c r="BN6" s="400"/>
      <c r="BO6" s="397"/>
      <c r="BP6" s="472" t="s">
        <v>316</v>
      </c>
      <c r="BQ6" s="472"/>
      <c r="BR6" s="472"/>
      <c r="BS6" s="472"/>
      <c r="BT6" s="472"/>
      <c r="BU6" s="473" t="s">
        <v>325</v>
      </c>
      <c r="BV6" s="474"/>
      <c r="BW6" s="475" t="s">
        <v>331</v>
      </c>
      <c r="BX6" s="472" t="s">
        <v>332</v>
      </c>
      <c r="BY6" s="472"/>
      <c r="BZ6" s="472"/>
      <c r="CB6" s="470"/>
      <c r="CD6" s="400"/>
      <c r="CE6" s="397"/>
      <c r="CF6" s="472" t="s">
        <v>316</v>
      </c>
      <c r="CG6" s="472"/>
      <c r="CH6" s="472"/>
      <c r="CI6" s="472"/>
      <c r="CJ6" s="472"/>
      <c r="CK6" s="473" t="s">
        <v>325</v>
      </c>
      <c r="CL6" s="474"/>
      <c r="CM6" s="475" t="s">
        <v>331</v>
      </c>
      <c r="CN6" s="472" t="s">
        <v>332</v>
      </c>
      <c r="CO6" s="472"/>
      <c r="CP6" s="472"/>
      <c r="DV6" s="530" t="s">
        <v>11</v>
      </c>
      <c r="DW6" s="476" t="s">
        <v>300</v>
      </c>
      <c r="DX6" s="476" t="s">
        <v>301</v>
      </c>
      <c r="DY6" s="476" t="s">
        <v>343</v>
      </c>
      <c r="DZ6" s="476" t="s">
        <v>302</v>
      </c>
      <c r="EA6" s="476" t="s">
        <v>351</v>
      </c>
      <c r="EB6" s="476" t="s">
        <v>18</v>
      </c>
      <c r="ED6" s="50"/>
      <c r="EE6" s="51"/>
      <c r="EG6" s="533"/>
      <c r="EH6" s="533"/>
      <c r="EI6" s="429"/>
      <c r="EJ6" s="429"/>
      <c r="EK6" s="511"/>
      <c r="EL6" s="511"/>
      <c r="EM6" s="511"/>
      <c r="EN6" s="511"/>
      <c r="EO6" s="511"/>
      <c r="EP6" s="511"/>
      <c r="EQ6" s="429"/>
      <c r="ER6" s="429"/>
      <c r="ES6" s="429"/>
      <c r="ET6" s="429"/>
      <c r="EU6" s="429"/>
      <c r="EV6" s="429"/>
      <c r="EW6" s="511"/>
      <c r="EX6" s="511"/>
      <c r="EY6" s="511"/>
      <c r="EZ6" s="429"/>
      <c r="FA6" s="429"/>
      <c r="FB6" s="429"/>
      <c r="FC6" s="429"/>
      <c r="FD6" s="429"/>
      <c r="FE6" s="429"/>
      <c r="FF6" s="429"/>
      <c r="FH6" s="429"/>
      <c r="FI6" s="429"/>
      <c r="FJ6" s="429"/>
      <c r="FK6" s="429"/>
      <c r="FL6" s="429"/>
      <c r="FM6" s="429"/>
      <c r="FN6" s="429"/>
      <c r="FO6" s="429"/>
      <c r="FP6" s="429"/>
      <c r="FQ6" s="429"/>
      <c r="FR6" s="429"/>
      <c r="FS6" s="429"/>
      <c r="FT6" s="429"/>
      <c r="FU6" s="429"/>
      <c r="FV6" s="429"/>
      <c r="FX6" s="366"/>
      <c r="FY6" s="413"/>
      <c r="FZ6" s="397"/>
      <c r="GA6" s="397"/>
      <c r="GB6" s="397"/>
      <c r="GC6" s="397"/>
      <c r="GD6" s="397"/>
      <c r="GE6" s="397"/>
      <c r="GF6" s="27"/>
      <c r="GG6" s="397"/>
      <c r="GH6" s="397"/>
      <c r="GI6" s="27"/>
      <c r="GJ6" s="397"/>
      <c r="GK6" s="397"/>
      <c r="GO6" s="423" t="s">
        <v>434</v>
      </c>
      <c r="GP6" s="423" t="s">
        <v>440</v>
      </c>
      <c r="GQ6" s="423" t="s">
        <v>7</v>
      </c>
      <c r="GR6" s="423" t="s">
        <v>265</v>
      </c>
      <c r="GS6" s="423" t="s">
        <v>447</v>
      </c>
      <c r="GT6" s="423" t="s">
        <v>448</v>
      </c>
      <c r="GU6" s="91"/>
      <c r="GV6" s="527"/>
      <c r="GW6" s="528"/>
      <c r="GX6" s="92" t="s">
        <v>7</v>
      </c>
      <c r="GY6" s="93">
        <f>Jaticempaka!GY6</f>
        <v>10</v>
      </c>
      <c r="GZ6" s="424"/>
      <c r="HA6" s="83"/>
      <c r="HB6" s="83"/>
      <c r="HC6" s="399"/>
      <c r="HD6" s="399"/>
      <c r="HE6" s="399"/>
      <c r="HF6" s="399"/>
      <c r="HG6" s="399"/>
      <c r="HH6" s="399"/>
      <c r="HI6" s="399"/>
      <c r="HJ6" s="90"/>
      <c r="HK6" s="399"/>
      <c r="HL6" s="83"/>
      <c r="HM6" s="83"/>
      <c r="HN6" s="83"/>
      <c r="HO6" s="83"/>
      <c r="HP6" s="418" t="s">
        <v>449</v>
      </c>
      <c r="HQ6" s="419"/>
      <c r="HR6" s="420"/>
      <c r="HS6" s="406" t="s">
        <v>450</v>
      </c>
      <c r="HT6" s="407"/>
      <c r="HU6" s="408"/>
      <c r="HV6" s="415" t="s">
        <v>451</v>
      </c>
      <c r="HW6" s="416"/>
      <c r="HX6" s="416"/>
      <c r="HY6" s="416"/>
      <c r="HZ6" s="416"/>
      <c r="IA6" s="417"/>
      <c r="IB6" s="403" t="s">
        <v>452</v>
      </c>
      <c r="IC6" s="404"/>
      <c r="ID6" s="404"/>
      <c r="IE6" s="404"/>
      <c r="IF6" s="404"/>
      <c r="IG6" s="405"/>
      <c r="IH6" s="403" t="s">
        <v>453</v>
      </c>
      <c r="II6" s="404"/>
      <c r="IJ6" s="404"/>
      <c r="IK6" s="404"/>
      <c r="IL6" s="404"/>
      <c r="IM6" s="405"/>
      <c r="IN6" s="83"/>
      <c r="IO6" s="406" t="s">
        <v>454</v>
      </c>
      <c r="IP6" s="407"/>
      <c r="IQ6" s="408"/>
      <c r="IR6" s="83"/>
      <c r="IS6" s="406" t="s">
        <v>455</v>
      </c>
      <c r="IT6" s="407"/>
      <c r="IU6" s="408"/>
      <c r="IV6" s="83"/>
      <c r="IW6" s="406" t="s">
        <v>456</v>
      </c>
      <c r="IX6" s="407"/>
      <c r="IY6" s="408"/>
      <c r="IZ6" s="83"/>
      <c r="JA6" s="406" t="s">
        <v>457</v>
      </c>
      <c r="JB6" s="407"/>
      <c r="JC6" s="408"/>
      <c r="JD6" s="83"/>
      <c r="JE6" s="406" t="s">
        <v>18</v>
      </c>
      <c r="JF6" s="407"/>
      <c r="JG6" s="408"/>
      <c r="JH6" s="83"/>
      <c r="JI6" s="406" t="s">
        <v>458</v>
      </c>
      <c r="JJ6" s="407"/>
      <c r="JK6" s="408"/>
      <c r="JP6" s="400"/>
      <c r="JQ6" s="397"/>
      <c r="JR6" s="472" t="s">
        <v>316</v>
      </c>
      <c r="JS6" s="472"/>
      <c r="JT6" s="472"/>
      <c r="JU6" s="472"/>
      <c r="JV6" s="472"/>
      <c r="JW6" s="473" t="s">
        <v>325</v>
      </c>
      <c r="JX6" s="474"/>
      <c r="JY6" s="475" t="s">
        <v>331</v>
      </c>
      <c r="JZ6" s="472" t="s">
        <v>332</v>
      </c>
      <c r="KA6" s="472"/>
      <c r="KB6" s="472"/>
      <c r="KD6" s="400"/>
      <c r="KE6" s="400"/>
      <c r="KF6" s="400"/>
      <c r="KG6" s="397"/>
      <c r="KH6" s="472" t="s">
        <v>316</v>
      </c>
      <c r="KI6" s="472"/>
      <c r="KJ6" s="472"/>
      <c r="KK6" s="472"/>
      <c r="KL6" s="472"/>
      <c r="KM6" s="473" t="s">
        <v>325</v>
      </c>
      <c r="KN6" s="474"/>
      <c r="KO6" s="475" t="s">
        <v>331</v>
      </c>
      <c r="KP6" s="472" t="s">
        <v>332</v>
      </c>
      <c r="KQ6" s="472"/>
      <c r="KR6" s="472"/>
      <c r="KS6">
        <v>6</v>
      </c>
      <c r="KT6" t="s">
        <v>584</v>
      </c>
      <c r="KU6" s="535"/>
      <c r="KV6" s="535"/>
      <c r="KW6" s="536"/>
      <c r="KX6" s="538"/>
      <c r="KY6" s="538"/>
      <c r="KZ6" s="540"/>
      <c r="LA6" s="540"/>
      <c r="LB6" s="540"/>
      <c r="LC6" s="540"/>
      <c r="LD6" s="542"/>
      <c r="LE6" s="542"/>
      <c r="LF6" s="545" t="s">
        <v>525</v>
      </c>
      <c r="LG6" s="545" t="s">
        <v>526</v>
      </c>
      <c r="LH6" s="546" t="s">
        <v>527</v>
      </c>
      <c r="LI6" s="545" t="s">
        <v>528</v>
      </c>
      <c r="LJ6" s="545" t="s">
        <v>529</v>
      </c>
      <c r="LK6" s="545" t="s">
        <v>530</v>
      </c>
      <c r="LL6" s="545" t="s">
        <v>531</v>
      </c>
      <c r="LM6" s="396" t="s">
        <v>532</v>
      </c>
      <c r="LN6" s="396" t="s">
        <v>533</v>
      </c>
      <c r="LO6" s="553" t="s">
        <v>534</v>
      </c>
      <c r="LP6" s="554" t="s">
        <v>535</v>
      </c>
      <c r="LQ6" s="396" t="s">
        <v>529</v>
      </c>
      <c r="LR6" s="396" t="s">
        <v>536</v>
      </c>
      <c r="LS6" s="396" t="s">
        <v>531</v>
      </c>
      <c r="LT6" s="356" t="s">
        <v>537</v>
      </c>
      <c r="LU6" s="356" t="s">
        <v>538</v>
      </c>
      <c r="LV6" s="356" t="s">
        <v>539</v>
      </c>
      <c r="LW6" s="356" t="s">
        <v>540</v>
      </c>
      <c r="LX6" s="356" t="s">
        <v>541</v>
      </c>
      <c r="LY6" s="356" t="s">
        <v>542</v>
      </c>
      <c r="LZ6" s="356" t="s">
        <v>531</v>
      </c>
      <c r="MA6" s="345" t="s">
        <v>543</v>
      </c>
      <c r="MB6" s="345" t="s">
        <v>544</v>
      </c>
      <c r="MC6" s="345" t="s">
        <v>545</v>
      </c>
      <c r="MD6" s="345" t="s">
        <v>546</v>
      </c>
      <c r="ME6" s="345" t="s">
        <v>547</v>
      </c>
      <c r="MF6" s="345" t="s">
        <v>548</v>
      </c>
      <c r="MG6" s="345" t="s">
        <v>549</v>
      </c>
      <c r="MH6" s="345" t="s">
        <v>550</v>
      </c>
      <c r="MI6" s="345" t="s">
        <v>529</v>
      </c>
      <c r="MJ6" s="345" t="s">
        <v>531</v>
      </c>
      <c r="MK6" s="342" t="s">
        <v>551</v>
      </c>
      <c r="ML6" s="342" t="s">
        <v>552</v>
      </c>
      <c r="MM6" s="342" t="s">
        <v>553</v>
      </c>
      <c r="MN6" s="342" t="s">
        <v>529</v>
      </c>
      <c r="MO6" s="342" t="s">
        <v>531</v>
      </c>
      <c r="MP6" s="362" t="s">
        <v>554</v>
      </c>
      <c r="MQ6" s="362" t="s">
        <v>555</v>
      </c>
      <c r="MR6" s="362" t="s">
        <v>556</v>
      </c>
      <c r="MS6" s="362" t="s">
        <v>557</v>
      </c>
      <c r="MT6" s="362" t="s">
        <v>558</v>
      </c>
      <c r="MU6" s="362" t="s">
        <v>529</v>
      </c>
      <c r="MV6" s="362" t="s">
        <v>559</v>
      </c>
      <c r="MW6" s="362" t="s">
        <v>531</v>
      </c>
      <c r="MX6" s="359" t="s">
        <v>576</v>
      </c>
      <c r="MY6" s="359" t="s">
        <v>577</v>
      </c>
      <c r="MZ6" s="359" t="s">
        <v>578</v>
      </c>
      <c r="NA6" s="359" t="s">
        <v>579</v>
      </c>
      <c r="NB6" s="359" t="s">
        <v>522</v>
      </c>
      <c r="NC6" s="381"/>
      <c r="ND6" s="382"/>
      <c r="NE6" s="383"/>
      <c r="NF6" s="387"/>
      <c r="NG6" s="388"/>
      <c r="NH6" s="388"/>
      <c r="NI6" s="389"/>
      <c r="NJ6" s="351"/>
      <c r="NK6" s="371"/>
      <c r="NZ6" s="341"/>
      <c r="OE6" s="340"/>
      <c r="OF6" s="340"/>
      <c r="OG6" s="340"/>
      <c r="OH6" s="340"/>
      <c r="OI6" s="340"/>
      <c r="OJ6" s="340"/>
      <c r="OK6" s="340"/>
      <c r="OL6" s="340"/>
      <c r="OM6" s="340"/>
      <c r="OO6" s="340"/>
      <c r="OP6" s="340"/>
      <c r="OQ6" s="340"/>
      <c r="OR6" s="340"/>
      <c r="OS6" s="340"/>
      <c r="OT6" s="340"/>
      <c r="OU6" s="340"/>
      <c r="OV6" s="340"/>
      <c r="OW6" s="340"/>
      <c r="PA6" s="415" t="s">
        <v>11</v>
      </c>
      <c r="PB6" s="416"/>
      <c r="PC6" s="416"/>
      <c r="PD6" s="416"/>
      <c r="PE6" s="416"/>
      <c r="PF6" s="417"/>
      <c r="PG6" s="355" t="s">
        <v>13</v>
      </c>
      <c r="PH6" s="355"/>
      <c r="PI6" s="355"/>
      <c r="PJ6" s="355"/>
      <c r="PK6" s="355"/>
      <c r="PL6" s="355"/>
      <c r="PO6" s="561"/>
      <c r="PP6" s="563"/>
      <c r="PQ6" s="563"/>
    </row>
    <row r="7" spans="1:437 16383:16383" ht="15.5" customHeight="1" x14ac:dyDescent="0.2">
      <c r="A7" s="480"/>
      <c r="B7" s="480"/>
      <c r="C7" s="480"/>
      <c r="D7" s="496" t="s">
        <v>10</v>
      </c>
      <c r="E7" s="498"/>
      <c r="F7" s="495"/>
      <c r="G7" s="495"/>
      <c r="H7" s="495"/>
      <c r="I7" s="495"/>
      <c r="J7" s="490" t="s">
        <v>284</v>
      </c>
      <c r="K7" s="491" t="s">
        <v>284</v>
      </c>
      <c r="L7" s="491" t="s">
        <v>284</v>
      </c>
      <c r="M7" s="492" t="s">
        <v>284</v>
      </c>
      <c r="N7" s="490" t="s">
        <v>285</v>
      </c>
      <c r="O7" s="491" t="s">
        <v>285</v>
      </c>
      <c r="P7" s="491" t="s">
        <v>285</v>
      </c>
      <c r="Q7" s="492" t="s">
        <v>285</v>
      </c>
      <c r="R7" s="495"/>
      <c r="S7" s="495"/>
      <c r="T7" s="495"/>
      <c r="U7" s="495"/>
      <c r="V7" s="495"/>
      <c r="W7" s="495"/>
      <c r="X7" s="495"/>
      <c r="Y7" s="495"/>
      <c r="Z7" s="495"/>
      <c r="AA7" s="504"/>
      <c r="AB7" s="504"/>
      <c r="AC7" s="504"/>
      <c r="AD7" s="504"/>
      <c r="AE7" s="504"/>
      <c r="AF7" s="455"/>
      <c r="AG7" s="458"/>
      <c r="AH7" s="487"/>
      <c r="AI7" s="490"/>
      <c r="AJ7" s="491"/>
      <c r="AK7" s="492"/>
      <c r="AL7" s="578"/>
      <c r="AM7" s="581"/>
      <c r="AN7" s="567"/>
      <c r="BB7" s="571"/>
      <c r="BE7" s="455"/>
      <c r="BF7" s="458"/>
      <c r="BG7" s="458"/>
      <c r="BH7" s="458"/>
      <c r="BI7" s="458"/>
      <c r="BJ7" s="458"/>
      <c r="BK7" s="458"/>
      <c r="BN7" s="400"/>
      <c r="BO7" s="397"/>
      <c r="BP7" s="397" t="s">
        <v>317</v>
      </c>
      <c r="BQ7" s="472" t="s">
        <v>318</v>
      </c>
      <c r="BR7" s="472"/>
      <c r="BS7" s="472" t="s">
        <v>322</v>
      </c>
      <c r="BT7" s="472"/>
      <c r="BU7" s="397" t="s">
        <v>327</v>
      </c>
      <c r="BV7" s="401" t="s">
        <v>326</v>
      </c>
      <c r="BW7" s="475"/>
      <c r="BX7" s="401" t="s">
        <v>333</v>
      </c>
      <c r="BY7" s="401" t="s">
        <v>334</v>
      </c>
      <c r="BZ7" s="397" t="s">
        <v>335</v>
      </c>
      <c r="CB7" s="470"/>
      <c r="CD7" s="400"/>
      <c r="CE7" s="397"/>
      <c r="CF7" s="397" t="s">
        <v>317</v>
      </c>
      <c r="CG7" s="472" t="s">
        <v>318</v>
      </c>
      <c r="CH7" s="472"/>
      <c r="CI7" s="472" t="s">
        <v>322</v>
      </c>
      <c r="CJ7" s="472"/>
      <c r="CK7" s="397" t="s">
        <v>327</v>
      </c>
      <c r="CL7" s="401" t="s">
        <v>326</v>
      </c>
      <c r="CM7" s="475"/>
      <c r="CN7" s="401" t="s">
        <v>333</v>
      </c>
      <c r="CO7" s="401" t="s">
        <v>334</v>
      </c>
      <c r="CP7" s="397" t="s">
        <v>335</v>
      </c>
      <c r="DV7" s="531"/>
      <c r="DW7" s="477"/>
      <c r="DX7" s="477"/>
      <c r="DY7" s="477"/>
      <c r="DZ7" s="477"/>
      <c r="EA7" s="477"/>
      <c r="EB7" s="477"/>
      <c r="ED7" s="50"/>
      <c r="EE7" s="51"/>
      <c r="EG7" s="533"/>
      <c r="EH7" s="533"/>
      <c r="EI7" s="429"/>
      <c r="EJ7" s="429"/>
      <c r="EK7" s="512"/>
      <c r="EL7" s="512"/>
      <c r="EM7" s="512"/>
      <c r="EN7" s="512"/>
      <c r="EO7" s="512"/>
      <c r="EP7" s="512"/>
      <c r="EQ7" s="429"/>
      <c r="ER7" s="429"/>
      <c r="ES7" s="429"/>
      <c r="ET7" s="429"/>
      <c r="EU7" s="429"/>
      <c r="EV7" s="429"/>
      <c r="EW7" s="512"/>
      <c r="EX7" s="512"/>
      <c r="EY7" s="512"/>
      <c r="EZ7" s="429"/>
      <c r="FA7" s="429"/>
      <c r="FB7" s="429"/>
      <c r="FC7" s="429"/>
      <c r="FD7" s="429"/>
      <c r="FE7" s="429"/>
      <c r="FF7" s="429"/>
      <c r="FH7" s="429"/>
      <c r="FI7" s="429"/>
      <c r="FJ7" s="429"/>
      <c r="FK7" s="429"/>
      <c r="FL7" s="429"/>
      <c r="FM7" s="429"/>
      <c r="FN7" s="429"/>
      <c r="FO7" s="429"/>
      <c r="FP7" s="429"/>
      <c r="FQ7" s="429"/>
      <c r="FR7" s="429"/>
      <c r="FS7" s="429"/>
      <c r="FT7" s="429"/>
      <c r="FU7" s="429"/>
      <c r="FV7" s="429"/>
      <c r="FX7" s="366"/>
      <c r="FY7" s="413"/>
      <c r="FZ7" s="397"/>
      <c r="GA7" s="397"/>
      <c r="GB7" s="397"/>
      <c r="GC7" s="397"/>
      <c r="GD7" s="397"/>
      <c r="GE7" s="397"/>
      <c r="GF7" s="27"/>
      <c r="GG7" s="397"/>
      <c r="GH7" s="397"/>
      <c r="GI7" s="27"/>
      <c r="GJ7" s="397"/>
      <c r="GK7" s="397"/>
      <c r="GO7" s="424"/>
      <c r="GP7" s="424"/>
      <c r="GQ7" s="424"/>
      <c r="GR7" s="424"/>
      <c r="GS7" s="424"/>
      <c r="GT7" s="424"/>
      <c r="GU7" s="91"/>
      <c r="GV7" s="423" t="s">
        <v>459</v>
      </c>
      <c r="GW7" s="423" t="s">
        <v>460</v>
      </c>
      <c r="GX7" s="92" t="s">
        <v>265</v>
      </c>
      <c r="GY7" s="93">
        <f>Jaticempaka!GY7</f>
        <v>10</v>
      </c>
      <c r="GZ7" s="424"/>
      <c r="HA7" s="83"/>
      <c r="HB7" s="83"/>
      <c r="HC7" s="399"/>
      <c r="HD7" s="399"/>
      <c r="HE7" s="399"/>
      <c r="HF7" s="399"/>
      <c r="HG7" s="399"/>
      <c r="HH7" s="399"/>
      <c r="HI7" s="399"/>
      <c r="HJ7" s="90"/>
      <c r="HK7" s="399"/>
      <c r="HL7" s="83"/>
      <c r="HM7" s="83"/>
      <c r="HN7" s="83"/>
      <c r="HO7" s="83"/>
      <c r="HP7" s="421"/>
      <c r="HQ7" s="388"/>
      <c r="HR7" s="422"/>
      <c r="HS7" s="409"/>
      <c r="HT7" s="410"/>
      <c r="HU7" s="411"/>
      <c r="HV7" s="415" t="s">
        <v>461</v>
      </c>
      <c r="HW7" s="416"/>
      <c r="HX7" s="417"/>
      <c r="HY7" s="415" t="s">
        <v>462</v>
      </c>
      <c r="HZ7" s="416"/>
      <c r="IA7" s="417"/>
      <c r="IB7" s="415" t="s">
        <v>461</v>
      </c>
      <c r="IC7" s="416"/>
      <c r="ID7" s="417"/>
      <c r="IE7" s="415" t="s">
        <v>462</v>
      </c>
      <c r="IF7" s="416"/>
      <c r="IG7" s="417"/>
      <c r="IH7" s="415" t="s">
        <v>461</v>
      </c>
      <c r="II7" s="416"/>
      <c r="IJ7" s="417"/>
      <c r="IK7" s="415" t="s">
        <v>462</v>
      </c>
      <c r="IL7" s="416"/>
      <c r="IM7" s="417"/>
      <c r="IN7" s="83"/>
      <c r="IO7" s="409"/>
      <c r="IP7" s="410"/>
      <c r="IQ7" s="411"/>
      <c r="IR7" s="83"/>
      <c r="IS7" s="409"/>
      <c r="IT7" s="410"/>
      <c r="IU7" s="411"/>
      <c r="IV7" s="83"/>
      <c r="IW7" s="409"/>
      <c r="IX7" s="410"/>
      <c r="IY7" s="411"/>
      <c r="IZ7" s="83"/>
      <c r="JA7" s="409"/>
      <c r="JB7" s="410"/>
      <c r="JC7" s="411"/>
      <c r="JD7" s="83"/>
      <c r="JE7" s="409"/>
      <c r="JF7" s="410"/>
      <c r="JG7" s="411"/>
      <c r="JH7" s="83"/>
      <c r="JI7" s="409"/>
      <c r="JJ7" s="410"/>
      <c r="JK7" s="411"/>
      <c r="JP7" s="400"/>
      <c r="JQ7" s="397"/>
      <c r="JR7" s="397" t="s">
        <v>317</v>
      </c>
      <c r="JS7" s="472" t="s">
        <v>318</v>
      </c>
      <c r="JT7" s="472"/>
      <c r="JU7" s="472" t="s">
        <v>322</v>
      </c>
      <c r="JV7" s="472"/>
      <c r="JW7" s="397" t="s">
        <v>327</v>
      </c>
      <c r="JX7" s="401" t="s">
        <v>478</v>
      </c>
      <c r="JY7" s="475"/>
      <c r="JZ7" s="401" t="s">
        <v>333</v>
      </c>
      <c r="KA7" s="401" t="s">
        <v>334</v>
      </c>
      <c r="KB7" s="397" t="s">
        <v>335</v>
      </c>
      <c r="KD7" s="400"/>
      <c r="KE7" s="400"/>
      <c r="KF7" s="400"/>
      <c r="KG7" s="397"/>
      <c r="KH7" s="397" t="s">
        <v>317</v>
      </c>
      <c r="KI7" s="472" t="s">
        <v>318</v>
      </c>
      <c r="KJ7" s="472"/>
      <c r="KK7" s="472" t="s">
        <v>322</v>
      </c>
      <c r="KL7" s="472"/>
      <c r="KM7" s="397" t="s">
        <v>327</v>
      </c>
      <c r="KN7" s="401" t="s">
        <v>478</v>
      </c>
      <c r="KO7" s="475"/>
      <c r="KP7" s="401" t="s">
        <v>333</v>
      </c>
      <c r="KQ7" s="401" t="s">
        <v>334</v>
      </c>
      <c r="KR7" s="397" t="s">
        <v>335</v>
      </c>
      <c r="KS7">
        <v>7</v>
      </c>
      <c r="KT7" t="s">
        <v>585</v>
      </c>
      <c r="KU7" s="535"/>
      <c r="KV7" s="535"/>
      <c r="KW7" s="536"/>
      <c r="KX7" s="538"/>
      <c r="KY7" s="538"/>
      <c r="KZ7" s="540"/>
      <c r="LA7" s="540"/>
      <c r="LB7" s="540"/>
      <c r="LC7" s="540"/>
      <c r="LD7" s="543"/>
      <c r="LE7" s="543"/>
      <c r="LF7" s="545"/>
      <c r="LG7" s="545"/>
      <c r="LH7" s="546"/>
      <c r="LI7" s="545"/>
      <c r="LJ7" s="545"/>
      <c r="LK7" s="545"/>
      <c r="LL7" s="545"/>
      <c r="LM7" s="396"/>
      <c r="LN7" s="396"/>
      <c r="LO7" s="553"/>
      <c r="LP7" s="554"/>
      <c r="LQ7" s="396"/>
      <c r="LR7" s="396"/>
      <c r="LS7" s="396"/>
      <c r="LT7" s="357"/>
      <c r="LU7" s="357"/>
      <c r="LV7" s="357"/>
      <c r="LW7" s="357"/>
      <c r="LX7" s="357"/>
      <c r="LY7" s="357"/>
      <c r="LZ7" s="357"/>
      <c r="MA7" s="346"/>
      <c r="MB7" s="346"/>
      <c r="MC7" s="346"/>
      <c r="MD7" s="346"/>
      <c r="ME7" s="346"/>
      <c r="MF7" s="346"/>
      <c r="MG7" s="346"/>
      <c r="MH7" s="346"/>
      <c r="MI7" s="346"/>
      <c r="MJ7" s="346"/>
      <c r="MK7" s="343"/>
      <c r="ML7" s="343"/>
      <c r="MM7" s="343"/>
      <c r="MN7" s="343"/>
      <c r="MO7" s="343"/>
      <c r="MP7" s="363"/>
      <c r="MQ7" s="363"/>
      <c r="MR7" s="363"/>
      <c r="MS7" s="363"/>
      <c r="MT7" s="363"/>
      <c r="MU7" s="363"/>
      <c r="MV7" s="363"/>
      <c r="MW7" s="363"/>
      <c r="MX7" s="360"/>
      <c r="MY7" s="360"/>
      <c r="MZ7" s="360"/>
      <c r="NA7" s="360"/>
      <c r="NB7" s="360"/>
      <c r="NC7" s="348" t="s">
        <v>542</v>
      </c>
      <c r="ND7" s="555" t="s">
        <v>560</v>
      </c>
      <c r="NE7" s="390" t="s">
        <v>531</v>
      </c>
      <c r="NF7" s="392" t="s">
        <v>561</v>
      </c>
      <c r="NG7" s="394" t="s">
        <v>562</v>
      </c>
      <c r="NH7" s="394" t="s">
        <v>563</v>
      </c>
      <c r="NI7" s="353" t="s">
        <v>564</v>
      </c>
      <c r="NJ7" s="351"/>
      <c r="NK7" s="371"/>
      <c r="NM7" s="355" t="s">
        <v>586</v>
      </c>
      <c r="NN7" s="355"/>
      <c r="NO7" s="355"/>
      <c r="NP7" s="355"/>
      <c r="NQ7" s="355"/>
      <c r="NR7" s="355"/>
      <c r="NS7" s="355"/>
      <c r="NT7" s="355"/>
      <c r="NU7" t="s">
        <v>588</v>
      </c>
      <c r="NZ7" s="341"/>
      <c r="OE7" s="340"/>
      <c r="OF7" s="340"/>
      <c r="OG7" s="340"/>
      <c r="OH7" s="340"/>
      <c r="OI7" s="340"/>
      <c r="OJ7" s="340"/>
      <c r="OK7" s="340"/>
      <c r="OL7" s="340"/>
      <c r="OM7" s="340"/>
      <c r="OO7" s="340"/>
      <c r="OP7" s="340"/>
      <c r="OQ7" s="340"/>
      <c r="OR7" s="340"/>
      <c r="OS7" s="340"/>
      <c r="OT7" s="340"/>
      <c r="OU7" s="340"/>
      <c r="OV7" s="340"/>
      <c r="OW7" s="340"/>
      <c r="OZ7" s="159"/>
      <c r="PA7" s="368" t="s">
        <v>618</v>
      </c>
      <c r="PB7" s="368" t="s">
        <v>619</v>
      </c>
      <c r="PC7" s="368" t="s">
        <v>620</v>
      </c>
      <c r="PD7" s="368" t="s">
        <v>698</v>
      </c>
      <c r="PE7" s="368" t="s">
        <v>699</v>
      </c>
      <c r="PF7" s="368" t="s">
        <v>700</v>
      </c>
      <c r="PG7" s="368" t="s">
        <v>618</v>
      </c>
      <c r="PH7" s="368" t="s">
        <v>619</v>
      </c>
      <c r="PI7" s="368" t="s">
        <v>620</v>
      </c>
      <c r="PJ7" s="368" t="s">
        <v>698</v>
      </c>
      <c r="PK7" s="368" t="s">
        <v>699</v>
      </c>
      <c r="PL7" s="368" t="s">
        <v>700</v>
      </c>
      <c r="PM7" s="161"/>
      <c r="PN7" s="161"/>
      <c r="PO7" s="562"/>
      <c r="PP7" s="563"/>
      <c r="PQ7" s="563"/>
      <c r="PR7" s="161"/>
      <c r="PS7" s="161"/>
      <c r="PT7" s="160"/>
    </row>
    <row r="8" spans="1:437 16383:16383" ht="49" thickBot="1" x14ac:dyDescent="0.25">
      <c r="A8" s="481"/>
      <c r="B8" s="481"/>
      <c r="C8" s="481"/>
      <c r="D8" s="11" t="s">
        <v>11</v>
      </c>
      <c r="E8" s="11" t="s">
        <v>12</v>
      </c>
      <c r="F8" s="11" t="s">
        <v>11</v>
      </c>
      <c r="G8" s="12" t="s">
        <v>13</v>
      </c>
      <c r="H8" s="12" t="s">
        <v>14</v>
      </c>
      <c r="I8" s="13" t="s">
        <v>15</v>
      </c>
      <c r="J8" s="11" t="s">
        <v>11</v>
      </c>
      <c r="K8" s="12" t="s">
        <v>13</v>
      </c>
      <c r="L8" s="12" t="s">
        <v>14</v>
      </c>
      <c r="M8" s="12" t="s">
        <v>16</v>
      </c>
      <c r="N8" s="11" t="s">
        <v>11</v>
      </c>
      <c r="O8" s="12" t="s">
        <v>13</v>
      </c>
      <c r="P8" s="12" t="s">
        <v>14</v>
      </c>
      <c r="Q8" s="12" t="s">
        <v>16</v>
      </c>
      <c r="R8" s="11" t="s">
        <v>11</v>
      </c>
      <c r="S8" s="12" t="s">
        <v>13</v>
      </c>
      <c r="T8" s="12" t="s">
        <v>14</v>
      </c>
      <c r="U8" s="12" t="s">
        <v>16</v>
      </c>
      <c r="V8" s="11" t="s">
        <v>11</v>
      </c>
      <c r="W8" s="12" t="s">
        <v>13</v>
      </c>
      <c r="X8" s="12" t="s">
        <v>14</v>
      </c>
      <c r="Y8" s="12" t="s">
        <v>16</v>
      </c>
      <c r="Z8" s="12" t="s">
        <v>17</v>
      </c>
      <c r="AA8" s="63" t="s">
        <v>11</v>
      </c>
      <c r="AB8" s="64" t="s">
        <v>13</v>
      </c>
      <c r="AC8" s="64" t="s">
        <v>14</v>
      </c>
      <c r="AD8" s="64" t="s">
        <v>16</v>
      </c>
      <c r="AE8" s="64" t="s">
        <v>17</v>
      </c>
      <c r="AF8" s="456"/>
      <c r="AG8" s="459"/>
      <c r="AH8" s="488"/>
      <c r="AI8" s="11" t="s">
        <v>11</v>
      </c>
      <c r="AJ8" s="12" t="s">
        <v>13</v>
      </c>
      <c r="AK8" s="12" t="s">
        <v>263</v>
      </c>
      <c r="AL8" s="579"/>
      <c r="AM8" s="582"/>
      <c r="AN8" s="568"/>
      <c r="BB8" s="572"/>
      <c r="BE8" s="456"/>
      <c r="BF8" s="459"/>
      <c r="BG8" s="459"/>
      <c r="BH8" s="459"/>
      <c r="BI8" s="459"/>
      <c r="BJ8" s="459"/>
      <c r="BK8" s="459"/>
      <c r="BN8" s="400"/>
      <c r="BO8" s="397"/>
      <c r="BP8" s="397"/>
      <c r="BQ8" s="44" t="s">
        <v>328</v>
      </c>
      <c r="BR8" s="45" t="s">
        <v>329</v>
      </c>
      <c r="BS8" s="44" t="s">
        <v>323</v>
      </c>
      <c r="BT8" s="45" t="s">
        <v>324</v>
      </c>
      <c r="BU8" s="397"/>
      <c r="BV8" s="401"/>
      <c r="BW8" s="475"/>
      <c r="BX8" s="401"/>
      <c r="BY8" s="401"/>
      <c r="BZ8" s="397"/>
      <c r="CB8" s="471"/>
      <c r="CD8" s="400"/>
      <c r="CE8" s="397"/>
      <c r="CF8" s="397"/>
      <c r="CG8" s="44" t="s">
        <v>328</v>
      </c>
      <c r="CH8" s="45" t="s">
        <v>329</v>
      </c>
      <c r="CI8" s="44" t="s">
        <v>323</v>
      </c>
      <c r="CJ8" s="45" t="s">
        <v>324</v>
      </c>
      <c r="CK8" s="397"/>
      <c r="CL8" s="401"/>
      <c r="CM8" s="475"/>
      <c r="CN8" s="401"/>
      <c r="CO8" s="401"/>
      <c r="CP8" s="397"/>
      <c r="DV8" s="532"/>
      <c r="DW8" s="478"/>
      <c r="DX8" s="478"/>
      <c r="DY8" s="478"/>
      <c r="DZ8" s="478"/>
      <c r="EA8" s="478"/>
      <c r="EB8" s="478"/>
      <c r="ED8" s="53"/>
      <c r="EE8" s="54"/>
      <c r="EG8" s="533"/>
      <c r="EH8" s="533"/>
      <c r="EI8" s="47" t="s">
        <v>363</v>
      </c>
      <c r="EJ8" s="47" t="s">
        <v>506</v>
      </c>
      <c r="EK8" s="47"/>
      <c r="EL8" s="47"/>
      <c r="EM8" s="47"/>
      <c r="EN8" s="47"/>
      <c r="EO8" s="47"/>
      <c r="EP8" s="47"/>
      <c r="EQ8" s="47" t="s">
        <v>362</v>
      </c>
      <c r="ER8" s="47" t="s">
        <v>507</v>
      </c>
      <c r="ES8" s="47" t="s">
        <v>364</v>
      </c>
      <c r="ET8" s="47" t="s">
        <v>363</v>
      </c>
      <c r="EU8" s="47" t="s">
        <v>364</v>
      </c>
      <c r="EV8" s="47" t="s">
        <v>364</v>
      </c>
      <c r="EW8" s="47" t="s">
        <v>364</v>
      </c>
      <c r="EX8" s="47" t="s">
        <v>364</v>
      </c>
      <c r="EY8" s="47" t="s">
        <v>364</v>
      </c>
      <c r="EZ8" s="47" t="s">
        <v>365</v>
      </c>
      <c r="FA8" s="47" t="s">
        <v>364</v>
      </c>
      <c r="FB8" s="47" t="s">
        <v>362</v>
      </c>
      <c r="FC8" s="47" t="s">
        <v>364</v>
      </c>
      <c r="FD8" s="47" t="s">
        <v>363</v>
      </c>
      <c r="FE8" s="47" t="s">
        <v>364</v>
      </c>
      <c r="FF8" s="47" t="s">
        <v>364</v>
      </c>
      <c r="FH8" s="47"/>
      <c r="FI8" s="47"/>
      <c r="FJ8" s="47"/>
      <c r="FK8" s="47"/>
      <c r="FL8" s="47"/>
      <c r="FM8" s="47"/>
      <c r="FN8" s="47"/>
      <c r="FO8" s="47"/>
      <c r="FP8" s="47"/>
      <c r="FQ8" s="47"/>
      <c r="FR8" s="47"/>
      <c r="FS8" s="47"/>
      <c r="FT8" s="47"/>
      <c r="FU8" s="47"/>
      <c r="FV8" s="47"/>
      <c r="FX8" s="367"/>
      <c r="FY8" s="414"/>
      <c r="FZ8" s="397"/>
      <c r="GA8" s="397"/>
      <c r="GB8" s="397"/>
      <c r="GC8" s="397"/>
      <c r="GD8" s="397"/>
      <c r="GE8" s="397"/>
      <c r="GF8" s="27"/>
      <c r="GG8" s="397"/>
      <c r="GH8" s="397"/>
      <c r="GI8" s="27"/>
      <c r="GJ8" s="397"/>
      <c r="GK8" s="397"/>
      <c r="GO8" s="425"/>
      <c r="GP8" s="425"/>
      <c r="GQ8" s="425"/>
      <c r="GR8" s="425"/>
      <c r="GS8" s="425"/>
      <c r="GT8" s="425"/>
      <c r="GU8" s="95"/>
      <c r="GV8" s="425"/>
      <c r="GW8" s="425"/>
      <c r="GX8" s="96" t="s">
        <v>447</v>
      </c>
      <c r="GY8" s="97">
        <f>Jaticempaka!GY8</f>
        <v>14</v>
      </c>
      <c r="GZ8" s="425"/>
      <c r="HA8" s="83"/>
      <c r="HB8" s="83"/>
      <c r="HC8" s="402"/>
      <c r="HD8" s="402"/>
      <c r="HE8" s="402"/>
      <c r="HF8" s="402"/>
      <c r="HG8" s="402"/>
      <c r="HH8" s="98">
        <f>Jaticempaka!HH8</f>
        <v>45</v>
      </c>
      <c r="HI8" s="98">
        <f>Jaticempaka!HI8</f>
        <v>45</v>
      </c>
      <c r="HJ8" s="90"/>
      <c r="HK8" s="402"/>
      <c r="HL8" s="83"/>
      <c r="HM8" s="83"/>
      <c r="HN8" s="83"/>
      <c r="HO8" s="83"/>
      <c r="HP8" s="99" t="s">
        <v>463</v>
      </c>
      <c r="HQ8" s="99" t="s">
        <v>11</v>
      </c>
      <c r="HR8" s="100" t="s">
        <v>13</v>
      </c>
      <c r="HS8" s="99" t="s">
        <v>463</v>
      </c>
      <c r="HT8" s="99" t="s">
        <v>11</v>
      </c>
      <c r="HU8" s="100" t="s">
        <v>13</v>
      </c>
      <c r="HV8" s="99" t="s">
        <v>463</v>
      </c>
      <c r="HW8" s="99" t="s">
        <v>11</v>
      </c>
      <c r="HX8" s="100" t="s">
        <v>13</v>
      </c>
      <c r="HY8" s="99" t="s">
        <v>463</v>
      </c>
      <c r="HZ8" s="99" t="s">
        <v>11</v>
      </c>
      <c r="IA8" s="100" t="s">
        <v>13</v>
      </c>
      <c r="IB8" s="99" t="s">
        <v>463</v>
      </c>
      <c r="IC8" s="99" t="s">
        <v>11</v>
      </c>
      <c r="ID8" s="100" t="s">
        <v>13</v>
      </c>
      <c r="IE8" s="99" t="s">
        <v>463</v>
      </c>
      <c r="IF8" s="99" t="s">
        <v>11</v>
      </c>
      <c r="IG8" s="100" t="s">
        <v>13</v>
      </c>
      <c r="IH8" s="99" t="s">
        <v>463</v>
      </c>
      <c r="II8" s="99" t="s">
        <v>11</v>
      </c>
      <c r="IJ8" s="100" t="s">
        <v>13</v>
      </c>
      <c r="IK8" s="99" t="s">
        <v>463</v>
      </c>
      <c r="IL8" s="99" t="s">
        <v>11</v>
      </c>
      <c r="IM8" s="100" t="s">
        <v>13</v>
      </c>
      <c r="IN8" s="83"/>
      <c r="IO8" s="99" t="s">
        <v>463</v>
      </c>
      <c r="IP8" s="99" t="s">
        <v>11</v>
      </c>
      <c r="IQ8" s="100" t="s">
        <v>13</v>
      </c>
      <c r="IR8" s="83"/>
      <c r="IS8" s="99" t="s">
        <v>463</v>
      </c>
      <c r="IT8" s="99" t="s">
        <v>11</v>
      </c>
      <c r="IU8" s="100" t="s">
        <v>13</v>
      </c>
      <c r="IV8" s="83"/>
      <c r="IW8" s="99" t="s">
        <v>463</v>
      </c>
      <c r="IX8" s="99" t="s">
        <v>11</v>
      </c>
      <c r="IY8" s="100" t="s">
        <v>13</v>
      </c>
      <c r="IZ8" s="83"/>
      <c r="JA8" s="99" t="s">
        <v>463</v>
      </c>
      <c r="JB8" s="99" t="s">
        <v>11</v>
      </c>
      <c r="JC8" s="100" t="s">
        <v>13</v>
      </c>
      <c r="JD8" s="83"/>
      <c r="JE8" s="99" t="s">
        <v>463</v>
      </c>
      <c r="JF8" s="99" t="s">
        <v>11</v>
      </c>
      <c r="JG8" s="100" t="s">
        <v>13</v>
      </c>
      <c r="JH8" s="83"/>
      <c r="JI8" s="99" t="s">
        <v>463</v>
      </c>
      <c r="JJ8" s="99" t="s">
        <v>11</v>
      </c>
      <c r="JK8" s="100" t="s">
        <v>13</v>
      </c>
      <c r="JM8" t="s">
        <v>468</v>
      </c>
      <c r="JP8" s="400"/>
      <c r="JQ8" s="397"/>
      <c r="JR8" s="397"/>
      <c r="JS8" s="44" t="s">
        <v>328</v>
      </c>
      <c r="JT8" s="45" t="s">
        <v>479</v>
      </c>
      <c r="JU8" s="44" t="s">
        <v>323</v>
      </c>
      <c r="JV8" s="45" t="s">
        <v>324</v>
      </c>
      <c r="JW8" s="397"/>
      <c r="JX8" s="401"/>
      <c r="JY8" s="475"/>
      <c r="JZ8" s="401"/>
      <c r="KA8" s="401"/>
      <c r="KB8" s="397"/>
      <c r="KD8" s="400"/>
      <c r="KE8" s="400"/>
      <c r="KF8" s="400"/>
      <c r="KG8" s="397"/>
      <c r="KH8" s="397"/>
      <c r="KI8" s="44" t="s">
        <v>328</v>
      </c>
      <c r="KJ8" s="45" t="s">
        <v>479</v>
      </c>
      <c r="KK8" s="44" t="s">
        <v>323</v>
      </c>
      <c r="KL8" s="45" t="s">
        <v>324</v>
      </c>
      <c r="KM8" s="397"/>
      <c r="KN8" s="401"/>
      <c r="KO8" s="475"/>
      <c r="KP8" s="401"/>
      <c r="KQ8" s="401"/>
      <c r="KR8" s="397"/>
      <c r="KU8" s="130" t="s">
        <v>565</v>
      </c>
      <c r="KV8" s="130" t="s">
        <v>565</v>
      </c>
      <c r="KW8" s="536"/>
      <c r="KX8" s="539"/>
      <c r="KY8" s="539"/>
      <c r="KZ8" s="129" t="s">
        <v>12</v>
      </c>
      <c r="LA8" s="131" t="s">
        <v>566</v>
      </c>
      <c r="LB8" s="129" t="s">
        <v>12</v>
      </c>
      <c r="LC8" s="131" t="s">
        <v>566</v>
      </c>
      <c r="LD8" s="132" t="s">
        <v>567</v>
      </c>
      <c r="LE8" s="133" t="s">
        <v>568</v>
      </c>
      <c r="LF8" s="545"/>
      <c r="LG8" s="545"/>
      <c r="LH8" s="546"/>
      <c r="LI8" s="545"/>
      <c r="LJ8" s="545"/>
      <c r="LK8" s="545"/>
      <c r="LL8" s="545"/>
      <c r="LM8" s="396"/>
      <c r="LN8" s="396"/>
      <c r="LO8" s="553"/>
      <c r="LP8" s="554"/>
      <c r="LQ8" s="396"/>
      <c r="LR8" s="396"/>
      <c r="LS8" s="396"/>
      <c r="LT8" s="358"/>
      <c r="LU8" s="358"/>
      <c r="LV8" s="358"/>
      <c r="LW8" s="358"/>
      <c r="LX8" s="358"/>
      <c r="LY8" s="358"/>
      <c r="LZ8" s="358"/>
      <c r="MA8" s="347"/>
      <c r="MB8" s="347"/>
      <c r="MC8" s="347"/>
      <c r="MD8" s="347"/>
      <c r="ME8" s="347"/>
      <c r="MF8" s="347"/>
      <c r="MG8" s="347"/>
      <c r="MH8" s="347"/>
      <c r="MI8" s="347"/>
      <c r="MJ8" s="347"/>
      <c r="MK8" s="344"/>
      <c r="ML8" s="344"/>
      <c r="MM8" s="344"/>
      <c r="MN8" s="344"/>
      <c r="MO8" s="344"/>
      <c r="MP8" s="364"/>
      <c r="MQ8" s="364"/>
      <c r="MR8" s="364"/>
      <c r="MS8" s="364"/>
      <c r="MT8" s="364"/>
      <c r="MU8" s="364"/>
      <c r="MV8" s="364"/>
      <c r="MW8" s="364"/>
      <c r="MX8" s="361"/>
      <c r="MY8" s="361"/>
      <c r="MZ8" s="361"/>
      <c r="NA8" s="361"/>
      <c r="NB8" s="361"/>
      <c r="NC8" s="349"/>
      <c r="ND8" s="556"/>
      <c r="NE8" s="391"/>
      <c r="NF8" s="393"/>
      <c r="NG8" s="395"/>
      <c r="NH8" s="395"/>
      <c r="NI8" s="354"/>
      <c r="NJ8" s="352"/>
      <c r="NK8" s="371"/>
      <c r="NM8" s="80">
        <v>1</v>
      </c>
      <c r="NN8" s="80">
        <v>2</v>
      </c>
      <c r="NO8" s="80">
        <v>3</v>
      </c>
      <c r="NP8" s="80">
        <v>4</v>
      </c>
      <c r="NQ8" s="80">
        <v>5</v>
      </c>
      <c r="NR8" s="80">
        <v>6</v>
      </c>
      <c r="NS8" s="80">
        <v>7</v>
      </c>
      <c r="NT8" s="80" t="s">
        <v>587</v>
      </c>
      <c r="NU8" t="s">
        <v>589</v>
      </c>
      <c r="NZ8" s="341"/>
      <c r="OE8" s="340"/>
      <c r="OF8" s="340"/>
      <c r="OG8" s="340"/>
      <c r="OH8" s="340"/>
      <c r="OI8" s="340"/>
      <c r="OJ8" s="340"/>
      <c r="OK8" s="340"/>
      <c r="OL8" s="340"/>
      <c r="OM8" s="340"/>
      <c r="OO8" s="340"/>
      <c r="OP8" s="340"/>
      <c r="OQ8" s="340"/>
      <c r="OR8" s="340"/>
      <c r="OS8" s="340"/>
      <c r="OT8" s="340"/>
      <c r="OU8" s="340"/>
      <c r="OV8" s="340"/>
      <c r="OW8" s="340"/>
      <c r="OZ8" s="162"/>
      <c r="PA8" s="369"/>
      <c r="PB8" s="369"/>
      <c r="PC8" s="369"/>
      <c r="PD8" s="369"/>
      <c r="PE8" s="369"/>
      <c r="PF8" s="369"/>
      <c r="PG8" s="369"/>
      <c r="PH8" s="369"/>
      <c r="PI8" s="369"/>
      <c r="PJ8" s="369"/>
      <c r="PK8" s="369"/>
      <c r="PL8" s="369"/>
      <c r="PM8" s="161"/>
      <c r="PN8" s="161"/>
      <c r="PO8" s="47" t="s">
        <v>364</v>
      </c>
      <c r="PP8" s="47" t="s">
        <v>364</v>
      </c>
      <c r="PQ8" s="47" t="s">
        <v>364</v>
      </c>
      <c r="PR8" s="161"/>
      <c r="PS8" s="161"/>
      <c r="PT8" s="160"/>
    </row>
    <row r="9" spans="1:437 16383:16383" ht="16" x14ac:dyDescent="0.2">
      <c r="A9" s="14">
        <v>1</v>
      </c>
      <c r="B9" s="15" t="s">
        <v>142</v>
      </c>
      <c r="C9" s="16">
        <v>2</v>
      </c>
      <c r="D9" s="17">
        <v>1</v>
      </c>
      <c r="E9" s="17">
        <v>435</v>
      </c>
      <c r="F9" s="17">
        <v>1</v>
      </c>
      <c r="G9" s="17">
        <f>E9</f>
        <v>435</v>
      </c>
      <c r="H9" s="18">
        <f t="shared" ref="H9:H41" si="2">F9/$D9</f>
        <v>1</v>
      </c>
      <c r="I9" s="18">
        <f t="shared" ref="I9:I41" si="3">G9/$E9</f>
        <v>1</v>
      </c>
      <c r="J9" s="17">
        <v>1</v>
      </c>
      <c r="K9" s="17">
        <f t="shared" ref="K9:K41" si="4">IF(J9=D9,E9,0)</f>
        <v>435</v>
      </c>
      <c r="L9" s="18">
        <f t="shared" ref="L9:L57" si="5">J9/$D9</f>
        <v>1</v>
      </c>
      <c r="M9" s="18">
        <f t="shared" ref="M9:M57" si="6">K9/$E9</f>
        <v>1</v>
      </c>
      <c r="N9" s="17">
        <v>1</v>
      </c>
      <c r="O9" s="17">
        <f t="shared" ref="O9:O41" si="7">IF(N9=D9,E9,0)</f>
        <v>435</v>
      </c>
      <c r="P9" s="18">
        <f t="shared" ref="P9:P57" si="8">N9/$D9</f>
        <v>1</v>
      </c>
      <c r="Q9" s="18">
        <f t="shared" ref="Q9:Q57" si="9">O9/$E9</f>
        <v>1</v>
      </c>
      <c r="R9" s="17">
        <v>1</v>
      </c>
      <c r="S9" s="17">
        <f t="shared" ref="S9:S41" si="10">IF(R9=D9,E9,0)</f>
        <v>435</v>
      </c>
      <c r="T9" s="18">
        <f t="shared" ref="T9:T41" si="11">R9/$D9</f>
        <v>1</v>
      </c>
      <c r="U9" s="18">
        <f t="shared" ref="U9:U41" si="12">S9/$E9</f>
        <v>1</v>
      </c>
      <c r="V9" s="17">
        <v>1</v>
      </c>
      <c r="W9" s="17">
        <f t="shared" ref="W9:W41" si="13">IF(V9=D9,E9,0)</f>
        <v>435</v>
      </c>
      <c r="X9" s="18">
        <f t="shared" ref="X9:X41" si="14">V9/$D9</f>
        <v>1</v>
      </c>
      <c r="Y9" s="18">
        <f t="shared" ref="Y9:Y41" si="15">W9/$E9</f>
        <v>1</v>
      </c>
      <c r="Z9" s="62">
        <f>7173024000/1000000000</f>
        <v>7.1730239999999998</v>
      </c>
      <c r="AA9" s="17"/>
      <c r="AB9" s="17">
        <f>IF(AA9=D9,E9,0)</f>
        <v>0</v>
      </c>
      <c r="AC9" s="18">
        <f t="shared" ref="AC9" si="16">AA9/$D9</f>
        <v>0</v>
      </c>
      <c r="AD9" s="18">
        <f t="shared" ref="AD9" si="17">AB9/$E9</f>
        <v>0</v>
      </c>
      <c r="AE9" s="62"/>
      <c r="AF9" s="17">
        <f>R9-V9</f>
        <v>0</v>
      </c>
      <c r="AG9" s="17"/>
      <c r="AH9" s="170"/>
      <c r="AI9" s="17">
        <v>0</v>
      </c>
      <c r="AJ9" s="17">
        <f t="shared" ref="AJ9:AJ41" si="18">IF(AI9=D9,E9,0)</f>
        <v>0</v>
      </c>
      <c r="AK9" s="17"/>
      <c r="AL9" s="17">
        <v>0</v>
      </c>
      <c r="AM9" s="17">
        <v>0</v>
      </c>
      <c r="AN9" s="72"/>
      <c r="BB9" s="17">
        <f>IF(AN9=1,G9,0)</f>
        <v>0</v>
      </c>
      <c r="BE9" s="17">
        <f t="shared" ref="BE9:BE41" si="19">IF(AF9=1,S9,0)</f>
        <v>0</v>
      </c>
      <c r="BF9" s="17">
        <f t="shared" ref="BF9:BF41" si="20">IF(AG9="A",S9,0)</f>
        <v>0</v>
      </c>
      <c r="BG9" s="17">
        <f t="shared" ref="BG9:BG41" si="21">IF(AG9="B",S9,0)</f>
        <v>0</v>
      </c>
      <c r="BH9" s="17">
        <f t="shared" ref="BH9:BH41" si="22">IF(AG9="C",S9,0)</f>
        <v>0</v>
      </c>
      <c r="BI9" s="17">
        <f t="shared" ref="BI9:BI41" si="23">IF(AG9="D",S9,0)</f>
        <v>0</v>
      </c>
      <c r="BJ9" s="17">
        <f t="shared" ref="BJ9:BJ41" si="24">IF(AG9="E",S9,0)</f>
        <v>0</v>
      </c>
      <c r="BK9" s="17">
        <f t="shared" ref="BK9" si="25">SUM(BF9:BJ9)</f>
        <v>0</v>
      </c>
      <c r="BN9" s="72">
        <v>60</v>
      </c>
      <c r="BO9" s="284">
        <v>1</v>
      </c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B9" s="72"/>
      <c r="CD9" s="17">
        <f>BN9</f>
        <v>60</v>
      </c>
      <c r="CE9" s="17">
        <f>IF(BO9=1,$CD9,0)</f>
        <v>60</v>
      </c>
      <c r="CF9" s="17">
        <f t="shared" ref="CF9:CP9" si="26">IF(BP9=1,$CD9,0)</f>
        <v>0</v>
      </c>
      <c r="CG9" s="17">
        <f t="shared" si="26"/>
        <v>0</v>
      </c>
      <c r="CH9" s="17">
        <f t="shared" si="26"/>
        <v>0</v>
      </c>
      <c r="CI9" s="17">
        <f t="shared" si="26"/>
        <v>0</v>
      </c>
      <c r="CJ9" s="17">
        <f t="shared" si="26"/>
        <v>0</v>
      </c>
      <c r="CK9" s="17">
        <f t="shared" si="26"/>
        <v>0</v>
      </c>
      <c r="CL9" s="17">
        <f t="shared" si="26"/>
        <v>0</v>
      </c>
      <c r="CM9" s="17">
        <f t="shared" si="26"/>
        <v>0</v>
      </c>
      <c r="CN9" s="17">
        <f t="shared" si="26"/>
        <v>0</v>
      </c>
      <c r="CO9" s="17">
        <f t="shared" si="26"/>
        <v>0</v>
      </c>
      <c r="CP9" s="17">
        <f t="shared" si="26"/>
        <v>0</v>
      </c>
      <c r="CQ9" s="148">
        <f t="shared" ref="CQ9:CQ57" si="27">SUM(CE9:CP9)-CD9</f>
        <v>0</v>
      </c>
      <c r="DV9" s="17">
        <f t="shared" ref="DV9:DV41" si="28">IF(CB9=1,G9,0)</f>
        <v>0</v>
      </c>
      <c r="DW9" s="17">
        <f t="shared" ref="DW9:DW41" si="29">IF(CC9="A",G9,0)</f>
        <v>0</v>
      </c>
      <c r="DX9" s="17">
        <f t="shared" ref="DX9:DX41" si="30">IF(CC9="B",G9,0)</f>
        <v>0</v>
      </c>
      <c r="DY9" s="17">
        <f t="shared" ref="DY9:DY41" si="31">IF(CC9="C",G9,0)</f>
        <v>0</v>
      </c>
      <c r="DZ9" s="17">
        <f t="shared" ref="DZ9:DZ41" si="32">IF(CC9="D",G9,0)</f>
        <v>0</v>
      </c>
      <c r="EA9" s="17">
        <f t="shared" ref="EA9:EA41" si="33">IF(CC9="E",G9,0)</f>
        <v>0</v>
      </c>
      <c r="EB9" s="17">
        <f t="shared" ref="EB9" si="34">SUM(DW9:EA9)</f>
        <v>0</v>
      </c>
      <c r="ED9" s="46" t="s">
        <v>366</v>
      </c>
      <c r="EE9" s="46" t="s">
        <v>367</v>
      </c>
      <c r="EG9" s="57">
        <f>IF(AG9="C","C",IF(AG9="D","D",0))</f>
        <v>0</v>
      </c>
      <c r="EH9" s="57">
        <f>CC9</f>
        <v>0</v>
      </c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X9" s="177">
        <v>1</v>
      </c>
      <c r="FY9" s="17">
        <f>SUM(FZ9:GE9)</f>
        <v>60</v>
      </c>
      <c r="FZ9" s="17">
        <f t="shared" ref="FZ9:FZ49" si="35">DI9+CE9</f>
        <v>60</v>
      </c>
      <c r="GA9" s="17">
        <f t="shared" ref="GA9:GA49" si="36">DJ9+CF9</f>
        <v>0</v>
      </c>
      <c r="GB9" s="17">
        <f t="shared" ref="GB9:GB49" si="37">DK9+CG9</f>
        <v>0</v>
      </c>
      <c r="GC9" s="17">
        <f t="shared" ref="GC9:GC49" si="38">DM9+CI9</f>
        <v>0</v>
      </c>
      <c r="GD9" s="17">
        <f t="shared" ref="GD9:GD49" si="39">DO9+CK9</f>
        <v>0</v>
      </c>
      <c r="GE9" s="17">
        <f t="shared" ref="GE9:GE49" si="40">DT9+CP9</f>
        <v>0</v>
      </c>
      <c r="GF9" s="67"/>
      <c r="GG9" s="17">
        <v>0</v>
      </c>
      <c r="GH9" s="17">
        <v>0</v>
      </c>
      <c r="GI9" s="67"/>
      <c r="GJ9" s="62">
        <f>FY9*GG9/1000000000</f>
        <v>0</v>
      </c>
      <c r="GK9" s="62">
        <f>FY9*GH9/1000000000</f>
        <v>0</v>
      </c>
      <c r="GO9" s="17">
        <f t="shared" ref="GO9:GO49" si="41">D9-F9</f>
        <v>0</v>
      </c>
      <c r="GP9" s="17">
        <f t="shared" ref="GP9:GP49" si="42">D9-J9</f>
        <v>0</v>
      </c>
      <c r="GQ9" s="17">
        <f t="shared" ref="GQ9:GQ49" si="43">D9-N9</f>
        <v>0</v>
      </c>
      <c r="GR9" s="17">
        <f t="shared" ref="GR9:GR49" si="44">D9-R9</f>
        <v>0</v>
      </c>
      <c r="GS9" s="17">
        <f t="shared" ref="GS9:GS49" si="45">D9-V9</f>
        <v>0</v>
      </c>
      <c r="GT9" s="17">
        <f>IF(SUM(GO9:GS9)=0,1,0)</f>
        <v>1</v>
      </c>
      <c r="GU9" s="101">
        <f>$GU$3</f>
        <v>43243</v>
      </c>
      <c r="GV9" s="17" t="str">
        <f>IF(GO9&gt;0,$GO$6,IF(GP9&gt;0,$GP$6,IF(GQ9&gt;0,$GQ$6,IF(GR9&gt;0,$GR$6,IF(GS9&gt;0,$GS$6,IF(GT9&gt;0,$GT$6,0))))))</f>
        <v>SELESAI</v>
      </c>
      <c r="GW9" s="17">
        <f>IF(GV9=$GO$6,GO9,IF(GV9=$GP$6,GP9,IF(GV9=$GQ$6,GQ9,IF(GV9=$GR$6,GR9,IF(GV9=$GS$6,GS9,0)))))</f>
        <v>0</v>
      </c>
      <c r="GX9" s="66" t="str">
        <f>GV9</f>
        <v>SELESAI</v>
      </c>
      <c r="GY9" s="66">
        <f>IF(GX9="DNP",SUM($GY$4:$GY$8),IF(GX9="Survey KJPP",SUM($GY$5:$GY$8),IF(GX9="Hasil Valuasi",SUM($GY$6:$GY$8),IF(GX9="Musyawarah",SUM($GY$7:$GY$8),IF(GX9="UGR",$GY$8,0)))))</f>
        <v>0</v>
      </c>
      <c r="GZ9" s="102" t="str">
        <f>IF(GW9=0,"SELESAI",GU9+GY9)</f>
        <v>SELESAI</v>
      </c>
      <c r="HA9" s="83"/>
      <c r="HB9" s="83"/>
      <c r="HC9" s="17">
        <f t="shared" ref="HC9:HC49" si="46">IF(BH9&gt;0,1,IF(BI9&gt;0,1,0))</f>
        <v>0</v>
      </c>
      <c r="HD9" s="17">
        <f t="shared" ref="HD9:HD49" si="47">IF(CB9&gt;0,1,0)</f>
        <v>0</v>
      </c>
      <c r="HE9" s="17">
        <f>HC9+HD9</f>
        <v>0</v>
      </c>
      <c r="HF9" s="17">
        <f>FQ9</f>
        <v>0</v>
      </c>
      <c r="HG9" s="17">
        <f>HE9-HF9</f>
        <v>0</v>
      </c>
      <c r="HH9" s="101" t="str">
        <f t="shared" ref="HH9:HH41" si="48">IF(HG9=1,GU9+$HH$8,"TIDAK KONSINYASI")</f>
        <v>TIDAK KONSINYASI</v>
      </c>
      <c r="HI9" s="101" t="str">
        <f>IF(GW9=0,"SELESAI",GZ9+$HI$8)</f>
        <v>SELESAI</v>
      </c>
      <c r="HJ9" s="27"/>
      <c r="HK9" s="101">
        <f t="shared" ref="HK9:HK41" si="49">MAX(GZ9,HH9,HI9)</f>
        <v>0</v>
      </c>
      <c r="HL9" s="83"/>
      <c r="HM9" s="83"/>
      <c r="HN9" s="83"/>
      <c r="HO9" s="83"/>
      <c r="HP9" s="102">
        <f>IF(HQ9=1,GZ9,0)</f>
        <v>0</v>
      </c>
      <c r="HQ9" s="66">
        <f>IF(IX9=0,IF(HT9=0,IF(IP9=0,IF(GV9="UGR",GS9,0),0),0),0)</f>
        <v>0</v>
      </c>
      <c r="HR9" s="66">
        <f t="shared" ref="HR9:HR49" si="50">IF(HQ9=1,E9,0)</f>
        <v>0</v>
      </c>
      <c r="HS9" s="102">
        <f>IF(HT9=1,HH9,0)</f>
        <v>0</v>
      </c>
      <c r="HT9" s="66">
        <f>HG9</f>
        <v>0</v>
      </c>
      <c r="HU9" s="66">
        <f t="shared" ref="HU9:HU49" si="51">IF(HT9=1,E9,0)</f>
        <v>0</v>
      </c>
      <c r="HV9" s="102">
        <f>IF(HW9=1,GZ9,0)</f>
        <v>0</v>
      </c>
      <c r="HW9" s="66">
        <f t="shared" ref="HW9:HW41" si="52">IF(JB9=0,IF(IX9=0,IF(HT9=0,IF(GV9="MUSYAWARAH",GR9,0),0),0),0)</f>
        <v>0</v>
      </c>
      <c r="HX9" s="66">
        <f t="shared" ref="HX9:HX49" si="53">IF(HW9=1,E9,0)</f>
        <v>0</v>
      </c>
      <c r="HY9" s="102">
        <f t="shared" ref="HY9:HY41" si="54">IF(HZ9=1,HV9+$HI$8,0)</f>
        <v>0</v>
      </c>
      <c r="HZ9" s="66">
        <f>HW9</f>
        <v>0</v>
      </c>
      <c r="IA9" s="66">
        <f t="shared" ref="IA9:IA49" si="55">IF(HZ9=1,E9,0)</f>
        <v>0</v>
      </c>
      <c r="IB9" s="102">
        <f>IF(IC9=1,$GU$3+SUM($GY$6:$GY$8),0)</f>
        <v>0</v>
      </c>
      <c r="IC9" s="66">
        <f t="shared" ref="IC9:IC41" si="56">IF(GV9="Hasil Valuasi",GQ9,0)</f>
        <v>0</v>
      </c>
      <c r="ID9" s="66">
        <f t="shared" ref="ID9:ID49" si="57">IF(IC9=1,E9,0)</f>
        <v>0</v>
      </c>
      <c r="IE9" s="102">
        <f t="shared" ref="IE9:IE41" si="58">IF(IF9=1,IB9+$HI$8,0)</f>
        <v>0</v>
      </c>
      <c r="IF9" s="66">
        <f t="shared" ref="IF9:IF41" si="59">IC9</f>
        <v>0</v>
      </c>
      <c r="IG9" s="66">
        <f t="shared" ref="IG9:IG49" si="60">IF(IF9=1,E9,0)</f>
        <v>0</v>
      </c>
      <c r="IH9" s="102">
        <f>IF(II9=1,$GU$3+SUM($GY$5:$GY$8),0)</f>
        <v>0</v>
      </c>
      <c r="II9" s="66">
        <f>IF(GV9="Survey KJPP",GP9,0)</f>
        <v>0</v>
      </c>
      <c r="IJ9" s="66">
        <f t="shared" ref="IJ9:IJ49" si="61">IF(II9=1,E9,0)</f>
        <v>0</v>
      </c>
      <c r="IK9" s="102">
        <f t="shared" ref="IK9:IK41" si="62">IF(IL9=1,IH9+$HI$8,0)</f>
        <v>0</v>
      </c>
      <c r="IL9" s="66">
        <f t="shared" ref="IL9:IL41" si="63">II9</f>
        <v>0</v>
      </c>
      <c r="IM9" s="66">
        <f t="shared" ref="IM9:IM49" si="64">IF(IL9=1,E9,0)</f>
        <v>0</v>
      </c>
      <c r="IN9" s="83"/>
      <c r="IO9" s="102">
        <f t="shared" ref="IO9:IO41" si="65">IF(IP9=1,+$GU$3+$HH$8,0)</f>
        <v>0</v>
      </c>
      <c r="IP9" s="66">
        <f t="shared" ref="IP9:IP49" si="66">IF(BG9&gt;0,1,0)</f>
        <v>0</v>
      </c>
      <c r="IQ9" s="66">
        <f t="shared" ref="IQ9:IQ49" si="67">IF(IP9=1,E9,0)</f>
        <v>0</v>
      </c>
      <c r="IR9" s="83"/>
      <c r="IS9" s="102"/>
      <c r="IT9" s="66">
        <f t="shared" ref="IT9:IT49" si="68">V9</f>
        <v>1</v>
      </c>
      <c r="IU9" s="66">
        <f t="shared" ref="IU9:IU49" si="69">W9</f>
        <v>435</v>
      </c>
      <c r="IV9" s="83"/>
      <c r="IW9" s="102"/>
      <c r="IX9" s="66">
        <f t="shared" ref="IX9:IX49" si="70">AA9</f>
        <v>0</v>
      </c>
      <c r="IY9" s="66">
        <f t="shared" ref="IY9:IY49" si="71">AB9</f>
        <v>0</v>
      </c>
      <c r="IZ9" s="83"/>
      <c r="JA9" s="102"/>
      <c r="JB9" s="66">
        <f t="shared" ref="JB9:JB49" si="72">AN9</f>
        <v>0</v>
      </c>
      <c r="JC9" s="66">
        <f t="shared" ref="JC9:JC49" si="73">BB9</f>
        <v>0</v>
      </c>
      <c r="JD9" s="83"/>
      <c r="JE9" s="102"/>
      <c r="JF9" s="66">
        <f>IT9+HQ9+HT9+HZ9+IF9+IL9+IP9+IX9+JB9</f>
        <v>1</v>
      </c>
      <c r="JG9" s="66">
        <f t="shared" ref="JG9:JG41" si="74">IU9+HR9+HU9+IA9+IG9+IM9+IQ9+IY9+JC9</f>
        <v>435</v>
      </c>
      <c r="JH9" s="83"/>
      <c r="JI9" s="102"/>
      <c r="JJ9" s="66">
        <f t="shared" ref="JJ9:JJ49" si="75">JF9-D9</f>
        <v>0</v>
      </c>
      <c r="JK9" s="66">
        <f t="shared" ref="JK9:JK49" si="76">JG9-E9</f>
        <v>0</v>
      </c>
      <c r="JM9" s="102">
        <f>MAX(IW9,IS9,IO9,IK9,IE9,HY9,HS9,HP9)</f>
        <v>0</v>
      </c>
      <c r="JO9" s="29">
        <f t="shared" ref="JO9:JO41" si="77">SUM(JQ9:KB9)</f>
        <v>1</v>
      </c>
      <c r="JP9" s="122">
        <f t="shared" ref="JP9:JP49" si="78">BN9+CR9</f>
        <v>60</v>
      </c>
      <c r="JQ9" s="122">
        <f t="shared" ref="JQ9:JQ49" si="79">IF(BO9+CS9=2,1,IF(BO9+CS9=1,1,0))</f>
        <v>1</v>
      </c>
      <c r="JR9" s="122">
        <f t="shared" ref="JR9:JR49" si="80">IF(BP9+CT9=2,1,IF(BP9+CT9=1,1,0))</f>
        <v>0</v>
      </c>
      <c r="JS9" s="122">
        <f t="shared" ref="JS9:JS49" si="81">IF(BQ9+CU9=2,1,IF(BQ9+CU9=1,1,0))</f>
        <v>0</v>
      </c>
      <c r="JT9" s="122">
        <f t="shared" ref="JT9:JT49" si="82">IF(BR9+CV9=2,1,IF(BR9+CV9=1,1,0))</f>
        <v>0</v>
      </c>
      <c r="JU9" s="122">
        <f t="shared" ref="JU9:JU49" si="83">IF(BS9+CW9=2,1,IF(BS9+CW9=1,1,0))</f>
        <v>0</v>
      </c>
      <c r="JV9" s="122">
        <f t="shared" ref="JV9:JV49" si="84">IF(BT9+CX9=2,1,IF(BT9+CX9=1,1,0))</f>
        <v>0</v>
      </c>
      <c r="JW9" s="122">
        <f t="shared" ref="JW9:JW49" si="85">IF(BU9+CY9=2,1,IF(BU9+CY9=1,1,0))</f>
        <v>0</v>
      </c>
      <c r="JX9" s="122">
        <f t="shared" ref="JX9:JX49" si="86">IF(BV9+CZ9=2,1,IF(BV9+CZ9=1,1,0))</f>
        <v>0</v>
      </c>
      <c r="JY9" s="122">
        <f t="shared" ref="JY9:JY49" si="87">IF(BW9+DA9=2,1,IF(BW9+DA9=1,1,0))</f>
        <v>0</v>
      </c>
      <c r="JZ9" s="122">
        <f t="shared" ref="JZ9:JZ49" si="88">IF(BX9+DB9=2,1,IF(BX9+DB9=1,1,0))</f>
        <v>0</v>
      </c>
      <c r="KA9" s="122">
        <f t="shared" ref="KA9:KA49" si="89">IF(BY9+DC9=2,1,IF(BY9+DC9=1,1,0))</f>
        <v>0</v>
      </c>
      <c r="KB9" s="122">
        <f t="shared" ref="KB9:KB49" si="90">IF(BZ9+DD9=2,1,IF(BZ9+DD9=1,1,0))</f>
        <v>0</v>
      </c>
      <c r="KD9" s="122">
        <f t="shared" ref="KD9" si="91">IF(IF(SUM(GA9:GE9)&gt;100,1,0)+IF(FX9=1,1,0)=2,1,0)</f>
        <v>0</v>
      </c>
      <c r="KE9" s="122">
        <f t="shared" ref="KE9:KE49" si="92">IF(KD9=1,KF9,0)</f>
        <v>0</v>
      </c>
      <c r="KF9" s="122">
        <f t="shared" ref="KF9:KF49" si="93">CD9+DH9</f>
        <v>60</v>
      </c>
      <c r="KG9" s="122">
        <f t="shared" ref="KG9:KG49" si="94">CE9+DI9</f>
        <v>60</v>
      </c>
      <c r="KH9" s="122">
        <f t="shared" ref="KH9:KH49" si="95">CF9+DJ9</f>
        <v>0</v>
      </c>
      <c r="KI9" s="122">
        <f t="shared" ref="KI9:KI49" si="96">CG9+DK9</f>
        <v>0</v>
      </c>
      <c r="KJ9" s="122">
        <f t="shared" ref="KJ9:KJ49" si="97">CH9+DL9</f>
        <v>0</v>
      </c>
      <c r="KK9" s="122">
        <f t="shared" ref="KK9:KK49" si="98">CI9+DM9</f>
        <v>0</v>
      </c>
      <c r="KL9" s="122">
        <f t="shared" ref="KL9:KL49" si="99">CJ9+DN9</f>
        <v>0</v>
      </c>
      <c r="KM9" s="122">
        <f t="shared" ref="KM9:KM49" si="100">CK9+DO9</f>
        <v>0</v>
      </c>
      <c r="KN9" s="122">
        <f t="shared" ref="KN9:KN49" si="101">CL9+DP9</f>
        <v>0</v>
      </c>
      <c r="KO9" s="122">
        <f t="shared" ref="KO9:KO49" si="102">CM9+DQ9</f>
        <v>0</v>
      </c>
      <c r="KP9" s="122">
        <f t="shared" ref="KP9:KP49" si="103">CN9+DR9</f>
        <v>0</v>
      </c>
      <c r="KQ9" s="122">
        <f t="shared" ref="KQ9:KQ49" si="104">CO9+DS9</f>
        <v>0</v>
      </c>
      <c r="KR9" s="122">
        <f t="shared" ref="KR9:KR49" si="105">CP9+DT9</f>
        <v>0</v>
      </c>
      <c r="KT9">
        <f t="shared" ref="KT9:KT49" si="106">AN9</f>
        <v>0</v>
      </c>
      <c r="KU9" s="122"/>
      <c r="KV9" s="122"/>
      <c r="KW9" s="122"/>
      <c r="KX9" s="122"/>
      <c r="KY9" s="122"/>
      <c r="KZ9" s="122"/>
      <c r="LA9" s="122"/>
      <c r="LB9" s="122"/>
      <c r="LC9" s="122"/>
      <c r="LD9" s="122"/>
      <c r="LE9" s="122"/>
      <c r="LF9" s="122"/>
      <c r="LG9" s="122"/>
      <c r="LH9" s="122"/>
      <c r="LI9" s="122"/>
      <c r="LJ9" s="122"/>
      <c r="LK9" s="122"/>
      <c r="LL9" s="122"/>
      <c r="LM9" s="122"/>
      <c r="LN9" s="122"/>
      <c r="LO9" s="122"/>
      <c r="LP9" s="122"/>
      <c r="LQ9" s="122"/>
      <c r="LR9" s="122"/>
      <c r="LS9" s="122"/>
      <c r="LT9" s="122"/>
      <c r="LU9" s="122"/>
      <c r="LV9" s="122"/>
      <c r="LW9" s="122"/>
      <c r="LX9" s="122"/>
      <c r="LY9" s="122"/>
      <c r="LZ9" s="122"/>
      <c r="MA9" s="122"/>
      <c r="MB9" s="122"/>
      <c r="MC9" s="122"/>
      <c r="MD9" s="122"/>
      <c r="ME9" s="122"/>
      <c r="MF9" s="122"/>
      <c r="MG9" s="122"/>
      <c r="MH9" s="122"/>
      <c r="MI9" s="122"/>
      <c r="MJ9" s="122"/>
      <c r="MK9" s="122"/>
      <c r="ML9" s="122"/>
      <c r="MM9" s="122"/>
      <c r="MN9" s="122"/>
      <c r="MO9" s="122"/>
      <c r="MP9" s="122"/>
      <c r="MQ9" s="122"/>
      <c r="MR9" s="122"/>
      <c r="MS9" s="122"/>
      <c r="MT9" s="122"/>
      <c r="MU9" s="122"/>
      <c r="MV9" s="122"/>
      <c r="MW9" s="122"/>
      <c r="MX9" s="122"/>
      <c r="MY9" s="122"/>
      <c r="MZ9" s="122"/>
      <c r="NA9" s="122"/>
      <c r="NB9" s="122"/>
      <c r="NC9" s="122"/>
      <c r="ND9" s="122"/>
      <c r="NE9" s="122"/>
      <c r="NF9" s="122"/>
      <c r="NG9" s="122"/>
      <c r="NH9" s="122"/>
      <c r="NI9" s="122"/>
      <c r="NJ9" s="122"/>
      <c r="NK9" s="122"/>
      <c r="NM9">
        <f>IF(KS9=1,1,0)</f>
        <v>0</v>
      </c>
      <c r="NN9">
        <f>IF(KS9=2,1,0)</f>
        <v>0</v>
      </c>
      <c r="NO9">
        <f>IF(KS9=3,1,0)</f>
        <v>0</v>
      </c>
      <c r="NP9">
        <f>IF(KS9=4,1,0)</f>
        <v>0</v>
      </c>
      <c r="NQ9">
        <f>IF(KS9=5,1,0)</f>
        <v>0</v>
      </c>
      <c r="NR9">
        <f>IF(KS9=6,1,0)</f>
        <v>0</v>
      </c>
      <c r="NS9">
        <f>IF(KS9=7,1,0)</f>
        <v>0</v>
      </c>
      <c r="NT9">
        <f>SUM(NM9:NS9)</f>
        <v>0</v>
      </c>
      <c r="NU9" s="29">
        <f t="shared" ref="NU9" si="107">NT9-KT9</f>
        <v>0</v>
      </c>
      <c r="NY9" s="17">
        <f t="shared" ref="NY9:NY42" si="108">V9</f>
        <v>1</v>
      </c>
      <c r="NZ9" s="152">
        <v>10800000</v>
      </c>
      <c r="OE9" s="155">
        <f t="shared" ref="OE9:OE42" si="109">D9-J9</f>
        <v>0</v>
      </c>
      <c r="OF9" s="155">
        <f t="shared" ref="OF9:OF42" si="110">D9-N9</f>
        <v>0</v>
      </c>
      <c r="OG9" s="155">
        <f t="shared" ref="OG9:OG42" si="111">AN9</f>
        <v>0</v>
      </c>
      <c r="OH9" s="155">
        <f>HE9</f>
        <v>0</v>
      </c>
      <c r="OI9" s="155">
        <f t="shared" ref="OI9:OI42" si="112">D9-R9</f>
        <v>0</v>
      </c>
      <c r="OJ9" s="67">
        <f>IF(OG9=1,OF9,0)</f>
        <v>0</v>
      </c>
      <c r="OK9" s="67">
        <f>IF(OH9=1,OF9,0)</f>
        <v>0</v>
      </c>
      <c r="OL9" s="67">
        <f>IF((OG9+OH9)=0,OF9,0)</f>
        <v>0</v>
      </c>
      <c r="OM9" s="67">
        <f>SUM(OJ9:OL9)</f>
        <v>0</v>
      </c>
      <c r="OO9" s="155">
        <f t="shared" ref="OO9:OO42" si="113">E9-K9</f>
        <v>0</v>
      </c>
      <c r="OP9" s="155">
        <f t="shared" ref="OP9:OP42" si="114">E9-O9</f>
        <v>0</v>
      </c>
      <c r="OQ9" s="155">
        <f>OG9</f>
        <v>0</v>
      </c>
      <c r="OR9" s="155">
        <f>OH9</f>
        <v>0</v>
      </c>
      <c r="OS9" s="155">
        <f>OI9</f>
        <v>0</v>
      </c>
      <c r="OT9" s="67">
        <f>IF(OQ9=1,OP9,0)</f>
        <v>0</v>
      </c>
      <c r="OU9" s="67">
        <f>IF(OR9=1,OP9,0)</f>
        <v>0</v>
      </c>
      <c r="OV9" s="67">
        <f>IF((OQ9+OR9)=0,OP9,0)</f>
        <v>0</v>
      </c>
      <c r="OW9" s="67">
        <f>SUM(OT9:OV9)</f>
        <v>0</v>
      </c>
      <c r="OZ9" s="163">
        <f t="shared" ref="OZ9:OZ57" si="115">AN9</f>
        <v>0</v>
      </c>
      <c r="PA9" s="166"/>
      <c r="PB9" s="166"/>
      <c r="PC9" s="166"/>
      <c r="PD9" s="210">
        <f t="shared" ref="PD9:PD54" si="116">PB9-PC9</f>
        <v>0</v>
      </c>
      <c r="PE9" s="210"/>
      <c r="PF9" s="210">
        <f t="shared" ref="PF9:PF54" si="117">PD9-PE9</f>
        <v>0</v>
      </c>
      <c r="PG9" s="210">
        <f t="shared" ref="PG9:PL51" si="118">IF(PA9=1,$BB9,0)</f>
        <v>0</v>
      </c>
      <c r="PH9" s="210">
        <f t="shared" si="118"/>
        <v>0</v>
      </c>
      <c r="PI9" s="210">
        <f t="shared" si="118"/>
        <v>0</v>
      </c>
      <c r="PJ9" s="210">
        <f t="shared" si="118"/>
        <v>0</v>
      </c>
      <c r="PK9" s="210">
        <f t="shared" si="118"/>
        <v>0</v>
      </c>
      <c r="PL9" s="210">
        <f t="shared" si="118"/>
        <v>0</v>
      </c>
      <c r="PM9" s="164"/>
      <c r="PN9" s="164"/>
      <c r="PO9" s="172">
        <f>IF(FC9=1,AB9,0)</f>
        <v>0</v>
      </c>
      <c r="PP9" s="172">
        <f>IF(FF9=1,AB9,0)</f>
        <v>0</v>
      </c>
      <c r="PQ9" s="172">
        <f>AB9-(PO9+PP9)</f>
        <v>0</v>
      </c>
      <c r="PR9" s="164"/>
      <c r="PS9" s="164"/>
      <c r="PT9" s="164"/>
      <c r="PU9" s="164"/>
    </row>
    <row r="10" spans="1:437 16383:16383" ht="16" x14ac:dyDescent="0.2">
      <c r="A10" s="19">
        <f>A9+1</f>
        <v>2</v>
      </c>
      <c r="B10" s="138" t="s">
        <v>142</v>
      </c>
      <c r="C10" s="138">
        <v>4</v>
      </c>
      <c r="D10" s="20">
        <v>1</v>
      </c>
      <c r="E10" s="20">
        <v>300</v>
      </c>
      <c r="F10" s="20">
        <v>1</v>
      </c>
      <c r="G10" s="20">
        <f t="shared" ref="G10:G42" si="119">E10</f>
        <v>300</v>
      </c>
      <c r="H10" s="137">
        <f t="shared" si="2"/>
        <v>1</v>
      </c>
      <c r="I10" s="137">
        <f t="shared" si="3"/>
        <v>1</v>
      </c>
      <c r="J10" s="20">
        <v>1</v>
      </c>
      <c r="K10" s="20">
        <f t="shared" si="4"/>
        <v>300</v>
      </c>
      <c r="L10" s="137">
        <f t="shared" si="5"/>
        <v>1</v>
      </c>
      <c r="M10" s="137">
        <f t="shared" si="6"/>
        <v>1</v>
      </c>
      <c r="N10" s="20">
        <v>1</v>
      </c>
      <c r="O10" s="20">
        <f t="shared" si="7"/>
        <v>300</v>
      </c>
      <c r="P10" s="137">
        <f t="shared" si="8"/>
        <v>1</v>
      </c>
      <c r="Q10" s="137">
        <f t="shared" si="9"/>
        <v>1</v>
      </c>
      <c r="R10" s="20">
        <v>1</v>
      </c>
      <c r="S10" s="20">
        <f t="shared" si="10"/>
        <v>300</v>
      </c>
      <c r="T10" s="137">
        <f t="shared" si="11"/>
        <v>1</v>
      </c>
      <c r="U10" s="137">
        <f t="shared" si="12"/>
        <v>1</v>
      </c>
      <c r="V10" s="20">
        <v>1</v>
      </c>
      <c r="W10" s="20">
        <f t="shared" si="13"/>
        <v>300</v>
      </c>
      <c r="X10" s="137">
        <f t="shared" si="14"/>
        <v>1</v>
      </c>
      <c r="Y10" s="137">
        <f t="shared" si="15"/>
        <v>1</v>
      </c>
      <c r="Z10" s="38">
        <f>3595597000/1000000000</f>
        <v>3.5955970000000002</v>
      </c>
      <c r="AA10" s="20"/>
      <c r="AB10" s="17">
        <f t="shared" ref="AB10:AB41" si="120">IF(AA10=D10,E10,0)</f>
        <v>0</v>
      </c>
      <c r="AC10" s="18">
        <f t="shared" ref="AC10:AC41" si="121">AA10/$D10</f>
        <v>0</v>
      </c>
      <c r="AD10" s="18">
        <f t="shared" ref="AD10:AD41" si="122">AB10/$E10</f>
        <v>0</v>
      </c>
      <c r="AE10" s="20"/>
      <c r="AF10" s="20">
        <f t="shared" ref="AF10:AF41" si="123">R10-V10</f>
        <v>0</v>
      </c>
      <c r="AG10" s="17"/>
      <c r="AH10" s="170"/>
      <c r="AI10" s="20">
        <v>0</v>
      </c>
      <c r="AJ10" s="20">
        <f t="shared" si="18"/>
        <v>0</v>
      </c>
      <c r="AK10" s="20"/>
      <c r="AL10" s="20">
        <v>0</v>
      </c>
      <c r="AM10" s="20">
        <v>0</v>
      </c>
      <c r="AN10" s="139"/>
      <c r="BB10" s="17">
        <f t="shared" ref="BB10:BB41" si="124">IF(AN10=1,G10,0)</f>
        <v>0</v>
      </c>
      <c r="BE10" s="20">
        <f t="shared" si="19"/>
        <v>0</v>
      </c>
      <c r="BF10" s="20">
        <f t="shared" si="20"/>
        <v>0</v>
      </c>
      <c r="BG10" s="20">
        <f t="shared" si="21"/>
        <v>0</v>
      </c>
      <c r="BH10" s="20">
        <f t="shared" si="22"/>
        <v>0</v>
      </c>
      <c r="BI10" s="20">
        <f t="shared" si="23"/>
        <v>0</v>
      </c>
      <c r="BJ10" s="20">
        <f t="shared" si="24"/>
        <v>0</v>
      </c>
      <c r="BK10" s="20">
        <f t="shared" ref="BK10:BK41" si="125">SUM(BF10:BJ10)</f>
        <v>0</v>
      </c>
      <c r="BN10" s="139">
        <v>37</v>
      </c>
      <c r="BO10" s="284">
        <v>1</v>
      </c>
      <c r="BP10" s="139"/>
      <c r="BQ10" s="139"/>
      <c r="BR10" s="139"/>
      <c r="BS10" s="139"/>
      <c r="BT10" s="139"/>
      <c r="BU10" s="139"/>
      <c r="BV10" s="139"/>
      <c r="BW10" s="139"/>
      <c r="BX10" s="139"/>
      <c r="BY10" s="139"/>
      <c r="BZ10" s="139"/>
      <c r="CB10" s="139"/>
      <c r="CD10" s="17">
        <f t="shared" ref="CD10:CD41" si="126">BN10</f>
        <v>37</v>
      </c>
      <c r="CE10" s="17">
        <f t="shared" ref="CE10:CE41" si="127">IF(BO10=1,$CD10,0)</f>
        <v>37</v>
      </c>
      <c r="CF10" s="17">
        <f t="shared" ref="CF10:CF41" si="128">IF(BP10=1,$CD10,0)</f>
        <v>0</v>
      </c>
      <c r="CG10" s="17">
        <f t="shared" ref="CG10:CG41" si="129">IF(BQ10=1,$CD10,0)</f>
        <v>0</v>
      </c>
      <c r="CH10" s="17">
        <f t="shared" ref="CH10:CH41" si="130">IF(BR10=1,$CD10,0)</f>
        <v>0</v>
      </c>
      <c r="CI10" s="17">
        <f t="shared" ref="CI10:CI41" si="131">IF(BS10=1,$CD10,0)</f>
        <v>0</v>
      </c>
      <c r="CJ10" s="17">
        <f t="shared" ref="CJ10:CJ41" si="132">IF(BT10=1,$CD10,0)</f>
        <v>0</v>
      </c>
      <c r="CK10" s="17">
        <f t="shared" ref="CK10:CK41" si="133">IF(BU10=1,$CD10,0)</f>
        <v>0</v>
      </c>
      <c r="CL10" s="20">
        <f t="shared" ref="CL10:CL41" si="134">IF(BV10=1,$CD10,0)</f>
        <v>0</v>
      </c>
      <c r="CM10" s="20">
        <f t="shared" ref="CM10:CM41" si="135">IF(BW10=1,$CD10,0)</f>
        <v>0</v>
      </c>
      <c r="CN10" s="20">
        <f t="shared" ref="CN10:CN41" si="136">IF(BX10=1,$CD10,0)</f>
        <v>0</v>
      </c>
      <c r="CO10" s="20">
        <f t="shared" ref="CO10:CO41" si="137">IF(BY10=1,$CD10,0)</f>
        <v>0</v>
      </c>
      <c r="CP10" s="20">
        <f t="shared" ref="CP10:CP41" si="138">IF(BZ10=1,$CD10,0)</f>
        <v>0</v>
      </c>
      <c r="CQ10" s="148">
        <f t="shared" si="27"/>
        <v>0</v>
      </c>
      <c r="DV10" s="20">
        <f t="shared" si="28"/>
        <v>0</v>
      </c>
      <c r="DW10" s="20">
        <f t="shared" si="29"/>
        <v>0</v>
      </c>
      <c r="DX10" s="20">
        <f t="shared" si="30"/>
        <v>0</v>
      </c>
      <c r="DY10" s="20">
        <f t="shared" si="31"/>
        <v>0</v>
      </c>
      <c r="DZ10" s="20">
        <f t="shared" si="32"/>
        <v>0</v>
      </c>
      <c r="EA10" s="20">
        <f t="shared" si="33"/>
        <v>0</v>
      </c>
      <c r="EB10" s="20">
        <f t="shared" ref="EB10:EB41" si="139">SUM(DW10:EA10)</f>
        <v>0</v>
      </c>
      <c r="ED10" s="46" t="s">
        <v>368</v>
      </c>
      <c r="EE10" s="46" t="s">
        <v>369</v>
      </c>
      <c r="EG10" s="57">
        <f t="shared" ref="EG10:EG41" si="140">IF(AG10="C","C",IF(AG10="D","D",0))</f>
        <v>0</v>
      </c>
      <c r="EH10" s="57">
        <f t="shared" ref="EH10:EH41" si="141">CC10</f>
        <v>0</v>
      </c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X10" s="177">
        <v>1</v>
      </c>
      <c r="FY10" s="17">
        <f t="shared" ref="FY10:FY41" si="142">SUM(FZ10:GE10)</f>
        <v>37</v>
      </c>
      <c r="FZ10" s="17">
        <f t="shared" si="35"/>
        <v>37</v>
      </c>
      <c r="GA10" s="17">
        <f t="shared" si="36"/>
        <v>0</v>
      </c>
      <c r="GB10" s="17">
        <f t="shared" si="37"/>
        <v>0</v>
      </c>
      <c r="GC10" s="17">
        <f t="shared" si="38"/>
        <v>0</v>
      </c>
      <c r="GD10" s="17">
        <f t="shared" si="39"/>
        <v>0</v>
      </c>
      <c r="GE10" s="17">
        <f t="shared" si="40"/>
        <v>0</v>
      </c>
      <c r="GF10" s="67"/>
      <c r="GG10" s="17">
        <v>0</v>
      </c>
      <c r="GH10" s="17">
        <v>0</v>
      </c>
      <c r="GI10" s="67"/>
      <c r="GJ10" s="62">
        <f t="shared" ref="GJ10:GJ41" si="143">FY10*GG10/1000000000</f>
        <v>0</v>
      </c>
      <c r="GK10" s="62">
        <f t="shared" ref="GK10:GK41" si="144">FY10*GH10/1000000000</f>
        <v>0</v>
      </c>
      <c r="GO10" s="17">
        <f t="shared" si="41"/>
        <v>0</v>
      </c>
      <c r="GP10" s="17">
        <f t="shared" si="42"/>
        <v>0</v>
      </c>
      <c r="GQ10" s="17">
        <f t="shared" si="43"/>
        <v>0</v>
      </c>
      <c r="GR10" s="17">
        <f t="shared" si="44"/>
        <v>0</v>
      </c>
      <c r="GS10" s="17">
        <f t="shared" si="45"/>
        <v>0</v>
      </c>
      <c r="GT10" s="17">
        <f t="shared" ref="GT10:GT41" si="145">IF(SUM(GO10:GS10)=0,1,0)</f>
        <v>1</v>
      </c>
      <c r="GU10" s="101">
        <f t="shared" ref="GU10:GU54" si="146">$GU$3</f>
        <v>43243</v>
      </c>
      <c r="GV10" s="17" t="str">
        <f t="shared" ref="GV10:GV41" si="147">IF(GO10&gt;0,$GO$6,IF(GP10&gt;0,$GP$6,IF(GQ10&gt;0,$GQ$6,IF(GR10&gt;0,$GR$6,IF(GS10&gt;0,$GS$6,IF(GT10&gt;0,$GT$6,0))))))</f>
        <v>SELESAI</v>
      </c>
      <c r="GW10" s="17">
        <f t="shared" ref="GW10:GW41" si="148">IF(GV10=$GO$6,GO10,IF(GV10=$GP$6,GP10,IF(GV10=$GQ$6,GQ10,IF(GV10=$GR$6,GR10,IF(GV10=$GS$6,GS10,0)))))</f>
        <v>0</v>
      </c>
      <c r="GX10" s="66" t="str">
        <f t="shared" ref="GX10:GX41" si="149">GV10</f>
        <v>SELESAI</v>
      </c>
      <c r="GY10" s="66">
        <f t="shared" ref="GY10:GY41" si="150">IF(GX10="DNP",SUM($GY$4:$GY$8),IF(GX10="Survey KJPP",SUM($GY$5:$GY$8),IF(GX10="Hasil Valuasi",SUM($GY$6:$GY$8),IF(GX10="Musyawarah",SUM($GY$7:$GY$8),IF(GX10="UGR",$GY$8,0)))))</f>
        <v>0</v>
      </c>
      <c r="GZ10" s="102" t="str">
        <f t="shared" ref="GZ10:GZ41" si="151">IF(GW10=0,"SELESAI",GU10+GY10)</f>
        <v>SELESAI</v>
      </c>
      <c r="HA10" s="83"/>
      <c r="HB10" s="83"/>
      <c r="HC10" s="17">
        <f t="shared" si="46"/>
        <v>0</v>
      </c>
      <c r="HD10" s="17">
        <f t="shared" si="47"/>
        <v>0</v>
      </c>
      <c r="HE10" s="17">
        <f t="shared" ref="HE10:HE41" si="152">HC10+HD10</f>
        <v>0</v>
      </c>
      <c r="HF10" s="17">
        <f t="shared" ref="HF10:HF41" si="153">FQ10</f>
        <v>0</v>
      </c>
      <c r="HG10" s="17">
        <f t="shared" ref="HG10:HG41" si="154">HE10-HF10</f>
        <v>0</v>
      </c>
      <c r="HH10" s="101" t="str">
        <f t="shared" si="48"/>
        <v>TIDAK KONSINYASI</v>
      </c>
      <c r="HI10" s="101" t="str">
        <f t="shared" ref="HI10:HI41" si="155">IF(GW10=0,"SELESAI",GZ10+$HI$8)</f>
        <v>SELESAI</v>
      </c>
      <c r="HJ10" s="27"/>
      <c r="HK10" s="101">
        <f t="shared" si="49"/>
        <v>0</v>
      </c>
      <c r="HL10" s="83"/>
      <c r="HM10" s="83"/>
      <c r="HN10" s="83"/>
      <c r="HO10" s="83"/>
      <c r="HP10" s="102">
        <f t="shared" ref="HP10:HP41" si="156">IF(HQ10=1,GZ10,0)</f>
        <v>0</v>
      </c>
      <c r="HQ10" s="66">
        <f t="shared" ref="HQ10:HQ41" si="157">IF(IX10=0,IF(HT10=0,IF(IP10=0,IF(GV10="UGR",GS10,0),0),0),0)</f>
        <v>0</v>
      </c>
      <c r="HR10" s="66">
        <f t="shared" si="50"/>
        <v>0</v>
      </c>
      <c r="HS10" s="102">
        <f t="shared" ref="HS10:HS41" si="158">IF(HT10=1,HH10,0)</f>
        <v>0</v>
      </c>
      <c r="HT10" s="66">
        <f t="shared" ref="HT10:HT41" si="159">HG10</f>
        <v>0</v>
      </c>
      <c r="HU10" s="66">
        <f t="shared" si="51"/>
        <v>0</v>
      </c>
      <c r="HV10" s="102">
        <f t="shared" ref="HV10:HV41" si="160">IF(HW10=1,GZ10,0)</f>
        <v>0</v>
      </c>
      <c r="HW10" s="66">
        <f t="shared" si="52"/>
        <v>0</v>
      </c>
      <c r="HX10" s="66">
        <f t="shared" si="53"/>
        <v>0</v>
      </c>
      <c r="HY10" s="102">
        <f t="shared" si="54"/>
        <v>0</v>
      </c>
      <c r="HZ10" s="66">
        <f t="shared" ref="HZ10:HZ41" si="161">HW10</f>
        <v>0</v>
      </c>
      <c r="IA10" s="66">
        <f t="shared" si="55"/>
        <v>0</v>
      </c>
      <c r="IB10" s="102">
        <f t="shared" ref="IB10:IB41" si="162">IF(IC10=1,$GU$3+SUM($GY$6:$GY$8),0)</f>
        <v>0</v>
      </c>
      <c r="IC10" s="66">
        <f t="shared" si="56"/>
        <v>0</v>
      </c>
      <c r="ID10" s="66">
        <f t="shared" si="57"/>
        <v>0</v>
      </c>
      <c r="IE10" s="102">
        <f t="shared" si="58"/>
        <v>0</v>
      </c>
      <c r="IF10" s="66">
        <f t="shared" si="59"/>
        <v>0</v>
      </c>
      <c r="IG10" s="66">
        <f t="shared" si="60"/>
        <v>0</v>
      </c>
      <c r="IH10" s="102">
        <f t="shared" ref="IH10:IH41" si="163">IF(II10=1,$GU$3+SUM($GY$5:$GY$8),0)</f>
        <v>0</v>
      </c>
      <c r="II10" s="66">
        <f t="shared" ref="II10:II41" si="164">IF(GV10="Survey KJPP",GP10,0)</f>
        <v>0</v>
      </c>
      <c r="IJ10" s="66">
        <f t="shared" si="61"/>
        <v>0</v>
      </c>
      <c r="IK10" s="102">
        <f t="shared" si="62"/>
        <v>0</v>
      </c>
      <c r="IL10" s="66">
        <f t="shared" si="63"/>
        <v>0</v>
      </c>
      <c r="IM10" s="66">
        <f t="shared" si="64"/>
        <v>0</v>
      </c>
      <c r="IN10" s="83"/>
      <c r="IO10" s="102">
        <f t="shared" si="65"/>
        <v>0</v>
      </c>
      <c r="IP10" s="66">
        <f t="shared" si="66"/>
        <v>0</v>
      </c>
      <c r="IQ10" s="66">
        <f t="shared" si="67"/>
        <v>0</v>
      </c>
      <c r="IR10" s="83"/>
      <c r="IS10" s="102"/>
      <c r="IT10" s="66">
        <f t="shared" si="68"/>
        <v>1</v>
      </c>
      <c r="IU10" s="66">
        <f t="shared" si="69"/>
        <v>300</v>
      </c>
      <c r="IV10" s="83"/>
      <c r="IW10" s="102"/>
      <c r="IX10" s="66">
        <f t="shared" si="70"/>
        <v>0</v>
      </c>
      <c r="IY10" s="66">
        <f t="shared" si="71"/>
        <v>0</v>
      </c>
      <c r="IZ10" s="83"/>
      <c r="JA10" s="102"/>
      <c r="JB10" s="66">
        <f t="shared" si="72"/>
        <v>0</v>
      </c>
      <c r="JC10" s="66">
        <f t="shared" si="73"/>
        <v>0</v>
      </c>
      <c r="JD10" s="83"/>
      <c r="JE10" s="102"/>
      <c r="JF10" s="66">
        <f t="shared" ref="JF10:JF41" si="165">IT10+HQ10+HT10+HZ10+IF10+IL10+IP10+IX10+JB10</f>
        <v>1</v>
      </c>
      <c r="JG10" s="66">
        <f t="shared" si="74"/>
        <v>300</v>
      </c>
      <c r="JH10" s="83"/>
      <c r="JI10" s="102"/>
      <c r="JJ10" s="66">
        <f t="shared" si="75"/>
        <v>0</v>
      </c>
      <c r="JK10" s="66">
        <f t="shared" si="76"/>
        <v>0</v>
      </c>
      <c r="JM10" s="102">
        <f t="shared" ref="JM10:JM41" si="166">MAX(IW10,IS10,IO10,IK10,IE10,HY10,HS10,HP10)</f>
        <v>0</v>
      </c>
      <c r="JO10" s="29">
        <f t="shared" si="77"/>
        <v>1</v>
      </c>
      <c r="JP10" s="122">
        <f t="shared" si="78"/>
        <v>37</v>
      </c>
      <c r="JQ10" s="122">
        <f t="shared" si="79"/>
        <v>1</v>
      </c>
      <c r="JR10" s="122">
        <f t="shared" si="80"/>
        <v>0</v>
      </c>
      <c r="JS10" s="122">
        <f t="shared" si="81"/>
        <v>0</v>
      </c>
      <c r="JT10" s="122">
        <f t="shared" si="82"/>
        <v>0</v>
      </c>
      <c r="JU10" s="122">
        <f t="shared" si="83"/>
        <v>0</v>
      </c>
      <c r="JV10" s="122">
        <f t="shared" si="84"/>
        <v>0</v>
      </c>
      <c r="JW10" s="122">
        <f t="shared" si="85"/>
        <v>0</v>
      </c>
      <c r="JX10" s="122">
        <f t="shared" si="86"/>
        <v>0</v>
      </c>
      <c r="JY10" s="122">
        <f t="shared" si="87"/>
        <v>0</v>
      </c>
      <c r="JZ10" s="122">
        <f t="shared" si="88"/>
        <v>0</v>
      </c>
      <c r="KA10" s="122">
        <f t="shared" si="89"/>
        <v>0</v>
      </c>
      <c r="KB10" s="122">
        <f t="shared" si="90"/>
        <v>0</v>
      </c>
      <c r="KD10" s="122">
        <f t="shared" ref="KD10:KD49" si="167">IF(IF(SUM(GA10:GE10)&gt;100,1,0)+IF(FX10=1,1,0)=2,1,0)</f>
        <v>0</v>
      </c>
      <c r="KE10" s="122">
        <f t="shared" si="92"/>
        <v>0</v>
      </c>
      <c r="KF10" s="122">
        <f t="shared" si="93"/>
        <v>37</v>
      </c>
      <c r="KG10" s="122">
        <f t="shared" si="94"/>
        <v>37</v>
      </c>
      <c r="KH10" s="122">
        <f t="shared" si="95"/>
        <v>0</v>
      </c>
      <c r="KI10" s="122">
        <f t="shared" si="96"/>
        <v>0</v>
      </c>
      <c r="KJ10" s="122">
        <f t="shared" si="97"/>
        <v>0</v>
      </c>
      <c r="KK10" s="122">
        <f t="shared" si="98"/>
        <v>0</v>
      </c>
      <c r="KL10" s="122">
        <f t="shared" si="99"/>
        <v>0</v>
      </c>
      <c r="KM10" s="122">
        <f t="shared" si="100"/>
        <v>0</v>
      </c>
      <c r="KN10" s="123">
        <f t="shared" si="101"/>
        <v>0</v>
      </c>
      <c r="KO10" s="123">
        <f t="shared" si="102"/>
        <v>0</v>
      </c>
      <c r="KP10" s="123">
        <f t="shared" si="103"/>
        <v>0</v>
      </c>
      <c r="KQ10" s="123">
        <f t="shared" si="104"/>
        <v>0</v>
      </c>
      <c r="KR10" s="123">
        <f t="shared" si="105"/>
        <v>0</v>
      </c>
      <c r="KT10">
        <f t="shared" si="106"/>
        <v>0</v>
      </c>
      <c r="KU10" s="123"/>
      <c r="KV10" s="123"/>
      <c r="KW10" s="123"/>
      <c r="KX10" s="123"/>
      <c r="KY10" s="123"/>
      <c r="KZ10" s="123"/>
      <c r="LA10" s="123"/>
      <c r="LB10" s="123"/>
      <c r="LC10" s="123"/>
      <c r="LD10" s="123"/>
      <c r="LE10" s="123"/>
      <c r="LF10" s="123"/>
      <c r="LG10" s="123"/>
      <c r="LH10" s="123"/>
      <c r="LI10" s="123"/>
      <c r="LJ10" s="123"/>
      <c r="LK10" s="123"/>
      <c r="LL10" s="123"/>
      <c r="LM10" s="123"/>
      <c r="LN10" s="123"/>
      <c r="LO10" s="123"/>
      <c r="LP10" s="123"/>
      <c r="LQ10" s="123"/>
      <c r="LR10" s="123"/>
      <c r="LS10" s="123"/>
      <c r="LT10" s="123"/>
      <c r="LU10" s="123"/>
      <c r="LV10" s="123"/>
      <c r="LW10" s="123"/>
      <c r="LX10" s="123"/>
      <c r="LY10" s="123"/>
      <c r="LZ10" s="123"/>
      <c r="MA10" s="123"/>
      <c r="MB10" s="123"/>
      <c r="MC10" s="123"/>
      <c r="MD10" s="123"/>
      <c r="ME10" s="123"/>
      <c r="MF10" s="123"/>
      <c r="MG10" s="123"/>
      <c r="MH10" s="123"/>
      <c r="MI10" s="123"/>
      <c r="MJ10" s="123"/>
      <c r="MK10" s="123"/>
      <c r="ML10" s="123"/>
      <c r="MM10" s="123"/>
      <c r="MN10" s="123"/>
      <c r="MO10" s="123"/>
      <c r="MP10" s="123"/>
      <c r="MQ10" s="123"/>
      <c r="MR10" s="123"/>
      <c r="MS10" s="123"/>
      <c r="MT10" s="123"/>
      <c r="MU10" s="123"/>
      <c r="MV10" s="123"/>
      <c r="MW10" s="123"/>
      <c r="MX10" s="123"/>
      <c r="MY10" s="123"/>
      <c r="MZ10" s="123"/>
      <c r="NA10" s="123"/>
      <c r="NB10" s="123"/>
      <c r="NC10" s="123"/>
      <c r="ND10" s="123"/>
      <c r="NE10" s="123"/>
      <c r="NF10" s="123"/>
      <c r="NG10" s="123"/>
      <c r="NH10" s="123"/>
      <c r="NI10" s="123"/>
      <c r="NJ10" s="123"/>
      <c r="NK10" s="123"/>
      <c r="NM10">
        <f t="shared" ref="NM10:NM41" si="168">IF(KS10=1,1,0)</f>
        <v>0</v>
      </c>
      <c r="NN10">
        <f t="shared" ref="NN10:NN41" si="169">IF(KS10=2,1,0)</f>
        <v>0</v>
      </c>
      <c r="NO10">
        <f t="shared" ref="NO10:NO41" si="170">IF(KS10=3,1,0)</f>
        <v>0</v>
      </c>
      <c r="NP10">
        <f t="shared" ref="NP10:NP41" si="171">IF(KS10=4,1,0)</f>
        <v>0</v>
      </c>
      <c r="NQ10">
        <f t="shared" ref="NQ10:NQ41" si="172">IF(KS10=5,1,0)</f>
        <v>0</v>
      </c>
      <c r="NR10">
        <f t="shared" ref="NR10:NR41" si="173">IF(KS10=6,1,0)</f>
        <v>0</v>
      </c>
      <c r="NS10">
        <f t="shared" ref="NS10:NS41" si="174">IF(KS10=7,1,0)</f>
        <v>0</v>
      </c>
      <c r="NT10">
        <f t="shared" ref="NT10:NT41" si="175">SUM(NM10:NS10)</f>
        <v>0</v>
      </c>
      <c r="NU10" s="29">
        <f t="shared" ref="NU10:NU41" si="176">NT10-KT10</f>
        <v>0</v>
      </c>
      <c r="NY10" s="17">
        <f t="shared" si="108"/>
        <v>1</v>
      </c>
      <c r="NZ10" s="152">
        <v>10800000</v>
      </c>
      <c r="OE10" s="155">
        <f t="shared" si="109"/>
        <v>0</v>
      </c>
      <c r="OF10" s="155">
        <f t="shared" si="110"/>
        <v>0</v>
      </c>
      <c r="OG10" s="155">
        <f t="shared" si="111"/>
        <v>0</v>
      </c>
      <c r="OH10" s="155">
        <f t="shared" ref="OH10:OH41" si="177">HE10</f>
        <v>0</v>
      </c>
      <c r="OI10" s="155">
        <f t="shared" si="112"/>
        <v>0</v>
      </c>
      <c r="OJ10" s="67">
        <f t="shared" ref="OJ10:OJ41" si="178">IF(OG10=1,OF10,0)</f>
        <v>0</v>
      </c>
      <c r="OK10" s="67">
        <f t="shared" ref="OK10:OK41" si="179">IF(OH10=1,OF10,0)</f>
        <v>0</v>
      </c>
      <c r="OL10" s="67">
        <f t="shared" ref="OL10:OL41" si="180">IF((OG10+OH10)=0,OF10,0)</f>
        <v>0</v>
      </c>
      <c r="OM10" s="67">
        <f t="shared" ref="OM10:OM41" si="181">SUM(OJ10:OL10)</f>
        <v>0</v>
      </c>
      <c r="OO10" s="155">
        <f t="shared" si="113"/>
        <v>0</v>
      </c>
      <c r="OP10" s="155">
        <f t="shared" si="114"/>
        <v>0</v>
      </c>
      <c r="OQ10" s="155">
        <f t="shared" ref="OQ10:OQ41" si="182">OG10</f>
        <v>0</v>
      </c>
      <c r="OR10" s="155">
        <f t="shared" ref="OR10:OR41" si="183">OH10</f>
        <v>0</v>
      </c>
      <c r="OS10" s="155">
        <f t="shared" ref="OS10:OS41" si="184">OI10</f>
        <v>0</v>
      </c>
      <c r="OT10" s="67">
        <f t="shared" ref="OT10:OT41" si="185">IF(OQ10=1,OP10,0)</f>
        <v>0</v>
      </c>
      <c r="OU10" s="67">
        <f t="shared" ref="OU10:OU41" si="186">IF(OR10=1,OP10,0)</f>
        <v>0</v>
      </c>
      <c r="OV10" s="67">
        <f t="shared" ref="OV10:OV41" si="187">IF((OQ10+OR10)=0,OP10,0)</f>
        <v>0</v>
      </c>
      <c r="OW10" s="67">
        <f t="shared" ref="OW10:OW41" si="188">SUM(OT10:OV10)</f>
        <v>0</v>
      </c>
      <c r="OZ10" s="163">
        <f t="shared" si="115"/>
        <v>0</v>
      </c>
      <c r="PA10" s="166"/>
      <c r="PB10" s="166"/>
      <c r="PC10" s="166"/>
      <c r="PD10" s="210">
        <f t="shared" si="116"/>
        <v>0</v>
      </c>
      <c r="PE10" s="210"/>
      <c r="PF10" s="210">
        <f t="shared" si="117"/>
        <v>0</v>
      </c>
      <c r="PG10" s="210">
        <f t="shared" si="118"/>
        <v>0</v>
      </c>
      <c r="PH10" s="210">
        <f t="shared" si="118"/>
        <v>0</v>
      </c>
      <c r="PI10" s="210">
        <f t="shared" si="118"/>
        <v>0</v>
      </c>
      <c r="PJ10" s="210">
        <f t="shared" si="118"/>
        <v>0</v>
      </c>
      <c r="PK10" s="210">
        <f t="shared" si="118"/>
        <v>0</v>
      </c>
      <c r="PL10" s="210">
        <f t="shared" si="118"/>
        <v>0</v>
      </c>
      <c r="PM10" s="164"/>
      <c r="PN10" s="164"/>
      <c r="PO10" s="172">
        <f t="shared" ref="PO10:PO49" si="189">IF(FC10=1,AB10,0)</f>
        <v>0</v>
      </c>
      <c r="PP10" s="172">
        <f t="shared" ref="PP10:PP49" si="190">IF(FF10=1,AB10,0)</f>
        <v>0</v>
      </c>
      <c r="PQ10" s="172">
        <f t="shared" ref="PQ10:PQ49" si="191">AB10-(PO10+PP10)</f>
        <v>0</v>
      </c>
      <c r="PR10" s="164"/>
      <c r="PS10" s="164"/>
      <c r="PT10" s="164"/>
      <c r="PU10" s="164"/>
    </row>
    <row r="11" spans="1:437 16383:16383" ht="16" x14ac:dyDescent="0.2">
      <c r="A11" s="19">
        <f t="shared" ref="A11:A54" si="192">A10+1</f>
        <v>3</v>
      </c>
      <c r="B11" s="138" t="s">
        <v>142</v>
      </c>
      <c r="C11" s="138">
        <v>6</v>
      </c>
      <c r="D11" s="20">
        <v>1</v>
      </c>
      <c r="E11" s="20">
        <v>350</v>
      </c>
      <c r="F11" s="20">
        <v>1</v>
      </c>
      <c r="G11" s="20">
        <f t="shared" si="119"/>
        <v>350</v>
      </c>
      <c r="H11" s="137">
        <f t="shared" si="2"/>
        <v>1</v>
      </c>
      <c r="I11" s="137">
        <f t="shared" si="3"/>
        <v>1</v>
      </c>
      <c r="J11" s="20">
        <v>1</v>
      </c>
      <c r="K11" s="20">
        <f t="shared" si="4"/>
        <v>350</v>
      </c>
      <c r="L11" s="137">
        <f t="shared" si="5"/>
        <v>1</v>
      </c>
      <c r="M11" s="137">
        <f t="shared" si="6"/>
        <v>1</v>
      </c>
      <c r="N11" s="20">
        <v>1</v>
      </c>
      <c r="O11" s="20">
        <f t="shared" si="7"/>
        <v>350</v>
      </c>
      <c r="P11" s="137">
        <f t="shared" si="8"/>
        <v>1</v>
      </c>
      <c r="Q11" s="137">
        <f t="shared" si="9"/>
        <v>1</v>
      </c>
      <c r="R11" s="20">
        <v>1</v>
      </c>
      <c r="S11" s="20">
        <f t="shared" si="10"/>
        <v>350</v>
      </c>
      <c r="T11" s="137">
        <f t="shared" si="11"/>
        <v>1</v>
      </c>
      <c r="U11" s="137">
        <f t="shared" si="12"/>
        <v>1</v>
      </c>
      <c r="V11" s="20">
        <v>1</v>
      </c>
      <c r="W11" s="20">
        <f t="shared" si="13"/>
        <v>350</v>
      </c>
      <c r="X11" s="137">
        <f t="shared" si="14"/>
        <v>1</v>
      </c>
      <c r="Y11" s="137">
        <f t="shared" si="15"/>
        <v>1</v>
      </c>
      <c r="Z11" s="38">
        <f>6605658000/1000000000</f>
        <v>6.605658</v>
      </c>
      <c r="AA11" s="20"/>
      <c r="AB11" s="17">
        <f t="shared" si="120"/>
        <v>0</v>
      </c>
      <c r="AC11" s="18">
        <f t="shared" si="121"/>
        <v>0</v>
      </c>
      <c r="AD11" s="18">
        <f t="shared" si="122"/>
        <v>0</v>
      </c>
      <c r="AE11" s="20"/>
      <c r="AF11" s="20">
        <f t="shared" si="123"/>
        <v>0</v>
      </c>
      <c r="AG11" s="17"/>
      <c r="AH11" s="170"/>
      <c r="AI11" s="20">
        <v>0</v>
      </c>
      <c r="AJ11" s="20">
        <f t="shared" si="18"/>
        <v>0</v>
      </c>
      <c r="AK11" s="20"/>
      <c r="AL11" s="20">
        <v>0</v>
      </c>
      <c r="AM11" s="20">
        <v>0</v>
      </c>
      <c r="AN11" s="139"/>
      <c r="BB11" s="20">
        <f t="shared" si="124"/>
        <v>0</v>
      </c>
      <c r="BE11" s="20">
        <f t="shared" si="19"/>
        <v>0</v>
      </c>
      <c r="BF11" s="20">
        <f t="shared" si="20"/>
        <v>0</v>
      </c>
      <c r="BG11" s="20">
        <f t="shared" si="21"/>
        <v>0</v>
      </c>
      <c r="BH11" s="20">
        <f t="shared" si="22"/>
        <v>0</v>
      </c>
      <c r="BI11" s="20">
        <f t="shared" si="23"/>
        <v>0</v>
      </c>
      <c r="BJ11" s="20">
        <f t="shared" si="24"/>
        <v>0</v>
      </c>
      <c r="BK11" s="20">
        <f t="shared" si="125"/>
        <v>0</v>
      </c>
      <c r="BN11" s="139">
        <v>158</v>
      </c>
      <c r="BO11" s="284"/>
      <c r="BP11" s="139">
        <v>1</v>
      </c>
      <c r="BQ11" s="139"/>
      <c r="BR11" s="139"/>
      <c r="BS11" s="139"/>
      <c r="BT11" s="139"/>
      <c r="BU11" s="139"/>
      <c r="BV11" s="139"/>
      <c r="BW11" s="139"/>
      <c r="BX11" s="139"/>
      <c r="BY11" s="139"/>
      <c r="BZ11" s="139"/>
      <c r="CB11" s="139"/>
      <c r="CD11" s="17">
        <f t="shared" si="126"/>
        <v>158</v>
      </c>
      <c r="CE11" s="17">
        <f t="shared" si="127"/>
        <v>0</v>
      </c>
      <c r="CF11" s="139">
        <f t="shared" si="128"/>
        <v>158</v>
      </c>
      <c r="CG11" s="139">
        <f t="shared" si="129"/>
        <v>0</v>
      </c>
      <c r="CH11" s="139">
        <f t="shared" si="130"/>
        <v>0</v>
      </c>
      <c r="CI11" s="139">
        <f t="shared" si="131"/>
        <v>0</v>
      </c>
      <c r="CJ11" s="139">
        <f t="shared" si="132"/>
        <v>0</v>
      </c>
      <c r="CK11" s="139">
        <f t="shared" si="133"/>
        <v>0</v>
      </c>
      <c r="CL11" s="139">
        <f t="shared" si="134"/>
        <v>0</v>
      </c>
      <c r="CM11" s="139">
        <f t="shared" si="135"/>
        <v>0</v>
      </c>
      <c r="CN11" s="139">
        <f t="shared" si="136"/>
        <v>0</v>
      </c>
      <c r="CO11" s="139">
        <f t="shared" si="137"/>
        <v>0</v>
      </c>
      <c r="CP11" s="139">
        <f t="shared" si="138"/>
        <v>0</v>
      </c>
      <c r="CQ11" s="148">
        <f t="shared" si="27"/>
        <v>0</v>
      </c>
      <c r="DV11" s="139">
        <f t="shared" si="28"/>
        <v>0</v>
      </c>
      <c r="DW11" s="139">
        <f t="shared" si="29"/>
        <v>0</v>
      </c>
      <c r="DX11" s="139">
        <f t="shared" si="30"/>
        <v>0</v>
      </c>
      <c r="DY11" s="139">
        <f t="shared" si="31"/>
        <v>0</v>
      </c>
      <c r="DZ11" s="139">
        <f t="shared" si="32"/>
        <v>0</v>
      </c>
      <c r="EA11" s="139">
        <f t="shared" si="33"/>
        <v>0</v>
      </c>
      <c r="EB11" s="139">
        <f t="shared" si="139"/>
        <v>0</v>
      </c>
      <c r="ED11" s="46" t="s">
        <v>368</v>
      </c>
      <c r="EE11" s="46" t="s">
        <v>370</v>
      </c>
      <c r="EF11" s="56"/>
      <c r="EG11" s="57">
        <f t="shared" si="140"/>
        <v>0</v>
      </c>
      <c r="EH11" s="57">
        <f t="shared" si="141"/>
        <v>0</v>
      </c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X11" s="177">
        <v>1</v>
      </c>
      <c r="FY11" s="17">
        <f t="shared" si="142"/>
        <v>158</v>
      </c>
      <c r="FZ11" s="17">
        <f t="shared" si="35"/>
        <v>0</v>
      </c>
      <c r="GA11" s="17">
        <f t="shared" si="36"/>
        <v>158</v>
      </c>
      <c r="GB11" s="17">
        <f t="shared" si="37"/>
        <v>0</v>
      </c>
      <c r="GC11" s="17">
        <f t="shared" si="38"/>
        <v>0</v>
      </c>
      <c r="GD11" s="17">
        <f t="shared" si="39"/>
        <v>0</v>
      </c>
      <c r="GE11" s="17">
        <f t="shared" si="40"/>
        <v>0</v>
      </c>
      <c r="GF11" s="67"/>
      <c r="GG11" s="17">
        <v>0</v>
      </c>
      <c r="GH11" s="17">
        <v>0</v>
      </c>
      <c r="GI11" s="67"/>
      <c r="GJ11" s="62">
        <f t="shared" si="143"/>
        <v>0</v>
      </c>
      <c r="GK11" s="62">
        <f t="shared" si="144"/>
        <v>0</v>
      </c>
      <c r="GO11" s="17">
        <f t="shared" si="41"/>
        <v>0</v>
      </c>
      <c r="GP11" s="17">
        <f t="shared" si="42"/>
        <v>0</v>
      </c>
      <c r="GQ11" s="17">
        <f t="shared" si="43"/>
        <v>0</v>
      </c>
      <c r="GR11" s="17">
        <f t="shared" si="44"/>
        <v>0</v>
      </c>
      <c r="GS11" s="17">
        <f t="shared" si="45"/>
        <v>0</v>
      </c>
      <c r="GT11" s="17">
        <f t="shared" si="145"/>
        <v>1</v>
      </c>
      <c r="GU11" s="101">
        <f t="shared" si="146"/>
        <v>43243</v>
      </c>
      <c r="GV11" s="17" t="str">
        <f t="shared" si="147"/>
        <v>SELESAI</v>
      </c>
      <c r="GW11" s="17">
        <f t="shared" si="148"/>
        <v>0</v>
      </c>
      <c r="GX11" s="66" t="str">
        <f t="shared" si="149"/>
        <v>SELESAI</v>
      </c>
      <c r="GY11" s="66">
        <f t="shared" si="150"/>
        <v>0</v>
      </c>
      <c r="GZ11" s="102" t="str">
        <f t="shared" si="151"/>
        <v>SELESAI</v>
      </c>
      <c r="HA11" s="83"/>
      <c r="HB11" s="83"/>
      <c r="HC11" s="17">
        <f t="shared" si="46"/>
        <v>0</v>
      </c>
      <c r="HD11" s="17">
        <f t="shared" si="47"/>
        <v>0</v>
      </c>
      <c r="HE11" s="17">
        <f t="shared" si="152"/>
        <v>0</v>
      </c>
      <c r="HF11" s="17">
        <f t="shared" si="153"/>
        <v>0</v>
      </c>
      <c r="HG11" s="17">
        <f t="shared" si="154"/>
        <v>0</v>
      </c>
      <c r="HH11" s="101" t="str">
        <f t="shared" si="48"/>
        <v>TIDAK KONSINYASI</v>
      </c>
      <c r="HI11" s="101" t="str">
        <f t="shared" si="155"/>
        <v>SELESAI</v>
      </c>
      <c r="HJ11" s="27"/>
      <c r="HK11" s="101">
        <f t="shared" si="49"/>
        <v>0</v>
      </c>
      <c r="HL11" s="83"/>
      <c r="HM11" s="83"/>
      <c r="HN11" s="83"/>
      <c r="HO11" s="83"/>
      <c r="HP11" s="102">
        <f t="shared" si="156"/>
        <v>0</v>
      </c>
      <c r="HQ11" s="66">
        <f t="shared" si="157"/>
        <v>0</v>
      </c>
      <c r="HR11" s="66">
        <f t="shared" si="50"/>
        <v>0</v>
      </c>
      <c r="HS11" s="102">
        <f t="shared" si="158"/>
        <v>0</v>
      </c>
      <c r="HT11" s="66">
        <f t="shared" si="159"/>
        <v>0</v>
      </c>
      <c r="HU11" s="66">
        <f t="shared" si="51"/>
        <v>0</v>
      </c>
      <c r="HV11" s="102">
        <f t="shared" si="160"/>
        <v>0</v>
      </c>
      <c r="HW11" s="66">
        <f t="shared" si="52"/>
        <v>0</v>
      </c>
      <c r="HX11" s="66">
        <f t="shared" si="53"/>
        <v>0</v>
      </c>
      <c r="HY11" s="102">
        <f t="shared" si="54"/>
        <v>0</v>
      </c>
      <c r="HZ11" s="66">
        <f t="shared" si="161"/>
        <v>0</v>
      </c>
      <c r="IA11" s="66">
        <f t="shared" si="55"/>
        <v>0</v>
      </c>
      <c r="IB11" s="102">
        <f t="shared" si="162"/>
        <v>0</v>
      </c>
      <c r="IC11" s="66">
        <f t="shared" si="56"/>
        <v>0</v>
      </c>
      <c r="ID11" s="66">
        <f t="shared" si="57"/>
        <v>0</v>
      </c>
      <c r="IE11" s="102">
        <f t="shared" si="58"/>
        <v>0</v>
      </c>
      <c r="IF11" s="66">
        <f t="shared" si="59"/>
        <v>0</v>
      </c>
      <c r="IG11" s="66">
        <f t="shared" si="60"/>
        <v>0</v>
      </c>
      <c r="IH11" s="102">
        <f t="shared" si="163"/>
        <v>0</v>
      </c>
      <c r="II11" s="66">
        <f t="shared" si="164"/>
        <v>0</v>
      </c>
      <c r="IJ11" s="66">
        <f t="shared" si="61"/>
        <v>0</v>
      </c>
      <c r="IK11" s="102">
        <f t="shared" si="62"/>
        <v>0</v>
      </c>
      <c r="IL11" s="66">
        <f t="shared" si="63"/>
        <v>0</v>
      </c>
      <c r="IM11" s="66">
        <f t="shared" si="64"/>
        <v>0</v>
      </c>
      <c r="IN11" s="83"/>
      <c r="IO11" s="102">
        <f t="shared" si="65"/>
        <v>0</v>
      </c>
      <c r="IP11" s="66">
        <f t="shared" si="66"/>
        <v>0</v>
      </c>
      <c r="IQ11" s="66">
        <f t="shared" si="67"/>
        <v>0</v>
      </c>
      <c r="IR11" s="83"/>
      <c r="IS11" s="102"/>
      <c r="IT11" s="66">
        <f t="shared" si="68"/>
        <v>1</v>
      </c>
      <c r="IU11" s="66">
        <f t="shared" si="69"/>
        <v>350</v>
      </c>
      <c r="IV11" s="83"/>
      <c r="IW11" s="102"/>
      <c r="IX11" s="66">
        <f t="shared" si="70"/>
        <v>0</v>
      </c>
      <c r="IY11" s="66">
        <f t="shared" si="71"/>
        <v>0</v>
      </c>
      <c r="IZ11" s="83"/>
      <c r="JA11" s="102"/>
      <c r="JB11" s="66">
        <f t="shared" si="72"/>
        <v>0</v>
      </c>
      <c r="JC11" s="66">
        <f t="shared" si="73"/>
        <v>0</v>
      </c>
      <c r="JD11" s="83"/>
      <c r="JE11" s="102"/>
      <c r="JF11" s="66">
        <f t="shared" si="165"/>
        <v>1</v>
      </c>
      <c r="JG11" s="66">
        <f t="shared" si="74"/>
        <v>350</v>
      </c>
      <c r="JH11" s="83"/>
      <c r="JI11" s="102"/>
      <c r="JJ11" s="66">
        <f t="shared" si="75"/>
        <v>0</v>
      </c>
      <c r="JK11" s="66">
        <f t="shared" si="76"/>
        <v>0</v>
      </c>
      <c r="JM11" s="102">
        <f t="shared" si="166"/>
        <v>0</v>
      </c>
      <c r="JO11" s="29">
        <f t="shared" si="77"/>
        <v>1</v>
      </c>
      <c r="JP11" s="122">
        <f t="shared" si="78"/>
        <v>158</v>
      </c>
      <c r="JQ11" s="122">
        <f t="shared" si="79"/>
        <v>0</v>
      </c>
      <c r="JR11" s="122">
        <f t="shared" si="80"/>
        <v>1</v>
      </c>
      <c r="JS11" s="122">
        <f t="shared" si="81"/>
        <v>0</v>
      </c>
      <c r="JT11" s="122">
        <f t="shared" si="82"/>
        <v>0</v>
      </c>
      <c r="JU11" s="122">
        <f t="shared" si="83"/>
        <v>0</v>
      </c>
      <c r="JV11" s="122">
        <f t="shared" si="84"/>
        <v>0</v>
      </c>
      <c r="JW11" s="122">
        <f t="shared" si="85"/>
        <v>0</v>
      </c>
      <c r="JX11" s="122">
        <f t="shared" si="86"/>
        <v>0</v>
      </c>
      <c r="JY11" s="122">
        <f t="shared" si="87"/>
        <v>0</v>
      </c>
      <c r="JZ11" s="122">
        <f t="shared" si="88"/>
        <v>0</v>
      </c>
      <c r="KA11" s="122">
        <f t="shared" si="89"/>
        <v>0</v>
      </c>
      <c r="KB11" s="122">
        <f t="shared" si="90"/>
        <v>0</v>
      </c>
      <c r="KD11" s="122">
        <f t="shared" si="167"/>
        <v>1</v>
      </c>
      <c r="KE11" s="122">
        <f t="shared" si="92"/>
        <v>158</v>
      </c>
      <c r="KF11" s="122">
        <f t="shared" si="93"/>
        <v>158</v>
      </c>
      <c r="KG11" s="122">
        <f t="shared" si="94"/>
        <v>0</v>
      </c>
      <c r="KH11" s="122">
        <f t="shared" si="95"/>
        <v>158</v>
      </c>
      <c r="KI11" s="122">
        <f t="shared" si="96"/>
        <v>0</v>
      </c>
      <c r="KJ11" s="122">
        <f t="shared" si="97"/>
        <v>0</v>
      </c>
      <c r="KK11" s="122">
        <f t="shared" si="98"/>
        <v>0</v>
      </c>
      <c r="KL11" s="122">
        <f t="shared" si="99"/>
        <v>0</v>
      </c>
      <c r="KM11" s="122">
        <f t="shared" si="100"/>
        <v>0</v>
      </c>
      <c r="KN11" s="123">
        <f t="shared" si="101"/>
        <v>0</v>
      </c>
      <c r="KO11" s="123">
        <f t="shared" si="102"/>
        <v>0</v>
      </c>
      <c r="KP11" s="123">
        <f t="shared" si="103"/>
        <v>0</v>
      </c>
      <c r="KQ11" s="123">
        <f t="shared" si="104"/>
        <v>0</v>
      </c>
      <c r="KR11" s="123">
        <f t="shared" si="105"/>
        <v>0</v>
      </c>
      <c r="KT11">
        <f t="shared" si="106"/>
        <v>0</v>
      </c>
      <c r="KU11" s="123"/>
      <c r="KV11" s="123"/>
      <c r="KW11" s="123"/>
      <c r="KX11" s="123"/>
      <c r="KY11" s="123"/>
      <c r="KZ11" s="123"/>
      <c r="LA11" s="123"/>
      <c r="LB11" s="123"/>
      <c r="LC11" s="123"/>
      <c r="LD11" s="123"/>
      <c r="LE11" s="123"/>
      <c r="LF11" s="123"/>
      <c r="LG11" s="123"/>
      <c r="LH11" s="123"/>
      <c r="LI11" s="123"/>
      <c r="LJ11" s="123"/>
      <c r="LK11" s="123"/>
      <c r="LL11" s="123"/>
      <c r="LM11" s="123"/>
      <c r="LN11" s="123"/>
      <c r="LO11" s="123"/>
      <c r="LP11" s="123"/>
      <c r="LQ11" s="123"/>
      <c r="LR11" s="123"/>
      <c r="LS11" s="123"/>
      <c r="LT11" s="123"/>
      <c r="LU11" s="123"/>
      <c r="LV11" s="123"/>
      <c r="LW11" s="123"/>
      <c r="LX11" s="123"/>
      <c r="LY11" s="123"/>
      <c r="LZ11" s="123"/>
      <c r="MA11" s="123"/>
      <c r="MB11" s="123"/>
      <c r="MC11" s="123"/>
      <c r="MD11" s="123"/>
      <c r="ME11" s="123"/>
      <c r="MF11" s="123"/>
      <c r="MG11" s="123"/>
      <c r="MH11" s="123"/>
      <c r="MI11" s="123"/>
      <c r="MJ11" s="123"/>
      <c r="MK11" s="123"/>
      <c r="ML11" s="123"/>
      <c r="MM11" s="123"/>
      <c r="MN11" s="123"/>
      <c r="MO11" s="123"/>
      <c r="MP11" s="123"/>
      <c r="MQ11" s="123"/>
      <c r="MR11" s="123"/>
      <c r="MS11" s="123"/>
      <c r="MT11" s="123"/>
      <c r="MU11" s="123"/>
      <c r="MV11" s="123"/>
      <c r="MW11" s="123"/>
      <c r="MX11" s="123"/>
      <c r="MY11" s="123"/>
      <c r="MZ11" s="123"/>
      <c r="NA11" s="123"/>
      <c r="NB11" s="123"/>
      <c r="NC11" s="123"/>
      <c r="ND11" s="123"/>
      <c r="NE11" s="123"/>
      <c r="NF11" s="123"/>
      <c r="NG11" s="123"/>
      <c r="NH11" s="123"/>
      <c r="NI11" s="123"/>
      <c r="NJ11" s="123"/>
      <c r="NK11" s="123"/>
      <c r="NM11">
        <f t="shared" si="168"/>
        <v>0</v>
      </c>
      <c r="NN11">
        <f t="shared" si="169"/>
        <v>0</v>
      </c>
      <c r="NO11">
        <f t="shared" si="170"/>
        <v>0</v>
      </c>
      <c r="NP11">
        <f t="shared" si="171"/>
        <v>0</v>
      </c>
      <c r="NQ11">
        <f t="shared" si="172"/>
        <v>0</v>
      </c>
      <c r="NR11">
        <f t="shared" si="173"/>
        <v>0</v>
      </c>
      <c r="NS11">
        <f t="shared" si="174"/>
        <v>0</v>
      </c>
      <c r="NT11">
        <f t="shared" si="175"/>
        <v>0</v>
      </c>
      <c r="NU11" s="29">
        <f t="shared" si="176"/>
        <v>0</v>
      </c>
      <c r="NY11" s="17">
        <f t="shared" si="108"/>
        <v>1</v>
      </c>
      <c r="NZ11" s="152">
        <v>10800000</v>
      </c>
      <c r="OE11" s="155">
        <f t="shared" si="109"/>
        <v>0</v>
      </c>
      <c r="OF11" s="155">
        <f t="shared" si="110"/>
        <v>0</v>
      </c>
      <c r="OG11" s="155">
        <f t="shared" si="111"/>
        <v>0</v>
      </c>
      <c r="OH11" s="155">
        <f t="shared" si="177"/>
        <v>0</v>
      </c>
      <c r="OI11" s="155">
        <f t="shared" si="112"/>
        <v>0</v>
      </c>
      <c r="OJ11" s="67">
        <f t="shared" si="178"/>
        <v>0</v>
      </c>
      <c r="OK11" s="67">
        <f t="shared" si="179"/>
        <v>0</v>
      </c>
      <c r="OL11" s="67">
        <f t="shared" si="180"/>
        <v>0</v>
      </c>
      <c r="OM11" s="67">
        <f t="shared" si="181"/>
        <v>0</v>
      </c>
      <c r="OO11" s="155">
        <f t="shared" si="113"/>
        <v>0</v>
      </c>
      <c r="OP11" s="155">
        <f t="shared" si="114"/>
        <v>0</v>
      </c>
      <c r="OQ11" s="155">
        <f t="shared" si="182"/>
        <v>0</v>
      </c>
      <c r="OR11" s="155">
        <f t="shared" si="183"/>
        <v>0</v>
      </c>
      <c r="OS11" s="155">
        <f t="shared" si="184"/>
        <v>0</v>
      </c>
      <c r="OT11" s="67">
        <f t="shared" si="185"/>
        <v>0</v>
      </c>
      <c r="OU11" s="67">
        <f t="shared" si="186"/>
        <v>0</v>
      </c>
      <c r="OV11" s="67">
        <f t="shared" si="187"/>
        <v>0</v>
      </c>
      <c r="OW11" s="67">
        <f t="shared" si="188"/>
        <v>0</v>
      </c>
      <c r="OZ11" s="163">
        <f t="shared" si="115"/>
        <v>0</v>
      </c>
      <c r="PA11" s="166"/>
      <c r="PB11" s="166"/>
      <c r="PC11" s="166"/>
      <c r="PD11" s="210">
        <f t="shared" si="116"/>
        <v>0</v>
      </c>
      <c r="PE11" s="210"/>
      <c r="PF11" s="210">
        <f t="shared" si="117"/>
        <v>0</v>
      </c>
      <c r="PG11" s="210">
        <f t="shared" si="118"/>
        <v>0</v>
      </c>
      <c r="PH11" s="210">
        <f t="shared" si="118"/>
        <v>0</v>
      </c>
      <c r="PI11" s="210">
        <f t="shared" si="118"/>
        <v>0</v>
      </c>
      <c r="PJ11" s="210">
        <f t="shared" si="118"/>
        <v>0</v>
      </c>
      <c r="PK11" s="210">
        <f t="shared" si="118"/>
        <v>0</v>
      </c>
      <c r="PL11" s="210">
        <f t="shared" si="118"/>
        <v>0</v>
      </c>
      <c r="PM11" s="164"/>
      <c r="PN11" s="164"/>
      <c r="PO11" s="172">
        <f t="shared" si="189"/>
        <v>0</v>
      </c>
      <c r="PP11" s="172">
        <f t="shared" si="190"/>
        <v>0</v>
      </c>
      <c r="PQ11" s="172">
        <f t="shared" si="191"/>
        <v>0</v>
      </c>
      <c r="PR11" s="164"/>
      <c r="PS11" s="164"/>
      <c r="PT11" s="164"/>
      <c r="PU11" s="164"/>
    </row>
    <row r="12" spans="1:437 16383:16383" ht="16" x14ac:dyDescent="0.2">
      <c r="A12" s="19">
        <f t="shared" si="192"/>
        <v>4</v>
      </c>
      <c r="B12" s="138" t="s">
        <v>142</v>
      </c>
      <c r="C12" s="138">
        <v>7</v>
      </c>
      <c r="D12" s="20">
        <v>1</v>
      </c>
      <c r="E12" s="20">
        <v>440</v>
      </c>
      <c r="F12" s="20">
        <v>1</v>
      </c>
      <c r="G12" s="20">
        <f t="shared" si="119"/>
        <v>440</v>
      </c>
      <c r="H12" s="137">
        <f t="shared" si="2"/>
        <v>1</v>
      </c>
      <c r="I12" s="137">
        <f t="shared" si="3"/>
        <v>1</v>
      </c>
      <c r="J12" s="20">
        <v>1</v>
      </c>
      <c r="K12" s="20">
        <f t="shared" si="4"/>
        <v>440</v>
      </c>
      <c r="L12" s="137">
        <f t="shared" si="5"/>
        <v>1</v>
      </c>
      <c r="M12" s="137">
        <f t="shared" si="6"/>
        <v>1</v>
      </c>
      <c r="N12" s="20">
        <v>1</v>
      </c>
      <c r="O12" s="20">
        <f t="shared" si="7"/>
        <v>440</v>
      </c>
      <c r="P12" s="137">
        <f t="shared" si="8"/>
        <v>1</v>
      </c>
      <c r="Q12" s="137">
        <f t="shared" si="9"/>
        <v>1</v>
      </c>
      <c r="R12" s="20">
        <v>1</v>
      </c>
      <c r="S12" s="20">
        <f t="shared" si="10"/>
        <v>440</v>
      </c>
      <c r="T12" s="137">
        <f t="shared" si="11"/>
        <v>1</v>
      </c>
      <c r="U12" s="137">
        <f t="shared" si="12"/>
        <v>1</v>
      </c>
      <c r="V12" s="20">
        <v>1</v>
      </c>
      <c r="W12" s="20">
        <f t="shared" si="13"/>
        <v>440</v>
      </c>
      <c r="X12" s="137">
        <f t="shared" si="14"/>
        <v>1</v>
      </c>
      <c r="Y12" s="137">
        <f t="shared" si="15"/>
        <v>1</v>
      </c>
      <c r="Z12" s="38">
        <f>5090357000/1000000000</f>
        <v>5.090357</v>
      </c>
      <c r="AA12" s="20"/>
      <c r="AB12" s="17">
        <f t="shared" si="120"/>
        <v>0</v>
      </c>
      <c r="AC12" s="18">
        <f t="shared" si="121"/>
        <v>0</v>
      </c>
      <c r="AD12" s="18">
        <f t="shared" si="122"/>
        <v>0</v>
      </c>
      <c r="AE12" s="20"/>
      <c r="AF12" s="20">
        <f t="shared" si="123"/>
        <v>0</v>
      </c>
      <c r="AG12" s="17"/>
      <c r="AH12" s="170"/>
      <c r="AI12" s="20">
        <v>0</v>
      </c>
      <c r="AJ12" s="20">
        <f t="shared" si="18"/>
        <v>0</v>
      </c>
      <c r="AK12" s="20"/>
      <c r="AL12" s="20">
        <v>0</v>
      </c>
      <c r="AM12" s="20">
        <v>0</v>
      </c>
      <c r="AN12" s="139"/>
      <c r="BB12" s="20">
        <f t="shared" si="124"/>
        <v>0</v>
      </c>
      <c r="BE12" s="20">
        <f t="shared" si="19"/>
        <v>0</v>
      </c>
      <c r="BF12" s="20">
        <f t="shared" si="20"/>
        <v>0</v>
      </c>
      <c r="BG12" s="20">
        <f t="shared" si="21"/>
        <v>0</v>
      </c>
      <c r="BH12" s="20">
        <f t="shared" si="22"/>
        <v>0</v>
      </c>
      <c r="BI12" s="20">
        <f t="shared" si="23"/>
        <v>0</v>
      </c>
      <c r="BJ12" s="20">
        <f t="shared" si="24"/>
        <v>0</v>
      </c>
      <c r="BK12" s="20">
        <f t="shared" si="125"/>
        <v>0</v>
      </c>
      <c r="BN12" s="139">
        <v>390</v>
      </c>
      <c r="BO12" s="284"/>
      <c r="BP12" s="139">
        <v>1</v>
      </c>
      <c r="BQ12" s="139"/>
      <c r="BR12" s="139"/>
      <c r="BS12" s="139"/>
      <c r="BT12" s="139"/>
      <c r="BU12" s="139"/>
      <c r="BV12" s="139"/>
      <c r="BW12" s="139"/>
      <c r="BX12" s="139"/>
      <c r="BY12" s="139"/>
      <c r="BZ12" s="139"/>
      <c r="CB12" s="139"/>
      <c r="CD12" s="17">
        <f t="shared" si="126"/>
        <v>390</v>
      </c>
      <c r="CE12" s="17">
        <f t="shared" si="127"/>
        <v>0</v>
      </c>
      <c r="CF12" s="139">
        <f t="shared" si="128"/>
        <v>390</v>
      </c>
      <c r="CG12" s="139">
        <f t="shared" si="129"/>
        <v>0</v>
      </c>
      <c r="CH12" s="139">
        <f t="shared" si="130"/>
        <v>0</v>
      </c>
      <c r="CI12" s="139">
        <f t="shared" si="131"/>
        <v>0</v>
      </c>
      <c r="CJ12" s="139">
        <f t="shared" si="132"/>
        <v>0</v>
      </c>
      <c r="CK12" s="139">
        <f t="shared" si="133"/>
        <v>0</v>
      </c>
      <c r="CL12" s="139">
        <f t="shared" si="134"/>
        <v>0</v>
      </c>
      <c r="CM12" s="139">
        <f t="shared" si="135"/>
        <v>0</v>
      </c>
      <c r="CN12" s="139">
        <f t="shared" si="136"/>
        <v>0</v>
      </c>
      <c r="CO12" s="139">
        <f t="shared" si="137"/>
        <v>0</v>
      </c>
      <c r="CP12" s="139">
        <f t="shared" si="138"/>
        <v>0</v>
      </c>
      <c r="CQ12" s="148">
        <f t="shared" si="27"/>
        <v>0</v>
      </c>
      <c r="DV12" s="139">
        <f t="shared" si="28"/>
        <v>0</v>
      </c>
      <c r="DW12" s="139">
        <f t="shared" si="29"/>
        <v>0</v>
      </c>
      <c r="DX12" s="139">
        <f t="shared" si="30"/>
        <v>0</v>
      </c>
      <c r="DY12" s="139">
        <f t="shared" si="31"/>
        <v>0</v>
      </c>
      <c r="DZ12" s="139">
        <f t="shared" si="32"/>
        <v>0</v>
      </c>
      <c r="EA12" s="139">
        <f t="shared" si="33"/>
        <v>0</v>
      </c>
      <c r="EB12" s="139">
        <f t="shared" si="139"/>
        <v>0</v>
      </c>
      <c r="ED12" s="46" t="s">
        <v>371</v>
      </c>
      <c r="EE12" s="46" t="s">
        <v>372</v>
      </c>
      <c r="EF12" s="56"/>
      <c r="EG12" s="57">
        <f t="shared" si="140"/>
        <v>0</v>
      </c>
      <c r="EH12" s="57">
        <f t="shared" si="141"/>
        <v>0</v>
      </c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X12" s="177">
        <v>1</v>
      </c>
      <c r="FY12" s="17">
        <f t="shared" si="142"/>
        <v>390</v>
      </c>
      <c r="FZ12" s="17">
        <f t="shared" si="35"/>
        <v>0</v>
      </c>
      <c r="GA12" s="17">
        <f t="shared" si="36"/>
        <v>390</v>
      </c>
      <c r="GB12" s="17">
        <f t="shared" si="37"/>
        <v>0</v>
      </c>
      <c r="GC12" s="17">
        <f t="shared" si="38"/>
        <v>0</v>
      </c>
      <c r="GD12" s="17">
        <f t="shared" si="39"/>
        <v>0</v>
      </c>
      <c r="GE12" s="17">
        <f t="shared" si="40"/>
        <v>0</v>
      </c>
      <c r="GF12" s="67"/>
      <c r="GG12" s="17">
        <v>0</v>
      </c>
      <c r="GH12" s="17">
        <v>0</v>
      </c>
      <c r="GI12" s="67"/>
      <c r="GJ12" s="62">
        <f t="shared" si="143"/>
        <v>0</v>
      </c>
      <c r="GK12" s="62">
        <f t="shared" si="144"/>
        <v>0</v>
      </c>
      <c r="GO12" s="17">
        <f t="shared" si="41"/>
        <v>0</v>
      </c>
      <c r="GP12" s="17">
        <f t="shared" si="42"/>
        <v>0</v>
      </c>
      <c r="GQ12" s="17">
        <f t="shared" si="43"/>
        <v>0</v>
      </c>
      <c r="GR12" s="17">
        <f t="shared" si="44"/>
        <v>0</v>
      </c>
      <c r="GS12" s="17">
        <f t="shared" si="45"/>
        <v>0</v>
      </c>
      <c r="GT12" s="17">
        <f t="shared" si="145"/>
        <v>1</v>
      </c>
      <c r="GU12" s="101">
        <f t="shared" si="146"/>
        <v>43243</v>
      </c>
      <c r="GV12" s="17" t="str">
        <f t="shared" si="147"/>
        <v>SELESAI</v>
      </c>
      <c r="GW12" s="17">
        <f t="shared" si="148"/>
        <v>0</v>
      </c>
      <c r="GX12" s="66" t="str">
        <f t="shared" si="149"/>
        <v>SELESAI</v>
      </c>
      <c r="GY12" s="66">
        <f t="shared" si="150"/>
        <v>0</v>
      </c>
      <c r="GZ12" s="102" t="str">
        <f t="shared" si="151"/>
        <v>SELESAI</v>
      </c>
      <c r="HA12" s="83"/>
      <c r="HB12" s="83"/>
      <c r="HC12" s="17">
        <f t="shared" si="46"/>
        <v>0</v>
      </c>
      <c r="HD12" s="17">
        <f t="shared" si="47"/>
        <v>0</v>
      </c>
      <c r="HE12" s="17">
        <f t="shared" si="152"/>
        <v>0</v>
      </c>
      <c r="HF12" s="17">
        <f t="shared" si="153"/>
        <v>0</v>
      </c>
      <c r="HG12" s="17">
        <f t="shared" si="154"/>
        <v>0</v>
      </c>
      <c r="HH12" s="101" t="str">
        <f t="shared" si="48"/>
        <v>TIDAK KONSINYASI</v>
      </c>
      <c r="HI12" s="101" t="str">
        <f t="shared" si="155"/>
        <v>SELESAI</v>
      </c>
      <c r="HJ12" s="27"/>
      <c r="HK12" s="101">
        <f t="shared" si="49"/>
        <v>0</v>
      </c>
      <c r="HL12" s="83"/>
      <c r="HM12" s="83"/>
      <c r="HN12" s="83"/>
      <c r="HO12" s="83"/>
      <c r="HP12" s="102">
        <f t="shared" si="156"/>
        <v>0</v>
      </c>
      <c r="HQ12" s="66">
        <f t="shared" si="157"/>
        <v>0</v>
      </c>
      <c r="HR12" s="66">
        <f t="shared" si="50"/>
        <v>0</v>
      </c>
      <c r="HS12" s="102">
        <f t="shared" si="158"/>
        <v>0</v>
      </c>
      <c r="HT12" s="66">
        <f t="shared" si="159"/>
        <v>0</v>
      </c>
      <c r="HU12" s="66">
        <f t="shared" si="51"/>
        <v>0</v>
      </c>
      <c r="HV12" s="102">
        <f t="shared" si="160"/>
        <v>0</v>
      </c>
      <c r="HW12" s="66">
        <f t="shared" si="52"/>
        <v>0</v>
      </c>
      <c r="HX12" s="66">
        <f t="shared" si="53"/>
        <v>0</v>
      </c>
      <c r="HY12" s="102">
        <f t="shared" si="54"/>
        <v>0</v>
      </c>
      <c r="HZ12" s="66">
        <f t="shared" si="161"/>
        <v>0</v>
      </c>
      <c r="IA12" s="66">
        <f t="shared" si="55"/>
        <v>0</v>
      </c>
      <c r="IB12" s="102">
        <f t="shared" si="162"/>
        <v>0</v>
      </c>
      <c r="IC12" s="66">
        <f t="shared" si="56"/>
        <v>0</v>
      </c>
      <c r="ID12" s="66">
        <f t="shared" si="57"/>
        <v>0</v>
      </c>
      <c r="IE12" s="102">
        <f t="shared" si="58"/>
        <v>0</v>
      </c>
      <c r="IF12" s="66">
        <f t="shared" si="59"/>
        <v>0</v>
      </c>
      <c r="IG12" s="66">
        <f t="shared" si="60"/>
        <v>0</v>
      </c>
      <c r="IH12" s="102">
        <f t="shared" si="163"/>
        <v>0</v>
      </c>
      <c r="II12" s="66">
        <f t="shared" si="164"/>
        <v>0</v>
      </c>
      <c r="IJ12" s="66">
        <f t="shared" si="61"/>
        <v>0</v>
      </c>
      <c r="IK12" s="102">
        <f t="shared" si="62"/>
        <v>0</v>
      </c>
      <c r="IL12" s="66">
        <f t="shared" si="63"/>
        <v>0</v>
      </c>
      <c r="IM12" s="66">
        <f t="shared" si="64"/>
        <v>0</v>
      </c>
      <c r="IN12" s="83"/>
      <c r="IO12" s="102">
        <f t="shared" si="65"/>
        <v>0</v>
      </c>
      <c r="IP12" s="66">
        <f t="shared" si="66"/>
        <v>0</v>
      </c>
      <c r="IQ12" s="66">
        <f t="shared" si="67"/>
        <v>0</v>
      </c>
      <c r="IR12" s="83"/>
      <c r="IS12" s="102"/>
      <c r="IT12" s="66">
        <f t="shared" si="68"/>
        <v>1</v>
      </c>
      <c r="IU12" s="66">
        <f t="shared" si="69"/>
        <v>440</v>
      </c>
      <c r="IV12" s="83"/>
      <c r="IW12" s="102"/>
      <c r="IX12" s="66">
        <f t="shared" si="70"/>
        <v>0</v>
      </c>
      <c r="IY12" s="66">
        <f t="shared" si="71"/>
        <v>0</v>
      </c>
      <c r="IZ12" s="83"/>
      <c r="JA12" s="102"/>
      <c r="JB12" s="66">
        <f t="shared" si="72"/>
        <v>0</v>
      </c>
      <c r="JC12" s="66">
        <f t="shared" si="73"/>
        <v>0</v>
      </c>
      <c r="JD12" s="83"/>
      <c r="JE12" s="102"/>
      <c r="JF12" s="66">
        <f t="shared" si="165"/>
        <v>1</v>
      </c>
      <c r="JG12" s="66">
        <f t="shared" si="74"/>
        <v>440</v>
      </c>
      <c r="JH12" s="83"/>
      <c r="JI12" s="102"/>
      <c r="JJ12" s="66">
        <f t="shared" si="75"/>
        <v>0</v>
      </c>
      <c r="JK12" s="66">
        <f t="shared" si="76"/>
        <v>0</v>
      </c>
      <c r="JM12" s="102">
        <f t="shared" si="166"/>
        <v>0</v>
      </c>
      <c r="JO12" s="29">
        <f t="shared" si="77"/>
        <v>1</v>
      </c>
      <c r="JP12" s="122">
        <f t="shared" si="78"/>
        <v>390</v>
      </c>
      <c r="JQ12" s="122">
        <f t="shared" si="79"/>
        <v>0</v>
      </c>
      <c r="JR12" s="122">
        <f t="shared" si="80"/>
        <v>1</v>
      </c>
      <c r="JS12" s="122">
        <f t="shared" si="81"/>
        <v>0</v>
      </c>
      <c r="JT12" s="122">
        <f t="shared" si="82"/>
        <v>0</v>
      </c>
      <c r="JU12" s="122">
        <f t="shared" si="83"/>
        <v>0</v>
      </c>
      <c r="JV12" s="122">
        <f t="shared" si="84"/>
        <v>0</v>
      </c>
      <c r="JW12" s="122">
        <f t="shared" si="85"/>
        <v>0</v>
      </c>
      <c r="JX12" s="122">
        <f t="shared" si="86"/>
        <v>0</v>
      </c>
      <c r="JY12" s="122">
        <f t="shared" si="87"/>
        <v>0</v>
      </c>
      <c r="JZ12" s="122">
        <f t="shared" si="88"/>
        <v>0</v>
      </c>
      <c r="KA12" s="122">
        <f t="shared" si="89"/>
        <v>0</v>
      </c>
      <c r="KB12" s="122">
        <f t="shared" si="90"/>
        <v>0</v>
      </c>
      <c r="KD12" s="122">
        <f t="shared" si="167"/>
        <v>1</v>
      </c>
      <c r="KE12" s="122">
        <f t="shared" si="92"/>
        <v>390</v>
      </c>
      <c r="KF12" s="122">
        <f t="shared" si="93"/>
        <v>390</v>
      </c>
      <c r="KG12" s="122">
        <f t="shared" si="94"/>
        <v>0</v>
      </c>
      <c r="KH12" s="122">
        <f t="shared" si="95"/>
        <v>390</v>
      </c>
      <c r="KI12" s="122">
        <f t="shared" si="96"/>
        <v>0</v>
      </c>
      <c r="KJ12" s="122">
        <f t="shared" si="97"/>
        <v>0</v>
      </c>
      <c r="KK12" s="122">
        <f t="shared" si="98"/>
        <v>0</v>
      </c>
      <c r="KL12" s="122">
        <f t="shared" si="99"/>
        <v>0</v>
      </c>
      <c r="KM12" s="122">
        <f t="shared" si="100"/>
        <v>0</v>
      </c>
      <c r="KN12" s="123">
        <f t="shared" si="101"/>
        <v>0</v>
      </c>
      <c r="KO12" s="123">
        <f t="shared" si="102"/>
        <v>0</v>
      </c>
      <c r="KP12" s="123">
        <f t="shared" si="103"/>
        <v>0</v>
      </c>
      <c r="KQ12" s="123">
        <f t="shared" si="104"/>
        <v>0</v>
      </c>
      <c r="KR12" s="123">
        <f t="shared" si="105"/>
        <v>0</v>
      </c>
      <c r="KT12">
        <f t="shared" si="106"/>
        <v>0</v>
      </c>
      <c r="KU12" s="123"/>
      <c r="KV12" s="123"/>
      <c r="KW12" s="123"/>
      <c r="KX12" s="123"/>
      <c r="KY12" s="123"/>
      <c r="KZ12" s="123"/>
      <c r="LA12" s="123"/>
      <c r="LB12" s="123"/>
      <c r="LC12" s="123"/>
      <c r="LD12" s="123"/>
      <c r="LE12" s="123"/>
      <c r="LF12" s="123"/>
      <c r="LG12" s="123"/>
      <c r="LH12" s="123"/>
      <c r="LI12" s="123"/>
      <c r="LJ12" s="123"/>
      <c r="LK12" s="123"/>
      <c r="LL12" s="123"/>
      <c r="LM12" s="123"/>
      <c r="LN12" s="123"/>
      <c r="LO12" s="123"/>
      <c r="LP12" s="123"/>
      <c r="LQ12" s="123"/>
      <c r="LR12" s="123"/>
      <c r="LS12" s="123"/>
      <c r="LT12" s="123"/>
      <c r="LU12" s="123"/>
      <c r="LV12" s="123"/>
      <c r="LW12" s="123"/>
      <c r="LX12" s="123"/>
      <c r="LY12" s="123"/>
      <c r="LZ12" s="123"/>
      <c r="MA12" s="123"/>
      <c r="MB12" s="123"/>
      <c r="MC12" s="123"/>
      <c r="MD12" s="123"/>
      <c r="ME12" s="123"/>
      <c r="MF12" s="123"/>
      <c r="MG12" s="123"/>
      <c r="MH12" s="123"/>
      <c r="MI12" s="123"/>
      <c r="MJ12" s="123"/>
      <c r="MK12" s="123"/>
      <c r="ML12" s="123"/>
      <c r="MM12" s="123"/>
      <c r="MN12" s="123"/>
      <c r="MO12" s="123"/>
      <c r="MP12" s="123"/>
      <c r="MQ12" s="123"/>
      <c r="MR12" s="123"/>
      <c r="MS12" s="123"/>
      <c r="MT12" s="123"/>
      <c r="MU12" s="123"/>
      <c r="MV12" s="123"/>
      <c r="MW12" s="123"/>
      <c r="MX12" s="123"/>
      <c r="MY12" s="123"/>
      <c r="MZ12" s="123"/>
      <c r="NA12" s="123"/>
      <c r="NB12" s="123"/>
      <c r="NC12" s="123"/>
      <c r="ND12" s="123"/>
      <c r="NE12" s="123"/>
      <c r="NF12" s="123"/>
      <c r="NG12" s="123"/>
      <c r="NH12" s="123"/>
      <c r="NI12" s="123"/>
      <c r="NJ12" s="123"/>
      <c r="NK12" s="123"/>
      <c r="NM12">
        <f t="shared" si="168"/>
        <v>0</v>
      </c>
      <c r="NN12">
        <f t="shared" si="169"/>
        <v>0</v>
      </c>
      <c r="NO12">
        <f t="shared" si="170"/>
        <v>0</v>
      </c>
      <c r="NP12">
        <f t="shared" si="171"/>
        <v>0</v>
      </c>
      <c r="NQ12">
        <f t="shared" si="172"/>
        <v>0</v>
      </c>
      <c r="NR12">
        <f t="shared" si="173"/>
        <v>0</v>
      </c>
      <c r="NS12">
        <f t="shared" si="174"/>
        <v>0</v>
      </c>
      <c r="NT12">
        <f t="shared" si="175"/>
        <v>0</v>
      </c>
      <c r="NU12" s="29">
        <f t="shared" si="176"/>
        <v>0</v>
      </c>
      <c r="NY12" s="17">
        <f t="shared" si="108"/>
        <v>1</v>
      </c>
      <c r="NZ12" s="152">
        <v>10800000</v>
      </c>
      <c r="OE12" s="155">
        <f t="shared" si="109"/>
        <v>0</v>
      </c>
      <c r="OF12" s="155">
        <f t="shared" si="110"/>
        <v>0</v>
      </c>
      <c r="OG12" s="155">
        <f t="shared" si="111"/>
        <v>0</v>
      </c>
      <c r="OH12" s="155">
        <f t="shared" si="177"/>
        <v>0</v>
      </c>
      <c r="OI12" s="155">
        <f t="shared" si="112"/>
        <v>0</v>
      </c>
      <c r="OJ12" s="67">
        <f t="shared" si="178"/>
        <v>0</v>
      </c>
      <c r="OK12" s="67">
        <f t="shared" si="179"/>
        <v>0</v>
      </c>
      <c r="OL12" s="67">
        <f t="shared" si="180"/>
        <v>0</v>
      </c>
      <c r="OM12" s="67">
        <f t="shared" si="181"/>
        <v>0</v>
      </c>
      <c r="OO12" s="155">
        <f t="shared" si="113"/>
        <v>0</v>
      </c>
      <c r="OP12" s="155">
        <f t="shared" si="114"/>
        <v>0</v>
      </c>
      <c r="OQ12" s="155">
        <f t="shared" si="182"/>
        <v>0</v>
      </c>
      <c r="OR12" s="155">
        <f t="shared" si="183"/>
        <v>0</v>
      </c>
      <c r="OS12" s="155">
        <f t="shared" si="184"/>
        <v>0</v>
      </c>
      <c r="OT12" s="67">
        <f t="shared" si="185"/>
        <v>0</v>
      </c>
      <c r="OU12" s="67">
        <f t="shared" si="186"/>
        <v>0</v>
      </c>
      <c r="OV12" s="67">
        <f t="shared" si="187"/>
        <v>0</v>
      </c>
      <c r="OW12" s="67">
        <f t="shared" si="188"/>
        <v>0</v>
      </c>
      <c r="OZ12" s="163">
        <f t="shared" si="115"/>
        <v>0</v>
      </c>
      <c r="PA12" s="166"/>
      <c r="PB12" s="166"/>
      <c r="PC12" s="166"/>
      <c r="PD12" s="210">
        <f t="shared" si="116"/>
        <v>0</v>
      </c>
      <c r="PE12" s="210"/>
      <c r="PF12" s="210">
        <f t="shared" si="117"/>
        <v>0</v>
      </c>
      <c r="PG12" s="210">
        <f t="shared" si="118"/>
        <v>0</v>
      </c>
      <c r="PH12" s="210">
        <f t="shared" si="118"/>
        <v>0</v>
      </c>
      <c r="PI12" s="210">
        <f t="shared" si="118"/>
        <v>0</v>
      </c>
      <c r="PJ12" s="210">
        <f t="shared" si="118"/>
        <v>0</v>
      </c>
      <c r="PK12" s="210">
        <f t="shared" si="118"/>
        <v>0</v>
      </c>
      <c r="PL12" s="210">
        <f t="shared" si="118"/>
        <v>0</v>
      </c>
      <c r="PM12" s="164"/>
      <c r="PN12" s="164"/>
      <c r="PO12" s="172">
        <f t="shared" si="189"/>
        <v>0</v>
      </c>
      <c r="PP12" s="172">
        <f t="shared" si="190"/>
        <v>0</v>
      </c>
      <c r="PQ12" s="172">
        <f t="shared" si="191"/>
        <v>0</v>
      </c>
      <c r="PR12" s="164"/>
      <c r="PS12" s="164"/>
      <c r="PT12" s="164"/>
      <c r="PU12" s="164"/>
    </row>
    <row r="13" spans="1:437 16383:16383" ht="16" x14ac:dyDescent="0.2">
      <c r="A13" s="19">
        <f t="shared" si="192"/>
        <v>5</v>
      </c>
      <c r="B13" s="138" t="s">
        <v>628</v>
      </c>
      <c r="C13" s="138">
        <v>8</v>
      </c>
      <c r="D13" s="20">
        <v>1</v>
      </c>
      <c r="E13" s="20">
        <v>502</v>
      </c>
      <c r="F13" s="20">
        <v>1</v>
      </c>
      <c r="G13" s="20">
        <f t="shared" si="119"/>
        <v>502</v>
      </c>
      <c r="H13" s="137">
        <f t="shared" si="2"/>
        <v>1</v>
      </c>
      <c r="I13" s="137">
        <f t="shared" si="3"/>
        <v>1</v>
      </c>
      <c r="J13" s="20">
        <v>1</v>
      </c>
      <c r="K13" s="20">
        <f t="shared" si="4"/>
        <v>502</v>
      </c>
      <c r="L13" s="137">
        <f t="shared" si="5"/>
        <v>1</v>
      </c>
      <c r="M13" s="137">
        <f t="shared" si="6"/>
        <v>1</v>
      </c>
      <c r="N13" s="20">
        <v>1</v>
      </c>
      <c r="O13" s="20">
        <f t="shared" si="7"/>
        <v>502</v>
      </c>
      <c r="P13" s="137">
        <f t="shared" si="8"/>
        <v>1</v>
      </c>
      <c r="Q13" s="137">
        <f t="shared" si="9"/>
        <v>1</v>
      </c>
      <c r="R13" s="20">
        <v>0</v>
      </c>
      <c r="S13" s="20">
        <f t="shared" si="10"/>
        <v>0</v>
      </c>
      <c r="T13" s="137">
        <f t="shared" si="11"/>
        <v>0</v>
      </c>
      <c r="U13" s="137">
        <f t="shared" si="12"/>
        <v>0</v>
      </c>
      <c r="V13" s="20">
        <v>0</v>
      </c>
      <c r="W13" s="20">
        <f t="shared" si="13"/>
        <v>0</v>
      </c>
      <c r="X13" s="137">
        <f t="shared" si="14"/>
        <v>0</v>
      </c>
      <c r="Y13" s="137">
        <f t="shared" si="15"/>
        <v>0</v>
      </c>
      <c r="Z13" s="20">
        <v>0</v>
      </c>
      <c r="AA13" s="188">
        <v>1</v>
      </c>
      <c r="AB13" s="189">
        <f t="shared" si="120"/>
        <v>502</v>
      </c>
      <c r="AC13" s="250">
        <f t="shared" si="121"/>
        <v>1</v>
      </c>
      <c r="AD13" s="250">
        <f t="shared" si="122"/>
        <v>1</v>
      </c>
      <c r="AE13" s="224">
        <f>4266987000/1000000000</f>
        <v>4.2669870000000003</v>
      </c>
      <c r="AF13" s="188">
        <f t="shared" si="123"/>
        <v>0</v>
      </c>
      <c r="AG13" s="188"/>
      <c r="AH13" s="20"/>
      <c r="AI13" s="20">
        <v>0</v>
      </c>
      <c r="AJ13" s="20">
        <f t="shared" si="18"/>
        <v>0</v>
      </c>
      <c r="AK13" s="20"/>
      <c r="AL13" s="20">
        <v>0</v>
      </c>
      <c r="AM13" s="20">
        <v>0</v>
      </c>
      <c r="AN13" s="139"/>
      <c r="BB13" s="20">
        <f t="shared" si="124"/>
        <v>0</v>
      </c>
      <c r="BE13" s="20">
        <f t="shared" si="19"/>
        <v>0</v>
      </c>
      <c r="BF13" s="20">
        <f t="shared" si="20"/>
        <v>0</v>
      </c>
      <c r="BG13" s="20">
        <f t="shared" si="21"/>
        <v>0</v>
      </c>
      <c r="BH13" s="20">
        <f t="shared" si="22"/>
        <v>0</v>
      </c>
      <c r="BI13" s="20">
        <f t="shared" si="23"/>
        <v>0</v>
      </c>
      <c r="BJ13" s="20">
        <f t="shared" si="24"/>
        <v>0</v>
      </c>
      <c r="BK13" s="20">
        <f t="shared" si="125"/>
        <v>0</v>
      </c>
      <c r="BN13" s="139"/>
      <c r="BO13" s="284"/>
      <c r="BP13" s="139"/>
      <c r="BQ13" s="139"/>
      <c r="BR13" s="139"/>
      <c r="BS13" s="139"/>
      <c r="BT13" s="139"/>
      <c r="BU13" s="139"/>
      <c r="BV13" s="139"/>
      <c r="BW13" s="139"/>
      <c r="BX13" s="139"/>
      <c r="BY13" s="139"/>
      <c r="BZ13" s="139"/>
      <c r="CB13" s="139">
        <v>1</v>
      </c>
      <c r="CC13" t="s">
        <v>302</v>
      </c>
      <c r="CD13" s="17">
        <f t="shared" si="126"/>
        <v>0</v>
      </c>
      <c r="CE13" s="17">
        <f t="shared" si="127"/>
        <v>0</v>
      </c>
      <c r="CF13" s="139">
        <f t="shared" si="128"/>
        <v>0</v>
      </c>
      <c r="CG13" s="139">
        <f t="shared" si="129"/>
        <v>0</v>
      </c>
      <c r="CH13" s="139">
        <f t="shared" si="130"/>
        <v>0</v>
      </c>
      <c r="CI13" s="139">
        <f t="shared" si="131"/>
        <v>0</v>
      </c>
      <c r="CJ13" s="139">
        <f t="shared" si="132"/>
        <v>0</v>
      </c>
      <c r="CK13" s="139">
        <f t="shared" si="133"/>
        <v>0</v>
      </c>
      <c r="CL13" s="139">
        <f t="shared" si="134"/>
        <v>0</v>
      </c>
      <c r="CM13" s="139">
        <f t="shared" si="135"/>
        <v>0</v>
      </c>
      <c r="CN13" s="139">
        <f t="shared" si="136"/>
        <v>0</v>
      </c>
      <c r="CO13" s="139">
        <f t="shared" si="137"/>
        <v>0</v>
      </c>
      <c r="CP13" s="139">
        <f t="shared" si="138"/>
        <v>0</v>
      </c>
      <c r="CQ13" s="148">
        <f t="shared" si="27"/>
        <v>0</v>
      </c>
      <c r="DV13" s="139">
        <f t="shared" si="28"/>
        <v>502</v>
      </c>
      <c r="DW13" s="139">
        <f t="shared" si="29"/>
        <v>0</v>
      </c>
      <c r="DX13" s="139">
        <f t="shared" si="30"/>
        <v>0</v>
      </c>
      <c r="DY13" s="139">
        <f t="shared" si="31"/>
        <v>0</v>
      </c>
      <c r="DZ13" s="139">
        <f t="shared" si="32"/>
        <v>502</v>
      </c>
      <c r="EA13" s="139">
        <f t="shared" si="33"/>
        <v>0</v>
      </c>
      <c r="EB13" s="139">
        <f t="shared" si="139"/>
        <v>502</v>
      </c>
      <c r="ED13" s="46" t="s">
        <v>300</v>
      </c>
      <c r="EE13" s="46" t="s">
        <v>373</v>
      </c>
      <c r="EF13" s="56"/>
      <c r="EG13" s="57">
        <f t="shared" si="140"/>
        <v>0</v>
      </c>
      <c r="EH13" s="57" t="str">
        <f t="shared" si="141"/>
        <v>D</v>
      </c>
      <c r="EI13" s="17">
        <v>1</v>
      </c>
      <c r="EJ13" s="17">
        <v>1</v>
      </c>
      <c r="EK13" s="17"/>
      <c r="EL13" s="17"/>
      <c r="EM13" s="17"/>
      <c r="EN13" s="17"/>
      <c r="EO13" s="17"/>
      <c r="EP13" s="17"/>
      <c r="EQ13" s="189">
        <v>1</v>
      </c>
      <c r="ER13" s="189">
        <v>1</v>
      </c>
      <c r="ES13" s="189">
        <v>1</v>
      </c>
      <c r="ET13" s="189"/>
      <c r="EU13" s="189"/>
      <c r="EV13" s="189">
        <v>1</v>
      </c>
      <c r="EW13" s="189"/>
      <c r="EX13" s="189"/>
      <c r="EY13" s="189"/>
      <c r="EZ13" s="188">
        <v>1</v>
      </c>
      <c r="FA13" s="189"/>
      <c r="FB13" s="189"/>
      <c r="FC13" s="168">
        <v>1</v>
      </c>
      <c r="FD13" s="17"/>
      <c r="FE13" s="17"/>
      <c r="FF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X13" s="80"/>
      <c r="FY13" s="17">
        <f t="shared" si="142"/>
        <v>0</v>
      </c>
      <c r="FZ13" s="17">
        <f t="shared" si="35"/>
        <v>0</v>
      </c>
      <c r="GA13" s="17">
        <f t="shared" si="36"/>
        <v>0</v>
      </c>
      <c r="GB13" s="17">
        <f t="shared" si="37"/>
        <v>0</v>
      </c>
      <c r="GC13" s="17">
        <f t="shared" si="38"/>
        <v>0</v>
      </c>
      <c r="GD13" s="17">
        <f t="shared" si="39"/>
        <v>0</v>
      </c>
      <c r="GE13" s="17">
        <f t="shared" si="40"/>
        <v>0</v>
      </c>
      <c r="GF13" s="67"/>
      <c r="GG13" s="17">
        <v>0</v>
      </c>
      <c r="GH13" s="17">
        <v>0</v>
      </c>
      <c r="GI13" s="67"/>
      <c r="GJ13" s="62">
        <f t="shared" si="143"/>
        <v>0</v>
      </c>
      <c r="GK13" s="62">
        <f t="shared" si="144"/>
        <v>0</v>
      </c>
      <c r="GO13" s="17">
        <f t="shared" si="41"/>
        <v>0</v>
      </c>
      <c r="GP13" s="17">
        <f t="shared" si="42"/>
        <v>0</v>
      </c>
      <c r="GQ13" s="17">
        <f t="shared" si="43"/>
        <v>0</v>
      </c>
      <c r="GR13" s="17">
        <f t="shared" si="44"/>
        <v>1</v>
      </c>
      <c r="GS13" s="17">
        <f t="shared" si="45"/>
        <v>1</v>
      </c>
      <c r="GT13" s="17">
        <f t="shared" si="145"/>
        <v>0</v>
      </c>
      <c r="GU13" s="101">
        <f t="shared" si="146"/>
        <v>43243</v>
      </c>
      <c r="GV13" s="17" t="str">
        <f t="shared" si="147"/>
        <v>Musyawarah</v>
      </c>
      <c r="GW13" s="17">
        <f t="shared" si="148"/>
        <v>1</v>
      </c>
      <c r="GX13" s="66" t="str">
        <f t="shared" si="149"/>
        <v>Musyawarah</v>
      </c>
      <c r="GY13" s="66">
        <f t="shared" si="150"/>
        <v>24</v>
      </c>
      <c r="GZ13" s="102">
        <f t="shared" si="151"/>
        <v>43267</v>
      </c>
      <c r="HA13" s="83"/>
      <c r="HB13" s="83"/>
      <c r="HC13" s="17">
        <f t="shared" si="46"/>
        <v>0</v>
      </c>
      <c r="HD13" s="17">
        <f t="shared" si="47"/>
        <v>1</v>
      </c>
      <c r="HE13" s="17">
        <f t="shared" si="152"/>
        <v>1</v>
      </c>
      <c r="HF13" s="17">
        <f t="shared" si="153"/>
        <v>0</v>
      </c>
      <c r="HG13" s="17">
        <f t="shared" si="154"/>
        <v>1</v>
      </c>
      <c r="HH13" s="101">
        <f t="shared" si="48"/>
        <v>43288</v>
      </c>
      <c r="HI13" s="101">
        <f t="shared" si="155"/>
        <v>43312</v>
      </c>
      <c r="HJ13" s="27"/>
      <c r="HK13" s="101">
        <f t="shared" si="49"/>
        <v>43312</v>
      </c>
      <c r="HL13" s="83"/>
      <c r="HM13" s="83"/>
      <c r="HN13" s="83"/>
      <c r="HO13" s="83"/>
      <c r="HP13" s="102">
        <f t="shared" si="156"/>
        <v>0</v>
      </c>
      <c r="HQ13" s="66">
        <f t="shared" si="157"/>
        <v>0</v>
      </c>
      <c r="HR13" s="66">
        <f t="shared" si="50"/>
        <v>0</v>
      </c>
      <c r="HS13" s="102">
        <f t="shared" si="158"/>
        <v>43288</v>
      </c>
      <c r="HT13" s="66">
        <f t="shared" si="159"/>
        <v>1</v>
      </c>
      <c r="HU13" s="66">
        <f t="shared" si="51"/>
        <v>502</v>
      </c>
      <c r="HV13" s="102">
        <f t="shared" si="160"/>
        <v>0</v>
      </c>
      <c r="HW13" s="66">
        <f t="shared" si="52"/>
        <v>0</v>
      </c>
      <c r="HX13" s="66">
        <f t="shared" si="53"/>
        <v>0</v>
      </c>
      <c r="HY13" s="102">
        <f t="shared" si="54"/>
        <v>0</v>
      </c>
      <c r="HZ13" s="66">
        <f t="shared" si="161"/>
        <v>0</v>
      </c>
      <c r="IA13" s="66">
        <f t="shared" si="55"/>
        <v>0</v>
      </c>
      <c r="IB13" s="102">
        <f t="shared" si="162"/>
        <v>0</v>
      </c>
      <c r="IC13" s="66">
        <f t="shared" si="56"/>
        <v>0</v>
      </c>
      <c r="ID13" s="66">
        <f t="shared" si="57"/>
        <v>0</v>
      </c>
      <c r="IE13" s="102">
        <f t="shared" si="58"/>
        <v>0</v>
      </c>
      <c r="IF13" s="66">
        <f t="shared" si="59"/>
        <v>0</v>
      </c>
      <c r="IG13" s="66">
        <f t="shared" si="60"/>
        <v>0</v>
      </c>
      <c r="IH13" s="102">
        <f t="shared" si="163"/>
        <v>0</v>
      </c>
      <c r="II13" s="66">
        <f t="shared" si="164"/>
        <v>0</v>
      </c>
      <c r="IJ13" s="66">
        <f t="shared" si="61"/>
        <v>0</v>
      </c>
      <c r="IK13" s="102">
        <f t="shared" si="62"/>
        <v>0</v>
      </c>
      <c r="IL13" s="66">
        <f t="shared" si="63"/>
        <v>0</v>
      </c>
      <c r="IM13" s="66">
        <f t="shared" si="64"/>
        <v>0</v>
      </c>
      <c r="IN13" s="83"/>
      <c r="IO13" s="102">
        <f t="shared" si="65"/>
        <v>0</v>
      </c>
      <c r="IP13" s="66">
        <f t="shared" si="66"/>
        <v>0</v>
      </c>
      <c r="IQ13" s="66">
        <f t="shared" si="67"/>
        <v>0</v>
      </c>
      <c r="IR13" s="83"/>
      <c r="IS13" s="102"/>
      <c r="IT13" s="66">
        <f t="shared" si="68"/>
        <v>0</v>
      </c>
      <c r="IU13" s="66">
        <f t="shared" si="69"/>
        <v>0</v>
      </c>
      <c r="IV13" s="83"/>
      <c r="IW13" s="102"/>
      <c r="IX13" s="66">
        <f t="shared" si="70"/>
        <v>1</v>
      </c>
      <c r="IY13" s="66">
        <f t="shared" si="71"/>
        <v>502</v>
      </c>
      <c r="IZ13" s="83"/>
      <c r="JA13" s="102"/>
      <c r="JB13" s="66">
        <f t="shared" si="72"/>
        <v>0</v>
      </c>
      <c r="JC13" s="66">
        <f t="shared" si="73"/>
        <v>0</v>
      </c>
      <c r="JD13" s="83"/>
      <c r="JE13" s="102"/>
      <c r="JF13" s="66">
        <f t="shared" si="165"/>
        <v>2</v>
      </c>
      <c r="JG13" s="66">
        <f t="shared" si="74"/>
        <v>1004</v>
      </c>
      <c r="JH13" s="83"/>
      <c r="JI13" s="102"/>
      <c r="JJ13" s="66">
        <f t="shared" si="75"/>
        <v>1</v>
      </c>
      <c r="JK13" s="66">
        <f t="shared" si="76"/>
        <v>502</v>
      </c>
      <c r="JM13" s="102">
        <f t="shared" si="166"/>
        <v>43288</v>
      </c>
      <c r="JO13" s="29">
        <f t="shared" si="77"/>
        <v>0</v>
      </c>
      <c r="JP13" s="122">
        <f t="shared" si="78"/>
        <v>0</v>
      </c>
      <c r="JQ13" s="122">
        <f t="shared" si="79"/>
        <v>0</v>
      </c>
      <c r="JR13" s="122">
        <f t="shared" si="80"/>
        <v>0</v>
      </c>
      <c r="JS13" s="122">
        <f t="shared" si="81"/>
        <v>0</v>
      </c>
      <c r="JT13" s="122">
        <f t="shared" si="82"/>
        <v>0</v>
      </c>
      <c r="JU13" s="122">
        <f t="shared" si="83"/>
        <v>0</v>
      </c>
      <c r="JV13" s="122">
        <f t="shared" si="84"/>
        <v>0</v>
      </c>
      <c r="JW13" s="122">
        <f t="shared" si="85"/>
        <v>0</v>
      </c>
      <c r="JX13" s="122">
        <f t="shared" si="86"/>
        <v>0</v>
      </c>
      <c r="JY13" s="122">
        <f t="shared" si="87"/>
        <v>0</v>
      </c>
      <c r="JZ13" s="122">
        <f t="shared" si="88"/>
        <v>0</v>
      </c>
      <c r="KA13" s="122">
        <f t="shared" si="89"/>
        <v>0</v>
      </c>
      <c r="KB13" s="122">
        <f t="shared" si="90"/>
        <v>0</v>
      </c>
      <c r="KD13" s="122">
        <f t="shared" si="167"/>
        <v>0</v>
      </c>
      <c r="KE13" s="122">
        <f t="shared" si="92"/>
        <v>0</v>
      </c>
      <c r="KF13" s="122">
        <f t="shared" si="93"/>
        <v>0</v>
      </c>
      <c r="KG13" s="122">
        <f t="shared" si="94"/>
        <v>0</v>
      </c>
      <c r="KH13" s="122">
        <f t="shared" si="95"/>
        <v>0</v>
      </c>
      <c r="KI13" s="122">
        <f t="shared" si="96"/>
        <v>0</v>
      </c>
      <c r="KJ13" s="122">
        <f t="shared" si="97"/>
        <v>0</v>
      </c>
      <c r="KK13" s="122">
        <f t="shared" si="98"/>
        <v>0</v>
      </c>
      <c r="KL13" s="122">
        <f t="shared" si="99"/>
        <v>0</v>
      </c>
      <c r="KM13" s="122">
        <f t="shared" si="100"/>
        <v>0</v>
      </c>
      <c r="KN13" s="123">
        <f t="shared" si="101"/>
        <v>0</v>
      </c>
      <c r="KO13" s="123">
        <f t="shared" si="102"/>
        <v>0</v>
      </c>
      <c r="KP13" s="123">
        <f t="shared" si="103"/>
        <v>0</v>
      </c>
      <c r="KQ13" s="123">
        <f t="shared" si="104"/>
        <v>0</v>
      </c>
      <c r="KR13" s="123">
        <f t="shared" si="105"/>
        <v>0</v>
      </c>
      <c r="KT13">
        <f t="shared" si="106"/>
        <v>0</v>
      </c>
      <c r="KU13" s="123"/>
      <c r="KV13" s="123"/>
      <c r="KW13" s="123"/>
      <c r="KX13" s="123"/>
      <c r="KY13" s="123"/>
      <c r="KZ13" s="123"/>
      <c r="LA13" s="123"/>
      <c r="LB13" s="123"/>
      <c r="LC13" s="123"/>
      <c r="LD13" s="123"/>
      <c r="LE13" s="123"/>
      <c r="LF13" s="123"/>
      <c r="LG13" s="123"/>
      <c r="LH13" s="123"/>
      <c r="LI13" s="123"/>
      <c r="LJ13" s="123"/>
      <c r="LK13" s="123"/>
      <c r="LL13" s="123"/>
      <c r="LM13" s="123"/>
      <c r="LN13" s="123"/>
      <c r="LO13" s="123"/>
      <c r="LP13" s="123"/>
      <c r="LQ13" s="123"/>
      <c r="LR13" s="123"/>
      <c r="LS13" s="123"/>
      <c r="LT13" s="123"/>
      <c r="LU13" s="123"/>
      <c r="LV13" s="123"/>
      <c r="LW13" s="123"/>
      <c r="LX13" s="123"/>
      <c r="LY13" s="123"/>
      <c r="LZ13" s="123"/>
      <c r="MA13" s="123"/>
      <c r="MB13" s="123"/>
      <c r="MC13" s="123"/>
      <c r="MD13" s="123"/>
      <c r="ME13" s="123"/>
      <c r="MF13" s="123"/>
      <c r="MG13" s="123"/>
      <c r="MH13" s="123"/>
      <c r="MI13" s="123"/>
      <c r="MJ13" s="123"/>
      <c r="MK13" s="123"/>
      <c r="ML13" s="123"/>
      <c r="MM13" s="123"/>
      <c r="MN13" s="123"/>
      <c r="MO13" s="123"/>
      <c r="MP13" s="123"/>
      <c r="MQ13" s="123"/>
      <c r="MR13" s="123"/>
      <c r="MS13" s="123"/>
      <c r="MT13" s="123"/>
      <c r="MU13" s="123"/>
      <c r="MV13" s="123"/>
      <c r="MW13" s="123"/>
      <c r="MX13" s="123"/>
      <c r="MY13" s="123"/>
      <c r="MZ13" s="123"/>
      <c r="NA13" s="123"/>
      <c r="NB13" s="123"/>
      <c r="NC13" s="123"/>
      <c r="ND13" s="123"/>
      <c r="NE13" s="123"/>
      <c r="NF13" s="123"/>
      <c r="NG13" s="123"/>
      <c r="NH13" s="123"/>
      <c r="NI13" s="123"/>
      <c r="NJ13" s="123"/>
      <c r="NK13" s="123"/>
      <c r="NM13">
        <f t="shared" si="168"/>
        <v>0</v>
      </c>
      <c r="NN13">
        <f t="shared" si="169"/>
        <v>0</v>
      </c>
      <c r="NO13">
        <f t="shared" si="170"/>
        <v>0</v>
      </c>
      <c r="NP13">
        <f t="shared" si="171"/>
        <v>0</v>
      </c>
      <c r="NQ13">
        <f t="shared" si="172"/>
        <v>0</v>
      </c>
      <c r="NR13">
        <f t="shared" si="173"/>
        <v>0</v>
      </c>
      <c r="NS13">
        <f t="shared" si="174"/>
        <v>0</v>
      </c>
      <c r="NT13">
        <f t="shared" si="175"/>
        <v>0</v>
      </c>
      <c r="NU13" s="29">
        <f t="shared" si="176"/>
        <v>0</v>
      </c>
      <c r="NY13" s="17">
        <f t="shared" si="108"/>
        <v>0</v>
      </c>
      <c r="NZ13" s="152">
        <v>7800000</v>
      </c>
      <c r="OE13" s="155">
        <f t="shared" si="109"/>
        <v>0</v>
      </c>
      <c r="OF13" s="155">
        <f t="shared" si="110"/>
        <v>0</v>
      </c>
      <c r="OG13" s="155">
        <f t="shared" si="111"/>
        <v>0</v>
      </c>
      <c r="OH13" s="155">
        <f t="shared" si="177"/>
        <v>1</v>
      </c>
      <c r="OI13" s="155">
        <f t="shared" si="112"/>
        <v>1</v>
      </c>
      <c r="OJ13" s="67">
        <f t="shared" si="178"/>
        <v>0</v>
      </c>
      <c r="OK13" s="67">
        <f t="shared" si="179"/>
        <v>0</v>
      </c>
      <c r="OL13" s="67">
        <f t="shared" si="180"/>
        <v>0</v>
      </c>
      <c r="OM13" s="67">
        <f t="shared" si="181"/>
        <v>0</v>
      </c>
      <c r="OO13" s="155">
        <f t="shared" si="113"/>
        <v>0</v>
      </c>
      <c r="OP13" s="155">
        <f t="shared" si="114"/>
        <v>0</v>
      </c>
      <c r="OQ13" s="155">
        <f t="shared" si="182"/>
        <v>0</v>
      </c>
      <c r="OR13" s="155">
        <f t="shared" si="183"/>
        <v>1</v>
      </c>
      <c r="OS13" s="155">
        <f t="shared" si="184"/>
        <v>1</v>
      </c>
      <c r="OT13" s="67">
        <f t="shared" si="185"/>
        <v>0</v>
      </c>
      <c r="OU13" s="67">
        <f t="shared" si="186"/>
        <v>0</v>
      </c>
      <c r="OV13" s="67">
        <f t="shared" si="187"/>
        <v>0</v>
      </c>
      <c r="OW13" s="67">
        <f t="shared" si="188"/>
        <v>0</v>
      </c>
      <c r="OZ13" s="163">
        <f t="shared" si="115"/>
        <v>0</v>
      </c>
      <c r="PA13" s="166"/>
      <c r="PB13" s="166"/>
      <c r="PC13" s="166"/>
      <c r="PD13" s="210">
        <f t="shared" si="116"/>
        <v>0</v>
      </c>
      <c r="PE13" s="210"/>
      <c r="PF13" s="210">
        <f t="shared" si="117"/>
        <v>0</v>
      </c>
      <c r="PG13" s="210">
        <f t="shared" si="118"/>
        <v>0</v>
      </c>
      <c r="PH13" s="210">
        <f t="shared" si="118"/>
        <v>0</v>
      </c>
      <c r="PI13" s="210">
        <f t="shared" si="118"/>
        <v>0</v>
      </c>
      <c r="PJ13" s="210">
        <f t="shared" si="118"/>
        <v>0</v>
      </c>
      <c r="PK13" s="210">
        <f t="shared" si="118"/>
        <v>0</v>
      </c>
      <c r="PL13" s="210">
        <f t="shared" si="118"/>
        <v>0</v>
      </c>
      <c r="PM13" s="164"/>
      <c r="PN13" s="164"/>
      <c r="PO13" s="172">
        <f t="shared" si="189"/>
        <v>502</v>
      </c>
      <c r="PP13" s="172">
        <f t="shared" si="190"/>
        <v>0</v>
      </c>
      <c r="PQ13" s="172">
        <f t="shared" si="191"/>
        <v>0</v>
      </c>
      <c r="PR13" s="164"/>
      <c r="PS13" s="164"/>
      <c r="PT13" s="164"/>
      <c r="PU13" s="164"/>
      <c r="XFC13">
        <v>4266987000</v>
      </c>
    </row>
    <row r="14" spans="1:437 16383:16383" ht="16" x14ac:dyDescent="0.2">
      <c r="A14" s="19">
        <f t="shared" si="192"/>
        <v>6</v>
      </c>
      <c r="B14" s="138" t="s">
        <v>143</v>
      </c>
      <c r="C14" s="138">
        <v>9</v>
      </c>
      <c r="D14" s="20">
        <v>1</v>
      </c>
      <c r="E14" s="20">
        <v>100</v>
      </c>
      <c r="F14" s="20">
        <v>1</v>
      </c>
      <c r="G14" s="20">
        <f t="shared" si="119"/>
        <v>100</v>
      </c>
      <c r="H14" s="137">
        <f t="shared" si="2"/>
        <v>1</v>
      </c>
      <c r="I14" s="137">
        <f t="shared" si="3"/>
        <v>1</v>
      </c>
      <c r="J14" s="20">
        <v>1</v>
      </c>
      <c r="K14" s="20">
        <f t="shared" si="4"/>
        <v>100</v>
      </c>
      <c r="L14" s="137">
        <f t="shared" si="5"/>
        <v>1</v>
      </c>
      <c r="M14" s="137">
        <f t="shared" si="6"/>
        <v>1</v>
      </c>
      <c r="N14" s="20">
        <v>1</v>
      </c>
      <c r="O14" s="20">
        <f t="shared" si="7"/>
        <v>100</v>
      </c>
      <c r="P14" s="137">
        <f t="shared" si="8"/>
        <v>1</v>
      </c>
      <c r="Q14" s="137">
        <f t="shared" si="9"/>
        <v>1</v>
      </c>
      <c r="R14" s="20">
        <v>1</v>
      </c>
      <c r="S14" s="20">
        <f t="shared" si="10"/>
        <v>100</v>
      </c>
      <c r="T14" s="137">
        <f t="shared" si="11"/>
        <v>1</v>
      </c>
      <c r="U14" s="137">
        <f t="shared" si="12"/>
        <v>1</v>
      </c>
      <c r="V14" s="20">
        <v>1</v>
      </c>
      <c r="W14" s="20">
        <f t="shared" si="13"/>
        <v>100</v>
      </c>
      <c r="X14" s="137">
        <f t="shared" si="14"/>
        <v>1</v>
      </c>
      <c r="Y14" s="137">
        <f t="shared" si="15"/>
        <v>1</v>
      </c>
      <c r="Z14" s="144">
        <f>1231910000/1000000000</f>
        <v>1.2319100000000001</v>
      </c>
      <c r="AA14" s="188"/>
      <c r="AB14" s="189">
        <f t="shared" si="120"/>
        <v>0</v>
      </c>
      <c r="AC14" s="250">
        <f t="shared" si="121"/>
        <v>0</v>
      </c>
      <c r="AD14" s="250">
        <f t="shared" si="122"/>
        <v>0</v>
      </c>
      <c r="AE14" s="224"/>
      <c r="AF14" s="188">
        <f t="shared" si="123"/>
        <v>0</v>
      </c>
      <c r="AG14" s="188"/>
      <c r="AH14" s="20"/>
      <c r="AI14" s="20">
        <v>0</v>
      </c>
      <c r="AJ14" s="20">
        <f t="shared" si="18"/>
        <v>0</v>
      </c>
      <c r="AK14" s="20"/>
      <c r="AL14" s="20">
        <v>0</v>
      </c>
      <c r="AM14" s="20">
        <v>0</v>
      </c>
      <c r="AN14" s="139"/>
      <c r="BB14" s="20">
        <f t="shared" si="124"/>
        <v>0</v>
      </c>
      <c r="BE14" s="20">
        <f t="shared" si="19"/>
        <v>0</v>
      </c>
      <c r="BF14" s="20">
        <f t="shared" si="20"/>
        <v>0</v>
      </c>
      <c r="BG14" s="20">
        <f t="shared" si="21"/>
        <v>0</v>
      </c>
      <c r="BH14" s="20">
        <f t="shared" si="22"/>
        <v>0</v>
      </c>
      <c r="BI14" s="20">
        <f t="shared" si="23"/>
        <v>0</v>
      </c>
      <c r="BJ14" s="20">
        <f t="shared" si="24"/>
        <v>0</v>
      </c>
      <c r="BK14" s="20">
        <f t="shared" si="125"/>
        <v>0</v>
      </c>
      <c r="BN14" s="284">
        <v>46</v>
      </c>
      <c r="BO14">
        <v>1</v>
      </c>
      <c r="BP14" s="139"/>
      <c r="BQ14" s="139"/>
      <c r="BR14" s="139"/>
      <c r="BS14" s="139"/>
      <c r="BT14" s="139"/>
      <c r="BU14" s="139"/>
      <c r="BV14" s="139"/>
      <c r="BW14" s="139"/>
      <c r="BX14" s="139"/>
      <c r="BY14" s="139"/>
      <c r="BZ14" s="139"/>
      <c r="CB14" s="139"/>
      <c r="CD14" s="17">
        <f t="shared" si="126"/>
        <v>46</v>
      </c>
      <c r="CE14" s="17">
        <f t="shared" si="127"/>
        <v>46</v>
      </c>
      <c r="CF14" s="139">
        <f t="shared" si="128"/>
        <v>0</v>
      </c>
      <c r="CG14" s="139">
        <f t="shared" si="129"/>
        <v>0</v>
      </c>
      <c r="CH14" s="139">
        <f t="shared" si="130"/>
        <v>0</v>
      </c>
      <c r="CI14" s="139">
        <f t="shared" si="131"/>
        <v>0</v>
      </c>
      <c r="CJ14" s="139">
        <f t="shared" si="132"/>
        <v>0</v>
      </c>
      <c r="CK14" s="139">
        <f t="shared" si="133"/>
        <v>0</v>
      </c>
      <c r="CL14" s="139">
        <f t="shared" si="134"/>
        <v>0</v>
      </c>
      <c r="CM14" s="139">
        <f t="shared" si="135"/>
        <v>0</v>
      </c>
      <c r="CN14" s="139">
        <f t="shared" si="136"/>
        <v>0</v>
      </c>
      <c r="CO14" s="139">
        <f t="shared" si="137"/>
        <v>0</v>
      </c>
      <c r="CP14" s="139">
        <f t="shared" si="138"/>
        <v>0</v>
      </c>
      <c r="CQ14" s="148">
        <f t="shared" si="27"/>
        <v>0</v>
      </c>
      <c r="DV14" s="139">
        <f t="shared" si="28"/>
        <v>0</v>
      </c>
      <c r="DW14" s="139">
        <f t="shared" si="29"/>
        <v>0</v>
      </c>
      <c r="DX14" s="139">
        <f t="shared" si="30"/>
        <v>0</v>
      </c>
      <c r="DY14" s="139">
        <f t="shared" si="31"/>
        <v>0</v>
      </c>
      <c r="DZ14" s="139">
        <f t="shared" si="32"/>
        <v>0</v>
      </c>
      <c r="EA14" s="139">
        <f t="shared" si="33"/>
        <v>0</v>
      </c>
      <c r="EB14" s="139">
        <f t="shared" si="139"/>
        <v>0</v>
      </c>
      <c r="ED14" s="46" t="s">
        <v>301</v>
      </c>
      <c r="EE14" s="46" t="s">
        <v>374</v>
      </c>
      <c r="EF14" s="56"/>
      <c r="EG14" s="57">
        <f t="shared" si="140"/>
        <v>0</v>
      </c>
      <c r="EH14" s="57">
        <f t="shared" si="141"/>
        <v>0</v>
      </c>
      <c r="EI14" s="17"/>
      <c r="EJ14" s="17"/>
      <c r="EK14" s="17"/>
      <c r="EL14" s="17"/>
      <c r="EM14" s="17"/>
      <c r="EN14" s="17"/>
      <c r="EO14" s="17"/>
      <c r="EP14" s="17"/>
      <c r="EQ14" s="189"/>
      <c r="ER14" s="189"/>
      <c r="ES14" s="189"/>
      <c r="ET14" s="189"/>
      <c r="EU14" s="189"/>
      <c r="EV14" s="189"/>
      <c r="EW14" s="189"/>
      <c r="EX14" s="189"/>
      <c r="EY14" s="189"/>
      <c r="EZ14" s="189"/>
      <c r="FA14" s="189"/>
      <c r="FB14" s="189"/>
      <c r="FC14" s="189"/>
      <c r="FD14" s="17"/>
      <c r="FE14" s="17"/>
      <c r="FF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X14" s="80">
        <v>1</v>
      </c>
      <c r="FY14" s="17">
        <f t="shared" si="142"/>
        <v>46</v>
      </c>
      <c r="FZ14" s="17">
        <f t="shared" si="35"/>
        <v>46</v>
      </c>
      <c r="GA14" s="17">
        <f t="shared" si="36"/>
        <v>0</v>
      </c>
      <c r="GB14" s="17">
        <f t="shared" si="37"/>
        <v>0</v>
      </c>
      <c r="GC14" s="17">
        <f t="shared" si="38"/>
        <v>0</v>
      </c>
      <c r="GD14" s="17">
        <f t="shared" si="39"/>
        <v>0</v>
      </c>
      <c r="GE14" s="17">
        <f t="shared" si="40"/>
        <v>0</v>
      </c>
      <c r="GF14" s="67"/>
      <c r="GG14" s="17">
        <v>0</v>
      </c>
      <c r="GH14" s="17">
        <v>0</v>
      </c>
      <c r="GI14" s="67"/>
      <c r="GJ14" s="62">
        <f t="shared" si="143"/>
        <v>0</v>
      </c>
      <c r="GK14" s="62">
        <f t="shared" si="144"/>
        <v>0</v>
      </c>
      <c r="GO14" s="17">
        <f t="shared" si="41"/>
        <v>0</v>
      </c>
      <c r="GP14" s="17">
        <f t="shared" si="42"/>
        <v>0</v>
      </c>
      <c r="GQ14" s="17">
        <f t="shared" si="43"/>
        <v>0</v>
      </c>
      <c r="GR14" s="17">
        <f t="shared" si="44"/>
        <v>0</v>
      </c>
      <c r="GS14" s="17">
        <f t="shared" si="45"/>
        <v>0</v>
      </c>
      <c r="GT14" s="17">
        <f t="shared" si="145"/>
        <v>1</v>
      </c>
      <c r="GU14" s="101">
        <f t="shared" si="146"/>
        <v>43243</v>
      </c>
      <c r="GV14" s="17" t="str">
        <f t="shared" si="147"/>
        <v>SELESAI</v>
      </c>
      <c r="GW14" s="17">
        <f t="shared" si="148"/>
        <v>0</v>
      </c>
      <c r="GX14" s="66" t="str">
        <f t="shared" si="149"/>
        <v>SELESAI</v>
      </c>
      <c r="GY14" s="66">
        <f t="shared" si="150"/>
        <v>0</v>
      </c>
      <c r="GZ14" s="102" t="str">
        <f t="shared" si="151"/>
        <v>SELESAI</v>
      </c>
      <c r="HA14" s="83"/>
      <c r="HB14" s="83"/>
      <c r="HC14" s="17">
        <f t="shared" si="46"/>
        <v>0</v>
      </c>
      <c r="HD14" s="17">
        <f t="shared" si="47"/>
        <v>0</v>
      </c>
      <c r="HE14" s="17">
        <f t="shared" si="152"/>
        <v>0</v>
      </c>
      <c r="HF14" s="17">
        <f t="shared" si="153"/>
        <v>0</v>
      </c>
      <c r="HG14" s="17">
        <f t="shared" si="154"/>
        <v>0</v>
      </c>
      <c r="HH14" s="101" t="str">
        <f t="shared" si="48"/>
        <v>TIDAK KONSINYASI</v>
      </c>
      <c r="HI14" s="101" t="str">
        <f t="shared" si="155"/>
        <v>SELESAI</v>
      </c>
      <c r="HJ14" s="27"/>
      <c r="HK14" s="101">
        <f t="shared" si="49"/>
        <v>0</v>
      </c>
      <c r="HL14" s="83"/>
      <c r="HM14" s="83"/>
      <c r="HN14" s="83"/>
      <c r="HO14" s="83"/>
      <c r="HP14" s="102">
        <f t="shared" si="156"/>
        <v>0</v>
      </c>
      <c r="HQ14" s="66">
        <f t="shared" si="157"/>
        <v>0</v>
      </c>
      <c r="HR14" s="66">
        <f t="shared" si="50"/>
        <v>0</v>
      </c>
      <c r="HS14" s="102">
        <f t="shared" si="158"/>
        <v>0</v>
      </c>
      <c r="HT14" s="66">
        <f t="shared" si="159"/>
        <v>0</v>
      </c>
      <c r="HU14" s="66">
        <f t="shared" si="51"/>
        <v>0</v>
      </c>
      <c r="HV14" s="102">
        <f t="shared" si="160"/>
        <v>0</v>
      </c>
      <c r="HW14" s="66">
        <f t="shared" si="52"/>
        <v>0</v>
      </c>
      <c r="HX14" s="66">
        <f t="shared" si="53"/>
        <v>0</v>
      </c>
      <c r="HY14" s="102">
        <f t="shared" si="54"/>
        <v>0</v>
      </c>
      <c r="HZ14" s="66">
        <f t="shared" si="161"/>
        <v>0</v>
      </c>
      <c r="IA14" s="66">
        <f t="shared" si="55"/>
        <v>0</v>
      </c>
      <c r="IB14" s="102">
        <f t="shared" si="162"/>
        <v>0</v>
      </c>
      <c r="IC14" s="66">
        <f t="shared" si="56"/>
        <v>0</v>
      </c>
      <c r="ID14" s="66">
        <f t="shared" si="57"/>
        <v>0</v>
      </c>
      <c r="IE14" s="102">
        <f t="shared" si="58"/>
        <v>0</v>
      </c>
      <c r="IF14" s="66">
        <f t="shared" si="59"/>
        <v>0</v>
      </c>
      <c r="IG14" s="66">
        <f t="shared" si="60"/>
        <v>0</v>
      </c>
      <c r="IH14" s="102">
        <f t="shared" si="163"/>
        <v>0</v>
      </c>
      <c r="II14" s="66">
        <f t="shared" si="164"/>
        <v>0</v>
      </c>
      <c r="IJ14" s="66">
        <f t="shared" si="61"/>
        <v>0</v>
      </c>
      <c r="IK14" s="102">
        <f t="shared" si="62"/>
        <v>0</v>
      </c>
      <c r="IL14" s="66">
        <f t="shared" si="63"/>
        <v>0</v>
      </c>
      <c r="IM14" s="66">
        <f t="shared" si="64"/>
        <v>0</v>
      </c>
      <c r="IN14" s="83"/>
      <c r="IO14" s="102">
        <f t="shared" si="65"/>
        <v>0</v>
      </c>
      <c r="IP14" s="66">
        <f t="shared" si="66"/>
        <v>0</v>
      </c>
      <c r="IQ14" s="66">
        <f t="shared" si="67"/>
        <v>0</v>
      </c>
      <c r="IR14" s="83"/>
      <c r="IS14" s="102"/>
      <c r="IT14" s="66">
        <f t="shared" si="68"/>
        <v>1</v>
      </c>
      <c r="IU14" s="66">
        <f t="shared" si="69"/>
        <v>100</v>
      </c>
      <c r="IV14" s="83"/>
      <c r="IW14" s="102"/>
      <c r="IX14" s="66">
        <f t="shared" si="70"/>
        <v>0</v>
      </c>
      <c r="IY14" s="66">
        <f t="shared" si="71"/>
        <v>0</v>
      </c>
      <c r="IZ14" s="83"/>
      <c r="JA14" s="102"/>
      <c r="JB14" s="66">
        <f t="shared" si="72"/>
        <v>0</v>
      </c>
      <c r="JC14" s="66">
        <f t="shared" si="73"/>
        <v>0</v>
      </c>
      <c r="JD14" s="83"/>
      <c r="JE14" s="102"/>
      <c r="JF14" s="66">
        <f t="shared" si="165"/>
        <v>1</v>
      </c>
      <c r="JG14" s="66">
        <f t="shared" si="74"/>
        <v>100</v>
      </c>
      <c r="JH14" s="83"/>
      <c r="JI14" s="102"/>
      <c r="JJ14" s="66">
        <f t="shared" si="75"/>
        <v>0</v>
      </c>
      <c r="JK14" s="66">
        <f t="shared" si="76"/>
        <v>0</v>
      </c>
      <c r="JM14" s="102">
        <f t="shared" si="166"/>
        <v>0</v>
      </c>
      <c r="JO14" s="29">
        <f t="shared" si="77"/>
        <v>1</v>
      </c>
      <c r="JP14" s="122">
        <f t="shared" si="78"/>
        <v>46</v>
      </c>
      <c r="JQ14" s="122">
        <f t="shared" si="79"/>
        <v>1</v>
      </c>
      <c r="JR14" s="122">
        <f t="shared" si="80"/>
        <v>0</v>
      </c>
      <c r="JS14" s="122">
        <f t="shared" si="81"/>
        <v>0</v>
      </c>
      <c r="JT14" s="122">
        <f t="shared" si="82"/>
        <v>0</v>
      </c>
      <c r="JU14" s="122">
        <f t="shared" si="83"/>
        <v>0</v>
      </c>
      <c r="JV14" s="122">
        <f t="shared" si="84"/>
        <v>0</v>
      </c>
      <c r="JW14" s="122">
        <f t="shared" si="85"/>
        <v>0</v>
      </c>
      <c r="JX14" s="122">
        <f t="shared" si="86"/>
        <v>0</v>
      </c>
      <c r="JY14" s="122">
        <f t="shared" si="87"/>
        <v>0</v>
      </c>
      <c r="JZ14" s="122">
        <f t="shared" si="88"/>
        <v>0</v>
      </c>
      <c r="KA14" s="122">
        <f t="shared" si="89"/>
        <v>0</v>
      </c>
      <c r="KB14" s="122">
        <f t="shared" si="90"/>
        <v>0</v>
      </c>
      <c r="KD14" s="122">
        <f t="shared" si="167"/>
        <v>0</v>
      </c>
      <c r="KE14" s="122">
        <f t="shared" si="92"/>
        <v>0</v>
      </c>
      <c r="KF14" s="122">
        <f t="shared" si="93"/>
        <v>46</v>
      </c>
      <c r="KG14" s="122">
        <f t="shared" si="94"/>
        <v>46</v>
      </c>
      <c r="KH14" s="122">
        <f t="shared" si="95"/>
        <v>0</v>
      </c>
      <c r="KI14" s="122">
        <f t="shared" si="96"/>
        <v>0</v>
      </c>
      <c r="KJ14" s="122">
        <f t="shared" si="97"/>
        <v>0</v>
      </c>
      <c r="KK14" s="122">
        <f t="shared" si="98"/>
        <v>0</v>
      </c>
      <c r="KL14" s="122">
        <f t="shared" si="99"/>
        <v>0</v>
      </c>
      <c r="KM14" s="122">
        <f t="shared" si="100"/>
        <v>0</v>
      </c>
      <c r="KN14" s="123">
        <f t="shared" si="101"/>
        <v>0</v>
      </c>
      <c r="KO14" s="123">
        <f t="shared" si="102"/>
        <v>0</v>
      </c>
      <c r="KP14" s="123">
        <f t="shared" si="103"/>
        <v>0</v>
      </c>
      <c r="KQ14" s="123">
        <f t="shared" si="104"/>
        <v>0</v>
      </c>
      <c r="KR14" s="123">
        <f t="shared" si="105"/>
        <v>0</v>
      </c>
      <c r="KT14">
        <f t="shared" si="106"/>
        <v>0</v>
      </c>
      <c r="KU14" s="123"/>
      <c r="KV14" s="123"/>
      <c r="KW14" s="123"/>
      <c r="KX14" s="123"/>
      <c r="KY14" s="123"/>
      <c r="KZ14" s="123"/>
      <c r="LA14" s="123"/>
      <c r="LB14" s="123"/>
      <c r="LC14" s="123"/>
      <c r="LD14" s="123"/>
      <c r="LE14" s="123"/>
      <c r="LF14" s="123"/>
      <c r="LG14" s="123"/>
      <c r="LH14" s="123"/>
      <c r="LI14" s="123"/>
      <c r="LJ14" s="123"/>
      <c r="LK14" s="123"/>
      <c r="LL14" s="123"/>
      <c r="LM14" s="123"/>
      <c r="LN14" s="123"/>
      <c r="LO14" s="123"/>
      <c r="LP14" s="123"/>
      <c r="LQ14" s="123"/>
      <c r="LR14" s="123"/>
      <c r="LS14" s="123"/>
      <c r="LT14" s="123"/>
      <c r="LU14" s="123"/>
      <c r="LV14" s="123"/>
      <c r="LW14" s="123"/>
      <c r="LX14" s="123"/>
      <c r="LY14" s="123"/>
      <c r="LZ14" s="123"/>
      <c r="MA14" s="123"/>
      <c r="MB14" s="123"/>
      <c r="MC14" s="123"/>
      <c r="MD14" s="123"/>
      <c r="ME14" s="123"/>
      <c r="MF14" s="123"/>
      <c r="MG14" s="123"/>
      <c r="MH14" s="123"/>
      <c r="MI14" s="123"/>
      <c r="MJ14" s="123"/>
      <c r="MK14" s="123"/>
      <c r="ML14" s="123"/>
      <c r="MM14" s="123"/>
      <c r="MN14" s="123"/>
      <c r="MO14" s="123"/>
      <c r="MP14" s="123"/>
      <c r="MQ14" s="123"/>
      <c r="MR14" s="123"/>
      <c r="MS14" s="123"/>
      <c r="MT14" s="123"/>
      <c r="MU14" s="123"/>
      <c r="MV14" s="123"/>
      <c r="MW14" s="123"/>
      <c r="MX14" s="123"/>
      <c r="MY14" s="123"/>
      <c r="MZ14" s="123"/>
      <c r="NA14" s="123"/>
      <c r="NB14" s="123"/>
      <c r="NC14" s="123"/>
      <c r="ND14" s="123"/>
      <c r="NE14" s="123"/>
      <c r="NF14" s="123"/>
      <c r="NG14" s="123"/>
      <c r="NH14" s="123"/>
      <c r="NI14" s="123"/>
      <c r="NJ14" s="123"/>
      <c r="NK14" s="123"/>
      <c r="NM14">
        <f t="shared" si="168"/>
        <v>0</v>
      </c>
      <c r="NN14">
        <f t="shared" si="169"/>
        <v>0</v>
      </c>
      <c r="NO14">
        <f t="shared" si="170"/>
        <v>0</v>
      </c>
      <c r="NP14">
        <f t="shared" si="171"/>
        <v>0</v>
      </c>
      <c r="NQ14">
        <f t="shared" si="172"/>
        <v>0</v>
      </c>
      <c r="NR14">
        <f t="shared" si="173"/>
        <v>0</v>
      </c>
      <c r="NS14">
        <f t="shared" si="174"/>
        <v>0</v>
      </c>
      <c r="NT14">
        <f t="shared" si="175"/>
        <v>0</v>
      </c>
      <c r="NU14" s="29">
        <f t="shared" si="176"/>
        <v>0</v>
      </c>
      <c r="NY14" s="17">
        <f t="shared" si="108"/>
        <v>1</v>
      </c>
      <c r="NZ14" s="152">
        <v>7644000</v>
      </c>
      <c r="OE14" s="155">
        <f t="shared" si="109"/>
        <v>0</v>
      </c>
      <c r="OF14" s="155">
        <f t="shared" si="110"/>
        <v>0</v>
      </c>
      <c r="OG14" s="155">
        <f t="shared" si="111"/>
        <v>0</v>
      </c>
      <c r="OH14" s="155">
        <f t="shared" si="177"/>
        <v>0</v>
      </c>
      <c r="OI14" s="155">
        <f t="shared" si="112"/>
        <v>0</v>
      </c>
      <c r="OJ14" s="67">
        <f t="shared" si="178"/>
        <v>0</v>
      </c>
      <c r="OK14" s="67">
        <f t="shared" si="179"/>
        <v>0</v>
      </c>
      <c r="OL14" s="67">
        <f t="shared" si="180"/>
        <v>0</v>
      </c>
      <c r="OM14" s="67">
        <f t="shared" si="181"/>
        <v>0</v>
      </c>
      <c r="OO14" s="155">
        <f t="shared" si="113"/>
        <v>0</v>
      </c>
      <c r="OP14" s="155">
        <f t="shared" si="114"/>
        <v>0</v>
      </c>
      <c r="OQ14" s="155">
        <f t="shared" si="182"/>
        <v>0</v>
      </c>
      <c r="OR14" s="155">
        <f t="shared" si="183"/>
        <v>0</v>
      </c>
      <c r="OS14" s="155">
        <f t="shared" si="184"/>
        <v>0</v>
      </c>
      <c r="OT14" s="67">
        <f t="shared" si="185"/>
        <v>0</v>
      </c>
      <c r="OU14" s="67">
        <f t="shared" si="186"/>
        <v>0</v>
      </c>
      <c r="OV14" s="67">
        <f t="shared" si="187"/>
        <v>0</v>
      </c>
      <c r="OW14" s="67">
        <f t="shared" si="188"/>
        <v>0</v>
      </c>
      <c r="OZ14" s="163">
        <f t="shared" si="115"/>
        <v>0</v>
      </c>
      <c r="PA14" s="166"/>
      <c r="PB14" s="166"/>
      <c r="PC14" s="166"/>
      <c r="PD14" s="210">
        <f t="shared" si="116"/>
        <v>0</v>
      </c>
      <c r="PE14" s="210"/>
      <c r="PF14" s="210">
        <f t="shared" si="117"/>
        <v>0</v>
      </c>
      <c r="PG14" s="210">
        <f t="shared" si="118"/>
        <v>0</v>
      </c>
      <c r="PH14" s="210">
        <f t="shared" si="118"/>
        <v>0</v>
      </c>
      <c r="PI14" s="210">
        <f t="shared" si="118"/>
        <v>0</v>
      </c>
      <c r="PJ14" s="210">
        <f t="shared" si="118"/>
        <v>0</v>
      </c>
      <c r="PK14" s="210">
        <f t="shared" si="118"/>
        <v>0</v>
      </c>
      <c r="PL14" s="210">
        <f t="shared" si="118"/>
        <v>0</v>
      </c>
      <c r="PM14" s="164"/>
      <c r="PN14" s="164"/>
      <c r="PO14" s="172">
        <f t="shared" si="189"/>
        <v>0</v>
      </c>
      <c r="PP14" s="172">
        <f t="shared" si="190"/>
        <v>0</v>
      </c>
      <c r="PQ14" s="172">
        <f t="shared" si="191"/>
        <v>0</v>
      </c>
      <c r="PR14" s="164"/>
      <c r="PS14" s="164"/>
      <c r="PT14" s="164"/>
      <c r="PU14" s="164"/>
    </row>
    <row r="15" spans="1:437 16383:16383" ht="16" x14ac:dyDescent="0.2">
      <c r="A15" s="19">
        <f t="shared" si="192"/>
        <v>7</v>
      </c>
      <c r="B15" s="138" t="s">
        <v>144</v>
      </c>
      <c r="C15" s="138">
        <v>10</v>
      </c>
      <c r="D15" s="20">
        <v>1</v>
      </c>
      <c r="E15" s="20">
        <v>85</v>
      </c>
      <c r="F15" s="20">
        <v>1</v>
      </c>
      <c r="G15" s="20">
        <f t="shared" si="119"/>
        <v>85</v>
      </c>
      <c r="H15" s="137">
        <f t="shared" si="2"/>
        <v>1</v>
      </c>
      <c r="I15" s="137">
        <f t="shared" si="3"/>
        <v>1</v>
      </c>
      <c r="J15" s="20">
        <v>1</v>
      </c>
      <c r="K15" s="20">
        <f t="shared" si="4"/>
        <v>85</v>
      </c>
      <c r="L15" s="137">
        <f t="shared" si="5"/>
        <v>1</v>
      </c>
      <c r="M15" s="137">
        <f t="shared" si="6"/>
        <v>1</v>
      </c>
      <c r="N15" s="20">
        <v>1</v>
      </c>
      <c r="O15" s="20">
        <f t="shared" si="7"/>
        <v>85</v>
      </c>
      <c r="P15" s="137">
        <f t="shared" si="8"/>
        <v>1</v>
      </c>
      <c r="Q15" s="137">
        <f t="shared" si="9"/>
        <v>1</v>
      </c>
      <c r="R15" s="20">
        <v>1</v>
      </c>
      <c r="S15" s="20">
        <f t="shared" si="10"/>
        <v>85</v>
      </c>
      <c r="T15" s="137">
        <f t="shared" si="11"/>
        <v>1</v>
      </c>
      <c r="U15" s="137">
        <f t="shared" si="12"/>
        <v>1</v>
      </c>
      <c r="V15" s="20">
        <v>1</v>
      </c>
      <c r="W15" s="20">
        <f t="shared" si="13"/>
        <v>85</v>
      </c>
      <c r="X15" s="137">
        <f t="shared" si="14"/>
        <v>1</v>
      </c>
      <c r="Y15" s="137">
        <f t="shared" si="15"/>
        <v>1</v>
      </c>
      <c r="Z15" s="144">
        <f>1047751000/1000000000</f>
        <v>1.0477510000000001</v>
      </c>
      <c r="AA15" s="188"/>
      <c r="AB15" s="189">
        <f t="shared" si="120"/>
        <v>0</v>
      </c>
      <c r="AC15" s="250">
        <f t="shared" si="121"/>
        <v>0</v>
      </c>
      <c r="AD15" s="250">
        <f t="shared" si="122"/>
        <v>0</v>
      </c>
      <c r="AE15" s="224"/>
      <c r="AF15" s="188">
        <f t="shared" si="123"/>
        <v>0</v>
      </c>
      <c r="AG15" s="188"/>
      <c r="AH15" s="20"/>
      <c r="AI15" s="20">
        <v>0</v>
      </c>
      <c r="AJ15" s="20">
        <f t="shared" si="18"/>
        <v>0</v>
      </c>
      <c r="AK15" s="20"/>
      <c r="AL15" s="20">
        <v>0</v>
      </c>
      <c r="AM15" s="20">
        <v>0</v>
      </c>
      <c r="AN15" s="139"/>
      <c r="BB15" s="20">
        <f t="shared" si="124"/>
        <v>0</v>
      </c>
      <c r="BE15" s="20">
        <f t="shared" si="19"/>
        <v>0</v>
      </c>
      <c r="BF15" s="20">
        <f t="shared" si="20"/>
        <v>0</v>
      </c>
      <c r="BG15" s="20">
        <f t="shared" si="21"/>
        <v>0</v>
      </c>
      <c r="BH15" s="20">
        <f t="shared" si="22"/>
        <v>0</v>
      </c>
      <c r="BI15" s="20">
        <f t="shared" si="23"/>
        <v>0</v>
      </c>
      <c r="BJ15" s="20">
        <f t="shared" si="24"/>
        <v>0</v>
      </c>
      <c r="BK15" s="20">
        <f t="shared" si="125"/>
        <v>0</v>
      </c>
      <c r="BN15" s="139"/>
      <c r="BO15" s="284"/>
      <c r="BP15" s="139"/>
      <c r="BQ15" s="139"/>
      <c r="BR15" s="139"/>
      <c r="BS15" s="139"/>
      <c r="BT15" s="139"/>
      <c r="BU15" s="139"/>
      <c r="BV15" s="139"/>
      <c r="BW15" s="139"/>
      <c r="BX15" s="139"/>
      <c r="BY15" s="139"/>
      <c r="BZ15" s="139"/>
      <c r="CB15" s="139"/>
      <c r="CD15" s="17">
        <f t="shared" si="126"/>
        <v>0</v>
      </c>
      <c r="CE15" s="17">
        <f t="shared" si="127"/>
        <v>0</v>
      </c>
      <c r="CF15" s="139">
        <f t="shared" si="128"/>
        <v>0</v>
      </c>
      <c r="CG15" s="139">
        <f t="shared" si="129"/>
        <v>0</v>
      </c>
      <c r="CH15" s="139">
        <f t="shared" si="130"/>
        <v>0</v>
      </c>
      <c r="CI15" s="139">
        <f t="shared" si="131"/>
        <v>0</v>
      </c>
      <c r="CJ15" s="139">
        <f t="shared" si="132"/>
        <v>0</v>
      </c>
      <c r="CK15" s="139">
        <f t="shared" si="133"/>
        <v>0</v>
      </c>
      <c r="CL15" s="139">
        <f t="shared" si="134"/>
        <v>0</v>
      </c>
      <c r="CM15" s="139">
        <f t="shared" si="135"/>
        <v>0</v>
      </c>
      <c r="CN15" s="139">
        <f t="shared" si="136"/>
        <v>0</v>
      </c>
      <c r="CO15" s="139">
        <f t="shared" si="137"/>
        <v>0</v>
      </c>
      <c r="CP15" s="139">
        <f t="shared" si="138"/>
        <v>0</v>
      </c>
      <c r="CQ15" s="148">
        <f t="shared" si="27"/>
        <v>0</v>
      </c>
      <c r="DV15" s="139">
        <f t="shared" si="28"/>
        <v>0</v>
      </c>
      <c r="DW15" s="139">
        <f t="shared" si="29"/>
        <v>0</v>
      </c>
      <c r="DX15" s="139">
        <f t="shared" si="30"/>
        <v>0</v>
      </c>
      <c r="DY15" s="139">
        <f t="shared" si="31"/>
        <v>0</v>
      </c>
      <c r="DZ15" s="139">
        <f t="shared" si="32"/>
        <v>0</v>
      </c>
      <c r="EA15" s="139">
        <f t="shared" si="33"/>
        <v>0</v>
      </c>
      <c r="EB15" s="139">
        <f t="shared" si="139"/>
        <v>0</v>
      </c>
      <c r="ED15" s="46" t="s">
        <v>343</v>
      </c>
      <c r="EE15" s="46" t="s">
        <v>375</v>
      </c>
      <c r="EF15" s="56"/>
      <c r="EG15" s="57">
        <f t="shared" si="140"/>
        <v>0</v>
      </c>
      <c r="EH15" s="57">
        <f t="shared" si="141"/>
        <v>0</v>
      </c>
      <c r="EI15" s="17"/>
      <c r="EJ15" s="17"/>
      <c r="EK15" s="17"/>
      <c r="EL15" s="17"/>
      <c r="EM15" s="17"/>
      <c r="EN15" s="17"/>
      <c r="EO15" s="17"/>
      <c r="EP15" s="17"/>
      <c r="EQ15" s="189"/>
      <c r="ER15" s="189"/>
      <c r="ES15" s="189"/>
      <c r="ET15" s="189"/>
      <c r="EU15" s="189"/>
      <c r="EV15" s="189"/>
      <c r="EW15" s="189"/>
      <c r="EX15" s="189"/>
      <c r="EY15" s="189"/>
      <c r="EZ15" s="189"/>
      <c r="FA15" s="189"/>
      <c r="FB15" s="189"/>
      <c r="FC15" s="189"/>
      <c r="FD15" s="17"/>
      <c r="FE15" s="17"/>
      <c r="FF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X15" s="80"/>
      <c r="FY15" s="17">
        <f t="shared" si="142"/>
        <v>0</v>
      </c>
      <c r="FZ15" s="17">
        <f t="shared" si="35"/>
        <v>0</v>
      </c>
      <c r="GA15" s="17">
        <f t="shared" si="36"/>
        <v>0</v>
      </c>
      <c r="GB15" s="17">
        <f t="shared" si="37"/>
        <v>0</v>
      </c>
      <c r="GC15" s="17">
        <f t="shared" si="38"/>
        <v>0</v>
      </c>
      <c r="GD15" s="17">
        <f t="shared" si="39"/>
        <v>0</v>
      </c>
      <c r="GE15" s="17">
        <f t="shared" si="40"/>
        <v>0</v>
      </c>
      <c r="GF15" s="67"/>
      <c r="GG15" s="17">
        <v>0</v>
      </c>
      <c r="GH15" s="17">
        <v>0</v>
      </c>
      <c r="GI15" s="67"/>
      <c r="GJ15" s="62">
        <f t="shared" si="143"/>
        <v>0</v>
      </c>
      <c r="GK15" s="62">
        <f t="shared" si="144"/>
        <v>0</v>
      </c>
      <c r="GO15" s="17">
        <f t="shared" si="41"/>
        <v>0</v>
      </c>
      <c r="GP15" s="17">
        <f t="shared" si="42"/>
        <v>0</v>
      </c>
      <c r="GQ15" s="17">
        <f t="shared" si="43"/>
        <v>0</v>
      </c>
      <c r="GR15" s="17">
        <f t="shared" si="44"/>
        <v>0</v>
      </c>
      <c r="GS15" s="17">
        <f t="shared" si="45"/>
        <v>0</v>
      </c>
      <c r="GT15" s="17">
        <f t="shared" si="145"/>
        <v>1</v>
      </c>
      <c r="GU15" s="101">
        <f t="shared" si="146"/>
        <v>43243</v>
      </c>
      <c r="GV15" s="17" t="str">
        <f t="shared" si="147"/>
        <v>SELESAI</v>
      </c>
      <c r="GW15" s="17">
        <f t="shared" si="148"/>
        <v>0</v>
      </c>
      <c r="GX15" s="66" t="str">
        <f t="shared" si="149"/>
        <v>SELESAI</v>
      </c>
      <c r="GY15" s="66">
        <f t="shared" si="150"/>
        <v>0</v>
      </c>
      <c r="GZ15" s="102" t="str">
        <f t="shared" si="151"/>
        <v>SELESAI</v>
      </c>
      <c r="HA15" s="83"/>
      <c r="HB15" s="83"/>
      <c r="HC15" s="17">
        <f t="shared" si="46"/>
        <v>0</v>
      </c>
      <c r="HD15" s="17">
        <f t="shared" si="47"/>
        <v>0</v>
      </c>
      <c r="HE15" s="17">
        <f t="shared" si="152"/>
        <v>0</v>
      </c>
      <c r="HF15" s="17">
        <f t="shared" si="153"/>
        <v>0</v>
      </c>
      <c r="HG15" s="17">
        <f t="shared" si="154"/>
        <v>0</v>
      </c>
      <c r="HH15" s="101" t="str">
        <f t="shared" si="48"/>
        <v>TIDAK KONSINYASI</v>
      </c>
      <c r="HI15" s="101" t="str">
        <f t="shared" si="155"/>
        <v>SELESAI</v>
      </c>
      <c r="HJ15" s="27"/>
      <c r="HK15" s="101">
        <f t="shared" si="49"/>
        <v>0</v>
      </c>
      <c r="HL15" s="83"/>
      <c r="HM15" s="83"/>
      <c r="HN15" s="83"/>
      <c r="HO15" s="83"/>
      <c r="HP15" s="102">
        <f t="shared" si="156"/>
        <v>0</v>
      </c>
      <c r="HQ15" s="66">
        <f t="shared" si="157"/>
        <v>0</v>
      </c>
      <c r="HR15" s="66">
        <f t="shared" si="50"/>
        <v>0</v>
      </c>
      <c r="HS15" s="102">
        <f t="shared" si="158"/>
        <v>0</v>
      </c>
      <c r="HT15" s="66">
        <f t="shared" si="159"/>
        <v>0</v>
      </c>
      <c r="HU15" s="66">
        <f t="shared" si="51"/>
        <v>0</v>
      </c>
      <c r="HV15" s="102">
        <f t="shared" si="160"/>
        <v>0</v>
      </c>
      <c r="HW15" s="66">
        <f t="shared" si="52"/>
        <v>0</v>
      </c>
      <c r="HX15" s="66">
        <f t="shared" si="53"/>
        <v>0</v>
      </c>
      <c r="HY15" s="102">
        <f t="shared" si="54"/>
        <v>0</v>
      </c>
      <c r="HZ15" s="66">
        <f t="shared" si="161"/>
        <v>0</v>
      </c>
      <c r="IA15" s="66">
        <f t="shared" si="55"/>
        <v>0</v>
      </c>
      <c r="IB15" s="102">
        <f t="shared" si="162"/>
        <v>0</v>
      </c>
      <c r="IC15" s="66">
        <f t="shared" si="56"/>
        <v>0</v>
      </c>
      <c r="ID15" s="66">
        <f t="shared" si="57"/>
        <v>0</v>
      </c>
      <c r="IE15" s="102">
        <f t="shared" si="58"/>
        <v>0</v>
      </c>
      <c r="IF15" s="66">
        <f t="shared" si="59"/>
        <v>0</v>
      </c>
      <c r="IG15" s="66">
        <f t="shared" si="60"/>
        <v>0</v>
      </c>
      <c r="IH15" s="102">
        <f t="shared" si="163"/>
        <v>0</v>
      </c>
      <c r="II15" s="66">
        <f t="shared" si="164"/>
        <v>0</v>
      </c>
      <c r="IJ15" s="66">
        <f t="shared" si="61"/>
        <v>0</v>
      </c>
      <c r="IK15" s="102">
        <f t="shared" si="62"/>
        <v>0</v>
      </c>
      <c r="IL15" s="66">
        <f t="shared" si="63"/>
        <v>0</v>
      </c>
      <c r="IM15" s="66">
        <f t="shared" si="64"/>
        <v>0</v>
      </c>
      <c r="IN15" s="83"/>
      <c r="IO15" s="102">
        <f t="shared" si="65"/>
        <v>0</v>
      </c>
      <c r="IP15" s="66">
        <f t="shared" si="66"/>
        <v>0</v>
      </c>
      <c r="IQ15" s="66">
        <f t="shared" si="67"/>
        <v>0</v>
      </c>
      <c r="IR15" s="83"/>
      <c r="IS15" s="102"/>
      <c r="IT15" s="66">
        <f t="shared" si="68"/>
        <v>1</v>
      </c>
      <c r="IU15" s="66">
        <f t="shared" si="69"/>
        <v>85</v>
      </c>
      <c r="IV15" s="83"/>
      <c r="IW15" s="102"/>
      <c r="IX15" s="66">
        <f t="shared" si="70"/>
        <v>0</v>
      </c>
      <c r="IY15" s="66">
        <f t="shared" si="71"/>
        <v>0</v>
      </c>
      <c r="IZ15" s="83"/>
      <c r="JA15" s="102"/>
      <c r="JB15" s="66">
        <f t="shared" si="72"/>
        <v>0</v>
      </c>
      <c r="JC15" s="66">
        <f t="shared" si="73"/>
        <v>0</v>
      </c>
      <c r="JD15" s="83"/>
      <c r="JE15" s="102"/>
      <c r="JF15" s="66">
        <f t="shared" si="165"/>
        <v>1</v>
      </c>
      <c r="JG15" s="66">
        <f t="shared" si="74"/>
        <v>85</v>
      </c>
      <c r="JH15" s="83"/>
      <c r="JI15" s="102"/>
      <c r="JJ15" s="66">
        <f t="shared" si="75"/>
        <v>0</v>
      </c>
      <c r="JK15" s="66">
        <f t="shared" si="76"/>
        <v>0</v>
      </c>
      <c r="JM15" s="102">
        <f t="shared" si="166"/>
        <v>0</v>
      </c>
      <c r="JO15" s="29">
        <f t="shared" si="77"/>
        <v>0</v>
      </c>
      <c r="JP15" s="122">
        <f t="shared" si="78"/>
        <v>0</v>
      </c>
      <c r="JQ15" s="122">
        <f t="shared" si="79"/>
        <v>0</v>
      </c>
      <c r="JR15" s="122">
        <f t="shared" si="80"/>
        <v>0</v>
      </c>
      <c r="JS15" s="122">
        <f t="shared" si="81"/>
        <v>0</v>
      </c>
      <c r="JT15" s="122">
        <f t="shared" si="82"/>
        <v>0</v>
      </c>
      <c r="JU15" s="122">
        <f t="shared" si="83"/>
        <v>0</v>
      </c>
      <c r="JV15" s="122">
        <f t="shared" si="84"/>
        <v>0</v>
      </c>
      <c r="JW15" s="122">
        <f t="shared" si="85"/>
        <v>0</v>
      </c>
      <c r="JX15" s="122">
        <f t="shared" si="86"/>
        <v>0</v>
      </c>
      <c r="JY15" s="122">
        <f t="shared" si="87"/>
        <v>0</v>
      </c>
      <c r="JZ15" s="122">
        <f t="shared" si="88"/>
        <v>0</v>
      </c>
      <c r="KA15" s="122">
        <f t="shared" si="89"/>
        <v>0</v>
      </c>
      <c r="KB15" s="122">
        <f t="shared" si="90"/>
        <v>0</v>
      </c>
      <c r="KD15" s="122">
        <f t="shared" si="167"/>
        <v>0</v>
      </c>
      <c r="KE15" s="122">
        <f t="shared" si="92"/>
        <v>0</v>
      </c>
      <c r="KF15" s="122">
        <f t="shared" si="93"/>
        <v>0</v>
      </c>
      <c r="KG15" s="122">
        <f t="shared" si="94"/>
        <v>0</v>
      </c>
      <c r="KH15" s="122">
        <f t="shared" si="95"/>
        <v>0</v>
      </c>
      <c r="KI15" s="122">
        <f t="shared" si="96"/>
        <v>0</v>
      </c>
      <c r="KJ15" s="122">
        <f t="shared" si="97"/>
        <v>0</v>
      </c>
      <c r="KK15" s="122">
        <f t="shared" si="98"/>
        <v>0</v>
      </c>
      <c r="KL15" s="122">
        <f t="shared" si="99"/>
        <v>0</v>
      </c>
      <c r="KM15" s="122">
        <f t="shared" si="100"/>
        <v>0</v>
      </c>
      <c r="KN15" s="123">
        <f t="shared" si="101"/>
        <v>0</v>
      </c>
      <c r="KO15" s="123">
        <f t="shared" si="102"/>
        <v>0</v>
      </c>
      <c r="KP15" s="123">
        <f t="shared" si="103"/>
        <v>0</v>
      </c>
      <c r="KQ15" s="123">
        <f t="shared" si="104"/>
        <v>0</v>
      </c>
      <c r="KR15" s="123">
        <f t="shared" si="105"/>
        <v>0</v>
      </c>
      <c r="KT15">
        <f t="shared" si="106"/>
        <v>0</v>
      </c>
      <c r="KU15" s="123"/>
      <c r="KV15" s="123"/>
      <c r="KW15" s="123"/>
      <c r="KX15" s="123"/>
      <c r="KY15" s="123"/>
      <c r="KZ15" s="123"/>
      <c r="LA15" s="123"/>
      <c r="LB15" s="123"/>
      <c r="LC15" s="123"/>
      <c r="LD15" s="123"/>
      <c r="LE15" s="123"/>
      <c r="LF15" s="123"/>
      <c r="LG15" s="123"/>
      <c r="LH15" s="123"/>
      <c r="LI15" s="123"/>
      <c r="LJ15" s="123"/>
      <c r="LK15" s="123"/>
      <c r="LL15" s="123"/>
      <c r="LM15" s="123"/>
      <c r="LN15" s="123"/>
      <c r="LO15" s="123"/>
      <c r="LP15" s="123"/>
      <c r="LQ15" s="123"/>
      <c r="LR15" s="123"/>
      <c r="LS15" s="123"/>
      <c r="LT15" s="123"/>
      <c r="LU15" s="123"/>
      <c r="LV15" s="123"/>
      <c r="LW15" s="123"/>
      <c r="LX15" s="123"/>
      <c r="LY15" s="123"/>
      <c r="LZ15" s="123"/>
      <c r="MA15" s="123"/>
      <c r="MB15" s="123"/>
      <c r="MC15" s="123"/>
      <c r="MD15" s="123"/>
      <c r="ME15" s="123"/>
      <c r="MF15" s="123"/>
      <c r="MG15" s="123"/>
      <c r="MH15" s="123"/>
      <c r="MI15" s="123"/>
      <c r="MJ15" s="123"/>
      <c r="MK15" s="123"/>
      <c r="ML15" s="123"/>
      <c r="MM15" s="123"/>
      <c r="MN15" s="123"/>
      <c r="MO15" s="123"/>
      <c r="MP15" s="123"/>
      <c r="MQ15" s="123"/>
      <c r="MR15" s="123"/>
      <c r="MS15" s="123"/>
      <c r="MT15" s="123"/>
      <c r="MU15" s="123"/>
      <c r="MV15" s="123"/>
      <c r="MW15" s="123"/>
      <c r="MX15" s="123"/>
      <c r="MY15" s="123"/>
      <c r="MZ15" s="123"/>
      <c r="NA15" s="123"/>
      <c r="NB15" s="123"/>
      <c r="NC15" s="123"/>
      <c r="ND15" s="123"/>
      <c r="NE15" s="123"/>
      <c r="NF15" s="123"/>
      <c r="NG15" s="123"/>
      <c r="NH15" s="123"/>
      <c r="NI15" s="123"/>
      <c r="NJ15" s="123"/>
      <c r="NK15" s="123"/>
      <c r="NM15">
        <f t="shared" si="168"/>
        <v>0</v>
      </c>
      <c r="NN15">
        <f t="shared" si="169"/>
        <v>0</v>
      </c>
      <c r="NO15">
        <f t="shared" si="170"/>
        <v>0</v>
      </c>
      <c r="NP15">
        <f t="shared" si="171"/>
        <v>0</v>
      </c>
      <c r="NQ15">
        <f t="shared" si="172"/>
        <v>0</v>
      </c>
      <c r="NR15">
        <f t="shared" si="173"/>
        <v>0</v>
      </c>
      <c r="NS15">
        <f t="shared" si="174"/>
        <v>0</v>
      </c>
      <c r="NT15">
        <f t="shared" si="175"/>
        <v>0</v>
      </c>
      <c r="NU15" s="29">
        <f t="shared" si="176"/>
        <v>0</v>
      </c>
      <c r="NY15" s="17">
        <f t="shared" si="108"/>
        <v>1</v>
      </c>
      <c r="NZ15" s="152">
        <v>7644000</v>
      </c>
      <c r="OE15" s="155">
        <f t="shared" si="109"/>
        <v>0</v>
      </c>
      <c r="OF15" s="155">
        <f t="shared" si="110"/>
        <v>0</v>
      </c>
      <c r="OG15" s="155">
        <f t="shared" si="111"/>
        <v>0</v>
      </c>
      <c r="OH15" s="155">
        <f t="shared" si="177"/>
        <v>0</v>
      </c>
      <c r="OI15" s="155">
        <f t="shared" si="112"/>
        <v>0</v>
      </c>
      <c r="OJ15" s="67">
        <f t="shared" si="178"/>
        <v>0</v>
      </c>
      <c r="OK15" s="67">
        <f t="shared" si="179"/>
        <v>0</v>
      </c>
      <c r="OL15" s="67">
        <f t="shared" si="180"/>
        <v>0</v>
      </c>
      <c r="OM15" s="67">
        <f t="shared" si="181"/>
        <v>0</v>
      </c>
      <c r="OO15" s="155">
        <f t="shared" si="113"/>
        <v>0</v>
      </c>
      <c r="OP15" s="155">
        <f t="shared" si="114"/>
        <v>0</v>
      </c>
      <c r="OQ15" s="155">
        <f t="shared" si="182"/>
        <v>0</v>
      </c>
      <c r="OR15" s="155">
        <f t="shared" si="183"/>
        <v>0</v>
      </c>
      <c r="OS15" s="155">
        <f t="shared" si="184"/>
        <v>0</v>
      </c>
      <c r="OT15" s="67">
        <f t="shared" si="185"/>
        <v>0</v>
      </c>
      <c r="OU15" s="67">
        <f t="shared" si="186"/>
        <v>0</v>
      </c>
      <c r="OV15" s="67">
        <f t="shared" si="187"/>
        <v>0</v>
      </c>
      <c r="OW15" s="67">
        <f t="shared" si="188"/>
        <v>0</v>
      </c>
      <c r="OZ15" s="163">
        <f t="shared" si="115"/>
        <v>0</v>
      </c>
      <c r="PA15" s="166"/>
      <c r="PB15" s="166"/>
      <c r="PC15" s="166"/>
      <c r="PD15" s="210">
        <f t="shared" si="116"/>
        <v>0</v>
      </c>
      <c r="PE15" s="210"/>
      <c r="PF15" s="210">
        <f t="shared" si="117"/>
        <v>0</v>
      </c>
      <c r="PG15" s="210">
        <f t="shared" si="118"/>
        <v>0</v>
      </c>
      <c r="PH15" s="210">
        <f t="shared" si="118"/>
        <v>0</v>
      </c>
      <c r="PI15" s="210">
        <f t="shared" si="118"/>
        <v>0</v>
      </c>
      <c r="PJ15" s="210">
        <f t="shared" si="118"/>
        <v>0</v>
      </c>
      <c r="PK15" s="210">
        <f t="shared" si="118"/>
        <v>0</v>
      </c>
      <c r="PL15" s="210">
        <f t="shared" si="118"/>
        <v>0</v>
      </c>
      <c r="PM15" s="164"/>
      <c r="PN15" s="164"/>
      <c r="PO15" s="172">
        <f t="shared" si="189"/>
        <v>0</v>
      </c>
      <c r="PP15" s="172">
        <f t="shared" si="190"/>
        <v>0</v>
      </c>
      <c r="PQ15" s="172">
        <f t="shared" si="191"/>
        <v>0</v>
      </c>
      <c r="PR15" s="164"/>
      <c r="PS15" s="164"/>
      <c r="PT15" s="164"/>
      <c r="PU15" s="164"/>
    </row>
    <row r="16" spans="1:437 16383:16383" ht="16" x14ac:dyDescent="0.2">
      <c r="A16" s="19">
        <f t="shared" si="192"/>
        <v>8</v>
      </c>
      <c r="B16" s="138" t="s">
        <v>145</v>
      </c>
      <c r="C16" s="138">
        <v>12</v>
      </c>
      <c r="D16" s="20">
        <v>1</v>
      </c>
      <c r="E16" s="20">
        <v>60</v>
      </c>
      <c r="F16" s="20">
        <v>1</v>
      </c>
      <c r="G16" s="20">
        <f t="shared" si="119"/>
        <v>60</v>
      </c>
      <c r="H16" s="137">
        <f t="shared" si="2"/>
        <v>1</v>
      </c>
      <c r="I16" s="137">
        <f t="shared" si="3"/>
        <v>1</v>
      </c>
      <c r="J16" s="20">
        <v>1</v>
      </c>
      <c r="K16" s="20">
        <f t="shared" si="4"/>
        <v>60</v>
      </c>
      <c r="L16" s="137">
        <f t="shared" si="5"/>
        <v>1</v>
      </c>
      <c r="M16" s="137">
        <f t="shared" si="6"/>
        <v>1</v>
      </c>
      <c r="N16" s="20">
        <v>1</v>
      </c>
      <c r="O16" s="20">
        <f t="shared" si="7"/>
        <v>60</v>
      </c>
      <c r="P16" s="137">
        <f t="shared" si="8"/>
        <v>1</v>
      </c>
      <c r="Q16" s="137">
        <f t="shared" si="9"/>
        <v>1</v>
      </c>
      <c r="R16" s="20">
        <v>1</v>
      </c>
      <c r="S16" s="20">
        <f t="shared" si="10"/>
        <v>60</v>
      </c>
      <c r="T16" s="137">
        <f t="shared" si="11"/>
        <v>1</v>
      </c>
      <c r="U16" s="137">
        <f t="shared" si="12"/>
        <v>1</v>
      </c>
      <c r="V16" s="20">
        <v>1</v>
      </c>
      <c r="W16" s="20">
        <f t="shared" si="13"/>
        <v>60</v>
      </c>
      <c r="X16" s="137">
        <f t="shared" si="14"/>
        <v>1</v>
      </c>
      <c r="Y16" s="137">
        <f t="shared" si="15"/>
        <v>1</v>
      </c>
      <c r="Z16" s="144">
        <f>747402000/1000000000</f>
        <v>0.74740200000000001</v>
      </c>
      <c r="AA16" s="188"/>
      <c r="AB16" s="189">
        <f t="shared" si="120"/>
        <v>0</v>
      </c>
      <c r="AC16" s="250">
        <f t="shared" si="121"/>
        <v>0</v>
      </c>
      <c r="AD16" s="250">
        <f t="shared" si="122"/>
        <v>0</v>
      </c>
      <c r="AE16" s="224"/>
      <c r="AF16" s="188">
        <f t="shared" si="123"/>
        <v>0</v>
      </c>
      <c r="AG16" s="188"/>
      <c r="AH16" s="20"/>
      <c r="AI16" s="20">
        <v>0</v>
      </c>
      <c r="AJ16" s="20">
        <f t="shared" si="18"/>
        <v>0</v>
      </c>
      <c r="AK16" s="20"/>
      <c r="AL16" s="20">
        <v>0</v>
      </c>
      <c r="AM16" s="20">
        <v>0</v>
      </c>
      <c r="AN16" s="139"/>
      <c r="BB16" s="20">
        <f t="shared" si="124"/>
        <v>0</v>
      </c>
      <c r="BE16" s="20">
        <f t="shared" si="19"/>
        <v>0</v>
      </c>
      <c r="BF16" s="20">
        <f t="shared" si="20"/>
        <v>0</v>
      </c>
      <c r="BG16" s="20">
        <f t="shared" si="21"/>
        <v>0</v>
      </c>
      <c r="BH16" s="20">
        <f t="shared" si="22"/>
        <v>0</v>
      </c>
      <c r="BI16" s="20">
        <f t="shared" si="23"/>
        <v>0</v>
      </c>
      <c r="BJ16" s="20">
        <f t="shared" si="24"/>
        <v>0</v>
      </c>
      <c r="BK16" s="20">
        <f t="shared" si="125"/>
        <v>0</v>
      </c>
      <c r="BN16" s="284">
        <v>21</v>
      </c>
      <c r="BO16">
        <v>1</v>
      </c>
      <c r="BP16" s="139"/>
      <c r="BQ16" s="139"/>
      <c r="BR16" s="139"/>
      <c r="BS16" s="139"/>
      <c r="BT16" s="139"/>
      <c r="BU16" s="139"/>
      <c r="BV16" s="139"/>
      <c r="BW16" s="139"/>
      <c r="BX16" s="139"/>
      <c r="BY16" s="139"/>
      <c r="BZ16" s="139"/>
      <c r="CB16" s="139"/>
      <c r="CD16" s="17">
        <f t="shared" si="126"/>
        <v>21</v>
      </c>
      <c r="CE16" s="17">
        <f t="shared" si="127"/>
        <v>21</v>
      </c>
      <c r="CF16" s="139">
        <f t="shared" si="128"/>
        <v>0</v>
      </c>
      <c r="CG16" s="139">
        <f t="shared" si="129"/>
        <v>0</v>
      </c>
      <c r="CH16" s="139">
        <f t="shared" si="130"/>
        <v>0</v>
      </c>
      <c r="CI16" s="139">
        <f t="shared" si="131"/>
        <v>0</v>
      </c>
      <c r="CJ16" s="139">
        <f t="shared" si="132"/>
        <v>0</v>
      </c>
      <c r="CK16" s="139">
        <f t="shared" si="133"/>
        <v>0</v>
      </c>
      <c r="CL16" s="139">
        <f t="shared" si="134"/>
        <v>0</v>
      </c>
      <c r="CM16" s="139">
        <f t="shared" si="135"/>
        <v>0</v>
      </c>
      <c r="CN16" s="139">
        <f t="shared" si="136"/>
        <v>0</v>
      </c>
      <c r="CO16" s="139">
        <f t="shared" si="137"/>
        <v>0</v>
      </c>
      <c r="CP16" s="139">
        <f t="shared" si="138"/>
        <v>0</v>
      </c>
      <c r="CQ16" s="148">
        <f t="shared" si="27"/>
        <v>0</v>
      </c>
      <c r="DV16" s="139">
        <f t="shared" si="28"/>
        <v>0</v>
      </c>
      <c r="DW16" s="139">
        <f t="shared" si="29"/>
        <v>0</v>
      </c>
      <c r="DX16" s="139">
        <f t="shared" si="30"/>
        <v>0</v>
      </c>
      <c r="DY16" s="139">
        <f t="shared" si="31"/>
        <v>0</v>
      </c>
      <c r="DZ16" s="139">
        <f t="shared" si="32"/>
        <v>0</v>
      </c>
      <c r="EA16" s="139">
        <f t="shared" si="33"/>
        <v>0</v>
      </c>
      <c r="EB16" s="139">
        <f t="shared" si="139"/>
        <v>0</v>
      </c>
      <c r="ED16" s="46" t="s">
        <v>302</v>
      </c>
      <c r="EE16" s="46" t="s">
        <v>376</v>
      </c>
      <c r="EF16" s="56"/>
      <c r="EG16" s="57">
        <f t="shared" si="140"/>
        <v>0</v>
      </c>
      <c r="EH16" s="57">
        <f t="shared" si="141"/>
        <v>0</v>
      </c>
      <c r="EI16" s="17"/>
      <c r="EJ16" s="17"/>
      <c r="EK16" s="17"/>
      <c r="EL16" s="17"/>
      <c r="EM16" s="17"/>
      <c r="EN16" s="17"/>
      <c r="EO16" s="17"/>
      <c r="EP16" s="17"/>
      <c r="EQ16" s="189"/>
      <c r="ER16" s="189"/>
      <c r="ES16" s="189"/>
      <c r="ET16" s="189"/>
      <c r="EU16" s="189"/>
      <c r="EV16" s="189"/>
      <c r="EW16" s="189"/>
      <c r="EX16" s="189"/>
      <c r="EY16" s="189"/>
      <c r="EZ16" s="189"/>
      <c r="FA16" s="189"/>
      <c r="FB16" s="189"/>
      <c r="FC16" s="189"/>
      <c r="FD16" s="17"/>
      <c r="FE16" s="17"/>
      <c r="FF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X16" s="80">
        <v>1</v>
      </c>
      <c r="FY16" s="17">
        <f t="shared" si="142"/>
        <v>21</v>
      </c>
      <c r="FZ16" s="17">
        <f t="shared" si="35"/>
        <v>21</v>
      </c>
      <c r="GA16" s="17">
        <f t="shared" si="36"/>
        <v>0</v>
      </c>
      <c r="GB16" s="17">
        <f t="shared" si="37"/>
        <v>0</v>
      </c>
      <c r="GC16" s="17">
        <f t="shared" si="38"/>
        <v>0</v>
      </c>
      <c r="GD16" s="17">
        <f t="shared" si="39"/>
        <v>0</v>
      </c>
      <c r="GE16" s="17">
        <f t="shared" si="40"/>
        <v>0</v>
      </c>
      <c r="GF16" s="67"/>
      <c r="GG16" s="17">
        <v>0</v>
      </c>
      <c r="GH16" s="17">
        <v>0</v>
      </c>
      <c r="GI16" s="67"/>
      <c r="GJ16" s="62">
        <f t="shared" si="143"/>
        <v>0</v>
      </c>
      <c r="GK16" s="62">
        <f t="shared" si="144"/>
        <v>0</v>
      </c>
      <c r="GO16" s="17">
        <f t="shared" si="41"/>
        <v>0</v>
      </c>
      <c r="GP16" s="17">
        <f t="shared" si="42"/>
        <v>0</v>
      </c>
      <c r="GQ16" s="17">
        <f t="shared" si="43"/>
        <v>0</v>
      </c>
      <c r="GR16" s="17">
        <f t="shared" si="44"/>
        <v>0</v>
      </c>
      <c r="GS16" s="17">
        <f t="shared" si="45"/>
        <v>0</v>
      </c>
      <c r="GT16" s="17">
        <f t="shared" si="145"/>
        <v>1</v>
      </c>
      <c r="GU16" s="101">
        <f t="shared" si="146"/>
        <v>43243</v>
      </c>
      <c r="GV16" s="17" t="str">
        <f t="shared" si="147"/>
        <v>SELESAI</v>
      </c>
      <c r="GW16" s="17">
        <f t="shared" si="148"/>
        <v>0</v>
      </c>
      <c r="GX16" s="66" t="str">
        <f t="shared" si="149"/>
        <v>SELESAI</v>
      </c>
      <c r="GY16" s="66">
        <f t="shared" si="150"/>
        <v>0</v>
      </c>
      <c r="GZ16" s="102" t="str">
        <f t="shared" si="151"/>
        <v>SELESAI</v>
      </c>
      <c r="HA16" s="83"/>
      <c r="HB16" s="83"/>
      <c r="HC16" s="17">
        <f t="shared" si="46"/>
        <v>0</v>
      </c>
      <c r="HD16" s="17">
        <f t="shared" si="47"/>
        <v>0</v>
      </c>
      <c r="HE16" s="17">
        <f t="shared" si="152"/>
        <v>0</v>
      </c>
      <c r="HF16" s="17">
        <f t="shared" si="153"/>
        <v>0</v>
      </c>
      <c r="HG16" s="17">
        <f t="shared" si="154"/>
        <v>0</v>
      </c>
      <c r="HH16" s="101" t="str">
        <f t="shared" si="48"/>
        <v>TIDAK KONSINYASI</v>
      </c>
      <c r="HI16" s="101" t="str">
        <f t="shared" si="155"/>
        <v>SELESAI</v>
      </c>
      <c r="HJ16" s="27"/>
      <c r="HK16" s="101">
        <f t="shared" si="49"/>
        <v>0</v>
      </c>
      <c r="HL16" s="83"/>
      <c r="HM16" s="83"/>
      <c r="HN16" s="83"/>
      <c r="HO16" s="83"/>
      <c r="HP16" s="102">
        <f t="shared" si="156"/>
        <v>0</v>
      </c>
      <c r="HQ16" s="66">
        <f t="shared" si="157"/>
        <v>0</v>
      </c>
      <c r="HR16" s="66">
        <f t="shared" si="50"/>
        <v>0</v>
      </c>
      <c r="HS16" s="102">
        <f t="shared" si="158"/>
        <v>0</v>
      </c>
      <c r="HT16" s="66">
        <f t="shared" si="159"/>
        <v>0</v>
      </c>
      <c r="HU16" s="66">
        <f t="shared" si="51"/>
        <v>0</v>
      </c>
      <c r="HV16" s="102">
        <f t="shared" si="160"/>
        <v>0</v>
      </c>
      <c r="HW16" s="66">
        <f t="shared" si="52"/>
        <v>0</v>
      </c>
      <c r="HX16" s="66">
        <f t="shared" si="53"/>
        <v>0</v>
      </c>
      <c r="HY16" s="102">
        <f t="shared" si="54"/>
        <v>0</v>
      </c>
      <c r="HZ16" s="66">
        <f t="shared" si="161"/>
        <v>0</v>
      </c>
      <c r="IA16" s="66">
        <f t="shared" si="55"/>
        <v>0</v>
      </c>
      <c r="IB16" s="102">
        <f t="shared" si="162"/>
        <v>0</v>
      </c>
      <c r="IC16" s="66">
        <f t="shared" si="56"/>
        <v>0</v>
      </c>
      <c r="ID16" s="66">
        <f t="shared" si="57"/>
        <v>0</v>
      </c>
      <c r="IE16" s="102">
        <f t="shared" si="58"/>
        <v>0</v>
      </c>
      <c r="IF16" s="66">
        <f t="shared" si="59"/>
        <v>0</v>
      </c>
      <c r="IG16" s="66">
        <f t="shared" si="60"/>
        <v>0</v>
      </c>
      <c r="IH16" s="102">
        <f t="shared" si="163"/>
        <v>0</v>
      </c>
      <c r="II16" s="66">
        <f t="shared" si="164"/>
        <v>0</v>
      </c>
      <c r="IJ16" s="66">
        <f t="shared" si="61"/>
        <v>0</v>
      </c>
      <c r="IK16" s="102">
        <f t="shared" si="62"/>
        <v>0</v>
      </c>
      <c r="IL16" s="66">
        <f t="shared" si="63"/>
        <v>0</v>
      </c>
      <c r="IM16" s="66">
        <f t="shared" si="64"/>
        <v>0</v>
      </c>
      <c r="IN16" s="83"/>
      <c r="IO16" s="102">
        <f t="shared" si="65"/>
        <v>0</v>
      </c>
      <c r="IP16" s="66">
        <f t="shared" si="66"/>
        <v>0</v>
      </c>
      <c r="IQ16" s="66">
        <f t="shared" si="67"/>
        <v>0</v>
      </c>
      <c r="IR16" s="83"/>
      <c r="IS16" s="102"/>
      <c r="IT16" s="66">
        <f t="shared" si="68"/>
        <v>1</v>
      </c>
      <c r="IU16" s="66">
        <f t="shared" si="69"/>
        <v>60</v>
      </c>
      <c r="IV16" s="83"/>
      <c r="IW16" s="102"/>
      <c r="IX16" s="66">
        <f t="shared" si="70"/>
        <v>0</v>
      </c>
      <c r="IY16" s="66">
        <f t="shared" si="71"/>
        <v>0</v>
      </c>
      <c r="IZ16" s="83"/>
      <c r="JA16" s="102"/>
      <c r="JB16" s="66">
        <f t="shared" si="72"/>
        <v>0</v>
      </c>
      <c r="JC16" s="66">
        <f t="shared" si="73"/>
        <v>0</v>
      </c>
      <c r="JD16" s="83"/>
      <c r="JE16" s="102"/>
      <c r="JF16" s="66">
        <f t="shared" si="165"/>
        <v>1</v>
      </c>
      <c r="JG16" s="66">
        <f t="shared" si="74"/>
        <v>60</v>
      </c>
      <c r="JH16" s="83"/>
      <c r="JI16" s="102"/>
      <c r="JJ16" s="66">
        <f t="shared" si="75"/>
        <v>0</v>
      </c>
      <c r="JK16" s="66">
        <f t="shared" si="76"/>
        <v>0</v>
      </c>
      <c r="JM16" s="102">
        <f t="shared" si="166"/>
        <v>0</v>
      </c>
      <c r="JO16" s="29">
        <f t="shared" si="77"/>
        <v>1</v>
      </c>
      <c r="JP16" s="122">
        <f t="shared" si="78"/>
        <v>21</v>
      </c>
      <c r="JQ16" s="122">
        <f t="shared" si="79"/>
        <v>1</v>
      </c>
      <c r="JR16" s="122">
        <f t="shared" si="80"/>
        <v>0</v>
      </c>
      <c r="JS16" s="122">
        <f t="shared" si="81"/>
        <v>0</v>
      </c>
      <c r="JT16" s="122">
        <f t="shared" si="82"/>
        <v>0</v>
      </c>
      <c r="JU16" s="122">
        <f t="shared" si="83"/>
        <v>0</v>
      </c>
      <c r="JV16" s="122">
        <f t="shared" si="84"/>
        <v>0</v>
      </c>
      <c r="JW16" s="122">
        <f t="shared" si="85"/>
        <v>0</v>
      </c>
      <c r="JX16" s="122">
        <f t="shared" si="86"/>
        <v>0</v>
      </c>
      <c r="JY16" s="122">
        <f t="shared" si="87"/>
        <v>0</v>
      </c>
      <c r="JZ16" s="122">
        <f t="shared" si="88"/>
        <v>0</v>
      </c>
      <c r="KA16" s="122">
        <f t="shared" si="89"/>
        <v>0</v>
      </c>
      <c r="KB16" s="122">
        <f t="shared" si="90"/>
        <v>0</v>
      </c>
      <c r="KD16" s="122">
        <f t="shared" si="167"/>
        <v>0</v>
      </c>
      <c r="KE16" s="122">
        <f t="shared" si="92"/>
        <v>0</v>
      </c>
      <c r="KF16" s="122">
        <f t="shared" si="93"/>
        <v>21</v>
      </c>
      <c r="KG16" s="122">
        <f t="shared" si="94"/>
        <v>21</v>
      </c>
      <c r="KH16" s="122">
        <f t="shared" si="95"/>
        <v>0</v>
      </c>
      <c r="KI16" s="122">
        <f t="shared" si="96"/>
        <v>0</v>
      </c>
      <c r="KJ16" s="122">
        <f t="shared" si="97"/>
        <v>0</v>
      </c>
      <c r="KK16" s="122">
        <f t="shared" si="98"/>
        <v>0</v>
      </c>
      <c r="KL16" s="122">
        <f t="shared" si="99"/>
        <v>0</v>
      </c>
      <c r="KM16" s="122">
        <f t="shared" si="100"/>
        <v>0</v>
      </c>
      <c r="KN16" s="123">
        <f t="shared" si="101"/>
        <v>0</v>
      </c>
      <c r="KO16" s="123">
        <f t="shared" si="102"/>
        <v>0</v>
      </c>
      <c r="KP16" s="123">
        <f t="shared" si="103"/>
        <v>0</v>
      </c>
      <c r="KQ16" s="123">
        <f t="shared" si="104"/>
        <v>0</v>
      </c>
      <c r="KR16" s="123">
        <f t="shared" si="105"/>
        <v>0</v>
      </c>
      <c r="KT16">
        <f t="shared" si="106"/>
        <v>0</v>
      </c>
      <c r="KU16" s="123"/>
      <c r="KV16" s="123"/>
      <c r="KW16" s="123"/>
      <c r="KX16" s="123"/>
      <c r="KY16" s="123"/>
      <c r="KZ16" s="123"/>
      <c r="LA16" s="123"/>
      <c r="LB16" s="123"/>
      <c r="LC16" s="123"/>
      <c r="LD16" s="123"/>
      <c r="LE16" s="123"/>
      <c r="LF16" s="123"/>
      <c r="LG16" s="123"/>
      <c r="LH16" s="123"/>
      <c r="LI16" s="123"/>
      <c r="LJ16" s="123"/>
      <c r="LK16" s="123"/>
      <c r="LL16" s="123"/>
      <c r="LM16" s="123"/>
      <c r="LN16" s="123"/>
      <c r="LO16" s="123"/>
      <c r="LP16" s="123"/>
      <c r="LQ16" s="123"/>
      <c r="LR16" s="123"/>
      <c r="LS16" s="123"/>
      <c r="LT16" s="123"/>
      <c r="LU16" s="123"/>
      <c r="LV16" s="123"/>
      <c r="LW16" s="123"/>
      <c r="LX16" s="123"/>
      <c r="LY16" s="123"/>
      <c r="LZ16" s="123"/>
      <c r="MA16" s="123"/>
      <c r="MB16" s="123"/>
      <c r="MC16" s="123"/>
      <c r="MD16" s="123"/>
      <c r="ME16" s="123"/>
      <c r="MF16" s="123"/>
      <c r="MG16" s="123"/>
      <c r="MH16" s="123"/>
      <c r="MI16" s="123"/>
      <c r="MJ16" s="123"/>
      <c r="MK16" s="123"/>
      <c r="ML16" s="123"/>
      <c r="MM16" s="123"/>
      <c r="MN16" s="123"/>
      <c r="MO16" s="123"/>
      <c r="MP16" s="123"/>
      <c r="MQ16" s="123"/>
      <c r="MR16" s="123"/>
      <c r="MS16" s="123"/>
      <c r="MT16" s="123"/>
      <c r="MU16" s="123"/>
      <c r="MV16" s="123"/>
      <c r="MW16" s="123"/>
      <c r="MX16" s="123"/>
      <c r="MY16" s="123"/>
      <c r="MZ16" s="123"/>
      <c r="NA16" s="123"/>
      <c r="NB16" s="123"/>
      <c r="NC16" s="123"/>
      <c r="ND16" s="123"/>
      <c r="NE16" s="123"/>
      <c r="NF16" s="123"/>
      <c r="NG16" s="123"/>
      <c r="NH16" s="123"/>
      <c r="NI16" s="123"/>
      <c r="NJ16" s="123"/>
      <c r="NK16" s="123"/>
      <c r="NM16">
        <f t="shared" si="168"/>
        <v>0</v>
      </c>
      <c r="NN16">
        <f t="shared" si="169"/>
        <v>0</v>
      </c>
      <c r="NO16">
        <f t="shared" si="170"/>
        <v>0</v>
      </c>
      <c r="NP16">
        <f t="shared" si="171"/>
        <v>0</v>
      </c>
      <c r="NQ16">
        <f t="shared" si="172"/>
        <v>0</v>
      </c>
      <c r="NR16">
        <f t="shared" si="173"/>
        <v>0</v>
      </c>
      <c r="NS16">
        <f t="shared" si="174"/>
        <v>0</v>
      </c>
      <c r="NT16">
        <f t="shared" si="175"/>
        <v>0</v>
      </c>
      <c r="NU16" s="29">
        <f t="shared" si="176"/>
        <v>0</v>
      </c>
      <c r="NY16" s="17">
        <f t="shared" si="108"/>
        <v>1</v>
      </c>
      <c r="NZ16" s="152">
        <v>7644000</v>
      </c>
      <c r="OE16" s="155">
        <f t="shared" si="109"/>
        <v>0</v>
      </c>
      <c r="OF16" s="155">
        <f t="shared" si="110"/>
        <v>0</v>
      </c>
      <c r="OG16" s="155">
        <f t="shared" si="111"/>
        <v>0</v>
      </c>
      <c r="OH16" s="155">
        <f t="shared" si="177"/>
        <v>0</v>
      </c>
      <c r="OI16" s="155">
        <f t="shared" si="112"/>
        <v>0</v>
      </c>
      <c r="OJ16" s="67">
        <f t="shared" si="178"/>
        <v>0</v>
      </c>
      <c r="OK16" s="67">
        <f t="shared" si="179"/>
        <v>0</v>
      </c>
      <c r="OL16" s="67">
        <f t="shared" si="180"/>
        <v>0</v>
      </c>
      <c r="OM16" s="67">
        <f t="shared" si="181"/>
        <v>0</v>
      </c>
      <c r="OO16" s="155">
        <f t="shared" si="113"/>
        <v>0</v>
      </c>
      <c r="OP16" s="155">
        <f t="shared" si="114"/>
        <v>0</v>
      </c>
      <c r="OQ16" s="155">
        <f t="shared" si="182"/>
        <v>0</v>
      </c>
      <c r="OR16" s="155">
        <f t="shared" si="183"/>
        <v>0</v>
      </c>
      <c r="OS16" s="155">
        <f t="shared" si="184"/>
        <v>0</v>
      </c>
      <c r="OT16" s="67">
        <f t="shared" si="185"/>
        <v>0</v>
      </c>
      <c r="OU16" s="67">
        <f t="shared" si="186"/>
        <v>0</v>
      </c>
      <c r="OV16" s="67">
        <f t="shared" si="187"/>
        <v>0</v>
      </c>
      <c r="OW16" s="67">
        <f t="shared" si="188"/>
        <v>0</v>
      </c>
      <c r="OZ16" s="163">
        <f t="shared" si="115"/>
        <v>0</v>
      </c>
      <c r="PA16" s="166"/>
      <c r="PB16" s="166"/>
      <c r="PC16" s="166"/>
      <c r="PD16" s="210">
        <f t="shared" si="116"/>
        <v>0</v>
      </c>
      <c r="PE16" s="210"/>
      <c r="PF16" s="210">
        <f t="shared" si="117"/>
        <v>0</v>
      </c>
      <c r="PG16" s="210">
        <f t="shared" si="118"/>
        <v>0</v>
      </c>
      <c r="PH16" s="210">
        <f t="shared" si="118"/>
        <v>0</v>
      </c>
      <c r="PI16" s="210">
        <f t="shared" si="118"/>
        <v>0</v>
      </c>
      <c r="PJ16" s="210">
        <f t="shared" si="118"/>
        <v>0</v>
      </c>
      <c r="PK16" s="210">
        <f t="shared" si="118"/>
        <v>0</v>
      </c>
      <c r="PL16" s="210">
        <f t="shared" si="118"/>
        <v>0</v>
      </c>
      <c r="PM16" s="164"/>
      <c r="PN16" s="164"/>
      <c r="PO16" s="172">
        <f t="shared" si="189"/>
        <v>0</v>
      </c>
      <c r="PP16" s="172">
        <f t="shared" si="190"/>
        <v>0</v>
      </c>
      <c r="PQ16" s="172">
        <f t="shared" si="191"/>
        <v>0</v>
      </c>
      <c r="PR16" s="164"/>
      <c r="PS16" s="164"/>
      <c r="PT16" s="164"/>
      <c r="PU16" s="164"/>
    </row>
    <row r="17" spans="1:437" ht="16" x14ac:dyDescent="0.2">
      <c r="A17" s="19">
        <f t="shared" si="192"/>
        <v>9</v>
      </c>
      <c r="B17" s="138" t="s">
        <v>146</v>
      </c>
      <c r="C17" s="138">
        <v>13</v>
      </c>
      <c r="D17" s="20">
        <v>1</v>
      </c>
      <c r="E17" s="20">
        <v>55</v>
      </c>
      <c r="F17" s="20">
        <v>1</v>
      </c>
      <c r="G17" s="20">
        <f t="shared" si="119"/>
        <v>55</v>
      </c>
      <c r="H17" s="137">
        <f t="shared" si="2"/>
        <v>1</v>
      </c>
      <c r="I17" s="137">
        <f t="shared" si="3"/>
        <v>1</v>
      </c>
      <c r="J17" s="20">
        <v>1</v>
      </c>
      <c r="K17" s="20">
        <f t="shared" si="4"/>
        <v>55</v>
      </c>
      <c r="L17" s="137">
        <f t="shared" si="5"/>
        <v>1</v>
      </c>
      <c r="M17" s="137">
        <f t="shared" si="6"/>
        <v>1</v>
      </c>
      <c r="N17" s="20">
        <v>1</v>
      </c>
      <c r="O17" s="20">
        <f t="shared" si="7"/>
        <v>55</v>
      </c>
      <c r="P17" s="137">
        <f t="shared" si="8"/>
        <v>1</v>
      </c>
      <c r="Q17" s="137">
        <f t="shared" si="9"/>
        <v>1</v>
      </c>
      <c r="R17" s="20">
        <v>1</v>
      </c>
      <c r="S17" s="20">
        <f t="shared" si="10"/>
        <v>55</v>
      </c>
      <c r="T17" s="137">
        <f t="shared" si="11"/>
        <v>1</v>
      </c>
      <c r="U17" s="137">
        <f t="shared" si="12"/>
        <v>1</v>
      </c>
      <c r="V17" s="20">
        <v>1</v>
      </c>
      <c r="W17" s="20">
        <f t="shared" si="13"/>
        <v>55</v>
      </c>
      <c r="X17" s="137">
        <f t="shared" si="14"/>
        <v>1</v>
      </c>
      <c r="Y17" s="137">
        <f t="shared" si="15"/>
        <v>1</v>
      </c>
      <c r="Z17" s="144">
        <f>738143000/1000000000</f>
        <v>0.73814299999999999</v>
      </c>
      <c r="AA17" s="188"/>
      <c r="AB17" s="189">
        <f t="shared" si="120"/>
        <v>0</v>
      </c>
      <c r="AC17" s="250">
        <f t="shared" si="121"/>
        <v>0</v>
      </c>
      <c r="AD17" s="250">
        <f t="shared" si="122"/>
        <v>0</v>
      </c>
      <c r="AE17" s="224"/>
      <c r="AF17" s="188">
        <f t="shared" si="123"/>
        <v>0</v>
      </c>
      <c r="AG17" s="188"/>
      <c r="AH17" s="20"/>
      <c r="AI17" s="20">
        <v>0</v>
      </c>
      <c r="AJ17" s="20">
        <f t="shared" si="18"/>
        <v>0</v>
      </c>
      <c r="AK17" s="20"/>
      <c r="AL17" s="20">
        <v>0</v>
      </c>
      <c r="AM17" s="20">
        <v>0</v>
      </c>
      <c r="AN17" s="139"/>
      <c r="BB17" s="20">
        <f t="shared" si="124"/>
        <v>0</v>
      </c>
      <c r="BE17" s="20">
        <f t="shared" si="19"/>
        <v>0</v>
      </c>
      <c r="BF17" s="20">
        <f t="shared" si="20"/>
        <v>0</v>
      </c>
      <c r="BG17" s="20">
        <f t="shared" si="21"/>
        <v>0</v>
      </c>
      <c r="BH17" s="20">
        <f t="shared" si="22"/>
        <v>0</v>
      </c>
      <c r="BI17" s="20">
        <f t="shared" si="23"/>
        <v>0</v>
      </c>
      <c r="BJ17" s="20">
        <f t="shared" si="24"/>
        <v>0</v>
      </c>
      <c r="BK17" s="20">
        <f t="shared" si="125"/>
        <v>0</v>
      </c>
      <c r="BN17" s="284"/>
      <c r="BP17" s="139"/>
      <c r="BQ17" s="139"/>
      <c r="BR17" s="139"/>
      <c r="BS17" s="139"/>
      <c r="BT17" s="139"/>
      <c r="BU17" s="139"/>
      <c r="BV17" s="139"/>
      <c r="BW17" s="139"/>
      <c r="BX17" s="139"/>
      <c r="BY17" s="139"/>
      <c r="BZ17" s="139"/>
      <c r="CB17" s="139"/>
      <c r="CD17" s="17">
        <f t="shared" si="126"/>
        <v>0</v>
      </c>
      <c r="CE17" s="17">
        <f t="shared" si="127"/>
        <v>0</v>
      </c>
      <c r="CF17" s="139">
        <f t="shared" si="128"/>
        <v>0</v>
      </c>
      <c r="CG17" s="139">
        <f t="shared" si="129"/>
        <v>0</v>
      </c>
      <c r="CH17" s="139">
        <f t="shared" si="130"/>
        <v>0</v>
      </c>
      <c r="CI17" s="139">
        <f t="shared" si="131"/>
        <v>0</v>
      </c>
      <c r="CJ17" s="139">
        <f t="shared" si="132"/>
        <v>0</v>
      </c>
      <c r="CK17" s="139">
        <f t="shared" si="133"/>
        <v>0</v>
      </c>
      <c r="CL17" s="139">
        <f t="shared" si="134"/>
        <v>0</v>
      </c>
      <c r="CM17" s="139">
        <f t="shared" si="135"/>
        <v>0</v>
      </c>
      <c r="CN17" s="139">
        <f t="shared" si="136"/>
        <v>0</v>
      </c>
      <c r="CO17" s="139">
        <f t="shared" si="137"/>
        <v>0</v>
      </c>
      <c r="CP17" s="139">
        <f t="shared" si="138"/>
        <v>0</v>
      </c>
      <c r="CQ17" s="148">
        <f t="shared" si="27"/>
        <v>0</v>
      </c>
      <c r="DV17" s="139">
        <f t="shared" si="28"/>
        <v>0</v>
      </c>
      <c r="DW17" s="139">
        <f t="shared" si="29"/>
        <v>0</v>
      </c>
      <c r="DX17" s="139">
        <f t="shared" si="30"/>
        <v>0</v>
      </c>
      <c r="DY17" s="139">
        <f t="shared" si="31"/>
        <v>0</v>
      </c>
      <c r="DZ17" s="139">
        <f t="shared" si="32"/>
        <v>0</v>
      </c>
      <c r="EA17" s="139">
        <f t="shared" si="33"/>
        <v>0</v>
      </c>
      <c r="EB17" s="139">
        <f t="shared" si="139"/>
        <v>0</v>
      </c>
      <c r="ED17" s="46" t="s">
        <v>351</v>
      </c>
      <c r="EE17" s="46" t="s">
        <v>377</v>
      </c>
      <c r="EF17" s="56"/>
      <c r="EG17" s="57">
        <f t="shared" si="140"/>
        <v>0</v>
      </c>
      <c r="EH17" s="57">
        <f t="shared" si="141"/>
        <v>0</v>
      </c>
      <c r="EI17" s="17"/>
      <c r="EJ17" s="17"/>
      <c r="EK17" s="17"/>
      <c r="EL17" s="17"/>
      <c r="EM17" s="17"/>
      <c r="EN17" s="17"/>
      <c r="EO17" s="17"/>
      <c r="EP17" s="17"/>
      <c r="EQ17" s="189"/>
      <c r="ER17" s="189"/>
      <c r="ES17" s="189"/>
      <c r="ET17" s="189"/>
      <c r="EU17" s="189"/>
      <c r="EV17" s="189"/>
      <c r="EW17" s="189"/>
      <c r="EX17" s="189"/>
      <c r="EY17" s="189"/>
      <c r="EZ17" s="189"/>
      <c r="FA17" s="189"/>
      <c r="FB17" s="189"/>
      <c r="FC17" s="189"/>
      <c r="FD17" s="17"/>
      <c r="FE17" s="17"/>
      <c r="FF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X17" s="80"/>
      <c r="FY17" s="17">
        <f t="shared" si="142"/>
        <v>0</v>
      </c>
      <c r="FZ17" s="17">
        <f t="shared" si="35"/>
        <v>0</v>
      </c>
      <c r="GA17" s="17">
        <f t="shared" si="36"/>
        <v>0</v>
      </c>
      <c r="GB17" s="17">
        <f t="shared" si="37"/>
        <v>0</v>
      </c>
      <c r="GC17" s="17">
        <f t="shared" si="38"/>
        <v>0</v>
      </c>
      <c r="GD17" s="17">
        <f t="shared" si="39"/>
        <v>0</v>
      </c>
      <c r="GE17" s="17">
        <f t="shared" si="40"/>
        <v>0</v>
      </c>
      <c r="GF17" s="67"/>
      <c r="GG17" s="17">
        <v>0</v>
      </c>
      <c r="GH17" s="17">
        <v>0</v>
      </c>
      <c r="GI17" s="67"/>
      <c r="GJ17" s="62">
        <f t="shared" si="143"/>
        <v>0</v>
      </c>
      <c r="GK17" s="62">
        <f t="shared" si="144"/>
        <v>0</v>
      </c>
      <c r="GO17" s="17">
        <f t="shared" si="41"/>
        <v>0</v>
      </c>
      <c r="GP17" s="17">
        <f t="shared" si="42"/>
        <v>0</v>
      </c>
      <c r="GQ17" s="17">
        <f t="shared" si="43"/>
        <v>0</v>
      </c>
      <c r="GR17" s="17">
        <f t="shared" si="44"/>
        <v>0</v>
      </c>
      <c r="GS17" s="17">
        <f t="shared" si="45"/>
        <v>0</v>
      </c>
      <c r="GT17" s="17">
        <f t="shared" si="145"/>
        <v>1</v>
      </c>
      <c r="GU17" s="101">
        <f t="shared" si="146"/>
        <v>43243</v>
      </c>
      <c r="GV17" s="17" t="str">
        <f t="shared" si="147"/>
        <v>SELESAI</v>
      </c>
      <c r="GW17" s="17">
        <f t="shared" si="148"/>
        <v>0</v>
      </c>
      <c r="GX17" s="66" t="str">
        <f t="shared" si="149"/>
        <v>SELESAI</v>
      </c>
      <c r="GY17" s="66">
        <f t="shared" si="150"/>
        <v>0</v>
      </c>
      <c r="GZ17" s="102" t="str">
        <f t="shared" si="151"/>
        <v>SELESAI</v>
      </c>
      <c r="HA17" s="83"/>
      <c r="HB17" s="83"/>
      <c r="HC17" s="17">
        <f t="shared" si="46"/>
        <v>0</v>
      </c>
      <c r="HD17" s="17">
        <f t="shared" si="47"/>
        <v>0</v>
      </c>
      <c r="HE17" s="17">
        <f t="shared" si="152"/>
        <v>0</v>
      </c>
      <c r="HF17" s="17">
        <f t="shared" si="153"/>
        <v>0</v>
      </c>
      <c r="HG17" s="17">
        <f t="shared" si="154"/>
        <v>0</v>
      </c>
      <c r="HH17" s="101" t="str">
        <f t="shared" si="48"/>
        <v>TIDAK KONSINYASI</v>
      </c>
      <c r="HI17" s="101" t="str">
        <f t="shared" si="155"/>
        <v>SELESAI</v>
      </c>
      <c r="HJ17" s="27"/>
      <c r="HK17" s="101">
        <f t="shared" si="49"/>
        <v>0</v>
      </c>
      <c r="HL17" s="83"/>
      <c r="HM17" s="83"/>
      <c r="HN17" s="83"/>
      <c r="HO17" s="83"/>
      <c r="HP17" s="102">
        <f t="shared" si="156"/>
        <v>0</v>
      </c>
      <c r="HQ17" s="66">
        <f t="shared" si="157"/>
        <v>0</v>
      </c>
      <c r="HR17" s="66">
        <f t="shared" si="50"/>
        <v>0</v>
      </c>
      <c r="HS17" s="102">
        <f t="shared" si="158"/>
        <v>0</v>
      </c>
      <c r="HT17" s="66">
        <f t="shared" si="159"/>
        <v>0</v>
      </c>
      <c r="HU17" s="66">
        <f t="shared" si="51"/>
        <v>0</v>
      </c>
      <c r="HV17" s="102">
        <f t="shared" si="160"/>
        <v>0</v>
      </c>
      <c r="HW17" s="66">
        <f t="shared" si="52"/>
        <v>0</v>
      </c>
      <c r="HX17" s="66">
        <f t="shared" si="53"/>
        <v>0</v>
      </c>
      <c r="HY17" s="102">
        <f t="shared" si="54"/>
        <v>0</v>
      </c>
      <c r="HZ17" s="66">
        <f t="shared" si="161"/>
        <v>0</v>
      </c>
      <c r="IA17" s="66">
        <f t="shared" si="55"/>
        <v>0</v>
      </c>
      <c r="IB17" s="102">
        <f t="shared" si="162"/>
        <v>0</v>
      </c>
      <c r="IC17" s="66">
        <f t="shared" si="56"/>
        <v>0</v>
      </c>
      <c r="ID17" s="66">
        <f t="shared" si="57"/>
        <v>0</v>
      </c>
      <c r="IE17" s="102">
        <f t="shared" si="58"/>
        <v>0</v>
      </c>
      <c r="IF17" s="66">
        <f t="shared" si="59"/>
        <v>0</v>
      </c>
      <c r="IG17" s="66">
        <f t="shared" si="60"/>
        <v>0</v>
      </c>
      <c r="IH17" s="102">
        <f t="shared" si="163"/>
        <v>0</v>
      </c>
      <c r="II17" s="66">
        <f t="shared" si="164"/>
        <v>0</v>
      </c>
      <c r="IJ17" s="66">
        <f t="shared" si="61"/>
        <v>0</v>
      </c>
      <c r="IK17" s="102">
        <f t="shared" si="62"/>
        <v>0</v>
      </c>
      <c r="IL17" s="66">
        <f t="shared" si="63"/>
        <v>0</v>
      </c>
      <c r="IM17" s="66">
        <f t="shared" si="64"/>
        <v>0</v>
      </c>
      <c r="IN17" s="83"/>
      <c r="IO17" s="102">
        <f t="shared" si="65"/>
        <v>0</v>
      </c>
      <c r="IP17" s="66">
        <f t="shared" si="66"/>
        <v>0</v>
      </c>
      <c r="IQ17" s="66">
        <f t="shared" si="67"/>
        <v>0</v>
      </c>
      <c r="IR17" s="83"/>
      <c r="IS17" s="102"/>
      <c r="IT17" s="66">
        <f t="shared" si="68"/>
        <v>1</v>
      </c>
      <c r="IU17" s="66">
        <f t="shared" si="69"/>
        <v>55</v>
      </c>
      <c r="IV17" s="83"/>
      <c r="IW17" s="102"/>
      <c r="IX17" s="66">
        <f t="shared" si="70"/>
        <v>0</v>
      </c>
      <c r="IY17" s="66">
        <f t="shared" si="71"/>
        <v>0</v>
      </c>
      <c r="IZ17" s="83"/>
      <c r="JA17" s="102"/>
      <c r="JB17" s="66">
        <f t="shared" si="72"/>
        <v>0</v>
      </c>
      <c r="JC17" s="66">
        <f t="shared" si="73"/>
        <v>0</v>
      </c>
      <c r="JD17" s="83"/>
      <c r="JE17" s="102"/>
      <c r="JF17" s="66">
        <f t="shared" si="165"/>
        <v>1</v>
      </c>
      <c r="JG17" s="66">
        <f t="shared" si="74"/>
        <v>55</v>
      </c>
      <c r="JH17" s="83"/>
      <c r="JI17" s="102"/>
      <c r="JJ17" s="66">
        <f t="shared" si="75"/>
        <v>0</v>
      </c>
      <c r="JK17" s="66">
        <f t="shared" si="76"/>
        <v>0</v>
      </c>
      <c r="JM17" s="102">
        <f t="shared" si="166"/>
        <v>0</v>
      </c>
      <c r="JO17" s="29">
        <f t="shared" si="77"/>
        <v>0</v>
      </c>
      <c r="JP17" s="122">
        <f t="shared" si="78"/>
        <v>0</v>
      </c>
      <c r="JQ17" s="122">
        <f t="shared" si="79"/>
        <v>0</v>
      </c>
      <c r="JR17" s="122">
        <f t="shared" si="80"/>
        <v>0</v>
      </c>
      <c r="JS17" s="122">
        <f t="shared" si="81"/>
        <v>0</v>
      </c>
      <c r="JT17" s="122">
        <f t="shared" si="82"/>
        <v>0</v>
      </c>
      <c r="JU17" s="122">
        <f t="shared" si="83"/>
        <v>0</v>
      </c>
      <c r="JV17" s="122">
        <f t="shared" si="84"/>
        <v>0</v>
      </c>
      <c r="JW17" s="122">
        <f t="shared" si="85"/>
        <v>0</v>
      </c>
      <c r="JX17" s="122">
        <f t="shared" si="86"/>
        <v>0</v>
      </c>
      <c r="JY17" s="122">
        <f t="shared" si="87"/>
        <v>0</v>
      </c>
      <c r="JZ17" s="122">
        <f t="shared" si="88"/>
        <v>0</v>
      </c>
      <c r="KA17" s="122">
        <f t="shared" si="89"/>
        <v>0</v>
      </c>
      <c r="KB17" s="122">
        <f t="shared" si="90"/>
        <v>0</v>
      </c>
      <c r="KD17" s="122">
        <f t="shared" si="167"/>
        <v>0</v>
      </c>
      <c r="KE17" s="122">
        <f t="shared" si="92"/>
        <v>0</v>
      </c>
      <c r="KF17" s="122">
        <f t="shared" si="93"/>
        <v>0</v>
      </c>
      <c r="KG17" s="122">
        <f t="shared" si="94"/>
        <v>0</v>
      </c>
      <c r="KH17" s="122">
        <f t="shared" si="95"/>
        <v>0</v>
      </c>
      <c r="KI17" s="122">
        <f t="shared" si="96"/>
        <v>0</v>
      </c>
      <c r="KJ17" s="122">
        <f t="shared" si="97"/>
        <v>0</v>
      </c>
      <c r="KK17" s="122">
        <f t="shared" si="98"/>
        <v>0</v>
      </c>
      <c r="KL17" s="122">
        <f t="shared" si="99"/>
        <v>0</v>
      </c>
      <c r="KM17" s="122">
        <f t="shared" si="100"/>
        <v>0</v>
      </c>
      <c r="KN17" s="123">
        <f t="shared" si="101"/>
        <v>0</v>
      </c>
      <c r="KO17" s="123">
        <f t="shared" si="102"/>
        <v>0</v>
      </c>
      <c r="KP17" s="123">
        <f t="shared" si="103"/>
        <v>0</v>
      </c>
      <c r="KQ17" s="123">
        <f t="shared" si="104"/>
        <v>0</v>
      </c>
      <c r="KR17" s="123">
        <f t="shared" si="105"/>
        <v>0</v>
      </c>
      <c r="KT17">
        <f t="shared" si="106"/>
        <v>0</v>
      </c>
      <c r="KU17" s="123"/>
      <c r="KV17" s="123"/>
      <c r="KW17" s="123"/>
      <c r="KX17" s="123"/>
      <c r="KY17" s="123"/>
      <c r="KZ17" s="123"/>
      <c r="LA17" s="123"/>
      <c r="LB17" s="123"/>
      <c r="LC17" s="123"/>
      <c r="LD17" s="123"/>
      <c r="LE17" s="123"/>
      <c r="LF17" s="123"/>
      <c r="LG17" s="123"/>
      <c r="LH17" s="123"/>
      <c r="LI17" s="123"/>
      <c r="LJ17" s="123"/>
      <c r="LK17" s="123"/>
      <c r="LL17" s="123"/>
      <c r="LM17" s="123"/>
      <c r="LN17" s="123"/>
      <c r="LO17" s="123"/>
      <c r="LP17" s="123"/>
      <c r="LQ17" s="123"/>
      <c r="LR17" s="123"/>
      <c r="LS17" s="123"/>
      <c r="LT17" s="123"/>
      <c r="LU17" s="123"/>
      <c r="LV17" s="123"/>
      <c r="LW17" s="123"/>
      <c r="LX17" s="123"/>
      <c r="LY17" s="123"/>
      <c r="LZ17" s="123"/>
      <c r="MA17" s="123"/>
      <c r="MB17" s="123"/>
      <c r="MC17" s="123"/>
      <c r="MD17" s="123"/>
      <c r="ME17" s="123"/>
      <c r="MF17" s="123"/>
      <c r="MG17" s="123"/>
      <c r="MH17" s="123"/>
      <c r="MI17" s="123"/>
      <c r="MJ17" s="123"/>
      <c r="MK17" s="123"/>
      <c r="ML17" s="123"/>
      <c r="MM17" s="123"/>
      <c r="MN17" s="123"/>
      <c r="MO17" s="123"/>
      <c r="MP17" s="123"/>
      <c r="MQ17" s="123"/>
      <c r="MR17" s="123"/>
      <c r="MS17" s="123"/>
      <c r="MT17" s="123"/>
      <c r="MU17" s="123"/>
      <c r="MV17" s="123"/>
      <c r="MW17" s="123"/>
      <c r="MX17" s="123"/>
      <c r="MY17" s="123"/>
      <c r="MZ17" s="123"/>
      <c r="NA17" s="123"/>
      <c r="NB17" s="123"/>
      <c r="NC17" s="123"/>
      <c r="ND17" s="123"/>
      <c r="NE17" s="123"/>
      <c r="NF17" s="123"/>
      <c r="NG17" s="123"/>
      <c r="NH17" s="123"/>
      <c r="NI17" s="123"/>
      <c r="NJ17" s="123"/>
      <c r="NK17" s="123"/>
      <c r="NM17">
        <f t="shared" si="168"/>
        <v>0</v>
      </c>
      <c r="NN17">
        <f t="shared" si="169"/>
        <v>0</v>
      </c>
      <c r="NO17">
        <f t="shared" si="170"/>
        <v>0</v>
      </c>
      <c r="NP17">
        <f t="shared" si="171"/>
        <v>0</v>
      </c>
      <c r="NQ17">
        <f t="shared" si="172"/>
        <v>0</v>
      </c>
      <c r="NR17">
        <f t="shared" si="173"/>
        <v>0</v>
      </c>
      <c r="NS17">
        <f t="shared" si="174"/>
        <v>0</v>
      </c>
      <c r="NT17">
        <f t="shared" si="175"/>
        <v>0</v>
      </c>
      <c r="NU17" s="29">
        <f t="shared" si="176"/>
        <v>0</v>
      </c>
      <c r="NY17" s="17">
        <f t="shared" si="108"/>
        <v>1</v>
      </c>
      <c r="NZ17" s="152">
        <v>7644000</v>
      </c>
      <c r="OE17" s="155">
        <f t="shared" si="109"/>
        <v>0</v>
      </c>
      <c r="OF17" s="155">
        <f t="shared" si="110"/>
        <v>0</v>
      </c>
      <c r="OG17" s="155">
        <f t="shared" si="111"/>
        <v>0</v>
      </c>
      <c r="OH17" s="155">
        <f t="shared" si="177"/>
        <v>0</v>
      </c>
      <c r="OI17" s="155">
        <f t="shared" si="112"/>
        <v>0</v>
      </c>
      <c r="OJ17" s="67">
        <f t="shared" si="178"/>
        <v>0</v>
      </c>
      <c r="OK17" s="67">
        <f t="shared" si="179"/>
        <v>0</v>
      </c>
      <c r="OL17" s="67">
        <f t="shared" si="180"/>
        <v>0</v>
      </c>
      <c r="OM17" s="67">
        <f t="shared" si="181"/>
        <v>0</v>
      </c>
      <c r="OO17" s="155">
        <f t="shared" si="113"/>
        <v>0</v>
      </c>
      <c r="OP17" s="155">
        <f t="shared" si="114"/>
        <v>0</v>
      </c>
      <c r="OQ17" s="155">
        <f t="shared" si="182"/>
        <v>0</v>
      </c>
      <c r="OR17" s="155">
        <f t="shared" si="183"/>
        <v>0</v>
      </c>
      <c r="OS17" s="155">
        <f t="shared" si="184"/>
        <v>0</v>
      </c>
      <c r="OT17" s="67">
        <f t="shared" si="185"/>
        <v>0</v>
      </c>
      <c r="OU17" s="67">
        <f t="shared" si="186"/>
        <v>0</v>
      </c>
      <c r="OV17" s="67">
        <f t="shared" si="187"/>
        <v>0</v>
      </c>
      <c r="OW17" s="67">
        <f t="shared" si="188"/>
        <v>0</v>
      </c>
      <c r="OZ17" s="163">
        <f t="shared" si="115"/>
        <v>0</v>
      </c>
      <c r="PA17" s="166"/>
      <c r="PB17" s="166"/>
      <c r="PC17" s="166"/>
      <c r="PD17" s="210">
        <f t="shared" si="116"/>
        <v>0</v>
      </c>
      <c r="PE17" s="210"/>
      <c r="PF17" s="210">
        <f t="shared" si="117"/>
        <v>0</v>
      </c>
      <c r="PG17" s="210">
        <f t="shared" si="118"/>
        <v>0</v>
      </c>
      <c r="PH17" s="210">
        <f t="shared" si="118"/>
        <v>0</v>
      </c>
      <c r="PI17" s="210">
        <f t="shared" si="118"/>
        <v>0</v>
      </c>
      <c r="PJ17" s="210">
        <f t="shared" si="118"/>
        <v>0</v>
      </c>
      <c r="PK17" s="210">
        <f t="shared" si="118"/>
        <v>0</v>
      </c>
      <c r="PL17" s="210">
        <f t="shared" si="118"/>
        <v>0</v>
      </c>
      <c r="PM17" s="164"/>
      <c r="PN17" s="164"/>
      <c r="PO17" s="172">
        <f t="shared" si="189"/>
        <v>0</v>
      </c>
      <c r="PP17" s="172">
        <f t="shared" si="190"/>
        <v>0</v>
      </c>
      <c r="PQ17" s="172">
        <f t="shared" si="191"/>
        <v>0</v>
      </c>
      <c r="PR17" s="164"/>
      <c r="PS17" s="164"/>
      <c r="PT17" s="164"/>
      <c r="PU17" s="164"/>
    </row>
    <row r="18" spans="1:437" ht="16" x14ac:dyDescent="0.2">
      <c r="A18" s="19">
        <f t="shared" si="192"/>
        <v>10</v>
      </c>
      <c r="B18" s="138" t="s">
        <v>147</v>
      </c>
      <c r="C18" s="138">
        <v>14</v>
      </c>
      <c r="D18" s="20">
        <v>1</v>
      </c>
      <c r="E18" s="20">
        <v>100</v>
      </c>
      <c r="F18" s="20">
        <v>1</v>
      </c>
      <c r="G18" s="20">
        <f t="shared" si="119"/>
        <v>100</v>
      </c>
      <c r="H18" s="137">
        <f t="shared" si="2"/>
        <v>1</v>
      </c>
      <c r="I18" s="137">
        <f t="shared" si="3"/>
        <v>1</v>
      </c>
      <c r="J18" s="20">
        <v>1</v>
      </c>
      <c r="K18" s="20">
        <f t="shared" si="4"/>
        <v>100</v>
      </c>
      <c r="L18" s="137">
        <f t="shared" si="5"/>
        <v>1</v>
      </c>
      <c r="M18" s="137">
        <f t="shared" si="6"/>
        <v>1</v>
      </c>
      <c r="N18" s="20">
        <v>1</v>
      </c>
      <c r="O18" s="20">
        <f t="shared" si="7"/>
        <v>100</v>
      </c>
      <c r="P18" s="137">
        <f t="shared" si="8"/>
        <v>1</v>
      </c>
      <c r="Q18" s="137">
        <f t="shared" si="9"/>
        <v>1</v>
      </c>
      <c r="R18" s="20">
        <v>1</v>
      </c>
      <c r="S18" s="20">
        <f t="shared" si="10"/>
        <v>100</v>
      </c>
      <c r="T18" s="137">
        <f t="shared" si="11"/>
        <v>1</v>
      </c>
      <c r="U18" s="137">
        <f t="shared" si="12"/>
        <v>1</v>
      </c>
      <c r="V18" s="20">
        <v>1</v>
      </c>
      <c r="W18" s="20">
        <f t="shared" si="13"/>
        <v>100</v>
      </c>
      <c r="X18" s="137">
        <f t="shared" si="14"/>
        <v>1</v>
      </c>
      <c r="Y18" s="137">
        <f t="shared" si="15"/>
        <v>1</v>
      </c>
      <c r="Z18" s="144">
        <f>1287528000/1000000000</f>
        <v>1.287528</v>
      </c>
      <c r="AA18" s="188"/>
      <c r="AB18" s="189">
        <f t="shared" si="120"/>
        <v>0</v>
      </c>
      <c r="AC18" s="250">
        <f t="shared" si="121"/>
        <v>0</v>
      </c>
      <c r="AD18" s="250">
        <f t="shared" si="122"/>
        <v>0</v>
      </c>
      <c r="AE18" s="224"/>
      <c r="AF18" s="188">
        <f t="shared" si="123"/>
        <v>0</v>
      </c>
      <c r="AG18" s="188"/>
      <c r="AH18" s="20"/>
      <c r="AI18" s="20">
        <v>0</v>
      </c>
      <c r="AJ18" s="20">
        <f t="shared" si="18"/>
        <v>0</v>
      </c>
      <c r="AK18" s="20"/>
      <c r="AL18" s="20">
        <v>0</v>
      </c>
      <c r="AM18" s="20">
        <v>0</v>
      </c>
      <c r="AN18" s="139"/>
      <c r="BB18" s="20">
        <f t="shared" si="124"/>
        <v>0</v>
      </c>
      <c r="BE18" s="20">
        <f t="shared" si="19"/>
        <v>0</v>
      </c>
      <c r="BF18" s="20">
        <f t="shared" si="20"/>
        <v>0</v>
      </c>
      <c r="BG18" s="20">
        <f t="shared" si="21"/>
        <v>0</v>
      </c>
      <c r="BH18" s="20">
        <f t="shared" si="22"/>
        <v>0</v>
      </c>
      <c r="BI18" s="20">
        <f t="shared" si="23"/>
        <v>0</v>
      </c>
      <c r="BJ18" s="20">
        <f t="shared" si="24"/>
        <v>0</v>
      </c>
      <c r="BK18" s="20">
        <f t="shared" si="125"/>
        <v>0</v>
      </c>
      <c r="BN18" s="284">
        <v>7</v>
      </c>
      <c r="BO18">
        <v>1</v>
      </c>
      <c r="BP18" s="139"/>
      <c r="BQ18" s="139"/>
      <c r="BR18" s="139"/>
      <c r="BS18" s="139"/>
      <c r="BT18" s="139"/>
      <c r="BU18" s="139"/>
      <c r="BV18" s="139"/>
      <c r="BW18" s="139"/>
      <c r="BX18" s="139"/>
      <c r="BY18" s="139"/>
      <c r="BZ18" s="139"/>
      <c r="CB18" s="139"/>
      <c r="CD18" s="17">
        <f t="shared" si="126"/>
        <v>7</v>
      </c>
      <c r="CE18" s="17">
        <f t="shared" si="127"/>
        <v>7</v>
      </c>
      <c r="CF18" s="139">
        <f t="shared" si="128"/>
        <v>0</v>
      </c>
      <c r="CG18" s="139">
        <f t="shared" si="129"/>
        <v>0</v>
      </c>
      <c r="CH18" s="139">
        <f t="shared" si="130"/>
        <v>0</v>
      </c>
      <c r="CI18" s="139">
        <f t="shared" si="131"/>
        <v>0</v>
      </c>
      <c r="CJ18" s="139">
        <f t="shared" si="132"/>
        <v>0</v>
      </c>
      <c r="CK18" s="139">
        <f t="shared" si="133"/>
        <v>0</v>
      </c>
      <c r="CL18" s="139">
        <f t="shared" si="134"/>
        <v>0</v>
      </c>
      <c r="CM18" s="139">
        <f t="shared" si="135"/>
        <v>0</v>
      </c>
      <c r="CN18" s="139">
        <f t="shared" si="136"/>
        <v>0</v>
      </c>
      <c r="CO18" s="139">
        <f t="shared" si="137"/>
        <v>0</v>
      </c>
      <c r="CP18" s="139">
        <f t="shared" si="138"/>
        <v>0</v>
      </c>
      <c r="CQ18" s="148">
        <f t="shared" si="27"/>
        <v>0</v>
      </c>
      <c r="DV18" s="139">
        <f t="shared" si="28"/>
        <v>0</v>
      </c>
      <c r="DW18" s="139">
        <f t="shared" si="29"/>
        <v>0</v>
      </c>
      <c r="DX18" s="139">
        <f t="shared" si="30"/>
        <v>0</v>
      </c>
      <c r="DY18" s="139">
        <f t="shared" si="31"/>
        <v>0</v>
      </c>
      <c r="DZ18" s="139">
        <f t="shared" si="32"/>
        <v>0</v>
      </c>
      <c r="EA18" s="139">
        <f t="shared" si="33"/>
        <v>0</v>
      </c>
      <c r="EB18" s="139">
        <f t="shared" si="139"/>
        <v>0</v>
      </c>
      <c r="EG18" s="57">
        <f t="shared" si="140"/>
        <v>0</v>
      </c>
      <c r="EH18" s="57">
        <f t="shared" si="141"/>
        <v>0</v>
      </c>
      <c r="EI18" s="17"/>
      <c r="EJ18" s="17"/>
      <c r="EK18" s="17"/>
      <c r="EL18" s="17"/>
      <c r="EM18" s="17"/>
      <c r="EN18" s="17"/>
      <c r="EO18" s="17"/>
      <c r="EP18" s="17"/>
      <c r="EQ18" s="189"/>
      <c r="ER18" s="189"/>
      <c r="ES18" s="189"/>
      <c r="ET18" s="189"/>
      <c r="EU18" s="189"/>
      <c r="EV18" s="189"/>
      <c r="EW18" s="189"/>
      <c r="EX18" s="189"/>
      <c r="EY18" s="189"/>
      <c r="EZ18" s="189"/>
      <c r="FA18" s="189"/>
      <c r="FB18" s="189"/>
      <c r="FC18" s="189"/>
      <c r="FD18" s="17"/>
      <c r="FE18" s="17"/>
      <c r="FF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X18" s="80">
        <v>1</v>
      </c>
      <c r="FY18" s="17">
        <f t="shared" si="142"/>
        <v>7</v>
      </c>
      <c r="FZ18" s="17">
        <f t="shared" si="35"/>
        <v>7</v>
      </c>
      <c r="GA18" s="17">
        <f t="shared" si="36"/>
        <v>0</v>
      </c>
      <c r="GB18" s="17">
        <f t="shared" si="37"/>
        <v>0</v>
      </c>
      <c r="GC18" s="17">
        <f t="shared" si="38"/>
        <v>0</v>
      </c>
      <c r="GD18" s="17">
        <f t="shared" si="39"/>
        <v>0</v>
      </c>
      <c r="GE18" s="17">
        <f t="shared" si="40"/>
        <v>0</v>
      </c>
      <c r="GF18" s="67"/>
      <c r="GG18" s="17">
        <v>0</v>
      </c>
      <c r="GH18" s="17">
        <v>0</v>
      </c>
      <c r="GI18" s="67"/>
      <c r="GJ18" s="62">
        <f t="shared" si="143"/>
        <v>0</v>
      </c>
      <c r="GK18" s="62">
        <f t="shared" si="144"/>
        <v>0</v>
      </c>
      <c r="GO18" s="17">
        <f t="shared" si="41"/>
        <v>0</v>
      </c>
      <c r="GP18" s="17">
        <f t="shared" si="42"/>
        <v>0</v>
      </c>
      <c r="GQ18" s="17">
        <f t="shared" si="43"/>
        <v>0</v>
      </c>
      <c r="GR18" s="17">
        <f t="shared" si="44"/>
        <v>0</v>
      </c>
      <c r="GS18" s="17">
        <f t="shared" si="45"/>
        <v>0</v>
      </c>
      <c r="GT18" s="17">
        <f t="shared" si="145"/>
        <v>1</v>
      </c>
      <c r="GU18" s="101">
        <f t="shared" si="146"/>
        <v>43243</v>
      </c>
      <c r="GV18" s="17" t="str">
        <f t="shared" si="147"/>
        <v>SELESAI</v>
      </c>
      <c r="GW18" s="17">
        <f t="shared" si="148"/>
        <v>0</v>
      </c>
      <c r="GX18" s="66" t="str">
        <f t="shared" si="149"/>
        <v>SELESAI</v>
      </c>
      <c r="GY18" s="66">
        <f t="shared" si="150"/>
        <v>0</v>
      </c>
      <c r="GZ18" s="102" t="str">
        <f t="shared" si="151"/>
        <v>SELESAI</v>
      </c>
      <c r="HA18" s="83"/>
      <c r="HB18" s="83"/>
      <c r="HC18" s="17">
        <f t="shared" si="46"/>
        <v>0</v>
      </c>
      <c r="HD18" s="17">
        <f t="shared" si="47"/>
        <v>0</v>
      </c>
      <c r="HE18" s="17">
        <f t="shared" si="152"/>
        <v>0</v>
      </c>
      <c r="HF18" s="17">
        <f t="shared" si="153"/>
        <v>0</v>
      </c>
      <c r="HG18" s="17">
        <f t="shared" si="154"/>
        <v>0</v>
      </c>
      <c r="HH18" s="101" t="str">
        <f t="shared" si="48"/>
        <v>TIDAK KONSINYASI</v>
      </c>
      <c r="HI18" s="101" t="str">
        <f t="shared" si="155"/>
        <v>SELESAI</v>
      </c>
      <c r="HJ18" s="27"/>
      <c r="HK18" s="101">
        <f t="shared" si="49"/>
        <v>0</v>
      </c>
      <c r="HL18" s="83"/>
      <c r="HM18" s="83"/>
      <c r="HN18" s="83"/>
      <c r="HO18" s="83"/>
      <c r="HP18" s="102">
        <f t="shared" si="156"/>
        <v>0</v>
      </c>
      <c r="HQ18" s="66">
        <f t="shared" si="157"/>
        <v>0</v>
      </c>
      <c r="HR18" s="66">
        <f t="shared" si="50"/>
        <v>0</v>
      </c>
      <c r="HS18" s="102">
        <f t="shared" si="158"/>
        <v>0</v>
      </c>
      <c r="HT18" s="66">
        <f t="shared" si="159"/>
        <v>0</v>
      </c>
      <c r="HU18" s="66">
        <f t="shared" si="51"/>
        <v>0</v>
      </c>
      <c r="HV18" s="102">
        <f t="shared" si="160"/>
        <v>0</v>
      </c>
      <c r="HW18" s="66">
        <f t="shared" si="52"/>
        <v>0</v>
      </c>
      <c r="HX18" s="66">
        <f t="shared" si="53"/>
        <v>0</v>
      </c>
      <c r="HY18" s="102">
        <f t="shared" si="54"/>
        <v>0</v>
      </c>
      <c r="HZ18" s="66">
        <f t="shared" si="161"/>
        <v>0</v>
      </c>
      <c r="IA18" s="66">
        <f t="shared" si="55"/>
        <v>0</v>
      </c>
      <c r="IB18" s="102">
        <f t="shared" si="162"/>
        <v>0</v>
      </c>
      <c r="IC18" s="66">
        <f t="shared" si="56"/>
        <v>0</v>
      </c>
      <c r="ID18" s="66">
        <f t="shared" si="57"/>
        <v>0</v>
      </c>
      <c r="IE18" s="102">
        <f t="shared" si="58"/>
        <v>0</v>
      </c>
      <c r="IF18" s="66">
        <f t="shared" si="59"/>
        <v>0</v>
      </c>
      <c r="IG18" s="66">
        <f t="shared" si="60"/>
        <v>0</v>
      </c>
      <c r="IH18" s="102">
        <f t="shared" si="163"/>
        <v>0</v>
      </c>
      <c r="II18" s="66">
        <f t="shared" si="164"/>
        <v>0</v>
      </c>
      <c r="IJ18" s="66">
        <f t="shared" si="61"/>
        <v>0</v>
      </c>
      <c r="IK18" s="102">
        <f t="shared" si="62"/>
        <v>0</v>
      </c>
      <c r="IL18" s="66">
        <f t="shared" si="63"/>
        <v>0</v>
      </c>
      <c r="IM18" s="66">
        <f t="shared" si="64"/>
        <v>0</v>
      </c>
      <c r="IN18" s="83"/>
      <c r="IO18" s="102">
        <f t="shared" si="65"/>
        <v>0</v>
      </c>
      <c r="IP18" s="66">
        <f t="shared" si="66"/>
        <v>0</v>
      </c>
      <c r="IQ18" s="66">
        <f t="shared" si="67"/>
        <v>0</v>
      </c>
      <c r="IR18" s="83"/>
      <c r="IS18" s="102"/>
      <c r="IT18" s="66">
        <f t="shared" si="68"/>
        <v>1</v>
      </c>
      <c r="IU18" s="66">
        <f t="shared" si="69"/>
        <v>100</v>
      </c>
      <c r="IV18" s="83"/>
      <c r="IW18" s="102"/>
      <c r="IX18" s="66">
        <f t="shared" si="70"/>
        <v>0</v>
      </c>
      <c r="IY18" s="66">
        <f t="shared" si="71"/>
        <v>0</v>
      </c>
      <c r="IZ18" s="83"/>
      <c r="JA18" s="102"/>
      <c r="JB18" s="66">
        <f t="shared" si="72"/>
        <v>0</v>
      </c>
      <c r="JC18" s="66">
        <f t="shared" si="73"/>
        <v>0</v>
      </c>
      <c r="JD18" s="83"/>
      <c r="JE18" s="102"/>
      <c r="JF18" s="66">
        <f t="shared" si="165"/>
        <v>1</v>
      </c>
      <c r="JG18" s="66">
        <f t="shared" si="74"/>
        <v>100</v>
      </c>
      <c r="JH18" s="83"/>
      <c r="JI18" s="102"/>
      <c r="JJ18" s="66">
        <f t="shared" si="75"/>
        <v>0</v>
      </c>
      <c r="JK18" s="66">
        <f t="shared" si="76"/>
        <v>0</v>
      </c>
      <c r="JM18" s="102">
        <f t="shared" si="166"/>
        <v>0</v>
      </c>
      <c r="JO18" s="29">
        <f t="shared" si="77"/>
        <v>1</v>
      </c>
      <c r="JP18" s="122">
        <f t="shared" si="78"/>
        <v>7</v>
      </c>
      <c r="JQ18" s="122">
        <f t="shared" si="79"/>
        <v>1</v>
      </c>
      <c r="JR18" s="122">
        <f t="shared" si="80"/>
        <v>0</v>
      </c>
      <c r="JS18" s="122">
        <f t="shared" si="81"/>
        <v>0</v>
      </c>
      <c r="JT18" s="122">
        <f t="shared" si="82"/>
        <v>0</v>
      </c>
      <c r="JU18" s="122">
        <f t="shared" si="83"/>
        <v>0</v>
      </c>
      <c r="JV18" s="122">
        <f t="shared" si="84"/>
        <v>0</v>
      </c>
      <c r="JW18" s="122">
        <f t="shared" si="85"/>
        <v>0</v>
      </c>
      <c r="JX18" s="122">
        <f t="shared" si="86"/>
        <v>0</v>
      </c>
      <c r="JY18" s="122">
        <f t="shared" si="87"/>
        <v>0</v>
      </c>
      <c r="JZ18" s="122">
        <f t="shared" si="88"/>
        <v>0</v>
      </c>
      <c r="KA18" s="122">
        <f t="shared" si="89"/>
        <v>0</v>
      </c>
      <c r="KB18" s="122">
        <f t="shared" si="90"/>
        <v>0</v>
      </c>
      <c r="KD18" s="122">
        <f t="shared" si="167"/>
        <v>0</v>
      </c>
      <c r="KE18" s="122">
        <f t="shared" si="92"/>
        <v>0</v>
      </c>
      <c r="KF18" s="122">
        <f t="shared" si="93"/>
        <v>7</v>
      </c>
      <c r="KG18" s="122">
        <f t="shared" si="94"/>
        <v>7</v>
      </c>
      <c r="KH18" s="122">
        <f t="shared" si="95"/>
        <v>0</v>
      </c>
      <c r="KI18" s="122">
        <f t="shared" si="96"/>
        <v>0</v>
      </c>
      <c r="KJ18" s="122">
        <f t="shared" si="97"/>
        <v>0</v>
      </c>
      <c r="KK18" s="122">
        <f t="shared" si="98"/>
        <v>0</v>
      </c>
      <c r="KL18" s="122">
        <f t="shared" si="99"/>
        <v>0</v>
      </c>
      <c r="KM18" s="122">
        <f t="shared" si="100"/>
        <v>0</v>
      </c>
      <c r="KN18" s="123">
        <f t="shared" si="101"/>
        <v>0</v>
      </c>
      <c r="KO18" s="123">
        <f t="shared" si="102"/>
        <v>0</v>
      </c>
      <c r="KP18" s="123">
        <f t="shared" si="103"/>
        <v>0</v>
      </c>
      <c r="KQ18" s="123">
        <f t="shared" si="104"/>
        <v>0</v>
      </c>
      <c r="KR18" s="123">
        <f t="shared" si="105"/>
        <v>0</v>
      </c>
      <c r="KT18">
        <f t="shared" si="106"/>
        <v>0</v>
      </c>
      <c r="KU18" s="123"/>
      <c r="KV18" s="123"/>
      <c r="KW18" s="123"/>
      <c r="KX18" s="123"/>
      <c r="KY18" s="123"/>
      <c r="KZ18" s="123"/>
      <c r="LA18" s="123"/>
      <c r="LB18" s="123"/>
      <c r="LC18" s="123"/>
      <c r="LD18" s="123"/>
      <c r="LE18" s="123"/>
      <c r="LF18" s="123"/>
      <c r="LG18" s="123"/>
      <c r="LH18" s="123"/>
      <c r="LI18" s="123"/>
      <c r="LJ18" s="123"/>
      <c r="LK18" s="123"/>
      <c r="LL18" s="123"/>
      <c r="LM18" s="123"/>
      <c r="LN18" s="123"/>
      <c r="LO18" s="123"/>
      <c r="LP18" s="123"/>
      <c r="LQ18" s="123"/>
      <c r="LR18" s="123"/>
      <c r="LS18" s="123"/>
      <c r="LT18" s="123"/>
      <c r="LU18" s="123"/>
      <c r="LV18" s="123"/>
      <c r="LW18" s="123"/>
      <c r="LX18" s="123"/>
      <c r="LY18" s="123"/>
      <c r="LZ18" s="123"/>
      <c r="MA18" s="123"/>
      <c r="MB18" s="123"/>
      <c r="MC18" s="123"/>
      <c r="MD18" s="123"/>
      <c r="ME18" s="123"/>
      <c r="MF18" s="123"/>
      <c r="MG18" s="123"/>
      <c r="MH18" s="123"/>
      <c r="MI18" s="123"/>
      <c r="MJ18" s="123"/>
      <c r="MK18" s="123"/>
      <c r="ML18" s="123"/>
      <c r="MM18" s="123"/>
      <c r="MN18" s="123"/>
      <c r="MO18" s="123"/>
      <c r="MP18" s="123"/>
      <c r="MQ18" s="123"/>
      <c r="MR18" s="123"/>
      <c r="MS18" s="123"/>
      <c r="MT18" s="123"/>
      <c r="MU18" s="123"/>
      <c r="MV18" s="123"/>
      <c r="MW18" s="123"/>
      <c r="MX18" s="123"/>
      <c r="MY18" s="123"/>
      <c r="MZ18" s="123"/>
      <c r="NA18" s="123"/>
      <c r="NB18" s="123"/>
      <c r="NC18" s="123"/>
      <c r="ND18" s="123"/>
      <c r="NE18" s="123"/>
      <c r="NF18" s="123"/>
      <c r="NG18" s="123"/>
      <c r="NH18" s="123"/>
      <c r="NI18" s="123"/>
      <c r="NJ18" s="123"/>
      <c r="NK18" s="123"/>
      <c r="NM18">
        <f t="shared" si="168"/>
        <v>0</v>
      </c>
      <c r="NN18">
        <f t="shared" si="169"/>
        <v>0</v>
      </c>
      <c r="NO18">
        <f t="shared" si="170"/>
        <v>0</v>
      </c>
      <c r="NP18">
        <f t="shared" si="171"/>
        <v>0</v>
      </c>
      <c r="NQ18">
        <f t="shared" si="172"/>
        <v>0</v>
      </c>
      <c r="NR18">
        <f t="shared" si="173"/>
        <v>0</v>
      </c>
      <c r="NS18">
        <f t="shared" si="174"/>
        <v>0</v>
      </c>
      <c r="NT18">
        <f t="shared" si="175"/>
        <v>0</v>
      </c>
      <c r="NU18" s="29">
        <f t="shared" si="176"/>
        <v>0</v>
      </c>
      <c r="NY18" s="17">
        <f t="shared" si="108"/>
        <v>1</v>
      </c>
      <c r="NZ18" s="152">
        <v>7644000</v>
      </c>
      <c r="OE18" s="155">
        <f t="shared" si="109"/>
        <v>0</v>
      </c>
      <c r="OF18" s="155">
        <f t="shared" si="110"/>
        <v>0</v>
      </c>
      <c r="OG18" s="155">
        <f t="shared" si="111"/>
        <v>0</v>
      </c>
      <c r="OH18" s="155">
        <f t="shared" si="177"/>
        <v>0</v>
      </c>
      <c r="OI18" s="155">
        <f t="shared" si="112"/>
        <v>0</v>
      </c>
      <c r="OJ18" s="67">
        <f t="shared" si="178"/>
        <v>0</v>
      </c>
      <c r="OK18" s="67">
        <f t="shared" si="179"/>
        <v>0</v>
      </c>
      <c r="OL18" s="67">
        <f t="shared" si="180"/>
        <v>0</v>
      </c>
      <c r="OM18" s="67">
        <f t="shared" si="181"/>
        <v>0</v>
      </c>
      <c r="OO18" s="155">
        <f t="shared" si="113"/>
        <v>0</v>
      </c>
      <c r="OP18" s="155">
        <f t="shared" si="114"/>
        <v>0</v>
      </c>
      <c r="OQ18" s="155">
        <f t="shared" si="182"/>
        <v>0</v>
      </c>
      <c r="OR18" s="155">
        <f t="shared" si="183"/>
        <v>0</v>
      </c>
      <c r="OS18" s="155">
        <f t="shared" si="184"/>
        <v>0</v>
      </c>
      <c r="OT18" s="67">
        <f t="shared" si="185"/>
        <v>0</v>
      </c>
      <c r="OU18" s="67">
        <f t="shared" si="186"/>
        <v>0</v>
      </c>
      <c r="OV18" s="67">
        <f t="shared" si="187"/>
        <v>0</v>
      </c>
      <c r="OW18" s="67">
        <f t="shared" si="188"/>
        <v>0</v>
      </c>
      <c r="OZ18" s="163">
        <f t="shared" si="115"/>
        <v>0</v>
      </c>
      <c r="PA18" s="166"/>
      <c r="PB18" s="166"/>
      <c r="PC18" s="166"/>
      <c r="PD18" s="210">
        <f t="shared" si="116"/>
        <v>0</v>
      </c>
      <c r="PE18" s="210"/>
      <c r="PF18" s="210">
        <f t="shared" si="117"/>
        <v>0</v>
      </c>
      <c r="PG18" s="210">
        <f t="shared" si="118"/>
        <v>0</v>
      </c>
      <c r="PH18" s="210">
        <f t="shared" si="118"/>
        <v>0</v>
      </c>
      <c r="PI18" s="210">
        <f t="shared" si="118"/>
        <v>0</v>
      </c>
      <c r="PJ18" s="210">
        <f t="shared" si="118"/>
        <v>0</v>
      </c>
      <c r="PK18" s="210">
        <f t="shared" si="118"/>
        <v>0</v>
      </c>
      <c r="PL18" s="210">
        <f t="shared" si="118"/>
        <v>0</v>
      </c>
      <c r="PM18" s="164"/>
      <c r="PN18" s="164"/>
      <c r="PO18" s="172">
        <f t="shared" si="189"/>
        <v>0</v>
      </c>
      <c r="PP18" s="172">
        <f t="shared" si="190"/>
        <v>0</v>
      </c>
      <c r="PQ18" s="172">
        <f t="shared" si="191"/>
        <v>0</v>
      </c>
      <c r="PR18" s="164"/>
      <c r="PS18" s="164"/>
      <c r="PT18" s="164"/>
      <c r="PU18" s="164"/>
    </row>
    <row r="19" spans="1:437" ht="16" x14ac:dyDescent="0.2">
      <c r="A19" s="19">
        <f t="shared" si="192"/>
        <v>11</v>
      </c>
      <c r="B19" s="138" t="s">
        <v>148</v>
      </c>
      <c r="C19" s="138">
        <v>15</v>
      </c>
      <c r="D19" s="20">
        <v>1</v>
      </c>
      <c r="E19" s="20">
        <v>50</v>
      </c>
      <c r="F19" s="20">
        <v>1</v>
      </c>
      <c r="G19" s="20">
        <f t="shared" si="119"/>
        <v>50</v>
      </c>
      <c r="H19" s="137">
        <f t="shared" si="2"/>
        <v>1</v>
      </c>
      <c r="I19" s="137">
        <f t="shared" si="3"/>
        <v>1</v>
      </c>
      <c r="J19" s="20">
        <v>1</v>
      </c>
      <c r="K19" s="20">
        <f t="shared" si="4"/>
        <v>50</v>
      </c>
      <c r="L19" s="137">
        <f t="shared" si="5"/>
        <v>1</v>
      </c>
      <c r="M19" s="137">
        <f t="shared" si="6"/>
        <v>1</v>
      </c>
      <c r="N19" s="20">
        <v>1</v>
      </c>
      <c r="O19" s="20">
        <f t="shared" si="7"/>
        <v>50</v>
      </c>
      <c r="P19" s="137">
        <f t="shared" si="8"/>
        <v>1</v>
      </c>
      <c r="Q19" s="137">
        <f t="shared" si="9"/>
        <v>1</v>
      </c>
      <c r="R19" s="20">
        <v>1</v>
      </c>
      <c r="S19" s="20">
        <f t="shared" si="10"/>
        <v>50</v>
      </c>
      <c r="T19" s="137">
        <f t="shared" si="11"/>
        <v>1</v>
      </c>
      <c r="U19" s="137">
        <f t="shared" si="12"/>
        <v>1</v>
      </c>
      <c r="V19" s="20">
        <v>1</v>
      </c>
      <c r="W19" s="20">
        <f t="shared" si="13"/>
        <v>50</v>
      </c>
      <c r="X19" s="137">
        <f t="shared" si="14"/>
        <v>1</v>
      </c>
      <c r="Y19" s="137">
        <f t="shared" si="15"/>
        <v>1</v>
      </c>
      <c r="Z19" s="144">
        <f>642368000/1000000000</f>
        <v>0.64236800000000005</v>
      </c>
      <c r="AA19" s="188"/>
      <c r="AB19" s="189">
        <f t="shared" si="120"/>
        <v>0</v>
      </c>
      <c r="AC19" s="250">
        <f t="shared" si="121"/>
        <v>0</v>
      </c>
      <c r="AD19" s="250">
        <f t="shared" si="122"/>
        <v>0</v>
      </c>
      <c r="AE19" s="224"/>
      <c r="AF19" s="188">
        <f t="shared" si="123"/>
        <v>0</v>
      </c>
      <c r="AG19" s="188"/>
      <c r="AH19" s="20"/>
      <c r="AI19" s="20">
        <v>0</v>
      </c>
      <c r="AJ19" s="20">
        <f t="shared" si="18"/>
        <v>0</v>
      </c>
      <c r="AK19" s="20"/>
      <c r="AL19" s="20">
        <v>0</v>
      </c>
      <c r="AM19" s="20">
        <v>0</v>
      </c>
      <c r="AN19" s="139"/>
      <c r="BB19" s="20">
        <f t="shared" si="124"/>
        <v>0</v>
      </c>
      <c r="BE19" s="20">
        <f t="shared" si="19"/>
        <v>0</v>
      </c>
      <c r="BF19" s="20">
        <f t="shared" si="20"/>
        <v>0</v>
      </c>
      <c r="BG19" s="20">
        <f t="shared" si="21"/>
        <v>0</v>
      </c>
      <c r="BH19" s="20">
        <f t="shared" si="22"/>
        <v>0</v>
      </c>
      <c r="BI19" s="20">
        <f t="shared" si="23"/>
        <v>0</v>
      </c>
      <c r="BJ19" s="20">
        <f t="shared" si="24"/>
        <v>0</v>
      </c>
      <c r="BK19" s="20">
        <f t="shared" si="125"/>
        <v>0</v>
      </c>
      <c r="BN19" s="139">
        <v>16</v>
      </c>
      <c r="BO19" s="284">
        <v>1</v>
      </c>
      <c r="BP19" s="139"/>
      <c r="BQ19" s="139"/>
      <c r="BR19" s="139"/>
      <c r="BS19" s="139"/>
      <c r="BT19" s="139"/>
      <c r="BU19" s="139"/>
      <c r="BV19" s="139"/>
      <c r="BW19" s="139"/>
      <c r="BX19" s="139"/>
      <c r="BY19" s="139"/>
      <c r="BZ19" s="139"/>
      <c r="CB19" s="139"/>
      <c r="CD19" s="17">
        <f t="shared" si="126"/>
        <v>16</v>
      </c>
      <c r="CE19" s="17">
        <f t="shared" si="127"/>
        <v>16</v>
      </c>
      <c r="CF19" s="139">
        <f t="shared" si="128"/>
        <v>0</v>
      </c>
      <c r="CG19" s="139">
        <f t="shared" si="129"/>
        <v>0</v>
      </c>
      <c r="CH19" s="139">
        <f t="shared" si="130"/>
        <v>0</v>
      </c>
      <c r="CI19" s="139">
        <f t="shared" si="131"/>
        <v>0</v>
      </c>
      <c r="CJ19" s="139">
        <f t="shared" si="132"/>
        <v>0</v>
      </c>
      <c r="CK19" s="139">
        <f t="shared" si="133"/>
        <v>0</v>
      </c>
      <c r="CL19" s="139">
        <f t="shared" si="134"/>
        <v>0</v>
      </c>
      <c r="CM19" s="139">
        <f t="shared" si="135"/>
        <v>0</v>
      </c>
      <c r="CN19" s="139">
        <f t="shared" si="136"/>
        <v>0</v>
      </c>
      <c r="CO19" s="139">
        <f t="shared" si="137"/>
        <v>0</v>
      </c>
      <c r="CP19" s="139">
        <f t="shared" si="138"/>
        <v>0</v>
      </c>
      <c r="CQ19" s="148">
        <f t="shared" si="27"/>
        <v>0</v>
      </c>
      <c r="DV19" s="139">
        <f t="shared" si="28"/>
        <v>0</v>
      </c>
      <c r="DW19" s="139">
        <f t="shared" si="29"/>
        <v>0</v>
      </c>
      <c r="DX19" s="139">
        <f t="shared" si="30"/>
        <v>0</v>
      </c>
      <c r="DY19" s="139">
        <f t="shared" si="31"/>
        <v>0</v>
      </c>
      <c r="DZ19" s="139">
        <f t="shared" si="32"/>
        <v>0</v>
      </c>
      <c r="EA19" s="139">
        <f t="shared" si="33"/>
        <v>0</v>
      </c>
      <c r="EB19" s="139">
        <f t="shared" si="139"/>
        <v>0</v>
      </c>
      <c r="EG19" s="57">
        <f t="shared" si="140"/>
        <v>0</v>
      </c>
      <c r="EH19" s="57">
        <f t="shared" si="141"/>
        <v>0</v>
      </c>
      <c r="EI19" s="17"/>
      <c r="EJ19" s="17"/>
      <c r="EK19" s="17"/>
      <c r="EL19" s="17"/>
      <c r="EM19" s="17"/>
      <c r="EN19" s="17"/>
      <c r="EO19" s="17"/>
      <c r="EP19" s="17"/>
      <c r="EQ19" s="189"/>
      <c r="ER19" s="189"/>
      <c r="ES19" s="189"/>
      <c r="ET19" s="189"/>
      <c r="EU19" s="189"/>
      <c r="EV19" s="189"/>
      <c r="EW19" s="189"/>
      <c r="EX19" s="189"/>
      <c r="EY19" s="189"/>
      <c r="EZ19" s="189"/>
      <c r="FA19" s="189"/>
      <c r="FB19" s="189"/>
      <c r="FC19" s="189"/>
      <c r="FD19" s="17"/>
      <c r="FE19" s="17"/>
      <c r="FF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X19" s="80">
        <v>1</v>
      </c>
      <c r="FY19" s="17">
        <f t="shared" si="142"/>
        <v>16</v>
      </c>
      <c r="FZ19" s="17">
        <f t="shared" si="35"/>
        <v>16</v>
      </c>
      <c r="GA19" s="17">
        <f t="shared" si="36"/>
        <v>0</v>
      </c>
      <c r="GB19" s="17">
        <f t="shared" si="37"/>
        <v>0</v>
      </c>
      <c r="GC19" s="17">
        <f t="shared" si="38"/>
        <v>0</v>
      </c>
      <c r="GD19" s="17">
        <f t="shared" si="39"/>
        <v>0</v>
      </c>
      <c r="GE19" s="17">
        <f t="shared" si="40"/>
        <v>0</v>
      </c>
      <c r="GF19" s="67"/>
      <c r="GG19" s="17">
        <v>0</v>
      </c>
      <c r="GH19" s="17">
        <v>0</v>
      </c>
      <c r="GI19" s="67"/>
      <c r="GJ19" s="62">
        <f t="shared" si="143"/>
        <v>0</v>
      </c>
      <c r="GK19" s="62">
        <f t="shared" si="144"/>
        <v>0</v>
      </c>
      <c r="GO19" s="17">
        <f t="shared" si="41"/>
        <v>0</v>
      </c>
      <c r="GP19" s="17">
        <f t="shared" si="42"/>
        <v>0</v>
      </c>
      <c r="GQ19" s="17">
        <f t="shared" si="43"/>
        <v>0</v>
      </c>
      <c r="GR19" s="17">
        <f t="shared" si="44"/>
        <v>0</v>
      </c>
      <c r="GS19" s="17">
        <f t="shared" si="45"/>
        <v>0</v>
      </c>
      <c r="GT19" s="17">
        <f t="shared" si="145"/>
        <v>1</v>
      </c>
      <c r="GU19" s="101">
        <f t="shared" si="146"/>
        <v>43243</v>
      </c>
      <c r="GV19" s="17" t="str">
        <f t="shared" si="147"/>
        <v>SELESAI</v>
      </c>
      <c r="GW19" s="17">
        <f t="shared" si="148"/>
        <v>0</v>
      </c>
      <c r="GX19" s="66" t="str">
        <f t="shared" si="149"/>
        <v>SELESAI</v>
      </c>
      <c r="GY19" s="66">
        <f t="shared" si="150"/>
        <v>0</v>
      </c>
      <c r="GZ19" s="102" t="str">
        <f t="shared" si="151"/>
        <v>SELESAI</v>
      </c>
      <c r="HA19" s="83"/>
      <c r="HB19" s="83"/>
      <c r="HC19" s="17">
        <f t="shared" si="46"/>
        <v>0</v>
      </c>
      <c r="HD19" s="17">
        <f t="shared" si="47"/>
        <v>0</v>
      </c>
      <c r="HE19" s="17">
        <f t="shared" si="152"/>
        <v>0</v>
      </c>
      <c r="HF19" s="17">
        <f t="shared" si="153"/>
        <v>0</v>
      </c>
      <c r="HG19" s="17">
        <f t="shared" si="154"/>
        <v>0</v>
      </c>
      <c r="HH19" s="101" t="str">
        <f t="shared" si="48"/>
        <v>TIDAK KONSINYASI</v>
      </c>
      <c r="HI19" s="101" t="str">
        <f t="shared" si="155"/>
        <v>SELESAI</v>
      </c>
      <c r="HJ19" s="27"/>
      <c r="HK19" s="101">
        <f t="shared" si="49"/>
        <v>0</v>
      </c>
      <c r="HL19" s="83"/>
      <c r="HM19" s="83"/>
      <c r="HN19" s="83"/>
      <c r="HO19" s="83"/>
      <c r="HP19" s="102">
        <f t="shared" si="156"/>
        <v>0</v>
      </c>
      <c r="HQ19" s="66">
        <f t="shared" si="157"/>
        <v>0</v>
      </c>
      <c r="HR19" s="66">
        <f t="shared" si="50"/>
        <v>0</v>
      </c>
      <c r="HS19" s="102">
        <f t="shared" si="158"/>
        <v>0</v>
      </c>
      <c r="HT19" s="66">
        <f t="shared" si="159"/>
        <v>0</v>
      </c>
      <c r="HU19" s="66">
        <f t="shared" si="51"/>
        <v>0</v>
      </c>
      <c r="HV19" s="102">
        <f t="shared" si="160"/>
        <v>0</v>
      </c>
      <c r="HW19" s="66">
        <f t="shared" si="52"/>
        <v>0</v>
      </c>
      <c r="HX19" s="66">
        <f t="shared" si="53"/>
        <v>0</v>
      </c>
      <c r="HY19" s="102">
        <f t="shared" si="54"/>
        <v>0</v>
      </c>
      <c r="HZ19" s="66">
        <f t="shared" si="161"/>
        <v>0</v>
      </c>
      <c r="IA19" s="66">
        <f t="shared" si="55"/>
        <v>0</v>
      </c>
      <c r="IB19" s="102">
        <f t="shared" si="162"/>
        <v>0</v>
      </c>
      <c r="IC19" s="66">
        <f t="shared" si="56"/>
        <v>0</v>
      </c>
      <c r="ID19" s="66">
        <f t="shared" si="57"/>
        <v>0</v>
      </c>
      <c r="IE19" s="102">
        <f t="shared" si="58"/>
        <v>0</v>
      </c>
      <c r="IF19" s="66">
        <f t="shared" si="59"/>
        <v>0</v>
      </c>
      <c r="IG19" s="66">
        <f t="shared" si="60"/>
        <v>0</v>
      </c>
      <c r="IH19" s="102">
        <f t="shared" si="163"/>
        <v>0</v>
      </c>
      <c r="II19" s="66">
        <f t="shared" si="164"/>
        <v>0</v>
      </c>
      <c r="IJ19" s="66">
        <f t="shared" si="61"/>
        <v>0</v>
      </c>
      <c r="IK19" s="102">
        <f t="shared" si="62"/>
        <v>0</v>
      </c>
      <c r="IL19" s="66">
        <f t="shared" si="63"/>
        <v>0</v>
      </c>
      <c r="IM19" s="66">
        <f t="shared" si="64"/>
        <v>0</v>
      </c>
      <c r="IN19" s="83"/>
      <c r="IO19" s="102">
        <f t="shared" si="65"/>
        <v>0</v>
      </c>
      <c r="IP19" s="66">
        <f t="shared" si="66"/>
        <v>0</v>
      </c>
      <c r="IQ19" s="66">
        <f t="shared" si="67"/>
        <v>0</v>
      </c>
      <c r="IR19" s="83"/>
      <c r="IS19" s="102"/>
      <c r="IT19" s="66">
        <f t="shared" si="68"/>
        <v>1</v>
      </c>
      <c r="IU19" s="66">
        <f t="shared" si="69"/>
        <v>50</v>
      </c>
      <c r="IV19" s="83"/>
      <c r="IW19" s="102"/>
      <c r="IX19" s="66">
        <f t="shared" si="70"/>
        <v>0</v>
      </c>
      <c r="IY19" s="66">
        <f t="shared" si="71"/>
        <v>0</v>
      </c>
      <c r="IZ19" s="83"/>
      <c r="JA19" s="102"/>
      <c r="JB19" s="66">
        <f t="shared" si="72"/>
        <v>0</v>
      </c>
      <c r="JC19" s="66">
        <f t="shared" si="73"/>
        <v>0</v>
      </c>
      <c r="JD19" s="83"/>
      <c r="JE19" s="102"/>
      <c r="JF19" s="66">
        <f t="shared" si="165"/>
        <v>1</v>
      </c>
      <c r="JG19" s="66">
        <f t="shared" si="74"/>
        <v>50</v>
      </c>
      <c r="JH19" s="83"/>
      <c r="JI19" s="102"/>
      <c r="JJ19" s="66">
        <f t="shared" si="75"/>
        <v>0</v>
      </c>
      <c r="JK19" s="66">
        <f t="shared" si="76"/>
        <v>0</v>
      </c>
      <c r="JM19" s="102">
        <f t="shared" si="166"/>
        <v>0</v>
      </c>
      <c r="JO19" s="29">
        <f t="shared" si="77"/>
        <v>1</v>
      </c>
      <c r="JP19" s="122">
        <f t="shared" si="78"/>
        <v>16</v>
      </c>
      <c r="JQ19" s="122">
        <f t="shared" si="79"/>
        <v>1</v>
      </c>
      <c r="JR19" s="122">
        <f t="shared" si="80"/>
        <v>0</v>
      </c>
      <c r="JS19" s="122">
        <f t="shared" si="81"/>
        <v>0</v>
      </c>
      <c r="JT19" s="122">
        <f t="shared" si="82"/>
        <v>0</v>
      </c>
      <c r="JU19" s="122">
        <f t="shared" si="83"/>
        <v>0</v>
      </c>
      <c r="JV19" s="122">
        <f t="shared" si="84"/>
        <v>0</v>
      </c>
      <c r="JW19" s="122">
        <f t="shared" si="85"/>
        <v>0</v>
      </c>
      <c r="JX19" s="122">
        <f t="shared" si="86"/>
        <v>0</v>
      </c>
      <c r="JY19" s="122">
        <f t="shared" si="87"/>
        <v>0</v>
      </c>
      <c r="JZ19" s="122">
        <f t="shared" si="88"/>
        <v>0</v>
      </c>
      <c r="KA19" s="122">
        <f t="shared" si="89"/>
        <v>0</v>
      </c>
      <c r="KB19" s="122">
        <f t="shared" si="90"/>
        <v>0</v>
      </c>
      <c r="KD19" s="122">
        <f t="shared" si="167"/>
        <v>0</v>
      </c>
      <c r="KE19" s="122">
        <f t="shared" si="92"/>
        <v>0</v>
      </c>
      <c r="KF19" s="122">
        <f t="shared" si="93"/>
        <v>16</v>
      </c>
      <c r="KG19" s="122">
        <f t="shared" si="94"/>
        <v>16</v>
      </c>
      <c r="KH19" s="122">
        <f t="shared" si="95"/>
        <v>0</v>
      </c>
      <c r="KI19" s="122">
        <f t="shared" si="96"/>
        <v>0</v>
      </c>
      <c r="KJ19" s="122">
        <f t="shared" si="97"/>
        <v>0</v>
      </c>
      <c r="KK19" s="122">
        <f t="shared" si="98"/>
        <v>0</v>
      </c>
      <c r="KL19" s="122">
        <f t="shared" si="99"/>
        <v>0</v>
      </c>
      <c r="KM19" s="122">
        <f t="shared" si="100"/>
        <v>0</v>
      </c>
      <c r="KN19" s="123">
        <f t="shared" si="101"/>
        <v>0</v>
      </c>
      <c r="KO19" s="123">
        <f t="shared" si="102"/>
        <v>0</v>
      </c>
      <c r="KP19" s="123">
        <f t="shared" si="103"/>
        <v>0</v>
      </c>
      <c r="KQ19" s="123">
        <f t="shared" si="104"/>
        <v>0</v>
      </c>
      <c r="KR19" s="123">
        <f t="shared" si="105"/>
        <v>0</v>
      </c>
      <c r="KT19">
        <f t="shared" si="106"/>
        <v>0</v>
      </c>
      <c r="KU19" s="123"/>
      <c r="KV19" s="123"/>
      <c r="KW19" s="123"/>
      <c r="KX19" s="123"/>
      <c r="KY19" s="123"/>
      <c r="KZ19" s="123"/>
      <c r="LA19" s="123"/>
      <c r="LB19" s="123"/>
      <c r="LC19" s="123"/>
      <c r="LD19" s="123"/>
      <c r="LE19" s="123"/>
      <c r="LF19" s="123"/>
      <c r="LG19" s="123"/>
      <c r="LH19" s="123"/>
      <c r="LI19" s="123"/>
      <c r="LJ19" s="123"/>
      <c r="LK19" s="123"/>
      <c r="LL19" s="123"/>
      <c r="LM19" s="123"/>
      <c r="LN19" s="123"/>
      <c r="LO19" s="123"/>
      <c r="LP19" s="123"/>
      <c r="LQ19" s="123"/>
      <c r="LR19" s="123"/>
      <c r="LS19" s="123"/>
      <c r="LT19" s="123"/>
      <c r="LU19" s="123"/>
      <c r="LV19" s="123"/>
      <c r="LW19" s="123"/>
      <c r="LX19" s="123"/>
      <c r="LY19" s="123"/>
      <c r="LZ19" s="123"/>
      <c r="MA19" s="123"/>
      <c r="MB19" s="123"/>
      <c r="MC19" s="123"/>
      <c r="MD19" s="123"/>
      <c r="ME19" s="123"/>
      <c r="MF19" s="123"/>
      <c r="MG19" s="123"/>
      <c r="MH19" s="123"/>
      <c r="MI19" s="123"/>
      <c r="MJ19" s="123"/>
      <c r="MK19" s="123"/>
      <c r="ML19" s="123"/>
      <c r="MM19" s="123"/>
      <c r="MN19" s="123"/>
      <c r="MO19" s="123"/>
      <c r="MP19" s="123"/>
      <c r="MQ19" s="123"/>
      <c r="MR19" s="123"/>
      <c r="MS19" s="123"/>
      <c r="MT19" s="123"/>
      <c r="MU19" s="123"/>
      <c r="MV19" s="123"/>
      <c r="MW19" s="123"/>
      <c r="MX19" s="123"/>
      <c r="MY19" s="123"/>
      <c r="MZ19" s="123"/>
      <c r="NA19" s="123"/>
      <c r="NB19" s="123"/>
      <c r="NC19" s="123"/>
      <c r="ND19" s="123"/>
      <c r="NE19" s="123"/>
      <c r="NF19" s="123"/>
      <c r="NG19" s="123"/>
      <c r="NH19" s="123"/>
      <c r="NI19" s="123"/>
      <c r="NJ19" s="123"/>
      <c r="NK19" s="123"/>
      <c r="NM19">
        <f t="shared" si="168"/>
        <v>0</v>
      </c>
      <c r="NN19">
        <f t="shared" si="169"/>
        <v>0</v>
      </c>
      <c r="NO19">
        <f t="shared" si="170"/>
        <v>0</v>
      </c>
      <c r="NP19">
        <f t="shared" si="171"/>
        <v>0</v>
      </c>
      <c r="NQ19">
        <f t="shared" si="172"/>
        <v>0</v>
      </c>
      <c r="NR19">
        <f t="shared" si="173"/>
        <v>0</v>
      </c>
      <c r="NS19">
        <f t="shared" si="174"/>
        <v>0</v>
      </c>
      <c r="NT19">
        <f t="shared" si="175"/>
        <v>0</v>
      </c>
      <c r="NU19" s="29">
        <f t="shared" si="176"/>
        <v>0</v>
      </c>
      <c r="NY19" s="17">
        <f t="shared" si="108"/>
        <v>1</v>
      </c>
      <c r="NZ19" s="152">
        <v>7644000</v>
      </c>
      <c r="OE19" s="155">
        <f t="shared" si="109"/>
        <v>0</v>
      </c>
      <c r="OF19" s="155">
        <f t="shared" si="110"/>
        <v>0</v>
      </c>
      <c r="OG19" s="155">
        <f t="shared" si="111"/>
        <v>0</v>
      </c>
      <c r="OH19" s="155">
        <f t="shared" si="177"/>
        <v>0</v>
      </c>
      <c r="OI19" s="155">
        <f t="shared" si="112"/>
        <v>0</v>
      </c>
      <c r="OJ19" s="67">
        <f t="shared" si="178"/>
        <v>0</v>
      </c>
      <c r="OK19" s="67">
        <f t="shared" si="179"/>
        <v>0</v>
      </c>
      <c r="OL19" s="67">
        <f t="shared" si="180"/>
        <v>0</v>
      </c>
      <c r="OM19" s="67">
        <f t="shared" si="181"/>
        <v>0</v>
      </c>
      <c r="OO19" s="155">
        <f t="shared" si="113"/>
        <v>0</v>
      </c>
      <c r="OP19" s="155">
        <f t="shared" si="114"/>
        <v>0</v>
      </c>
      <c r="OQ19" s="155">
        <f t="shared" si="182"/>
        <v>0</v>
      </c>
      <c r="OR19" s="155">
        <f t="shared" si="183"/>
        <v>0</v>
      </c>
      <c r="OS19" s="155">
        <f t="shared" si="184"/>
        <v>0</v>
      </c>
      <c r="OT19" s="67">
        <f t="shared" si="185"/>
        <v>0</v>
      </c>
      <c r="OU19" s="67">
        <f t="shared" si="186"/>
        <v>0</v>
      </c>
      <c r="OV19" s="67">
        <f t="shared" si="187"/>
        <v>0</v>
      </c>
      <c r="OW19" s="67">
        <f t="shared" si="188"/>
        <v>0</v>
      </c>
      <c r="OZ19" s="163">
        <f t="shared" si="115"/>
        <v>0</v>
      </c>
      <c r="PA19" s="166"/>
      <c r="PB19" s="166"/>
      <c r="PC19" s="166"/>
      <c r="PD19" s="210">
        <f t="shared" si="116"/>
        <v>0</v>
      </c>
      <c r="PE19" s="210"/>
      <c r="PF19" s="210">
        <f t="shared" si="117"/>
        <v>0</v>
      </c>
      <c r="PG19" s="210">
        <f t="shared" si="118"/>
        <v>0</v>
      </c>
      <c r="PH19" s="210">
        <f t="shared" si="118"/>
        <v>0</v>
      </c>
      <c r="PI19" s="210">
        <f t="shared" si="118"/>
        <v>0</v>
      </c>
      <c r="PJ19" s="210">
        <f t="shared" si="118"/>
        <v>0</v>
      </c>
      <c r="PK19" s="210">
        <f t="shared" si="118"/>
        <v>0</v>
      </c>
      <c r="PL19" s="210">
        <f t="shared" si="118"/>
        <v>0</v>
      </c>
      <c r="PM19" s="164"/>
      <c r="PN19" s="164"/>
      <c r="PO19" s="172">
        <f t="shared" si="189"/>
        <v>0</v>
      </c>
      <c r="PP19" s="172">
        <f t="shared" si="190"/>
        <v>0</v>
      </c>
      <c r="PQ19" s="172">
        <f t="shared" si="191"/>
        <v>0</v>
      </c>
      <c r="PR19" s="164"/>
      <c r="PS19" s="164"/>
      <c r="PT19" s="164"/>
      <c r="PU19" s="164"/>
    </row>
    <row r="20" spans="1:437" ht="16" x14ac:dyDescent="0.2">
      <c r="A20" s="19">
        <f t="shared" si="192"/>
        <v>12</v>
      </c>
      <c r="B20" s="138" t="s">
        <v>149</v>
      </c>
      <c r="C20" s="138">
        <v>16</v>
      </c>
      <c r="D20" s="20">
        <v>1</v>
      </c>
      <c r="E20" s="20">
        <v>76</v>
      </c>
      <c r="F20" s="20">
        <v>1</v>
      </c>
      <c r="G20" s="20">
        <f t="shared" si="119"/>
        <v>76</v>
      </c>
      <c r="H20" s="137">
        <f t="shared" si="2"/>
        <v>1</v>
      </c>
      <c r="I20" s="137">
        <f t="shared" si="3"/>
        <v>1</v>
      </c>
      <c r="J20" s="20">
        <v>1</v>
      </c>
      <c r="K20" s="20">
        <f t="shared" si="4"/>
        <v>76</v>
      </c>
      <c r="L20" s="137">
        <f t="shared" si="5"/>
        <v>1</v>
      </c>
      <c r="M20" s="137">
        <f t="shared" si="6"/>
        <v>1</v>
      </c>
      <c r="N20" s="20">
        <v>1</v>
      </c>
      <c r="O20" s="20">
        <f t="shared" si="7"/>
        <v>76</v>
      </c>
      <c r="P20" s="137">
        <f t="shared" si="8"/>
        <v>1</v>
      </c>
      <c r="Q20" s="137">
        <f t="shared" si="9"/>
        <v>1</v>
      </c>
      <c r="R20" s="20">
        <v>1</v>
      </c>
      <c r="S20" s="20">
        <f t="shared" si="10"/>
        <v>76</v>
      </c>
      <c r="T20" s="137">
        <f t="shared" si="11"/>
        <v>1</v>
      </c>
      <c r="U20" s="137">
        <f t="shared" si="12"/>
        <v>1</v>
      </c>
      <c r="V20" s="20">
        <v>1</v>
      </c>
      <c r="W20" s="20">
        <f t="shared" si="13"/>
        <v>76</v>
      </c>
      <c r="X20" s="137">
        <f t="shared" si="14"/>
        <v>1</v>
      </c>
      <c r="Y20" s="137">
        <f t="shared" si="15"/>
        <v>1</v>
      </c>
      <c r="Z20" s="144">
        <f>940759000/1000000000</f>
        <v>0.94075900000000001</v>
      </c>
      <c r="AA20" s="188"/>
      <c r="AB20" s="189">
        <f t="shared" si="120"/>
        <v>0</v>
      </c>
      <c r="AC20" s="250">
        <f t="shared" si="121"/>
        <v>0</v>
      </c>
      <c r="AD20" s="250">
        <f t="shared" si="122"/>
        <v>0</v>
      </c>
      <c r="AE20" s="224"/>
      <c r="AF20" s="188">
        <f t="shared" si="123"/>
        <v>0</v>
      </c>
      <c r="AG20" s="188"/>
      <c r="AH20" s="20"/>
      <c r="AI20" s="20">
        <v>0</v>
      </c>
      <c r="AJ20" s="20">
        <f t="shared" si="18"/>
        <v>0</v>
      </c>
      <c r="AK20" s="20"/>
      <c r="AL20" s="20">
        <v>0</v>
      </c>
      <c r="AM20" s="20">
        <v>0</v>
      </c>
      <c r="AN20" s="139"/>
      <c r="BB20" s="20">
        <f t="shared" si="124"/>
        <v>0</v>
      </c>
      <c r="BE20" s="20">
        <f t="shared" si="19"/>
        <v>0</v>
      </c>
      <c r="BF20" s="20">
        <f t="shared" si="20"/>
        <v>0</v>
      </c>
      <c r="BG20" s="20">
        <f t="shared" si="21"/>
        <v>0</v>
      </c>
      <c r="BH20" s="20">
        <f t="shared" si="22"/>
        <v>0</v>
      </c>
      <c r="BI20" s="20">
        <f t="shared" si="23"/>
        <v>0</v>
      </c>
      <c r="BJ20" s="20">
        <f t="shared" si="24"/>
        <v>0</v>
      </c>
      <c r="BK20" s="20">
        <f t="shared" si="125"/>
        <v>0</v>
      </c>
      <c r="BN20" s="284">
        <v>21</v>
      </c>
      <c r="BO20">
        <v>1</v>
      </c>
      <c r="BP20" s="139"/>
      <c r="BQ20" s="139"/>
      <c r="BR20" s="139"/>
      <c r="BS20" s="139"/>
      <c r="BT20" s="139"/>
      <c r="BU20" s="139"/>
      <c r="BV20" s="139"/>
      <c r="BW20" s="139"/>
      <c r="BX20" s="139"/>
      <c r="BY20" s="139"/>
      <c r="BZ20" s="139"/>
      <c r="CB20" s="139"/>
      <c r="CD20" s="17">
        <f t="shared" si="126"/>
        <v>21</v>
      </c>
      <c r="CE20" s="17">
        <f t="shared" si="127"/>
        <v>21</v>
      </c>
      <c r="CF20" s="139">
        <f t="shared" si="128"/>
        <v>0</v>
      </c>
      <c r="CG20" s="139">
        <f t="shared" si="129"/>
        <v>0</v>
      </c>
      <c r="CH20" s="139">
        <f t="shared" si="130"/>
        <v>0</v>
      </c>
      <c r="CI20" s="139">
        <f t="shared" si="131"/>
        <v>0</v>
      </c>
      <c r="CJ20" s="139">
        <f t="shared" si="132"/>
        <v>0</v>
      </c>
      <c r="CK20" s="139">
        <f t="shared" si="133"/>
        <v>0</v>
      </c>
      <c r="CL20" s="139">
        <f t="shared" si="134"/>
        <v>0</v>
      </c>
      <c r="CM20" s="139">
        <f t="shared" si="135"/>
        <v>0</v>
      </c>
      <c r="CN20" s="139">
        <f t="shared" si="136"/>
        <v>0</v>
      </c>
      <c r="CO20" s="139">
        <f t="shared" si="137"/>
        <v>0</v>
      </c>
      <c r="CP20" s="139">
        <f t="shared" si="138"/>
        <v>0</v>
      </c>
      <c r="CQ20" s="148">
        <f t="shared" si="27"/>
        <v>0</v>
      </c>
      <c r="DV20" s="139">
        <f t="shared" si="28"/>
        <v>0</v>
      </c>
      <c r="DW20" s="139">
        <f t="shared" si="29"/>
        <v>0</v>
      </c>
      <c r="DX20" s="139">
        <f t="shared" si="30"/>
        <v>0</v>
      </c>
      <c r="DY20" s="139">
        <f t="shared" si="31"/>
        <v>0</v>
      </c>
      <c r="DZ20" s="139">
        <f t="shared" si="32"/>
        <v>0</v>
      </c>
      <c r="EA20" s="139">
        <f t="shared" si="33"/>
        <v>0</v>
      </c>
      <c r="EB20" s="139">
        <f t="shared" si="139"/>
        <v>0</v>
      </c>
      <c r="EG20" s="57">
        <f t="shared" si="140"/>
        <v>0</v>
      </c>
      <c r="EH20" s="57">
        <f t="shared" si="141"/>
        <v>0</v>
      </c>
      <c r="EI20" s="17"/>
      <c r="EJ20" s="17"/>
      <c r="EK20" s="17"/>
      <c r="EL20" s="17"/>
      <c r="EM20" s="17"/>
      <c r="EN20" s="17"/>
      <c r="EO20" s="17"/>
      <c r="EP20" s="17"/>
      <c r="EQ20" s="189"/>
      <c r="ER20" s="189"/>
      <c r="ES20" s="189"/>
      <c r="ET20" s="189"/>
      <c r="EU20" s="189"/>
      <c r="EV20" s="189"/>
      <c r="EW20" s="189"/>
      <c r="EX20" s="189"/>
      <c r="EY20" s="189"/>
      <c r="EZ20" s="189"/>
      <c r="FA20" s="189"/>
      <c r="FB20" s="189"/>
      <c r="FC20" s="189"/>
      <c r="FD20" s="17"/>
      <c r="FE20" s="17"/>
      <c r="FF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X20" s="80">
        <v>1</v>
      </c>
      <c r="FY20" s="17">
        <f t="shared" si="142"/>
        <v>21</v>
      </c>
      <c r="FZ20" s="17">
        <f t="shared" si="35"/>
        <v>21</v>
      </c>
      <c r="GA20" s="17">
        <f t="shared" si="36"/>
        <v>0</v>
      </c>
      <c r="GB20" s="17">
        <f t="shared" si="37"/>
        <v>0</v>
      </c>
      <c r="GC20" s="17">
        <f t="shared" si="38"/>
        <v>0</v>
      </c>
      <c r="GD20" s="17">
        <f t="shared" si="39"/>
        <v>0</v>
      </c>
      <c r="GE20" s="17">
        <f t="shared" si="40"/>
        <v>0</v>
      </c>
      <c r="GF20" s="67"/>
      <c r="GG20" s="17">
        <v>0</v>
      </c>
      <c r="GH20" s="17">
        <v>0</v>
      </c>
      <c r="GI20" s="67"/>
      <c r="GJ20" s="62">
        <f t="shared" si="143"/>
        <v>0</v>
      </c>
      <c r="GK20" s="62">
        <f t="shared" si="144"/>
        <v>0</v>
      </c>
      <c r="GO20" s="17">
        <f t="shared" si="41"/>
        <v>0</v>
      </c>
      <c r="GP20" s="17">
        <f t="shared" si="42"/>
        <v>0</v>
      </c>
      <c r="GQ20" s="17">
        <f t="shared" si="43"/>
        <v>0</v>
      </c>
      <c r="GR20" s="17">
        <f t="shared" si="44"/>
        <v>0</v>
      </c>
      <c r="GS20" s="17">
        <f t="shared" si="45"/>
        <v>0</v>
      </c>
      <c r="GT20" s="17">
        <f t="shared" si="145"/>
        <v>1</v>
      </c>
      <c r="GU20" s="101">
        <f t="shared" si="146"/>
        <v>43243</v>
      </c>
      <c r="GV20" s="17" t="str">
        <f t="shared" si="147"/>
        <v>SELESAI</v>
      </c>
      <c r="GW20" s="17">
        <f t="shared" si="148"/>
        <v>0</v>
      </c>
      <c r="GX20" s="66" t="str">
        <f t="shared" si="149"/>
        <v>SELESAI</v>
      </c>
      <c r="GY20" s="66">
        <f t="shared" si="150"/>
        <v>0</v>
      </c>
      <c r="GZ20" s="102" t="str">
        <f t="shared" si="151"/>
        <v>SELESAI</v>
      </c>
      <c r="HA20" s="83"/>
      <c r="HB20" s="83"/>
      <c r="HC20" s="17">
        <f t="shared" si="46"/>
        <v>0</v>
      </c>
      <c r="HD20" s="17">
        <f t="shared" si="47"/>
        <v>0</v>
      </c>
      <c r="HE20" s="17">
        <f t="shared" si="152"/>
        <v>0</v>
      </c>
      <c r="HF20" s="17">
        <f t="shared" si="153"/>
        <v>0</v>
      </c>
      <c r="HG20" s="17">
        <f t="shared" si="154"/>
        <v>0</v>
      </c>
      <c r="HH20" s="101" t="str">
        <f t="shared" si="48"/>
        <v>TIDAK KONSINYASI</v>
      </c>
      <c r="HI20" s="101" t="str">
        <f t="shared" si="155"/>
        <v>SELESAI</v>
      </c>
      <c r="HJ20" s="27"/>
      <c r="HK20" s="101">
        <f t="shared" si="49"/>
        <v>0</v>
      </c>
      <c r="HL20" s="83"/>
      <c r="HM20" s="83"/>
      <c r="HN20" s="83"/>
      <c r="HO20" s="83"/>
      <c r="HP20" s="102">
        <f t="shared" si="156"/>
        <v>0</v>
      </c>
      <c r="HQ20" s="66">
        <f t="shared" si="157"/>
        <v>0</v>
      </c>
      <c r="HR20" s="66">
        <f t="shared" si="50"/>
        <v>0</v>
      </c>
      <c r="HS20" s="102">
        <f t="shared" si="158"/>
        <v>0</v>
      </c>
      <c r="HT20" s="66">
        <f t="shared" si="159"/>
        <v>0</v>
      </c>
      <c r="HU20" s="66">
        <f t="shared" si="51"/>
        <v>0</v>
      </c>
      <c r="HV20" s="102">
        <f t="shared" si="160"/>
        <v>0</v>
      </c>
      <c r="HW20" s="66">
        <f t="shared" si="52"/>
        <v>0</v>
      </c>
      <c r="HX20" s="66">
        <f t="shared" si="53"/>
        <v>0</v>
      </c>
      <c r="HY20" s="102">
        <f t="shared" si="54"/>
        <v>0</v>
      </c>
      <c r="HZ20" s="66">
        <f t="shared" si="161"/>
        <v>0</v>
      </c>
      <c r="IA20" s="66">
        <f t="shared" si="55"/>
        <v>0</v>
      </c>
      <c r="IB20" s="102">
        <f t="shared" si="162"/>
        <v>0</v>
      </c>
      <c r="IC20" s="66">
        <f t="shared" si="56"/>
        <v>0</v>
      </c>
      <c r="ID20" s="66">
        <f t="shared" si="57"/>
        <v>0</v>
      </c>
      <c r="IE20" s="102">
        <f t="shared" si="58"/>
        <v>0</v>
      </c>
      <c r="IF20" s="66">
        <f t="shared" si="59"/>
        <v>0</v>
      </c>
      <c r="IG20" s="66">
        <f t="shared" si="60"/>
        <v>0</v>
      </c>
      <c r="IH20" s="102">
        <f t="shared" si="163"/>
        <v>0</v>
      </c>
      <c r="II20" s="66">
        <f t="shared" si="164"/>
        <v>0</v>
      </c>
      <c r="IJ20" s="66">
        <f t="shared" si="61"/>
        <v>0</v>
      </c>
      <c r="IK20" s="102">
        <f t="shared" si="62"/>
        <v>0</v>
      </c>
      <c r="IL20" s="66">
        <f t="shared" si="63"/>
        <v>0</v>
      </c>
      <c r="IM20" s="66">
        <f t="shared" si="64"/>
        <v>0</v>
      </c>
      <c r="IN20" s="83"/>
      <c r="IO20" s="102">
        <f t="shared" si="65"/>
        <v>0</v>
      </c>
      <c r="IP20" s="66">
        <f t="shared" si="66"/>
        <v>0</v>
      </c>
      <c r="IQ20" s="66">
        <f t="shared" si="67"/>
        <v>0</v>
      </c>
      <c r="IR20" s="83"/>
      <c r="IS20" s="102"/>
      <c r="IT20" s="66">
        <f t="shared" si="68"/>
        <v>1</v>
      </c>
      <c r="IU20" s="66">
        <f t="shared" si="69"/>
        <v>76</v>
      </c>
      <c r="IV20" s="83"/>
      <c r="IW20" s="102"/>
      <c r="IX20" s="66">
        <f t="shared" si="70"/>
        <v>0</v>
      </c>
      <c r="IY20" s="66">
        <f t="shared" si="71"/>
        <v>0</v>
      </c>
      <c r="IZ20" s="83"/>
      <c r="JA20" s="102"/>
      <c r="JB20" s="66">
        <f t="shared" si="72"/>
        <v>0</v>
      </c>
      <c r="JC20" s="66">
        <f t="shared" si="73"/>
        <v>0</v>
      </c>
      <c r="JD20" s="83"/>
      <c r="JE20" s="102"/>
      <c r="JF20" s="66">
        <f t="shared" si="165"/>
        <v>1</v>
      </c>
      <c r="JG20" s="66">
        <f t="shared" si="74"/>
        <v>76</v>
      </c>
      <c r="JH20" s="83"/>
      <c r="JI20" s="102"/>
      <c r="JJ20" s="66">
        <f t="shared" si="75"/>
        <v>0</v>
      </c>
      <c r="JK20" s="66">
        <f t="shared" si="76"/>
        <v>0</v>
      </c>
      <c r="JM20" s="102">
        <f t="shared" si="166"/>
        <v>0</v>
      </c>
      <c r="JO20" s="29">
        <f t="shared" si="77"/>
        <v>1</v>
      </c>
      <c r="JP20" s="122">
        <f t="shared" si="78"/>
        <v>21</v>
      </c>
      <c r="JQ20" s="122">
        <f t="shared" si="79"/>
        <v>1</v>
      </c>
      <c r="JR20" s="122">
        <f t="shared" si="80"/>
        <v>0</v>
      </c>
      <c r="JS20" s="122">
        <f t="shared" si="81"/>
        <v>0</v>
      </c>
      <c r="JT20" s="122">
        <f t="shared" si="82"/>
        <v>0</v>
      </c>
      <c r="JU20" s="122">
        <f t="shared" si="83"/>
        <v>0</v>
      </c>
      <c r="JV20" s="122">
        <f t="shared" si="84"/>
        <v>0</v>
      </c>
      <c r="JW20" s="122">
        <f t="shared" si="85"/>
        <v>0</v>
      </c>
      <c r="JX20" s="122">
        <f t="shared" si="86"/>
        <v>0</v>
      </c>
      <c r="JY20" s="122">
        <f t="shared" si="87"/>
        <v>0</v>
      </c>
      <c r="JZ20" s="122">
        <f t="shared" si="88"/>
        <v>0</v>
      </c>
      <c r="KA20" s="122">
        <f t="shared" si="89"/>
        <v>0</v>
      </c>
      <c r="KB20" s="122">
        <f t="shared" si="90"/>
        <v>0</v>
      </c>
      <c r="KD20" s="122">
        <f t="shared" si="167"/>
        <v>0</v>
      </c>
      <c r="KE20" s="122">
        <f t="shared" si="92"/>
        <v>0</v>
      </c>
      <c r="KF20" s="122">
        <f t="shared" si="93"/>
        <v>21</v>
      </c>
      <c r="KG20" s="122">
        <f t="shared" si="94"/>
        <v>21</v>
      </c>
      <c r="KH20" s="122">
        <f t="shared" si="95"/>
        <v>0</v>
      </c>
      <c r="KI20" s="122">
        <f t="shared" si="96"/>
        <v>0</v>
      </c>
      <c r="KJ20" s="122">
        <f t="shared" si="97"/>
        <v>0</v>
      </c>
      <c r="KK20" s="122">
        <f t="shared" si="98"/>
        <v>0</v>
      </c>
      <c r="KL20" s="122">
        <f t="shared" si="99"/>
        <v>0</v>
      </c>
      <c r="KM20" s="122">
        <f t="shared" si="100"/>
        <v>0</v>
      </c>
      <c r="KN20" s="123">
        <f t="shared" si="101"/>
        <v>0</v>
      </c>
      <c r="KO20" s="123">
        <f t="shared" si="102"/>
        <v>0</v>
      </c>
      <c r="KP20" s="123">
        <f t="shared" si="103"/>
        <v>0</v>
      </c>
      <c r="KQ20" s="123">
        <f t="shared" si="104"/>
        <v>0</v>
      </c>
      <c r="KR20" s="123">
        <f t="shared" si="105"/>
        <v>0</v>
      </c>
      <c r="KT20">
        <f t="shared" si="106"/>
        <v>0</v>
      </c>
      <c r="KU20" s="123"/>
      <c r="KV20" s="123"/>
      <c r="KW20" s="123"/>
      <c r="KX20" s="123"/>
      <c r="KY20" s="123"/>
      <c r="KZ20" s="123"/>
      <c r="LA20" s="123"/>
      <c r="LB20" s="123"/>
      <c r="LC20" s="123"/>
      <c r="LD20" s="123"/>
      <c r="LE20" s="123"/>
      <c r="LF20" s="123"/>
      <c r="LG20" s="123"/>
      <c r="LH20" s="123"/>
      <c r="LI20" s="123"/>
      <c r="LJ20" s="123"/>
      <c r="LK20" s="123"/>
      <c r="LL20" s="123"/>
      <c r="LM20" s="123"/>
      <c r="LN20" s="123"/>
      <c r="LO20" s="123"/>
      <c r="LP20" s="123"/>
      <c r="LQ20" s="123"/>
      <c r="LR20" s="123"/>
      <c r="LS20" s="123"/>
      <c r="LT20" s="123"/>
      <c r="LU20" s="123"/>
      <c r="LV20" s="123"/>
      <c r="LW20" s="123"/>
      <c r="LX20" s="123"/>
      <c r="LY20" s="123"/>
      <c r="LZ20" s="123"/>
      <c r="MA20" s="123"/>
      <c r="MB20" s="123"/>
      <c r="MC20" s="123"/>
      <c r="MD20" s="123"/>
      <c r="ME20" s="123"/>
      <c r="MF20" s="123"/>
      <c r="MG20" s="123"/>
      <c r="MH20" s="123"/>
      <c r="MI20" s="123"/>
      <c r="MJ20" s="123"/>
      <c r="MK20" s="123"/>
      <c r="ML20" s="123"/>
      <c r="MM20" s="123"/>
      <c r="MN20" s="123"/>
      <c r="MO20" s="123"/>
      <c r="MP20" s="123"/>
      <c r="MQ20" s="123"/>
      <c r="MR20" s="123"/>
      <c r="MS20" s="123"/>
      <c r="MT20" s="123"/>
      <c r="MU20" s="123"/>
      <c r="MV20" s="123"/>
      <c r="MW20" s="123"/>
      <c r="MX20" s="123"/>
      <c r="MY20" s="123"/>
      <c r="MZ20" s="123"/>
      <c r="NA20" s="123"/>
      <c r="NB20" s="123"/>
      <c r="NC20" s="123"/>
      <c r="ND20" s="123"/>
      <c r="NE20" s="123"/>
      <c r="NF20" s="123"/>
      <c r="NG20" s="123"/>
      <c r="NH20" s="123"/>
      <c r="NI20" s="123"/>
      <c r="NJ20" s="123"/>
      <c r="NK20" s="123"/>
      <c r="NM20">
        <f t="shared" si="168"/>
        <v>0</v>
      </c>
      <c r="NN20">
        <f t="shared" si="169"/>
        <v>0</v>
      </c>
      <c r="NO20">
        <f t="shared" si="170"/>
        <v>0</v>
      </c>
      <c r="NP20">
        <f t="shared" si="171"/>
        <v>0</v>
      </c>
      <c r="NQ20">
        <f t="shared" si="172"/>
        <v>0</v>
      </c>
      <c r="NR20">
        <f t="shared" si="173"/>
        <v>0</v>
      </c>
      <c r="NS20">
        <f t="shared" si="174"/>
        <v>0</v>
      </c>
      <c r="NT20">
        <f t="shared" si="175"/>
        <v>0</v>
      </c>
      <c r="NU20" s="29">
        <f t="shared" si="176"/>
        <v>0</v>
      </c>
      <c r="NY20" s="17">
        <f t="shared" si="108"/>
        <v>1</v>
      </c>
      <c r="NZ20" s="152">
        <v>7644000</v>
      </c>
      <c r="OE20" s="155">
        <f t="shared" si="109"/>
        <v>0</v>
      </c>
      <c r="OF20" s="155">
        <f t="shared" si="110"/>
        <v>0</v>
      </c>
      <c r="OG20" s="155">
        <f t="shared" si="111"/>
        <v>0</v>
      </c>
      <c r="OH20" s="155">
        <f t="shared" si="177"/>
        <v>0</v>
      </c>
      <c r="OI20" s="155">
        <f t="shared" si="112"/>
        <v>0</v>
      </c>
      <c r="OJ20" s="67">
        <f t="shared" si="178"/>
        <v>0</v>
      </c>
      <c r="OK20" s="67">
        <f t="shared" si="179"/>
        <v>0</v>
      </c>
      <c r="OL20" s="67">
        <f t="shared" si="180"/>
        <v>0</v>
      </c>
      <c r="OM20" s="67">
        <f t="shared" si="181"/>
        <v>0</v>
      </c>
      <c r="OO20" s="155">
        <f t="shared" si="113"/>
        <v>0</v>
      </c>
      <c r="OP20" s="155">
        <f t="shared" si="114"/>
        <v>0</v>
      </c>
      <c r="OQ20" s="155">
        <f t="shared" si="182"/>
        <v>0</v>
      </c>
      <c r="OR20" s="155">
        <f t="shared" si="183"/>
        <v>0</v>
      </c>
      <c r="OS20" s="155">
        <f t="shared" si="184"/>
        <v>0</v>
      </c>
      <c r="OT20" s="67">
        <f t="shared" si="185"/>
        <v>0</v>
      </c>
      <c r="OU20" s="67">
        <f t="shared" si="186"/>
        <v>0</v>
      </c>
      <c r="OV20" s="67">
        <f t="shared" si="187"/>
        <v>0</v>
      </c>
      <c r="OW20" s="67">
        <f t="shared" si="188"/>
        <v>0</v>
      </c>
      <c r="OZ20" s="163">
        <f t="shared" si="115"/>
        <v>0</v>
      </c>
      <c r="PA20" s="166"/>
      <c r="PB20" s="166"/>
      <c r="PC20" s="166"/>
      <c r="PD20" s="210">
        <f t="shared" si="116"/>
        <v>0</v>
      </c>
      <c r="PE20" s="210"/>
      <c r="PF20" s="210">
        <f t="shared" si="117"/>
        <v>0</v>
      </c>
      <c r="PG20" s="210">
        <f t="shared" si="118"/>
        <v>0</v>
      </c>
      <c r="PH20" s="210">
        <f t="shared" si="118"/>
        <v>0</v>
      </c>
      <c r="PI20" s="210">
        <f t="shared" si="118"/>
        <v>0</v>
      </c>
      <c r="PJ20" s="210">
        <f t="shared" si="118"/>
        <v>0</v>
      </c>
      <c r="PK20" s="210">
        <f t="shared" si="118"/>
        <v>0</v>
      </c>
      <c r="PL20" s="210">
        <f t="shared" si="118"/>
        <v>0</v>
      </c>
      <c r="PM20" s="164"/>
      <c r="PN20" s="164"/>
      <c r="PO20" s="172">
        <f t="shared" si="189"/>
        <v>0</v>
      </c>
      <c r="PP20" s="172">
        <f t="shared" si="190"/>
        <v>0</v>
      </c>
      <c r="PQ20" s="172">
        <f t="shared" si="191"/>
        <v>0</v>
      </c>
      <c r="PR20" s="164"/>
      <c r="PS20" s="164"/>
      <c r="PT20" s="164"/>
      <c r="PU20" s="164"/>
    </row>
    <row r="21" spans="1:437" ht="16" x14ac:dyDescent="0.2">
      <c r="A21" s="19">
        <f t="shared" si="192"/>
        <v>13</v>
      </c>
      <c r="B21" s="138" t="s">
        <v>150</v>
      </c>
      <c r="C21" s="138">
        <v>17</v>
      </c>
      <c r="D21" s="20">
        <v>1</v>
      </c>
      <c r="E21" s="20">
        <v>66</v>
      </c>
      <c r="F21" s="20">
        <v>1</v>
      </c>
      <c r="G21" s="20">
        <f t="shared" si="119"/>
        <v>66</v>
      </c>
      <c r="H21" s="137">
        <f t="shared" si="2"/>
        <v>1</v>
      </c>
      <c r="I21" s="137">
        <f t="shared" si="3"/>
        <v>1</v>
      </c>
      <c r="J21" s="20">
        <v>1</v>
      </c>
      <c r="K21" s="20">
        <f t="shared" si="4"/>
        <v>66</v>
      </c>
      <c r="L21" s="137">
        <f t="shared" si="5"/>
        <v>1</v>
      </c>
      <c r="M21" s="137">
        <f t="shared" si="6"/>
        <v>1</v>
      </c>
      <c r="N21" s="20">
        <v>1</v>
      </c>
      <c r="O21" s="20">
        <f t="shared" si="7"/>
        <v>66</v>
      </c>
      <c r="P21" s="137">
        <f t="shared" si="8"/>
        <v>1</v>
      </c>
      <c r="Q21" s="137">
        <f t="shared" si="9"/>
        <v>1</v>
      </c>
      <c r="R21" s="20">
        <v>1</v>
      </c>
      <c r="S21" s="20">
        <f t="shared" si="10"/>
        <v>66</v>
      </c>
      <c r="T21" s="137">
        <f t="shared" si="11"/>
        <v>1</v>
      </c>
      <c r="U21" s="137">
        <f t="shared" si="12"/>
        <v>1</v>
      </c>
      <c r="V21" s="20">
        <v>1</v>
      </c>
      <c r="W21" s="20">
        <f t="shared" si="13"/>
        <v>66</v>
      </c>
      <c r="X21" s="137">
        <f t="shared" si="14"/>
        <v>1</v>
      </c>
      <c r="Y21" s="137">
        <f t="shared" si="15"/>
        <v>1</v>
      </c>
      <c r="Z21" s="144">
        <f>934859000/1000000000</f>
        <v>0.934859</v>
      </c>
      <c r="AA21" s="188"/>
      <c r="AB21" s="189">
        <f t="shared" si="120"/>
        <v>0</v>
      </c>
      <c r="AC21" s="250">
        <f t="shared" si="121"/>
        <v>0</v>
      </c>
      <c r="AD21" s="250">
        <f t="shared" si="122"/>
        <v>0</v>
      </c>
      <c r="AE21" s="224"/>
      <c r="AF21" s="188">
        <f t="shared" si="123"/>
        <v>0</v>
      </c>
      <c r="AG21" s="188"/>
      <c r="AH21" s="20"/>
      <c r="AI21" s="20">
        <v>0</v>
      </c>
      <c r="AJ21" s="20">
        <f t="shared" si="18"/>
        <v>0</v>
      </c>
      <c r="AK21" s="20"/>
      <c r="AL21" s="20">
        <v>0</v>
      </c>
      <c r="AM21" s="20">
        <v>0</v>
      </c>
      <c r="AN21" s="139"/>
      <c r="BB21" s="20">
        <f t="shared" si="124"/>
        <v>0</v>
      </c>
      <c r="BE21" s="20">
        <f t="shared" si="19"/>
        <v>0</v>
      </c>
      <c r="BF21" s="20">
        <f t="shared" si="20"/>
        <v>0</v>
      </c>
      <c r="BG21" s="20">
        <f t="shared" si="21"/>
        <v>0</v>
      </c>
      <c r="BH21" s="20">
        <f t="shared" si="22"/>
        <v>0</v>
      </c>
      <c r="BI21" s="20">
        <f t="shared" si="23"/>
        <v>0</v>
      </c>
      <c r="BJ21" s="20">
        <f t="shared" si="24"/>
        <v>0</v>
      </c>
      <c r="BK21" s="20">
        <f t="shared" si="125"/>
        <v>0</v>
      </c>
      <c r="BN21" s="284">
        <v>20</v>
      </c>
      <c r="BO21">
        <v>1</v>
      </c>
      <c r="BP21" s="139"/>
      <c r="BQ21" s="139"/>
      <c r="BR21" s="139"/>
      <c r="BS21" s="139"/>
      <c r="BT21" s="139"/>
      <c r="BU21" s="139"/>
      <c r="BV21" s="139"/>
      <c r="BW21" s="139"/>
      <c r="BX21" s="139"/>
      <c r="BY21" s="139"/>
      <c r="BZ21" s="139"/>
      <c r="CB21" s="139"/>
      <c r="CD21" s="17">
        <f t="shared" si="126"/>
        <v>20</v>
      </c>
      <c r="CE21" s="17">
        <f t="shared" si="127"/>
        <v>20</v>
      </c>
      <c r="CF21" s="139">
        <f t="shared" si="128"/>
        <v>0</v>
      </c>
      <c r="CG21" s="139">
        <f t="shared" si="129"/>
        <v>0</v>
      </c>
      <c r="CH21" s="139">
        <f t="shared" si="130"/>
        <v>0</v>
      </c>
      <c r="CI21" s="139">
        <f t="shared" si="131"/>
        <v>0</v>
      </c>
      <c r="CJ21" s="139">
        <f t="shared" si="132"/>
        <v>0</v>
      </c>
      <c r="CK21" s="139">
        <f t="shared" si="133"/>
        <v>0</v>
      </c>
      <c r="CL21" s="139">
        <f t="shared" si="134"/>
        <v>0</v>
      </c>
      <c r="CM21" s="139">
        <f t="shared" si="135"/>
        <v>0</v>
      </c>
      <c r="CN21" s="139">
        <f t="shared" si="136"/>
        <v>0</v>
      </c>
      <c r="CO21" s="139">
        <f t="shared" si="137"/>
        <v>0</v>
      </c>
      <c r="CP21" s="139">
        <f t="shared" si="138"/>
        <v>0</v>
      </c>
      <c r="CQ21" s="148">
        <f t="shared" si="27"/>
        <v>0</v>
      </c>
      <c r="DV21" s="139">
        <f t="shared" si="28"/>
        <v>0</v>
      </c>
      <c r="DW21" s="139">
        <f t="shared" si="29"/>
        <v>0</v>
      </c>
      <c r="DX21" s="139">
        <f t="shared" si="30"/>
        <v>0</v>
      </c>
      <c r="DY21" s="139">
        <f t="shared" si="31"/>
        <v>0</v>
      </c>
      <c r="DZ21" s="139">
        <f t="shared" si="32"/>
        <v>0</v>
      </c>
      <c r="EA21" s="139">
        <f t="shared" si="33"/>
        <v>0</v>
      </c>
      <c r="EB21" s="139">
        <f t="shared" si="139"/>
        <v>0</v>
      </c>
      <c r="EG21" s="57">
        <f t="shared" si="140"/>
        <v>0</v>
      </c>
      <c r="EH21" s="57">
        <f t="shared" si="141"/>
        <v>0</v>
      </c>
      <c r="EI21" s="17"/>
      <c r="EJ21" s="17"/>
      <c r="EK21" s="17"/>
      <c r="EL21" s="17"/>
      <c r="EM21" s="17"/>
      <c r="EN21" s="17"/>
      <c r="EO21" s="17"/>
      <c r="EP21" s="17"/>
      <c r="EQ21" s="189"/>
      <c r="ER21" s="189"/>
      <c r="ES21" s="189"/>
      <c r="ET21" s="189"/>
      <c r="EU21" s="189"/>
      <c r="EV21" s="189"/>
      <c r="EW21" s="189"/>
      <c r="EX21" s="189"/>
      <c r="EY21" s="189"/>
      <c r="EZ21" s="189"/>
      <c r="FA21" s="189"/>
      <c r="FB21" s="189"/>
      <c r="FC21" s="189"/>
      <c r="FD21" s="17"/>
      <c r="FE21" s="17"/>
      <c r="FF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X21" s="80">
        <v>1</v>
      </c>
      <c r="FY21" s="17">
        <f t="shared" si="142"/>
        <v>20</v>
      </c>
      <c r="FZ21" s="17">
        <f t="shared" si="35"/>
        <v>20</v>
      </c>
      <c r="GA21" s="17">
        <f t="shared" si="36"/>
        <v>0</v>
      </c>
      <c r="GB21" s="17">
        <f t="shared" si="37"/>
        <v>0</v>
      </c>
      <c r="GC21" s="17">
        <f t="shared" si="38"/>
        <v>0</v>
      </c>
      <c r="GD21" s="17">
        <f t="shared" si="39"/>
        <v>0</v>
      </c>
      <c r="GE21" s="17">
        <f t="shared" si="40"/>
        <v>0</v>
      </c>
      <c r="GF21" s="67"/>
      <c r="GG21" s="17">
        <v>0</v>
      </c>
      <c r="GH21" s="17">
        <v>0</v>
      </c>
      <c r="GI21" s="67"/>
      <c r="GJ21" s="62">
        <f t="shared" si="143"/>
        <v>0</v>
      </c>
      <c r="GK21" s="62">
        <f t="shared" si="144"/>
        <v>0</v>
      </c>
      <c r="GO21" s="17">
        <f t="shared" si="41"/>
        <v>0</v>
      </c>
      <c r="GP21" s="17">
        <f t="shared" si="42"/>
        <v>0</v>
      </c>
      <c r="GQ21" s="17">
        <f t="shared" si="43"/>
        <v>0</v>
      </c>
      <c r="GR21" s="17">
        <f t="shared" si="44"/>
        <v>0</v>
      </c>
      <c r="GS21" s="17">
        <f t="shared" si="45"/>
        <v>0</v>
      </c>
      <c r="GT21" s="17">
        <f t="shared" si="145"/>
        <v>1</v>
      </c>
      <c r="GU21" s="101">
        <f t="shared" si="146"/>
        <v>43243</v>
      </c>
      <c r="GV21" s="17" t="str">
        <f t="shared" si="147"/>
        <v>SELESAI</v>
      </c>
      <c r="GW21" s="17">
        <f t="shared" si="148"/>
        <v>0</v>
      </c>
      <c r="GX21" s="66" t="str">
        <f t="shared" si="149"/>
        <v>SELESAI</v>
      </c>
      <c r="GY21" s="66">
        <f t="shared" si="150"/>
        <v>0</v>
      </c>
      <c r="GZ21" s="102" t="str">
        <f t="shared" si="151"/>
        <v>SELESAI</v>
      </c>
      <c r="HA21" s="83"/>
      <c r="HB21" s="83"/>
      <c r="HC21" s="17">
        <f t="shared" si="46"/>
        <v>0</v>
      </c>
      <c r="HD21" s="17">
        <f t="shared" si="47"/>
        <v>0</v>
      </c>
      <c r="HE21" s="17">
        <f t="shared" si="152"/>
        <v>0</v>
      </c>
      <c r="HF21" s="17">
        <f t="shared" si="153"/>
        <v>0</v>
      </c>
      <c r="HG21" s="17">
        <f t="shared" si="154"/>
        <v>0</v>
      </c>
      <c r="HH21" s="101" t="str">
        <f t="shared" si="48"/>
        <v>TIDAK KONSINYASI</v>
      </c>
      <c r="HI21" s="101" t="str">
        <f t="shared" si="155"/>
        <v>SELESAI</v>
      </c>
      <c r="HJ21" s="27"/>
      <c r="HK21" s="101">
        <f t="shared" si="49"/>
        <v>0</v>
      </c>
      <c r="HL21" s="83"/>
      <c r="HM21" s="83"/>
      <c r="HN21" s="83"/>
      <c r="HO21" s="83"/>
      <c r="HP21" s="102">
        <f t="shared" si="156"/>
        <v>0</v>
      </c>
      <c r="HQ21" s="66">
        <f t="shared" si="157"/>
        <v>0</v>
      </c>
      <c r="HR21" s="66">
        <f t="shared" si="50"/>
        <v>0</v>
      </c>
      <c r="HS21" s="102">
        <f t="shared" si="158"/>
        <v>0</v>
      </c>
      <c r="HT21" s="66">
        <f t="shared" si="159"/>
        <v>0</v>
      </c>
      <c r="HU21" s="66">
        <f t="shared" si="51"/>
        <v>0</v>
      </c>
      <c r="HV21" s="102">
        <f t="shared" si="160"/>
        <v>0</v>
      </c>
      <c r="HW21" s="66">
        <f t="shared" si="52"/>
        <v>0</v>
      </c>
      <c r="HX21" s="66">
        <f t="shared" si="53"/>
        <v>0</v>
      </c>
      <c r="HY21" s="102">
        <f t="shared" si="54"/>
        <v>0</v>
      </c>
      <c r="HZ21" s="66">
        <f t="shared" si="161"/>
        <v>0</v>
      </c>
      <c r="IA21" s="66">
        <f t="shared" si="55"/>
        <v>0</v>
      </c>
      <c r="IB21" s="102">
        <f t="shared" si="162"/>
        <v>0</v>
      </c>
      <c r="IC21" s="66">
        <f t="shared" si="56"/>
        <v>0</v>
      </c>
      <c r="ID21" s="66">
        <f t="shared" si="57"/>
        <v>0</v>
      </c>
      <c r="IE21" s="102">
        <f t="shared" si="58"/>
        <v>0</v>
      </c>
      <c r="IF21" s="66">
        <f t="shared" si="59"/>
        <v>0</v>
      </c>
      <c r="IG21" s="66">
        <f t="shared" si="60"/>
        <v>0</v>
      </c>
      <c r="IH21" s="102">
        <f t="shared" si="163"/>
        <v>0</v>
      </c>
      <c r="II21" s="66">
        <f t="shared" si="164"/>
        <v>0</v>
      </c>
      <c r="IJ21" s="66">
        <f t="shared" si="61"/>
        <v>0</v>
      </c>
      <c r="IK21" s="102">
        <f t="shared" si="62"/>
        <v>0</v>
      </c>
      <c r="IL21" s="66">
        <f t="shared" si="63"/>
        <v>0</v>
      </c>
      <c r="IM21" s="66">
        <f t="shared" si="64"/>
        <v>0</v>
      </c>
      <c r="IN21" s="83"/>
      <c r="IO21" s="102">
        <f t="shared" si="65"/>
        <v>0</v>
      </c>
      <c r="IP21" s="66">
        <f t="shared" si="66"/>
        <v>0</v>
      </c>
      <c r="IQ21" s="66">
        <f t="shared" si="67"/>
        <v>0</v>
      </c>
      <c r="IR21" s="83"/>
      <c r="IS21" s="102"/>
      <c r="IT21" s="66">
        <f t="shared" si="68"/>
        <v>1</v>
      </c>
      <c r="IU21" s="66">
        <f t="shared" si="69"/>
        <v>66</v>
      </c>
      <c r="IV21" s="83"/>
      <c r="IW21" s="102"/>
      <c r="IX21" s="66">
        <f t="shared" si="70"/>
        <v>0</v>
      </c>
      <c r="IY21" s="66">
        <f t="shared" si="71"/>
        <v>0</v>
      </c>
      <c r="IZ21" s="83"/>
      <c r="JA21" s="102"/>
      <c r="JB21" s="66">
        <f t="shared" si="72"/>
        <v>0</v>
      </c>
      <c r="JC21" s="66">
        <f t="shared" si="73"/>
        <v>0</v>
      </c>
      <c r="JD21" s="83"/>
      <c r="JE21" s="102"/>
      <c r="JF21" s="66">
        <f t="shared" si="165"/>
        <v>1</v>
      </c>
      <c r="JG21" s="66">
        <f t="shared" si="74"/>
        <v>66</v>
      </c>
      <c r="JH21" s="83"/>
      <c r="JI21" s="102"/>
      <c r="JJ21" s="66">
        <f t="shared" si="75"/>
        <v>0</v>
      </c>
      <c r="JK21" s="66">
        <f t="shared" si="76"/>
        <v>0</v>
      </c>
      <c r="JM21" s="102">
        <f t="shared" si="166"/>
        <v>0</v>
      </c>
      <c r="JO21" s="29">
        <f t="shared" si="77"/>
        <v>1</v>
      </c>
      <c r="JP21" s="122">
        <f t="shared" si="78"/>
        <v>20</v>
      </c>
      <c r="JQ21" s="122">
        <f t="shared" si="79"/>
        <v>1</v>
      </c>
      <c r="JR21" s="122">
        <f t="shared" si="80"/>
        <v>0</v>
      </c>
      <c r="JS21" s="122">
        <f t="shared" si="81"/>
        <v>0</v>
      </c>
      <c r="JT21" s="122">
        <f t="shared" si="82"/>
        <v>0</v>
      </c>
      <c r="JU21" s="122">
        <f t="shared" si="83"/>
        <v>0</v>
      </c>
      <c r="JV21" s="122">
        <f t="shared" si="84"/>
        <v>0</v>
      </c>
      <c r="JW21" s="122">
        <f t="shared" si="85"/>
        <v>0</v>
      </c>
      <c r="JX21" s="122">
        <f t="shared" si="86"/>
        <v>0</v>
      </c>
      <c r="JY21" s="122">
        <f t="shared" si="87"/>
        <v>0</v>
      </c>
      <c r="JZ21" s="122">
        <f t="shared" si="88"/>
        <v>0</v>
      </c>
      <c r="KA21" s="122">
        <f t="shared" si="89"/>
        <v>0</v>
      </c>
      <c r="KB21" s="122">
        <f t="shared" si="90"/>
        <v>0</v>
      </c>
      <c r="KD21" s="122">
        <f t="shared" si="167"/>
        <v>0</v>
      </c>
      <c r="KE21" s="122">
        <f t="shared" si="92"/>
        <v>0</v>
      </c>
      <c r="KF21" s="122">
        <f t="shared" si="93"/>
        <v>20</v>
      </c>
      <c r="KG21" s="122">
        <f t="shared" si="94"/>
        <v>20</v>
      </c>
      <c r="KH21" s="122">
        <f t="shared" si="95"/>
        <v>0</v>
      </c>
      <c r="KI21" s="122">
        <f t="shared" si="96"/>
        <v>0</v>
      </c>
      <c r="KJ21" s="122">
        <f t="shared" si="97"/>
        <v>0</v>
      </c>
      <c r="KK21" s="122">
        <f t="shared" si="98"/>
        <v>0</v>
      </c>
      <c r="KL21" s="122">
        <f t="shared" si="99"/>
        <v>0</v>
      </c>
      <c r="KM21" s="122">
        <f t="shared" si="100"/>
        <v>0</v>
      </c>
      <c r="KN21" s="123">
        <f t="shared" si="101"/>
        <v>0</v>
      </c>
      <c r="KO21" s="123">
        <f t="shared" si="102"/>
        <v>0</v>
      </c>
      <c r="KP21" s="123">
        <f t="shared" si="103"/>
        <v>0</v>
      </c>
      <c r="KQ21" s="123">
        <f t="shared" si="104"/>
        <v>0</v>
      </c>
      <c r="KR21" s="123">
        <f t="shared" si="105"/>
        <v>0</v>
      </c>
      <c r="KT21">
        <f t="shared" si="106"/>
        <v>0</v>
      </c>
      <c r="KU21" s="123"/>
      <c r="KV21" s="123"/>
      <c r="KW21" s="123"/>
      <c r="KX21" s="123"/>
      <c r="KY21" s="123"/>
      <c r="KZ21" s="123"/>
      <c r="LA21" s="123"/>
      <c r="LB21" s="123"/>
      <c r="LC21" s="123"/>
      <c r="LD21" s="123"/>
      <c r="LE21" s="123"/>
      <c r="LF21" s="123"/>
      <c r="LG21" s="123"/>
      <c r="LH21" s="123"/>
      <c r="LI21" s="123"/>
      <c r="LJ21" s="123"/>
      <c r="LK21" s="123"/>
      <c r="LL21" s="123"/>
      <c r="LM21" s="123"/>
      <c r="LN21" s="123"/>
      <c r="LO21" s="123"/>
      <c r="LP21" s="123"/>
      <c r="LQ21" s="123"/>
      <c r="LR21" s="123"/>
      <c r="LS21" s="123"/>
      <c r="LT21" s="123"/>
      <c r="LU21" s="123"/>
      <c r="LV21" s="123"/>
      <c r="LW21" s="123"/>
      <c r="LX21" s="123"/>
      <c r="LY21" s="123"/>
      <c r="LZ21" s="123"/>
      <c r="MA21" s="123"/>
      <c r="MB21" s="123"/>
      <c r="MC21" s="123"/>
      <c r="MD21" s="123"/>
      <c r="ME21" s="123"/>
      <c r="MF21" s="123"/>
      <c r="MG21" s="123"/>
      <c r="MH21" s="123"/>
      <c r="MI21" s="123"/>
      <c r="MJ21" s="123"/>
      <c r="MK21" s="123"/>
      <c r="ML21" s="123"/>
      <c r="MM21" s="123"/>
      <c r="MN21" s="123"/>
      <c r="MO21" s="123"/>
      <c r="MP21" s="123"/>
      <c r="MQ21" s="123"/>
      <c r="MR21" s="123"/>
      <c r="MS21" s="123"/>
      <c r="MT21" s="123"/>
      <c r="MU21" s="123"/>
      <c r="MV21" s="123"/>
      <c r="MW21" s="123"/>
      <c r="MX21" s="123"/>
      <c r="MY21" s="123"/>
      <c r="MZ21" s="123"/>
      <c r="NA21" s="123"/>
      <c r="NB21" s="123"/>
      <c r="NC21" s="123"/>
      <c r="ND21" s="123"/>
      <c r="NE21" s="123"/>
      <c r="NF21" s="123"/>
      <c r="NG21" s="123"/>
      <c r="NH21" s="123"/>
      <c r="NI21" s="123"/>
      <c r="NJ21" s="123"/>
      <c r="NK21" s="123"/>
      <c r="NM21">
        <f t="shared" si="168"/>
        <v>0</v>
      </c>
      <c r="NN21">
        <f t="shared" si="169"/>
        <v>0</v>
      </c>
      <c r="NO21">
        <f t="shared" si="170"/>
        <v>0</v>
      </c>
      <c r="NP21">
        <f t="shared" si="171"/>
        <v>0</v>
      </c>
      <c r="NQ21">
        <f t="shared" si="172"/>
        <v>0</v>
      </c>
      <c r="NR21">
        <f t="shared" si="173"/>
        <v>0</v>
      </c>
      <c r="NS21">
        <f t="shared" si="174"/>
        <v>0</v>
      </c>
      <c r="NT21">
        <f t="shared" si="175"/>
        <v>0</v>
      </c>
      <c r="NU21" s="29">
        <f t="shared" si="176"/>
        <v>0</v>
      </c>
      <c r="NY21" s="17">
        <f t="shared" si="108"/>
        <v>1</v>
      </c>
      <c r="NZ21" s="152">
        <v>7644000</v>
      </c>
      <c r="OE21" s="155">
        <f t="shared" si="109"/>
        <v>0</v>
      </c>
      <c r="OF21" s="155">
        <f t="shared" si="110"/>
        <v>0</v>
      </c>
      <c r="OG21" s="155">
        <f t="shared" si="111"/>
        <v>0</v>
      </c>
      <c r="OH21" s="155">
        <f t="shared" si="177"/>
        <v>0</v>
      </c>
      <c r="OI21" s="155">
        <f t="shared" si="112"/>
        <v>0</v>
      </c>
      <c r="OJ21" s="67">
        <f t="shared" si="178"/>
        <v>0</v>
      </c>
      <c r="OK21" s="67">
        <f t="shared" si="179"/>
        <v>0</v>
      </c>
      <c r="OL21" s="67">
        <f t="shared" si="180"/>
        <v>0</v>
      </c>
      <c r="OM21" s="67">
        <f t="shared" si="181"/>
        <v>0</v>
      </c>
      <c r="OO21" s="155">
        <f t="shared" si="113"/>
        <v>0</v>
      </c>
      <c r="OP21" s="155">
        <f t="shared" si="114"/>
        <v>0</v>
      </c>
      <c r="OQ21" s="155">
        <f t="shared" si="182"/>
        <v>0</v>
      </c>
      <c r="OR21" s="155">
        <f t="shared" si="183"/>
        <v>0</v>
      </c>
      <c r="OS21" s="155">
        <f t="shared" si="184"/>
        <v>0</v>
      </c>
      <c r="OT21" s="67">
        <f t="shared" si="185"/>
        <v>0</v>
      </c>
      <c r="OU21" s="67">
        <f t="shared" si="186"/>
        <v>0</v>
      </c>
      <c r="OV21" s="67">
        <f t="shared" si="187"/>
        <v>0</v>
      </c>
      <c r="OW21" s="67">
        <f t="shared" si="188"/>
        <v>0</v>
      </c>
      <c r="OZ21" s="163">
        <f t="shared" si="115"/>
        <v>0</v>
      </c>
      <c r="PA21" s="166"/>
      <c r="PB21" s="166"/>
      <c r="PC21" s="166"/>
      <c r="PD21" s="210">
        <f t="shared" si="116"/>
        <v>0</v>
      </c>
      <c r="PE21" s="210"/>
      <c r="PF21" s="210">
        <f t="shared" si="117"/>
        <v>0</v>
      </c>
      <c r="PG21" s="210">
        <f t="shared" si="118"/>
        <v>0</v>
      </c>
      <c r="PH21" s="210">
        <f t="shared" si="118"/>
        <v>0</v>
      </c>
      <c r="PI21" s="210">
        <f t="shared" si="118"/>
        <v>0</v>
      </c>
      <c r="PJ21" s="210">
        <f t="shared" si="118"/>
        <v>0</v>
      </c>
      <c r="PK21" s="210">
        <f t="shared" si="118"/>
        <v>0</v>
      </c>
      <c r="PL21" s="210">
        <f t="shared" si="118"/>
        <v>0</v>
      </c>
      <c r="PM21" s="164"/>
      <c r="PN21" s="164"/>
      <c r="PO21" s="172">
        <f t="shared" si="189"/>
        <v>0</v>
      </c>
      <c r="PP21" s="172">
        <f t="shared" si="190"/>
        <v>0</v>
      </c>
      <c r="PQ21" s="172">
        <f t="shared" si="191"/>
        <v>0</v>
      </c>
      <c r="PR21" s="164"/>
      <c r="PS21" s="164"/>
      <c r="PT21" s="164"/>
      <c r="PU21" s="164"/>
    </row>
    <row r="22" spans="1:437" ht="16" x14ac:dyDescent="0.2">
      <c r="A22" s="19">
        <f t="shared" si="192"/>
        <v>14</v>
      </c>
      <c r="B22" s="138" t="s">
        <v>151</v>
      </c>
      <c r="C22" s="138">
        <v>18</v>
      </c>
      <c r="D22" s="20">
        <v>1</v>
      </c>
      <c r="E22" s="20">
        <v>180</v>
      </c>
      <c r="F22" s="20">
        <v>1</v>
      </c>
      <c r="G22" s="20">
        <f t="shared" si="119"/>
        <v>180</v>
      </c>
      <c r="H22" s="137">
        <f t="shared" si="2"/>
        <v>1</v>
      </c>
      <c r="I22" s="137">
        <f t="shared" si="3"/>
        <v>1</v>
      </c>
      <c r="J22" s="20">
        <v>1</v>
      </c>
      <c r="K22" s="20">
        <f t="shared" si="4"/>
        <v>180</v>
      </c>
      <c r="L22" s="137">
        <f t="shared" si="5"/>
        <v>1</v>
      </c>
      <c r="M22" s="137">
        <f t="shared" si="6"/>
        <v>1</v>
      </c>
      <c r="N22" s="20">
        <v>1</v>
      </c>
      <c r="O22" s="20">
        <f t="shared" si="7"/>
        <v>180</v>
      </c>
      <c r="P22" s="137">
        <f t="shared" si="8"/>
        <v>1</v>
      </c>
      <c r="Q22" s="137">
        <f t="shared" si="9"/>
        <v>1</v>
      </c>
      <c r="R22" s="20">
        <v>1</v>
      </c>
      <c r="S22" s="20">
        <f t="shared" si="10"/>
        <v>180</v>
      </c>
      <c r="T22" s="137">
        <f t="shared" si="11"/>
        <v>1</v>
      </c>
      <c r="U22" s="137">
        <f t="shared" si="12"/>
        <v>1</v>
      </c>
      <c r="V22" s="20">
        <v>1</v>
      </c>
      <c r="W22" s="20">
        <f t="shared" si="13"/>
        <v>180</v>
      </c>
      <c r="X22" s="137">
        <f t="shared" si="14"/>
        <v>1</v>
      </c>
      <c r="Y22" s="137">
        <f t="shared" si="15"/>
        <v>1</v>
      </c>
      <c r="Z22" s="144">
        <f>1954226000/1000000000</f>
        <v>1.954226</v>
      </c>
      <c r="AA22" s="188"/>
      <c r="AB22" s="189">
        <f t="shared" si="120"/>
        <v>0</v>
      </c>
      <c r="AC22" s="250">
        <f t="shared" si="121"/>
        <v>0</v>
      </c>
      <c r="AD22" s="250">
        <f t="shared" si="122"/>
        <v>0</v>
      </c>
      <c r="AE22" s="224"/>
      <c r="AF22" s="188">
        <f t="shared" si="123"/>
        <v>0</v>
      </c>
      <c r="AG22" s="188"/>
      <c r="AH22" s="20"/>
      <c r="AI22" s="20">
        <v>0</v>
      </c>
      <c r="AJ22" s="20">
        <f t="shared" si="18"/>
        <v>0</v>
      </c>
      <c r="AK22" s="20"/>
      <c r="AL22" s="20">
        <v>0</v>
      </c>
      <c r="AM22" s="20">
        <v>0</v>
      </c>
      <c r="AN22" s="139"/>
      <c r="BB22" s="20">
        <f t="shared" si="124"/>
        <v>0</v>
      </c>
      <c r="BE22" s="20">
        <f t="shared" si="19"/>
        <v>0</v>
      </c>
      <c r="BF22" s="20">
        <f t="shared" si="20"/>
        <v>0</v>
      </c>
      <c r="BG22" s="20">
        <f t="shared" si="21"/>
        <v>0</v>
      </c>
      <c r="BH22" s="20">
        <f t="shared" si="22"/>
        <v>0</v>
      </c>
      <c r="BI22" s="20">
        <f t="shared" si="23"/>
        <v>0</v>
      </c>
      <c r="BJ22" s="20">
        <f t="shared" si="24"/>
        <v>0</v>
      </c>
      <c r="BK22" s="20">
        <f t="shared" si="125"/>
        <v>0</v>
      </c>
      <c r="BN22" s="284">
        <v>94</v>
      </c>
      <c r="BO22">
        <v>1</v>
      </c>
      <c r="BP22" s="139"/>
      <c r="BQ22" s="139"/>
      <c r="BR22" s="139"/>
      <c r="BS22" s="139"/>
      <c r="BT22" s="139"/>
      <c r="BU22" s="139"/>
      <c r="BV22" s="139"/>
      <c r="BW22" s="139"/>
      <c r="BX22" s="139"/>
      <c r="BY22" s="139"/>
      <c r="BZ22" s="139"/>
      <c r="CB22" s="139"/>
      <c r="CD22" s="17">
        <f t="shared" si="126"/>
        <v>94</v>
      </c>
      <c r="CE22" s="17">
        <f t="shared" si="127"/>
        <v>94</v>
      </c>
      <c r="CF22" s="139">
        <f t="shared" si="128"/>
        <v>0</v>
      </c>
      <c r="CG22" s="139">
        <f t="shared" si="129"/>
        <v>0</v>
      </c>
      <c r="CH22" s="139">
        <f t="shared" si="130"/>
        <v>0</v>
      </c>
      <c r="CI22" s="139">
        <f t="shared" si="131"/>
        <v>0</v>
      </c>
      <c r="CJ22" s="139">
        <f t="shared" si="132"/>
        <v>0</v>
      </c>
      <c r="CK22" s="139">
        <f t="shared" si="133"/>
        <v>0</v>
      </c>
      <c r="CL22" s="139">
        <f t="shared" si="134"/>
        <v>0</v>
      </c>
      <c r="CM22" s="139">
        <f t="shared" si="135"/>
        <v>0</v>
      </c>
      <c r="CN22" s="139">
        <f t="shared" si="136"/>
        <v>0</v>
      </c>
      <c r="CO22" s="139">
        <f t="shared" si="137"/>
        <v>0</v>
      </c>
      <c r="CP22" s="139">
        <f t="shared" si="138"/>
        <v>0</v>
      </c>
      <c r="CQ22" s="148">
        <f t="shared" si="27"/>
        <v>0</v>
      </c>
      <c r="DV22" s="139">
        <f t="shared" si="28"/>
        <v>0</v>
      </c>
      <c r="DW22" s="139">
        <f t="shared" si="29"/>
        <v>0</v>
      </c>
      <c r="DX22" s="139">
        <f t="shared" si="30"/>
        <v>0</v>
      </c>
      <c r="DY22" s="139">
        <f t="shared" si="31"/>
        <v>0</v>
      </c>
      <c r="DZ22" s="139">
        <f t="shared" si="32"/>
        <v>0</v>
      </c>
      <c r="EA22" s="139">
        <f t="shared" si="33"/>
        <v>0</v>
      </c>
      <c r="EB22" s="139">
        <f t="shared" si="139"/>
        <v>0</v>
      </c>
      <c r="EG22" s="57">
        <f t="shared" si="140"/>
        <v>0</v>
      </c>
      <c r="EH22" s="57">
        <f t="shared" si="141"/>
        <v>0</v>
      </c>
      <c r="EI22" s="17"/>
      <c r="EJ22" s="17"/>
      <c r="EK22" s="17"/>
      <c r="EL22" s="17"/>
      <c r="EM22" s="17"/>
      <c r="EN22" s="17"/>
      <c r="EO22" s="17"/>
      <c r="EP22" s="17"/>
      <c r="EQ22" s="189"/>
      <c r="ER22" s="189"/>
      <c r="ES22" s="189"/>
      <c r="ET22" s="189"/>
      <c r="EU22" s="189"/>
      <c r="EV22" s="189"/>
      <c r="EW22" s="189"/>
      <c r="EX22" s="189"/>
      <c r="EY22" s="189"/>
      <c r="EZ22" s="189"/>
      <c r="FA22" s="189"/>
      <c r="FB22" s="189"/>
      <c r="FC22" s="189"/>
      <c r="FD22" s="17"/>
      <c r="FE22" s="17"/>
      <c r="FF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X22" s="80">
        <v>1</v>
      </c>
      <c r="FY22" s="17">
        <f t="shared" si="142"/>
        <v>94</v>
      </c>
      <c r="FZ22" s="17">
        <f t="shared" si="35"/>
        <v>94</v>
      </c>
      <c r="GA22" s="17">
        <f t="shared" si="36"/>
        <v>0</v>
      </c>
      <c r="GB22" s="17">
        <f t="shared" si="37"/>
        <v>0</v>
      </c>
      <c r="GC22" s="17">
        <f t="shared" si="38"/>
        <v>0</v>
      </c>
      <c r="GD22" s="17">
        <f t="shared" si="39"/>
        <v>0</v>
      </c>
      <c r="GE22" s="17">
        <f t="shared" si="40"/>
        <v>0</v>
      </c>
      <c r="GF22" s="67"/>
      <c r="GG22" s="17">
        <v>0</v>
      </c>
      <c r="GH22" s="17">
        <v>0</v>
      </c>
      <c r="GI22" s="67"/>
      <c r="GJ22" s="62">
        <f t="shared" si="143"/>
        <v>0</v>
      </c>
      <c r="GK22" s="62">
        <f t="shared" si="144"/>
        <v>0</v>
      </c>
      <c r="GO22" s="17">
        <f t="shared" si="41"/>
        <v>0</v>
      </c>
      <c r="GP22" s="17">
        <f t="shared" si="42"/>
        <v>0</v>
      </c>
      <c r="GQ22" s="17">
        <f t="shared" si="43"/>
        <v>0</v>
      </c>
      <c r="GR22" s="17">
        <f t="shared" si="44"/>
        <v>0</v>
      </c>
      <c r="GS22" s="17">
        <f t="shared" si="45"/>
        <v>0</v>
      </c>
      <c r="GT22" s="17">
        <f t="shared" si="145"/>
        <v>1</v>
      </c>
      <c r="GU22" s="101">
        <f t="shared" si="146"/>
        <v>43243</v>
      </c>
      <c r="GV22" s="17" t="str">
        <f t="shared" si="147"/>
        <v>SELESAI</v>
      </c>
      <c r="GW22" s="17">
        <f t="shared" si="148"/>
        <v>0</v>
      </c>
      <c r="GX22" s="66" t="str">
        <f t="shared" si="149"/>
        <v>SELESAI</v>
      </c>
      <c r="GY22" s="66">
        <f t="shared" si="150"/>
        <v>0</v>
      </c>
      <c r="GZ22" s="102" t="str">
        <f t="shared" si="151"/>
        <v>SELESAI</v>
      </c>
      <c r="HA22" s="83"/>
      <c r="HB22" s="83"/>
      <c r="HC22" s="17">
        <f t="shared" si="46"/>
        <v>0</v>
      </c>
      <c r="HD22" s="17">
        <f t="shared" si="47"/>
        <v>0</v>
      </c>
      <c r="HE22" s="17">
        <f t="shared" si="152"/>
        <v>0</v>
      </c>
      <c r="HF22" s="17">
        <f t="shared" si="153"/>
        <v>0</v>
      </c>
      <c r="HG22" s="17">
        <f t="shared" si="154"/>
        <v>0</v>
      </c>
      <c r="HH22" s="101" t="str">
        <f t="shared" si="48"/>
        <v>TIDAK KONSINYASI</v>
      </c>
      <c r="HI22" s="101" t="str">
        <f t="shared" si="155"/>
        <v>SELESAI</v>
      </c>
      <c r="HJ22" s="27"/>
      <c r="HK22" s="101">
        <f t="shared" si="49"/>
        <v>0</v>
      </c>
      <c r="HL22" s="83"/>
      <c r="HM22" s="83"/>
      <c r="HN22" s="83"/>
      <c r="HO22" s="83"/>
      <c r="HP22" s="102">
        <f t="shared" si="156"/>
        <v>0</v>
      </c>
      <c r="HQ22" s="66">
        <f t="shared" si="157"/>
        <v>0</v>
      </c>
      <c r="HR22" s="66">
        <f t="shared" si="50"/>
        <v>0</v>
      </c>
      <c r="HS22" s="102">
        <f t="shared" si="158"/>
        <v>0</v>
      </c>
      <c r="HT22" s="66">
        <f t="shared" si="159"/>
        <v>0</v>
      </c>
      <c r="HU22" s="66">
        <f t="shared" si="51"/>
        <v>0</v>
      </c>
      <c r="HV22" s="102">
        <f t="shared" si="160"/>
        <v>0</v>
      </c>
      <c r="HW22" s="66">
        <f t="shared" si="52"/>
        <v>0</v>
      </c>
      <c r="HX22" s="66">
        <f t="shared" si="53"/>
        <v>0</v>
      </c>
      <c r="HY22" s="102">
        <f t="shared" si="54"/>
        <v>0</v>
      </c>
      <c r="HZ22" s="66">
        <f t="shared" si="161"/>
        <v>0</v>
      </c>
      <c r="IA22" s="66">
        <f t="shared" si="55"/>
        <v>0</v>
      </c>
      <c r="IB22" s="102">
        <f t="shared" si="162"/>
        <v>0</v>
      </c>
      <c r="IC22" s="66">
        <f t="shared" si="56"/>
        <v>0</v>
      </c>
      <c r="ID22" s="66">
        <f t="shared" si="57"/>
        <v>0</v>
      </c>
      <c r="IE22" s="102">
        <f t="shared" si="58"/>
        <v>0</v>
      </c>
      <c r="IF22" s="66">
        <f t="shared" si="59"/>
        <v>0</v>
      </c>
      <c r="IG22" s="66">
        <f t="shared" si="60"/>
        <v>0</v>
      </c>
      <c r="IH22" s="102">
        <f t="shared" si="163"/>
        <v>0</v>
      </c>
      <c r="II22" s="66">
        <f t="shared" si="164"/>
        <v>0</v>
      </c>
      <c r="IJ22" s="66">
        <f t="shared" si="61"/>
        <v>0</v>
      </c>
      <c r="IK22" s="102">
        <f t="shared" si="62"/>
        <v>0</v>
      </c>
      <c r="IL22" s="66">
        <f t="shared" si="63"/>
        <v>0</v>
      </c>
      <c r="IM22" s="66">
        <f t="shared" si="64"/>
        <v>0</v>
      </c>
      <c r="IN22" s="83"/>
      <c r="IO22" s="102">
        <f t="shared" si="65"/>
        <v>0</v>
      </c>
      <c r="IP22" s="66">
        <f t="shared" si="66"/>
        <v>0</v>
      </c>
      <c r="IQ22" s="66">
        <f t="shared" si="67"/>
        <v>0</v>
      </c>
      <c r="IR22" s="83"/>
      <c r="IS22" s="102"/>
      <c r="IT22" s="66">
        <f t="shared" si="68"/>
        <v>1</v>
      </c>
      <c r="IU22" s="66">
        <f t="shared" si="69"/>
        <v>180</v>
      </c>
      <c r="IV22" s="83"/>
      <c r="IW22" s="102"/>
      <c r="IX22" s="66">
        <f t="shared" si="70"/>
        <v>0</v>
      </c>
      <c r="IY22" s="66">
        <f t="shared" si="71"/>
        <v>0</v>
      </c>
      <c r="IZ22" s="83"/>
      <c r="JA22" s="102"/>
      <c r="JB22" s="66">
        <f t="shared" si="72"/>
        <v>0</v>
      </c>
      <c r="JC22" s="66">
        <f t="shared" si="73"/>
        <v>0</v>
      </c>
      <c r="JD22" s="83"/>
      <c r="JE22" s="102"/>
      <c r="JF22" s="66">
        <f t="shared" si="165"/>
        <v>1</v>
      </c>
      <c r="JG22" s="66">
        <f t="shared" si="74"/>
        <v>180</v>
      </c>
      <c r="JH22" s="83"/>
      <c r="JI22" s="102"/>
      <c r="JJ22" s="66">
        <f t="shared" si="75"/>
        <v>0</v>
      </c>
      <c r="JK22" s="66">
        <f t="shared" si="76"/>
        <v>0</v>
      </c>
      <c r="JM22" s="102">
        <f t="shared" si="166"/>
        <v>0</v>
      </c>
      <c r="JO22" s="29">
        <f t="shared" si="77"/>
        <v>1</v>
      </c>
      <c r="JP22" s="122">
        <f t="shared" si="78"/>
        <v>94</v>
      </c>
      <c r="JQ22" s="122">
        <f t="shared" si="79"/>
        <v>1</v>
      </c>
      <c r="JR22" s="122">
        <f t="shared" si="80"/>
        <v>0</v>
      </c>
      <c r="JS22" s="122">
        <f t="shared" si="81"/>
        <v>0</v>
      </c>
      <c r="JT22" s="122">
        <f t="shared" si="82"/>
        <v>0</v>
      </c>
      <c r="JU22" s="122">
        <f t="shared" si="83"/>
        <v>0</v>
      </c>
      <c r="JV22" s="122">
        <f t="shared" si="84"/>
        <v>0</v>
      </c>
      <c r="JW22" s="122">
        <f t="shared" si="85"/>
        <v>0</v>
      </c>
      <c r="JX22" s="122">
        <f t="shared" si="86"/>
        <v>0</v>
      </c>
      <c r="JY22" s="122">
        <f t="shared" si="87"/>
        <v>0</v>
      </c>
      <c r="JZ22" s="122">
        <f t="shared" si="88"/>
        <v>0</v>
      </c>
      <c r="KA22" s="122">
        <f t="shared" si="89"/>
        <v>0</v>
      </c>
      <c r="KB22" s="122">
        <f t="shared" si="90"/>
        <v>0</v>
      </c>
      <c r="KD22" s="122">
        <f t="shared" si="167"/>
        <v>0</v>
      </c>
      <c r="KE22" s="122">
        <f t="shared" si="92"/>
        <v>0</v>
      </c>
      <c r="KF22" s="122">
        <f t="shared" si="93"/>
        <v>94</v>
      </c>
      <c r="KG22" s="122">
        <f t="shared" si="94"/>
        <v>94</v>
      </c>
      <c r="KH22" s="122">
        <f t="shared" si="95"/>
        <v>0</v>
      </c>
      <c r="KI22" s="122">
        <f t="shared" si="96"/>
        <v>0</v>
      </c>
      <c r="KJ22" s="122">
        <f t="shared" si="97"/>
        <v>0</v>
      </c>
      <c r="KK22" s="122">
        <f t="shared" si="98"/>
        <v>0</v>
      </c>
      <c r="KL22" s="122">
        <f t="shared" si="99"/>
        <v>0</v>
      </c>
      <c r="KM22" s="122">
        <f t="shared" si="100"/>
        <v>0</v>
      </c>
      <c r="KN22" s="123">
        <f t="shared" si="101"/>
        <v>0</v>
      </c>
      <c r="KO22" s="123">
        <f t="shared" si="102"/>
        <v>0</v>
      </c>
      <c r="KP22" s="123">
        <f t="shared" si="103"/>
        <v>0</v>
      </c>
      <c r="KQ22" s="123">
        <f t="shared" si="104"/>
        <v>0</v>
      </c>
      <c r="KR22" s="123">
        <f t="shared" si="105"/>
        <v>0</v>
      </c>
      <c r="KT22">
        <f t="shared" si="106"/>
        <v>0</v>
      </c>
      <c r="KU22" s="123"/>
      <c r="KV22" s="123"/>
      <c r="KW22" s="123"/>
      <c r="KX22" s="123"/>
      <c r="KY22" s="123"/>
      <c r="KZ22" s="123"/>
      <c r="LA22" s="123"/>
      <c r="LB22" s="123"/>
      <c r="LC22" s="123"/>
      <c r="LD22" s="123"/>
      <c r="LE22" s="123"/>
      <c r="LF22" s="123"/>
      <c r="LG22" s="123"/>
      <c r="LH22" s="123"/>
      <c r="LI22" s="123"/>
      <c r="LJ22" s="123"/>
      <c r="LK22" s="123"/>
      <c r="LL22" s="123"/>
      <c r="LM22" s="123"/>
      <c r="LN22" s="123"/>
      <c r="LO22" s="123"/>
      <c r="LP22" s="123"/>
      <c r="LQ22" s="123"/>
      <c r="LR22" s="123"/>
      <c r="LS22" s="123"/>
      <c r="LT22" s="123"/>
      <c r="LU22" s="123"/>
      <c r="LV22" s="123"/>
      <c r="LW22" s="123"/>
      <c r="LX22" s="123"/>
      <c r="LY22" s="123"/>
      <c r="LZ22" s="123"/>
      <c r="MA22" s="123"/>
      <c r="MB22" s="123"/>
      <c r="MC22" s="123"/>
      <c r="MD22" s="123"/>
      <c r="ME22" s="123"/>
      <c r="MF22" s="123"/>
      <c r="MG22" s="123"/>
      <c r="MH22" s="123"/>
      <c r="MI22" s="123"/>
      <c r="MJ22" s="123"/>
      <c r="MK22" s="123"/>
      <c r="ML22" s="123"/>
      <c r="MM22" s="123"/>
      <c r="MN22" s="123"/>
      <c r="MO22" s="123"/>
      <c r="MP22" s="123"/>
      <c r="MQ22" s="123"/>
      <c r="MR22" s="123"/>
      <c r="MS22" s="123"/>
      <c r="MT22" s="123"/>
      <c r="MU22" s="123"/>
      <c r="MV22" s="123"/>
      <c r="MW22" s="123"/>
      <c r="MX22" s="123"/>
      <c r="MY22" s="123"/>
      <c r="MZ22" s="123"/>
      <c r="NA22" s="123"/>
      <c r="NB22" s="123"/>
      <c r="NC22" s="123"/>
      <c r="ND22" s="123"/>
      <c r="NE22" s="123"/>
      <c r="NF22" s="123"/>
      <c r="NG22" s="123"/>
      <c r="NH22" s="123"/>
      <c r="NI22" s="123"/>
      <c r="NJ22" s="123"/>
      <c r="NK22" s="123"/>
      <c r="NM22">
        <f t="shared" si="168"/>
        <v>0</v>
      </c>
      <c r="NN22">
        <f t="shared" si="169"/>
        <v>0</v>
      </c>
      <c r="NO22">
        <f t="shared" si="170"/>
        <v>0</v>
      </c>
      <c r="NP22">
        <f t="shared" si="171"/>
        <v>0</v>
      </c>
      <c r="NQ22">
        <f t="shared" si="172"/>
        <v>0</v>
      </c>
      <c r="NR22">
        <f t="shared" si="173"/>
        <v>0</v>
      </c>
      <c r="NS22">
        <f t="shared" si="174"/>
        <v>0</v>
      </c>
      <c r="NT22">
        <f t="shared" si="175"/>
        <v>0</v>
      </c>
      <c r="NU22" s="29">
        <f t="shared" si="176"/>
        <v>0</v>
      </c>
      <c r="NY22" s="17">
        <f t="shared" si="108"/>
        <v>1</v>
      </c>
      <c r="NZ22" s="152">
        <v>7644000</v>
      </c>
      <c r="OE22" s="155">
        <f t="shared" si="109"/>
        <v>0</v>
      </c>
      <c r="OF22" s="155">
        <f t="shared" si="110"/>
        <v>0</v>
      </c>
      <c r="OG22" s="155">
        <f t="shared" si="111"/>
        <v>0</v>
      </c>
      <c r="OH22" s="155">
        <f t="shared" si="177"/>
        <v>0</v>
      </c>
      <c r="OI22" s="155">
        <f t="shared" si="112"/>
        <v>0</v>
      </c>
      <c r="OJ22" s="67">
        <f t="shared" si="178"/>
        <v>0</v>
      </c>
      <c r="OK22" s="67">
        <f t="shared" si="179"/>
        <v>0</v>
      </c>
      <c r="OL22" s="67">
        <f t="shared" si="180"/>
        <v>0</v>
      </c>
      <c r="OM22" s="67">
        <f t="shared" si="181"/>
        <v>0</v>
      </c>
      <c r="OO22" s="155">
        <f t="shared" si="113"/>
        <v>0</v>
      </c>
      <c r="OP22" s="155">
        <f t="shared" si="114"/>
        <v>0</v>
      </c>
      <c r="OQ22" s="155">
        <f t="shared" si="182"/>
        <v>0</v>
      </c>
      <c r="OR22" s="155">
        <f t="shared" si="183"/>
        <v>0</v>
      </c>
      <c r="OS22" s="155">
        <f t="shared" si="184"/>
        <v>0</v>
      </c>
      <c r="OT22" s="67">
        <f t="shared" si="185"/>
        <v>0</v>
      </c>
      <c r="OU22" s="67">
        <f t="shared" si="186"/>
        <v>0</v>
      </c>
      <c r="OV22" s="67">
        <f t="shared" si="187"/>
        <v>0</v>
      </c>
      <c r="OW22" s="67">
        <f t="shared" si="188"/>
        <v>0</v>
      </c>
      <c r="OZ22" s="163">
        <f t="shared" si="115"/>
        <v>0</v>
      </c>
      <c r="PA22" s="166"/>
      <c r="PB22" s="166"/>
      <c r="PC22" s="166"/>
      <c r="PD22" s="210">
        <f t="shared" si="116"/>
        <v>0</v>
      </c>
      <c r="PE22" s="210"/>
      <c r="PF22" s="210">
        <f t="shared" si="117"/>
        <v>0</v>
      </c>
      <c r="PG22" s="210">
        <f t="shared" si="118"/>
        <v>0</v>
      </c>
      <c r="PH22" s="210">
        <f t="shared" si="118"/>
        <v>0</v>
      </c>
      <c r="PI22" s="210">
        <f t="shared" si="118"/>
        <v>0</v>
      </c>
      <c r="PJ22" s="210">
        <f t="shared" si="118"/>
        <v>0</v>
      </c>
      <c r="PK22" s="210">
        <f t="shared" si="118"/>
        <v>0</v>
      </c>
      <c r="PL22" s="210">
        <f t="shared" si="118"/>
        <v>0</v>
      </c>
      <c r="PM22" s="164"/>
      <c r="PN22" s="164"/>
      <c r="PO22" s="172">
        <f t="shared" si="189"/>
        <v>0</v>
      </c>
      <c r="PP22" s="172">
        <f t="shared" si="190"/>
        <v>0</v>
      </c>
      <c r="PQ22" s="172">
        <f t="shared" si="191"/>
        <v>0</v>
      </c>
      <c r="PR22" s="164"/>
      <c r="PS22" s="164"/>
      <c r="PT22" s="164"/>
      <c r="PU22" s="164"/>
    </row>
    <row r="23" spans="1:437" ht="16" x14ac:dyDescent="0.2">
      <c r="A23" s="19">
        <f t="shared" si="192"/>
        <v>15</v>
      </c>
      <c r="B23" s="138" t="s">
        <v>152</v>
      </c>
      <c r="C23" s="138">
        <v>19</v>
      </c>
      <c r="D23" s="20">
        <v>1</v>
      </c>
      <c r="E23" s="20">
        <v>456</v>
      </c>
      <c r="F23" s="20">
        <v>1</v>
      </c>
      <c r="G23" s="20">
        <f t="shared" si="119"/>
        <v>456</v>
      </c>
      <c r="H23" s="137">
        <f t="shared" si="2"/>
        <v>1</v>
      </c>
      <c r="I23" s="137">
        <f t="shared" si="3"/>
        <v>1</v>
      </c>
      <c r="J23" s="20">
        <v>1</v>
      </c>
      <c r="K23" s="20">
        <f t="shared" si="4"/>
        <v>456</v>
      </c>
      <c r="L23" s="137">
        <f t="shared" si="5"/>
        <v>1</v>
      </c>
      <c r="M23" s="137">
        <f t="shared" si="6"/>
        <v>1</v>
      </c>
      <c r="N23" s="20">
        <v>1</v>
      </c>
      <c r="O23" s="20">
        <f t="shared" si="7"/>
        <v>456</v>
      </c>
      <c r="P23" s="137">
        <f t="shared" si="8"/>
        <v>1</v>
      </c>
      <c r="Q23" s="137">
        <f t="shared" si="9"/>
        <v>1</v>
      </c>
      <c r="R23" s="20">
        <v>1</v>
      </c>
      <c r="S23" s="20">
        <f t="shared" si="10"/>
        <v>456</v>
      </c>
      <c r="T23" s="137">
        <f t="shared" si="11"/>
        <v>1</v>
      </c>
      <c r="U23" s="137">
        <f t="shared" si="12"/>
        <v>1</v>
      </c>
      <c r="V23" s="20">
        <v>1</v>
      </c>
      <c r="W23" s="20">
        <f t="shared" si="13"/>
        <v>456</v>
      </c>
      <c r="X23" s="137">
        <f t="shared" si="14"/>
        <v>1</v>
      </c>
      <c r="Y23" s="137">
        <f t="shared" si="15"/>
        <v>1</v>
      </c>
      <c r="Z23" s="60">
        <f>3637162000/1000000000</f>
        <v>3.637162</v>
      </c>
      <c r="AA23" s="188"/>
      <c r="AB23" s="189">
        <f t="shared" si="120"/>
        <v>0</v>
      </c>
      <c r="AC23" s="250">
        <f t="shared" si="121"/>
        <v>0</v>
      </c>
      <c r="AD23" s="250">
        <f t="shared" si="122"/>
        <v>0</v>
      </c>
      <c r="AE23" s="224"/>
      <c r="AF23" s="188">
        <f t="shared" si="123"/>
        <v>0</v>
      </c>
      <c r="AG23" s="188"/>
      <c r="AH23" s="20"/>
      <c r="AI23" s="20">
        <v>0</v>
      </c>
      <c r="AJ23" s="20">
        <f t="shared" si="18"/>
        <v>0</v>
      </c>
      <c r="AK23" s="20"/>
      <c r="AL23" s="20">
        <v>0</v>
      </c>
      <c r="AM23" s="20">
        <v>0</v>
      </c>
      <c r="AN23" s="139"/>
      <c r="BB23" s="20">
        <f t="shared" si="124"/>
        <v>0</v>
      </c>
      <c r="BE23" s="20">
        <f t="shared" si="19"/>
        <v>0</v>
      </c>
      <c r="BF23" s="20">
        <f t="shared" si="20"/>
        <v>0</v>
      </c>
      <c r="BG23" s="20">
        <f t="shared" si="21"/>
        <v>0</v>
      </c>
      <c r="BH23" s="20">
        <f t="shared" si="22"/>
        <v>0</v>
      </c>
      <c r="BI23" s="20">
        <f t="shared" si="23"/>
        <v>0</v>
      </c>
      <c r="BJ23" s="20">
        <f t="shared" si="24"/>
        <v>0</v>
      </c>
      <c r="BK23" s="20">
        <f t="shared" si="125"/>
        <v>0</v>
      </c>
      <c r="BN23" s="139"/>
      <c r="BO23" s="284"/>
      <c r="BP23" s="139"/>
      <c r="BQ23" s="139"/>
      <c r="BR23" s="139"/>
      <c r="BS23" s="139"/>
      <c r="BT23" s="139"/>
      <c r="BU23" s="139"/>
      <c r="BV23" s="139"/>
      <c r="BW23" s="139"/>
      <c r="BX23" s="139"/>
      <c r="BY23" s="139"/>
      <c r="BZ23" s="139"/>
      <c r="CB23" s="139"/>
      <c r="CD23" s="17">
        <f t="shared" si="126"/>
        <v>0</v>
      </c>
      <c r="CE23" s="17">
        <f t="shared" si="127"/>
        <v>0</v>
      </c>
      <c r="CF23" s="139">
        <f t="shared" si="128"/>
        <v>0</v>
      </c>
      <c r="CG23" s="139">
        <f t="shared" si="129"/>
        <v>0</v>
      </c>
      <c r="CH23" s="139">
        <f t="shared" si="130"/>
        <v>0</v>
      </c>
      <c r="CI23" s="139">
        <f t="shared" si="131"/>
        <v>0</v>
      </c>
      <c r="CJ23" s="139">
        <f t="shared" si="132"/>
        <v>0</v>
      </c>
      <c r="CK23" s="139">
        <f t="shared" si="133"/>
        <v>0</v>
      </c>
      <c r="CL23" s="139">
        <f t="shared" si="134"/>
        <v>0</v>
      </c>
      <c r="CM23" s="139">
        <f t="shared" si="135"/>
        <v>0</v>
      </c>
      <c r="CN23" s="139">
        <f t="shared" si="136"/>
        <v>0</v>
      </c>
      <c r="CO23" s="139">
        <f t="shared" si="137"/>
        <v>0</v>
      </c>
      <c r="CP23" s="139">
        <f t="shared" si="138"/>
        <v>0</v>
      </c>
      <c r="CQ23" s="148">
        <f t="shared" si="27"/>
        <v>0</v>
      </c>
      <c r="DV23" s="139">
        <f t="shared" si="28"/>
        <v>0</v>
      </c>
      <c r="DW23" s="139">
        <f t="shared" si="29"/>
        <v>0</v>
      </c>
      <c r="DX23" s="139">
        <f t="shared" si="30"/>
        <v>0</v>
      </c>
      <c r="DY23" s="139">
        <f t="shared" si="31"/>
        <v>0</v>
      </c>
      <c r="DZ23" s="139">
        <f t="shared" si="32"/>
        <v>0</v>
      </c>
      <c r="EA23" s="139">
        <f t="shared" si="33"/>
        <v>0</v>
      </c>
      <c r="EB23" s="139">
        <f t="shared" si="139"/>
        <v>0</v>
      </c>
      <c r="EG23" s="57">
        <f t="shared" si="140"/>
        <v>0</v>
      </c>
      <c r="EH23" s="57">
        <f t="shared" si="141"/>
        <v>0</v>
      </c>
      <c r="EI23" s="17"/>
      <c r="EJ23" s="17"/>
      <c r="EK23" s="17"/>
      <c r="EL23" s="17"/>
      <c r="EM23" s="17"/>
      <c r="EN23" s="17"/>
      <c r="EO23" s="17"/>
      <c r="EP23" s="17"/>
      <c r="EQ23" s="189"/>
      <c r="ER23" s="189"/>
      <c r="ES23" s="189"/>
      <c r="ET23" s="189"/>
      <c r="EU23" s="189"/>
      <c r="EV23" s="189"/>
      <c r="EW23" s="189"/>
      <c r="EX23" s="189"/>
      <c r="EY23" s="189"/>
      <c r="EZ23" s="189"/>
      <c r="FA23" s="189"/>
      <c r="FB23" s="189"/>
      <c r="FC23" s="189"/>
      <c r="FD23" s="17"/>
      <c r="FE23" s="17"/>
      <c r="FF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X23" s="80"/>
      <c r="FY23" s="17">
        <f t="shared" si="142"/>
        <v>0</v>
      </c>
      <c r="FZ23" s="17">
        <f t="shared" si="35"/>
        <v>0</v>
      </c>
      <c r="GA23" s="17">
        <f t="shared" si="36"/>
        <v>0</v>
      </c>
      <c r="GB23" s="17">
        <f t="shared" si="37"/>
        <v>0</v>
      </c>
      <c r="GC23" s="17">
        <f t="shared" si="38"/>
        <v>0</v>
      </c>
      <c r="GD23" s="17">
        <f t="shared" si="39"/>
        <v>0</v>
      </c>
      <c r="GE23" s="17">
        <f t="shared" si="40"/>
        <v>0</v>
      </c>
      <c r="GF23" s="67"/>
      <c r="GG23" s="17">
        <v>0</v>
      </c>
      <c r="GH23" s="17">
        <v>0</v>
      </c>
      <c r="GI23" s="67"/>
      <c r="GJ23" s="62">
        <f t="shared" si="143"/>
        <v>0</v>
      </c>
      <c r="GK23" s="62">
        <f t="shared" si="144"/>
        <v>0</v>
      </c>
      <c r="GO23" s="17">
        <f t="shared" si="41"/>
        <v>0</v>
      </c>
      <c r="GP23" s="17">
        <f t="shared" si="42"/>
        <v>0</v>
      </c>
      <c r="GQ23" s="17">
        <f t="shared" si="43"/>
        <v>0</v>
      </c>
      <c r="GR23" s="17">
        <f t="shared" si="44"/>
        <v>0</v>
      </c>
      <c r="GS23" s="17">
        <f t="shared" si="45"/>
        <v>0</v>
      </c>
      <c r="GT23" s="17">
        <f t="shared" si="145"/>
        <v>1</v>
      </c>
      <c r="GU23" s="101">
        <f t="shared" si="146"/>
        <v>43243</v>
      </c>
      <c r="GV23" s="17" t="str">
        <f t="shared" si="147"/>
        <v>SELESAI</v>
      </c>
      <c r="GW23" s="17">
        <f t="shared" si="148"/>
        <v>0</v>
      </c>
      <c r="GX23" s="66" t="str">
        <f t="shared" si="149"/>
        <v>SELESAI</v>
      </c>
      <c r="GY23" s="66">
        <f t="shared" si="150"/>
        <v>0</v>
      </c>
      <c r="GZ23" s="102" t="str">
        <f t="shared" si="151"/>
        <v>SELESAI</v>
      </c>
      <c r="HA23" s="83"/>
      <c r="HB23" s="83"/>
      <c r="HC23" s="17">
        <f t="shared" si="46"/>
        <v>0</v>
      </c>
      <c r="HD23" s="17">
        <f t="shared" si="47"/>
        <v>0</v>
      </c>
      <c r="HE23" s="17">
        <f t="shared" si="152"/>
        <v>0</v>
      </c>
      <c r="HF23" s="17">
        <f t="shared" si="153"/>
        <v>0</v>
      </c>
      <c r="HG23" s="17">
        <f t="shared" si="154"/>
        <v>0</v>
      </c>
      <c r="HH23" s="101" t="str">
        <f t="shared" si="48"/>
        <v>TIDAK KONSINYASI</v>
      </c>
      <c r="HI23" s="101" t="str">
        <f t="shared" si="155"/>
        <v>SELESAI</v>
      </c>
      <c r="HJ23" s="27"/>
      <c r="HK23" s="101">
        <f t="shared" si="49"/>
        <v>0</v>
      </c>
      <c r="HL23" s="83"/>
      <c r="HM23" s="83"/>
      <c r="HN23" s="83"/>
      <c r="HO23" s="83"/>
      <c r="HP23" s="102">
        <f t="shared" si="156"/>
        <v>0</v>
      </c>
      <c r="HQ23" s="66">
        <f t="shared" si="157"/>
        <v>0</v>
      </c>
      <c r="HR23" s="66">
        <f t="shared" si="50"/>
        <v>0</v>
      </c>
      <c r="HS23" s="102">
        <f t="shared" si="158"/>
        <v>0</v>
      </c>
      <c r="HT23" s="66">
        <f t="shared" si="159"/>
        <v>0</v>
      </c>
      <c r="HU23" s="66">
        <f t="shared" si="51"/>
        <v>0</v>
      </c>
      <c r="HV23" s="102">
        <f t="shared" si="160"/>
        <v>0</v>
      </c>
      <c r="HW23" s="66">
        <f t="shared" si="52"/>
        <v>0</v>
      </c>
      <c r="HX23" s="66">
        <f t="shared" si="53"/>
        <v>0</v>
      </c>
      <c r="HY23" s="102">
        <f t="shared" si="54"/>
        <v>0</v>
      </c>
      <c r="HZ23" s="66">
        <f t="shared" si="161"/>
        <v>0</v>
      </c>
      <c r="IA23" s="66">
        <f t="shared" si="55"/>
        <v>0</v>
      </c>
      <c r="IB23" s="102">
        <f t="shared" si="162"/>
        <v>0</v>
      </c>
      <c r="IC23" s="66">
        <f t="shared" si="56"/>
        <v>0</v>
      </c>
      <c r="ID23" s="66">
        <f t="shared" si="57"/>
        <v>0</v>
      </c>
      <c r="IE23" s="102">
        <f t="shared" si="58"/>
        <v>0</v>
      </c>
      <c r="IF23" s="66">
        <f t="shared" si="59"/>
        <v>0</v>
      </c>
      <c r="IG23" s="66">
        <f t="shared" si="60"/>
        <v>0</v>
      </c>
      <c r="IH23" s="102">
        <f t="shared" si="163"/>
        <v>0</v>
      </c>
      <c r="II23" s="66">
        <f t="shared" si="164"/>
        <v>0</v>
      </c>
      <c r="IJ23" s="66">
        <f t="shared" si="61"/>
        <v>0</v>
      </c>
      <c r="IK23" s="102">
        <f t="shared" si="62"/>
        <v>0</v>
      </c>
      <c r="IL23" s="66">
        <f t="shared" si="63"/>
        <v>0</v>
      </c>
      <c r="IM23" s="66">
        <f t="shared" si="64"/>
        <v>0</v>
      </c>
      <c r="IN23" s="83"/>
      <c r="IO23" s="102">
        <f t="shared" si="65"/>
        <v>0</v>
      </c>
      <c r="IP23" s="66">
        <f t="shared" si="66"/>
        <v>0</v>
      </c>
      <c r="IQ23" s="66">
        <f t="shared" si="67"/>
        <v>0</v>
      </c>
      <c r="IR23" s="83"/>
      <c r="IS23" s="102"/>
      <c r="IT23" s="66">
        <f t="shared" si="68"/>
        <v>1</v>
      </c>
      <c r="IU23" s="66">
        <f t="shared" si="69"/>
        <v>456</v>
      </c>
      <c r="IV23" s="83"/>
      <c r="IW23" s="102"/>
      <c r="IX23" s="66">
        <f t="shared" si="70"/>
        <v>0</v>
      </c>
      <c r="IY23" s="66">
        <f t="shared" si="71"/>
        <v>0</v>
      </c>
      <c r="IZ23" s="83"/>
      <c r="JA23" s="102"/>
      <c r="JB23" s="66">
        <f t="shared" si="72"/>
        <v>0</v>
      </c>
      <c r="JC23" s="66">
        <f t="shared" si="73"/>
        <v>0</v>
      </c>
      <c r="JD23" s="83"/>
      <c r="JE23" s="102"/>
      <c r="JF23" s="66">
        <f t="shared" si="165"/>
        <v>1</v>
      </c>
      <c r="JG23" s="66">
        <f t="shared" si="74"/>
        <v>456</v>
      </c>
      <c r="JH23" s="83"/>
      <c r="JI23" s="102"/>
      <c r="JJ23" s="66">
        <f t="shared" si="75"/>
        <v>0</v>
      </c>
      <c r="JK23" s="66">
        <f t="shared" si="76"/>
        <v>0</v>
      </c>
      <c r="JM23" s="102">
        <f t="shared" si="166"/>
        <v>0</v>
      </c>
      <c r="JO23" s="29">
        <f t="shared" si="77"/>
        <v>0</v>
      </c>
      <c r="JP23" s="122">
        <f t="shared" si="78"/>
        <v>0</v>
      </c>
      <c r="JQ23" s="122">
        <f t="shared" si="79"/>
        <v>0</v>
      </c>
      <c r="JR23" s="122">
        <f t="shared" si="80"/>
        <v>0</v>
      </c>
      <c r="JS23" s="122">
        <f t="shared" si="81"/>
        <v>0</v>
      </c>
      <c r="JT23" s="122">
        <f t="shared" si="82"/>
        <v>0</v>
      </c>
      <c r="JU23" s="122">
        <f t="shared" si="83"/>
        <v>0</v>
      </c>
      <c r="JV23" s="122">
        <f t="shared" si="84"/>
        <v>0</v>
      </c>
      <c r="JW23" s="122">
        <f t="shared" si="85"/>
        <v>0</v>
      </c>
      <c r="JX23" s="122">
        <f t="shared" si="86"/>
        <v>0</v>
      </c>
      <c r="JY23" s="122">
        <f t="shared" si="87"/>
        <v>0</v>
      </c>
      <c r="JZ23" s="122">
        <f t="shared" si="88"/>
        <v>0</v>
      </c>
      <c r="KA23" s="122">
        <f t="shared" si="89"/>
        <v>0</v>
      </c>
      <c r="KB23" s="122">
        <f t="shared" si="90"/>
        <v>0</v>
      </c>
      <c r="KD23" s="122">
        <f t="shared" si="167"/>
        <v>0</v>
      </c>
      <c r="KE23" s="122">
        <f t="shared" si="92"/>
        <v>0</v>
      </c>
      <c r="KF23" s="122">
        <f t="shared" si="93"/>
        <v>0</v>
      </c>
      <c r="KG23" s="122">
        <f t="shared" si="94"/>
        <v>0</v>
      </c>
      <c r="KH23" s="122">
        <f t="shared" si="95"/>
        <v>0</v>
      </c>
      <c r="KI23" s="122">
        <f t="shared" si="96"/>
        <v>0</v>
      </c>
      <c r="KJ23" s="122">
        <f t="shared" si="97"/>
        <v>0</v>
      </c>
      <c r="KK23" s="122">
        <f t="shared" si="98"/>
        <v>0</v>
      </c>
      <c r="KL23" s="122">
        <f t="shared" si="99"/>
        <v>0</v>
      </c>
      <c r="KM23" s="122">
        <f t="shared" si="100"/>
        <v>0</v>
      </c>
      <c r="KN23" s="123">
        <f t="shared" si="101"/>
        <v>0</v>
      </c>
      <c r="KO23" s="123">
        <f t="shared" si="102"/>
        <v>0</v>
      </c>
      <c r="KP23" s="123">
        <f t="shared" si="103"/>
        <v>0</v>
      </c>
      <c r="KQ23" s="123">
        <f t="shared" si="104"/>
        <v>0</v>
      </c>
      <c r="KR23" s="123">
        <f t="shared" si="105"/>
        <v>0</v>
      </c>
      <c r="KT23">
        <f t="shared" si="106"/>
        <v>0</v>
      </c>
      <c r="KU23" s="123"/>
      <c r="KV23" s="123"/>
      <c r="KW23" s="123"/>
      <c r="KX23" s="123"/>
      <c r="KY23" s="123"/>
      <c r="KZ23" s="123"/>
      <c r="LA23" s="123"/>
      <c r="LB23" s="123"/>
      <c r="LC23" s="123"/>
      <c r="LD23" s="123"/>
      <c r="LE23" s="123"/>
      <c r="LF23" s="123"/>
      <c r="LG23" s="123"/>
      <c r="LH23" s="123"/>
      <c r="LI23" s="123"/>
      <c r="LJ23" s="123"/>
      <c r="LK23" s="123"/>
      <c r="LL23" s="123"/>
      <c r="LM23" s="123"/>
      <c r="LN23" s="123"/>
      <c r="LO23" s="123"/>
      <c r="LP23" s="123"/>
      <c r="LQ23" s="123"/>
      <c r="LR23" s="123"/>
      <c r="LS23" s="123"/>
      <c r="LT23" s="123"/>
      <c r="LU23" s="123"/>
      <c r="LV23" s="123"/>
      <c r="LW23" s="123"/>
      <c r="LX23" s="123"/>
      <c r="LY23" s="123"/>
      <c r="LZ23" s="123"/>
      <c r="MA23" s="123"/>
      <c r="MB23" s="123"/>
      <c r="MC23" s="123"/>
      <c r="MD23" s="123"/>
      <c r="ME23" s="123"/>
      <c r="MF23" s="123"/>
      <c r="MG23" s="123"/>
      <c r="MH23" s="123"/>
      <c r="MI23" s="123"/>
      <c r="MJ23" s="123"/>
      <c r="MK23" s="123"/>
      <c r="ML23" s="123"/>
      <c r="MM23" s="123"/>
      <c r="MN23" s="123"/>
      <c r="MO23" s="123"/>
      <c r="MP23" s="123"/>
      <c r="MQ23" s="123"/>
      <c r="MR23" s="123"/>
      <c r="MS23" s="123"/>
      <c r="MT23" s="123"/>
      <c r="MU23" s="123"/>
      <c r="MV23" s="123"/>
      <c r="MW23" s="123"/>
      <c r="MX23" s="123"/>
      <c r="MY23" s="123"/>
      <c r="MZ23" s="123"/>
      <c r="NA23" s="123"/>
      <c r="NB23" s="123"/>
      <c r="NC23" s="123"/>
      <c r="ND23" s="123"/>
      <c r="NE23" s="123"/>
      <c r="NF23" s="123"/>
      <c r="NG23" s="123"/>
      <c r="NH23" s="123"/>
      <c r="NI23" s="123"/>
      <c r="NJ23" s="123"/>
      <c r="NK23" s="123"/>
      <c r="NM23">
        <f t="shared" si="168"/>
        <v>0</v>
      </c>
      <c r="NN23">
        <f t="shared" si="169"/>
        <v>0</v>
      </c>
      <c r="NO23">
        <f t="shared" si="170"/>
        <v>0</v>
      </c>
      <c r="NP23">
        <f t="shared" si="171"/>
        <v>0</v>
      </c>
      <c r="NQ23">
        <f t="shared" si="172"/>
        <v>0</v>
      </c>
      <c r="NR23">
        <f t="shared" si="173"/>
        <v>0</v>
      </c>
      <c r="NS23">
        <f t="shared" si="174"/>
        <v>0</v>
      </c>
      <c r="NT23">
        <f t="shared" si="175"/>
        <v>0</v>
      </c>
      <c r="NU23" s="29">
        <f t="shared" si="176"/>
        <v>0</v>
      </c>
      <c r="NY23" s="17">
        <f t="shared" si="108"/>
        <v>1</v>
      </c>
      <c r="NZ23" s="152">
        <v>7488000</v>
      </c>
      <c r="OE23" s="155">
        <f t="shared" si="109"/>
        <v>0</v>
      </c>
      <c r="OF23" s="155">
        <f t="shared" si="110"/>
        <v>0</v>
      </c>
      <c r="OG23" s="155">
        <f t="shared" si="111"/>
        <v>0</v>
      </c>
      <c r="OH23" s="155">
        <f t="shared" si="177"/>
        <v>0</v>
      </c>
      <c r="OI23" s="155">
        <f t="shared" si="112"/>
        <v>0</v>
      </c>
      <c r="OJ23" s="67">
        <f t="shared" si="178"/>
        <v>0</v>
      </c>
      <c r="OK23" s="67">
        <f t="shared" si="179"/>
        <v>0</v>
      </c>
      <c r="OL23" s="67">
        <f t="shared" si="180"/>
        <v>0</v>
      </c>
      <c r="OM23" s="67">
        <f t="shared" si="181"/>
        <v>0</v>
      </c>
      <c r="OO23" s="155">
        <f t="shared" si="113"/>
        <v>0</v>
      </c>
      <c r="OP23" s="155">
        <f t="shared" si="114"/>
        <v>0</v>
      </c>
      <c r="OQ23" s="155">
        <f t="shared" si="182"/>
        <v>0</v>
      </c>
      <c r="OR23" s="155">
        <f t="shared" si="183"/>
        <v>0</v>
      </c>
      <c r="OS23" s="155">
        <f t="shared" si="184"/>
        <v>0</v>
      </c>
      <c r="OT23" s="67">
        <f t="shared" si="185"/>
        <v>0</v>
      </c>
      <c r="OU23" s="67">
        <f t="shared" si="186"/>
        <v>0</v>
      </c>
      <c r="OV23" s="67">
        <f t="shared" si="187"/>
        <v>0</v>
      </c>
      <c r="OW23" s="67">
        <f t="shared" si="188"/>
        <v>0</v>
      </c>
      <c r="OZ23" s="163">
        <f t="shared" si="115"/>
        <v>0</v>
      </c>
      <c r="PA23" s="166"/>
      <c r="PB23" s="166"/>
      <c r="PC23" s="166"/>
      <c r="PD23" s="210">
        <f t="shared" si="116"/>
        <v>0</v>
      </c>
      <c r="PE23" s="210"/>
      <c r="PF23" s="210">
        <f t="shared" si="117"/>
        <v>0</v>
      </c>
      <c r="PG23" s="210">
        <f t="shared" si="118"/>
        <v>0</v>
      </c>
      <c r="PH23" s="210">
        <f t="shared" si="118"/>
        <v>0</v>
      </c>
      <c r="PI23" s="210">
        <f t="shared" si="118"/>
        <v>0</v>
      </c>
      <c r="PJ23" s="210">
        <f t="shared" si="118"/>
        <v>0</v>
      </c>
      <c r="PK23" s="210">
        <f t="shared" si="118"/>
        <v>0</v>
      </c>
      <c r="PL23" s="210">
        <f t="shared" si="118"/>
        <v>0</v>
      </c>
      <c r="PM23" s="164"/>
      <c r="PN23" s="164"/>
      <c r="PO23" s="172">
        <f t="shared" si="189"/>
        <v>0</v>
      </c>
      <c r="PP23" s="172">
        <f t="shared" si="190"/>
        <v>0</v>
      </c>
      <c r="PQ23" s="172">
        <f t="shared" si="191"/>
        <v>0</v>
      </c>
      <c r="PR23" s="164"/>
      <c r="PS23" s="164"/>
      <c r="PT23" s="164"/>
      <c r="PU23" s="164"/>
    </row>
    <row r="24" spans="1:437" ht="16" x14ac:dyDescent="0.2">
      <c r="A24" s="19">
        <f t="shared" si="192"/>
        <v>16</v>
      </c>
      <c r="B24" s="186" t="s">
        <v>640</v>
      </c>
      <c r="C24" s="138">
        <v>21</v>
      </c>
      <c r="D24" s="20">
        <v>1</v>
      </c>
      <c r="E24" s="20">
        <v>110</v>
      </c>
      <c r="F24" s="20">
        <v>1</v>
      </c>
      <c r="G24" s="20">
        <f t="shared" si="119"/>
        <v>110</v>
      </c>
      <c r="H24" s="137">
        <f t="shared" si="2"/>
        <v>1</v>
      </c>
      <c r="I24" s="137">
        <f t="shared" si="3"/>
        <v>1</v>
      </c>
      <c r="J24" s="20">
        <v>1</v>
      </c>
      <c r="K24" s="20">
        <f t="shared" si="4"/>
        <v>110</v>
      </c>
      <c r="L24" s="137">
        <f t="shared" si="5"/>
        <v>1</v>
      </c>
      <c r="M24" s="137">
        <f t="shared" si="6"/>
        <v>1</v>
      </c>
      <c r="N24" s="20">
        <v>1</v>
      </c>
      <c r="O24" s="20">
        <f t="shared" si="7"/>
        <v>110</v>
      </c>
      <c r="P24" s="137">
        <f t="shared" si="8"/>
        <v>1</v>
      </c>
      <c r="Q24" s="137">
        <f t="shared" si="9"/>
        <v>1</v>
      </c>
      <c r="R24" s="20">
        <v>1</v>
      </c>
      <c r="S24" s="20">
        <f t="shared" si="10"/>
        <v>110</v>
      </c>
      <c r="T24" s="137">
        <f t="shared" si="11"/>
        <v>1</v>
      </c>
      <c r="U24" s="137">
        <f t="shared" si="12"/>
        <v>1</v>
      </c>
      <c r="V24" s="20">
        <v>1</v>
      </c>
      <c r="W24" s="20">
        <f t="shared" si="13"/>
        <v>110</v>
      </c>
      <c r="X24" s="137">
        <f t="shared" si="14"/>
        <v>1</v>
      </c>
      <c r="Y24" s="137">
        <f t="shared" si="15"/>
        <v>1</v>
      </c>
      <c r="Z24" s="38">
        <f>1025945800/1000000000</f>
        <v>1.0259457999999999</v>
      </c>
      <c r="AA24" s="188"/>
      <c r="AB24" s="189">
        <f t="shared" si="120"/>
        <v>0</v>
      </c>
      <c r="AC24" s="250">
        <f t="shared" si="121"/>
        <v>0</v>
      </c>
      <c r="AD24" s="250">
        <f t="shared" si="122"/>
        <v>0</v>
      </c>
      <c r="AE24" s="224"/>
      <c r="AF24" s="188">
        <f t="shared" si="123"/>
        <v>0</v>
      </c>
      <c r="AG24" s="188"/>
      <c r="AH24" s="20"/>
      <c r="AI24" s="20">
        <v>0</v>
      </c>
      <c r="AJ24" s="20">
        <f t="shared" si="18"/>
        <v>0</v>
      </c>
      <c r="AK24" s="20"/>
      <c r="AL24" s="20">
        <v>0</v>
      </c>
      <c r="AM24" s="20">
        <v>0</v>
      </c>
      <c r="AN24" s="139"/>
      <c r="BB24" s="20">
        <f t="shared" si="124"/>
        <v>0</v>
      </c>
      <c r="BE24" s="20">
        <f t="shared" si="19"/>
        <v>0</v>
      </c>
      <c r="BF24" s="20">
        <f t="shared" si="20"/>
        <v>0</v>
      </c>
      <c r="BG24" s="20">
        <f t="shared" si="21"/>
        <v>0</v>
      </c>
      <c r="BH24" s="20">
        <f t="shared" si="22"/>
        <v>0</v>
      </c>
      <c r="BI24" s="20">
        <f t="shared" si="23"/>
        <v>0</v>
      </c>
      <c r="BJ24" s="20">
        <f t="shared" si="24"/>
        <v>0</v>
      </c>
      <c r="BK24" s="20">
        <f t="shared" si="125"/>
        <v>0</v>
      </c>
      <c r="BN24" s="139"/>
      <c r="BO24" s="284"/>
      <c r="BP24" s="139"/>
      <c r="BQ24" s="139"/>
      <c r="BR24" s="139"/>
      <c r="BS24" s="139"/>
      <c r="BT24" s="139"/>
      <c r="BU24" s="139"/>
      <c r="BV24" s="139"/>
      <c r="BW24" s="139"/>
      <c r="BX24" s="139"/>
      <c r="BY24" s="139"/>
      <c r="BZ24" s="139"/>
      <c r="CB24" s="139"/>
      <c r="CD24" s="17">
        <f t="shared" si="126"/>
        <v>0</v>
      </c>
      <c r="CE24" s="17">
        <f t="shared" si="127"/>
        <v>0</v>
      </c>
      <c r="CF24" s="139">
        <f t="shared" si="128"/>
        <v>0</v>
      </c>
      <c r="CG24" s="139">
        <f t="shared" si="129"/>
        <v>0</v>
      </c>
      <c r="CH24" s="139">
        <f t="shared" si="130"/>
        <v>0</v>
      </c>
      <c r="CI24" s="139">
        <f t="shared" si="131"/>
        <v>0</v>
      </c>
      <c r="CJ24" s="139">
        <f t="shared" si="132"/>
        <v>0</v>
      </c>
      <c r="CK24" s="139">
        <f t="shared" si="133"/>
        <v>0</v>
      </c>
      <c r="CL24" s="139">
        <f t="shared" si="134"/>
        <v>0</v>
      </c>
      <c r="CM24" s="139">
        <f t="shared" si="135"/>
        <v>0</v>
      </c>
      <c r="CN24" s="139">
        <f t="shared" si="136"/>
        <v>0</v>
      </c>
      <c r="CO24" s="139">
        <f t="shared" si="137"/>
        <v>0</v>
      </c>
      <c r="CP24" s="139">
        <f t="shared" si="138"/>
        <v>0</v>
      </c>
      <c r="CQ24" s="148">
        <f t="shared" si="27"/>
        <v>0</v>
      </c>
      <c r="DV24" s="139">
        <f t="shared" si="28"/>
        <v>0</v>
      </c>
      <c r="DW24" s="139">
        <f t="shared" si="29"/>
        <v>0</v>
      </c>
      <c r="DX24" s="139">
        <f t="shared" si="30"/>
        <v>0</v>
      </c>
      <c r="DY24" s="139">
        <f t="shared" si="31"/>
        <v>0</v>
      </c>
      <c r="DZ24" s="139">
        <f t="shared" si="32"/>
        <v>0</v>
      </c>
      <c r="EA24" s="139">
        <f t="shared" si="33"/>
        <v>0</v>
      </c>
      <c r="EB24" s="139">
        <f t="shared" si="139"/>
        <v>0</v>
      </c>
      <c r="EG24" s="57">
        <f t="shared" si="140"/>
        <v>0</v>
      </c>
      <c r="EH24" s="57">
        <f t="shared" si="141"/>
        <v>0</v>
      </c>
      <c r="EI24" s="17"/>
      <c r="EJ24" s="17"/>
      <c r="EK24" s="17"/>
      <c r="EL24" s="17"/>
      <c r="EM24" s="17"/>
      <c r="EN24" s="17"/>
      <c r="EO24" s="17"/>
      <c r="EP24" s="17"/>
      <c r="EQ24" s="189"/>
      <c r="ER24" s="189"/>
      <c r="ES24" s="189"/>
      <c r="ET24" s="189"/>
      <c r="EU24" s="189"/>
      <c r="EV24" s="189"/>
      <c r="EW24" s="189"/>
      <c r="EX24" s="189"/>
      <c r="EY24" s="189"/>
      <c r="EZ24" s="189"/>
      <c r="FA24" s="189"/>
      <c r="FB24" s="189"/>
      <c r="FC24" s="189"/>
      <c r="FD24" s="17"/>
      <c r="FE24" s="17"/>
      <c r="FF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X24" s="80"/>
      <c r="FY24" s="17">
        <f t="shared" si="142"/>
        <v>0</v>
      </c>
      <c r="FZ24" s="17">
        <f t="shared" si="35"/>
        <v>0</v>
      </c>
      <c r="GA24" s="17">
        <f t="shared" si="36"/>
        <v>0</v>
      </c>
      <c r="GB24" s="17">
        <f t="shared" si="37"/>
        <v>0</v>
      </c>
      <c r="GC24" s="17">
        <f t="shared" si="38"/>
        <v>0</v>
      </c>
      <c r="GD24" s="17">
        <f t="shared" si="39"/>
        <v>0</v>
      </c>
      <c r="GE24" s="17">
        <f t="shared" si="40"/>
        <v>0</v>
      </c>
      <c r="GF24" s="67"/>
      <c r="GG24" s="17">
        <v>0</v>
      </c>
      <c r="GH24" s="17">
        <v>0</v>
      </c>
      <c r="GI24" s="67"/>
      <c r="GJ24" s="62">
        <f t="shared" si="143"/>
        <v>0</v>
      </c>
      <c r="GK24" s="62">
        <f t="shared" si="144"/>
        <v>0</v>
      </c>
      <c r="GO24" s="17">
        <f t="shared" si="41"/>
        <v>0</v>
      </c>
      <c r="GP24" s="17">
        <f t="shared" si="42"/>
        <v>0</v>
      </c>
      <c r="GQ24" s="17">
        <f t="shared" si="43"/>
        <v>0</v>
      </c>
      <c r="GR24" s="17">
        <f t="shared" si="44"/>
        <v>0</v>
      </c>
      <c r="GS24" s="17">
        <f t="shared" si="45"/>
        <v>0</v>
      </c>
      <c r="GT24" s="17">
        <f t="shared" si="145"/>
        <v>1</v>
      </c>
      <c r="GU24" s="101">
        <f t="shared" si="146"/>
        <v>43243</v>
      </c>
      <c r="GV24" s="17" t="str">
        <f t="shared" si="147"/>
        <v>SELESAI</v>
      </c>
      <c r="GW24" s="17">
        <f t="shared" si="148"/>
        <v>0</v>
      </c>
      <c r="GX24" s="66" t="str">
        <f t="shared" si="149"/>
        <v>SELESAI</v>
      </c>
      <c r="GY24" s="66">
        <f t="shared" si="150"/>
        <v>0</v>
      </c>
      <c r="GZ24" s="102" t="str">
        <f t="shared" si="151"/>
        <v>SELESAI</v>
      </c>
      <c r="HA24" s="83"/>
      <c r="HB24" s="83"/>
      <c r="HC24" s="17">
        <f t="shared" si="46"/>
        <v>0</v>
      </c>
      <c r="HD24" s="17">
        <f t="shared" si="47"/>
        <v>0</v>
      </c>
      <c r="HE24" s="17">
        <f t="shared" si="152"/>
        <v>0</v>
      </c>
      <c r="HF24" s="17">
        <f t="shared" si="153"/>
        <v>0</v>
      </c>
      <c r="HG24" s="17">
        <f t="shared" si="154"/>
        <v>0</v>
      </c>
      <c r="HH24" s="101" t="str">
        <f t="shared" si="48"/>
        <v>TIDAK KONSINYASI</v>
      </c>
      <c r="HI24" s="101" t="str">
        <f t="shared" si="155"/>
        <v>SELESAI</v>
      </c>
      <c r="HJ24" s="27"/>
      <c r="HK24" s="101">
        <f t="shared" si="49"/>
        <v>0</v>
      </c>
      <c r="HL24" s="83"/>
      <c r="HM24" s="83"/>
      <c r="HN24" s="83"/>
      <c r="HO24" s="83"/>
      <c r="HP24" s="102">
        <f t="shared" si="156"/>
        <v>0</v>
      </c>
      <c r="HQ24" s="66">
        <f t="shared" si="157"/>
        <v>0</v>
      </c>
      <c r="HR24" s="66">
        <f t="shared" si="50"/>
        <v>0</v>
      </c>
      <c r="HS24" s="102">
        <f t="shared" si="158"/>
        <v>0</v>
      </c>
      <c r="HT24" s="66">
        <f t="shared" si="159"/>
        <v>0</v>
      </c>
      <c r="HU24" s="66">
        <f t="shared" si="51"/>
        <v>0</v>
      </c>
      <c r="HV24" s="102">
        <f t="shared" si="160"/>
        <v>0</v>
      </c>
      <c r="HW24" s="66">
        <f t="shared" si="52"/>
        <v>0</v>
      </c>
      <c r="HX24" s="66">
        <f t="shared" si="53"/>
        <v>0</v>
      </c>
      <c r="HY24" s="102">
        <f t="shared" si="54"/>
        <v>0</v>
      </c>
      <c r="HZ24" s="66">
        <f t="shared" si="161"/>
        <v>0</v>
      </c>
      <c r="IA24" s="66">
        <f t="shared" si="55"/>
        <v>0</v>
      </c>
      <c r="IB24" s="102">
        <f t="shared" si="162"/>
        <v>0</v>
      </c>
      <c r="IC24" s="66">
        <f t="shared" si="56"/>
        <v>0</v>
      </c>
      <c r="ID24" s="66">
        <f t="shared" si="57"/>
        <v>0</v>
      </c>
      <c r="IE24" s="102">
        <f t="shared" si="58"/>
        <v>0</v>
      </c>
      <c r="IF24" s="66">
        <f t="shared" si="59"/>
        <v>0</v>
      </c>
      <c r="IG24" s="66">
        <f t="shared" si="60"/>
        <v>0</v>
      </c>
      <c r="IH24" s="102">
        <f t="shared" si="163"/>
        <v>0</v>
      </c>
      <c r="II24" s="66">
        <f t="shared" si="164"/>
        <v>0</v>
      </c>
      <c r="IJ24" s="66">
        <f t="shared" si="61"/>
        <v>0</v>
      </c>
      <c r="IK24" s="102">
        <f t="shared" si="62"/>
        <v>0</v>
      </c>
      <c r="IL24" s="66">
        <f t="shared" si="63"/>
        <v>0</v>
      </c>
      <c r="IM24" s="66">
        <f t="shared" si="64"/>
        <v>0</v>
      </c>
      <c r="IN24" s="83"/>
      <c r="IO24" s="102">
        <f t="shared" si="65"/>
        <v>0</v>
      </c>
      <c r="IP24" s="66">
        <f t="shared" si="66"/>
        <v>0</v>
      </c>
      <c r="IQ24" s="66">
        <f t="shared" si="67"/>
        <v>0</v>
      </c>
      <c r="IR24" s="83"/>
      <c r="IS24" s="102"/>
      <c r="IT24" s="66">
        <f t="shared" si="68"/>
        <v>1</v>
      </c>
      <c r="IU24" s="66">
        <f t="shared" si="69"/>
        <v>110</v>
      </c>
      <c r="IV24" s="83"/>
      <c r="IW24" s="102"/>
      <c r="IX24" s="66">
        <f t="shared" si="70"/>
        <v>0</v>
      </c>
      <c r="IY24" s="66">
        <f t="shared" si="71"/>
        <v>0</v>
      </c>
      <c r="IZ24" s="83"/>
      <c r="JA24" s="102"/>
      <c r="JB24" s="66">
        <f t="shared" si="72"/>
        <v>0</v>
      </c>
      <c r="JC24" s="66">
        <f t="shared" si="73"/>
        <v>0</v>
      </c>
      <c r="JD24" s="83"/>
      <c r="JE24" s="102"/>
      <c r="JF24" s="66">
        <f t="shared" si="165"/>
        <v>1</v>
      </c>
      <c r="JG24" s="66">
        <f t="shared" si="74"/>
        <v>110</v>
      </c>
      <c r="JH24" s="83"/>
      <c r="JI24" s="102"/>
      <c r="JJ24" s="66">
        <f t="shared" si="75"/>
        <v>0</v>
      </c>
      <c r="JK24" s="66">
        <f t="shared" si="76"/>
        <v>0</v>
      </c>
      <c r="JM24" s="102">
        <f t="shared" si="166"/>
        <v>0</v>
      </c>
      <c r="JO24" s="29">
        <f t="shared" si="77"/>
        <v>0</v>
      </c>
      <c r="JP24" s="122">
        <f t="shared" si="78"/>
        <v>0</v>
      </c>
      <c r="JQ24" s="122">
        <f t="shared" si="79"/>
        <v>0</v>
      </c>
      <c r="JR24" s="122">
        <f t="shared" si="80"/>
        <v>0</v>
      </c>
      <c r="JS24" s="122">
        <f t="shared" si="81"/>
        <v>0</v>
      </c>
      <c r="JT24" s="122">
        <f t="shared" si="82"/>
        <v>0</v>
      </c>
      <c r="JU24" s="122">
        <f t="shared" si="83"/>
        <v>0</v>
      </c>
      <c r="JV24" s="122">
        <f t="shared" si="84"/>
        <v>0</v>
      </c>
      <c r="JW24" s="122">
        <f t="shared" si="85"/>
        <v>0</v>
      </c>
      <c r="JX24" s="122">
        <f t="shared" si="86"/>
        <v>0</v>
      </c>
      <c r="JY24" s="122">
        <f t="shared" si="87"/>
        <v>0</v>
      </c>
      <c r="JZ24" s="122">
        <f t="shared" si="88"/>
        <v>0</v>
      </c>
      <c r="KA24" s="122">
        <f t="shared" si="89"/>
        <v>0</v>
      </c>
      <c r="KB24" s="122">
        <f t="shared" si="90"/>
        <v>0</v>
      </c>
      <c r="KD24" s="122">
        <f t="shared" si="167"/>
        <v>0</v>
      </c>
      <c r="KE24" s="122">
        <f t="shared" si="92"/>
        <v>0</v>
      </c>
      <c r="KF24" s="122">
        <f t="shared" si="93"/>
        <v>0</v>
      </c>
      <c r="KG24" s="122">
        <f t="shared" si="94"/>
        <v>0</v>
      </c>
      <c r="KH24" s="122">
        <f t="shared" si="95"/>
        <v>0</v>
      </c>
      <c r="KI24" s="122">
        <f t="shared" si="96"/>
        <v>0</v>
      </c>
      <c r="KJ24" s="122">
        <f t="shared" si="97"/>
        <v>0</v>
      </c>
      <c r="KK24" s="122">
        <f t="shared" si="98"/>
        <v>0</v>
      </c>
      <c r="KL24" s="122">
        <f t="shared" si="99"/>
        <v>0</v>
      </c>
      <c r="KM24" s="122">
        <f t="shared" si="100"/>
        <v>0</v>
      </c>
      <c r="KN24" s="123">
        <f t="shared" si="101"/>
        <v>0</v>
      </c>
      <c r="KO24" s="123">
        <f t="shared" si="102"/>
        <v>0</v>
      </c>
      <c r="KP24" s="123">
        <f t="shared" si="103"/>
        <v>0</v>
      </c>
      <c r="KQ24" s="123">
        <f t="shared" si="104"/>
        <v>0</v>
      </c>
      <c r="KR24" s="123">
        <f t="shared" si="105"/>
        <v>0</v>
      </c>
      <c r="KT24">
        <f t="shared" si="106"/>
        <v>0</v>
      </c>
      <c r="KU24" s="123"/>
      <c r="KV24" s="123"/>
      <c r="KW24" s="123"/>
      <c r="KX24" s="123"/>
      <c r="KY24" s="123"/>
      <c r="KZ24" s="123"/>
      <c r="LA24" s="123"/>
      <c r="LB24" s="123"/>
      <c r="LC24" s="123"/>
      <c r="LD24" s="123"/>
      <c r="LE24" s="123"/>
      <c r="LF24" s="123"/>
      <c r="LG24" s="123"/>
      <c r="LH24" s="123"/>
      <c r="LI24" s="123"/>
      <c r="LJ24" s="123"/>
      <c r="LK24" s="123"/>
      <c r="LL24" s="123"/>
      <c r="LM24" s="123"/>
      <c r="LN24" s="123"/>
      <c r="LO24" s="123"/>
      <c r="LP24" s="123"/>
      <c r="LQ24" s="123"/>
      <c r="LR24" s="123"/>
      <c r="LS24" s="123"/>
      <c r="LT24" s="123"/>
      <c r="LU24" s="123"/>
      <c r="LV24" s="123"/>
      <c r="LW24" s="123"/>
      <c r="LX24" s="123"/>
      <c r="LY24" s="123"/>
      <c r="LZ24" s="123"/>
      <c r="MA24" s="123"/>
      <c r="MB24" s="123"/>
      <c r="MC24" s="123"/>
      <c r="MD24" s="123"/>
      <c r="ME24" s="123"/>
      <c r="MF24" s="123"/>
      <c r="MG24" s="123"/>
      <c r="MH24" s="123"/>
      <c r="MI24" s="123"/>
      <c r="MJ24" s="123"/>
      <c r="MK24" s="123"/>
      <c r="ML24" s="123"/>
      <c r="MM24" s="123"/>
      <c r="MN24" s="123"/>
      <c r="MO24" s="123"/>
      <c r="MP24" s="123"/>
      <c r="MQ24" s="123"/>
      <c r="MR24" s="123"/>
      <c r="MS24" s="123"/>
      <c r="MT24" s="123"/>
      <c r="MU24" s="123"/>
      <c r="MV24" s="123"/>
      <c r="MW24" s="123"/>
      <c r="MX24" s="123"/>
      <c r="MY24" s="123"/>
      <c r="MZ24" s="123"/>
      <c r="NA24" s="123"/>
      <c r="NB24" s="123"/>
      <c r="NC24" s="123"/>
      <c r="ND24" s="123"/>
      <c r="NE24" s="123"/>
      <c r="NF24" s="123"/>
      <c r="NG24" s="123"/>
      <c r="NH24" s="123"/>
      <c r="NI24" s="123"/>
      <c r="NJ24" s="123"/>
      <c r="NK24" s="123"/>
      <c r="NM24">
        <f t="shared" si="168"/>
        <v>0</v>
      </c>
      <c r="NN24">
        <f t="shared" si="169"/>
        <v>0</v>
      </c>
      <c r="NO24">
        <f t="shared" si="170"/>
        <v>0</v>
      </c>
      <c r="NP24">
        <f t="shared" si="171"/>
        <v>0</v>
      </c>
      <c r="NQ24">
        <f t="shared" si="172"/>
        <v>0</v>
      </c>
      <c r="NR24">
        <f t="shared" si="173"/>
        <v>0</v>
      </c>
      <c r="NS24">
        <f t="shared" si="174"/>
        <v>0</v>
      </c>
      <c r="NT24">
        <f t="shared" si="175"/>
        <v>0</v>
      </c>
      <c r="NU24" s="29">
        <f t="shared" si="176"/>
        <v>0</v>
      </c>
      <c r="NY24" s="17">
        <f t="shared" si="108"/>
        <v>1</v>
      </c>
      <c r="NZ24" s="152">
        <v>7644000</v>
      </c>
      <c r="OE24" s="155">
        <f t="shared" si="109"/>
        <v>0</v>
      </c>
      <c r="OF24" s="155">
        <f t="shared" si="110"/>
        <v>0</v>
      </c>
      <c r="OG24" s="155">
        <f t="shared" si="111"/>
        <v>0</v>
      </c>
      <c r="OH24" s="155">
        <f t="shared" si="177"/>
        <v>0</v>
      </c>
      <c r="OI24" s="155">
        <f t="shared" si="112"/>
        <v>0</v>
      </c>
      <c r="OJ24" s="67">
        <f t="shared" si="178"/>
        <v>0</v>
      </c>
      <c r="OK24" s="67">
        <f t="shared" si="179"/>
        <v>0</v>
      </c>
      <c r="OL24" s="67">
        <f t="shared" si="180"/>
        <v>0</v>
      </c>
      <c r="OM24" s="67">
        <f t="shared" si="181"/>
        <v>0</v>
      </c>
      <c r="OO24" s="155">
        <f t="shared" si="113"/>
        <v>0</v>
      </c>
      <c r="OP24" s="155">
        <f t="shared" si="114"/>
        <v>0</v>
      </c>
      <c r="OQ24" s="155">
        <f t="shared" si="182"/>
        <v>0</v>
      </c>
      <c r="OR24" s="155">
        <f t="shared" si="183"/>
        <v>0</v>
      </c>
      <c r="OS24" s="155">
        <f t="shared" si="184"/>
        <v>0</v>
      </c>
      <c r="OT24" s="67">
        <f t="shared" si="185"/>
        <v>0</v>
      </c>
      <c r="OU24" s="67">
        <f t="shared" si="186"/>
        <v>0</v>
      </c>
      <c r="OV24" s="67">
        <f t="shared" si="187"/>
        <v>0</v>
      </c>
      <c r="OW24" s="67">
        <f t="shared" si="188"/>
        <v>0</v>
      </c>
      <c r="OZ24" s="163">
        <f t="shared" si="115"/>
        <v>0</v>
      </c>
      <c r="PA24" s="166"/>
      <c r="PB24" s="166"/>
      <c r="PC24" s="166"/>
      <c r="PD24" s="210">
        <f t="shared" si="116"/>
        <v>0</v>
      </c>
      <c r="PE24" s="210"/>
      <c r="PF24" s="210">
        <f t="shared" si="117"/>
        <v>0</v>
      </c>
      <c r="PG24" s="210">
        <f t="shared" si="118"/>
        <v>0</v>
      </c>
      <c r="PH24" s="210">
        <f t="shared" si="118"/>
        <v>0</v>
      </c>
      <c r="PI24" s="210">
        <f t="shared" si="118"/>
        <v>0</v>
      </c>
      <c r="PJ24" s="210">
        <f t="shared" si="118"/>
        <v>0</v>
      </c>
      <c r="PK24" s="210">
        <f t="shared" si="118"/>
        <v>0</v>
      </c>
      <c r="PL24" s="210">
        <f t="shared" si="118"/>
        <v>0</v>
      </c>
      <c r="PM24" s="164"/>
      <c r="PN24" s="164"/>
      <c r="PO24" s="172">
        <f t="shared" si="189"/>
        <v>0</v>
      </c>
      <c r="PP24" s="172">
        <f t="shared" si="190"/>
        <v>0</v>
      </c>
      <c r="PQ24" s="172">
        <f t="shared" si="191"/>
        <v>0</v>
      </c>
      <c r="PR24" s="164"/>
      <c r="PS24" s="164"/>
      <c r="PT24" s="164"/>
      <c r="PU24" s="164"/>
    </row>
    <row r="25" spans="1:437" ht="16" x14ac:dyDescent="0.2">
      <c r="A25" s="19">
        <f t="shared" si="192"/>
        <v>17</v>
      </c>
      <c r="B25" s="186" t="s">
        <v>640</v>
      </c>
      <c r="C25" s="138">
        <v>22</v>
      </c>
      <c r="D25" s="20">
        <v>1</v>
      </c>
      <c r="E25" s="20">
        <v>31</v>
      </c>
      <c r="F25" s="20">
        <v>1</v>
      </c>
      <c r="G25" s="20">
        <f t="shared" si="119"/>
        <v>31</v>
      </c>
      <c r="H25" s="137">
        <f t="shared" si="2"/>
        <v>1</v>
      </c>
      <c r="I25" s="137">
        <f t="shared" si="3"/>
        <v>1</v>
      </c>
      <c r="J25" s="20">
        <v>1</v>
      </c>
      <c r="K25" s="20">
        <f t="shared" si="4"/>
        <v>31</v>
      </c>
      <c r="L25" s="137">
        <f t="shared" si="5"/>
        <v>1</v>
      </c>
      <c r="M25" s="137">
        <f t="shared" si="6"/>
        <v>1</v>
      </c>
      <c r="N25" s="20">
        <v>1</v>
      </c>
      <c r="O25" s="20">
        <f t="shared" si="7"/>
        <v>31</v>
      </c>
      <c r="P25" s="137">
        <f t="shared" si="8"/>
        <v>1</v>
      </c>
      <c r="Q25" s="137">
        <f t="shared" si="9"/>
        <v>1</v>
      </c>
      <c r="R25" s="20">
        <v>1</v>
      </c>
      <c r="S25" s="20">
        <f t="shared" si="10"/>
        <v>31</v>
      </c>
      <c r="T25" s="137">
        <f t="shared" si="11"/>
        <v>1</v>
      </c>
      <c r="U25" s="137">
        <f t="shared" si="12"/>
        <v>1</v>
      </c>
      <c r="V25" s="20">
        <v>1</v>
      </c>
      <c r="W25" s="20">
        <f t="shared" si="13"/>
        <v>31</v>
      </c>
      <c r="X25" s="137">
        <f t="shared" si="14"/>
        <v>1</v>
      </c>
      <c r="Y25" s="137">
        <f t="shared" si="15"/>
        <v>1</v>
      </c>
      <c r="Z25" s="38">
        <f>282619700/1000000000</f>
        <v>0.28261969999999997</v>
      </c>
      <c r="AA25" s="188"/>
      <c r="AB25" s="189">
        <f t="shared" si="120"/>
        <v>0</v>
      </c>
      <c r="AC25" s="250">
        <f t="shared" si="121"/>
        <v>0</v>
      </c>
      <c r="AD25" s="250">
        <f t="shared" si="122"/>
        <v>0</v>
      </c>
      <c r="AE25" s="224"/>
      <c r="AF25" s="188">
        <f t="shared" si="123"/>
        <v>0</v>
      </c>
      <c r="AG25" s="188"/>
      <c r="AH25" s="20"/>
      <c r="AI25" s="20">
        <v>0</v>
      </c>
      <c r="AJ25" s="20">
        <f t="shared" si="18"/>
        <v>0</v>
      </c>
      <c r="AK25" s="20"/>
      <c r="AL25" s="20">
        <v>0</v>
      </c>
      <c r="AM25" s="20">
        <v>0</v>
      </c>
      <c r="AN25" s="139"/>
      <c r="BB25" s="20">
        <f t="shared" si="124"/>
        <v>0</v>
      </c>
      <c r="BE25" s="20">
        <f t="shared" si="19"/>
        <v>0</v>
      </c>
      <c r="BF25" s="20">
        <f t="shared" si="20"/>
        <v>0</v>
      </c>
      <c r="BG25" s="20">
        <f t="shared" si="21"/>
        <v>0</v>
      </c>
      <c r="BH25" s="20">
        <f t="shared" si="22"/>
        <v>0</v>
      </c>
      <c r="BI25" s="20">
        <f t="shared" si="23"/>
        <v>0</v>
      </c>
      <c r="BJ25" s="20">
        <f t="shared" si="24"/>
        <v>0</v>
      </c>
      <c r="BK25" s="20">
        <f t="shared" si="125"/>
        <v>0</v>
      </c>
      <c r="BN25" s="139"/>
      <c r="BO25" s="284"/>
      <c r="BP25" s="139"/>
      <c r="BQ25" s="139"/>
      <c r="BR25" s="139"/>
      <c r="BS25" s="139"/>
      <c r="BT25" s="139"/>
      <c r="BU25" s="139"/>
      <c r="BV25" s="139"/>
      <c r="BW25" s="139"/>
      <c r="BX25" s="139"/>
      <c r="BY25" s="139"/>
      <c r="BZ25" s="139"/>
      <c r="CB25" s="139"/>
      <c r="CD25" s="17">
        <f t="shared" si="126"/>
        <v>0</v>
      </c>
      <c r="CE25" s="17">
        <f t="shared" si="127"/>
        <v>0</v>
      </c>
      <c r="CF25" s="139">
        <f t="shared" si="128"/>
        <v>0</v>
      </c>
      <c r="CG25" s="139">
        <f t="shared" si="129"/>
        <v>0</v>
      </c>
      <c r="CH25" s="139">
        <f t="shared" si="130"/>
        <v>0</v>
      </c>
      <c r="CI25" s="139">
        <f t="shared" si="131"/>
        <v>0</v>
      </c>
      <c r="CJ25" s="139">
        <f t="shared" si="132"/>
        <v>0</v>
      </c>
      <c r="CK25" s="139">
        <f t="shared" si="133"/>
        <v>0</v>
      </c>
      <c r="CL25" s="139">
        <f t="shared" si="134"/>
        <v>0</v>
      </c>
      <c r="CM25" s="139">
        <f t="shared" si="135"/>
        <v>0</v>
      </c>
      <c r="CN25" s="139">
        <f t="shared" si="136"/>
        <v>0</v>
      </c>
      <c r="CO25" s="139">
        <f t="shared" si="137"/>
        <v>0</v>
      </c>
      <c r="CP25" s="139">
        <f t="shared" si="138"/>
        <v>0</v>
      </c>
      <c r="CQ25" s="148">
        <f t="shared" si="27"/>
        <v>0</v>
      </c>
      <c r="DV25" s="139">
        <f t="shared" si="28"/>
        <v>0</v>
      </c>
      <c r="DW25" s="139">
        <f t="shared" si="29"/>
        <v>0</v>
      </c>
      <c r="DX25" s="139">
        <f t="shared" si="30"/>
        <v>0</v>
      </c>
      <c r="DY25" s="139">
        <f t="shared" si="31"/>
        <v>0</v>
      </c>
      <c r="DZ25" s="139">
        <f t="shared" si="32"/>
        <v>0</v>
      </c>
      <c r="EA25" s="139">
        <f t="shared" si="33"/>
        <v>0</v>
      </c>
      <c r="EB25" s="139">
        <f t="shared" si="139"/>
        <v>0</v>
      </c>
      <c r="EG25" s="57">
        <f t="shared" si="140"/>
        <v>0</v>
      </c>
      <c r="EH25" s="57">
        <f t="shared" si="141"/>
        <v>0</v>
      </c>
      <c r="EI25" s="17"/>
      <c r="EJ25" s="17"/>
      <c r="EK25" s="17"/>
      <c r="EL25" s="17"/>
      <c r="EM25" s="17"/>
      <c r="EN25" s="17"/>
      <c r="EO25" s="17"/>
      <c r="EP25" s="17"/>
      <c r="EQ25" s="189"/>
      <c r="ER25" s="189"/>
      <c r="ES25" s="189"/>
      <c r="ET25" s="189"/>
      <c r="EU25" s="189"/>
      <c r="EV25" s="189"/>
      <c r="EW25" s="189"/>
      <c r="EX25" s="189"/>
      <c r="EY25" s="189"/>
      <c r="EZ25" s="189"/>
      <c r="FA25" s="189"/>
      <c r="FB25" s="189"/>
      <c r="FC25" s="189"/>
      <c r="FD25" s="17"/>
      <c r="FE25" s="17"/>
      <c r="FF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X25" s="80"/>
      <c r="FY25" s="17">
        <f t="shared" si="142"/>
        <v>0</v>
      </c>
      <c r="FZ25" s="17">
        <f t="shared" si="35"/>
        <v>0</v>
      </c>
      <c r="GA25" s="17">
        <f t="shared" si="36"/>
        <v>0</v>
      </c>
      <c r="GB25" s="17">
        <f t="shared" si="37"/>
        <v>0</v>
      </c>
      <c r="GC25" s="17">
        <f t="shared" si="38"/>
        <v>0</v>
      </c>
      <c r="GD25" s="17">
        <f t="shared" si="39"/>
        <v>0</v>
      </c>
      <c r="GE25" s="17">
        <f t="shared" si="40"/>
        <v>0</v>
      </c>
      <c r="GF25" s="67"/>
      <c r="GG25" s="17">
        <v>0</v>
      </c>
      <c r="GH25" s="17">
        <v>0</v>
      </c>
      <c r="GI25" s="67"/>
      <c r="GJ25" s="62">
        <f t="shared" si="143"/>
        <v>0</v>
      </c>
      <c r="GK25" s="62">
        <f t="shared" si="144"/>
        <v>0</v>
      </c>
      <c r="GO25" s="17">
        <f t="shared" si="41"/>
        <v>0</v>
      </c>
      <c r="GP25" s="17">
        <f t="shared" si="42"/>
        <v>0</v>
      </c>
      <c r="GQ25" s="17">
        <f t="shared" si="43"/>
        <v>0</v>
      </c>
      <c r="GR25" s="17">
        <f t="shared" si="44"/>
        <v>0</v>
      </c>
      <c r="GS25" s="17">
        <f t="shared" si="45"/>
        <v>0</v>
      </c>
      <c r="GT25" s="17">
        <f t="shared" si="145"/>
        <v>1</v>
      </c>
      <c r="GU25" s="101">
        <f t="shared" si="146"/>
        <v>43243</v>
      </c>
      <c r="GV25" s="17" t="str">
        <f t="shared" si="147"/>
        <v>SELESAI</v>
      </c>
      <c r="GW25" s="17">
        <f t="shared" si="148"/>
        <v>0</v>
      </c>
      <c r="GX25" s="66" t="str">
        <f t="shared" si="149"/>
        <v>SELESAI</v>
      </c>
      <c r="GY25" s="66">
        <f t="shared" si="150"/>
        <v>0</v>
      </c>
      <c r="GZ25" s="102" t="str">
        <f t="shared" si="151"/>
        <v>SELESAI</v>
      </c>
      <c r="HA25" s="83"/>
      <c r="HB25" s="83"/>
      <c r="HC25" s="17">
        <f t="shared" si="46"/>
        <v>0</v>
      </c>
      <c r="HD25" s="17">
        <f t="shared" si="47"/>
        <v>0</v>
      </c>
      <c r="HE25" s="17">
        <f t="shared" si="152"/>
        <v>0</v>
      </c>
      <c r="HF25" s="17">
        <f t="shared" si="153"/>
        <v>0</v>
      </c>
      <c r="HG25" s="17">
        <f t="shared" si="154"/>
        <v>0</v>
      </c>
      <c r="HH25" s="101" t="str">
        <f t="shared" si="48"/>
        <v>TIDAK KONSINYASI</v>
      </c>
      <c r="HI25" s="101" t="str">
        <f t="shared" si="155"/>
        <v>SELESAI</v>
      </c>
      <c r="HJ25" s="27"/>
      <c r="HK25" s="101">
        <f t="shared" si="49"/>
        <v>0</v>
      </c>
      <c r="HL25" s="83"/>
      <c r="HM25" s="83"/>
      <c r="HN25" s="83"/>
      <c r="HO25" s="83"/>
      <c r="HP25" s="102">
        <f t="shared" si="156"/>
        <v>0</v>
      </c>
      <c r="HQ25" s="66">
        <f t="shared" si="157"/>
        <v>0</v>
      </c>
      <c r="HR25" s="66">
        <f t="shared" si="50"/>
        <v>0</v>
      </c>
      <c r="HS25" s="102">
        <f t="shared" si="158"/>
        <v>0</v>
      </c>
      <c r="HT25" s="66">
        <f t="shared" si="159"/>
        <v>0</v>
      </c>
      <c r="HU25" s="66">
        <f t="shared" si="51"/>
        <v>0</v>
      </c>
      <c r="HV25" s="102">
        <f t="shared" si="160"/>
        <v>0</v>
      </c>
      <c r="HW25" s="66">
        <f t="shared" si="52"/>
        <v>0</v>
      </c>
      <c r="HX25" s="66">
        <f t="shared" si="53"/>
        <v>0</v>
      </c>
      <c r="HY25" s="102">
        <f t="shared" si="54"/>
        <v>0</v>
      </c>
      <c r="HZ25" s="66">
        <f t="shared" si="161"/>
        <v>0</v>
      </c>
      <c r="IA25" s="66">
        <f t="shared" si="55"/>
        <v>0</v>
      </c>
      <c r="IB25" s="102">
        <f t="shared" si="162"/>
        <v>0</v>
      </c>
      <c r="IC25" s="66">
        <f t="shared" si="56"/>
        <v>0</v>
      </c>
      <c r="ID25" s="66">
        <f t="shared" si="57"/>
        <v>0</v>
      </c>
      <c r="IE25" s="102">
        <f t="shared" si="58"/>
        <v>0</v>
      </c>
      <c r="IF25" s="66">
        <f t="shared" si="59"/>
        <v>0</v>
      </c>
      <c r="IG25" s="66">
        <f t="shared" si="60"/>
        <v>0</v>
      </c>
      <c r="IH25" s="102">
        <f t="shared" si="163"/>
        <v>0</v>
      </c>
      <c r="II25" s="66">
        <f t="shared" si="164"/>
        <v>0</v>
      </c>
      <c r="IJ25" s="66">
        <f t="shared" si="61"/>
        <v>0</v>
      </c>
      <c r="IK25" s="102">
        <f t="shared" si="62"/>
        <v>0</v>
      </c>
      <c r="IL25" s="66">
        <f t="shared" si="63"/>
        <v>0</v>
      </c>
      <c r="IM25" s="66">
        <f t="shared" si="64"/>
        <v>0</v>
      </c>
      <c r="IN25" s="83"/>
      <c r="IO25" s="102">
        <f t="shared" si="65"/>
        <v>0</v>
      </c>
      <c r="IP25" s="66">
        <f t="shared" si="66"/>
        <v>0</v>
      </c>
      <c r="IQ25" s="66">
        <f t="shared" si="67"/>
        <v>0</v>
      </c>
      <c r="IR25" s="83"/>
      <c r="IS25" s="102"/>
      <c r="IT25" s="66">
        <f t="shared" si="68"/>
        <v>1</v>
      </c>
      <c r="IU25" s="66">
        <f t="shared" si="69"/>
        <v>31</v>
      </c>
      <c r="IV25" s="83"/>
      <c r="IW25" s="102"/>
      <c r="IX25" s="66">
        <f t="shared" si="70"/>
        <v>0</v>
      </c>
      <c r="IY25" s="66">
        <f t="shared" si="71"/>
        <v>0</v>
      </c>
      <c r="IZ25" s="83"/>
      <c r="JA25" s="102"/>
      <c r="JB25" s="66">
        <f t="shared" si="72"/>
        <v>0</v>
      </c>
      <c r="JC25" s="66">
        <f t="shared" si="73"/>
        <v>0</v>
      </c>
      <c r="JD25" s="83"/>
      <c r="JE25" s="102"/>
      <c r="JF25" s="66">
        <f t="shared" si="165"/>
        <v>1</v>
      </c>
      <c r="JG25" s="66">
        <f t="shared" si="74"/>
        <v>31</v>
      </c>
      <c r="JH25" s="83"/>
      <c r="JI25" s="102"/>
      <c r="JJ25" s="66">
        <f t="shared" si="75"/>
        <v>0</v>
      </c>
      <c r="JK25" s="66">
        <f t="shared" si="76"/>
        <v>0</v>
      </c>
      <c r="JM25" s="102">
        <f t="shared" si="166"/>
        <v>0</v>
      </c>
      <c r="JO25" s="29">
        <f t="shared" si="77"/>
        <v>0</v>
      </c>
      <c r="JP25" s="122">
        <f t="shared" si="78"/>
        <v>0</v>
      </c>
      <c r="JQ25" s="122">
        <f t="shared" si="79"/>
        <v>0</v>
      </c>
      <c r="JR25" s="122">
        <f t="shared" si="80"/>
        <v>0</v>
      </c>
      <c r="JS25" s="122">
        <f t="shared" si="81"/>
        <v>0</v>
      </c>
      <c r="JT25" s="122">
        <f t="shared" si="82"/>
        <v>0</v>
      </c>
      <c r="JU25" s="122">
        <f t="shared" si="83"/>
        <v>0</v>
      </c>
      <c r="JV25" s="122">
        <f t="shared" si="84"/>
        <v>0</v>
      </c>
      <c r="JW25" s="122">
        <f t="shared" si="85"/>
        <v>0</v>
      </c>
      <c r="JX25" s="122">
        <f t="shared" si="86"/>
        <v>0</v>
      </c>
      <c r="JY25" s="122">
        <f t="shared" si="87"/>
        <v>0</v>
      </c>
      <c r="JZ25" s="122">
        <f t="shared" si="88"/>
        <v>0</v>
      </c>
      <c r="KA25" s="122">
        <f t="shared" si="89"/>
        <v>0</v>
      </c>
      <c r="KB25" s="122">
        <f t="shared" si="90"/>
        <v>0</v>
      </c>
      <c r="KD25" s="122">
        <f t="shared" si="167"/>
        <v>0</v>
      </c>
      <c r="KE25" s="122">
        <f t="shared" si="92"/>
        <v>0</v>
      </c>
      <c r="KF25" s="122">
        <f t="shared" si="93"/>
        <v>0</v>
      </c>
      <c r="KG25" s="122">
        <f t="shared" si="94"/>
        <v>0</v>
      </c>
      <c r="KH25" s="122">
        <f t="shared" si="95"/>
        <v>0</v>
      </c>
      <c r="KI25" s="122">
        <f t="shared" si="96"/>
        <v>0</v>
      </c>
      <c r="KJ25" s="122">
        <f t="shared" si="97"/>
        <v>0</v>
      </c>
      <c r="KK25" s="122">
        <f t="shared" si="98"/>
        <v>0</v>
      </c>
      <c r="KL25" s="122">
        <f t="shared" si="99"/>
        <v>0</v>
      </c>
      <c r="KM25" s="122">
        <f t="shared" si="100"/>
        <v>0</v>
      </c>
      <c r="KN25" s="123">
        <f t="shared" si="101"/>
        <v>0</v>
      </c>
      <c r="KO25" s="123">
        <f t="shared" si="102"/>
        <v>0</v>
      </c>
      <c r="KP25" s="123">
        <f t="shared" si="103"/>
        <v>0</v>
      </c>
      <c r="KQ25" s="123">
        <f t="shared" si="104"/>
        <v>0</v>
      </c>
      <c r="KR25" s="123">
        <f t="shared" si="105"/>
        <v>0</v>
      </c>
      <c r="KT25">
        <f t="shared" si="106"/>
        <v>0</v>
      </c>
      <c r="KU25" s="123"/>
      <c r="KV25" s="123"/>
      <c r="KW25" s="123"/>
      <c r="KX25" s="123"/>
      <c r="KY25" s="123"/>
      <c r="KZ25" s="123"/>
      <c r="LA25" s="123"/>
      <c r="LB25" s="123"/>
      <c r="LC25" s="123"/>
      <c r="LD25" s="123"/>
      <c r="LE25" s="123"/>
      <c r="LF25" s="123"/>
      <c r="LG25" s="123"/>
      <c r="LH25" s="123"/>
      <c r="LI25" s="123"/>
      <c r="LJ25" s="123"/>
      <c r="LK25" s="123"/>
      <c r="LL25" s="123"/>
      <c r="LM25" s="123"/>
      <c r="LN25" s="123"/>
      <c r="LO25" s="123"/>
      <c r="LP25" s="123"/>
      <c r="LQ25" s="123"/>
      <c r="LR25" s="123"/>
      <c r="LS25" s="123"/>
      <c r="LT25" s="123"/>
      <c r="LU25" s="123"/>
      <c r="LV25" s="123"/>
      <c r="LW25" s="123"/>
      <c r="LX25" s="123"/>
      <c r="LY25" s="123"/>
      <c r="LZ25" s="123"/>
      <c r="MA25" s="123"/>
      <c r="MB25" s="123"/>
      <c r="MC25" s="123"/>
      <c r="MD25" s="123"/>
      <c r="ME25" s="123"/>
      <c r="MF25" s="123"/>
      <c r="MG25" s="123"/>
      <c r="MH25" s="123"/>
      <c r="MI25" s="123"/>
      <c r="MJ25" s="123"/>
      <c r="MK25" s="123"/>
      <c r="ML25" s="123"/>
      <c r="MM25" s="123"/>
      <c r="MN25" s="123"/>
      <c r="MO25" s="123"/>
      <c r="MP25" s="123"/>
      <c r="MQ25" s="123"/>
      <c r="MR25" s="123"/>
      <c r="MS25" s="123"/>
      <c r="MT25" s="123"/>
      <c r="MU25" s="123"/>
      <c r="MV25" s="123"/>
      <c r="MW25" s="123"/>
      <c r="MX25" s="123"/>
      <c r="MY25" s="123"/>
      <c r="MZ25" s="123"/>
      <c r="NA25" s="123"/>
      <c r="NB25" s="123"/>
      <c r="NC25" s="123"/>
      <c r="ND25" s="123"/>
      <c r="NE25" s="123"/>
      <c r="NF25" s="123"/>
      <c r="NG25" s="123"/>
      <c r="NH25" s="123"/>
      <c r="NI25" s="123"/>
      <c r="NJ25" s="123"/>
      <c r="NK25" s="123"/>
      <c r="NM25">
        <f t="shared" si="168"/>
        <v>0</v>
      </c>
      <c r="NN25">
        <f t="shared" si="169"/>
        <v>0</v>
      </c>
      <c r="NO25">
        <f t="shared" si="170"/>
        <v>0</v>
      </c>
      <c r="NP25">
        <f t="shared" si="171"/>
        <v>0</v>
      </c>
      <c r="NQ25">
        <f t="shared" si="172"/>
        <v>0</v>
      </c>
      <c r="NR25">
        <f t="shared" si="173"/>
        <v>0</v>
      </c>
      <c r="NS25">
        <f t="shared" si="174"/>
        <v>0</v>
      </c>
      <c r="NT25">
        <f t="shared" si="175"/>
        <v>0</v>
      </c>
      <c r="NU25" s="29">
        <f t="shared" si="176"/>
        <v>0</v>
      </c>
      <c r="NY25" s="17">
        <f t="shared" si="108"/>
        <v>1</v>
      </c>
      <c r="NZ25" s="152">
        <v>7644000</v>
      </c>
      <c r="OE25" s="155">
        <f t="shared" si="109"/>
        <v>0</v>
      </c>
      <c r="OF25" s="155">
        <f t="shared" si="110"/>
        <v>0</v>
      </c>
      <c r="OG25" s="155">
        <f t="shared" si="111"/>
        <v>0</v>
      </c>
      <c r="OH25" s="155">
        <f t="shared" si="177"/>
        <v>0</v>
      </c>
      <c r="OI25" s="155">
        <f t="shared" si="112"/>
        <v>0</v>
      </c>
      <c r="OJ25" s="67">
        <f t="shared" si="178"/>
        <v>0</v>
      </c>
      <c r="OK25" s="67">
        <f t="shared" si="179"/>
        <v>0</v>
      </c>
      <c r="OL25" s="67">
        <f t="shared" si="180"/>
        <v>0</v>
      </c>
      <c r="OM25" s="67">
        <f t="shared" si="181"/>
        <v>0</v>
      </c>
      <c r="OO25" s="155">
        <f t="shared" si="113"/>
        <v>0</v>
      </c>
      <c r="OP25" s="155">
        <f t="shared" si="114"/>
        <v>0</v>
      </c>
      <c r="OQ25" s="155">
        <f t="shared" si="182"/>
        <v>0</v>
      </c>
      <c r="OR25" s="155">
        <f t="shared" si="183"/>
        <v>0</v>
      </c>
      <c r="OS25" s="155">
        <f t="shared" si="184"/>
        <v>0</v>
      </c>
      <c r="OT25" s="67">
        <f t="shared" si="185"/>
        <v>0</v>
      </c>
      <c r="OU25" s="67">
        <f t="shared" si="186"/>
        <v>0</v>
      </c>
      <c r="OV25" s="67">
        <f t="shared" si="187"/>
        <v>0</v>
      </c>
      <c r="OW25" s="67">
        <f t="shared" si="188"/>
        <v>0</v>
      </c>
      <c r="OZ25" s="163">
        <f t="shared" si="115"/>
        <v>0</v>
      </c>
      <c r="PA25" s="166"/>
      <c r="PB25" s="166"/>
      <c r="PC25" s="166"/>
      <c r="PD25" s="210">
        <f t="shared" si="116"/>
        <v>0</v>
      </c>
      <c r="PE25" s="210"/>
      <c r="PF25" s="210">
        <f t="shared" si="117"/>
        <v>0</v>
      </c>
      <c r="PG25" s="210">
        <f t="shared" si="118"/>
        <v>0</v>
      </c>
      <c r="PH25" s="210">
        <f t="shared" si="118"/>
        <v>0</v>
      </c>
      <c r="PI25" s="210">
        <f t="shared" si="118"/>
        <v>0</v>
      </c>
      <c r="PJ25" s="210">
        <f t="shared" si="118"/>
        <v>0</v>
      </c>
      <c r="PK25" s="210">
        <f t="shared" si="118"/>
        <v>0</v>
      </c>
      <c r="PL25" s="210">
        <f t="shared" si="118"/>
        <v>0</v>
      </c>
      <c r="PM25" s="164"/>
      <c r="PN25" s="164"/>
      <c r="PO25" s="172">
        <f t="shared" si="189"/>
        <v>0</v>
      </c>
      <c r="PP25" s="172">
        <f t="shared" si="190"/>
        <v>0</v>
      </c>
      <c r="PQ25" s="172">
        <f t="shared" si="191"/>
        <v>0</v>
      </c>
      <c r="PR25" s="164"/>
      <c r="PS25" s="164"/>
      <c r="PT25" s="164"/>
      <c r="PU25" s="164"/>
    </row>
    <row r="26" spans="1:437" ht="16" x14ac:dyDescent="0.2">
      <c r="A26" s="19">
        <f t="shared" si="192"/>
        <v>18</v>
      </c>
      <c r="B26" s="138" t="s">
        <v>153</v>
      </c>
      <c r="C26" s="138">
        <v>23</v>
      </c>
      <c r="D26" s="20">
        <v>1</v>
      </c>
      <c r="E26" s="20">
        <v>325</v>
      </c>
      <c r="F26" s="20">
        <v>1</v>
      </c>
      <c r="G26" s="20">
        <f t="shared" si="119"/>
        <v>325</v>
      </c>
      <c r="H26" s="137">
        <f t="shared" si="2"/>
        <v>1</v>
      </c>
      <c r="I26" s="137">
        <f t="shared" si="3"/>
        <v>1</v>
      </c>
      <c r="J26" s="20">
        <v>1</v>
      </c>
      <c r="K26" s="20">
        <f t="shared" si="4"/>
        <v>325</v>
      </c>
      <c r="L26" s="137">
        <f t="shared" si="5"/>
        <v>1</v>
      </c>
      <c r="M26" s="137">
        <f t="shared" si="6"/>
        <v>1</v>
      </c>
      <c r="N26" s="20">
        <v>1</v>
      </c>
      <c r="O26" s="20">
        <f t="shared" si="7"/>
        <v>325</v>
      </c>
      <c r="P26" s="137">
        <f t="shared" si="8"/>
        <v>1</v>
      </c>
      <c r="Q26" s="137">
        <f t="shared" si="9"/>
        <v>1</v>
      </c>
      <c r="R26" s="20">
        <v>0</v>
      </c>
      <c r="S26" s="20">
        <f t="shared" si="10"/>
        <v>0</v>
      </c>
      <c r="T26" s="137">
        <f t="shared" si="11"/>
        <v>0</v>
      </c>
      <c r="U26" s="137">
        <f t="shared" si="12"/>
        <v>0</v>
      </c>
      <c r="V26" s="20">
        <v>0</v>
      </c>
      <c r="W26" s="20">
        <f t="shared" si="13"/>
        <v>0</v>
      </c>
      <c r="X26" s="137">
        <f t="shared" si="14"/>
        <v>0</v>
      </c>
      <c r="Y26" s="137">
        <f t="shared" si="15"/>
        <v>0</v>
      </c>
      <c r="Z26" s="20">
        <v>0</v>
      </c>
      <c r="AA26" s="188"/>
      <c r="AB26" s="189">
        <f t="shared" si="120"/>
        <v>0</v>
      </c>
      <c r="AC26" s="250">
        <f t="shared" si="121"/>
        <v>0</v>
      </c>
      <c r="AD26" s="250">
        <f t="shared" si="122"/>
        <v>0</v>
      </c>
      <c r="AE26" s="224"/>
      <c r="AF26" s="188">
        <f t="shared" si="123"/>
        <v>0</v>
      </c>
      <c r="AG26" s="188"/>
      <c r="AH26" s="20"/>
      <c r="AI26" s="20">
        <v>0</v>
      </c>
      <c r="AJ26" s="20">
        <f t="shared" si="18"/>
        <v>0</v>
      </c>
      <c r="AK26" s="20"/>
      <c r="AL26" s="20">
        <v>0</v>
      </c>
      <c r="AM26" s="20">
        <v>0</v>
      </c>
      <c r="AN26" s="139">
        <v>1</v>
      </c>
      <c r="BB26" s="20">
        <f t="shared" si="124"/>
        <v>325</v>
      </c>
      <c r="BE26" s="20">
        <f t="shared" si="19"/>
        <v>0</v>
      </c>
      <c r="BF26" s="20">
        <f t="shared" si="20"/>
        <v>0</v>
      </c>
      <c r="BG26" s="20">
        <f t="shared" si="21"/>
        <v>0</v>
      </c>
      <c r="BH26" s="20">
        <f t="shared" si="22"/>
        <v>0</v>
      </c>
      <c r="BI26" s="20">
        <f t="shared" si="23"/>
        <v>0</v>
      </c>
      <c r="BJ26" s="20">
        <f t="shared" si="24"/>
        <v>0</v>
      </c>
      <c r="BK26" s="20">
        <f t="shared" si="125"/>
        <v>0</v>
      </c>
      <c r="BN26" s="139"/>
      <c r="BO26" s="284"/>
      <c r="BP26" s="139"/>
      <c r="BQ26" s="139"/>
      <c r="BR26" s="139"/>
      <c r="BS26" s="139"/>
      <c r="BT26" s="139"/>
      <c r="BU26" s="139"/>
      <c r="BV26" s="139"/>
      <c r="BW26" s="139"/>
      <c r="BX26" s="139"/>
      <c r="BY26" s="139"/>
      <c r="BZ26" s="139"/>
      <c r="CB26" s="139"/>
      <c r="CD26" s="17">
        <f t="shared" si="126"/>
        <v>0</v>
      </c>
      <c r="CE26" s="17">
        <f t="shared" si="127"/>
        <v>0</v>
      </c>
      <c r="CF26" s="139">
        <f t="shared" si="128"/>
        <v>0</v>
      </c>
      <c r="CG26" s="139">
        <f t="shared" si="129"/>
        <v>0</v>
      </c>
      <c r="CH26" s="139">
        <f t="shared" si="130"/>
        <v>0</v>
      </c>
      <c r="CI26" s="139">
        <f t="shared" si="131"/>
        <v>0</v>
      </c>
      <c r="CJ26" s="139">
        <f t="shared" si="132"/>
        <v>0</v>
      </c>
      <c r="CK26" s="139">
        <f t="shared" si="133"/>
        <v>0</v>
      </c>
      <c r="CL26" s="139">
        <f t="shared" si="134"/>
        <v>0</v>
      </c>
      <c r="CM26" s="139">
        <f t="shared" si="135"/>
        <v>0</v>
      </c>
      <c r="CN26" s="139">
        <f t="shared" si="136"/>
        <v>0</v>
      </c>
      <c r="CO26" s="139">
        <f t="shared" si="137"/>
        <v>0</v>
      </c>
      <c r="CP26" s="139">
        <f t="shared" si="138"/>
        <v>0</v>
      </c>
      <c r="CQ26" s="148">
        <f t="shared" si="27"/>
        <v>0</v>
      </c>
      <c r="DV26" s="139">
        <f t="shared" si="28"/>
        <v>0</v>
      </c>
      <c r="DW26" s="139">
        <f t="shared" si="29"/>
        <v>0</v>
      </c>
      <c r="DX26" s="139">
        <f t="shared" si="30"/>
        <v>0</v>
      </c>
      <c r="DY26" s="139">
        <f t="shared" si="31"/>
        <v>0</v>
      </c>
      <c r="DZ26" s="139">
        <f t="shared" si="32"/>
        <v>0</v>
      </c>
      <c r="EA26" s="139">
        <f t="shared" si="33"/>
        <v>0</v>
      </c>
      <c r="EB26" s="139">
        <f t="shared" si="139"/>
        <v>0</v>
      </c>
      <c r="EG26" s="57">
        <f t="shared" si="140"/>
        <v>0</v>
      </c>
      <c r="EH26" s="57">
        <f t="shared" si="141"/>
        <v>0</v>
      </c>
      <c r="EI26" s="17"/>
      <c r="EJ26" s="17"/>
      <c r="EK26" s="17"/>
      <c r="EL26" s="17"/>
      <c r="EM26" s="17"/>
      <c r="EN26" s="17"/>
      <c r="EO26" s="17"/>
      <c r="EP26" s="17"/>
      <c r="EQ26" s="189"/>
      <c r="ER26" s="189"/>
      <c r="ES26" s="189"/>
      <c r="ET26" s="189"/>
      <c r="EU26" s="189"/>
      <c r="EV26" s="189"/>
      <c r="EW26" s="189"/>
      <c r="EX26" s="189"/>
      <c r="EY26" s="189"/>
      <c r="EZ26" s="189"/>
      <c r="FA26" s="189"/>
      <c r="FB26" s="189"/>
      <c r="FC26" s="189"/>
      <c r="FD26" s="17"/>
      <c r="FE26" s="17"/>
      <c r="FF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X26" s="80"/>
      <c r="FY26" s="17">
        <f t="shared" si="142"/>
        <v>0</v>
      </c>
      <c r="FZ26" s="17">
        <f t="shared" si="35"/>
        <v>0</v>
      </c>
      <c r="GA26" s="17">
        <f t="shared" si="36"/>
        <v>0</v>
      </c>
      <c r="GB26" s="17">
        <f t="shared" si="37"/>
        <v>0</v>
      </c>
      <c r="GC26" s="17">
        <f t="shared" si="38"/>
        <v>0</v>
      </c>
      <c r="GD26" s="17">
        <f t="shared" si="39"/>
        <v>0</v>
      </c>
      <c r="GE26" s="17">
        <f t="shared" si="40"/>
        <v>0</v>
      </c>
      <c r="GF26" s="67"/>
      <c r="GG26" s="17">
        <v>0</v>
      </c>
      <c r="GH26" s="17">
        <v>0</v>
      </c>
      <c r="GI26" s="67"/>
      <c r="GJ26" s="62">
        <f t="shared" si="143"/>
        <v>0</v>
      </c>
      <c r="GK26" s="62">
        <f t="shared" si="144"/>
        <v>0</v>
      </c>
      <c r="GO26" s="17">
        <f t="shared" si="41"/>
        <v>0</v>
      </c>
      <c r="GP26" s="17">
        <f t="shared" si="42"/>
        <v>0</v>
      </c>
      <c r="GQ26" s="17">
        <f t="shared" si="43"/>
        <v>0</v>
      </c>
      <c r="GR26" s="17">
        <f t="shared" si="44"/>
        <v>1</v>
      </c>
      <c r="GS26" s="17">
        <f t="shared" si="45"/>
        <v>1</v>
      </c>
      <c r="GT26" s="17">
        <f t="shared" si="145"/>
        <v>0</v>
      </c>
      <c r="GU26" s="101">
        <f t="shared" si="146"/>
        <v>43243</v>
      </c>
      <c r="GV26" s="17" t="str">
        <f t="shared" si="147"/>
        <v>Musyawarah</v>
      </c>
      <c r="GW26" s="17">
        <f t="shared" si="148"/>
        <v>1</v>
      </c>
      <c r="GX26" s="66" t="str">
        <f t="shared" si="149"/>
        <v>Musyawarah</v>
      </c>
      <c r="GY26" s="66">
        <f t="shared" si="150"/>
        <v>24</v>
      </c>
      <c r="GZ26" s="102">
        <f t="shared" si="151"/>
        <v>43267</v>
      </c>
      <c r="HA26" s="83"/>
      <c r="HB26" s="83"/>
      <c r="HC26" s="17">
        <f t="shared" si="46"/>
        <v>0</v>
      </c>
      <c r="HD26" s="17">
        <f t="shared" si="47"/>
        <v>0</v>
      </c>
      <c r="HE26" s="17">
        <f t="shared" si="152"/>
        <v>0</v>
      </c>
      <c r="HF26" s="17">
        <f t="shared" si="153"/>
        <v>0</v>
      </c>
      <c r="HG26" s="17">
        <f t="shared" si="154"/>
        <v>0</v>
      </c>
      <c r="HH26" s="101" t="str">
        <f t="shared" si="48"/>
        <v>TIDAK KONSINYASI</v>
      </c>
      <c r="HI26" s="101">
        <f t="shared" si="155"/>
        <v>43312</v>
      </c>
      <c r="HJ26" s="27"/>
      <c r="HK26" s="101">
        <f t="shared" si="49"/>
        <v>43312</v>
      </c>
      <c r="HL26" s="83"/>
      <c r="HM26" s="83"/>
      <c r="HN26" s="83"/>
      <c r="HO26" s="83"/>
      <c r="HP26" s="102">
        <f t="shared" si="156"/>
        <v>0</v>
      </c>
      <c r="HQ26" s="66">
        <f t="shared" si="157"/>
        <v>0</v>
      </c>
      <c r="HR26" s="66">
        <f t="shared" si="50"/>
        <v>0</v>
      </c>
      <c r="HS26" s="102">
        <f t="shared" si="158"/>
        <v>0</v>
      </c>
      <c r="HT26" s="66">
        <f t="shared" si="159"/>
        <v>0</v>
      </c>
      <c r="HU26" s="66">
        <f t="shared" si="51"/>
        <v>0</v>
      </c>
      <c r="HV26" s="102">
        <f t="shared" si="160"/>
        <v>0</v>
      </c>
      <c r="HW26" s="66">
        <f t="shared" si="52"/>
        <v>0</v>
      </c>
      <c r="HX26" s="66">
        <f t="shared" si="53"/>
        <v>0</v>
      </c>
      <c r="HY26" s="102">
        <f t="shared" si="54"/>
        <v>0</v>
      </c>
      <c r="HZ26" s="66">
        <f t="shared" si="161"/>
        <v>0</v>
      </c>
      <c r="IA26" s="66">
        <f t="shared" si="55"/>
        <v>0</v>
      </c>
      <c r="IB26" s="102">
        <f t="shared" si="162"/>
        <v>0</v>
      </c>
      <c r="IC26" s="66">
        <f t="shared" si="56"/>
        <v>0</v>
      </c>
      <c r="ID26" s="66">
        <f t="shared" si="57"/>
        <v>0</v>
      </c>
      <c r="IE26" s="102">
        <f t="shared" si="58"/>
        <v>0</v>
      </c>
      <c r="IF26" s="66">
        <f t="shared" si="59"/>
        <v>0</v>
      </c>
      <c r="IG26" s="66">
        <f t="shared" si="60"/>
        <v>0</v>
      </c>
      <c r="IH26" s="102">
        <f t="shared" si="163"/>
        <v>0</v>
      </c>
      <c r="II26" s="66">
        <f t="shared" si="164"/>
        <v>0</v>
      </c>
      <c r="IJ26" s="66">
        <f t="shared" si="61"/>
        <v>0</v>
      </c>
      <c r="IK26" s="102">
        <f t="shared" si="62"/>
        <v>0</v>
      </c>
      <c r="IL26" s="66">
        <f t="shared" si="63"/>
        <v>0</v>
      </c>
      <c r="IM26" s="66">
        <f t="shared" si="64"/>
        <v>0</v>
      </c>
      <c r="IN26" s="83"/>
      <c r="IO26" s="102">
        <f t="shared" si="65"/>
        <v>0</v>
      </c>
      <c r="IP26" s="66">
        <f t="shared" si="66"/>
        <v>0</v>
      </c>
      <c r="IQ26" s="66">
        <f t="shared" si="67"/>
        <v>0</v>
      </c>
      <c r="IR26" s="83"/>
      <c r="IS26" s="102"/>
      <c r="IT26" s="66">
        <f t="shared" si="68"/>
        <v>0</v>
      </c>
      <c r="IU26" s="66">
        <f t="shared" si="69"/>
        <v>0</v>
      </c>
      <c r="IV26" s="83"/>
      <c r="IW26" s="102"/>
      <c r="IX26" s="66">
        <f t="shared" si="70"/>
        <v>0</v>
      </c>
      <c r="IY26" s="66">
        <f t="shared" si="71"/>
        <v>0</v>
      </c>
      <c r="IZ26" s="83"/>
      <c r="JA26" s="102"/>
      <c r="JB26" s="66">
        <f t="shared" si="72"/>
        <v>1</v>
      </c>
      <c r="JC26" s="66">
        <f t="shared" si="73"/>
        <v>325</v>
      </c>
      <c r="JD26" s="83"/>
      <c r="JE26" s="102"/>
      <c r="JF26" s="66">
        <f t="shared" si="165"/>
        <v>1</v>
      </c>
      <c r="JG26" s="66">
        <f t="shared" si="74"/>
        <v>325</v>
      </c>
      <c r="JH26" s="83"/>
      <c r="JI26" s="102"/>
      <c r="JJ26" s="66">
        <f t="shared" si="75"/>
        <v>0</v>
      </c>
      <c r="JK26" s="66">
        <f t="shared" si="76"/>
        <v>0</v>
      </c>
      <c r="JM26" s="102">
        <f t="shared" si="166"/>
        <v>0</v>
      </c>
      <c r="JO26" s="29">
        <f t="shared" si="77"/>
        <v>0</v>
      </c>
      <c r="JP26" s="122">
        <f t="shared" si="78"/>
        <v>0</v>
      </c>
      <c r="JQ26" s="122">
        <f t="shared" si="79"/>
        <v>0</v>
      </c>
      <c r="JR26" s="122">
        <f t="shared" si="80"/>
        <v>0</v>
      </c>
      <c r="JS26" s="122">
        <f t="shared" si="81"/>
        <v>0</v>
      </c>
      <c r="JT26" s="122">
        <f t="shared" si="82"/>
        <v>0</v>
      </c>
      <c r="JU26" s="122">
        <f t="shared" si="83"/>
        <v>0</v>
      </c>
      <c r="JV26" s="122">
        <f t="shared" si="84"/>
        <v>0</v>
      </c>
      <c r="JW26" s="122">
        <f t="shared" si="85"/>
        <v>0</v>
      </c>
      <c r="JX26" s="122">
        <f t="shared" si="86"/>
        <v>0</v>
      </c>
      <c r="JY26" s="122">
        <f t="shared" si="87"/>
        <v>0</v>
      </c>
      <c r="JZ26" s="122">
        <f t="shared" si="88"/>
        <v>0</v>
      </c>
      <c r="KA26" s="122">
        <f t="shared" si="89"/>
        <v>0</v>
      </c>
      <c r="KB26" s="122">
        <f t="shared" si="90"/>
        <v>0</v>
      </c>
      <c r="KD26" s="122">
        <f t="shared" si="167"/>
        <v>0</v>
      </c>
      <c r="KE26" s="122">
        <f t="shared" si="92"/>
        <v>0</v>
      </c>
      <c r="KF26" s="122">
        <f t="shared" si="93"/>
        <v>0</v>
      </c>
      <c r="KG26" s="122">
        <f t="shared" si="94"/>
        <v>0</v>
      </c>
      <c r="KH26" s="122">
        <f t="shared" si="95"/>
        <v>0</v>
      </c>
      <c r="KI26" s="122">
        <f t="shared" si="96"/>
        <v>0</v>
      </c>
      <c r="KJ26" s="122">
        <f t="shared" si="97"/>
        <v>0</v>
      </c>
      <c r="KK26" s="122">
        <f t="shared" si="98"/>
        <v>0</v>
      </c>
      <c r="KL26" s="122">
        <f t="shared" si="99"/>
        <v>0</v>
      </c>
      <c r="KM26" s="122">
        <f t="shared" si="100"/>
        <v>0</v>
      </c>
      <c r="KN26" s="123">
        <f t="shared" si="101"/>
        <v>0</v>
      </c>
      <c r="KO26" s="123">
        <f t="shared" si="102"/>
        <v>0</v>
      </c>
      <c r="KP26" s="123">
        <f t="shared" si="103"/>
        <v>0</v>
      </c>
      <c r="KQ26" s="123">
        <f t="shared" si="104"/>
        <v>0</v>
      </c>
      <c r="KR26" s="123">
        <f t="shared" si="105"/>
        <v>0</v>
      </c>
      <c r="KS26">
        <v>7</v>
      </c>
      <c r="KT26">
        <f t="shared" si="106"/>
        <v>1</v>
      </c>
      <c r="KU26" s="123"/>
      <c r="KV26" s="123"/>
      <c r="KW26" s="123"/>
      <c r="KX26" s="123"/>
      <c r="KY26" s="123"/>
      <c r="KZ26" s="123"/>
      <c r="LA26" s="123"/>
      <c r="LB26" s="123"/>
      <c r="LC26" s="123"/>
      <c r="LD26" s="123"/>
      <c r="LE26" s="123"/>
      <c r="LF26" s="123"/>
      <c r="LG26" s="123"/>
      <c r="LH26" s="123"/>
      <c r="LI26" s="123"/>
      <c r="LJ26" s="123"/>
      <c r="LK26" s="123"/>
      <c r="LL26" s="123"/>
      <c r="LM26" s="123"/>
      <c r="LN26" s="123"/>
      <c r="LO26" s="123"/>
      <c r="LP26" s="123"/>
      <c r="LQ26" s="123"/>
      <c r="LR26" s="123"/>
      <c r="LS26" s="123"/>
      <c r="LT26" s="123"/>
      <c r="LU26" s="123"/>
      <c r="LV26" s="123"/>
      <c r="LW26" s="123"/>
      <c r="LX26" s="123"/>
      <c r="LY26" s="123"/>
      <c r="LZ26" s="123"/>
      <c r="MA26" s="123"/>
      <c r="MB26" s="123"/>
      <c r="MC26" s="123"/>
      <c r="MD26" s="123"/>
      <c r="ME26" s="123"/>
      <c r="MF26" s="123"/>
      <c r="MG26" s="123"/>
      <c r="MH26" s="123"/>
      <c r="MI26" s="123"/>
      <c r="MJ26" s="123"/>
      <c r="MK26" s="123"/>
      <c r="ML26" s="123"/>
      <c r="MM26" s="123"/>
      <c r="MN26" s="123"/>
      <c r="MO26" s="123"/>
      <c r="MP26" s="123"/>
      <c r="MQ26" s="123"/>
      <c r="MR26" s="123"/>
      <c r="MS26" s="123"/>
      <c r="MT26" s="123"/>
      <c r="MU26" s="123"/>
      <c r="MV26" s="123"/>
      <c r="MW26" s="123"/>
      <c r="MX26" s="123">
        <v>1</v>
      </c>
      <c r="MY26" s="123"/>
      <c r="MZ26" s="123"/>
      <c r="NA26" s="123"/>
      <c r="NB26" s="123"/>
      <c r="NC26" s="123"/>
      <c r="ND26" s="123"/>
      <c r="NE26" s="123"/>
      <c r="NF26" s="123"/>
      <c r="NG26" s="123"/>
      <c r="NH26" s="123"/>
      <c r="NI26" s="123"/>
      <c r="NJ26" s="123"/>
      <c r="NK26" s="123"/>
      <c r="NM26">
        <f t="shared" si="168"/>
        <v>0</v>
      </c>
      <c r="NN26">
        <f t="shared" si="169"/>
        <v>0</v>
      </c>
      <c r="NO26">
        <f t="shared" si="170"/>
        <v>0</v>
      </c>
      <c r="NP26">
        <f t="shared" si="171"/>
        <v>0</v>
      </c>
      <c r="NQ26">
        <f t="shared" si="172"/>
        <v>0</v>
      </c>
      <c r="NR26">
        <f t="shared" si="173"/>
        <v>0</v>
      </c>
      <c r="NS26">
        <f t="shared" si="174"/>
        <v>1</v>
      </c>
      <c r="NT26">
        <f t="shared" si="175"/>
        <v>1</v>
      </c>
      <c r="NU26" s="29">
        <f t="shared" si="176"/>
        <v>0</v>
      </c>
      <c r="NY26" s="17">
        <f t="shared" si="108"/>
        <v>0</v>
      </c>
      <c r="NZ26" s="152"/>
      <c r="OE26" s="155">
        <f t="shared" si="109"/>
        <v>0</v>
      </c>
      <c r="OF26" s="155">
        <f t="shared" si="110"/>
        <v>0</v>
      </c>
      <c r="OG26" s="155">
        <f t="shared" si="111"/>
        <v>1</v>
      </c>
      <c r="OH26" s="155">
        <f t="shared" si="177"/>
        <v>0</v>
      </c>
      <c r="OI26" s="155">
        <f t="shared" si="112"/>
        <v>1</v>
      </c>
      <c r="OJ26" s="67">
        <f t="shared" si="178"/>
        <v>0</v>
      </c>
      <c r="OK26" s="67">
        <f t="shared" si="179"/>
        <v>0</v>
      </c>
      <c r="OL26" s="67">
        <f t="shared" si="180"/>
        <v>0</v>
      </c>
      <c r="OM26" s="67">
        <f t="shared" si="181"/>
        <v>0</v>
      </c>
      <c r="OO26" s="155">
        <f t="shared" si="113"/>
        <v>0</v>
      </c>
      <c r="OP26" s="155">
        <f t="shared" si="114"/>
        <v>0</v>
      </c>
      <c r="OQ26" s="155">
        <f t="shared" si="182"/>
        <v>1</v>
      </c>
      <c r="OR26" s="155">
        <f t="shared" si="183"/>
        <v>0</v>
      </c>
      <c r="OS26" s="155">
        <f t="shared" si="184"/>
        <v>1</v>
      </c>
      <c r="OT26" s="67">
        <f t="shared" si="185"/>
        <v>0</v>
      </c>
      <c r="OU26" s="67">
        <f t="shared" si="186"/>
        <v>0</v>
      </c>
      <c r="OV26" s="67">
        <f t="shared" si="187"/>
        <v>0</v>
      </c>
      <c r="OW26" s="67">
        <f t="shared" si="188"/>
        <v>0</v>
      </c>
      <c r="OZ26" s="163">
        <f t="shared" si="115"/>
        <v>1</v>
      </c>
      <c r="PA26" s="166"/>
      <c r="PB26" s="166">
        <v>1</v>
      </c>
      <c r="PC26" s="166"/>
      <c r="PD26" s="210">
        <f t="shared" si="116"/>
        <v>1</v>
      </c>
      <c r="PE26" s="210">
        <v>1</v>
      </c>
      <c r="PF26" s="210">
        <f t="shared" si="117"/>
        <v>0</v>
      </c>
      <c r="PG26" s="210">
        <f t="shared" si="118"/>
        <v>0</v>
      </c>
      <c r="PH26" s="210">
        <f t="shared" si="118"/>
        <v>325</v>
      </c>
      <c r="PI26" s="210">
        <f t="shared" si="118"/>
        <v>0</v>
      </c>
      <c r="PJ26" s="210">
        <f t="shared" si="118"/>
        <v>325</v>
      </c>
      <c r="PK26" s="210">
        <f t="shared" si="118"/>
        <v>325</v>
      </c>
      <c r="PL26" s="210">
        <f t="shared" si="118"/>
        <v>0</v>
      </c>
      <c r="PM26" s="164"/>
      <c r="PN26" s="164"/>
      <c r="PO26" s="172">
        <f t="shared" si="189"/>
        <v>0</v>
      </c>
      <c r="PP26" s="172">
        <f t="shared" si="190"/>
        <v>0</v>
      </c>
      <c r="PQ26" s="172">
        <f t="shared" si="191"/>
        <v>0</v>
      </c>
      <c r="PR26" s="164"/>
      <c r="PS26" s="164"/>
      <c r="PT26" s="164"/>
      <c r="PU26" s="164"/>
    </row>
    <row r="27" spans="1:437" ht="16" x14ac:dyDescent="0.2">
      <c r="A27" s="19">
        <f t="shared" si="192"/>
        <v>19</v>
      </c>
      <c r="B27" s="138" t="s">
        <v>154</v>
      </c>
      <c r="C27" s="138">
        <v>24</v>
      </c>
      <c r="D27" s="20">
        <v>1</v>
      </c>
      <c r="E27" s="20">
        <v>74</v>
      </c>
      <c r="F27" s="20">
        <v>1</v>
      </c>
      <c r="G27" s="20">
        <f t="shared" si="119"/>
        <v>74</v>
      </c>
      <c r="H27" s="137">
        <f t="shared" si="2"/>
        <v>1</v>
      </c>
      <c r="I27" s="137">
        <f t="shared" si="3"/>
        <v>1</v>
      </c>
      <c r="J27" s="20">
        <v>1</v>
      </c>
      <c r="K27" s="20">
        <f t="shared" si="4"/>
        <v>74</v>
      </c>
      <c r="L27" s="137">
        <f t="shared" si="5"/>
        <v>1</v>
      </c>
      <c r="M27" s="137">
        <f t="shared" si="6"/>
        <v>1</v>
      </c>
      <c r="N27" s="20">
        <v>1</v>
      </c>
      <c r="O27" s="20">
        <f t="shared" si="7"/>
        <v>74</v>
      </c>
      <c r="P27" s="137">
        <f t="shared" si="8"/>
        <v>1</v>
      </c>
      <c r="Q27" s="137">
        <f t="shared" si="9"/>
        <v>1</v>
      </c>
      <c r="R27" s="20">
        <v>1</v>
      </c>
      <c r="S27" s="20">
        <f t="shared" si="10"/>
        <v>74</v>
      </c>
      <c r="T27" s="137">
        <f t="shared" si="11"/>
        <v>1</v>
      </c>
      <c r="U27" s="137">
        <f t="shared" si="12"/>
        <v>1</v>
      </c>
      <c r="V27" s="20">
        <v>1</v>
      </c>
      <c r="W27" s="20">
        <f t="shared" si="13"/>
        <v>74</v>
      </c>
      <c r="X27" s="137">
        <f t="shared" si="14"/>
        <v>1</v>
      </c>
      <c r="Y27" s="137">
        <f t="shared" si="15"/>
        <v>1</v>
      </c>
      <c r="Z27" s="60">
        <f>1713063000/1000000000</f>
        <v>1.713063</v>
      </c>
      <c r="AA27" s="292"/>
      <c r="AB27" s="189">
        <f t="shared" si="120"/>
        <v>0</v>
      </c>
      <c r="AC27" s="250">
        <f t="shared" si="121"/>
        <v>0</v>
      </c>
      <c r="AD27" s="250">
        <f t="shared" si="122"/>
        <v>0</v>
      </c>
      <c r="AE27" s="224"/>
      <c r="AF27" s="188">
        <f t="shared" si="123"/>
        <v>0</v>
      </c>
      <c r="AG27" s="187"/>
      <c r="AH27" s="31"/>
      <c r="AI27" s="20">
        <v>0</v>
      </c>
      <c r="AJ27" s="20">
        <f t="shared" si="18"/>
        <v>0</v>
      </c>
      <c r="AK27" s="20"/>
      <c r="AL27" s="20">
        <v>0</v>
      </c>
      <c r="AM27" s="20">
        <v>0</v>
      </c>
      <c r="AN27" s="139"/>
      <c r="BB27" s="20">
        <f t="shared" si="124"/>
        <v>0</v>
      </c>
      <c r="BE27" s="20">
        <f t="shared" si="19"/>
        <v>0</v>
      </c>
      <c r="BF27" s="20">
        <f t="shared" si="20"/>
        <v>0</v>
      </c>
      <c r="BG27" s="20">
        <f t="shared" si="21"/>
        <v>0</v>
      </c>
      <c r="BH27" s="20">
        <f t="shared" si="22"/>
        <v>0</v>
      </c>
      <c r="BI27" s="20">
        <f t="shared" si="23"/>
        <v>0</v>
      </c>
      <c r="BJ27" s="20">
        <f t="shared" si="24"/>
        <v>0</v>
      </c>
      <c r="BK27" s="20">
        <f t="shared" si="125"/>
        <v>0</v>
      </c>
      <c r="BN27" s="284">
        <v>41</v>
      </c>
      <c r="BO27">
        <v>1</v>
      </c>
      <c r="BP27" s="139"/>
      <c r="BQ27" s="139"/>
      <c r="BR27" s="139"/>
      <c r="BS27" s="139"/>
      <c r="BT27" s="139"/>
      <c r="BU27" s="139"/>
      <c r="BV27" s="139"/>
      <c r="BW27" s="139"/>
      <c r="BX27" s="139"/>
      <c r="BY27" s="139"/>
      <c r="BZ27" s="139"/>
      <c r="CB27" s="139"/>
      <c r="CD27" s="17">
        <f t="shared" si="126"/>
        <v>41</v>
      </c>
      <c r="CE27" s="17">
        <f t="shared" si="127"/>
        <v>41</v>
      </c>
      <c r="CF27" s="139">
        <f t="shared" si="128"/>
        <v>0</v>
      </c>
      <c r="CG27" s="139">
        <f t="shared" si="129"/>
        <v>0</v>
      </c>
      <c r="CH27" s="139">
        <f t="shared" si="130"/>
        <v>0</v>
      </c>
      <c r="CI27" s="139">
        <f t="shared" si="131"/>
        <v>0</v>
      </c>
      <c r="CJ27" s="139">
        <f t="shared" si="132"/>
        <v>0</v>
      </c>
      <c r="CK27" s="139">
        <f t="shared" si="133"/>
        <v>0</v>
      </c>
      <c r="CL27" s="139">
        <f t="shared" si="134"/>
        <v>0</v>
      </c>
      <c r="CM27" s="139">
        <f t="shared" si="135"/>
        <v>0</v>
      </c>
      <c r="CN27" s="139">
        <f t="shared" si="136"/>
        <v>0</v>
      </c>
      <c r="CO27" s="139">
        <f t="shared" si="137"/>
        <v>0</v>
      </c>
      <c r="CP27" s="139">
        <f t="shared" si="138"/>
        <v>0</v>
      </c>
      <c r="CQ27" s="148">
        <f t="shared" si="27"/>
        <v>0</v>
      </c>
      <c r="DV27" s="139">
        <f t="shared" si="28"/>
        <v>0</v>
      </c>
      <c r="DW27" s="139">
        <f t="shared" si="29"/>
        <v>0</v>
      </c>
      <c r="DX27" s="139">
        <f t="shared" si="30"/>
        <v>0</v>
      </c>
      <c r="DY27" s="139">
        <f t="shared" si="31"/>
        <v>0</v>
      </c>
      <c r="DZ27" s="139">
        <f t="shared" si="32"/>
        <v>0</v>
      </c>
      <c r="EA27" s="139">
        <f t="shared" si="33"/>
        <v>0</v>
      </c>
      <c r="EB27" s="139">
        <f t="shared" si="139"/>
        <v>0</v>
      </c>
      <c r="EG27" s="57">
        <f t="shared" si="140"/>
        <v>0</v>
      </c>
      <c r="EH27" s="57">
        <f t="shared" si="141"/>
        <v>0</v>
      </c>
      <c r="EI27" s="17"/>
      <c r="EJ27" s="17"/>
      <c r="EK27" s="17"/>
      <c r="EL27" s="17"/>
      <c r="EM27" s="17"/>
      <c r="EN27" s="17"/>
      <c r="EO27" s="17"/>
      <c r="EP27" s="17"/>
      <c r="EQ27" s="189"/>
      <c r="ER27" s="189"/>
      <c r="ES27" s="189"/>
      <c r="ET27" s="189"/>
      <c r="EU27" s="189"/>
      <c r="EV27" s="189"/>
      <c r="EW27" s="189"/>
      <c r="EX27" s="189"/>
      <c r="EY27" s="189"/>
      <c r="EZ27" s="189"/>
      <c r="FA27" s="189"/>
      <c r="FB27" s="189"/>
      <c r="FC27" s="189"/>
      <c r="FD27" s="17"/>
      <c r="FE27" s="17"/>
      <c r="FF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X27" s="80">
        <v>1</v>
      </c>
      <c r="FY27" s="17">
        <f t="shared" si="142"/>
        <v>41</v>
      </c>
      <c r="FZ27" s="17">
        <f t="shared" si="35"/>
        <v>41</v>
      </c>
      <c r="GA27" s="17">
        <f t="shared" si="36"/>
        <v>0</v>
      </c>
      <c r="GB27" s="17">
        <f t="shared" si="37"/>
        <v>0</v>
      </c>
      <c r="GC27" s="17">
        <f t="shared" si="38"/>
        <v>0</v>
      </c>
      <c r="GD27" s="17">
        <f t="shared" si="39"/>
        <v>0</v>
      </c>
      <c r="GE27" s="17">
        <f t="shared" si="40"/>
        <v>0</v>
      </c>
      <c r="GF27" s="67"/>
      <c r="GG27" s="17">
        <v>0</v>
      </c>
      <c r="GH27" s="17">
        <v>0</v>
      </c>
      <c r="GI27" s="67"/>
      <c r="GJ27" s="62">
        <f t="shared" si="143"/>
        <v>0</v>
      </c>
      <c r="GK27" s="62">
        <f t="shared" si="144"/>
        <v>0</v>
      </c>
      <c r="GO27" s="17">
        <f t="shared" si="41"/>
        <v>0</v>
      </c>
      <c r="GP27" s="17">
        <f t="shared" si="42"/>
        <v>0</v>
      </c>
      <c r="GQ27" s="17">
        <f t="shared" si="43"/>
        <v>0</v>
      </c>
      <c r="GR27" s="17">
        <f t="shared" si="44"/>
        <v>0</v>
      </c>
      <c r="GS27" s="17">
        <f t="shared" si="45"/>
        <v>0</v>
      </c>
      <c r="GT27" s="17">
        <f t="shared" si="145"/>
        <v>1</v>
      </c>
      <c r="GU27" s="101">
        <f t="shared" si="146"/>
        <v>43243</v>
      </c>
      <c r="GV27" s="17" t="str">
        <f t="shared" si="147"/>
        <v>SELESAI</v>
      </c>
      <c r="GW27" s="17">
        <f t="shared" si="148"/>
        <v>0</v>
      </c>
      <c r="GX27" s="66" t="str">
        <f t="shared" si="149"/>
        <v>SELESAI</v>
      </c>
      <c r="GY27" s="66">
        <f t="shared" si="150"/>
        <v>0</v>
      </c>
      <c r="GZ27" s="102" t="str">
        <f t="shared" si="151"/>
        <v>SELESAI</v>
      </c>
      <c r="HA27" s="83"/>
      <c r="HB27" s="83"/>
      <c r="HC27" s="17">
        <f t="shared" si="46"/>
        <v>0</v>
      </c>
      <c r="HD27" s="17">
        <f t="shared" si="47"/>
        <v>0</v>
      </c>
      <c r="HE27" s="17">
        <f t="shared" si="152"/>
        <v>0</v>
      </c>
      <c r="HF27" s="17">
        <f t="shared" si="153"/>
        <v>0</v>
      </c>
      <c r="HG27" s="17">
        <f t="shared" si="154"/>
        <v>0</v>
      </c>
      <c r="HH27" s="101" t="str">
        <f t="shared" si="48"/>
        <v>TIDAK KONSINYASI</v>
      </c>
      <c r="HI27" s="101" t="str">
        <f t="shared" si="155"/>
        <v>SELESAI</v>
      </c>
      <c r="HJ27" s="27"/>
      <c r="HK27" s="101">
        <f t="shared" si="49"/>
        <v>0</v>
      </c>
      <c r="HL27" s="83"/>
      <c r="HM27" s="83"/>
      <c r="HN27" s="83"/>
      <c r="HO27" s="83"/>
      <c r="HP27" s="102">
        <f t="shared" si="156"/>
        <v>0</v>
      </c>
      <c r="HQ27" s="66">
        <f t="shared" si="157"/>
        <v>0</v>
      </c>
      <c r="HR27" s="66">
        <f t="shared" si="50"/>
        <v>0</v>
      </c>
      <c r="HS27" s="102">
        <f t="shared" si="158"/>
        <v>0</v>
      </c>
      <c r="HT27" s="66">
        <f t="shared" si="159"/>
        <v>0</v>
      </c>
      <c r="HU27" s="66">
        <f t="shared" si="51"/>
        <v>0</v>
      </c>
      <c r="HV27" s="102">
        <f t="shared" si="160"/>
        <v>0</v>
      </c>
      <c r="HW27" s="66">
        <f t="shared" si="52"/>
        <v>0</v>
      </c>
      <c r="HX27" s="66">
        <f t="shared" si="53"/>
        <v>0</v>
      </c>
      <c r="HY27" s="102">
        <f t="shared" si="54"/>
        <v>0</v>
      </c>
      <c r="HZ27" s="66">
        <f t="shared" si="161"/>
        <v>0</v>
      </c>
      <c r="IA27" s="66">
        <f t="shared" si="55"/>
        <v>0</v>
      </c>
      <c r="IB27" s="102">
        <f t="shared" si="162"/>
        <v>0</v>
      </c>
      <c r="IC27" s="66">
        <f t="shared" si="56"/>
        <v>0</v>
      </c>
      <c r="ID27" s="66">
        <f t="shared" si="57"/>
        <v>0</v>
      </c>
      <c r="IE27" s="102">
        <f t="shared" si="58"/>
        <v>0</v>
      </c>
      <c r="IF27" s="66">
        <f t="shared" si="59"/>
        <v>0</v>
      </c>
      <c r="IG27" s="66">
        <f t="shared" si="60"/>
        <v>0</v>
      </c>
      <c r="IH27" s="102">
        <f t="shared" si="163"/>
        <v>0</v>
      </c>
      <c r="II27" s="66">
        <f t="shared" si="164"/>
        <v>0</v>
      </c>
      <c r="IJ27" s="66">
        <f t="shared" si="61"/>
        <v>0</v>
      </c>
      <c r="IK27" s="102">
        <f t="shared" si="62"/>
        <v>0</v>
      </c>
      <c r="IL27" s="66">
        <f t="shared" si="63"/>
        <v>0</v>
      </c>
      <c r="IM27" s="66">
        <f t="shared" si="64"/>
        <v>0</v>
      </c>
      <c r="IN27" s="83"/>
      <c r="IO27" s="102">
        <f t="shared" si="65"/>
        <v>0</v>
      </c>
      <c r="IP27" s="66">
        <f t="shared" si="66"/>
        <v>0</v>
      </c>
      <c r="IQ27" s="66">
        <f t="shared" si="67"/>
        <v>0</v>
      </c>
      <c r="IR27" s="83"/>
      <c r="IS27" s="102"/>
      <c r="IT27" s="66">
        <f t="shared" si="68"/>
        <v>1</v>
      </c>
      <c r="IU27" s="66">
        <f t="shared" si="69"/>
        <v>74</v>
      </c>
      <c r="IV27" s="83"/>
      <c r="IW27" s="102"/>
      <c r="IX27" s="66">
        <f t="shared" si="70"/>
        <v>0</v>
      </c>
      <c r="IY27" s="66">
        <f t="shared" si="71"/>
        <v>0</v>
      </c>
      <c r="IZ27" s="83"/>
      <c r="JA27" s="102"/>
      <c r="JB27" s="66">
        <f t="shared" si="72"/>
        <v>0</v>
      </c>
      <c r="JC27" s="66">
        <f t="shared" si="73"/>
        <v>0</v>
      </c>
      <c r="JD27" s="83"/>
      <c r="JE27" s="102"/>
      <c r="JF27" s="66">
        <f t="shared" si="165"/>
        <v>1</v>
      </c>
      <c r="JG27" s="66">
        <f t="shared" si="74"/>
        <v>74</v>
      </c>
      <c r="JH27" s="83"/>
      <c r="JI27" s="102"/>
      <c r="JJ27" s="66">
        <f t="shared" si="75"/>
        <v>0</v>
      </c>
      <c r="JK27" s="66">
        <f t="shared" si="76"/>
        <v>0</v>
      </c>
      <c r="JM27" s="102">
        <f t="shared" si="166"/>
        <v>0</v>
      </c>
      <c r="JO27" s="29">
        <f t="shared" si="77"/>
        <v>1</v>
      </c>
      <c r="JP27" s="122">
        <f t="shared" si="78"/>
        <v>41</v>
      </c>
      <c r="JQ27" s="122">
        <f t="shared" si="79"/>
        <v>1</v>
      </c>
      <c r="JR27" s="122">
        <f t="shared" si="80"/>
        <v>0</v>
      </c>
      <c r="JS27" s="122">
        <f t="shared" si="81"/>
        <v>0</v>
      </c>
      <c r="JT27" s="122">
        <f t="shared" si="82"/>
        <v>0</v>
      </c>
      <c r="JU27" s="122">
        <f t="shared" si="83"/>
        <v>0</v>
      </c>
      <c r="JV27" s="122">
        <f t="shared" si="84"/>
        <v>0</v>
      </c>
      <c r="JW27" s="122">
        <f t="shared" si="85"/>
        <v>0</v>
      </c>
      <c r="JX27" s="122">
        <f t="shared" si="86"/>
        <v>0</v>
      </c>
      <c r="JY27" s="122">
        <f t="shared" si="87"/>
        <v>0</v>
      </c>
      <c r="JZ27" s="122">
        <f t="shared" si="88"/>
        <v>0</v>
      </c>
      <c r="KA27" s="122">
        <f t="shared" si="89"/>
        <v>0</v>
      </c>
      <c r="KB27" s="122">
        <f t="shared" si="90"/>
        <v>0</v>
      </c>
      <c r="KD27" s="122">
        <f t="shared" si="167"/>
        <v>0</v>
      </c>
      <c r="KE27" s="122">
        <f t="shared" si="92"/>
        <v>0</v>
      </c>
      <c r="KF27" s="122">
        <f t="shared" si="93"/>
        <v>41</v>
      </c>
      <c r="KG27" s="122">
        <f t="shared" si="94"/>
        <v>41</v>
      </c>
      <c r="KH27" s="122">
        <f t="shared" si="95"/>
        <v>0</v>
      </c>
      <c r="KI27" s="122">
        <f t="shared" si="96"/>
        <v>0</v>
      </c>
      <c r="KJ27" s="122">
        <f t="shared" si="97"/>
        <v>0</v>
      </c>
      <c r="KK27" s="122">
        <f t="shared" si="98"/>
        <v>0</v>
      </c>
      <c r="KL27" s="122">
        <f t="shared" si="99"/>
        <v>0</v>
      </c>
      <c r="KM27" s="122">
        <f t="shared" si="100"/>
        <v>0</v>
      </c>
      <c r="KN27" s="123">
        <f t="shared" si="101"/>
        <v>0</v>
      </c>
      <c r="KO27" s="123">
        <f t="shared" si="102"/>
        <v>0</v>
      </c>
      <c r="KP27" s="123">
        <f t="shared" si="103"/>
        <v>0</v>
      </c>
      <c r="KQ27" s="123">
        <f t="shared" si="104"/>
        <v>0</v>
      </c>
      <c r="KR27" s="123">
        <f t="shared" si="105"/>
        <v>0</v>
      </c>
      <c r="KT27">
        <f t="shared" si="106"/>
        <v>0</v>
      </c>
      <c r="KU27" s="123"/>
      <c r="KV27" s="123"/>
      <c r="KW27" s="123"/>
      <c r="KX27" s="123"/>
      <c r="KY27" s="123"/>
      <c r="KZ27" s="123"/>
      <c r="LA27" s="123"/>
      <c r="LB27" s="123"/>
      <c r="LC27" s="123"/>
      <c r="LD27" s="123"/>
      <c r="LE27" s="123"/>
      <c r="LF27" s="123"/>
      <c r="LG27" s="123"/>
      <c r="LH27" s="123"/>
      <c r="LI27" s="123"/>
      <c r="LJ27" s="123"/>
      <c r="LK27" s="123"/>
      <c r="LL27" s="123"/>
      <c r="LM27" s="123"/>
      <c r="LN27" s="123"/>
      <c r="LO27" s="123"/>
      <c r="LP27" s="123"/>
      <c r="LQ27" s="123"/>
      <c r="LR27" s="123"/>
      <c r="LS27" s="123"/>
      <c r="LT27" s="123"/>
      <c r="LU27" s="123"/>
      <c r="LV27" s="123"/>
      <c r="LW27" s="123"/>
      <c r="LX27" s="123"/>
      <c r="LY27" s="123"/>
      <c r="LZ27" s="123"/>
      <c r="MA27" s="123"/>
      <c r="MB27" s="123"/>
      <c r="MC27" s="123"/>
      <c r="MD27" s="123"/>
      <c r="ME27" s="123"/>
      <c r="MF27" s="123"/>
      <c r="MG27" s="123"/>
      <c r="MH27" s="123"/>
      <c r="MI27" s="123"/>
      <c r="MJ27" s="123"/>
      <c r="MK27" s="123"/>
      <c r="ML27" s="123"/>
      <c r="MM27" s="123"/>
      <c r="MN27" s="123"/>
      <c r="MO27" s="123"/>
      <c r="MP27" s="123"/>
      <c r="MQ27" s="123"/>
      <c r="MR27" s="123"/>
      <c r="MS27" s="123"/>
      <c r="MT27" s="123"/>
      <c r="MU27" s="123"/>
      <c r="MV27" s="123"/>
      <c r="MW27" s="123"/>
      <c r="MX27" s="123"/>
      <c r="MY27" s="123"/>
      <c r="MZ27" s="123"/>
      <c r="NA27" s="123"/>
      <c r="NB27" s="123"/>
      <c r="NC27" s="123"/>
      <c r="ND27" s="123"/>
      <c r="NE27" s="123"/>
      <c r="NF27" s="123"/>
      <c r="NG27" s="123"/>
      <c r="NH27" s="123"/>
      <c r="NI27" s="123"/>
      <c r="NJ27" s="123"/>
      <c r="NK27" s="123"/>
      <c r="NM27">
        <f t="shared" si="168"/>
        <v>0</v>
      </c>
      <c r="NN27">
        <f t="shared" si="169"/>
        <v>0</v>
      </c>
      <c r="NO27">
        <f t="shared" si="170"/>
        <v>0</v>
      </c>
      <c r="NP27">
        <f t="shared" si="171"/>
        <v>0</v>
      </c>
      <c r="NQ27">
        <f t="shared" si="172"/>
        <v>0</v>
      </c>
      <c r="NR27">
        <f t="shared" si="173"/>
        <v>0</v>
      </c>
      <c r="NS27">
        <f t="shared" si="174"/>
        <v>0</v>
      </c>
      <c r="NT27">
        <f t="shared" si="175"/>
        <v>0</v>
      </c>
      <c r="NU27" s="29">
        <f t="shared" si="176"/>
        <v>0</v>
      </c>
      <c r="NY27" s="17">
        <f t="shared" si="108"/>
        <v>1</v>
      </c>
      <c r="NZ27" s="152">
        <v>11000000</v>
      </c>
      <c r="OE27" s="155">
        <f t="shared" si="109"/>
        <v>0</v>
      </c>
      <c r="OF27" s="155">
        <f t="shared" si="110"/>
        <v>0</v>
      </c>
      <c r="OG27" s="155">
        <f t="shared" si="111"/>
        <v>0</v>
      </c>
      <c r="OH27" s="155">
        <f t="shared" si="177"/>
        <v>0</v>
      </c>
      <c r="OI27" s="155">
        <f t="shared" si="112"/>
        <v>0</v>
      </c>
      <c r="OJ27" s="67">
        <f t="shared" si="178"/>
        <v>0</v>
      </c>
      <c r="OK27" s="67">
        <f t="shared" si="179"/>
        <v>0</v>
      </c>
      <c r="OL27" s="67">
        <f t="shared" si="180"/>
        <v>0</v>
      </c>
      <c r="OM27" s="67">
        <f t="shared" si="181"/>
        <v>0</v>
      </c>
      <c r="OO27" s="155">
        <f t="shared" si="113"/>
        <v>0</v>
      </c>
      <c r="OP27" s="155">
        <f t="shared" si="114"/>
        <v>0</v>
      </c>
      <c r="OQ27" s="155">
        <f t="shared" si="182"/>
        <v>0</v>
      </c>
      <c r="OR27" s="155">
        <f t="shared" si="183"/>
        <v>0</v>
      </c>
      <c r="OS27" s="155">
        <f t="shared" si="184"/>
        <v>0</v>
      </c>
      <c r="OT27" s="67">
        <f t="shared" si="185"/>
        <v>0</v>
      </c>
      <c r="OU27" s="67">
        <f t="shared" si="186"/>
        <v>0</v>
      </c>
      <c r="OV27" s="67">
        <f t="shared" si="187"/>
        <v>0</v>
      </c>
      <c r="OW27" s="67">
        <f t="shared" si="188"/>
        <v>0</v>
      </c>
      <c r="OZ27" s="163">
        <f t="shared" si="115"/>
        <v>0</v>
      </c>
      <c r="PA27" s="166"/>
      <c r="PB27" s="166"/>
      <c r="PC27" s="166"/>
      <c r="PD27" s="210">
        <f t="shared" si="116"/>
        <v>0</v>
      </c>
      <c r="PE27" s="210"/>
      <c r="PF27" s="210">
        <f t="shared" si="117"/>
        <v>0</v>
      </c>
      <c r="PG27" s="210">
        <f t="shared" si="118"/>
        <v>0</v>
      </c>
      <c r="PH27" s="210">
        <f t="shared" si="118"/>
        <v>0</v>
      </c>
      <c r="PI27" s="210">
        <f t="shared" si="118"/>
        <v>0</v>
      </c>
      <c r="PJ27" s="210">
        <f t="shared" si="118"/>
        <v>0</v>
      </c>
      <c r="PK27" s="210">
        <f t="shared" si="118"/>
        <v>0</v>
      </c>
      <c r="PL27" s="210">
        <f t="shared" si="118"/>
        <v>0</v>
      </c>
      <c r="PM27" s="164"/>
      <c r="PN27" s="164"/>
      <c r="PO27" s="172">
        <f t="shared" si="189"/>
        <v>0</v>
      </c>
      <c r="PP27" s="172">
        <f t="shared" si="190"/>
        <v>0</v>
      </c>
      <c r="PQ27" s="172">
        <f t="shared" si="191"/>
        <v>0</v>
      </c>
      <c r="PR27" s="164"/>
      <c r="PS27" s="164"/>
      <c r="PT27" s="164"/>
      <c r="PU27" s="164"/>
    </row>
    <row r="28" spans="1:437" ht="16" x14ac:dyDescent="0.2">
      <c r="A28" s="19">
        <f t="shared" si="192"/>
        <v>20</v>
      </c>
      <c r="B28" s="138" t="s">
        <v>155</v>
      </c>
      <c r="C28" s="138">
        <v>25</v>
      </c>
      <c r="D28" s="20">
        <v>1</v>
      </c>
      <c r="E28" s="20">
        <v>75</v>
      </c>
      <c r="F28" s="20">
        <v>1</v>
      </c>
      <c r="G28" s="20">
        <f t="shared" si="119"/>
        <v>75</v>
      </c>
      <c r="H28" s="137">
        <f t="shared" si="2"/>
        <v>1</v>
      </c>
      <c r="I28" s="137">
        <f t="shared" si="3"/>
        <v>1</v>
      </c>
      <c r="J28" s="20">
        <v>1</v>
      </c>
      <c r="K28" s="20">
        <f t="shared" si="4"/>
        <v>75</v>
      </c>
      <c r="L28" s="137">
        <f t="shared" si="5"/>
        <v>1</v>
      </c>
      <c r="M28" s="137">
        <f t="shared" si="6"/>
        <v>1</v>
      </c>
      <c r="N28" s="20">
        <v>1</v>
      </c>
      <c r="O28" s="20">
        <f t="shared" si="7"/>
        <v>75</v>
      </c>
      <c r="P28" s="137">
        <f t="shared" si="8"/>
        <v>1</v>
      </c>
      <c r="Q28" s="137">
        <f t="shared" si="9"/>
        <v>1</v>
      </c>
      <c r="R28" s="20">
        <v>1</v>
      </c>
      <c r="S28" s="20">
        <f t="shared" si="10"/>
        <v>75</v>
      </c>
      <c r="T28" s="137">
        <f t="shared" si="11"/>
        <v>1</v>
      </c>
      <c r="U28" s="137">
        <f t="shared" si="12"/>
        <v>1</v>
      </c>
      <c r="V28" s="20">
        <v>1</v>
      </c>
      <c r="W28" s="20">
        <f t="shared" si="13"/>
        <v>75</v>
      </c>
      <c r="X28" s="137">
        <f t="shared" si="14"/>
        <v>1</v>
      </c>
      <c r="Y28" s="137">
        <f t="shared" si="15"/>
        <v>1</v>
      </c>
      <c r="Z28" s="60">
        <f>1738665000/1000000000</f>
        <v>1.7386649999999999</v>
      </c>
      <c r="AA28" s="188"/>
      <c r="AB28" s="189">
        <f t="shared" si="120"/>
        <v>0</v>
      </c>
      <c r="AC28" s="250">
        <f t="shared" si="121"/>
        <v>0</v>
      </c>
      <c r="AD28" s="250">
        <f t="shared" si="122"/>
        <v>0</v>
      </c>
      <c r="AE28" s="224"/>
      <c r="AF28" s="188">
        <f t="shared" si="123"/>
        <v>0</v>
      </c>
      <c r="AG28" s="187"/>
      <c r="AH28" s="31"/>
      <c r="AI28" s="20">
        <v>0</v>
      </c>
      <c r="AJ28" s="20">
        <f t="shared" si="18"/>
        <v>0</v>
      </c>
      <c r="AK28" s="20"/>
      <c r="AL28" s="20">
        <v>0</v>
      </c>
      <c r="AM28" s="20">
        <v>0</v>
      </c>
      <c r="AN28" s="139"/>
      <c r="BB28" s="20">
        <f t="shared" si="124"/>
        <v>0</v>
      </c>
      <c r="BE28" s="20">
        <f t="shared" si="19"/>
        <v>0</v>
      </c>
      <c r="BF28" s="20">
        <f t="shared" si="20"/>
        <v>0</v>
      </c>
      <c r="BG28" s="20">
        <f t="shared" si="21"/>
        <v>0</v>
      </c>
      <c r="BH28" s="20">
        <f t="shared" si="22"/>
        <v>0</v>
      </c>
      <c r="BI28" s="20">
        <f t="shared" si="23"/>
        <v>0</v>
      </c>
      <c r="BJ28" s="20">
        <f t="shared" si="24"/>
        <v>0</v>
      </c>
      <c r="BK28" s="20">
        <f t="shared" si="125"/>
        <v>0</v>
      </c>
      <c r="BN28" s="284">
        <v>42</v>
      </c>
      <c r="BO28">
        <v>1</v>
      </c>
      <c r="BP28" s="139"/>
      <c r="BQ28" s="139"/>
      <c r="BR28" s="139"/>
      <c r="BS28" s="139"/>
      <c r="BT28" s="139"/>
      <c r="BU28" s="139"/>
      <c r="BV28" s="139"/>
      <c r="BW28" s="139"/>
      <c r="BX28" s="139"/>
      <c r="BY28" s="139"/>
      <c r="BZ28" s="139"/>
      <c r="CB28" s="139"/>
      <c r="CD28" s="17">
        <f t="shared" si="126"/>
        <v>42</v>
      </c>
      <c r="CE28" s="17">
        <f t="shared" si="127"/>
        <v>42</v>
      </c>
      <c r="CF28" s="139">
        <f t="shared" si="128"/>
        <v>0</v>
      </c>
      <c r="CG28" s="139">
        <f t="shared" si="129"/>
        <v>0</v>
      </c>
      <c r="CH28" s="139">
        <f t="shared" si="130"/>
        <v>0</v>
      </c>
      <c r="CI28" s="139">
        <f t="shared" si="131"/>
        <v>0</v>
      </c>
      <c r="CJ28" s="139">
        <f t="shared" si="132"/>
        <v>0</v>
      </c>
      <c r="CK28" s="139">
        <f t="shared" si="133"/>
        <v>0</v>
      </c>
      <c r="CL28" s="139">
        <f t="shared" si="134"/>
        <v>0</v>
      </c>
      <c r="CM28" s="139">
        <f t="shared" si="135"/>
        <v>0</v>
      </c>
      <c r="CN28" s="139">
        <f t="shared" si="136"/>
        <v>0</v>
      </c>
      <c r="CO28" s="139">
        <f t="shared" si="137"/>
        <v>0</v>
      </c>
      <c r="CP28" s="139">
        <f t="shared" si="138"/>
        <v>0</v>
      </c>
      <c r="CQ28" s="148">
        <f t="shared" si="27"/>
        <v>0</v>
      </c>
      <c r="DV28" s="139">
        <f t="shared" si="28"/>
        <v>0</v>
      </c>
      <c r="DW28" s="139">
        <f t="shared" si="29"/>
        <v>0</v>
      </c>
      <c r="DX28" s="139">
        <f t="shared" si="30"/>
        <v>0</v>
      </c>
      <c r="DY28" s="139">
        <f t="shared" si="31"/>
        <v>0</v>
      </c>
      <c r="DZ28" s="139">
        <f t="shared" si="32"/>
        <v>0</v>
      </c>
      <c r="EA28" s="139">
        <f t="shared" si="33"/>
        <v>0</v>
      </c>
      <c r="EB28" s="139">
        <f t="shared" si="139"/>
        <v>0</v>
      </c>
      <c r="EG28" s="57">
        <f t="shared" si="140"/>
        <v>0</v>
      </c>
      <c r="EH28" s="57">
        <f t="shared" si="141"/>
        <v>0</v>
      </c>
      <c r="EI28" s="17"/>
      <c r="EJ28" s="17"/>
      <c r="EK28" s="17"/>
      <c r="EL28" s="17"/>
      <c r="EM28" s="17"/>
      <c r="EN28" s="17"/>
      <c r="EO28" s="17"/>
      <c r="EP28" s="17"/>
      <c r="EQ28" s="189"/>
      <c r="ER28" s="189"/>
      <c r="ES28" s="189"/>
      <c r="ET28" s="189"/>
      <c r="EU28" s="189"/>
      <c r="EV28" s="189"/>
      <c r="EW28" s="189"/>
      <c r="EX28" s="189"/>
      <c r="EY28" s="189"/>
      <c r="EZ28" s="189"/>
      <c r="FA28" s="189"/>
      <c r="FB28" s="189"/>
      <c r="FC28" s="189"/>
      <c r="FD28" s="17"/>
      <c r="FE28" s="17"/>
      <c r="FF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X28" s="80">
        <v>1</v>
      </c>
      <c r="FY28" s="17">
        <f t="shared" si="142"/>
        <v>42</v>
      </c>
      <c r="FZ28" s="17">
        <f t="shared" si="35"/>
        <v>42</v>
      </c>
      <c r="GA28" s="17">
        <f t="shared" si="36"/>
        <v>0</v>
      </c>
      <c r="GB28" s="17">
        <f t="shared" si="37"/>
        <v>0</v>
      </c>
      <c r="GC28" s="17">
        <f t="shared" si="38"/>
        <v>0</v>
      </c>
      <c r="GD28" s="17">
        <f t="shared" si="39"/>
        <v>0</v>
      </c>
      <c r="GE28" s="17">
        <f t="shared" si="40"/>
        <v>0</v>
      </c>
      <c r="GF28" s="67"/>
      <c r="GG28" s="17">
        <v>0</v>
      </c>
      <c r="GH28" s="17">
        <v>0</v>
      </c>
      <c r="GI28" s="67"/>
      <c r="GJ28" s="62">
        <f t="shared" si="143"/>
        <v>0</v>
      </c>
      <c r="GK28" s="62">
        <f t="shared" si="144"/>
        <v>0</v>
      </c>
      <c r="GO28" s="17">
        <f t="shared" si="41"/>
        <v>0</v>
      </c>
      <c r="GP28" s="17">
        <f t="shared" si="42"/>
        <v>0</v>
      </c>
      <c r="GQ28" s="17">
        <f t="shared" si="43"/>
        <v>0</v>
      </c>
      <c r="GR28" s="17">
        <f t="shared" si="44"/>
        <v>0</v>
      </c>
      <c r="GS28" s="17">
        <f t="shared" si="45"/>
        <v>0</v>
      </c>
      <c r="GT28" s="17">
        <f t="shared" si="145"/>
        <v>1</v>
      </c>
      <c r="GU28" s="101">
        <f t="shared" si="146"/>
        <v>43243</v>
      </c>
      <c r="GV28" s="17" t="str">
        <f t="shared" si="147"/>
        <v>SELESAI</v>
      </c>
      <c r="GW28" s="17">
        <f t="shared" si="148"/>
        <v>0</v>
      </c>
      <c r="GX28" s="66" t="str">
        <f t="shared" si="149"/>
        <v>SELESAI</v>
      </c>
      <c r="GY28" s="66">
        <f t="shared" si="150"/>
        <v>0</v>
      </c>
      <c r="GZ28" s="102" t="str">
        <f t="shared" si="151"/>
        <v>SELESAI</v>
      </c>
      <c r="HA28" s="83"/>
      <c r="HB28" s="83"/>
      <c r="HC28" s="17">
        <f t="shared" si="46"/>
        <v>0</v>
      </c>
      <c r="HD28" s="17">
        <f t="shared" si="47"/>
        <v>0</v>
      </c>
      <c r="HE28" s="17">
        <f t="shared" si="152"/>
        <v>0</v>
      </c>
      <c r="HF28" s="17">
        <f t="shared" si="153"/>
        <v>0</v>
      </c>
      <c r="HG28" s="17">
        <f t="shared" si="154"/>
        <v>0</v>
      </c>
      <c r="HH28" s="101" t="str">
        <f t="shared" si="48"/>
        <v>TIDAK KONSINYASI</v>
      </c>
      <c r="HI28" s="101" t="str">
        <f t="shared" si="155"/>
        <v>SELESAI</v>
      </c>
      <c r="HJ28" s="27"/>
      <c r="HK28" s="101">
        <f t="shared" si="49"/>
        <v>0</v>
      </c>
      <c r="HL28" s="83"/>
      <c r="HM28" s="83"/>
      <c r="HN28" s="83"/>
      <c r="HO28" s="83"/>
      <c r="HP28" s="102">
        <f t="shared" si="156"/>
        <v>0</v>
      </c>
      <c r="HQ28" s="66">
        <f t="shared" si="157"/>
        <v>0</v>
      </c>
      <c r="HR28" s="66">
        <f t="shared" si="50"/>
        <v>0</v>
      </c>
      <c r="HS28" s="102">
        <f t="shared" si="158"/>
        <v>0</v>
      </c>
      <c r="HT28" s="66">
        <f t="shared" si="159"/>
        <v>0</v>
      </c>
      <c r="HU28" s="66">
        <f t="shared" si="51"/>
        <v>0</v>
      </c>
      <c r="HV28" s="102">
        <f t="shared" si="160"/>
        <v>0</v>
      </c>
      <c r="HW28" s="66">
        <f t="shared" si="52"/>
        <v>0</v>
      </c>
      <c r="HX28" s="66">
        <f t="shared" si="53"/>
        <v>0</v>
      </c>
      <c r="HY28" s="102">
        <f t="shared" si="54"/>
        <v>0</v>
      </c>
      <c r="HZ28" s="66">
        <f t="shared" si="161"/>
        <v>0</v>
      </c>
      <c r="IA28" s="66">
        <f t="shared" si="55"/>
        <v>0</v>
      </c>
      <c r="IB28" s="102">
        <f t="shared" si="162"/>
        <v>0</v>
      </c>
      <c r="IC28" s="66">
        <f t="shared" si="56"/>
        <v>0</v>
      </c>
      <c r="ID28" s="66">
        <f t="shared" si="57"/>
        <v>0</v>
      </c>
      <c r="IE28" s="102">
        <f t="shared" si="58"/>
        <v>0</v>
      </c>
      <c r="IF28" s="66">
        <f t="shared" si="59"/>
        <v>0</v>
      </c>
      <c r="IG28" s="66">
        <f t="shared" si="60"/>
        <v>0</v>
      </c>
      <c r="IH28" s="102">
        <f t="shared" si="163"/>
        <v>0</v>
      </c>
      <c r="II28" s="66">
        <f t="shared" si="164"/>
        <v>0</v>
      </c>
      <c r="IJ28" s="66">
        <f t="shared" si="61"/>
        <v>0</v>
      </c>
      <c r="IK28" s="102">
        <f t="shared" si="62"/>
        <v>0</v>
      </c>
      <c r="IL28" s="66">
        <f t="shared" si="63"/>
        <v>0</v>
      </c>
      <c r="IM28" s="66">
        <f t="shared" si="64"/>
        <v>0</v>
      </c>
      <c r="IN28" s="83"/>
      <c r="IO28" s="102">
        <f t="shared" si="65"/>
        <v>0</v>
      </c>
      <c r="IP28" s="66">
        <f t="shared" si="66"/>
        <v>0</v>
      </c>
      <c r="IQ28" s="66">
        <f t="shared" si="67"/>
        <v>0</v>
      </c>
      <c r="IR28" s="83"/>
      <c r="IS28" s="102"/>
      <c r="IT28" s="66">
        <f t="shared" si="68"/>
        <v>1</v>
      </c>
      <c r="IU28" s="66">
        <f t="shared" si="69"/>
        <v>75</v>
      </c>
      <c r="IV28" s="83"/>
      <c r="IW28" s="102"/>
      <c r="IX28" s="66">
        <f t="shared" si="70"/>
        <v>0</v>
      </c>
      <c r="IY28" s="66">
        <f t="shared" si="71"/>
        <v>0</v>
      </c>
      <c r="IZ28" s="83"/>
      <c r="JA28" s="102"/>
      <c r="JB28" s="66">
        <f t="shared" si="72"/>
        <v>0</v>
      </c>
      <c r="JC28" s="66">
        <f t="shared" si="73"/>
        <v>0</v>
      </c>
      <c r="JD28" s="83"/>
      <c r="JE28" s="102"/>
      <c r="JF28" s="66">
        <f t="shared" si="165"/>
        <v>1</v>
      </c>
      <c r="JG28" s="66">
        <f t="shared" si="74"/>
        <v>75</v>
      </c>
      <c r="JH28" s="83"/>
      <c r="JI28" s="102"/>
      <c r="JJ28" s="66">
        <f t="shared" si="75"/>
        <v>0</v>
      </c>
      <c r="JK28" s="66">
        <f t="shared" si="76"/>
        <v>0</v>
      </c>
      <c r="JM28" s="102">
        <f t="shared" si="166"/>
        <v>0</v>
      </c>
      <c r="JO28" s="29">
        <f t="shared" si="77"/>
        <v>1</v>
      </c>
      <c r="JP28" s="122">
        <f t="shared" si="78"/>
        <v>42</v>
      </c>
      <c r="JQ28" s="122">
        <f t="shared" si="79"/>
        <v>1</v>
      </c>
      <c r="JR28" s="122">
        <f t="shared" si="80"/>
        <v>0</v>
      </c>
      <c r="JS28" s="122">
        <f t="shared" si="81"/>
        <v>0</v>
      </c>
      <c r="JT28" s="122">
        <f t="shared" si="82"/>
        <v>0</v>
      </c>
      <c r="JU28" s="122">
        <f t="shared" si="83"/>
        <v>0</v>
      </c>
      <c r="JV28" s="122">
        <f t="shared" si="84"/>
        <v>0</v>
      </c>
      <c r="JW28" s="122">
        <f t="shared" si="85"/>
        <v>0</v>
      </c>
      <c r="JX28" s="122">
        <f t="shared" si="86"/>
        <v>0</v>
      </c>
      <c r="JY28" s="122">
        <f t="shared" si="87"/>
        <v>0</v>
      </c>
      <c r="JZ28" s="122">
        <f t="shared" si="88"/>
        <v>0</v>
      </c>
      <c r="KA28" s="122">
        <f t="shared" si="89"/>
        <v>0</v>
      </c>
      <c r="KB28" s="122">
        <f t="shared" si="90"/>
        <v>0</v>
      </c>
      <c r="KD28" s="122">
        <f t="shared" si="167"/>
        <v>0</v>
      </c>
      <c r="KE28" s="122">
        <f t="shared" si="92"/>
        <v>0</v>
      </c>
      <c r="KF28" s="122">
        <f t="shared" si="93"/>
        <v>42</v>
      </c>
      <c r="KG28" s="122">
        <f t="shared" si="94"/>
        <v>42</v>
      </c>
      <c r="KH28" s="122">
        <f t="shared" si="95"/>
        <v>0</v>
      </c>
      <c r="KI28" s="122">
        <f t="shared" si="96"/>
        <v>0</v>
      </c>
      <c r="KJ28" s="122">
        <f t="shared" si="97"/>
        <v>0</v>
      </c>
      <c r="KK28" s="122">
        <f t="shared" si="98"/>
        <v>0</v>
      </c>
      <c r="KL28" s="122">
        <f t="shared" si="99"/>
        <v>0</v>
      </c>
      <c r="KM28" s="122">
        <f t="shared" si="100"/>
        <v>0</v>
      </c>
      <c r="KN28" s="123">
        <f t="shared" si="101"/>
        <v>0</v>
      </c>
      <c r="KO28" s="123">
        <f t="shared" si="102"/>
        <v>0</v>
      </c>
      <c r="KP28" s="123">
        <f t="shared" si="103"/>
        <v>0</v>
      </c>
      <c r="KQ28" s="123">
        <f t="shared" si="104"/>
        <v>0</v>
      </c>
      <c r="KR28" s="123">
        <f t="shared" si="105"/>
        <v>0</v>
      </c>
      <c r="KT28">
        <f t="shared" si="106"/>
        <v>0</v>
      </c>
      <c r="KU28" s="123"/>
      <c r="KV28" s="123"/>
      <c r="KW28" s="123"/>
      <c r="KX28" s="123"/>
      <c r="KY28" s="123"/>
      <c r="KZ28" s="123"/>
      <c r="LA28" s="123"/>
      <c r="LB28" s="123"/>
      <c r="LC28" s="123"/>
      <c r="LD28" s="123"/>
      <c r="LE28" s="123"/>
      <c r="LF28" s="123"/>
      <c r="LG28" s="123"/>
      <c r="LH28" s="123"/>
      <c r="LI28" s="123"/>
      <c r="LJ28" s="123"/>
      <c r="LK28" s="123"/>
      <c r="LL28" s="123"/>
      <c r="LM28" s="123"/>
      <c r="LN28" s="123"/>
      <c r="LO28" s="123"/>
      <c r="LP28" s="123"/>
      <c r="LQ28" s="123"/>
      <c r="LR28" s="123"/>
      <c r="LS28" s="123"/>
      <c r="LT28" s="123"/>
      <c r="LU28" s="123"/>
      <c r="LV28" s="123"/>
      <c r="LW28" s="123"/>
      <c r="LX28" s="123"/>
      <c r="LY28" s="123"/>
      <c r="LZ28" s="123"/>
      <c r="MA28" s="123"/>
      <c r="MB28" s="123"/>
      <c r="MC28" s="123"/>
      <c r="MD28" s="123"/>
      <c r="ME28" s="123"/>
      <c r="MF28" s="123"/>
      <c r="MG28" s="123"/>
      <c r="MH28" s="123"/>
      <c r="MI28" s="123"/>
      <c r="MJ28" s="123"/>
      <c r="MK28" s="123"/>
      <c r="ML28" s="123"/>
      <c r="MM28" s="123"/>
      <c r="MN28" s="123"/>
      <c r="MO28" s="123"/>
      <c r="MP28" s="123"/>
      <c r="MQ28" s="123"/>
      <c r="MR28" s="123"/>
      <c r="MS28" s="123"/>
      <c r="MT28" s="123"/>
      <c r="MU28" s="123"/>
      <c r="MV28" s="123"/>
      <c r="MW28" s="123"/>
      <c r="MX28" s="123"/>
      <c r="MY28" s="123"/>
      <c r="MZ28" s="123"/>
      <c r="NA28" s="123"/>
      <c r="NB28" s="123"/>
      <c r="NC28" s="123"/>
      <c r="ND28" s="123"/>
      <c r="NE28" s="123"/>
      <c r="NF28" s="123"/>
      <c r="NG28" s="123"/>
      <c r="NH28" s="123"/>
      <c r="NI28" s="123"/>
      <c r="NJ28" s="123"/>
      <c r="NK28" s="123"/>
      <c r="NM28">
        <f t="shared" si="168"/>
        <v>0</v>
      </c>
      <c r="NN28">
        <f t="shared" si="169"/>
        <v>0</v>
      </c>
      <c r="NO28">
        <f t="shared" si="170"/>
        <v>0</v>
      </c>
      <c r="NP28">
        <f t="shared" si="171"/>
        <v>0</v>
      </c>
      <c r="NQ28">
        <f t="shared" si="172"/>
        <v>0</v>
      </c>
      <c r="NR28">
        <f t="shared" si="173"/>
        <v>0</v>
      </c>
      <c r="NS28">
        <f t="shared" si="174"/>
        <v>0</v>
      </c>
      <c r="NT28">
        <f t="shared" si="175"/>
        <v>0</v>
      </c>
      <c r="NU28" s="29">
        <f t="shared" si="176"/>
        <v>0</v>
      </c>
      <c r="NY28" s="17">
        <f t="shared" si="108"/>
        <v>1</v>
      </c>
      <c r="NZ28" s="152">
        <v>11000000</v>
      </c>
      <c r="OE28" s="155">
        <f t="shared" si="109"/>
        <v>0</v>
      </c>
      <c r="OF28" s="155">
        <f t="shared" si="110"/>
        <v>0</v>
      </c>
      <c r="OG28" s="155">
        <f t="shared" si="111"/>
        <v>0</v>
      </c>
      <c r="OH28" s="155">
        <f t="shared" si="177"/>
        <v>0</v>
      </c>
      <c r="OI28" s="155">
        <f t="shared" si="112"/>
        <v>0</v>
      </c>
      <c r="OJ28" s="67">
        <f t="shared" si="178"/>
        <v>0</v>
      </c>
      <c r="OK28" s="67">
        <f t="shared" si="179"/>
        <v>0</v>
      </c>
      <c r="OL28" s="67">
        <f t="shared" si="180"/>
        <v>0</v>
      </c>
      <c r="OM28" s="67">
        <f t="shared" si="181"/>
        <v>0</v>
      </c>
      <c r="OO28" s="155">
        <f t="shared" si="113"/>
        <v>0</v>
      </c>
      <c r="OP28" s="155">
        <f t="shared" si="114"/>
        <v>0</v>
      </c>
      <c r="OQ28" s="155">
        <f t="shared" si="182"/>
        <v>0</v>
      </c>
      <c r="OR28" s="155">
        <f t="shared" si="183"/>
        <v>0</v>
      </c>
      <c r="OS28" s="155">
        <f t="shared" si="184"/>
        <v>0</v>
      </c>
      <c r="OT28" s="67">
        <f t="shared" si="185"/>
        <v>0</v>
      </c>
      <c r="OU28" s="67">
        <f t="shared" si="186"/>
        <v>0</v>
      </c>
      <c r="OV28" s="67">
        <f t="shared" si="187"/>
        <v>0</v>
      </c>
      <c r="OW28" s="67">
        <f t="shared" si="188"/>
        <v>0</v>
      </c>
      <c r="OZ28" s="163">
        <f t="shared" si="115"/>
        <v>0</v>
      </c>
      <c r="PA28" s="166"/>
      <c r="PB28" s="166"/>
      <c r="PC28" s="166"/>
      <c r="PD28" s="210">
        <f t="shared" si="116"/>
        <v>0</v>
      </c>
      <c r="PE28" s="210"/>
      <c r="PF28" s="210">
        <f t="shared" si="117"/>
        <v>0</v>
      </c>
      <c r="PG28" s="210">
        <f t="shared" si="118"/>
        <v>0</v>
      </c>
      <c r="PH28" s="210">
        <f t="shared" si="118"/>
        <v>0</v>
      </c>
      <c r="PI28" s="210">
        <f t="shared" si="118"/>
        <v>0</v>
      </c>
      <c r="PJ28" s="210">
        <f t="shared" si="118"/>
        <v>0</v>
      </c>
      <c r="PK28" s="210">
        <f t="shared" si="118"/>
        <v>0</v>
      </c>
      <c r="PL28" s="210">
        <f t="shared" si="118"/>
        <v>0</v>
      </c>
      <c r="PM28" s="164"/>
      <c r="PN28" s="164"/>
      <c r="PO28" s="172">
        <f t="shared" si="189"/>
        <v>0</v>
      </c>
      <c r="PP28" s="172">
        <f t="shared" si="190"/>
        <v>0</v>
      </c>
      <c r="PQ28" s="172">
        <f t="shared" si="191"/>
        <v>0</v>
      </c>
      <c r="PR28" s="164"/>
      <c r="PS28" s="164"/>
      <c r="PT28" s="164"/>
      <c r="PU28" s="164"/>
    </row>
    <row r="29" spans="1:437" ht="16" x14ac:dyDescent="0.2">
      <c r="A29" s="19">
        <f t="shared" si="192"/>
        <v>21</v>
      </c>
      <c r="B29" s="138" t="s">
        <v>156</v>
      </c>
      <c r="C29" s="138">
        <v>26</v>
      </c>
      <c r="D29" s="20">
        <v>1</v>
      </c>
      <c r="E29" s="20">
        <v>76</v>
      </c>
      <c r="F29" s="20">
        <v>1</v>
      </c>
      <c r="G29" s="20">
        <f t="shared" si="119"/>
        <v>76</v>
      </c>
      <c r="H29" s="137">
        <f t="shared" si="2"/>
        <v>1</v>
      </c>
      <c r="I29" s="137">
        <f t="shared" si="3"/>
        <v>1</v>
      </c>
      <c r="J29" s="20">
        <v>1</v>
      </c>
      <c r="K29" s="20">
        <f t="shared" si="4"/>
        <v>76</v>
      </c>
      <c r="L29" s="137">
        <f t="shared" si="5"/>
        <v>1</v>
      </c>
      <c r="M29" s="137">
        <f t="shared" si="6"/>
        <v>1</v>
      </c>
      <c r="N29" s="20">
        <v>1</v>
      </c>
      <c r="O29" s="20">
        <f t="shared" si="7"/>
        <v>76</v>
      </c>
      <c r="P29" s="137">
        <f t="shared" si="8"/>
        <v>1</v>
      </c>
      <c r="Q29" s="137">
        <f t="shared" si="9"/>
        <v>1</v>
      </c>
      <c r="R29" s="20">
        <v>1</v>
      </c>
      <c r="S29" s="20">
        <f t="shared" si="10"/>
        <v>76</v>
      </c>
      <c r="T29" s="137">
        <f t="shared" si="11"/>
        <v>1</v>
      </c>
      <c r="U29" s="137">
        <f t="shared" si="12"/>
        <v>1</v>
      </c>
      <c r="V29" s="20">
        <v>1</v>
      </c>
      <c r="W29" s="20">
        <f t="shared" si="13"/>
        <v>76</v>
      </c>
      <c r="X29" s="137">
        <f t="shared" si="14"/>
        <v>1</v>
      </c>
      <c r="Y29" s="137">
        <f t="shared" si="15"/>
        <v>1</v>
      </c>
      <c r="Z29" s="60">
        <f>1726135000/1000000000</f>
        <v>1.726135</v>
      </c>
      <c r="AA29" s="188"/>
      <c r="AB29" s="189">
        <f t="shared" si="120"/>
        <v>0</v>
      </c>
      <c r="AC29" s="250">
        <f t="shared" si="121"/>
        <v>0</v>
      </c>
      <c r="AD29" s="250">
        <f t="shared" si="122"/>
        <v>0</v>
      </c>
      <c r="AE29" s="224"/>
      <c r="AF29" s="188">
        <f t="shared" si="123"/>
        <v>0</v>
      </c>
      <c r="AG29" s="187"/>
      <c r="AH29" s="31"/>
      <c r="AI29" s="20">
        <v>0</v>
      </c>
      <c r="AJ29" s="20">
        <f t="shared" si="18"/>
        <v>0</v>
      </c>
      <c r="AK29" s="20"/>
      <c r="AL29" s="20">
        <v>0</v>
      </c>
      <c r="AM29" s="20">
        <v>0</v>
      </c>
      <c r="AN29" s="139"/>
      <c r="BB29" s="20">
        <f t="shared" si="124"/>
        <v>0</v>
      </c>
      <c r="BE29" s="20">
        <f t="shared" si="19"/>
        <v>0</v>
      </c>
      <c r="BF29" s="20">
        <f t="shared" si="20"/>
        <v>0</v>
      </c>
      <c r="BG29" s="20">
        <f t="shared" si="21"/>
        <v>0</v>
      </c>
      <c r="BH29" s="20">
        <f t="shared" si="22"/>
        <v>0</v>
      </c>
      <c r="BI29" s="20">
        <f t="shared" si="23"/>
        <v>0</v>
      </c>
      <c r="BJ29" s="20">
        <f t="shared" si="24"/>
        <v>0</v>
      </c>
      <c r="BK29" s="20">
        <f t="shared" si="125"/>
        <v>0</v>
      </c>
      <c r="BN29" s="284">
        <v>51</v>
      </c>
      <c r="BO29">
        <v>1</v>
      </c>
      <c r="BP29" s="139"/>
      <c r="BQ29" s="139"/>
      <c r="BR29" s="139"/>
      <c r="BS29" s="139"/>
      <c r="BT29" s="139"/>
      <c r="BU29" s="139"/>
      <c r="BV29" s="139"/>
      <c r="BW29" s="139"/>
      <c r="BX29" s="139"/>
      <c r="BY29" s="139"/>
      <c r="BZ29" s="139"/>
      <c r="CB29" s="139"/>
      <c r="CD29" s="17">
        <f t="shared" si="126"/>
        <v>51</v>
      </c>
      <c r="CE29" s="17">
        <f t="shared" si="127"/>
        <v>51</v>
      </c>
      <c r="CF29" s="139">
        <f t="shared" si="128"/>
        <v>0</v>
      </c>
      <c r="CG29" s="139">
        <f t="shared" si="129"/>
        <v>0</v>
      </c>
      <c r="CH29" s="139">
        <f t="shared" si="130"/>
        <v>0</v>
      </c>
      <c r="CI29" s="139">
        <f t="shared" si="131"/>
        <v>0</v>
      </c>
      <c r="CJ29" s="139">
        <f t="shared" si="132"/>
        <v>0</v>
      </c>
      <c r="CK29" s="139">
        <f t="shared" si="133"/>
        <v>0</v>
      </c>
      <c r="CL29" s="139">
        <f t="shared" si="134"/>
        <v>0</v>
      </c>
      <c r="CM29" s="139">
        <f t="shared" si="135"/>
        <v>0</v>
      </c>
      <c r="CN29" s="139">
        <f t="shared" si="136"/>
        <v>0</v>
      </c>
      <c r="CO29" s="139">
        <f t="shared" si="137"/>
        <v>0</v>
      </c>
      <c r="CP29" s="139">
        <f t="shared" si="138"/>
        <v>0</v>
      </c>
      <c r="CQ29" s="148">
        <f t="shared" si="27"/>
        <v>0</v>
      </c>
      <c r="DV29" s="139">
        <f t="shared" si="28"/>
        <v>0</v>
      </c>
      <c r="DW29" s="139">
        <f t="shared" si="29"/>
        <v>0</v>
      </c>
      <c r="DX29" s="139">
        <f t="shared" si="30"/>
        <v>0</v>
      </c>
      <c r="DY29" s="139">
        <f t="shared" si="31"/>
        <v>0</v>
      </c>
      <c r="DZ29" s="139">
        <f t="shared" si="32"/>
        <v>0</v>
      </c>
      <c r="EA29" s="139">
        <f t="shared" si="33"/>
        <v>0</v>
      </c>
      <c r="EB29" s="139">
        <f t="shared" si="139"/>
        <v>0</v>
      </c>
      <c r="EG29" s="57">
        <f t="shared" si="140"/>
        <v>0</v>
      </c>
      <c r="EH29" s="57">
        <f t="shared" si="141"/>
        <v>0</v>
      </c>
      <c r="EI29" s="17"/>
      <c r="EJ29" s="17"/>
      <c r="EK29" s="17"/>
      <c r="EL29" s="17"/>
      <c r="EM29" s="17"/>
      <c r="EN29" s="17"/>
      <c r="EO29" s="17"/>
      <c r="EP29" s="17"/>
      <c r="EQ29" s="189"/>
      <c r="ER29" s="189"/>
      <c r="ES29" s="189"/>
      <c r="ET29" s="189"/>
      <c r="EU29" s="189"/>
      <c r="EV29" s="189"/>
      <c r="EW29" s="189"/>
      <c r="EX29" s="189"/>
      <c r="EY29" s="189"/>
      <c r="EZ29" s="189"/>
      <c r="FA29" s="189"/>
      <c r="FB29" s="189"/>
      <c r="FC29" s="189"/>
      <c r="FD29" s="17"/>
      <c r="FE29" s="17"/>
      <c r="FF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X29" s="80">
        <v>1</v>
      </c>
      <c r="FY29" s="17">
        <f t="shared" si="142"/>
        <v>51</v>
      </c>
      <c r="FZ29" s="17">
        <f t="shared" si="35"/>
        <v>51</v>
      </c>
      <c r="GA29" s="17">
        <f t="shared" si="36"/>
        <v>0</v>
      </c>
      <c r="GB29" s="17">
        <f t="shared" si="37"/>
        <v>0</v>
      </c>
      <c r="GC29" s="17">
        <f t="shared" si="38"/>
        <v>0</v>
      </c>
      <c r="GD29" s="17">
        <f t="shared" si="39"/>
        <v>0</v>
      </c>
      <c r="GE29" s="17">
        <f t="shared" si="40"/>
        <v>0</v>
      </c>
      <c r="GF29" s="67"/>
      <c r="GG29" s="17">
        <v>0</v>
      </c>
      <c r="GH29" s="17">
        <v>0</v>
      </c>
      <c r="GI29" s="67"/>
      <c r="GJ29" s="62">
        <f t="shared" si="143"/>
        <v>0</v>
      </c>
      <c r="GK29" s="62">
        <f t="shared" si="144"/>
        <v>0</v>
      </c>
      <c r="GO29" s="17">
        <f t="shared" si="41"/>
        <v>0</v>
      </c>
      <c r="GP29" s="17">
        <f t="shared" si="42"/>
        <v>0</v>
      </c>
      <c r="GQ29" s="17">
        <f t="shared" si="43"/>
        <v>0</v>
      </c>
      <c r="GR29" s="17">
        <f t="shared" si="44"/>
        <v>0</v>
      </c>
      <c r="GS29" s="17">
        <f t="shared" si="45"/>
        <v>0</v>
      </c>
      <c r="GT29" s="17">
        <f t="shared" si="145"/>
        <v>1</v>
      </c>
      <c r="GU29" s="101">
        <f t="shared" si="146"/>
        <v>43243</v>
      </c>
      <c r="GV29" s="17" t="str">
        <f t="shared" si="147"/>
        <v>SELESAI</v>
      </c>
      <c r="GW29" s="17">
        <f t="shared" si="148"/>
        <v>0</v>
      </c>
      <c r="GX29" s="66" t="str">
        <f t="shared" si="149"/>
        <v>SELESAI</v>
      </c>
      <c r="GY29" s="66">
        <f t="shared" si="150"/>
        <v>0</v>
      </c>
      <c r="GZ29" s="102" t="str">
        <f t="shared" si="151"/>
        <v>SELESAI</v>
      </c>
      <c r="HA29" s="83"/>
      <c r="HB29" s="83"/>
      <c r="HC29" s="17">
        <f t="shared" si="46"/>
        <v>0</v>
      </c>
      <c r="HD29" s="17">
        <f t="shared" si="47"/>
        <v>0</v>
      </c>
      <c r="HE29" s="17">
        <f t="shared" si="152"/>
        <v>0</v>
      </c>
      <c r="HF29" s="17">
        <f t="shared" si="153"/>
        <v>0</v>
      </c>
      <c r="HG29" s="17">
        <f t="shared" si="154"/>
        <v>0</v>
      </c>
      <c r="HH29" s="101" t="str">
        <f t="shared" si="48"/>
        <v>TIDAK KONSINYASI</v>
      </c>
      <c r="HI29" s="101" t="str">
        <f t="shared" si="155"/>
        <v>SELESAI</v>
      </c>
      <c r="HJ29" s="27"/>
      <c r="HK29" s="101">
        <f t="shared" si="49"/>
        <v>0</v>
      </c>
      <c r="HL29" s="83"/>
      <c r="HM29" s="83"/>
      <c r="HN29" s="83"/>
      <c r="HO29" s="83"/>
      <c r="HP29" s="102">
        <f t="shared" si="156"/>
        <v>0</v>
      </c>
      <c r="HQ29" s="66">
        <f t="shared" si="157"/>
        <v>0</v>
      </c>
      <c r="HR29" s="66">
        <f t="shared" si="50"/>
        <v>0</v>
      </c>
      <c r="HS29" s="102">
        <f t="shared" si="158"/>
        <v>0</v>
      </c>
      <c r="HT29" s="66">
        <f t="shared" si="159"/>
        <v>0</v>
      </c>
      <c r="HU29" s="66">
        <f t="shared" si="51"/>
        <v>0</v>
      </c>
      <c r="HV29" s="102">
        <f t="shared" si="160"/>
        <v>0</v>
      </c>
      <c r="HW29" s="66">
        <f t="shared" si="52"/>
        <v>0</v>
      </c>
      <c r="HX29" s="66">
        <f t="shared" si="53"/>
        <v>0</v>
      </c>
      <c r="HY29" s="102">
        <f t="shared" si="54"/>
        <v>0</v>
      </c>
      <c r="HZ29" s="66">
        <f t="shared" si="161"/>
        <v>0</v>
      </c>
      <c r="IA29" s="66">
        <f t="shared" si="55"/>
        <v>0</v>
      </c>
      <c r="IB29" s="102">
        <f t="shared" si="162"/>
        <v>0</v>
      </c>
      <c r="IC29" s="66">
        <f t="shared" si="56"/>
        <v>0</v>
      </c>
      <c r="ID29" s="66">
        <f t="shared" si="57"/>
        <v>0</v>
      </c>
      <c r="IE29" s="102">
        <f t="shared" si="58"/>
        <v>0</v>
      </c>
      <c r="IF29" s="66">
        <f t="shared" si="59"/>
        <v>0</v>
      </c>
      <c r="IG29" s="66">
        <f t="shared" si="60"/>
        <v>0</v>
      </c>
      <c r="IH29" s="102">
        <f t="shared" si="163"/>
        <v>0</v>
      </c>
      <c r="II29" s="66">
        <f t="shared" si="164"/>
        <v>0</v>
      </c>
      <c r="IJ29" s="66">
        <f t="shared" si="61"/>
        <v>0</v>
      </c>
      <c r="IK29" s="102">
        <f t="shared" si="62"/>
        <v>0</v>
      </c>
      <c r="IL29" s="66">
        <f t="shared" si="63"/>
        <v>0</v>
      </c>
      <c r="IM29" s="66">
        <f t="shared" si="64"/>
        <v>0</v>
      </c>
      <c r="IN29" s="83"/>
      <c r="IO29" s="102">
        <f t="shared" si="65"/>
        <v>0</v>
      </c>
      <c r="IP29" s="66">
        <f t="shared" si="66"/>
        <v>0</v>
      </c>
      <c r="IQ29" s="66">
        <f t="shared" si="67"/>
        <v>0</v>
      </c>
      <c r="IR29" s="83"/>
      <c r="IS29" s="102"/>
      <c r="IT29" s="66">
        <f t="shared" si="68"/>
        <v>1</v>
      </c>
      <c r="IU29" s="66">
        <f t="shared" si="69"/>
        <v>76</v>
      </c>
      <c r="IV29" s="83"/>
      <c r="IW29" s="102"/>
      <c r="IX29" s="66">
        <f t="shared" si="70"/>
        <v>0</v>
      </c>
      <c r="IY29" s="66">
        <f t="shared" si="71"/>
        <v>0</v>
      </c>
      <c r="IZ29" s="83"/>
      <c r="JA29" s="102"/>
      <c r="JB29" s="66">
        <f t="shared" si="72"/>
        <v>0</v>
      </c>
      <c r="JC29" s="66">
        <f t="shared" si="73"/>
        <v>0</v>
      </c>
      <c r="JD29" s="83"/>
      <c r="JE29" s="102"/>
      <c r="JF29" s="66">
        <f t="shared" si="165"/>
        <v>1</v>
      </c>
      <c r="JG29" s="66">
        <f t="shared" si="74"/>
        <v>76</v>
      </c>
      <c r="JH29" s="83"/>
      <c r="JI29" s="102"/>
      <c r="JJ29" s="66">
        <f t="shared" si="75"/>
        <v>0</v>
      </c>
      <c r="JK29" s="66">
        <f t="shared" si="76"/>
        <v>0</v>
      </c>
      <c r="JM29" s="102">
        <f t="shared" si="166"/>
        <v>0</v>
      </c>
      <c r="JO29" s="29">
        <f t="shared" si="77"/>
        <v>1</v>
      </c>
      <c r="JP29" s="122">
        <f t="shared" si="78"/>
        <v>51</v>
      </c>
      <c r="JQ29" s="122">
        <f t="shared" si="79"/>
        <v>1</v>
      </c>
      <c r="JR29" s="122">
        <f t="shared" si="80"/>
        <v>0</v>
      </c>
      <c r="JS29" s="122">
        <f t="shared" si="81"/>
        <v>0</v>
      </c>
      <c r="JT29" s="122">
        <f t="shared" si="82"/>
        <v>0</v>
      </c>
      <c r="JU29" s="122">
        <f t="shared" si="83"/>
        <v>0</v>
      </c>
      <c r="JV29" s="122">
        <f t="shared" si="84"/>
        <v>0</v>
      </c>
      <c r="JW29" s="122">
        <f t="shared" si="85"/>
        <v>0</v>
      </c>
      <c r="JX29" s="122">
        <f t="shared" si="86"/>
        <v>0</v>
      </c>
      <c r="JY29" s="122">
        <f t="shared" si="87"/>
        <v>0</v>
      </c>
      <c r="JZ29" s="122">
        <f t="shared" si="88"/>
        <v>0</v>
      </c>
      <c r="KA29" s="122">
        <f t="shared" si="89"/>
        <v>0</v>
      </c>
      <c r="KB29" s="122">
        <f t="shared" si="90"/>
        <v>0</v>
      </c>
      <c r="KD29" s="122">
        <f t="shared" si="167"/>
        <v>0</v>
      </c>
      <c r="KE29" s="122">
        <f t="shared" si="92"/>
        <v>0</v>
      </c>
      <c r="KF29" s="122">
        <f t="shared" si="93"/>
        <v>51</v>
      </c>
      <c r="KG29" s="122">
        <f t="shared" si="94"/>
        <v>51</v>
      </c>
      <c r="KH29" s="122">
        <f t="shared" si="95"/>
        <v>0</v>
      </c>
      <c r="KI29" s="122">
        <f t="shared" si="96"/>
        <v>0</v>
      </c>
      <c r="KJ29" s="122">
        <f t="shared" si="97"/>
        <v>0</v>
      </c>
      <c r="KK29" s="122">
        <f t="shared" si="98"/>
        <v>0</v>
      </c>
      <c r="KL29" s="122">
        <f t="shared" si="99"/>
        <v>0</v>
      </c>
      <c r="KM29" s="122">
        <f t="shared" si="100"/>
        <v>0</v>
      </c>
      <c r="KN29" s="123">
        <f t="shared" si="101"/>
        <v>0</v>
      </c>
      <c r="KO29" s="123">
        <f t="shared" si="102"/>
        <v>0</v>
      </c>
      <c r="KP29" s="123">
        <f t="shared" si="103"/>
        <v>0</v>
      </c>
      <c r="KQ29" s="123">
        <f t="shared" si="104"/>
        <v>0</v>
      </c>
      <c r="KR29" s="123">
        <f t="shared" si="105"/>
        <v>0</v>
      </c>
      <c r="KT29">
        <f t="shared" si="106"/>
        <v>0</v>
      </c>
      <c r="KU29" s="123"/>
      <c r="KV29" s="123"/>
      <c r="KW29" s="123"/>
      <c r="KX29" s="123"/>
      <c r="KY29" s="123"/>
      <c r="KZ29" s="123"/>
      <c r="LA29" s="123"/>
      <c r="LB29" s="123"/>
      <c r="LC29" s="123"/>
      <c r="LD29" s="123"/>
      <c r="LE29" s="123"/>
      <c r="LF29" s="123"/>
      <c r="LG29" s="123"/>
      <c r="LH29" s="123"/>
      <c r="LI29" s="123"/>
      <c r="LJ29" s="123"/>
      <c r="LK29" s="123"/>
      <c r="LL29" s="123"/>
      <c r="LM29" s="123"/>
      <c r="LN29" s="123"/>
      <c r="LO29" s="123"/>
      <c r="LP29" s="123"/>
      <c r="LQ29" s="123"/>
      <c r="LR29" s="123"/>
      <c r="LS29" s="123"/>
      <c r="LT29" s="123"/>
      <c r="LU29" s="123"/>
      <c r="LV29" s="123"/>
      <c r="LW29" s="123"/>
      <c r="LX29" s="123"/>
      <c r="LY29" s="123"/>
      <c r="LZ29" s="123"/>
      <c r="MA29" s="123"/>
      <c r="MB29" s="123"/>
      <c r="MC29" s="123"/>
      <c r="MD29" s="123"/>
      <c r="ME29" s="123"/>
      <c r="MF29" s="123"/>
      <c r="MG29" s="123"/>
      <c r="MH29" s="123"/>
      <c r="MI29" s="123"/>
      <c r="MJ29" s="123"/>
      <c r="MK29" s="123"/>
      <c r="ML29" s="123"/>
      <c r="MM29" s="123"/>
      <c r="MN29" s="123"/>
      <c r="MO29" s="123"/>
      <c r="MP29" s="123"/>
      <c r="MQ29" s="123"/>
      <c r="MR29" s="123"/>
      <c r="MS29" s="123"/>
      <c r="MT29" s="123"/>
      <c r="MU29" s="123"/>
      <c r="MV29" s="123"/>
      <c r="MW29" s="123"/>
      <c r="MX29" s="123"/>
      <c r="MY29" s="123"/>
      <c r="MZ29" s="123"/>
      <c r="NA29" s="123"/>
      <c r="NB29" s="123"/>
      <c r="NC29" s="123"/>
      <c r="ND29" s="123"/>
      <c r="NE29" s="123"/>
      <c r="NF29" s="123"/>
      <c r="NG29" s="123"/>
      <c r="NH29" s="123"/>
      <c r="NI29" s="123"/>
      <c r="NJ29" s="123"/>
      <c r="NK29" s="123"/>
      <c r="NM29">
        <f t="shared" si="168"/>
        <v>0</v>
      </c>
      <c r="NN29">
        <f t="shared" si="169"/>
        <v>0</v>
      </c>
      <c r="NO29">
        <f t="shared" si="170"/>
        <v>0</v>
      </c>
      <c r="NP29">
        <f t="shared" si="171"/>
        <v>0</v>
      </c>
      <c r="NQ29">
        <f t="shared" si="172"/>
        <v>0</v>
      </c>
      <c r="NR29">
        <f t="shared" si="173"/>
        <v>0</v>
      </c>
      <c r="NS29">
        <f t="shared" si="174"/>
        <v>0</v>
      </c>
      <c r="NT29">
        <f t="shared" si="175"/>
        <v>0</v>
      </c>
      <c r="NU29" s="29">
        <f t="shared" si="176"/>
        <v>0</v>
      </c>
      <c r="NY29" s="17">
        <f t="shared" si="108"/>
        <v>1</v>
      </c>
      <c r="NZ29" s="152">
        <v>11000000</v>
      </c>
      <c r="OE29" s="155">
        <f t="shared" si="109"/>
        <v>0</v>
      </c>
      <c r="OF29" s="155">
        <f t="shared" si="110"/>
        <v>0</v>
      </c>
      <c r="OG29" s="155">
        <f t="shared" si="111"/>
        <v>0</v>
      </c>
      <c r="OH29" s="155">
        <f t="shared" si="177"/>
        <v>0</v>
      </c>
      <c r="OI29" s="155">
        <f t="shared" si="112"/>
        <v>0</v>
      </c>
      <c r="OJ29" s="67">
        <f t="shared" si="178"/>
        <v>0</v>
      </c>
      <c r="OK29" s="67">
        <f t="shared" si="179"/>
        <v>0</v>
      </c>
      <c r="OL29" s="67">
        <f t="shared" si="180"/>
        <v>0</v>
      </c>
      <c r="OM29" s="67">
        <f t="shared" si="181"/>
        <v>0</v>
      </c>
      <c r="OO29" s="155">
        <f t="shared" si="113"/>
        <v>0</v>
      </c>
      <c r="OP29" s="155">
        <f t="shared" si="114"/>
        <v>0</v>
      </c>
      <c r="OQ29" s="155">
        <f t="shared" si="182"/>
        <v>0</v>
      </c>
      <c r="OR29" s="155">
        <f t="shared" si="183"/>
        <v>0</v>
      </c>
      <c r="OS29" s="155">
        <f t="shared" si="184"/>
        <v>0</v>
      </c>
      <c r="OT29" s="67">
        <f t="shared" si="185"/>
        <v>0</v>
      </c>
      <c r="OU29" s="67">
        <f t="shared" si="186"/>
        <v>0</v>
      </c>
      <c r="OV29" s="67">
        <f t="shared" si="187"/>
        <v>0</v>
      </c>
      <c r="OW29" s="67">
        <f t="shared" si="188"/>
        <v>0</v>
      </c>
      <c r="OZ29" s="163">
        <f t="shared" si="115"/>
        <v>0</v>
      </c>
      <c r="PA29" s="166"/>
      <c r="PB29" s="166"/>
      <c r="PC29" s="166"/>
      <c r="PD29" s="210">
        <f t="shared" si="116"/>
        <v>0</v>
      </c>
      <c r="PE29" s="210"/>
      <c r="PF29" s="210">
        <f t="shared" si="117"/>
        <v>0</v>
      </c>
      <c r="PG29" s="210">
        <f t="shared" si="118"/>
        <v>0</v>
      </c>
      <c r="PH29" s="210">
        <f t="shared" si="118"/>
        <v>0</v>
      </c>
      <c r="PI29" s="210">
        <f t="shared" si="118"/>
        <v>0</v>
      </c>
      <c r="PJ29" s="210">
        <f t="shared" si="118"/>
        <v>0</v>
      </c>
      <c r="PK29" s="210">
        <f t="shared" si="118"/>
        <v>0</v>
      </c>
      <c r="PL29" s="210">
        <f t="shared" si="118"/>
        <v>0</v>
      </c>
      <c r="PM29" s="164"/>
      <c r="PN29" s="164"/>
      <c r="PO29" s="172">
        <f t="shared" si="189"/>
        <v>0</v>
      </c>
      <c r="PP29" s="172">
        <f t="shared" si="190"/>
        <v>0</v>
      </c>
      <c r="PQ29" s="172">
        <f t="shared" si="191"/>
        <v>0</v>
      </c>
      <c r="PR29" s="164"/>
      <c r="PS29" s="164"/>
      <c r="PT29" s="164"/>
      <c r="PU29" s="164"/>
    </row>
    <row r="30" spans="1:437" ht="16" x14ac:dyDescent="0.2">
      <c r="A30" s="19">
        <f t="shared" si="192"/>
        <v>22</v>
      </c>
      <c r="B30" s="138" t="s">
        <v>157</v>
      </c>
      <c r="C30" s="138">
        <v>27</v>
      </c>
      <c r="D30" s="20">
        <v>1</v>
      </c>
      <c r="E30" s="20">
        <v>76</v>
      </c>
      <c r="F30" s="20">
        <v>1</v>
      </c>
      <c r="G30" s="20">
        <f t="shared" si="119"/>
        <v>76</v>
      </c>
      <c r="H30" s="137">
        <f t="shared" si="2"/>
        <v>1</v>
      </c>
      <c r="I30" s="137">
        <f t="shared" si="3"/>
        <v>1</v>
      </c>
      <c r="J30" s="20">
        <v>1</v>
      </c>
      <c r="K30" s="20">
        <f t="shared" si="4"/>
        <v>76</v>
      </c>
      <c r="L30" s="137">
        <f t="shared" si="5"/>
        <v>1</v>
      </c>
      <c r="M30" s="137">
        <f t="shared" si="6"/>
        <v>1</v>
      </c>
      <c r="N30" s="20">
        <v>1</v>
      </c>
      <c r="O30" s="20">
        <f t="shared" si="7"/>
        <v>76</v>
      </c>
      <c r="P30" s="137">
        <f t="shared" si="8"/>
        <v>1</v>
      </c>
      <c r="Q30" s="137">
        <f t="shared" si="9"/>
        <v>1</v>
      </c>
      <c r="R30" s="20">
        <v>1</v>
      </c>
      <c r="S30" s="20">
        <f t="shared" si="10"/>
        <v>76</v>
      </c>
      <c r="T30" s="137">
        <f t="shared" si="11"/>
        <v>1</v>
      </c>
      <c r="U30" s="137">
        <f t="shared" si="12"/>
        <v>1</v>
      </c>
      <c r="V30" s="20">
        <v>1</v>
      </c>
      <c r="W30" s="20">
        <f t="shared" si="13"/>
        <v>76</v>
      </c>
      <c r="X30" s="137">
        <f t="shared" si="14"/>
        <v>1</v>
      </c>
      <c r="Y30" s="137">
        <f t="shared" si="15"/>
        <v>1</v>
      </c>
      <c r="Z30" s="60">
        <f>1669077000/1000000000</f>
        <v>1.6690769999999999</v>
      </c>
      <c r="AA30" s="292"/>
      <c r="AB30" s="189">
        <f t="shared" si="120"/>
        <v>0</v>
      </c>
      <c r="AC30" s="250">
        <f t="shared" si="121"/>
        <v>0</v>
      </c>
      <c r="AD30" s="250">
        <f t="shared" si="122"/>
        <v>0</v>
      </c>
      <c r="AE30" s="224"/>
      <c r="AF30" s="188">
        <f t="shared" si="123"/>
        <v>0</v>
      </c>
      <c r="AG30" s="187"/>
      <c r="AH30" s="31"/>
      <c r="AI30" s="20">
        <v>0</v>
      </c>
      <c r="AJ30" s="20">
        <f t="shared" si="18"/>
        <v>0</v>
      </c>
      <c r="AK30" s="20"/>
      <c r="AL30" s="20">
        <v>0</v>
      </c>
      <c r="AM30" s="20">
        <v>0</v>
      </c>
      <c r="AN30" s="139"/>
      <c r="BB30" s="20">
        <f t="shared" si="124"/>
        <v>0</v>
      </c>
      <c r="BE30" s="20">
        <f t="shared" si="19"/>
        <v>0</v>
      </c>
      <c r="BF30" s="20">
        <f t="shared" si="20"/>
        <v>0</v>
      </c>
      <c r="BG30" s="20">
        <f t="shared" si="21"/>
        <v>0</v>
      </c>
      <c r="BH30" s="20">
        <f t="shared" si="22"/>
        <v>0</v>
      </c>
      <c r="BI30" s="20">
        <f t="shared" si="23"/>
        <v>0</v>
      </c>
      <c r="BJ30" s="20">
        <f t="shared" si="24"/>
        <v>0</v>
      </c>
      <c r="BK30" s="20">
        <f t="shared" si="125"/>
        <v>0</v>
      </c>
      <c r="BN30" s="284">
        <v>56</v>
      </c>
      <c r="BO30">
        <v>1</v>
      </c>
      <c r="BP30" s="139"/>
      <c r="BQ30" s="139"/>
      <c r="BR30" s="139"/>
      <c r="BS30" s="139"/>
      <c r="BT30" s="139"/>
      <c r="BU30" s="139"/>
      <c r="BV30" s="139"/>
      <c r="BW30" s="139"/>
      <c r="BX30" s="139"/>
      <c r="BY30" s="139"/>
      <c r="BZ30" s="139"/>
      <c r="CB30" s="139"/>
      <c r="CD30" s="17">
        <f t="shared" si="126"/>
        <v>56</v>
      </c>
      <c r="CE30" s="17">
        <f t="shared" si="127"/>
        <v>56</v>
      </c>
      <c r="CF30" s="139">
        <f t="shared" si="128"/>
        <v>0</v>
      </c>
      <c r="CG30" s="139">
        <f t="shared" si="129"/>
        <v>0</v>
      </c>
      <c r="CH30" s="139">
        <f t="shared" si="130"/>
        <v>0</v>
      </c>
      <c r="CI30" s="139">
        <f t="shared" si="131"/>
        <v>0</v>
      </c>
      <c r="CJ30" s="139">
        <f t="shared" si="132"/>
        <v>0</v>
      </c>
      <c r="CK30" s="139">
        <f t="shared" si="133"/>
        <v>0</v>
      </c>
      <c r="CL30" s="139">
        <f t="shared" si="134"/>
        <v>0</v>
      </c>
      <c r="CM30" s="139">
        <f t="shared" si="135"/>
        <v>0</v>
      </c>
      <c r="CN30" s="139">
        <f t="shared" si="136"/>
        <v>0</v>
      </c>
      <c r="CO30" s="139">
        <f t="shared" si="137"/>
        <v>0</v>
      </c>
      <c r="CP30" s="139">
        <f t="shared" si="138"/>
        <v>0</v>
      </c>
      <c r="CQ30" s="148">
        <f t="shared" si="27"/>
        <v>0</v>
      </c>
      <c r="DV30" s="139">
        <f t="shared" si="28"/>
        <v>0</v>
      </c>
      <c r="DW30" s="139">
        <f t="shared" si="29"/>
        <v>0</v>
      </c>
      <c r="DX30" s="139">
        <f t="shared" si="30"/>
        <v>0</v>
      </c>
      <c r="DY30" s="139">
        <f t="shared" si="31"/>
        <v>0</v>
      </c>
      <c r="DZ30" s="139">
        <f t="shared" si="32"/>
        <v>0</v>
      </c>
      <c r="EA30" s="139">
        <f t="shared" si="33"/>
        <v>0</v>
      </c>
      <c r="EB30" s="139">
        <f t="shared" si="139"/>
        <v>0</v>
      </c>
      <c r="EG30" s="57">
        <f t="shared" si="140"/>
        <v>0</v>
      </c>
      <c r="EH30" s="57">
        <f t="shared" si="141"/>
        <v>0</v>
      </c>
      <c r="EI30" s="17"/>
      <c r="EJ30" s="17"/>
      <c r="EK30" s="17"/>
      <c r="EL30" s="17"/>
      <c r="EM30" s="17"/>
      <c r="EN30" s="17"/>
      <c r="EO30" s="17"/>
      <c r="EP30" s="17"/>
      <c r="EQ30" s="189"/>
      <c r="ER30" s="189"/>
      <c r="ES30" s="189"/>
      <c r="ET30" s="189"/>
      <c r="EU30" s="189"/>
      <c r="EV30" s="189"/>
      <c r="EW30" s="189"/>
      <c r="EX30" s="189"/>
      <c r="EY30" s="189"/>
      <c r="EZ30" s="189"/>
      <c r="FA30" s="189"/>
      <c r="FB30" s="189"/>
      <c r="FC30" s="189"/>
      <c r="FD30" s="17"/>
      <c r="FE30" s="17"/>
      <c r="FF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X30" s="80">
        <v>1</v>
      </c>
      <c r="FY30" s="17">
        <f t="shared" si="142"/>
        <v>56</v>
      </c>
      <c r="FZ30" s="17">
        <f t="shared" si="35"/>
        <v>56</v>
      </c>
      <c r="GA30" s="17">
        <f t="shared" si="36"/>
        <v>0</v>
      </c>
      <c r="GB30" s="17">
        <f t="shared" si="37"/>
        <v>0</v>
      </c>
      <c r="GC30" s="17">
        <f t="shared" si="38"/>
        <v>0</v>
      </c>
      <c r="GD30" s="17">
        <f t="shared" si="39"/>
        <v>0</v>
      </c>
      <c r="GE30" s="17">
        <f t="shared" si="40"/>
        <v>0</v>
      </c>
      <c r="GF30" s="67"/>
      <c r="GG30" s="17">
        <v>0</v>
      </c>
      <c r="GH30" s="17">
        <v>0</v>
      </c>
      <c r="GI30" s="67"/>
      <c r="GJ30" s="62">
        <f t="shared" si="143"/>
        <v>0</v>
      </c>
      <c r="GK30" s="62">
        <f t="shared" si="144"/>
        <v>0</v>
      </c>
      <c r="GO30" s="17">
        <f t="shared" si="41"/>
        <v>0</v>
      </c>
      <c r="GP30" s="17">
        <f t="shared" si="42"/>
        <v>0</v>
      </c>
      <c r="GQ30" s="17">
        <f t="shared" si="43"/>
        <v>0</v>
      </c>
      <c r="GR30" s="17">
        <f t="shared" si="44"/>
        <v>0</v>
      </c>
      <c r="GS30" s="17">
        <f t="shared" si="45"/>
        <v>0</v>
      </c>
      <c r="GT30" s="17">
        <f t="shared" si="145"/>
        <v>1</v>
      </c>
      <c r="GU30" s="101">
        <f t="shared" si="146"/>
        <v>43243</v>
      </c>
      <c r="GV30" s="17" t="str">
        <f t="shared" si="147"/>
        <v>SELESAI</v>
      </c>
      <c r="GW30" s="17">
        <f t="shared" si="148"/>
        <v>0</v>
      </c>
      <c r="GX30" s="66" t="str">
        <f t="shared" si="149"/>
        <v>SELESAI</v>
      </c>
      <c r="GY30" s="66">
        <f t="shared" si="150"/>
        <v>0</v>
      </c>
      <c r="GZ30" s="102" t="str">
        <f t="shared" si="151"/>
        <v>SELESAI</v>
      </c>
      <c r="HA30" s="83"/>
      <c r="HB30" s="83"/>
      <c r="HC30" s="17">
        <f t="shared" si="46"/>
        <v>0</v>
      </c>
      <c r="HD30" s="17">
        <f t="shared" si="47"/>
        <v>0</v>
      </c>
      <c r="HE30" s="17">
        <f t="shared" si="152"/>
        <v>0</v>
      </c>
      <c r="HF30" s="17">
        <f t="shared" si="153"/>
        <v>0</v>
      </c>
      <c r="HG30" s="17">
        <f t="shared" si="154"/>
        <v>0</v>
      </c>
      <c r="HH30" s="101" t="str">
        <f t="shared" si="48"/>
        <v>TIDAK KONSINYASI</v>
      </c>
      <c r="HI30" s="101" t="str">
        <f t="shared" si="155"/>
        <v>SELESAI</v>
      </c>
      <c r="HJ30" s="27"/>
      <c r="HK30" s="101">
        <f t="shared" si="49"/>
        <v>0</v>
      </c>
      <c r="HL30" s="83"/>
      <c r="HM30" s="83"/>
      <c r="HN30" s="83"/>
      <c r="HO30" s="83"/>
      <c r="HP30" s="102">
        <f t="shared" si="156"/>
        <v>0</v>
      </c>
      <c r="HQ30" s="66">
        <f t="shared" si="157"/>
        <v>0</v>
      </c>
      <c r="HR30" s="66">
        <f t="shared" si="50"/>
        <v>0</v>
      </c>
      <c r="HS30" s="102">
        <f t="shared" si="158"/>
        <v>0</v>
      </c>
      <c r="HT30" s="66">
        <f t="shared" si="159"/>
        <v>0</v>
      </c>
      <c r="HU30" s="66">
        <f t="shared" si="51"/>
        <v>0</v>
      </c>
      <c r="HV30" s="102">
        <f t="shared" si="160"/>
        <v>0</v>
      </c>
      <c r="HW30" s="66">
        <f t="shared" si="52"/>
        <v>0</v>
      </c>
      <c r="HX30" s="66">
        <f t="shared" si="53"/>
        <v>0</v>
      </c>
      <c r="HY30" s="102">
        <f t="shared" si="54"/>
        <v>0</v>
      </c>
      <c r="HZ30" s="66">
        <f t="shared" si="161"/>
        <v>0</v>
      </c>
      <c r="IA30" s="66">
        <f t="shared" si="55"/>
        <v>0</v>
      </c>
      <c r="IB30" s="102">
        <f t="shared" si="162"/>
        <v>0</v>
      </c>
      <c r="IC30" s="66">
        <f t="shared" si="56"/>
        <v>0</v>
      </c>
      <c r="ID30" s="66">
        <f t="shared" si="57"/>
        <v>0</v>
      </c>
      <c r="IE30" s="102">
        <f t="shared" si="58"/>
        <v>0</v>
      </c>
      <c r="IF30" s="66">
        <f t="shared" si="59"/>
        <v>0</v>
      </c>
      <c r="IG30" s="66">
        <f t="shared" si="60"/>
        <v>0</v>
      </c>
      <c r="IH30" s="102">
        <f t="shared" si="163"/>
        <v>0</v>
      </c>
      <c r="II30" s="66">
        <f t="shared" si="164"/>
        <v>0</v>
      </c>
      <c r="IJ30" s="66">
        <f t="shared" si="61"/>
        <v>0</v>
      </c>
      <c r="IK30" s="102">
        <f t="shared" si="62"/>
        <v>0</v>
      </c>
      <c r="IL30" s="66">
        <f t="shared" si="63"/>
        <v>0</v>
      </c>
      <c r="IM30" s="66">
        <f t="shared" si="64"/>
        <v>0</v>
      </c>
      <c r="IN30" s="83"/>
      <c r="IO30" s="102">
        <f t="shared" si="65"/>
        <v>0</v>
      </c>
      <c r="IP30" s="66">
        <f t="shared" si="66"/>
        <v>0</v>
      </c>
      <c r="IQ30" s="66">
        <f t="shared" si="67"/>
        <v>0</v>
      </c>
      <c r="IR30" s="83"/>
      <c r="IS30" s="102"/>
      <c r="IT30" s="66">
        <f t="shared" si="68"/>
        <v>1</v>
      </c>
      <c r="IU30" s="66">
        <f t="shared" si="69"/>
        <v>76</v>
      </c>
      <c r="IV30" s="83"/>
      <c r="IW30" s="102"/>
      <c r="IX30" s="66">
        <f t="shared" si="70"/>
        <v>0</v>
      </c>
      <c r="IY30" s="66">
        <f t="shared" si="71"/>
        <v>0</v>
      </c>
      <c r="IZ30" s="83"/>
      <c r="JA30" s="102"/>
      <c r="JB30" s="66">
        <f t="shared" si="72"/>
        <v>0</v>
      </c>
      <c r="JC30" s="66">
        <f t="shared" si="73"/>
        <v>0</v>
      </c>
      <c r="JD30" s="83"/>
      <c r="JE30" s="102"/>
      <c r="JF30" s="66">
        <f t="shared" si="165"/>
        <v>1</v>
      </c>
      <c r="JG30" s="66">
        <f t="shared" si="74"/>
        <v>76</v>
      </c>
      <c r="JH30" s="83"/>
      <c r="JI30" s="102"/>
      <c r="JJ30" s="66">
        <f t="shared" si="75"/>
        <v>0</v>
      </c>
      <c r="JK30" s="66">
        <f t="shared" si="76"/>
        <v>0</v>
      </c>
      <c r="JM30" s="102">
        <f t="shared" si="166"/>
        <v>0</v>
      </c>
      <c r="JO30" s="29">
        <f t="shared" si="77"/>
        <v>1</v>
      </c>
      <c r="JP30" s="122">
        <f t="shared" si="78"/>
        <v>56</v>
      </c>
      <c r="JQ30" s="122">
        <f t="shared" si="79"/>
        <v>1</v>
      </c>
      <c r="JR30" s="122">
        <f t="shared" si="80"/>
        <v>0</v>
      </c>
      <c r="JS30" s="122">
        <f t="shared" si="81"/>
        <v>0</v>
      </c>
      <c r="JT30" s="122">
        <f t="shared" si="82"/>
        <v>0</v>
      </c>
      <c r="JU30" s="122">
        <f t="shared" si="83"/>
        <v>0</v>
      </c>
      <c r="JV30" s="122">
        <f t="shared" si="84"/>
        <v>0</v>
      </c>
      <c r="JW30" s="122">
        <f t="shared" si="85"/>
        <v>0</v>
      </c>
      <c r="JX30" s="122">
        <f t="shared" si="86"/>
        <v>0</v>
      </c>
      <c r="JY30" s="122">
        <f t="shared" si="87"/>
        <v>0</v>
      </c>
      <c r="JZ30" s="122">
        <f t="shared" si="88"/>
        <v>0</v>
      </c>
      <c r="KA30" s="122">
        <f t="shared" si="89"/>
        <v>0</v>
      </c>
      <c r="KB30" s="122">
        <f t="shared" si="90"/>
        <v>0</v>
      </c>
      <c r="KD30" s="122">
        <f t="shared" si="167"/>
        <v>0</v>
      </c>
      <c r="KE30" s="122">
        <f t="shared" si="92"/>
        <v>0</v>
      </c>
      <c r="KF30" s="122">
        <f t="shared" si="93"/>
        <v>56</v>
      </c>
      <c r="KG30" s="122">
        <f t="shared" si="94"/>
        <v>56</v>
      </c>
      <c r="KH30" s="122">
        <f t="shared" si="95"/>
        <v>0</v>
      </c>
      <c r="KI30" s="122">
        <f t="shared" si="96"/>
        <v>0</v>
      </c>
      <c r="KJ30" s="122">
        <f t="shared" si="97"/>
        <v>0</v>
      </c>
      <c r="KK30" s="122">
        <f t="shared" si="98"/>
        <v>0</v>
      </c>
      <c r="KL30" s="122">
        <f t="shared" si="99"/>
        <v>0</v>
      </c>
      <c r="KM30" s="122">
        <f t="shared" si="100"/>
        <v>0</v>
      </c>
      <c r="KN30" s="123">
        <f t="shared" si="101"/>
        <v>0</v>
      </c>
      <c r="KO30" s="123">
        <f t="shared" si="102"/>
        <v>0</v>
      </c>
      <c r="KP30" s="123">
        <f t="shared" si="103"/>
        <v>0</v>
      </c>
      <c r="KQ30" s="123">
        <f t="shared" si="104"/>
        <v>0</v>
      </c>
      <c r="KR30" s="123">
        <f t="shared" si="105"/>
        <v>0</v>
      </c>
      <c r="KT30">
        <f t="shared" si="106"/>
        <v>0</v>
      </c>
      <c r="KU30" s="123"/>
      <c r="KV30" s="123"/>
      <c r="KW30" s="123"/>
      <c r="KX30" s="123"/>
      <c r="KY30" s="123"/>
      <c r="KZ30" s="123"/>
      <c r="LA30" s="123"/>
      <c r="LB30" s="123"/>
      <c r="LC30" s="123"/>
      <c r="LD30" s="123"/>
      <c r="LE30" s="123"/>
      <c r="LF30" s="123"/>
      <c r="LG30" s="123"/>
      <c r="LH30" s="123"/>
      <c r="LI30" s="123"/>
      <c r="LJ30" s="123"/>
      <c r="LK30" s="123"/>
      <c r="LL30" s="123"/>
      <c r="LM30" s="123"/>
      <c r="LN30" s="123"/>
      <c r="LO30" s="123"/>
      <c r="LP30" s="123"/>
      <c r="LQ30" s="123"/>
      <c r="LR30" s="123"/>
      <c r="LS30" s="123"/>
      <c r="LT30" s="123"/>
      <c r="LU30" s="123"/>
      <c r="LV30" s="123"/>
      <c r="LW30" s="123"/>
      <c r="LX30" s="123"/>
      <c r="LY30" s="123"/>
      <c r="LZ30" s="123"/>
      <c r="MA30" s="123"/>
      <c r="MB30" s="123"/>
      <c r="MC30" s="123"/>
      <c r="MD30" s="123"/>
      <c r="ME30" s="123"/>
      <c r="MF30" s="123"/>
      <c r="MG30" s="123"/>
      <c r="MH30" s="123"/>
      <c r="MI30" s="123"/>
      <c r="MJ30" s="123"/>
      <c r="MK30" s="123"/>
      <c r="ML30" s="123"/>
      <c r="MM30" s="123"/>
      <c r="MN30" s="123"/>
      <c r="MO30" s="123"/>
      <c r="MP30" s="123"/>
      <c r="MQ30" s="123"/>
      <c r="MR30" s="123"/>
      <c r="MS30" s="123"/>
      <c r="MT30" s="123"/>
      <c r="MU30" s="123"/>
      <c r="MV30" s="123"/>
      <c r="MW30" s="123"/>
      <c r="MX30" s="123"/>
      <c r="MY30" s="123"/>
      <c r="MZ30" s="123"/>
      <c r="NA30" s="123"/>
      <c r="NB30" s="123"/>
      <c r="NC30" s="123"/>
      <c r="ND30" s="123"/>
      <c r="NE30" s="123"/>
      <c r="NF30" s="123"/>
      <c r="NG30" s="123"/>
      <c r="NH30" s="123"/>
      <c r="NI30" s="123"/>
      <c r="NJ30" s="123"/>
      <c r="NK30" s="123"/>
      <c r="NM30">
        <f t="shared" si="168"/>
        <v>0</v>
      </c>
      <c r="NN30">
        <f t="shared" si="169"/>
        <v>0</v>
      </c>
      <c r="NO30">
        <f t="shared" si="170"/>
        <v>0</v>
      </c>
      <c r="NP30">
        <f t="shared" si="171"/>
        <v>0</v>
      </c>
      <c r="NQ30">
        <f t="shared" si="172"/>
        <v>0</v>
      </c>
      <c r="NR30">
        <f t="shared" si="173"/>
        <v>0</v>
      </c>
      <c r="NS30">
        <f t="shared" si="174"/>
        <v>0</v>
      </c>
      <c r="NT30">
        <f t="shared" si="175"/>
        <v>0</v>
      </c>
      <c r="NU30" s="29">
        <f t="shared" si="176"/>
        <v>0</v>
      </c>
      <c r="NY30" s="17">
        <f t="shared" si="108"/>
        <v>1</v>
      </c>
      <c r="NZ30" s="152">
        <v>11000000</v>
      </c>
      <c r="OE30" s="155">
        <f t="shared" si="109"/>
        <v>0</v>
      </c>
      <c r="OF30" s="155">
        <f t="shared" si="110"/>
        <v>0</v>
      </c>
      <c r="OG30" s="155">
        <f t="shared" si="111"/>
        <v>0</v>
      </c>
      <c r="OH30" s="155">
        <f t="shared" si="177"/>
        <v>0</v>
      </c>
      <c r="OI30" s="155">
        <f t="shared" si="112"/>
        <v>0</v>
      </c>
      <c r="OJ30" s="67">
        <f t="shared" si="178"/>
        <v>0</v>
      </c>
      <c r="OK30" s="67">
        <f t="shared" si="179"/>
        <v>0</v>
      </c>
      <c r="OL30" s="67">
        <f t="shared" si="180"/>
        <v>0</v>
      </c>
      <c r="OM30" s="67">
        <f t="shared" si="181"/>
        <v>0</v>
      </c>
      <c r="OO30" s="155">
        <f t="shared" si="113"/>
        <v>0</v>
      </c>
      <c r="OP30" s="155">
        <f t="shared" si="114"/>
        <v>0</v>
      </c>
      <c r="OQ30" s="155">
        <f t="shared" si="182"/>
        <v>0</v>
      </c>
      <c r="OR30" s="155">
        <f t="shared" si="183"/>
        <v>0</v>
      </c>
      <c r="OS30" s="155">
        <f t="shared" si="184"/>
        <v>0</v>
      </c>
      <c r="OT30" s="67">
        <f t="shared" si="185"/>
        <v>0</v>
      </c>
      <c r="OU30" s="67">
        <f t="shared" si="186"/>
        <v>0</v>
      </c>
      <c r="OV30" s="67">
        <f t="shared" si="187"/>
        <v>0</v>
      </c>
      <c r="OW30" s="67">
        <f t="shared" si="188"/>
        <v>0</v>
      </c>
      <c r="OZ30" s="163">
        <f t="shared" si="115"/>
        <v>0</v>
      </c>
      <c r="PA30" s="166"/>
      <c r="PB30" s="166"/>
      <c r="PC30" s="166"/>
      <c r="PD30" s="210">
        <f t="shared" si="116"/>
        <v>0</v>
      </c>
      <c r="PE30" s="210"/>
      <c r="PF30" s="210">
        <f t="shared" si="117"/>
        <v>0</v>
      </c>
      <c r="PG30" s="210">
        <f t="shared" si="118"/>
        <v>0</v>
      </c>
      <c r="PH30" s="210">
        <f t="shared" si="118"/>
        <v>0</v>
      </c>
      <c r="PI30" s="210">
        <f t="shared" si="118"/>
        <v>0</v>
      </c>
      <c r="PJ30" s="210">
        <f t="shared" si="118"/>
        <v>0</v>
      </c>
      <c r="PK30" s="210">
        <f t="shared" si="118"/>
        <v>0</v>
      </c>
      <c r="PL30" s="210">
        <f t="shared" si="118"/>
        <v>0</v>
      </c>
      <c r="PM30" s="164"/>
      <c r="PN30" s="164"/>
      <c r="PO30" s="172">
        <f t="shared" si="189"/>
        <v>0</v>
      </c>
      <c r="PP30" s="172">
        <f t="shared" si="190"/>
        <v>0</v>
      </c>
      <c r="PQ30" s="172">
        <f t="shared" si="191"/>
        <v>0</v>
      </c>
      <c r="PR30" s="164"/>
      <c r="PS30" s="164"/>
      <c r="PT30" s="164"/>
      <c r="PU30" s="164"/>
    </row>
    <row r="31" spans="1:437" ht="16" x14ac:dyDescent="0.2">
      <c r="A31" s="19">
        <f t="shared" si="192"/>
        <v>23</v>
      </c>
      <c r="B31" s="138" t="s">
        <v>158</v>
      </c>
      <c r="C31" s="138">
        <v>28</v>
      </c>
      <c r="D31" s="20">
        <v>1</v>
      </c>
      <c r="E31" s="20">
        <v>77</v>
      </c>
      <c r="F31" s="20">
        <v>1</v>
      </c>
      <c r="G31" s="20">
        <f t="shared" si="119"/>
        <v>77</v>
      </c>
      <c r="H31" s="137">
        <f t="shared" si="2"/>
        <v>1</v>
      </c>
      <c r="I31" s="137">
        <f t="shared" si="3"/>
        <v>1</v>
      </c>
      <c r="J31" s="20">
        <v>1</v>
      </c>
      <c r="K31" s="20">
        <f t="shared" si="4"/>
        <v>77</v>
      </c>
      <c r="L31" s="137">
        <f t="shared" si="5"/>
        <v>1</v>
      </c>
      <c r="M31" s="137">
        <f t="shared" si="6"/>
        <v>1</v>
      </c>
      <c r="N31" s="20">
        <v>1</v>
      </c>
      <c r="O31" s="20">
        <f t="shared" si="7"/>
        <v>77</v>
      </c>
      <c r="P31" s="137">
        <f t="shared" si="8"/>
        <v>1</v>
      </c>
      <c r="Q31" s="137">
        <f t="shared" si="9"/>
        <v>1</v>
      </c>
      <c r="R31" s="20">
        <v>1</v>
      </c>
      <c r="S31" s="20">
        <f t="shared" si="10"/>
        <v>77</v>
      </c>
      <c r="T31" s="137">
        <f t="shared" si="11"/>
        <v>1</v>
      </c>
      <c r="U31" s="137">
        <f t="shared" si="12"/>
        <v>1</v>
      </c>
      <c r="V31" s="20">
        <v>1</v>
      </c>
      <c r="W31" s="20">
        <f t="shared" si="13"/>
        <v>77</v>
      </c>
      <c r="X31" s="137">
        <f t="shared" si="14"/>
        <v>1</v>
      </c>
      <c r="Y31" s="137">
        <f t="shared" si="15"/>
        <v>1</v>
      </c>
      <c r="Z31" s="60">
        <f>1629781000/1000000000</f>
        <v>1.6297809999999999</v>
      </c>
      <c r="AA31" s="188"/>
      <c r="AB31" s="189">
        <f t="shared" si="120"/>
        <v>0</v>
      </c>
      <c r="AC31" s="250">
        <f t="shared" si="121"/>
        <v>0</v>
      </c>
      <c r="AD31" s="250">
        <f t="shared" si="122"/>
        <v>0</v>
      </c>
      <c r="AE31" s="224"/>
      <c r="AF31" s="188">
        <f t="shared" si="123"/>
        <v>0</v>
      </c>
      <c r="AG31" s="187"/>
      <c r="AH31" s="31"/>
      <c r="AI31" s="20">
        <v>0</v>
      </c>
      <c r="AJ31" s="20">
        <f t="shared" si="18"/>
        <v>0</v>
      </c>
      <c r="AK31" s="20"/>
      <c r="AL31" s="20">
        <v>0</v>
      </c>
      <c r="AM31" s="20">
        <v>0</v>
      </c>
      <c r="AN31" s="139"/>
      <c r="BB31" s="20">
        <f t="shared" si="124"/>
        <v>0</v>
      </c>
      <c r="BE31" s="20">
        <f t="shared" si="19"/>
        <v>0</v>
      </c>
      <c r="BF31" s="20">
        <f t="shared" si="20"/>
        <v>0</v>
      </c>
      <c r="BG31" s="20">
        <f t="shared" si="21"/>
        <v>0</v>
      </c>
      <c r="BH31" s="20">
        <f t="shared" si="22"/>
        <v>0</v>
      </c>
      <c r="BI31" s="20">
        <f t="shared" si="23"/>
        <v>0</v>
      </c>
      <c r="BJ31" s="20">
        <f t="shared" si="24"/>
        <v>0</v>
      </c>
      <c r="BK31" s="20">
        <f t="shared" si="125"/>
        <v>0</v>
      </c>
      <c r="BN31" s="284">
        <v>55</v>
      </c>
      <c r="BO31">
        <v>1</v>
      </c>
      <c r="BP31" s="139"/>
      <c r="BQ31" s="139"/>
      <c r="BR31" s="139"/>
      <c r="BS31" s="139"/>
      <c r="BT31" s="139"/>
      <c r="BU31" s="139"/>
      <c r="BV31" s="139"/>
      <c r="BW31" s="139"/>
      <c r="BX31" s="139"/>
      <c r="BY31" s="139"/>
      <c r="BZ31" s="139"/>
      <c r="CB31" s="139"/>
      <c r="CD31" s="17">
        <f t="shared" si="126"/>
        <v>55</v>
      </c>
      <c r="CE31" s="17">
        <f t="shared" si="127"/>
        <v>55</v>
      </c>
      <c r="CF31" s="139">
        <f t="shared" si="128"/>
        <v>0</v>
      </c>
      <c r="CG31" s="139">
        <f t="shared" si="129"/>
        <v>0</v>
      </c>
      <c r="CH31" s="139">
        <f t="shared" si="130"/>
        <v>0</v>
      </c>
      <c r="CI31" s="139">
        <f t="shared" si="131"/>
        <v>0</v>
      </c>
      <c r="CJ31" s="139">
        <f t="shared" si="132"/>
        <v>0</v>
      </c>
      <c r="CK31" s="139">
        <f t="shared" si="133"/>
        <v>0</v>
      </c>
      <c r="CL31" s="139">
        <f t="shared" si="134"/>
        <v>0</v>
      </c>
      <c r="CM31" s="139">
        <f t="shared" si="135"/>
        <v>0</v>
      </c>
      <c r="CN31" s="139">
        <f t="shared" si="136"/>
        <v>0</v>
      </c>
      <c r="CO31" s="139">
        <f t="shared" si="137"/>
        <v>0</v>
      </c>
      <c r="CP31" s="139">
        <f t="shared" si="138"/>
        <v>0</v>
      </c>
      <c r="CQ31" s="148">
        <f t="shared" si="27"/>
        <v>0</v>
      </c>
      <c r="DV31" s="139">
        <f t="shared" si="28"/>
        <v>0</v>
      </c>
      <c r="DW31" s="139">
        <f t="shared" si="29"/>
        <v>0</v>
      </c>
      <c r="DX31" s="139">
        <f t="shared" si="30"/>
        <v>0</v>
      </c>
      <c r="DY31" s="139">
        <f t="shared" si="31"/>
        <v>0</v>
      </c>
      <c r="DZ31" s="139">
        <f t="shared" si="32"/>
        <v>0</v>
      </c>
      <c r="EA31" s="139">
        <f t="shared" si="33"/>
        <v>0</v>
      </c>
      <c r="EB31" s="139">
        <f t="shared" si="139"/>
        <v>0</v>
      </c>
      <c r="EG31" s="57">
        <f t="shared" si="140"/>
        <v>0</v>
      </c>
      <c r="EH31" s="57">
        <f t="shared" si="141"/>
        <v>0</v>
      </c>
      <c r="EI31" s="17"/>
      <c r="EJ31" s="17"/>
      <c r="EK31" s="17"/>
      <c r="EL31" s="17"/>
      <c r="EM31" s="17"/>
      <c r="EN31" s="17"/>
      <c r="EO31" s="17"/>
      <c r="EP31" s="17"/>
      <c r="EQ31" s="189"/>
      <c r="ER31" s="189"/>
      <c r="ES31" s="189"/>
      <c r="ET31" s="189"/>
      <c r="EU31" s="189"/>
      <c r="EV31" s="189"/>
      <c r="EW31" s="189"/>
      <c r="EX31" s="189"/>
      <c r="EY31" s="189"/>
      <c r="EZ31" s="189"/>
      <c r="FA31" s="189"/>
      <c r="FB31" s="189"/>
      <c r="FC31" s="189"/>
      <c r="FD31" s="17"/>
      <c r="FE31" s="17"/>
      <c r="FF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X31" s="80">
        <v>1</v>
      </c>
      <c r="FY31" s="17">
        <f t="shared" si="142"/>
        <v>55</v>
      </c>
      <c r="FZ31" s="17">
        <f t="shared" si="35"/>
        <v>55</v>
      </c>
      <c r="GA31" s="17">
        <f t="shared" si="36"/>
        <v>0</v>
      </c>
      <c r="GB31" s="17">
        <f t="shared" si="37"/>
        <v>0</v>
      </c>
      <c r="GC31" s="17">
        <f t="shared" si="38"/>
        <v>0</v>
      </c>
      <c r="GD31" s="17">
        <f t="shared" si="39"/>
        <v>0</v>
      </c>
      <c r="GE31" s="17">
        <f t="shared" si="40"/>
        <v>0</v>
      </c>
      <c r="GF31" s="67"/>
      <c r="GG31" s="17">
        <v>0</v>
      </c>
      <c r="GH31" s="17">
        <v>0</v>
      </c>
      <c r="GI31" s="67"/>
      <c r="GJ31" s="62">
        <f t="shared" si="143"/>
        <v>0</v>
      </c>
      <c r="GK31" s="62">
        <f t="shared" si="144"/>
        <v>0</v>
      </c>
      <c r="GO31" s="17">
        <f t="shared" si="41"/>
        <v>0</v>
      </c>
      <c r="GP31" s="17">
        <f t="shared" si="42"/>
        <v>0</v>
      </c>
      <c r="GQ31" s="17">
        <f t="shared" si="43"/>
        <v>0</v>
      </c>
      <c r="GR31" s="17">
        <f t="shared" si="44"/>
        <v>0</v>
      </c>
      <c r="GS31" s="17">
        <f t="shared" si="45"/>
        <v>0</v>
      </c>
      <c r="GT31" s="17">
        <f t="shared" si="145"/>
        <v>1</v>
      </c>
      <c r="GU31" s="101">
        <f t="shared" si="146"/>
        <v>43243</v>
      </c>
      <c r="GV31" s="17" t="str">
        <f t="shared" si="147"/>
        <v>SELESAI</v>
      </c>
      <c r="GW31" s="17">
        <f t="shared" si="148"/>
        <v>0</v>
      </c>
      <c r="GX31" s="66" t="str">
        <f t="shared" si="149"/>
        <v>SELESAI</v>
      </c>
      <c r="GY31" s="66">
        <f t="shared" si="150"/>
        <v>0</v>
      </c>
      <c r="GZ31" s="102" t="str">
        <f t="shared" si="151"/>
        <v>SELESAI</v>
      </c>
      <c r="HA31" s="83"/>
      <c r="HB31" s="83"/>
      <c r="HC31" s="17">
        <f t="shared" si="46"/>
        <v>0</v>
      </c>
      <c r="HD31" s="17">
        <f t="shared" si="47"/>
        <v>0</v>
      </c>
      <c r="HE31" s="17">
        <f t="shared" si="152"/>
        <v>0</v>
      </c>
      <c r="HF31" s="17">
        <f t="shared" si="153"/>
        <v>0</v>
      </c>
      <c r="HG31" s="17">
        <f t="shared" si="154"/>
        <v>0</v>
      </c>
      <c r="HH31" s="101" t="str">
        <f t="shared" si="48"/>
        <v>TIDAK KONSINYASI</v>
      </c>
      <c r="HI31" s="101" t="str">
        <f t="shared" si="155"/>
        <v>SELESAI</v>
      </c>
      <c r="HJ31" s="27"/>
      <c r="HK31" s="101">
        <f t="shared" si="49"/>
        <v>0</v>
      </c>
      <c r="HL31" s="83"/>
      <c r="HM31" s="83"/>
      <c r="HN31" s="83"/>
      <c r="HO31" s="83"/>
      <c r="HP31" s="102">
        <f t="shared" si="156"/>
        <v>0</v>
      </c>
      <c r="HQ31" s="66">
        <f t="shared" si="157"/>
        <v>0</v>
      </c>
      <c r="HR31" s="66">
        <f t="shared" si="50"/>
        <v>0</v>
      </c>
      <c r="HS31" s="102">
        <f t="shared" si="158"/>
        <v>0</v>
      </c>
      <c r="HT31" s="66">
        <f t="shared" si="159"/>
        <v>0</v>
      </c>
      <c r="HU31" s="66">
        <f t="shared" si="51"/>
        <v>0</v>
      </c>
      <c r="HV31" s="102">
        <f t="shared" si="160"/>
        <v>0</v>
      </c>
      <c r="HW31" s="66">
        <f t="shared" si="52"/>
        <v>0</v>
      </c>
      <c r="HX31" s="66">
        <f t="shared" si="53"/>
        <v>0</v>
      </c>
      <c r="HY31" s="102">
        <f t="shared" si="54"/>
        <v>0</v>
      </c>
      <c r="HZ31" s="66">
        <f t="shared" si="161"/>
        <v>0</v>
      </c>
      <c r="IA31" s="66">
        <f t="shared" si="55"/>
        <v>0</v>
      </c>
      <c r="IB31" s="102">
        <f t="shared" si="162"/>
        <v>0</v>
      </c>
      <c r="IC31" s="66">
        <f t="shared" si="56"/>
        <v>0</v>
      </c>
      <c r="ID31" s="66">
        <f t="shared" si="57"/>
        <v>0</v>
      </c>
      <c r="IE31" s="102">
        <f t="shared" si="58"/>
        <v>0</v>
      </c>
      <c r="IF31" s="66">
        <f t="shared" si="59"/>
        <v>0</v>
      </c>
      <c r="IG31" s="66">
        <f t="shared" si="60"/>
        <v>0</v>
      </c>
      <c r="IH31" s="102">
        <f t="shared" si="163"/>
        <v>0</v>
      </c>
      <c r="II31" s="66">
        <f t="shared" si="164"/>
        <v>0</v>
      </c>
      <c r="IJ31" s="66">
        <f t="shared" si="61"/>
        <v>0</v>
      </c>
      <c r="IK31" s="102">
        <f t="shared" si="62"/>
        <v>0</v>
      </c>
      <c r="IL31" s="66">
        <f t="shared" si="63"/>
        <v>0</v>
      </c>
      <c r="IM31" s="66">
        <f t="shared" si="64"/>
        <v>0</v>
      </c>
      <c r="IN31" s="83"/>
      <c r="IO31" s="102">
        <f t="shared" si="65"/>
        <v>0</v>
      </c>
      <c r="IP31" s="66">
        <f t="shared" si="66"/>
        <v>0</v>
      </c>
      <c r="IQ31" s="66">
        <f t="shared" si="67"/>
        <v>0</v>
      </c>
      <c r="IR31" s="83"/>
      <c r="IS31" s="102"/>
      <c r="IT31" s="66">
        <f t="shared" si="68"/>
        <v>1</v>
      </c>
      <c r="IU31" s="66">
        <f t="shared" si="69"/>
        <v>77</v>
      </c>
      <c r="IV31" s="83"/>
      <c r="IW31" s="102"/>
      <c r="IX31" s="66">
        <f t="shared" si="70"/>
        <v>0</v>
      </c>
      <c r="IY31" s="66">
        <f t="shared" si="71"/>
        <v>0</v>
      </c>
      <c r="IZ31" s="83"/>
      <c r="JA31" s="102"/>
      <c r="JB31" s="66">
        <f t="shared" si="72"/>
        <v>0</v>
      </c>
      <c r="JC31" s="66">
        <f t="shared" si="73"/>
        <v>0</v>
      </c>
      <c r="JD31" s="83"/>
      <c r="JE31" s="102"/>
      <c r="JF31" s="66">
        <f t="shared" si="165"/>
        <v>1</v>
      </c>
      <c r="JG31" s="66">
        <f t="shared" si="74"/>
        <v>77</v>
      </c>
      <c r="JH31" s="83"/>
      <c r="JI31" s="102"/>
      <c r="JJ31" s="66">
        <f t="shared" si="75"/>
        <v>0</v>
      </c>
      <c r="JK31" s="66">
        <f t="shared" si="76"/>
        <v>0</v>
      </c>
      <c r="JM31" s="102">
        <f t="shared" si="166"/>
        <v>0</v>
      </c>
      <c r="JO31" s="29">
        <f t="shared" si="77"/>
        <v>1</v>
      </c>
      <c r="JP31" s="122">
        <f t="shared" si="78"/>
        <v>55</v>
      </c>
      <c r="JQ31" s="122">
        <f t="shared" si="79"/>
        <v>1</v>
      </c>
      <c r="JR31" s="122">
        <f t="shared" si="80"/>
        <v>0</v>
      </c>
      <c r="JS31" s="122">
        <f t="shared" si="81"/>
        <v>0</v>
      </c>
      <c r="JT31" s="122">
        <f t="shared" si="82"/>
        <v>0</v>
      </c>
      <c r="JU31" s="122">
        <f t="shared" si="83"/>
        <v>0</v>
      </c>
      <c r="JV31" s="122">
        <f t="shared" si="84"/>
        <v>0</v>
      </c>
      <c r="JW31" s="122">
        <f t="shared" si="85"/>
        <v>0</v>
      </c>
      <c r="JX31" s="122">
        <f t="shared" si="86"/>
        <v>0</v>
      </c>
      <c r="JY31" s="122">
        <f t="shared" si="87"/>
        <v>0</v>
      </c>
      <c r="JZ31" s="122">
        <f t="shared" si="88"/>
        <v>0</v>
      </c>
      <c r="KA31" s="122">
        <f t="shared" si="89"/>
        <v>0</v>
      </c>
      <c r="KB31" s="122">
        <f t="shared" si="90"/>
        <v>0</v>
      </c>
      <c r="KD31" s="122">
        <f t="shared" si="167"/>
        <v>0</v>
      </c>
      <c r="KE31" s="122">
        <f t="shared" si="92"/>
        <v>0</v>
      </c>
      <c r="KF31" s="122">
        <f t="shared" si="93"/>
        <v>55</v>
      </c>
      <c r="KG31" s="122">
        <f t="shared" si="94"/>
        <v>55</v>
      </c>
      <c r="KH31" s="122">
        <f t="shared" si="95"/>
        <v>0</v>
      </c>
      <c r="KI31" s="122">
        <f t="shared" si="96"/>
        <v>0</v>
      </c>
      <c r="KJ31" s="122">
        <f t="shared" si="97"/>
        <v>0</v>
      </c>
      <c r="KK31" s="122">
        <f t="shared" si="98"/>
        <v>0</v>
      </c>
      <c r="KL31" s="122">
        <f t="shared" si="99"/>
        <v>0</v>
      </c>
      <c r="KM31" s="122">
        <f t="shared" si="100"/>
        <v>0</v>
      </c>
      <c r="KN31" s="123">
        <f t="shared" si="101"/>
        <v>0</v>
      </c>
      <c r="KO31" s="123">
        <f t="shared" si="102"/>
        <v>0</v>
      </c>
      <c r="KP31" s="123">
        <f t="shared" si="103"/>
        <v>0</v>
      </c>
      <c r="KQ31" s="123">
        <f t="shared" si="104"/>
        <v>0</v>
      </c>
      <c r="KR31" s="123">
        <f t="shared" si="105"/>
        <v>0</v>
      </c>
      <c r="KT31">
        <f t="shared" si="106"/>
        <v>0</v>
      </c>
      <c r="KU31" s="123"/>
      <c r="KV31" s="123"/>
      <c r="KW31" s="123"/>
      <c r="KX31" s="123"/>
      <c r="KY31" s="123"/>
      <c r="KZ31" s="123"/>
      <c r="LA31" s="123"/>
      <c r="LB31" s="123"/>
      <c r="LC31" s="123"/>
      <c r="LD31" s="123"/>
      <c r="LE31" s="123"/>
      <c r="LF31" s="123"/>
      <c r="LG31" s="123"/>
      <c r="LH31" s="123"/>
      <c r="LI31" s="123"/>
      <c r="LJ31" s="123"/>
      <c r="LK31" s="123"/>
      <c r="LL31" s="123"/>
      <c r="LM31" s="123"/>
      <c r="LN31" s="123"/>
      <c r="LO31" s="123"/>
      <c r="LP31" s="123"/>
      <c r="LQ31" s="123"/>
      <c r="LR31" s="123"/>
      <c r="LS31" s="123"/>
      <c r="LT31" s="123"/>
      <c r="LU31" s="123"/>
      <c r="LV31" s="123"/>
      <c r="LW31" s="123"/>
      <c r="LX31" s="123"/>
      <c r="LY31" s="123"/>
      <c r="LZ31" s="123"/>
      <c r="MA31" s="123"/>
      <c r="MB31" s="123"/>
      <c r="MC31" s="123"/>
      <c r="MD31" s="123"/>
      <c r="ME31" s="123"/>
      <c r="MF31" s="123"/>
      <c r="MG31" s="123"/>
      <c r="MH31" s="123"/>
      <c r="MI31" s="123"/>
      <c r="MJ31" s="123"/>
      <c r="MK31" s="123"/>
      <c r="ML31" s="123"/>
      <c r="MM31" s="123"/>
      <c r="MN31" s="123"/>
      <c r="MO31" s="123"/>
      <c r="MP31" s="123"/>
      <c r="MQ31" s="123"/>
      <c r="MR31" s="123"/>
      <c r="MS31" s="123"/>
      <c r="MT31" s="123"/>
      <c r="MU31" s="123"/>
      <c r="MV31" s="123"/>
      <c r="MW31" s="123"/>
      <c r="MX31" s="123"/>
      <c r="MY31" s="123"/>
      <c r="MZ31" s="123"/>
      <c r="NA31" s="123"/>
      <c r="NB31" s="123"/>
      <c r="NC31" s="123"/>
      <c r="ND31" s="123"/>
      <c r="NE31" s="123"/>
      <c r="NF31" s="123"/>
      <c r="NG31" s="123"/>
      <c r="NH31" s="123"/>
      <c r="NI31" s="123"/>
      <c r="NJ31" s="123"/>
      <c r="NK31" s="123"/>
      <c r="NM31">
        <f t="shared" si="168"/>
        <v>0</v>
      </c>
      <c r="NN31">
        <f t="shared" si="169"/>
        <v>0</v>
      </c>
      <c r="NO31">
        <f t="shared" si="170"/>
        <v>0</v>
      </c>
      <c r="NP31">
        <f t="shared" si="171"/>
        <v>0</v>
      </c>
      <c r="NQ31">
        <f t="shared" si="172"/>
        <v>0</v>
      </c>
      <c r="NR31">
        <f t="shared" si="173"/>
        <v>0</v>
      </c>
      <c r="NS31">
        <f t="shared" si="174"/>
        <v>0</v>
      </c>
      <c r="NT31">
        <f t="shared" si="175"/>
        <v>0</v>
      </c>
      <c r="NU31" s="29">
        <f t="shared" si="176"/>
        <v>0</v>
      </c>
      <c r="NY31" s="17">
        <f t="shared" si="108"/>
        <v>1</v>
      </c>
      <c r="NZ31" s="152">
        <v>11000000</v>
      </c>
      <c r="OE31" s="155">
        <f t="shared" si="109"/>
        <v>0</v>
      </c>
      <c r="OF31" s="155">
        <f t="shared" si="110"/>
        <v>0</v>
      </c>
      <c r="OG31" s="155">
        <f t="shared" si="111"/>
        <v>0</v>
      </c>
      <c r="OH31" s="155">
        <f t="shared" si="177"/>
        <v>0</v>
      </c>
      <c r="OI31" s="155">
        <f t="shared" si="112"/>
        <v>0</v>
      </c>
      <c r="OJ31" s="67">
        <f t="shared" si="178"/>
        <v>0</v>
      </c>
      <c r="OK31" s="67">
        <f t="shared" si="179"/>
        <v>0</v>
      </c>
      <c r="OL31" s="67">
        <f t="shared" si="180"/>
        <v>0</v>
      </c>
      <c r="OM31" s="67">
        <f t="shared" si="181"/>
        <v>0</v>
      </c>
      <c r="OO31" s="155">
        <f t="shared" si="113"/>
        <v>0</v>
      </c>
      <c r="OP31" s="155">
        <f t="shared" si="114"/>
        <v>0</v>
      </c>
      <c r="OQ31" s="155">
        <f t="shared" si="182"/>
        <v>0</v>
      </c>
      <c r="OR31" s="155">
        <f t="shared" si="183"/>
        <v>0</v>
      </c>
      <c r="OS31" s="155">
        <f t="shared" si="184"/>
        <v>0</v>
      </c>
      <c r="OT31" s="67">
        <f t="shared" si="185"/>
        <v>0</v>
      </c>
      <c r="OU31" s="67">
        <f t="shared" si="186"/>
        <v>0</v>
      </c>
      <c r="OV31" s="67">
        <f t="shared" si="187"/>
        <v>0</v>
      </c>
      <c r="OW31" s="67">
        <f t="shared" si="188"/>
        <v>0</v>
      </c>
      <c r="OZ31" s="163">
        <f t="shared" si="115"/>
        <v>0</v>
      </c>
      <c r="PA31" s="166"/>
      <c r="PB31" s="166"/>
      <c r="PC31" s="166"/>
      <c r="PD31" s="210">
        <f t="shared" si="116"/>
        <v>0</v>
      </c>
      <c r="PE31" s="210"/>
      <c r="PF31" s="210">
        <f t="shared" si="117"/>
        <v>0</v>
      </c>
      <c r="PG31" s="210">
        <f t="shared" si="118"/>
        <v>0</v>
      </c>
      <c r="PH31" s="210">
        <f t="shared" si="118"/>
        <v>0</v>
      </c>
      <c r="PI31" s="210">
        <f t="shared" si="118"/>
        <v>0</v>
      </c>
      <c r="PJ31" s="210">
        <f t="shared" si="118"/>
        <v>0</v>
      </c>
      <c r="PK31" s="210">
        <f t="shared" si="118"/>
        <v>0</v>
      </c>
      <c r="PL31" s="210">
        <f t="shared" si="118"/>
        <v>0</v>
      </c>
      <c r="PM31" s="164"/>
      <c r="PN31" s="164"/>
      <c r="PO31" s="172">
        <f t="shared" si="189"/>
        <v>0</v>
      </c>
      <c r="PP31" s="172">
        <f t="shared" si="190"/>
        <v>0</v>
      </c>
      <c r="PQ31" s="172">
        <f t="shared" si="191"/>
        <v>0</v>
      </c>
      <c r="PR31" s="164"/>
      <c r="PS31" s="164"/>
      <c r="PT31" s="164"/>
      <c r="PU31" s="164"/>
    </row>
    <row r="32" spans="1:437" ht="16" x14ac:dyDescent="0.2">
      <c r="A32" s="19">
        <f t="shared" si="192"/>
        <v>24</v>
      </c>
      <c r="B32" s="138" t="s">
        <v>159</v>
      </c>
      <c r="C32" s="138">
        <v>29</v>
      </c>
      <c r="D32" s="20">
        <v>1</v>
      </c>
      <c r="E32" s="20">
        <v>77</v>
      </c>
      <c r="F32" s="20">
        <v>1</v>
      </c>
      <c r="G32" s="20">
        <f t="shared" si="119"/>
        <v>77</v>
      </c>
      <c r="H32" s="137">
        <f t="shared" si="2"/>
        <v>1</v>
      </c>
      <c r="I32" s="137">
        <f t="shared" si="3"/>
        <v>1</v>
      </c>
      <c r="J32" s="20">
        <v>1</v>
      </c>
      <c r="K32" s="20">
        <f t="shared" si="4"/>
        <v>77</v>
      </c>
      <c r="L32" s="137">
        <f t="shared" si="5"/>
        <v>1</v>
      </c>
      <c r="M32" s="137">
        <f t="shared" si="6"/>
        <v>1</v>
      </c>
      <c r="N32" s="20">
        <v>1</v>
      </c>
      <c r="O32" s="20">
        <f t="shared" si="7"/>
        <v>77</v>
      </c>
      <c r="P32" s="137">
        <f t="shared" si="8"/>
        <v>1</v>
      </c>
      <c r="Q32" s="137">
        <f t="shared" si="9"/>
        <v>1</v>
      </c>
      <c r="R32" s="20">
        <v>1</v>
      </c>
      <c r="S32" s="20">
        <f t="shared" si="10"/>
        <v>77</v>
      </c>
      <c r="T32" s="137">
        <f t="shared" si="11"/>
        <v>1</v>
      </c>
      <c r="U32" s="137">
        <f t="shared" si="12"/>
        <v>1</v>
      </c>
      <c r="V32" s="20">
        <v>1</v>
      </c>
      <c r="W32" s="20">
        <f t="shared" si="13"/>
        <v>77</v>
      </c>
      <c r="X32" s="137">
        <f t="shared" si="14"/>
        <v>1</v>
      </c>
      <c r="Y32" s="137">
        <f t="shared" si="15"/>
        <v>1</v>
      </c>
      <c r="Z32" s="60">
        <f>1578745000/1000000000</f>
        <v>1.5787450000000001</v>
      </c>
      <c r="AA32" s="188"/>
      <c r="AB32" s="189">
        <f t="shared" si="120"/>
        <v>0</v>
      </c>
      <c r="AC32" s="250">
        <f t="shared" si="121"/>
        <v>0</v>
      </c>
      <c r="AD32" s="250">
        <f t="shared" si="122"/>
        <v>0</v>
      </c>
      <c r="AE32" s="224"/>
      <c r="AF32" s="188">
        <f t="shared" si="123"/>
        <v>0</v>
      </c>
      <c r="AG32" s="187"/>
      <c r="AH32" s="31"/>
      <c r="AI32" s="20">
        <v>0</v>
      </c>
      <c r="AJ32" s="20">
        <f t="shared" si="18"/>
        <v>0</v>
      </c>
      <c r="AK32" s="20"/>
      <c r="AL32" s="20">
        <v>0</v>
      </c>
      <c r="AM32" s="20">
        <v>0</v>
      </c>
      <c r="AN32" s="139"/>
      <c r="BB32" s="20">
        <f t="shared" si="124"/>
        <v>0</v>
      </c>
      <c r="BE32" s="20">
        <f t="shared" si="19"/>
        <v>0</v>
      </c>
      <c r="BF32" s="20">
        <f t="shared" si="20"/>
        <v>0</v>
      </c>
      <c r="BG32" s="20">
        <f t="shared" si="21"/>
        <v>0</v>
      </c>
      <c r="BH32" s="20">
        <f t="shared" si="22"/>
        <v>0</v>
      </c>
      <c r="BI32" s="20">
        <f t="shared" si="23"/>
        <v>0</v>
      </c>
      <c r="BJ32" s="20">
        <f t="shared" si="24"/>
        <v>0</v>
      </c>
      <c r="BK32" s="20">
        <f t="shared" si="125"/>
        <v>0</v>
      </c>
      <c r="BN32" s="284">
        <v>55</v>
      </c>
      <c r="BO32">
        <v>1</v>
      </c>
      <c r="BP32" s="139"/>
      <c r="BQ32" s="139"/>
      <c r="BR32" s="139"/>
      <c r="BS32" s="139"/>
      <c r="BT32" s="139"/>
      <c r="BU32" s="139"/>
      <c r="BV32" s="139"/>
      <c r="BW32" s="139"/>
      <c r="BX32" s="139"/>
      <c r="BY32" s="139"/>
      <c r="BZ32" s="139"/>
      <c r="CB32" s="139"/>
      <c r="CD32" s="17">
        <f t="shared" si="126"/>
        <v>55</v>
      </c>
      <c r="CE32" s="17">
        <f t="shared" si="127"/>
        <v>55</v>
      </c>
      <c r="CF32" s="139">
        <f t="shared" si="128"/>
        <v>0</v>
      </c>
      <c r="CG32" s="139">
        <f t="shared" si="129"/>
        <v>0</v>
      </c>
      <c r="CH32" s="139">
        <f t="shared" si="130"/>
        <v>0</v>
      </c>
      <c r="CI32" s="139">
        <f t="shared" si="131"/>
        <v>0</v>
      </c>
      <c r="CJ32" s="139">
        <f t="shared" si="132"/>
        <v>0</v>
      </c>
      <c r="CK32" s="139">
        <f t="shared" si="133"/>
        <v>0</v>
      </c>
      <c r="CL32" s="139">
        <f t="shared" si="134"/>
        <v>0</v>
      </c>
      <c r="CM32" s="139">
        <f t="shared" si="135"/>
        <v>0</v>
      </c>
      <c r="CN32" s="139">
        <f t="shared" si="136"/>
        <v>0</v>
      </c>
      <c r="CO32" s="139">
        <f t="shared" si="137"/>
        <v>0</v>
      </c>
      <c r="CP32" s="139">
        <f t="shared" si="138"/>
        <v>0</v>
      </c>
      <c r="CQ32" s="148">
        <f t="shared" si="27"/>
        <v>0</v>
      </c>
      <c r="DV32" s="139">
        <f t="shared" si="28"/>
        <v>0</v>
      </c>
      <c r="DW32" s="139">
        <f t="shared" si="29"/>
        <v>0</v>
      </c>
      <c r="DX32" s="139">
        <f t="shared" si="30"/>
        <v>0</v>
      </c>
      <c r="DY32" s="139">
        <f t="shared" si="31"/>
        <v>0</v>
      </c>
      <c r="DZ32" s="139">
        <f t="shared" si="32"/>
        <v>0</v>
      </c>
      <c r="EA32" s="139">
        <f t="shared" si="33"/>
        <v>0</v>
      </c>
      <c r="EB32" s="139">
        <f t="shared" si="139"/>
        <v>0</v>
      </c>
      <c r="EG32" s="57">
        <f t="shared" si="140"/>
        <v>0</v>
      </c>
      <c r="EH32" s="57">
        <f t="shared" si="141"/>
        <v>0</v>
      </c>
      <c r="EI32" s="17"/>
      <c r="EJ32" s="17"/>
      <c r="EK32" s="17"/>
      <c r="EL32" s="17"/>
      <c r="EM32" s="17"/>
      <c r="EN32" s="17"/>
      <c r="EO32" s="17"/>
      <c r="EP32" s="17"/>
      <c r="EQ32" s="189"/>
      <c r="ER32" s="189"/>
      <c r="ES32" s="189"/>
      <c r="ET32" s="189"/>
      <c r="EU32" s="189"/>
      <c r="EV32" s="189"/>
      <c r="EW32" s="189"/>
      <c r="EX32" s="189"/>
      <c r="EY32" s="189"/>
      <c r="EZ32" s="189"/>
      <c r="FA32" s="189"/>
      <c r="FB32" s="189"/>
      <c r="FC32" s="189"/>
      <c r="FD32" s="17"/>
      <c r="FE32" s="17"/>
      <c r="FF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X32" s="80">
        <v>1</v>
      </c>
      <c r="FY32" s="17">
        <f t="shared" si="142"/>
        <v>55</v>
      </c>
      <c r="FZ32" s="17">
        <f t="shared" si="35"/>
        <v>55</v>
      </c>
      <c r="GA32" s="17">
        <f t="shared" si="36"/>
        <v>0</v>
      </c>
      <c r="GB32" s="17">
        <f t="shared" si="37"/>
        <v>0</v>
      </c>
      <c r="GC32" s="17">
        <f t="shared" si="38"/>
        <v>0</v>
      </c>
      <c r="GD32" s="17">
        <f t="shared" si="39"/>
        <v>0</v>
      </c>
      <c r="GE32" s="17">
        <f t="shared" si="40"/>
        <v>0</v>
      </c>
      <c r="GF32" s="67"/>
      <c r="GG32" s="17">
        <v>0</v>
      </c>
      <c r="GH32" s="17">
        <v>0</v>
      </c>
      <c r="GI32" s="67"/>
      <c r="GJ32" s="62">
        <f t="shared" si="143"/>
        <v>0</v>
      </c>
      <c r="GK32" s="62">
        <f t="shared" si="144"/>
        <v>0</v>
      </c>
      <c r="GO32" s="17">
        <f t="shared" si="41"/>
        <v>0</v>
      </c>
      <c r="GP32" s="17">
        <f t="shared" si="42"/>
        <v>0</v>
      </c>
      <c r="GQ32" s="17">
        <f t="shared" si="43"/>
        <v>0</v>
      </c>
      <c r="GR32" s="17">
        <f t="shared" si="44"/>
        <v>0</v>
      </c>
      <c r="GS32" s="17">
        <f t="shared" si="45"/>
        <v>0</v>
      </c>
      <c r="GT32" s="17">
        <f t="shared" si="145"/>
        <v>1</v>
      </c>
      <c r="GU32" s="101">
        <f t="shared" si="146"/>
        <v>43243</v>
      </c>
      <c r="GV32" s="17" t="str">
        <f t="shared" si="147"/>
        <v>SELESAI</v>
      </c>
      <c r="GW32" s="17">
        <f t="shared" si="148"/>
        <v>0</v>
      </c>
      <c r="GX32" s="66" t="str">
        <f t="shared" si="149"/>
        <v>SELESAI</v>
      </c>
      <c r="GY32" s="66">
        <f t="shared" si="150"/>
        <v>0</v>
      </c>
      <c r="GZ32" s="102" t="str">
        <f t="shared" si="151"/>
        <v>SELESAI</v>
      </c>
      <c r="HA32" s="83"/>
      <c r="HB32" s="83"/>
      <c r="HC32" s="17">
        <f t="shared" si="46"/>
        <v>0</v>
      </c>
      <c r="HD32" s="17">
        <f t="shared" si="47"/>
        <v>0</v>
      </c>
      <c r="HE32" s="17">
        <f t="shared" si="152"/>
        <v>0</v>
      </c>
      <c r="HF32" s="17">
        <f t="shared" si="153"/>
        <v>0</v>
      </c>
      <c r="HG32" s="17">
        <f t="shared" si="154"/>
        <v>0</v>
      </c>
      <c r="HH32" s="101" t="str">
        <f t="shared" si="48"/>
        <v>TIDAK KONSINYASI</v>
      </c>
      <c r="HI32" s="101" t="str">
        <f t="shared" si="155"/>
        <v>SELESAI</v>
      </c>
      <c r="HJ32" s="27"/>
      <c r="HK32" s="101">
        <f t="shared" si="49"/>
        <v>0</v>
      </c>
      <c r="HL32" s="83"/>
      <c r="HM32" s="83"/>
      <c r="HN32" s="83"/>
      <c r="HO32" s="83"/>
      <c r="HP32" s="102">
        <f t="shared" si="156"/>
        <v>0</v>
      </c>
      <c r="HQ32" s="66">
        <f t="shared" si="157"/>
        <v>0</v>
      </c>
      <c r="HR32" s="66">
        <f t="shared" si="50"/>
        <v>0</v>
      </c>
      <c r="HS32" s="102">
        <f t="shared" si="158"/>
        <v>0</v>
      </c>
      <c r="HT32" s="66">
        <f t="shared" si="159"/>
        <v>0</v>
      </c>
      <c r="HU32" s="66">
        <f t="shared" si="51"/>
        <v>0</v>
      </c>
      <c r="HV32" s="102">
        <f t="shared" si="160"/>
        <v>0</v>
      </c>
      <c r="HW32" s="66">
        <f t="shared" si="52"/>
        <v>0</v>
      </c>
      <c r="HX32" s="66">
        <f t="shared" si="53"/>
        <v>0</v>
      </c>
      <c r="HY32" s="102">
        <f t="shared" si="54"/>
        <v>0</v>
      </c>
      <c r="HZ32" s="66">
        <f t="shared" si="161"/>
        <v>0</v>
      </c>
      <c r="IA32" s="66">
        <f t="shared" si="55"/>
        <v>0</v>
      </c>
      <c r="IB32" s="102">
        <f t="shared" si="162"/>
        <v>0</v>
      </c>
      <c r="IC32" s="66">
        <f t="shared" si="56"/>
        <v>0</v>
      </c>
      <c r="ID32" s="66">
        <f t="shared" si="57"/>
        <v>0</v>
      </c>
      <c r="IE32" s="102">
        <f t="shared" si="58"/>
        <v>0</v>
      </c>
      <c r="IF32" s="66">
        <f t="shared" si="59"/>
        <v>0</v>
      </c>
      <c r="IG32" s="66">
        <f t="shared" si="60"/>
        <v>0</v>
      </c>
      <c r="IH32" s="102">
        <f t="shared" si="163"/>
        <v>0</v>
      </c>
      <c r="II32" s="66">
        <f t="shared" si="164"/>
        <v>0</v>
      </c>
      <c r="IJ32" s="66">
        <f t="shared" si="61"/>
        <v>0</v>
      </c>
      <c r="IK32" s="102">
        <f t="shared" si="62"/>
        <v>0</v>
      </c>
      <c r="IL32" s="66">
        <f t="shared" si="63"/>
        <v>0</v>
      </c>
      <c r="IM32" s="66">
        <f t="shared" si="64"/>
        <v>0</v>
      </c>
      <c r="IN32" s="83"/>
      <c r="IO32" s="102">
        <f t="shared" si="65"/>
        <v>0</v>
      </c>
      <c r="IP32" s="66">
        <f t="shared" si="66"/>
        <v>0</v>
      </c>
      <c r="IQ32" s="66">
        <f t="shared" si="67"/>
        <v>0</v>
      </c>
      <c r="IR32" s="83"/>
      <c r="IS32" s="102"/>
      <c r="IT32" s="66">
        <f t="shared" si="68"/>
        <v>1</v>
      </c>
      <c r="IU32" s="66">
        <f t="shared" si="69"/>
        <v>77</v>
      </c>
      <c r="IV32" s="83"/>
      <c r="IW32" s="102"/>
      <c r="IX32" s="66">
        <f t="shared" si="70"/>
        <v>0</v>
      </c>
      <c r="IY32" s="66">
        <f t="shared" si="71"/>
        <v>0</v>
      </c>
      <c r="IZ32" s="83"/>
      <c r="JA32" s="102"/>
      <c r="JB32" s="66">
        <f t="shared" si="72"/>
        <v>0</v>
      </c>
      <c r="JC32" s="66">
        <f t="shared" si="73"/>
        <v>0</v>
      </c>
      <c r="JD32" s="83"/>
      <c r="JE32" s="102"/>
      <c r="JF32" s="66">
        <f t="shared" si="165"/>
        <v>1</v>
      </c>
      <c r="JG32" s="66">
        <f t="shared" si="74"/>
        <v>77</v>
      </c>
      <c r="JH32" s="83"/>
      <c r="JI32" s="102"/>
      <c r="JJ32" s="66">
        <f t="shared" si="75"/>
        <v>0</v>
      </c>
      <c r="JK32" s="66">
        <f t="shared" si="76"/>
        <v>0</v>
      </c>
      <c r="JM32" s="102">
        <f t="shared" si="166"/>
        <v>0</v>
      </c>
      <c r="JO32" s="29">
        <f t="shared" si="77"/>
        <v>1</v>
      </c>
      <c r="JP32" s="122">
        <f t="shared" si="78"/>
        <v>55</v>
      </c>
      <c r="JQ32" s="122">
        <f t="shared" si="79"/>
        <v>1</v>
      </c>
      <c r="JR32" s="122">
        <f t="shared" si="80"/>
        <v>0</v>
      </c>
      <c r="JS32" s="122">
        <f t="shared" si="81"/>
        <v>0</v>
      </c>
      <c r="JT32" s="122">
        <f t="shared" si="82"/>
        <v>0</v>
      </c>
      <c r="JU32" s="122">
        <f t="shared" si="83"/>
        <v>0</v>
      </c>
      <c r="JV32" s="122">
        <f t="shared" si="84"/>
        <v>0</v>
      </c>
      <c r="JW32" s="122">
        <f t="shared" si="85"/>
        <v>0</v>
      </c>
      <c r="JX32" s="122">
        <f t="shared" si="86"/>
        <v>0</v>
      </c>
      <c r="JY32" s="122">
        <f t="shared" si="87"/>
        <v>0</v>
      </c>
      <c r="JZ32" s="122">
        <f t="shared" si="88"/>
        <v>0</v>
      </c>
      <c r="KA32" s="122">
        <f t="shared" si="89"/>
        <v>0</v>
      </c>
      <c r="KB32" s="122">
        <f t="shared" si="90"/>
        <v>0</v>
      </c>
      <c r="KD32" s="122">
        <f t="shared" si="167"/>
        <v>0</v>
      </c>
      <c r="KE32" s="122">
        <f t="shared" si="92"/>
        <v>0</v>
      </c>
      <c r="KF32" s="122">
        <f t="shared" si="93"/>
        <v>55</v>
      </c>
      <c r="KG32" s="122">
        <f t="shared" si="94"/>
        <v>55</v>
      </c>
      <c r="KH32" s="122">
        <f t="shared" si="95"/>
        <v>0</v>
      </c>
      <c r="KI32" s="122">
        <f t="shared" si="96"/>
        <v>0</v>
      </c>
      <c r="KJ32" s="122">
        <f t="shared" si="97"/>
        <v>0</v>
      </c>
      <c r="KK32" s="122">
        <f t="shared" si="98"/>
        <v>0</v>
      </c>
      <c r="KL32" s="122">
        <f t="shared" si="99"/>
        <v>0</v>
      </c>
      <c r="KM32" s="122">
        <f t="shared" si="100"/>
        <v>0</v>
      </c>
      <c r="KN32" s="123">
        <f t="shared" si="101"/>
        <v>0</v>
      </c>
      <c r="KO32" s="123">
        <f t="shared" si="102"/>
        <v>0</v>
      </c>
      <c r="KP32" s="123">
        <f t="shared" si="103"/>
        <v>0</v>
      </c>
      <c r="KQ32" s="123">
        <f t="shared" si="104"/>
        <v>0</v>
      </c>
      <c r="KR32" s="123">
        <f t="shared" si="105"/>
        <v>0</v>
      </c>
      <c r="KT32">
        <f t="shared" si="106"/>
        <v>0</v>
      </c>
      <c r="KU32" s="123"/>
      <c r="KV32" s="123"/>
      <c r="KW32" s="123"/>
      <c r="KX32" s="123"/>
      <c r="KY32" s="123"/>
      <c r="KZ32" s="123"/>
      <c r="LA32" s="123"/>
      <c r="LB32" s="123"/>
      <c r="LC32" s="123"/>
      <c r="LD32" s="123"/>
      <c r="LE32" s="123"/>
      <c r="LF32" s="123"/>
      <c r="LG32" s="123"/>
      <c r="LH32" s="123"/>
      <c r="LI32" s="123"/>
      <c r="LJ32" s="123"/>
      <c r="LK32" s="123"/>
      <c r="LL32" s="123"/>
      <c r="LM32" s="123"/>
      <c r="LN32" s="123"/>
      <c r="LO32" s="123"/>
      <c r="LP32" s="123"/>
      <c r="LQ32" s="123"/>
      <c r="LR32" s="123"/>
      <c r="LS32" s="123"/>
      <c r="LT32" s="123"/>
      <c r="LU32" s="123"/>
      <c r="LV32" s="123"/>
      <c r="LW32" s="123"/>
      <c r="LX32" s="123"/>
      <c r="LY32" s="123"/>
      <c r="LZ32" s="123"/>
      <c r="MA32" s="123"/>
      <c r="MB32" s="123"/>
      <c r="MC32" s="123"/>
      <c r="MD32" s="123"/>
      <c r="ME32" s="123"/>
      <c r="MF32" s="123"/>
      <c r="MG32" s="123"/>
      <c r="MH32" s="123"/>
      <c r="MI32" s="123"/>
      <c r="MJ32" s="123"/>
      <c r="MK32" s="123"/>
      <c r="ML32" s="123"/>
      <c r="MM32" s="123"/>
      <c r="MN32" s="123"/>
      <c r="MO32" s="123"/>
      <c r="MP32" s="123"/>
      <c r="MQ32" s="123"/>
      <c r="MR32" s="123"/>
      <c r="MS32" s="123"/>
      <c r="MT32" s="123"/>
      <c r="MU32" s="123"/>
      <c r="MV32" s="123"/>
      <c r="MW32" s="123"/>
      <c r="MX32" s="123"/>
      <c r="MY32" s="123"/>
      <c r="MZ32" s="123"/>
      <c r="NA32" s="123"/>
      <c r="NB32" s="123"/>
      <c r="NC32" s="123"/>
      <c r="ND32" s="123"/>
      <c r="NE32" s="123"/>
      <c r="NF32" s="123"/>
      <c r="NG32" s="123"/>
      <c r="NH32" s="123"/>
      <c r="NI32" s="123"/>
      <c r="NJ32" s="123"/>
      <c r="NK32" s="123"/>
      <c r="NM32">
        <f t="shared" si="168"/>
        <v>0</v>
      </c>
      <c r="NN32">
        <f t="shared" si="169"/>
        <v>0</v>
      </c>
      <c r="NO32">
        <f t="shared" si="170"/>
        <v>0</v>
      </c>
      <c r="NP32">
        <f t="shared" si="171"/>
        <v>0</v>
      </c>
      <c r="NQ32">
        <f t="shared" si="172"/>
        <v>0</v>
      </c>
      <c r="NR32">
        <f t="shared" si="173"/>
        <v>0</v>
      </c>
      <c r="NS32">
        <f t="shared" si="174"/>
        <v>0</v>
      </c>
      <c r="NT32">
        <f t="shared" si="175"/>
        <v>0</v>
      </c>
      <c r="NU32" s="29">
        <f t="shared" si="176"/>
        <v>0</v>
      </c>
      <c r="NY32" s="17">
        <f t="shared" si="108"/>
        <v>1</v>
      </c>
      <c r="NZ32" s="152">
        <v>11000000</v>
      </c>
      <c r="OE32" s="155">
        <f t="shared" si="109"/>
        <v>0</v>
      </c>
      <c r="OF32" s="155">
        <f t="shared" si="110"/>
        <v>0</v>
      </c>
      <c r="OG32" s="155">
        <f t="shared" si="111"/>
        <v>0</v>
      </c>
      <c r="OH32" s="155">
        <f t="shared" si="177"/>
        <v>0</v>
      </c>
      <c r="OI32" s="155">
        <f t="shared" si="112"/>
        <v>0</v>
      </c>
      <c r="OJ32" s="67">
        <f t="shared" si="178"/>
        <v>0</v>
      </c>
      <c r="OK32" s="67">
        <f t="shared" si="179"/>
        <v>0</v>
      </c>
      <c r="OL32" s="67">
        <f t="shared" si="180"/>
        <v>0</v>
      </c>
      <c r="OM32" s="67">
        <f t="shared" si="181"/>
        <v>0</v>
      </c>
      <c r="OO32" s="155">
        <f t="shared" si="113"/>
        <v>0</v>
      </c>
      <c r="OP32" s="155">
        <f t="shared" si="114"/>
        <v>0</v>
      </c>
      <c r="OQ32" s="155">
        <f t="shared" si="182"/>
        <v>0</v>
      </c>
      <c r="OR32" s="155">
        <f t="shared" si="183"/>
        <v>0</v>
      </c>
      <c r="OS32" s="155">
        <f t="shared" si="184"/>
        <v>0</v>
      </c>
      <c r="OT32" s="67">
        <f t="shared" si="185"/>
        <v>0</v>
      </c>
      <c r="OU32" s="67">
        <f t="shared" si="186"/>
        <v>0</v>
      </c>
      <c r="OV32" s="67">
        <f t="shared" si="187"/>
        <v>0</v>
      </c>
      <c r="OW32" s="67">
        <f t="shared" si="188"/>
        <v>0</v>
      </c>
      <c r="OZ32" s="163">
        <f t="shared" si="115"/>
        <v>0</v>
      </c>
      <c r="PA32" s="166"/>
      <c r="PB32" s="166"/>
      <c r="PC32" s="166"/>
      <c r="PD32" s="210">
        <f t="shared" si="116"/>
        <v>0</v>
      </c>
      <c r="PE32" s="210"/>
      <c r="PF32" s="210">
        <f t="shared" si="117"/>
        <v>0</v>
      </c>
      <c r="PG32" s="210">
        <f t="shared" si="118"/>
        <v>0</v>
      </c>
      <c r="PH32" s="210">
        <f t="shared" si="118"/>
        <v>0</v>
      </c>
      <c r="PI32" s="210">
        <f t="shared" si="118"/>
        <v>0</v>
      </c>
      <c r="PJ32" s="210">
        <f t="shared" si="118"/>
        <v>0</v>
      </c>
      <c r="PK32" s="210">
        <f t="shared" si="118"/>
        <v>0</v>
      </c>
      <c r="PL32" s="210">
        <f t="shared" si="118"/>
        <v>0</v>
      </c>
      <c r="PM32" s="164"/>
      <c r="PN32" s="164"/>
      <c r="PO32" s="172">
        <f t="shared" si="189"/>
        <v>0</v>
      </c>
      <c r="PP32" s="172">
        <f t="shared" si="190"/>
        <v>0</v>
      </c>
      <c r="PQ32" s="172">
        <f t="shared" si="191"/>
        <v>0</v>
      </c>
      <c r="PR32" s="164"/>
      <c r="PS32" s="164"/>
      <c r="PT32" s="164"/>
      <c r="PU32" s="164"/>
    </row>
    <row r="33" spans="1:437 16383:16383" ht="16" x14ac:dyDescent="0.2">
      <c r="A33" s="19">
        <f t="shared" si="192"/>
        <v>25</v>
      </c>
      <c r="B33" s="138" t="s">
        <v>160</v>
      </c>
      <c r="C33" s="138">
        <v>30</v>
      </c>
      <c r="D33" s="20">
        <v>1</v>
      </c>
      <c r="E33" s="20">
        <v>78</v>
      </c>
      <c r="F33" s="20">
        <v>1</v>
      </c>
      <c r="G33" s="20">
        <f t="shared" si="119"/>
        <v>78</v>
      </c>
      <c r="H33" s="137">
        <f t="shared" si="2"/>
        <v>1</v>
      </c>
      <c r="I33" s="137">
        <f t="shared" si="3"/>
        <v>1</v>
      </c>
      <c r="J33" s="20">
        <v>1</v>
      </c>
      <c r="K33" s="20">
        <f t="shared" si="4"/>
        <v>78</v>
      </c>
      <c r="L33" s="137">
        <f t="shared" si="5"/>
        <v>1</v>
      </c>
      <c r="M33" s="137">
        <f t="shared" si="6"/>
        <v>1</v>
      </c>
      <c r="N33" s="20">
        <v>1</v>
      </c>
      <c r="O33" s="20">
        <f t="shared" si="7"/>
        <v>78</v>
      </c>
      <c r="P33" s="137">
        <f t="shared" si="8"/>
        <v>1</v>
      </c>
      <c r="Q33" s="137">
        <f t="shared" si="9"/>
        <v>1</v>
      </c>
      <c r="R33" s="20">
        <v>1</v>
      </c>
      <c r="S33" s="20">
        <f t="shared" si="10"/>
        <v>78</v>
      </c>
      <c r="T33" s="137">
        <f t="shared" si="11"/>
        <v>1</v>
      </c>
      <c r="U33" s="137">
        <f t="shared" si="12"/>
        <v>1</v>
      </c>
      <c r="V33" s="20">
        <v>1</v>
      </c>
      <c r="W33" s="20">
        <f t="shared" si="13"/>
        <v>78</v>
      </c>
      <c r="X33" s="137">
        <f t="shared" si="14"/>
        <v>1</v>
      </c>
      <c r="Y33" s="137">
        <f t="shared" si="15"/>
        <v>1</v>
      </c>
      <c r="Z33" s="38">
        <f>1593801000/1000000000</f>
        <v>1.593801</v>
      </c>
      <c r="AA33" s="224"/>
      <c r="AB33" s="189">
        <f t="shared" si="120"/>
        <v>0</v>
      </c>
      <c r="AC33" s="250">
        <f t="shared" si="121"/>
        <v>0</v>
      </c>
      <c r="AD33" s="250">
        <f t="shared" si="122"/>
        <v>0</v>
      </c>
      <c r="AE33" s="224"/>
      <c r="AF33" s="188">
        <f t="shared" si="123"/>
        <v>0</v>
      </c>
      <c r="AG33" s="187"/>
      <c r="AH33" s="31"/>
      <c r="AI33" s="20">
        <v>0</v>
      </c>
      <c r="AJ33" s="20">
        <f t="shared" si="18"/>
        <v>0</v>
      </c>
      <c r="AK33" s="20"/>
      <c r="AL33" s="20">
        <v>0</v>
      </c>
      <c r="AM33" s="20">
        <v>0</v>
      </c>
      <c r="AN33" s="139"/>
      <c r="BB33" s="20">
        <f t="shared" si="124"/>
        <v>0</v>
      </c>
      <c r="BE33" s="20">
        <f t="shared" si="19"/>
        <v>0</v>
      </c>
      <c r="BF33" s="20">
        <f t="shared" si="20"/>
        <v>0</v>
      </c>
      <c r="BG33" s="20">
        <f t="shared" si="21"/>
        <v>0</v>
      </c>
      <c r="BH33" s="20">
        <f t="shared" si="22"/>
        <v>0</v>
      </c>
      <c r="BI33" s="20">
        <f t="shared" si="23"/>
        <v>0</v>
      </c>
      <c r="BJ33" s="20">
        <f t="shared" si="24"/>
        <v>0</v>
      </c>
      <c r="BK33" s="20">
        <f t="shared" si="125"/>
        <v>0</v>
      </c>
      <c r="BN33" s="284">
        <v>46</v>
      </c>
      <c r="BO33">
        <v>1</v>
      </c>
      <c r="BP33" s="139"/>
      <c r="BQ33" s="139"/>
      <c r="BR33" s="139"/>
      <c r="BS33" s="139"/>
      <c r="BT33" s="139"/>
      <c r="BU33" s="139"/>
      <c r="BV33" s="139"/>
      <c r="BW33" s="139"/>
      <c r="BX33" s="139"/>
      <c r="BY33" s="139"/>
      <c r="BZ33" s="139"/>
      <c r="CB33" s="139"/>
      <c r="CD33" s="17">
        <f t="shared" si="126"/>
        <v>46</v>
      </c>
      <c r="CE33" s="17">
        <f t="shared" si="127"/>
        <v>46</v>
      </c>
      <c r="CF33" s="139">
        <f t="shared" si="128"/>
        <v>0</v>
      </c>
      <c r="CG33" s="139">
        <f t="shared" si="129"/>
        <v>0</v>
      </c>
      <c r="CH33" s="139">
        <f t="shared" si="130"/>
        <v>0</v>
      </c>
      <c r="CI33" s="139">
        <f t="shared" si="131"/>
        <v>0</v>
      </c>
      <c r="CJ33" s="139">
        <f t="shared" si="132"/>
        <v>0</v>
      </c>
      <c r="CK33" s="139">
        <f t="shared" si="133"/>
        <v>0</v>
      </c>
      <c r="CL33" s="139">
        <f t="shared" si="134"/>
        <v>0</v>
      </c>
      <c r="CM33" s="139">
        <f t="shared" si="135"/>
        <v>0</v>
      </c>
      <c r="CN33" s="139">
        <f t="shared" si="136"/>
        <v>0</v>
      </c>
      <c r="CO33" s="139">
        <f t="shared" si="137"/>
        <v>0</v>
      </c>
      <c r="CP33" s="139">
        <f t="shared" si="138"/>
        <v>0</v>
      </c>
      <c r="CQ33" s="148">
        <f t="shared" si="27"/>
        <v>0</v>
      </c>
      <c r="DV33" s="139">
        <f t="shared" si="28"/>
        <v>0</v>
      </c>
      <c r="DW33" s="139">
        <f t="shared" si="29"/>
        <v>0</v>
      </c>
      <c r="DX33" s="139">
        <f t="shared" si="30"/>
        <v>0</v>
      </c>
      <c r="DY33" s="139">
        <f t="shared" si="31"/>
        <v>0</v>
      </c>
      <c r="DZ33" s="139">
        <f t="shared" si="32"/>
        <v>0</v>
      </c>
      <c r="EA33" s="139">
        <f t="shared" si="33"/>
        <v>0</v>
      </c>
      <c r="EB33" s="139">
        <f t="shared" si="139"/>
        <v>0</v>
      </c>
      <c r="EG33" s="57">
        <f t="shared" si="140"/>
        <v>0</v>
      </c>
      <c r="EH33" s="57">
        <f t="shared" si="141"/>
        <v>0</v>
      </c>
      <c r="EI33" s="17"/>
      <c r="EJ33" s="17"/>
      <c r="EK33" s="17"/>
      <c r="EL33" s="17"/>
      <c r="EM33" s="17"/>
      <c r="EN33" s="17"/>
      <c r="EO33" s="17"/>
      <c r="EP33" s="17"/>
      <c r="EQ33" s="189"/>
      <c r="ER33" s="189"/>
      <c r="ES33" s="189"/>
      <c r="ET33" s="189"/>
      <c r="EU33" s="189"/>
      <c r="EV33" s="189"/>
      <c r="EW33" s="189"/>
      <c r="EX33" s="189"/>
      <c r="EY33" s="189"/>
      <c r="EZ33" s="189"/>
      <c r="FA33" s="189"/>
      <c r="FB33" s="189"/>
      <c r="FC33" s="189"/>
      <c r="FD33" s="17"/>
      <c r="FE33" s="17"/>
      <c r="FF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X33" s="80">
        <v>1</v>
      </c>
      <c r="FY33" s="17">
        <f t="shared" si="142"/>
        <v>46</v>
      </c>
      <c r="FZ33" s="17">
        <f t="shared" si="35"/>
        <v>46</v>
      </c>
      <c r="GA33" s="17">
        <f t="shared" si="36"/>
        <v>0</v>
      </c>
      <c r="GB33" s="17">
        <f t="shared" si="37"/>
        <v>0</v>
      </c>
      <c r="GC33" s="17">
        <f t="shared" si="38"/>
        <v>0</v>
      </c>
      <c r="GD33" s="17">
        <f t="shared" si="39"/>
        <v>0</v>
      </c>
      <c r="GE33" s="17">
        <f t="shared" si="40"/>
        <v>0</v>
      </c>
      <c r="GF33" s="67"/>
      <c r="GG33" s="17">
        <v>0</v>
      </c>
      <c r="GH33" s="17">
        <v>0</v>
      </c>
      <c r="GI33" s="67"/>
      <c r="GJ33" s="62">
        <f t="shared" si="143"/>
        <v>0</v>
      </c>
      <c r="GK33" s="62">
        <f t="shared" si="144"/>
        <v>0</v>
      </c>
      <c r="GO33" s="17">
        <f t="shared" si="41"/>
        <v>0</v>
      </c>
      <c r="GP33" s="17">
        <f t="shared" si="42"/>
        <v>0</v>
      </c>
      <c r="GQ33" s="17">
        <f t="shared" si="43"/>
        <v>0</v>
      </c>
      <c r="GR33" s="17">
        <f t="shared" si="44"/>
        <v>0</v>
      </c>
      <c r="GS33" s="17">
        <f t="shared" si="45"/>
        <v>0</v>
      </c>
      <c r="GT33" s="17">
        <f t="shared" si="145"/>
        <v>1</v>
      </c>
      <c r="GU33" s="101">
        <f t="shared" si="146"/>
        <v>43243</v>
      </c>
      <c r="GV33" s="17" t="str">
        <f t="shared" si="147"/>
        <v>SELESAI</v>
      </c>
      <c r="GW33" s="17">
        <f t="shared" si="148"/>
        <v>0</v>
      </c>
      <c r="GX33" s="66" t="str">
        <f t="shared" si="149"/>
        <v>SELESAI</v>
      </c>
      <c r="GY33" s="66">
        <f t="shared" si="150"/>
        <v>0</v>
      </c>
      <c r="GZ33" s="102" t="str">
        <f t="shared" si="151"/>
        <v>SELESAI</v>
      </c>
      <c r="HA33" s="83"/>
      <c r="HB33" s="83"/>
      <c r="HC33" s="17">
        <f t="shared" si="46"/>
        <v>0</v>
      </c>
      <c r="HD33" s="17">
        <f t="shared" si="47"/>
        <v>0</v>
      </c>
      <c r="HE33" s="17">
        <f t="shared" si="152"/>
        <v>0</v>
      </c>
      <c r="HF33" s="17">
        <f t="shared" si="153"/>
        <v>0</v>
      </c>
      <c r="HG33" s="17">
        <f t="shared" si="154"/>
        <v>0</v>
      </c>
      <c r="HH33" s="101" t="str">
        <f t="shared" si="48"/>
        <v>TIDAK KONSINYASI</v>
      </c>
      <c r="HI33" s="101" t="str">
        <f t="shared" si="155"/>
        <v>SELESAI</v>
      </c>
      <c r="HJ33" s="27"/>
      <c r="HK33" s="101">
        <f t="shared" si="49"/>
        <v>0</v>
      </c>
      <c r="HL33" s="83"/>
      <c r="HM33" s="83"/>
      <c r="HN33" s="83"/>
      <c r="HO33" s="83"/>
      <c r="HP33" s="102">
        <f t="shared" si="156"/>
        <v>0</v>
      </c>
      <c r="HQ33" s="66">
        <f t="shared" si="157"/>
        <v>0</v>
      </c>
      <c r="HR33" s="66">
        <f t="shared" si="50"/>
        <v>0</v>
      </c>
      <c r="HS33" s="102">
        <f t="shared" si="158"/>
        <v>0</v>
      </c>
      <c r="HT33" s="66">
        <f t="shared" si="159"/>
        <v>0</v>
      </c>
      <c r="HU33" s="66">
        <f t="shared" si="51"/>
        <v>0</v>
      </c>
      <c r="HV33" s="102">
        <f t="shared" si="160"/>
        <v>0</v>
      </c>
      <c r="HW33" s="66">
        <f t="shared" si="52"/>
        <v>0</v>
      </c>
      <c r="HX33" s="66">
        <f t="shared" si="53"/>
        <v>0</v>
      </c>
      <c r="HY33" s="102">
        <f t="shared" si="54"/>
        <v>0</v>
      </c>
      <c r="HZ33" s="66">
        <f t="shared" si="161"/>
        <v>0</v>
      </c>
      <c r="IA33" s="66">
        <f t="shared" si="55"/>
        <v>0</v>
      </c>
      <c r="IB33" s="102">
        <f t="shared" si="162"/>
        <v>0</v>
      </c>
      <c r="IC33" s="66">
        <f t="shared" si="56"/>
        <v>0</v>
      </c>
      <c r="ID33" s="66">
        <f t="shared" si="57"/>
        <v>0</v>
      </c>
      <c r="IE33" s="102">
        <f t="shared" si="58"/>
        <v>0</v>
      </c>
      <c r="IF33" s="66">
        <f t="shared" si="59"/>
        <v>0</v>
      </c>
      <c r="IG33" s="66">
        <f t="shared" si="60"/>
        <v>0</v>
      </c>
      <c r="IH33" s="102">
        <f t="shared" si="163"/>
        <v>0</v>
      </c>
      <c r="II33" s="66">
        <f t="shared" si="164"/>
        <v>0</v>
      </c>
      <c r="IJ33" s="66">
        <f t="shared" si="61"/>
        <v>0</v>
      </c>
      <c r="IK33" s="102">
        <f t="shared" si="62"/>
        <v>0</v>
      </c>
      <c r="IL33" s="66">
        <f t="shared" si="63"/>
        <v>0</v>
      </c>
      <c r="IM33" s="66">
        <f t="shared" si="64"/>
        <v>0</v>
      </c>
      <c r="IN33" s="83"/>
      <c r="IO33" s="102">
        <f t="shared" si="65"/>
        <v>0</v>
      </c>
      <c r="IP33" s="66">
        <f t="shared" si="66"/>
        <v>0</v>
      </c>
      <c r="IQ33" s="66">
        <f t="shared" si="67"/>
        <v>0</v>
      </c>
      <c r="IR33" s="83"/>
      <c r="IS33" s="102"/>
      <c r="IT33" s="66">
        <f t="shared" si="68"/>
        <v>1</v>
      </c>
      <c r="IU33" s="66">
        <f t="shared" si="69"/>
        <v>78</v>
      </c>
      <c r="IV33" s="83"/>
      <c r="IW33" s="102"/>
      <c r="IX33" s="66">
        <f t="shared" si="70"/>
        <v>0</v>
      </c>
      <c r="IY33" s="66">
        <f t="shared" si="71"/>
        <v>0</v>
      </c>
      <c r="IZ33" s="83"/>
      <c r="JA33" s="102"/>
      <c r="JB33" s="66">
        <f t="shared" si="72"/>
        <v>0</v>
      </c>
      <c r="JC33" s="66">
        <f t="shared" si="73"/>
        <v>0</v>
      </c>
      <c r="JD33" s="83"/>
      <c r="JE33" s="102"/>
      <c r="JF33" s="66">
        <f t="shared" si="165"/>
        <v>1</v>
      </c>
      <c r="JG33" s="66">
        <f t="shared" si="74"/>
        <v>78</v>
      </c>
      <c r="JH33" s="83"/>
      <c r="JI33" s="102"/>
      <c r="JJ33" s="66">
        <f t="shared" si="75"/>
        <v>0</v>
      </c>
      <c r="JK33" s="66">
        <f t="shared" si="76"/>
        <v>0</v>
      </c>
      <c r="JM33" s="102">
        <f t="shared" si="166"/>
        <v>0</v>
      </c>
      <c r="JO33" s="29">
        <f t="shared" si="77"/>
        <v>1</v>
      </c>
      <c r="JP33" s="122">
        <f t="shared" si="78"/>
        <v>46</v>
      </c>
      <c r="JQ33" s="122">
        <f t="shared" si="79"/>
        <v>1</v>
      </c>
      <c r="JR33" s="122">
        <f t="shared" si="80"/>
        <v>0</v>
      </c>
      <c r="JS33" s="122">
        <f t="shared" si="81"/>
        <v>0</v>
      </c>
      <c r="JT33" s="122">
        <f t="shared" si="82"/>
        <v>0</v>
      </c>
      <c r="JU33" s="122">
        <f t="shared" si="83"/>
        <v>0</v>
      </c>
      <c r="JV33" s="122">
        <f t="shared" si="84"/>
        <v>0</v>
      </c>
      <c r="JW33" s="122">
        <f t="shared" si="85"/>
        <v>0</v>
      </c>
      <c r="JX33" s="122">
        <f t="shared" si="86"/>
        <v>0</v>
      </c>
      <c r="JY33" s="122">
        <f t="shared" si="87"/>
        <v>0</v>
      </c>
      <c r="JZ33" s="122">
        <f t="shared" si="88"/>
        <v>0</v>
      </c>
      <c r="KA33" s="122">
        <f t="shared" si="89"/>
        <v>0</v>
      </c>
      <c r="KB33" s="122">
        <f t="shared" si="90"/>
        <v>0</v>
      </c>
      <c r="KD33" s="122">
        <f t="shared" si="167"/>
        <v>0</v>
      </c>
      <c r="KE33" s="122">
        <f t="shared" si="92"/>
        <v>0</v>
      </c>
      <c r="KF33" s="122">
        <f t="shared" si="93"/>
        <v>46</v>
      </c>
      <c r="KG33" s="122">
        <f t="shared" si="94"/>
        <v>46</v>
      </c>
      <c r="KH33" s="122">
        <f t="shared" si="95"/>
        <v>0</v>
      </c>
      <c r="KI33" s="122">
        <f t="shared" si="96"/>
        <v>0</v>
      </c>
      <c r="KJ33" s="122">
        <f t="shared" si="97"/>
        <v>0</v>
      </c>
      <c r="KK33" s="122">
        <f t="shared" si="98"/>
        <v>0</v>
      </c>
      <c r="KL33" s="122">
        <f t="shared" si="99"/>
        <v>0</v>
      </c>
      <c r="KM33" s="122">
        <f t="shared" si="100"/>
        <v>0</v>
      </c>
      <c r="KN33" s="123">
        <f t="shared" si="101"/>
        <v>0</v>
      </c>
      <c r="KO33" s="123">
        <f t="shared" si="102"/>
        <v>0</v>
      </c>
      <c r="KP33" s="123">
        <f t="shared" si="103"/>
        <v>0</v>
      </c>
      <c r="KQ33" s="123">
        <f t="shared" si="104"/>
        <v>0</v>
      </c>
      <c r="KR33" s="123">
        <f t="shared" si="105"/>
        <v>0</v>
      </c>
      <c r="KT33">
        <f t="shared" si="106"/>
        <v>0</v>
      </c>
      <c r="KU33" s="123"/>
      <c r="KV33" s="123"/>
      <c r="KW33" s="123"/>
      <c r="KX33" s="123"/>
      <c r="KY33" s="123"/>
      <c r="KZ33" s="123"/>
      <c r="LA33" s="123"/>
      <c r="LB33" s="123"/>
      <c r="LC33" s="123"/>
      <c r="LD33" s="123"/>
      <c r="LE33" s="123"/>
      <c r="LF33" s="123"/>
      <c r="LG33" s="123"/>
      <c r="LH33" s="123"/>
      <c r="LI33" s="123"/>
      <c r="LJ33" s="123"/>
      <c r="LK33" s="123"/>
      <c r="LL33" s="123"/>
      <c r="LM33" s="123"/>
      <c r="LN33" s="123"/>
      <c r="LO33" s="123"/>
      <c r="LP33" s="123"/>
      <c r="LQ33" s="123"/>
      <c r="LR33" s="123"/>
      <c r="LS33" s="123"/>
      <c r="LT33" s="123"/>
      <c r="LU33" s="123"/>
      <c r="LV33" s="123"/>
      <c r="LW33" s="123"/>
      <c r="LX33" s="123"/>
      <c r="LY33" s="123"/>
      <c r="LZ33" s="123"/>
      <c r="MA33" s="123"/>
      <c r="MB33" s="123"/>
      <c r="MC33" s="123"/>
      <c r="MD33" s="123"/>
      <c r="ME33" s="123"/>
      <c r="MF33" s="123"/>
      <c r="MG33" s="123"/>
      <c r="MH33" s="123"/>
      <c r="MI33" s="123"/>
      <c r="MJ33" s="123"/>
      <c r="MK33" s="123"/>
      <c r="ML33" s="123"/>
      <c r="MM33" s="123"/>
      <c r="MN33" s="123"/>
      <c r="MO33" s="123"/>
      <c r="MP33" s="123"/>
      <c r="MQ33" s="123"/>
      <c r="MR33" s="123"/>
      <c r="MS33" s="123"/>
      <c r="MT33" s="123"/>
      <c r="MU33" s="123"/>
      <c r="MV33" s="123"/>
      <c r="MW33" s="123"/>
      <c r="MX33" s="123"/>
      <c r="MY33" s="123"/>
      <c r="MZ33" s="123"/>
      <c r="NA33" s="123"/>
      <c r="NB33" s="123"/>
      <c r="NC33" s="123"/>
      <c r="ND33" s="123"/>
      <c r="NE33" s="123"/>
      <c r="NF33" s="123"/>
      <c r="NG33" s="123"/>
      <c r="NH33" s="123"/>
      <c r="NI33" s="123"/>
      <c r="NJ33" s="123"/>
      <c r="NK33" s="123"/>
      <c r="NM33">
        <f t="shared" si="168"/>
        <v>0</v>
      </c>
      <c r="NN33">
        <f t="shared" si="169"/>
        <v>0</v>
      </c>
      <c r="NO33">
        <f t="shared" si="170"/>
        <v>0</v>
      </c>
      <c r="NP33">
        <f t="shared" si="171"/>
        <v>0</v>
      </c>
      <c r="NQ33">
        <f t="shared" si="172"/>
        <v>0</v>
      </c>
      <c r="NR33">
        <f t="shared" si="173"/>
        <v>0</v>
      </c>
      <c r="NS33">
        <f t="shared" si="174"/>
        <v>0</v>
      </c>
      <c r="NT33">
        <f t="shared" si="175"/>
        <v>0</v>
      </c>
      <c r="NU33" s="29">
        <f t="shared" si="176"/>
        <v>0</v>
      </c>
      <c r="NY33" s="17">
        <f t="shared" si="108"/>
        <v>1</v>
      </c>
      <c r="NZ33" s="152">
        <v>11000000</v>
      </c>
      <c r="OE33" s="155">
        <f t="shared" si="109"/>
        <v>0</v>
      </c>
      <c r="OF33" s="155">
        <f t="shared" si="110"/>
        <v>0</v>
      </c>
      <c r="OG33" s="155">
        <f t="shared" si="111"/>
        <v>0</v>
      </c>
      <c r="OH33" s="155">
        <f t="shared" si="177"/>
        <v>0</v>
      </c>
      <c r="OI33" s="155">
        <f t="shared" si="112"/>
        <v>0</v>
      </c>
      <c r="OJ33" s="67">
        <f t="shared" si="178"/>
        <v>0</v>
      </c>
      <c r="OK33" s="67">
        <f t="shared" si="179"/>
        <v>0</v>
      </c>
      <c r="OL33" s="67">
        <f t="shared" si="180"/>
        <v>0</v>
      </c>
      <c r="OM33" s="67">
        <f t="shared" si="181"/>
        <v>0</v>
      </c>
      <c r="OO33" s="155">
        <f t="shared" si="113"/>
        <v>0</v>
      </c>
      <c r="OP33" s="155">
        <f t="shared" si="114"/>
        <v>0</v>
      </c>
      <c r="OQ33" s="155">
        <f t="shared" si="182"/>
        <v>0</v>
      </c>
      <c r="OR33" s="155">
        <f t="shared" si="183"/>
        <v>0</v>
      </c>
      <c r="OS33" s="155">
        <f t="shared" si="184"/>
        <v>0</v>
      </c>
      <c r="OT33" s="67">
        <f t="shared" si="185"/>
        <v>0</v>
      </c>
      <c r="OU33" s="67">
        <f t="shared" si="186"/>
        <v>0</v>
      </c>
      <c r="OV33" s="67">
        <f t="shared" si="187"/>
        <v>0</v>
      </c>
      <c r="OW33" s="67">
        <f t="shared" si="188"/>
        <v>0</v>
      </c>
      <c r="OZ33" s="163">
        <f t="shared" si="115"/>
        <v>0</v>
      </c>
      <c r="PA33" s="166"/>
      <c r="PB33" s="166"/>
      <c r="PC33" s="166"/>
      <c r="PD33" s="210">
        <f t="shared" si="116"/>
        <v>0</v>
      </c>
      <c r="PE33" s="210"/>
      <c r="PF33" s="210">
        <f t="shared" si="117"/>
        <v>0</v>
      </c>
      <c r="PG33" s="210">
        <f t="shared" si="118"/>
        <v>0</v>
      </c>
      <c r="PH33" s="210">
        <f t="shared" si="118"/>
        <v>0</v>
      </c>
      <c r="PI33" s="210">
        <f t="shared" si="118"/>
        <v>0</v>
      </c>
      <c r="PJ33" s="210">
        <f t="shared" si="118"/>
        <v>0</v>
      </c>
      <c r="PK33" s="210">
        <f t="shared" si="118"/>
        <v>0</v>
      </c>
      <c r="PL33" s="210">
        <f t="shared" si="118"/>
        <v>0</v>
      </c>
      <c r="PM33" s="164"/>
      <c r="PN33" s="164"/>
      <c r="PO33" s="172">
        <f t="shared" si="189"/>
        <v>0</v>
      </c>
      <c r="PP33" s="172">
        <f t="shared" si="190"/>
        <v>0</v>
      </c>
      <c r="PQ33" s="172">
        <f t="shared" si="191"/>
        <v>0</v>
      </c>
      <c r="PR33" s="164"/>
      <c r="PS33" s="164"/>
      <c r="PT33" s="164"/>
      <c r="PU33" s="164"/>
    </row>
    <row r="34" spans="1:437 16383:16383" ht="16" x14ac:dyDescent="0.2">
      <c r="A34" s="19">
        <f t="shared" si="192"/>
        <v>26</v>
      </c>
      <c r="B34" s="138" t="s">
        <v>161</v>
      </c>
      <c r="C34" s="138">
        <v>31</v>
      </c>
      <c r="D34" s="20">
        <v>1</v>
      </c>
      <c r="E34" s="20">
        <v>79</v>
      </c>
      <c r="F34" s="20">
        <v>1</v>
      </c>
      <c r="G34" s="20">
        <f t="shared" si="119"/>
        <v>79</v>
      </c>
      <c r="H34" s="137">
        <f t="shared" si="2"/>
        <v>1</v>
      </c>
      <c r="I34" s="137">
        <f t="shared" si="3"/>
        <v>1</v>
      </c>
      <c r="J34" s="20">
        <v>1</v>
      </c>
      <c r="K34" s="20">
        <f t="shared" si="4"/>
        <v>79</v>
      </c>
      <c r="L34" s="137">
        <f t="shared" si="5"/>
        <v>1</v>
      </c>
      <c r="M34" s="137">
        <f t="shared" si="6"/>
        <v>1</v>
      </c>
      <c r="N34" s="20">
        <v>1</v>
      </c>
      <c r="O34" s="20">
        <f t="shared" si="7"/>
        <v>79</v>
      </c>
      <c r="P34" s="137">
        <f t="shared" si="8"/>
        <v>1</v>
      </c>
      <c r="Q34" s="137">
        <f t="shared" si="9"/>
        <v>1</v>
      </c>
      <c r="R34" s="20">
        <v>1</v>
      </c>
      <c r="S34" s="20">
        <f t="shared" si="10"/>
        <v>79</v>
      </c>
      <c r="T34" s="137">
        <f t="shared" si="11"/>
        <v>1</v>
      </c>
      <c r="U34" s="137">
        <f t="shared" si="12"/>
        <v>1</v>
      </c>
      <c r="V34" s="20">
        <v>1</v>
      </c>
      <c r="W34" s="20">
        <f t="shared" si="13"/>
        <v>79</v>
      </c>
      <c r="X34" s="137">
        <f t="shared" si="14"/>
        <v>1</v>
      </c>
      <c r="Y34" s="137">
        <f t="shared" si="15"/>
        <v>1</v>
      </c>
      <c r="Z34" s="38">
        <f>1716457000/1000000000</f>
        <v>1.7164569999999999</v>
      </c>
      <c r="AA34" s="224"/>
      <c r="AB34" s="189">
        <f t="shared" si="120"/>
        <v>0</v>
      </c>
      <c r="AC34" s="250">
        <f t="shared" si="121"/>
        <v>0</v>
      </c>
      <c r="AD34" s="250">
        <f t="shared" si="122"/>
        <v>0</v>
      </c>
      <c r="AE34" s="224"/>
      <c r="AF34" s="188">
        <f t="shared" si="123"/>
        <v>0</v>
      </c>
      <c r="AG34" s="187"/>
      <c r="AH34" s="31"/>
      <c r="AI34" s="20">
        <v>0</v>
      </c>
      <c r="AJ34" s="20">
        <f t="shared" si="18"/>
        <v>0</v>
      </c>
      <c r="AK34" s="20"/>
      <c r="AL34" s="20">
        <v>0</v>
      </c>
      <c r="AM34" s="20">
        <v>0</v>
      </c>
      <c r="AN34" s="139"/>
      <c r="BB34" s="20">
        <f t="shared" si="124"/>
        <v>0</v>
      </c>
      <c r="BE34" s="20">
        <f t="shared" si="19"/>
        <v>0</v>
      </c>
      <c r="BF34" s="20">
        <f t="shared" si="20"/>
        <v>0</v>
      </c>
      <c r="BG34" s="20">
        <f t="shared" si="21"/>
        <v>0</v>
      </c>
      <c r="BH34" s="20">
        <f t="shared" si="22"/>
        <v>0</v>
      </c>
      <c r="BI34" s="20">
        <f t="shared" si="23"/>
        <v>0</v>
      </c>
      <c r="BJ34" s="20">
        <f t="shared" si="24"/>
        <v>0</v>
      </c>
      <c r="BK34" s="20">
        <f t="shared" si="125"/>
        <v>0</v>
      </c>
      <c r="BN34" s="284">
        <v>47</v>
      </c>
      <c r="BO34">
        <v>1</v>
      </c>
      <c r="BP34" s="139"/>
      <c r="BQ34" s="139"/>
      <c r="BR34" s="139"/>
      <c r="BS34" s="139"/>
      <c r="BT34" s="139"/>
      <c r="BU34" s="139"/>
      <c r="BV34" s="139"/>
      <c r="BW34" s="139"/>
      <c r="BX34" s="139"/>
      <c r="BY34" s="139"/>
      <c r="BZ34" s="139"/>
      <c r="CB34" s="139"/>
      <c r="CD34" s="17">
        <f t="shared" si="126"/>
        <v>47</v>
      </c>
      <c r="CE34" s="17">
        <f t="shared" si="127"/>
        <v>47</v>
      </c>
      <c r="CF34" s="139">
        <f t="shared" si="128"/>
        <v>0</v>
      </c>
      <c r="CG34" s="139">
        <f t="shared" si="129"/>
        <v>0</v>
      </c>
      <c r="CH34" s="139">
        <f t="shared" si="130"/>
        <v>0</v>
      </c>
      <c r="CI34" s="139">
        <f t="shared" si="131"/>
        <v>0</v>
      </c>
      <c r="CJ34" s="139">
        <f t="shared" si="132"/>
        <v>0</v>
      </c>
      <c r="CK34" s="139">
        <f t="shared" si="133"/>
        <v>0</v>
      </c>
      <c r="CL34" s="139">
        <f t="shared" si="134"/>
        <v>0</v>
      </c>
      <c r="CM34" s="139">
        <f t="shared" si="135"/>
        <v>0</v>
      </c>
      <c r="CN34" s="139">
        <f t="shared" si="136"/>
        <v>0</v>
      </c>
      <c r="CO34" s="139">
        <f t="shared" si="137"/>
        <v>0</v>
      </c>
      <c r="CP34" s="139">
        <f t="shared" si="138"/>
        <v>0</v>
      </c>
      <c r="CQ34" s="148">
        <f t="shared" si="27"/>
        <v>0</v>
      </c>
      <c r="DV34" s="139">
        <f t="shared" si="28"/>
        <v>0</v>
      </c>
      <c r="DW34" s="139">
        <f t="shared" si="29"/>
        <v>0</v>
      </c>
      <c r="DX34" s="139">
        <f t="shared" si="30"/>
        <v>0</v>
      </c>
      <c r="DY34" s="139">
        <f t="shared" si="31"/>
        <v>0</v>
      </c>
      <c r="DZ34" s="139">
        <f t="shared" si="32"/>
        <v>0</v>
      </c>
      <c r="EA34" s="139">
        <f t="shared" si="33"/>
        <v>0</v>
      </c>
      <c r="EB34" s="139">
        <f t="shared" si="139"/>
        <v>0</v>
      </c>
      <c r="EG34" s="57">
        <f t="shared" si="140"/>
        <v>0</v>
      </c>
      <c r="EH34" s="57">
        <f t="shared" si="141"/>
        <v>0</v>
      </c>
      <c r="EI34" s="17"/>
      <c r="EJ34" s="17"/>
      <c r="EK34" s="17"/>
      <c r="EL34" s="17"/>
      <c r="EM34" s="17"/>
      <c r="EN34" s="17"/>
      <c r="EO34" s="17"/>
      <c r="EP34" s="17"/>
      <c r="EQ34" s="189"/>
      <c r="ER34" s="189"/>
      <c r="ES34" s="189"/>
      <c r="ET34" s="189"/>
      <c r="EU34" s="189"/>
      <c r="EV34" s="189"/>
      <c r="EW34" s="189"/>
      <c r="EX34" s="189"/>
      <c r="EY34" s="189"/>
      <c r="EZ34" s="189"/>
      <c r="FA34" s="189"/>
      <c r="FB34" s="189"/>
      <c r="FC34" s="189"/>
      <c r="FD34" s="17"/>
      <c r="FE34" s="17"/>
      <c r="FF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X34" s="80">
        <v>1</v>
      </c>
      <c r="FY34" s="17">
        <f t="shared" si="142"/>
        <v>47</v>
      </c>
      <c r="FZ34" s="17">
        <f t="shared" si="35"/>
        <v>47</v>
      </c>
      <c r="GA34" s="17">
        <f t="shared" si="36"/>
        <v>0</v>
      </c>
      <c r="GB34" s="17">
        <f t="shared" si="37"/>
        <v>0</v>
      </c>
      <c r="GC34" s="17">
        <f t="shared" si="38"/>
        <v>0</v>
      </c>
      <c r="GD34" s="17">
        <f t="shared" si="39"/>
        <v>0</v>
      </c>
      <c r="GE34" s="17">
        <f t="shared" si="40"/>
        <v>0</v>
      </c>
      <c r="GF34" s="67"/>
      <c r="GG34" s="17">
        <v>0</v>
      </c>
      <c r="GH34" s="17">
        <v>0</v>
      </c>
      <c r="GI34" s="67"/>
      <c r="GJ34" s="62">
        <f t="shared" si="143"/>
        <v>0</v>
      </c>
      <c r="GK34" s="62">
        <f t="shared" si="144"/>
        <v>0</v>
      </c>
      <c r="GO34" s="17">
        <f t="shared" si="41"/>
        <v>0</v>
      </c>
      <c r="GP34" s="17">
        <f t="shared" si="42"/>
        <v>0</v>
      </c>
      <c r="GQ34" s="17">
        <f t="shared" si="43"/>
        <v>0</v>
      </c>
      <c r="GR34" s="17">
        <f t="shared" si="44"/>
        <v>0</v>
      </c>
      <c r="GS34" s="17">
        <f t="shared" si="45"/>
        <v>0</v>
      </c>
      <c r="GT34" s="17">
        <f t="shared" si="145"/>
        <v>1</v>
      </c>
      <c r="GU34" s="101">
        <f t="shared" si="146"/>
        <v>43243</v>
      </c>
      <c r="GV34" s="17" t="str">
        <f t="shared" si="147"/>
        <v>SELESAI</v>
      </c>
      <c r="GW34" s="17">
        <f t="shared" si="148"/>
        <v>0</v>
      </c>
      <c r="GX34" s="66" t="str">
        <f t="shared" si="149"/>
        <v>SELESAI</v>
      </c>
      <c r="GY34" s="66">
        <f t="shared" si="150"/>
        <v>0</v>
      </c>
      <c r="GZ34" s="102" t="str">
        <f t="shared" si="151"/>
        <v>SELESAI</v>
      </c>
      <c r="HA34" s="83"/>
      <c r="HB34" s="83"/>
      <c r="HC34" s="17">
        <f t="shared" si="46"/>
        <v>0</v>
      </c>
      <c r="HD34" s="17">
        <f t="shared" si="47"/>
        <v>0</v>
      </c>
      <c r="HE34" s="17">
        <f t="shared" si="152"/>
        <v>0</v>
      </c>
      <c r="HF34" s="17">
        <f t="shared" si="153"/>
        <v>0</v>
      </c>
      <c r="HG34" s="17">
        <f t="shared" si="154"/>
        <v>0</v>
      </c>
      <c r="HH34" s="101" t="str">
        <f t="shared" si="48"/>
        <v>TIDAK KONSINYASI</v>
      </c>
      <c r="HI34" s="101" t="str">
        <f t="shared" si="155"/>
        <v>SELESAI</v>
      </c>
      <c r="HJ34" s="27"/>
      <c r="HK34" s="101">
        <f t="shared" si="49"/>
        <v>0</v>
      </c>
      <c r="HL34" s="83"/>
      <c r="HM34" s="83"/>
      <c r="HN34" s="83"/>
      <c r="HO34" s="83"/>
      <c r="HP34" s="102">
        <f t="shared" si="156"/>
        <v>0</v>
      </c>
      <c r="HQ34" s="66">
        <f t="shared" si="157"/>
        <v>0</v>
      </c>
      <c r="HR34" s="66">
        <f t="shared" si="50"/>
        <v>0</v>
      </c>
      <c r="HS34" s="102">
        <f t="shared" si="158"/>
        <v>0</v>
      </c>
      <c r="HT34" s="66">
        <f t="shared" si="159"/>
        <v>0</v>
      </c>
      <c r="HU34" s="66">
        <f t="shared" si="51"/>
        <v>0</v>
      </c>
      <c r="HV34" s="102">
        <f t="shared" si="160"/>
        <v>0</v>
      </c>
      <c r="HW34" s="66">
        <f t="shared" si="52"/>
        <v>0</v>
      </c>
      <c r="HX34" s="66">
        <f t="shared" si="53"/>
        <v>0</v>
      </c>
      <c r="HY34" s="102">
        <f t="shared" si="54"/>
        <v>0</v>
      </c>
      <c r="HZ34" s="66">
        <f t="shared" si="161"/>
        <v>0</v>
      </c>
      <c r="IA34" s="66">
        <f t="shared" si="55"/>
        <v>0</v>
      </c>
      <c r="IB34" s="102">
        <f t="shared" si="162"/>
        <v>0</v>
      </c>
      <c r="IC34" s="66">
        <f t="shared" si="56"/>
        <v>0</v>
      </c>
      <c r="ID34" s="66">
        <f t="shared" si="57"/>
        <v>0</v>
      </c>
      <c r="IE34" s="102">
        <f t="shared" si="58"/>
        <v>0</v>
      </c>
      <c r="IF34" s="66">
        <f t="shared" si="59"/>
        <v>0</v>
      </c>
      <c r="IG34" s="66">
        <f t="shared" si="60"/>
        <v>0</v>
      </c>
      <c r="IH34" s="102">
        <f t="shared" si="163"/>
        <v>0</v>
      </c>
      <c r="II34" s="66">
        <f t="shared" si="164"/>
        <v>0</v>
      </c>
      <c r="IJ34" s="66">
        <f t="shared" si="61"/>
        <v>0</v>
      </c>
      <c r="IK34" s="102">
        <f t="shared" si="62"/>
        <v>0</v>
      </c>
      <c r="IL34" s="66">
        <f t="shared" si="63"/>
        <v>0</v>
      </c>
      <c r="IM34" s="66">
        <f t="shared" si="64"/>
        <v>0</v>
      </c>
      <c r="IN34" s="83"/>
      <c r="IO34" s="102">
        <f t="shared" si="65"/>
        <v>0</v>
      </c>
      <c r="IP34" s="66">
        <f t="shared" si="66"/>
        <v>0</v>
      </c>
      <c r="IQ34" s="66">
        <f t="shared" si="67"/>
        <v>0</v>
      </c>
      <c r="IR34" s="83"/>
      <c r="IS34" s="102"/>
      <c r="IT34" s="66">
        <f t="shared" si="68"/>
        <v>1</v>
      </c>
      <c r="IU34" s="66">
        <f t="shared" si="69"/>
        <v>79</v>
      </c>
      <c r="IV34" s="83"/>
      <c r="IW34" s="102"/>
      <c r="IX34" s="66">
        <f t="shared" si="70"/>
        <v>0</v>
      </c>
      <c r="IY34" s="66">
        <f t="shared" si="71"/>
        <v>0</v>
      </c>
      <c r="IZ34" s="83"/>
      <c r="JA34" s="102"/>
      <c r="JB34" s="66">
        <f t="shared" si="72"/>
        <v>0</v>
      </c>
      <c r="JC34" s="66">
        <f t="shared" si="73"/>
        <v>0</v>
      </c>
      <c r="JD34" s="83"/>
      <c r="JE34" s="102"/>
      <c r="JF34" s="66">
        <f t="shared" si="165"/>
        <v>1</v>
      </c>
      <c r="JG34" s="66">
        <f t="shared" si="74"/>
        <v>79</v>
      </c>
      <c r="JH34" s="83"/>
      <c r="JI34" s="102"/>
      <c r="JJ34" s="66">
        <f t="shared" si="75"/>
        <v>0</v>
      </c>
      <c r="JK34" s="66">
        <f t="shared" si="76"/>
        <v>0</v>
      </c>
      <c r="JM34" s="102">
        <f t="shared" si="166"/>
        <v>0</v>
      </c>
      <c r="JO34" s="29">
        <f t="shared" si="77"/>
        <v>1</v>
      </c>
      <c r="JP34" s="122">
        <f t="shared" si="78"/>
        <v>47</v>
      </c>
      <c r="JQ34" s="122">
        <f t="shared" si="79"/>
        <v>1</v>
      </c>
      <c r="JR34" s="122">
        <f t="shared" si="80"/>
        <v>0</v>
      </c>
      <c r="JS34" s="122">
        <f t="shared" si="81"/>
        <v>0</v>
      </c>
      <c r="JT34" s="122">
        <f t="shared" si="82"/>
        <v>0</v>
      </c>
      <c r="JU34" s="122">
        <f t="shared" si="83"/>
        <v>0</v>
      </c>
      <c r="JV34" s="122">
        <f t="shared" si="84"/>
        <v>0</v>
      </c>
      <c r="JW34" s="122">
        <f t="shared" si="85"/>
        <v>0</v>
      </c>
      <c r="JX34" s="122">
        <f t="shared" si="86"/>
        <v>0</v>
      </c>
      <c r="JY34" s="122">
        <f t="shared" si="87"/>
        <v>0</v>
      </c>
      <c r="JZ34" s="122">
        <f t="shared" si="88"/>
        <v>0</v>
      </c>
      <c r="KA34" s="122">
        <f t="shared" si="89"/>
        <v>0</v>
      </c>
      <c r="KB34" s="122">
        <f t="shared" si="90"/>
        <v>0</v>
      </c>
      <c r="KD34" s="122">
        <f t="shared" si="167"/>
        <v>0</v>
      </c>
      <c r="KE34" s="122">
        <f t="shared" si="92"/>
        <v>0</v>
      </c>
      <c r="KF34" s="122">
        <f t="shared" si="93"/>
        <v>47</v>
      </c>
      <c r="KG34" s="122">
        <f t="shared" si="94"/>
        <v>47</v>
      </c>
      <c r="KH34" s="122">
        <f t="shared" si="95"/>
        <v>0</v>
      </c>
      <c r="KI34" s="122">
        <f t="shared" si="96"/>
        <v>0</v>
      </c>
      <c r="KJ34" s="122">
        <f t="shared" si="97"/>
        <v>0</v>
      </c>
      <c r="KK34" s="122">
        <f t="shared" si="98"/>
        <v>0</v>
      </c>
      <c r="KL34" s="122">
        <f t="shared" si="99"/>
        <v>0</v>
      </c>
      <c r="KM34" s="122">
        <f t="shared" si="100"/>
        <v>0</v>
      </c>
      <c r="KN34" s="123">
        <f t="shared" si="101"/>
        <v>0</v>
      </c>
      <c r="KO34" s="123">
        <f t="shared" si="102"/>
        <v>0</v>
      </c>
      <c r="KP34" s="123">
        <f t="shared" si="103"/>
        <v>0</v>
      </c>
      <c r="KQ34" s="123">
        <f t="shared" si="104"/>
        <v>0</v>
      </c>
      <c r="KR34" s="123">
        <f t="shared" si="105"/>
        <v>0</v>
      </c>
      <c r="KT34">
        <f t="shared" si="106"/>
        <v>0</v>
      </c>
      <c r="KU34" s="123"/>
      <c r="KV34" s="123"/>
      <c r="KW34" s="123"/>
      <c r="KX34" s="123"/>
      <c r="KY34" s="123"/>
      <c r="KZ34" s="123"/>
      <c r="LA34" s="123"/>
      <c r="LB34" s="123"/>
      <c r="LC34" s="123"/>
      <c r="LD34" s="123"/>
      <c r="LE34" s="123"/>
      <c r="LF34" s="123"/>
      <c r="LG34" s="123"/>
      <c r="LH34" s="123"/>
      <c r="LI34" s="123"/>
      <c r="LJ34" s="123"/>
      <c r="LK34" s="123"/>
      <c r="LL34" s="123"/>
      <c r="LM34" s="123"/>
      <c r="LN34" s="123"/>
      <c r="LO34" s="123"/>
      <c r="LP34" s="123"/>
      <c r="LQ34" s="123"/>
      <c r="LR34" s="123"/>
      <c r="LS34" s="123"/>
      <c r="LT34" s="123"/>
      <c r="LU34" s="123"/>
      <c r="LV34" s="123"/>
      <c r="LW34" s="123"/>
      <c r="LX34" s="123"/>
      <c r="LY34" s="123"/>
      <c r="LZ34" s="123"/>
      <c r="MA34" s="123"/>
      <c r="MB34" s="123"/>
      <c r="MC34" s="123"/>
      <c r="MD34" s="123"/>
      <c r="ME34" s="123"/>
      <c r="MF34" s="123"/>
      <c r="MG34" s="123"/>
      <c r="MH34" s="123"/>
      <c r="MI34" s="123"/>
      <c r="MJ34" s="123"/>
      <c r="MK34" s="123"/>
      <c r="ML34" s="123"/>
      <c r="MM34" s="123"/>
      <c r="MN34" s="123"/>
      <c r="MO34" s="123"/>
      <c r="MP34" s="123"/>
      <c r="MQ34" s="123"/>
      <c r="MR34" s="123"/>
      <c r="MS34" s="123"/>
      <c r="MT34" s="123"/>
      <c r="MU34" s="123"/>
      <c r="MV34" s="123"/>
      <c r="MW34" s="123"/>
      <c r="MX34" s="123"/>
      <c r="MY34" s="123"/>
      <c r="MZ34" s="123"/>
      <c r="NA34" s="123"/>
      <c r="NB34" s="123"/>
      <c r="NC34" s="123"/>
      <c r="ND34" s="123"/>
      <c r="NE34" s="123"/>
      <c r="NF34" s="123"/>
      <c r="NG34" s="123"/>
      <c r="NH34" s="123"/>
      <c r="NI34" s="123"/>
      <c r="NJ34" s="123"/>
      <c r="NK34" s="123"/>
      <c r="NM34">
        <f t="shared" si="168"/>
        <v>0</v>
      </c>
      <c r="NN34">
        <f t="shared" si="169"/>
        <v>0</v>
      </c>
      <c r="NO34">
        <f t="shared" si="170"/>
        <v>0</v>
      </c>
      <c r="NP34">
        <f t="shared" si="171"/>
        <v>0</v>
      </c>
      <c r="NQ34">
        <f t="shared" si="172"/>
        <v>0</v>
      </c>
      <c r="NR34">
        <f t="shared" si="173"/>
        <v>0</v>
      </c>
      <c r="NS34">
        <f t="shared" si="174"/>
        <v>0</v>
      </c>
      <c r="NT34">
        <f t="shared" si="175"/>
        <v>0</v>
      </c>
      <c r="NU34" s="29">
        <f t="shared" si="176"/>
        <v>0</v>
      </c>
      <c r="NY34" s="17">
        <f t="shared" si="108"/>
        <v>1</v>
      </c>
      <c r="NZ34" s="152">
        <v>11000000</v>
      </c>
      <c r="OE34" s="155">
        <f t="shared" si="109"/>
        <v>0</v>
      </c>
      <c r="OF34" s="155">
        <f t="shared" si="110"/>
        <v>0</v>
      </c>
      <c r="OG34" s="155">
        <f t="shared" si="111"/>
        <v>0</v>
      </c>
      <c r="OH34" s="155">
        <f t="shared" si="177"/>
        <v>0</v>
      </c>
      <c r="OI34" s="155">
        <f t="shared" si="112"/>
        <v>0</v>
      </c>
      <c r="OJ34" s="67">
        <f t="shared" si="178"/>
        <v>0</v>
      </c>
      <c r="OK34" s="67">
        <f t="shared" si="179"/>
        <v>0</v>
      </c>
      <c r="OL34" s="67">
        <f t="shared" si="180"/>
        <v>0</v>
      </c>
      <c r="OM34" s="67">
        <f t="shared" si="181"/>
        <v>0</v>
      </c>
      <c r="OO34" s="155">
        <f t="shared" si="113"/>
        <v>0</v>
      </c>
      <c r="OP34" s="155">
        <f t="shared" si="114"/>
        <v>0</v>
      </c>
      <c r="OQ34" s="155">
        <f t="shared" si="182"/>
        <v>0</v>
      </c>
      <c r="OR34" s="155">
        <f t="shared" si="183"/>
        <v>0</v>
      </c>
      <c r="OS34" s="155">
        <f t="shared" si="184"/>
        <v>0</v>
      </c>
      <c r="OT34" s="67">
        <f t="shared" si="185"/>
        <v>0</v>
      </c>
      <c r="OU34" s="67">
        <f t="shared" si="186"/>
        <v>0</v>
      </c>
      <c r="OV34" s="67">
        <f t="shared" si="187"/>
        <v>0</v>
      </c>
      <c r="OW34" s="67">
        <f t="shared" si="188"/>
        <v>0</v>
      </c>
      <c r="OZ34" s="163">
        <f t="shared" si="115"/>
        <v>0</v>
      </c>
      <c r="PA34" s="166"/>
      <c r="PB34" s="166"/>
      <c r="PC34" s="166"/>
      <c r="PD34" s="210">
        <f t="shared" si="116"/>
        <v>0</v>
      </c>
      <c r="PE34" s="210"/>
      <c r="PF34" s="210">
        <f t="shared" si="117"/>
        <v>0</v>
      </c>
      <c r="PG34" s="210">
        <f t="shared" si="118"/>
        <v>0</v>
      </c>
      <c r="PH34" s="210">
        <f t="shared" si="118"/>
        <v>0</v>
      </c>
      <c r="PI34" s="210">
        <f t="shared" si="118"/>
        <v>0</v>
      </c>
      <c r="PJ34" s="210">
        <f t="shared" si="118"/>
        <v>0</v>
      </c>
      <c r="PK34" s="210">
        <f t="shared" si="118"/>
        <v>0</v>
      </c>
      <c r="PL34" s="210">
        <f t="shared" si="118"/>
        <v>0</v>
      </c>
      <c r="PM34" s="164"/>
      <c r="PN34" s="164"/>
      <c r="PO34" s="172">
        <f t="shared" si="189"/>
        <v>0</v>
      </c>
      <c r="PP34" s="172">
        <f t="shared" si="190"/>
        <v>0</v>
      </c>
      <c r="PQ34" s="172">
        <f t="shared" si="191"/>
        <v>0</v>
      </c>
      <c r="PR34" s="164"/>
      <c r="PS34" s="164"/>
      <c r="PT34" s="164"/>
      <c r="PU34" s="164"/>
    </row>
    <row r="35" spans="1:437 16383:16383" ht="16" x14ac:dyDescent="0.2">
      <c r="A35" s="19">
        <f t="shared" si="192"/>
        <v>27</v>
      </c>
      <c r="B35" s="138" t="s">
        <v>162</v>
      </c>
      <c r="C35" s="138">
        <v>32</v>
      </c>
      <c r="D35" s="20">
        <v>1</v>
      </c>
      <c r="E35" s="20">
        <v>78</v>
      </c>
      <c r="F35" s="20">
        <v>1</v>
      </c>
      <c r="G35" s="20">
        <f t="shared" si="119"/>
        <v>78</v>
      </c>
      <c r="H35" s="137">
        <f t="shared" si="2"/>
        <v>1</v>
      </c>
      <c r="I35" s="137">
        <f t="shared" si="3"/>
        <v>1</v>
      </c>
      <c r="J35" s="20">
        <v>1</v>
      </c>
      <c r="K35" s="20">
        <f t="shared" si="4"/>
        <v>78</v>
      </c>
      <c r="L35" s="137">
        <f t="shared" si="5"/>
        <v>1</v>
      </c>
      <c r="M35" s="137">
        <f t="shared" si="6"/>
        <v>1</v>
      </c>
      <c r="N35" s="20">
        <v>1</v>
      </c>
      <c r="O35" s="20">
        <f t="shared" si="7"/>
        <v>78</v>
      </c>
      <c r="P35" s="137">
        <f t="shared" si="8"/>
        <v>1</v>
      </c>
      <c r="Q35" s="137">
        <f t="shared" si="9"/>
        <v>1</v>
      </c>
      <c r="R35" s="20">
        <v>1</v>
      </c>
      <c r="S35" s="20">
        <f t="shared" si="10"/>
        <v>78</v>
      </c>
      <c r="T35" s="137">
        <f t="shared" si="11"/>
        <v>1</v>
      </c>
      <c r="U35" s="137">
        <f t="shared" si="12"/>
        <v>1</v>
      </c>
      <c r="V35" s="20">
        <v>1</v>
      </c>
      <c r="W35" s="20">
        <f t="shared" si="13"/>
        <v>78</v>
      </c>
      <c r="X35" s="137">
        <f t="shared" si="14"/>
        <v>1</v>
      </c>
      <c r="Y35" s="137">
        <f t="shared" si="15"/>
        <v>1</v>
      </c>
      <c r="Z35" s="38">
        <f>1681132000/1000000000</f>
        <v>1.6811320000000001</v>
      </c>
      <c r="AA35" s="224"/>
      <c r="AB35" s="189">
        <f t="shared" si="120"/>
        <v>0</v>
      </c>
      <c r="AC35" s="250">
        <f t="shared" si="121"/>
        <v>0</v>
      </c>
      <c r="AD35" s="250">
        <f t="shared" si="122"/>
        <v>0</v>
      </c>
      <c r="AE35" s="224"/>
      <c r="AF35" s="188">
        <f t="shared" si="123"/>
        <v>0</v>
      </c>
      <c r="AG35" s="187"/>
      <c r="AH35" s="31"/>
      <c r="AI35" s="20">
        <v>0</v>
      </c>
      <c r="AJ35" s="20">
        <f t="shared" si="18"/>
        <v>0</v>
      </c>
      <c r="AK35" s="20"/>
      <c r="AL35" s="20">
        <v>0</v>
      </c>
      <c r="AM35" s="20">
        <v>0</v>
      </c>
      <c r="AN35" s="139"/>
      <c r="BB35" s="20">
        <f t="shared" si="124"/>
        <v>0</v>
      </c>
      <c r="BE35" s="20">
        <f t="shared" si="19"/>
        <v>0</v>
      </c>
      <c r="BF35" s="20">
        <f t="shared" si="20"/>
        <v>0</v>
      </c>
      <c r="BG35" s="20">
        <f t="shared" si="21"/>
        <v>0</v>
      </c>
      <c r="BH35" s="20">
        <f t="shared" si="22"/>
        <v>0</v>
      </c>
      <c r="BI35" s="20">
        <f t="shared" si="23"/>
        <v>0</v>
      </c>
      <c r="BJ35" s="20">
        <f t="shared" si="24"/>
        <v>0</v>
      </c>
      <c r="BK35" s="20">
        <f t="shared" si="125"/>
        <v>0</v>
      </c>
      <c r="BN35" s="284">
        <v>37</v>
      </c>
      <c r="BO35">
        <v>1</v>
      </c>
      <c r="BP35" s="139"/>
      <c r="BQ35" s="139"/>
      <c r="BR35" s="139"/>
      <c r="BS35" s="139"/>
      <c r="BT35" s="139"/>
      <c r="BU35" s="139"/>
      <c r="BV35" s="139"/>
      <c r="BW35" s="139"/>
      <c r="BX35" s="139"/>
      <c r="BY35" s="139"/>
      <c r="BZ35" s="139"/>
      <c r="CB35" s="139"/>
      <c r="CD35" s="17">
        <f t="shared" si="126"/>
        <v>37</v>
      </c>
      <c r="CE35" s="17">
        <f t="shared" si="127"/>
        <v>37</v>
      </c>
      <c r="CF35" s="139">
        <f t="shared" si="128"/>
        <v>0</v>
      </c>
      <c r="CG35" s="139">
        <f t="shared" si="129"/>
        <v>0</v>
      </c>
      <c r="CH35" s="139">
        <f t="shared" si="130"/>
        <v>0</v>
      </c>
      <c r="CI35" s="139">
        <f t="shared" si="131"/>
        <v>0</v>
      </c>
      <c r="CJ35" s="139">
        <f t="shared" si="132"/>
        <v>0</v>
      </c>
      <c r="CK35" s="139">
        <f t="shared" si="133"/>
        <v>0</v>
      </c>
      <c r="CL35" s="139">
        <f t="shared" si="134"/>
        <v>0</v>
      </c>
      <c r="CM35" s="139">
        <f t="shared" si="135"/>
        <v>0</v>
      </c>
      <c r="CN35" s="139">
        <f t="shared" si="136"/>
        <v>0</v>
      </c>
      <c r="CO35" s="139">
        <f t="shared" si="137"/>
        <v>0</v>
      </c>
      <c r="CP35" s="139">
        <f t="shared" si="138"/>
        <v>0</v>
      </c>
      <c r="CQ35" s="148">
        <f t="shared" si="27"/>
        <v>0</v>
      </c>
      <c r="DV35" s="139">
        <f t="shared" si="28"/>
        <v>0</v>
      </c>
      <c r="DW35" s="139">
        <f t="shared" si="29"/>
        <v>0</v>
      </c>
      <c r="DX35" s="139">
        <f t="shared" si="30"/>
        <v>0</v>
      </c>
      <c r="DY35" s="139">
        <f t="shared" si="31"/>
        <v>0</v>
      </c>
      <c r="DZ35" s="139">
        <f t="shared" si="32"/>
        <v>0</v>
      </c>
      <c r="EA35" s="139">
        <f t="shared" si="33"/>
        <v>0</v>
      </c>
      <c r="EB35" s="139">
        <f t="shared" si="139"/>
        <v>0</v>
      </c>
      <c r="EG35" s="57">
        <f t="shared" si="140"/>
        <v>0</v>
      </c>
      <c r="EH35" s="57">
        <f t="shared" si="141"/>
        <v>0</v>
      </c>
      <c r="EI35" s="17"/>
      <c r="EJ35" s="17"/>
      <c r="EK35" s="17"/>
      <c r="EL35" s="17"/>
      <c r="EM35" s="17"/>
      <c r="EN35" s="17"/>
      <c r="EO35" s="17"/>
      <c r="EP35" s="17"/>
      <c r="EQ35" s="189"/>
      <c r="ER35" s="189"/>
      <c r="ES35" s="189"/>
      <c r="ET35" s="189"/>
      <c r="EU35" s="189"/>
      <c r="EV35" s="189"/>
      <c r="EW35" s="189"/>
      <c r="EX35" s="189"/>
      <c r="EY35" s="189"/>
      <c r="EZ35" s="189"/>
      <c r="FA35" s="189"/>
      <c r="FB35" s="189"/>
      <c r="FC35" s="189"/>
      <c r="FD35" s="17"/>
      <c r="FE35" s="17"/>
      <c r="FF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X35" s="80">
        <v>1</v>
      </c>
      <c r="FY35" s="17">
        <f t="shared" si="142"/>
        <v>37</v>
      </c>
      <c r="FZ35" s="17">
        <f t="shared" si="35"/>
        <v>37</v>
      </c>
      <c r="GA35" s="17">
        <f t="shared" si="36"/>
        <v>0</v>
      </c>
      <c r="GB35" s="17">
        <f t="shared" si="37"/>
        <v>0</v>
      </c>
      <c r="GC35" s="17">
        <f t="shared" si="38"/>
        <v>0</v>
      </c>
      <c r="GD35" s="17">
        <f t="shared" si="39"/>
        <v>0</v>
      </c>
      <c r="GE35" s="17">
        <f t="shared" si="40"/>
        <v>0</v>
      </c>
      <c r="GF35" s="67"/>
      <c r="GG35" s="17">
        <v>0</v>
      </c>
      <c r="GH35" s="17">
        <v>0</v>
      </c>
      <c r="GI35" s="67"/>
      <c r="GJ35" s="62">
        <f t="shared" si="143"/>
        <v>0</v>
      </c>
      <c r="GK35" s="62">
        <f t="shared" si="144"/>
        <v>0</v>
      </c>
      <c r="GO35" s="17">
        <f t="shared" si="41"/>
        <v>0</v>
      </c>
      <c r="GP35" s="17">
        <f t="shared" si="42"/>
        <v>0</v>
      </c>
      <c r="GQ35" s="17">
        <f t="shared" si="43"/>
        <v>0</v>
      </c>
      <c r="GR35" s="17">
        <f t="shared" si="44"/>
        <v>0</v>
      </c>
      <c r="GS35" s="17">
        <f t="shared" si="45"/>
        <v>0</v>
      </c>
      <c r="GT35" s="17">
        <f t="shared" si="145"/>
        <v>1</v>
      </c>
      <c r="GU35" s="101">
        <f t="shared" si="146"/>
        <v>43243</v>
      </c>
      <c r="GV35" s="17" t="str">
        <f t="shared" si="147"/>
        <v>SELESAI</v>
      </c>
      <c r="GW35" s="17">
        <f t="shared" si="148"/>
        <v>0</v>
      </c>
      <c r="GX35" s="66" t="str">
        <f t="shared" si="149"/>
        <v>SELESAI</v>
      </c>
      <c r="GY35" s="66">
        <f t="shared" si="150"/>
        <v>0</v>
      </c>
      <c r="GZ35" s="102" t="str">
        <f t="shared" si="151"/>
        <v>SELESAI</v>
      </c>
      <c r="HA35" s="83"/>
      <c r="HB35" s="83"/>
      <c r="HC35" s="17">
        <f t="shared" si="46"/>
        <v>0</v>
      </c>
      <c r="HD35" s="17">
        <f t="shared" si="47"/>
        <v>0</v>
      </c>
      <c r="HE35" s="17">
        <f t="shared" si="152"/>
        <v>0</v>
      </c>
      <c r="HF35" s="17">
        <f t="shared" si="153"/>
        <v>0</v>
      </c>
      <c r="HG35" s="17">
        <f t="shared" si="154"/>
        <v>0</v>
      </c>
      <c r="HH35" s="101" t="str">
        <f t="shared" si="48"/>
        <v>TIDAK KONSINYASI</v>
      </c>
      <c r="HI35" s="101" t="str">
        <f t="shared" si="155"/>
        <v>SELESAI</v>
      </c>
      <c r="HJ35" s="27"/>
      <c r="HK35" s="101">
        <f t="shared" si="49"/>
        <v>0</v>
      </c>
      <c r="HL35" s="83"/>
      <c r="HM35" s="83"/>
      <c r="HN35" s="83"/>
      <c r="HO35" s="83"/>
      <c r="HP35" s="102">
        <f t="shared" si="156"/>
        <v>0</v>
      </c>
      <c r="HQ35" s="66">
        <f t="shared" si="157"/>
        <v>0</v>
      </c>
      <c r="HR35" s="66">
        <f t="shared" si="50"/>
        <v>0</v>
      </c>
      <c r="HS35" s="102">
        <f t="shared" si="158"/>
        <v>0</v>
      </c>
      <c r="HT35" s="66">
        <f t="shared" si="159"/>
        <v>0</v>
      </c>
      <c r="HU35" s="66">
        <f t="shared" si="51"/>
        <v>0</v>
      </c>
      <c r="HV35" s="102">
        <f t="shared" si="160"/>
        <v>0</v>
      </c>
      <c r="HW35" s="66">
        <f t="shared" si="52"/>
        <v>0</v>
      </c>
      <c r="HX35" s="66">
        <f t="shared" si="53"/>
        <v>0</v>
      </c>
      <c r="HY35" s="102">
        <f t="shared" si="54"/>
        <v>0</v>
      </c>
      <c r="HZ35" s="66">
        <f t="shared" si="161"/>
        <v>0</v>
      </c>
      <c r="IA35" s="66">
        <f t="shared" si="55"/>
        <v>0</v>
      </c>
      <c r="IB35" s="102">
        <f t="shared" si="162"/>
        <v>0</v>
      </c>
      <c r="IC35" s="66">
        <f t="shared" si="56"/>
        <v>0</v>
      </c>
      <c r="ID35" s="66">
        <f t="shared" si="57"/>
        <v>0</v>
      </c>
      <c r="IE35" s="102">
        <f t="shared" si="58"/>
        <v>0</v>
      </c>
      <c r="IF35" s="66">
        <f t="shared" si="59"/>
        <v>0</v>
      </c>
      <c r="IG35" s="66">
        <f t="shared" si="60"/>
        <v>0</v>
      </c>
      <c r="IH35" s="102">
        <f t="shared" si="163"/>
        <v>0</v>
      </c>
      <c r="II35" s="66">
        <f t="shared" si="164"/>
        <v>0</v>
      </c>
      <c r="IJ35" s="66">
        <f t="shared" si="61"/>
        <v>0</v>
      </c>
      <c r="IK35" s="102">
        <f t="shared" si="62"/>
        <v>0</v>
      </c>
      <c r="IL35" s="66">
        <f t="shared" si="63"/>
        <v>0</v>
      </c>
      <c r="IM35" s="66">
        <f t="shared" si="64"/>
        <v>0</v>
      </c>
      <c r="IN35" s="83"/>
      <c r="IO35" s="102">
        <f t="shared" si="65"/>
        <v>0</v>
      </c>
      <c r="IP35" s="66">
        <f t="shared" si="66"/>
        <v>0</v>
      </c>
      <c r="IQ35" s="66">
        <f t="shared" si="67"/>
        <v>0</v>
      </c>
      <c r="IR35" s="83"/>
      <c r="IS35" s="102"/>
      <c r="IT35" s="66">
        <f t="shared" si="68"/>
        <v>1</v>
      </c>
      <c r="IU35" s="66">
        <f t="shared" si="69"/>
        <v>78</v>
      </c>
      <c r="IV35" s="83"/>
      <c r="IW35" s="102"/>
      <c r="IX35" s="66">
        <f t="shared" si="70"/>
        <v>0</v>
      </c>
      <c r="IY35" s="66">
        <f t="shared" si="71"/>
        <v>0</v>
      </c>
      <c r="IZ35" s="83"/>
      <c r="JA35" s="102"/>
      <c r="JB35" s="66">
        <f t="shared" si="72"/>
        <v>0</v>
      </c>
      <c r="JC35" s="66">
        <f t="shared" si="73"/>
        <v>0</v>
      </c>
      <c r="JD35" s="83"/>
      <c r="JE35" s="102"/>
      <c r="JF35" s="66">
        <f t="shared" si="165"/>
        <v>1</v>
      </c>
      <c r="JG35" s="66">
        <f t="shared" si="74"/>
        <v>78</v>
      </c>
      <c r="JH35" s="83"/>
      <c r="JI35" s="102"/>
      <c r="JJ35" s="66">
        <f t="shared" si="75"/>
        <v>0</v>
      </c>
      <c r="JK35" s="66">
        <f t="shared" si="76"/>
        <v>0</v>
      </c>
      <c r="JM35" s="102">
        <f t="shared" si="166"/>
        <v>0</v>
      </c>
      <c r="JO35" s="29">
        <f t="shared" si="77"/>
        <v>1</v>
      </c>
      <c r="JP35" s="122">
        <f t="shared" si="78"/>
        <v>37</v>
      </c>
      <c r="JQ35" s="122">
        <f t="shared" si="79"/>
        <v>1</v>
      </c>
      <c r="JR35" s="122">
        <f t="shared" si="80"/>
        <v>0</v>
      </c>
      <c r="JS35" s="122">
        <f t="shared" si="81"/>
        <v>0</v>
      </c>
      <c r="JT35" s="122">
        <f t="shared" si="82"/>
        <v>0</v>
      </c>
      <c r="JU35" s="122">
        <f t="shared" si="83"/>
        <v>0</v>
      </c>
      <c r="JV35" s="122">
        <f t="shared" si="84"/>
        <v>0</v>
      </c>
      <c r="JW35" s="122">
        <f t="shared" si="85"/>
        <v>0</v>
      </c>
      <c r="JX35" s="122">
        <f t="shared" si="86"/>
        <v>0</v>
      </c>
      <c r="JY35" s="122">
        <f t="shared" si="87"/>
        <v>0</v>
      </c>
      <c r="JZ35" s="122">
        <f t="shared" si="88"/>
        <v>0</v>
      </c>
      <c r="KA35" s="122">
        <f t="shared" si="89"/>
        <v>0</v>
      </c>
      <c r="KB35" s="122">
        <f t="shared" si="90"/>
        <v>0</v>
      </c>
      <c r="KD35" s="122">
        <f t="shared" si="167"/>
        <v>0</v>
      </c>
      <c r="KE35" s="122">
        <f t="shared" si="92"/>
        <v>0</v>
      </c>
      <c r="KF35" s="122">
        <f t="shared" si="93"/>
        <v>37</v>
      </c>
      <c r="KG35" s="122">
        <f t="shared" si="94"/>
        <v>37</v>
      </c>
      <c r="KH35" s="122">
        <f t="shared" si="95"/>
        <v>0</v>
      </c>
      <c r="KI35" s="122">
        <f t="shared" si="96"/>
        <v>0</v>
      </c>
      <c r="KJ35" s="122">
        <f t="shared" si="97"/>
        <v>0</v>
      </c>
      <c r="KK35" s="122">
        <f t="shared" si="98"/>
        <v>0</v>
      </c>
      <c r="KL35" s="122">
        <f t="shared" si="99"/>
        <v>0</v>
      </c>
      <c r="KM35" s="122">
        <f t="shared" si="100"/>
        <v>0</v>
      </c>
      <c r="KN35" s="123">
        <f t="shared" si="101"/>
        <v>0</v>
      </c>
      <c r="KO35" s="123">
        <f t="shared" si="102"/>
        <v>0</v>
      </c>
      <c r="KP35" s="123">
        <f t="shared" si="103"/>
        <v>0</v>
      </c>
      <c r="KQ35" s="123">
        <f t="shared" si="104"/>
        <v>0</v>
      </c>
      <c r="KR35" s="123">
        <f t="shared" si="105"/>
        <v>0</v>
      </c>
      <c r="KT35">
        <f t="shared" si="106"/>
        <v>0</v>
      </c>
      <c r="KU35" s="123"/>
      <c r="KV35" s="123"/>
      <c r="KW35" s="123"/>
      <c r="KX35" s="123"/>
      <c r="KY35" s="123"/>
      <c r="KZ35" s="123"/>
      <c r="LA35" s="123"/>
      <c r="LB35" s="123"/>
      <c r="LC35" s="123"/>
      <c r="LD35" s="123"/>
      <c r="LE35" s="123"/>
      <c r="LF35" s="123"/>
      <c r="LG35" s="123"/>
      <c r="LH35" s="123"/>
      <c r="LI35" s="123"/>
      <c r="LJ35" s="123"/>
      <c r="LK35" s="123"/>
      <c r="LL35" s="123"/>
      <c r="LM35" s="123"/>
      <c r="LN35" s="123"/>
      <c r="LO35" s="123"/>
      <c r="LP35" s="123"/>
      <c r="LQ35" s="123"/>
      <c r="LR35" s="123"/>
      <c r="LS35" s="123"/>
      <c r="LT35" s="123"/>
      <c r="LU35" s="123"/>
      <c r="LV35" s="123"/>
      <c r="LW35" s="123"/>
      <c r="LX35" s="123"/>
      <c r="LY35" s="123"/>
      <c r="LZ35" s="123"/>
      <c r="MA35" s="123"/>
      <c r="MB35" s="123"/>
      <c r="MC35" s="123"/>
      <c r="MD35" s="123"/>
      <c r="ME35" s="123"/>
      <c r="MF35" s="123"/>
      <c r="MG35" s="123"/>
      <c r="MH35" s="123"/>
      <c r="MI35" s="123"/>
      <c r="MJ35" s="123"/>
      <c r="MK35" s="123"/>
      <c r="ML35" s="123"/>
      <c r="MM35" s="123"/>
      <c r="MN35" s="123"/>
      <c r="MO35" s="123"/>
      <c r="MP35" s="123"/>
      <c r="MQ35" s="123"/>
      <c r="MR35" s="123"/>
      <c r="MS35" s="123"/>
      <c r="MT35" s="123"/>
      <c r="MU35" s="123"/>
      <c r="MV35" s="123"/>
      <c r="MW35" s="123"/>
      <c r="MX35" s="123"/>
      <c r="MY35" s="123"/>
      <c r="MZ35" s="123"/>
      <c r="NA35" s="123"/>
      <c r="NB35" s="123"/>
      <c r="NC35" s="123"/>
      <c r="ND35" s="123"/>
      <c r="NE35" s="123"/>
      <c r="NF35" s="123"/>
      <c r="NG35" s="123"/>
      <c r="NH35" s="123"/>
      <c r="NI35" s="123"/>
      <c r="NJ35" s="123"/>
      <c r="NK35" s="123"/>
      <c r="NM35">
        <f t="shared" si="168"/>
        <v>0</v>
      </c>
      <c r="NN35">
        <f t="shared" si="169"/>
        <v>0</v>
      </c>
      <c r="NO35">
        <f t="shared" si="170"/>
        <v>0</v>
      </c>
      <c r="NP35">
        <f t="shared" si="171"/>
        <v>0</v>
      </c>
      <c r="NQ35">
        <f t="shared" si="172"/>
        <v>0</v>
      </c>
      <c r="NR35">
        <f t="shared" si="173"/>
        <v>0</v>
      </c>
      <c r="NS35">
        <f t="shared" si="174"/>
        <v>0</v>
      </c>
      <c r="NT35">
        <f t="shared" si="175"/>
        <v>0</v>
      </c>
      <c r="NU35" s="29">
        <f t="shared" si="176"/>
        <v>0</v>
      </c>
      <c r="NY35" s="17">
        <f t="shared" si="108"/>
        <v>1</v>
      </c>
      <c r="NZ35" s="152">
        <v>11000000</v>
      </c>
      <c r="OE35" s="155">
        <f t="shared" si="109"/>
        <v>0</v>
      </c>
      <c r="OF35" s="155">
        <f t="shared" si="110"/>
        <v>0</v>
      </c>
      <c r="OG35" s="155">
        <f t="shared" si="111"/>
        <v>0</v>
      </c>
      <c r="OH35" s="155">
        <f t="shared" si="177"/>
        <v>0</v>
      </c>
      <c r="OI35" s="155">
        <f t="shared" si="112"/>
        <v>0</v>
      </c>
      <c r="OJ35" s="67">
        <f t="shared" si="178"/>
        <v>0</v>
      </c>
      <c r="OK35" s="67">
        <f t="shared" si="179"/>
        <v>0</v>
      </c>
      <c r="OL35" s="67">
        <f t="shared" si="180"/>
        <v>0</v>
      </c>
      <c r="OM35" s="67">
        <f t="shared" si="181"/>
        <v>0</v>
      </c>
      <c r="OO35" s="155">
        <f t="shared" si="113"/>
        <v>0</v>
      </c>
      <c r="OP35" s="155">
        <f t="shared" si="114"/>
        <v>0</v>
      </c>
      <c r="OQ35" s="155">
        <f t="shared" si="182"/>
        <v>0</v>
      </c>
      <c r="OR35" s="155">
        <f t="shared" si="183"/>
        <v>0</v>
      </c>
      <c r="OS35" s="155">
        <f t="shared" si="184"/>
        <v>0</v>
      </c>
      <c r="OT35" s="67">
        <f t="shared" si="185"/>
        <v>0</v>
      </c>
      <c r="OU35" s="67">
        <f t="shared" si="186"/>
        <v>0</v>
      </c>
      <c r="OV35" s="67">
        <f t="shared" si="187"/>
        <v>0</v>
      </c>
      <c r="OW35" s="67">
        <f t="shared" si="188"/>
        <v>0</v>
      </c>
      <c r="OZ35" s="163">
        <f t="shared" si="115"/>
        <v>0</v>
      </c>
      <c r="PA35" s="166"/>
      <c r="PB35" s="166"/>
      <c r="PC35" s="166"/>
      <c r="PD35" s="210">
        <f t="shared" si="116"/>
        <v>0</v>
      </c>
      <c r="PE35" s="210"/>
      <c r="PF35" s="210">
        <f t="shared" si="117"/>
        <v>0</v>
      </c>
      <c r="PG35" s="210">
        <f t="shared" si="118"/>
        <v>0</v>
      </c>
      <c r="PH35" s="210">
        <f t="shared" si="118"/>
        <v>0</v>
      </c>
      <c r="PI35" s="210">
        <f t="shared" si="118"/>
        <v>0</v>
      </c>
      <c r="PJ35" s="210">
        <f t="shared" si="118"/>
        <v>0</v>
      </c>
      <c r="PK35" s="210">
        <f t="shared" si="118"/>
        <v>0</v>
      </c>
      <c r="PL35" s="210">
        <f t="shared" si="118"/>
        <v>0</v>
      </c>
      <c r="PM35" s="164"/>
      <c r="PN35" s="164"/>
      <c r="PO35" s="172">
        <f t="shared" si="189"/>
        <v>0</v>
      </c>
      <c r="PP35" s="172">
        <f t="shared" si="190"/>
        <v>0</v>
      </c>
      <c r="PQ35" s="172">
        <f t="shared" si="191"/>
        <v>0</v>
      </c>
      <c r="PR35" s="164"/>
      <c r="PS35" s="164"/>
      <c r="PT35" s="164"/>
      <c r="PU35" s="164"/>
    </row>
    <row r="36" spans="1:437 16383:16383" ht="16" x14ac:dyDescent="0.2">
      <c r="A36" s="19">
        <f t="shared" si="192"/>
        <v>28</v>
      </c>
      <c r="B36" s="138" t="s">
        <v>163</v>
      </c>
      <c r="C36" s="138">
        <v>33</v>
      </c>
      <c r="D36" s="20">
        <v>1</v>
      </c>
      <c r="E36" s="20">
        <v>80</v>
      </c>
      <c r="F36" s="20">
        <v>1</v>
      </c>
      <c r="G36" s="20">
        <f t="shared" si="119"/>
        <v>80</v>
      </c>
      <c r="H36" s="137">
        <f t="shared" si="2"/>
        <v>1</v>
      </c>
      <c r="I36" s="137">
        <f t="shared" si="3"/>
        <v>1</v>
      </c>
      <c r="J36" s="20">
        <v>1</v>
      </c>
      <c r="K36" s="20">
        <f t="shared" si="4"/>
        <v>80</v>
      </c>
      <c r="L36" s="137">
        <f t="shared" si="5"/>
        <v>1</v>
      </c>
      <c r="M36" s="137">
        <f t="shared" si="6"/>
        <v>1</v>
      </c>
      <c r="N36" s="20">
        <v>1</v>
      </c>
      <c r="O36" s="20">
        <f t="shared" si="7"/>
        <v>80</v>
      </c>
      <c r="P36" s="137">
        <f t="shared" si="8"/>
        <v>1</v>
      </c>
      <c r="Q36" s="137">
        <f t="shared" si="9"/>
        <v>1</v>
      </c>
      <c r="R36" s="20">
        <v>1</v>
      </c>
      <c r="S36" s="20">
        <f t="shared" si="10"/>
        <v>80</v>
      </c>
      <c r="T36" s="137">
        <f t="shared" si="11"/>
        <v>1</v>
      </c>
      <c r="U36" s="137">
        <f t="shared" si="12"/>
        <v>1</v>
      </c>
      <c r="V36" s="20">
        <v>1</v>
      </c>
      <c r="W36" s="20">
        <f t="shared" si="13"/>
        <v>80</v>
      </c>
      <c r="X36" s="137">
        <f t="shared" si="14"/>
        <v>1</v>
      </c>
      <c r="Y36" s="137">
        <f t="shared" si="15"/>
        <v>1</v>
      </c>
      <c r="Z36" s="38">
        <f>1776437000/1000000000</f>
        <v>1.776437</v>
      </c>
      <c r="AA36" s="224"/>
      <c r="AB36" s="189">
        <f t="shared" si="120"/>
        <v>0</v>
      </c>
      <c r="AC36" s="250">
        <f t="shared" si="121"/>
        <v>0</v>
      </c>
      <c r="AD36" s="250">
        <f t="shared" si="122"/>
        <v>0</v>
      </c>
      <c r="AE36" s="224"/>
      <c r="AF36" s="188">
        <f t="shared" si="123"/>
        <v>0</v>
      </c>
      <c r="AG36" s="187"/>
      <c r="AH36" s="31"/>
      <c r="AI36" s="20">
        <v>0</v>
      </c>
      <c r="AJ36" s="20">
        <f t="shared" si="18"/>
        <v>0</v>
      </c>
      <c r="AK36" s="20"/>
      <c r="AL36" s="20">
        <v>0</v>
      </c>
      <c r="AM36" s="20">
        <v>0</v>
      </c>
      <c r="AN36" s="139"/>
      <c r="BB36" s="20">
        <f t="shared" si="124"/>
        <v>0</v>
      </c>
      <c r="BE36" s="20">
        <f t="shared" si="19"/>
        <v>0</v>
      </c>
      <c r="BF36" s="20">
        <f t="shared" si="20"/>
        <v>0</v>
      </c>
      <c r="BG36" s="20">
        <f t="shared" si="21"/>
        <v>0</v>
      </c>
      <c r="BH36" s="20">
        <f t="shared" si="22"/>
        <v>0</v>
      </c>
      <c r="BI36" s="20">
        <f t="shared" si="23"/>
        <v>0</v>
      </c>
      <c r="BJ36" s="20">
        <f t="shared" si="24"/>
        <v>0</v>
      </c>
      <c r="BK36" s="20">
        <f t="shared" si="125"/>
        <v>0</v>
      </c>
      <c r="BN36" s="284">
        <v>47</v>
      </c>
      <c r="BO36">
        <v>1</v>
      </c>
      <c r="BP36" s="139"/>
      <c r="BQ36" s="139"/>
      <c r="BR36" s="139"/>
      <c r="BS36" s="139"/>
      <c r="BT36" s="139"/>
      <c r="BU36" s="139"/>
      <c r="BV36" s="139"/>
      <c r="BW36" s="139"/>
      <c r="BX36" s="139"/>
      <c r="BY36" s="139"/>
      <c r="BZ36" s="139"/>
      <c r="CB36" s="139"/>
      <c r="CD36" s="17">
        <f t="shared" si="126"/>
        <v>47</v>
      </c>
      <c r="CE36" s="17">
        <f t="shared" si="127"/>
        <v>47</v>
      </c>
      <c r="CF36" s="139">
        <f t="shared" si="128"/>
        <v>0</v>
      </c>
      <c r="CG36" s="139">
        <f t="shared" si="129"/>
        <v>0</v>
      </c>
      <c r="CH36" s="139">
        <f t="shared" si="130"/>
        <v>0</v>
      </c>
      <c r="CI36" s="139">
        <f t="shared" si="131"/>
        <v>0</v>
      </c>
      <c r="CJ36" s="139">
        <f t="shared" si="132"/>
        <v>0</v>
      </c>
      <c r="CK36" s="139">
        <f t="shared" si="133"/>
        <v>0</v>
      </c>
      <c r="CL36" s="139">
        <f t="shared" si="134"/>
        <v>0</v>
      </c>
      <c r="CM36" s="139">
        <f t="shared" si="135"/>
        <v>0</v>
      </c>
      <c r="CN36" s="139">
        <f t="shared" si="136"/>
        <v>0</v>
      </c>
      <c r="CO36" s="139">
        <f t="shared" si="137"/>
        <v>0</v>
      </c>
      <c r="CP36" s="139">
        <f t="shared" si="138"/>
        <v>0</v>
      </c>
      <c r="CQ36" s="148">
        <f t="shared" si="27"/>
        <v>0</v>
      </c>
      <c r="DV36" s="139">
        <f t="shared" si="28"/>
        <v>0</v>
      </c>
      <c r="DW36" s="139">
        <f t="shared" si="29"/>
        <v>0</v>
      </c>
      <c r="DX36" s="139">
        <f t="shared" si="30"/>
        <v>0</v>
      </c>
      <c r="DY36" s="139">
        <f t="shared" si="31"/>
        <v>0</v>
      </c>
      <c r="DZ36" s="139">
        <f t="shared" si="32"/>
        <v>0</v>
      </c>
      <c r="EA36" s="139">
        <f t="shared" si="33"/>
        <v>0</v>
      </c>
      <c r="EB36" s="139">
        <f t="shared" si="139"/>
        <v>0</v>
      </c>
      <c r="EG36" s="57">
        <f t="shared" si="140"/>
        <v>0</v>
      </c>
      <c r="EH36" s="57">
        <f t="shared" si="141"/>
        <v>0</v>
      </c>
      <c r="EI36" s="17"/>
      <c r="EJ36" s="17"/>
      <c r="EK36" s="17"/>
      <c r="EL36" s="17"/>
      <c r="EM36" s="17"/>
      <c r="EN36" s="17"/>
      <c r="EO36" s="17"/>
      <c r="EP36" s="17"/>
      <c r="EQ36" s="189"/>
      <c r="ER36" s="189"/>
      <c r="ES36" s="189"/>
      <c r="ET36" s="189"/>
      <c r="EU36" s="189"/>
      <c r="EV36" s="189"/>
      <c r="EW36" s="189"/>
      <c r="EX36" s="189"/>
      <c r="EY36" s="189"/>
      <c r="EZ36" s="189"/>
      <c r="FA36" s="189"/>
      <c r="FB36" s="189"/>
      <c r="FC36" s="189"/>
      <c r="FD36" s="17"/>
      <c r="FE36" s="17"/>
      <c r="FF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X36" s="80">
        <v>1</v>
      </c>
      <c r="FY36" s="17">
        <f t="shared" si="142"/>
        <v>47</v>
      </c>
      <c r="FZ36" s="17">
        <f t="shared" si="35"/>
        <v>47</v>
      </c>
      <c r="GA36" s="17">
        <f t="shared" si="36"/>
        <v>0</v>
      </c>
      <c r="GB36" s="17">
        <f t="shared" si="37"/>
        <v>0</v>
      </c>
      <c r="GC36" s="17">
        <f t="shared" si="38"/>
        <v>0</v>
      </c>
      <c r="GD36" s="17">
        <f t="shared" si="39"/>
        <v>0</v>
      </c>
      <c r="GE36" s="17">
        <f t="shared" si="40"/>
        <v>0</v>
      </c>
      <c r="GF36" s="67"/>
      <c r="GG36" s="17">
        <v>0</v>
      </c>
      <c r="GH36" s="17">
        <v>0</v>
      </c>
      <c r="GI36" s="67"/>
      <c r="GJ36" s="62">
        <f t="shared" si="143"/>
        <v>0</v>
      </c>
      <c r="GK36" s="62">
        <f t="shared" si="144"/>
        <v>0</v>
      </c>
      <c r="GO36" s="17">
        <f t="shared" si="41"/>
        <v>0</v>
      </c>
      <c r="GP36" s="17">
        <f t="shared" si="42"/>
        <v>0</v>
      </c>
      <c r="GQ36" s="17">
        <f t="shared" si="43"/>
        <v>0</v>
      </c>
      <c r="GR36" s="17">
        <f t="shared" si="44"/>
        <v>0</v>
      </c>
      <c r="GS36" s="17">
        <f t="shared" si="45"/>
        <v>0</v>
      </c>
      <c r="GT36" s="17">
        <f t="shared" si="145"/>
        <v>1</v>
      </c>
      <c r="GU36" s="101">
        <f t="shared" si="146"/>
        <v>43243</v>
      </c>
      <c r="GV36" s="17" t="str">
        <f t="shared" si="147"/>
        <v>SELESAI</v>
      </c>
      <c r="GW36" s="17">
        <f t="shared" si="148"/>
        <v>0</v>
      </c>
      <c r="GX36" s="66" t="str">
        <f t="shared" si="149"/>
        <v>SELESAI</v>
      </c>
      <c r="GY36" s="66">
        <f t="shared" si="150"/>
        <v>0</v>
      </c>
      <c r="GZ36" s="102" t="str">
        <f t="shared" si="151"/>
        <v>SELESAI</v>
      </c>
      <c r="HA36" s="83"/>
      <c r="HB36" s="83"/>
      <c r="HC36" s="17">
        <f t="shared" si="46"/>
        <v>0</v>
      </c>
      <c r="HD36" s="17">
        <f t="shared" si="47"/>
        <v>0</v>
      </c>
      <c r="HE36" s="17">
        <f t="shared" si="152"/>
        <v>0</v>
      </c>
      <c r="HF36" s="17">
        <f t="shared" si="153"/>
        <v>0</v>
      </c>
      <c r="HG36" s="17">
        <f t="shared" si="154"/>
        <v>0</v>
      </c>
      <c r="HH36" s="101" t="str">
        <f t="shared" si="48"/>
        <v>TIDAK KONSINYASI</v>
      </c>
      <c r="HI36" s="101" t="str">
        <f t="shared" si="155"/>
        <v>SELESAI</v>
      </c>
      <c r="HJ36" s="27"/>
      <c r="HK36" s="101">
        <f t="shared" si="49"/>
        <v>0</v>
      </c>
      <c r="HL36" s="83"/>
      <c r="HM36" s="83"/>
      <c r="HN36" s="83"/>
      <c r="HO36" s="83"/>
      <c r="HP36" s="102">
        <f t="shared" si="156"/>
        <v>0</v>
      </c>
      <c r="HQ36" s="66">
        <f t="shared" si="157"/>
        <v>0</v>
      </c>
      <c r="HR36" s="66">
        <f t="shared" si="50"/>
        <v>0</v>
      </c>
      <c r="HS36" s="102">
        <f t="shared" si="158"/>
        <v>0</v>
      </c>
      <c r="HT36" s="66">
        <f t="shared" si="159"/>
        <v>0</v>
      </c>
      <c r="HU36" s="66">
        <f t="shared" si="51"/>
        <v>0</v>
      </c>
      <c r="HV36" s="102">
        <f t="shared" si="160"/>
        <v>0</v>
      </c>
      <c r="HW36" s="66">
        <f t="shared" si="52"/>
        <v>0</v>
      </c>
      <c r="HX36" s="66">
        <f t="shared" si="53"/>
        <v>0</v>
      </c>
      <c r="HY36" s="102">
        <f t="shared" si="54"/>
        <v>0</v>
      </c>
      <c r="HZ36" s="66">
        <f t="shared" si="161"/>
        <v>0</v>
      </c>
      <c r="IA36" s="66">
        <f t="shared" si="55"/>
        <v>0</v>
      </c>
      <c r="IB36" s="102">
        <f t="shared" si="162"/>
        <v>0</v>
      </c>
      <c r="IC36" s="66">
        <f t="shared" si="56"/>
        <v>0</v>
      </c>
      <c r="ID36" s="66">
        <f t="shared" si="57"/>
        <v>0</v>
      </c>
      <c r="IE36" s="102">
        <f t="shared" si="58"/>
        <v>0</v>
      </c>
      <c r="IF36" s="66">
        <f t="shared" si="59"/>
        <v>0</v>
      </c>
      <c r="IG36" s="66">
        <f t="shared" si="60"/>
        <v>0</v>
      </c>
      <c r="IH36" s="102">
        <f t="shared" si="163"/>
        <v>0</v>
      </c>
      <c r="II36" s="66">
        <f t="shared" si="164"/>
        <v>0</v>
      </c>
      <c r="IJ36" s="66">
        <f t="shared" si="61"/>
        <v>0</v>
      </c>
      <c r="IK36" s="102">
        <f t="shared" si="62"/>
        <v>0</v>
      </c>
      <c r="IL36" s="66">
        <f t="shared" si="63"/>
        <v>0</v>
      </c>
      <c r="IM36" s="66">
        <f t="shared" si="64"/>
        <v>0</v>
      </c>
      <c r="IN36" s="83"/>
      <c r="IO36" s="102">
        <f t="shared" si="65"/>
        <v>0</v>
      </c>
      <c r="IP36" s="66">
        <f t="shared" si="66"/>
        <v>0</v>
      </c>
      <c r="IQ36" s="66">
        <f t="shared" si="67"/>
        <v>0</v>
      </c>
      <c r="IR36" s="83"/>
      <c r="IS36" s="102"/>
      <c r="IT36" s="66">
        <f t="shared" si="68"/>
        <v>1</v>
      </c>
      <c r="IU36" s="66">
        <f t="shared" si="69"/>
        <v>80</v>
      </c>
      <c r="IV36" s="83"/>
      <c r="IW36" s="102"/>
      <c r="IX36" s="66">
        <f t="shared" si="70"/>
        <v>0</v>
      </c>
      <c r="IY36" s="66">
        <f t="shared" si="71"/>
        <v>0</v>
      </c>
      <c r="IZ36" s="83"/>
      <c r="JA36" s="102"/>
      <c r="JB36" s="66">
        <f t="shared" si="72"/>
        <v>0</v>
      </c>
      <c r="JC36" s="66">
        <f t="shared" si="73"/>
        <v>0</v>
      </c>
      <c r="JD36" s="83"/>
      <c r="JE36" s="102"/>
      <c r="JF36" s="66">
        <f t="shared" si="165"/>
        <v>1</v>
      </c>
      <c r="JG36" s="66">
        <f t="shared" si="74"/>
        <v>80</v>
      </c>
      <c r="JH36" s="83"/>
      <c r="JI36" s="102"/>
      <c r="JJ36" s="66">
        <f t="shared" si="75"/>
        <v>0</v>
      </c>
      <c r="JK36" s="66">
        <f t="shared" si="76"/>
        <v>0</v>
      </c>
      <c r="JM36" s="102">
        <f t="shared" si="166"/>
        <v>0</v>
      </c>
      <c r="JO36" s="29">
        <f t="shared" si="77"/>
        <v>1</v>
      </c>
      <c r="JP36" s="122">
        <f t="shared" si="78"/>
        <v>47</v>
      </c>
      <c r="JQ36" s="122">
        <f t="shared" si="79"/>
        <v>1</v>
      </c>
      <c r="JR36" s="122">
        <f t="shared" si="80"/>
        <v>0</v>
      </c>
      <c r="JS36" s="122">
        <f t="shared" si="81"/>
        <v>0</v>
      </c>
      <c r="JT36" s="122">
        <f t="shared" si="82"/>
        <v>0</v>
      </c>
      <c r="JU36" s="122">
        <f t="shared" si="83"/>
        <v>0</v>
      </c>
      <c r="JV36" s="122">
        <f t="shared" si="84"/>
        <v>0</v>
      </c>
      <c r="JW36" s="122">
        <f t="shared" si="85"/>
        <v>0</v>
      </c>
      <c r="JX36" s="122">
        <f t="shared" si="86"/>
        <v>0</v>
      </c>
      <c r="JY36" s="122">
        <f t="shared" si="87"/>
        <v>0</v>
      </c>
      <c r="JZ36" s="122">
        <f t="shared" si="88"/>
        <v>0</v>
      </c>
      <c r="KA36" s="122">
        <f t="shared" si="89"/>
        <v>0</v>
      </c>
      <c r="KB36" s="122">
        <f t="shared" si="90"/>
        <v>0</v>
      </c>
      <c r="KD36" s="122">
        <f t="shared" si="167"/>
        <v>0</v>
      </c>
      <c r="KE36" s="122">
        <f t="shared" si="92"/>
        <v>0</v>
      </c>
      <c r="KF36" s="122">
        <f t="shared" si="93"/>
        <v>47</v>
      </c>
      <c r="KG36" s="122">
        <f t="shared" si="94"/>
        <v>47</v>
      </c>
      <c r="KH36" s="122">
        <f t="shared" si="95"/>
        <v>0</v>
      </c>
      <c r="KI36" s="122">
        <f t="shared" si="96"/>
        <v>0</v>
      </c>
      <c r="KJ36" s="122">
        <f t="shared" si="97"/>
        <v>0</v>
      </c>
      <c r="KK36" s="122">
        <f t="shared" si="98"/>
        <v>0</v>
      </c>
      <c r="KL36" s="122">
        <f t="shared" si="99"/>
        <v>0</v>
      </c>
      <c r="KM36" s="122">
        <f t="shared" si="100"/>
        <v>0</v>
      </c>
      <c r="KN36" s="123">
        <f t="shared" si="101"/>
        <v>0</v>
      </c>
      <c r="KO36" s="123">
        <f t="shared" si="102"/>
        <v>0</v>
      </c>
      <c r="KP36" s="123">
        <f t="shared" si="103"/>
        <v>0</v>
      </c>
      <c r="KQ36" s="123">
        <f t="shared" si="104"/>
        <v>0</v>
      </c>
      <c r="KR36" s="123">
        <f t="shared" si="105"/>
        <v>0</v>
      </c>
      <c r="KT36">
        <f t="shared" si="106"/>
        <v>0</v>
      </c>
      <c r="KU36" s="123"/>
      <c r="KV36" s="123"/>
      <c r="KW36" s="123"/>
      <c r="KX36" s="123"/>
      <c r="KY36" s="123"/>
      <c r="KZ36" s="123"/>
      <c r="LA36" s="123"/>
      <c r="LB36" s="123"/>
      <c r="LC36" s="123"/>
      <c r="LD36" s="123"/>
      <c r="LE36" s="123"/>
      <c r="LF36" s="123"/>
      <c r="LG36" s="123"/>
      <c r="LH36" s="123"/>
      <c r="LI36" s="123"/>
      <c r="LJ36" s="123"/>
      <c r="LK36" s="123"/>
      <c r="LL36" s="123"/>
      <c r="LM36" s="123"/>
      <c r="LN36" s="123"/>
      <c r="LO36" s="123"/>
      <c r="LP36" s="123"/>
      <c r="LQ36" s="123"/>
      <c r="LR36" s="123"/>
      <c r="LS36" s="123"/>
      <c r="LT36" s="123"/>
      <c r="LU36" s="123"/>
      <c r="LV36" s="123"/>
      <c r="LW36" s="123"/>
      <c r="LX36" s="123"/>
      <c r="LY36" s="123"/>
      <c r="LZ36" s="123"/>
      <c r="MA36" s="123"/>
      <c r="MB36" s="123"/>
      <c r="MC36" s="123"/>
      <c r="MD36" s="123"/>
      <c r="ME36" s="123"/>
      <c r="MF36" s="123"/>
      <c r="MG36" s="123"/>
      <c r="MH36" s="123"/>
      <c r="MI36" s="123"/>
      <c r="MJ36" s="123"/>
      <c r="MK36" s="123"/>
      <c r="ML36" s="123"/>
      <c r="MM36" s="123"/>
      <c r="MN36" s="123"/>
      <c r="MO36" s="123"/>
      <c r="MP36" s="123"/>
      <c r="MQ36" s="123"/>
      <c r="MR36" s="123"/>
      <c r="MS36" s="123"/>
      <c r="MT36" s="123"/>
      <c r="MU36" s="123"/>
      <c r="MV36" s="123"/>
      <c r="MW36" s="123"/>
      <c r="MX36" s="123"/>
      <c r="MY36" s="123"/>
      <c r="MZ36" s="123"/>
      <c r="NA36" s="123"/>
      <c r="NB36" s="123"/>
      <c r="NC36" s="123"/>
      <c r="ND36" s="123"/>
      <c r="NE36" s="123"/>
      <c r="NF36" s="123"/>
      <c r="NG36" s="123"/>
      <c r="NH36" s="123"/>
      <c r="NI36" s="123"/>
      <c r="NJ36" s="123"/>
      <c r="NK36" s="123"/>
      <c r="NM36">
        <f t="shared" si="168"/>
        <v>0</v>
      </c>
      <c r="NN36">
        <f t="shared" si="169"/>
        <v>0</v>
      </c>
      <c r="NO36">
        <f t="shared" si="170"/>
        <v>0</v>
      </c>
      <c r="NP36">
        <f t="shared" si="171"/>
        <v>0</v>
      </c>
      <c r="NQ36">
        <f t="shared" si="172"/>
        <v>0</v>
      </c>
      <c r="NR36">
        <f t="shared" si="173"/>
        <v>0</v>
      </c>
      <c r="NS36">
        <f t="shared" si="174"/>
        <v>0</v>
      </c>
      <c r="NT36">
        <f t="shared" si="175"/>
        <v>0</v>
      </c>
      <c r="NU36" s="29">
        <f t="shared" si="176"/>
        <v>0</v>
      </c>
      <c r="NY36" s="17">
        <f t="shared" si="108"/>
        <v>1</v>
      </c>
      <c r="NZ36" s="152">
        <v>11000000</v>
      </c>
      <c r="OE36" s="155">
        <f t="shared" si="109"/>
        <v>0</v>
      </c>
      <c r="OF36" s="155">
        <f t="shared" si="110"/>
        <v>0</v>
      </c>
      <c r="OG36" s="155">
        <f t="shared" si="111"/>
        <v>0</v>
      </c>
      <c r="OH36" s="155">
        <f t="shared" si="177"/>
        <v>0</v>
      </c>
      <c r="OI36" s="155">
        <f t="shared" si="112"/>
        <v>0</v>
      </c>
      <c r="OJ36" s="67">
        <f t="shared" si="178"/>
        <v>0</v>
      </c>
      <c r="OK36" s="67">
        <f t="shared" si="179"/>
        <v>0</v>
      </c>
      <c r="OL36" s="67">
        <f t="shared" si="180"/>
        <v>0</v>
      </c>
      <c r="OM36" s="67">
        <f t="shared" si="181"/>
        <v>0</v>
      </c>
      <c r="OO36" s="155">
        <f t="shared" si="113"/>
        <v>0</v>
      </c>
      <c r="OP36" s="155">
        <f t="shared" si="114"/>
        <v>0</v>
      </c>
      <c r="OQ36" s="155">
        <f t="shared" si="182"/>
        <v>0</v>
      </c>
      <c r="OR36" s="155">
        <f t="shared" si="183"/>
        <v>0</v>
      </c>
      <c r="OS36" s="155">
        <f t="shared" si="184"/>
        <v>0</v>
      </c>
      <c r="OT36" s="67">
        <f t="shared" si="185"/>
        <v>0</v>
      </c>
      <c r="OU36" s="67">
        <f t="shared" si="186"/>
        <v>0</v>
      </c>
      <c r="OV36" s="67">
        <f t="shared" si="187"/>
        <v>0</v>
      </c>
      <c r="OW36" s="67">
        <f t="shared" si="188"/>
        <v>0</v>
      </c>
      <c r="OZ36" s="163">
        <f t="shared" si="115"/>
        <v>0</v>
      </c>
      <c r="PA36" s="166"/>
      <c r="PB36" s="166"/>
      <c r="PC36" s="166"/>
      <c r="PD36" s="210">
        <f t="shared" si="116"/>
        <v>0</v>
      </c>
      <c r="PE36" s="210"/>
      <c r="PF36" s="210">
        <f t="shared" si="117"/>
        <v>0</v>
      </c>
      <c r="PG36" s="210">
        <f t="shared" si="118"/>
        <v>0</v>
      </c>
      <c r="PH36" s="210">
        <f t="shared" si="118"/>
        <v>0</v>
      </c>
      <c r="PI36" s="210">
        <f t="shared" si="118"/>
        <v>0</v>
      </c>
      <c r="PJ36" s="210">
        <f t="shared" si="118"/>
        <v>0</v>
      </c>
      <c r="PK36" s="210">
        <f t="shared" si="118"/>
        <v>0</v>
      </c>
      <c r="PL36" s="210">
        <f t="shared" si="118"/>
        <v>0</v>
      </c>
      <c r="PM36" s="164"/>
      <c r="PN36" s="164"/>
      <c r="PO36" s="172">
        <f t="shared" si="189"/>
        <v>0</v>
      </c>
      <c r="PP36" s="172">
        <f t="shared" si="190"/>
        <v>0</v>
      </c>
      <c r="PQ36" s="172">
        <f t="shared" si="191"/>
        <v>0</v>
      </c>
      <c r="PR36" s="164"/>
      <c r="PS36" s="164"/>
      <c r="PT36" s="164"/>
      <c r="PU36" s="164"/>
    </row>
    <row r="37" spans="1:437 16383:16383" ht="16" x14ac:dyDescent="0.2">
      <c r="A37" s="19">
        <f t="shared" si="192"/>
        <v>29</v>
      </c>
      <c r="B37" s="138" t="s">
        <v>164</v>
      </c>
      <c r="C37" s="138">
        <v>34</v>
      </c>
      <c r="D37" s="20">
        <v>1</v>
      </c>
      <c r="E37" s="20">
        <v>81</v>
      </c>
      <c r="F37" s="20">
        <v>1</v>
      </c>
      <c r="G37" s="20">
        <f t="shared" si="119"/>
        <v>81</v>
      </c>
      <c r="H37" s="137">
        <f t="shared" si="2"/>
        <v>1</v>
      </c>
      <c r="I37" s="137">
        <f t="shared" si="3"/>
        <v>1</v>
      </c>
      <c r="J37" s="20">
        <v>1</v>
      </c>
      <c r="K37" s="20">
        <f t="shared" si="4"/>
        <v>81</v>
      </c>
      <c r="L37" s="137">
        <f t="shared" si="5"/>
        <v>1</v>
      </c>
      <c r="M37" s="137">
        <f t="shared" si="6"/>
        <v>1</v>
      </c>
      <c r="N37" s="20">
        <v>1</v>
      </c>
      <c r="O37" s="20">
        <f t="shared" si="7"/>
        <v>81</v>
      </c>
      <c r="P37" s="137">
        <f t="shared" si="8"/>
        <v>1</v>
      </c>
      <c r="Q37" s="137">
        <f t="shared" si="9"/>
        <v>1</v>
      </c>
      <c r="R37" s="20">
        <v>1</v>
      </c>
      <c r="S37" s="20">
        <f t="shared" si="10"/>
        <v>81</v>
      </c>
      <c r="T37" s="137">
        <f t="shared" si="11"/>
        <v>1</v>
      </c>
      <c r="U37" s="137">
        <f t="shared" si="12"/>
        <v>1</v>
      </c>
      <c r="V37" s="20">
        <v>1</v>
      </c>
      <c r="W37" s="20">
        <f t="shared" si="13"/>
        <v>81</v>
      </c>
      <c r="X37" s="137">
        <f t="shared" si="14"/>
        <v>1</v>
      </c>
      <c r="Y37" s="137">
        <f t="shared" si="15"/>
        <v>1</v>
      </c>
      <c r="Z37" s="38">
        <f>1752899000/1000000000</f>
        <v>1.752899</v>
      </c>
      <c r="AA37" s="224"/>
      <c r="AB37" s="189">
        <f t="shared" si="120"/>
        <v>0</v>
      </c>
      <c r="AC37" s="250">
        <f t="shared" si="121"/>
        <v>0</v>
      </c>
      <c r="AD37" s="250">
        <f t="shared" si="122"/>
        <v>0</v>
      </c>
      <c r="AE37" s="224"/>
      <c r="AF37" s="188">
        <f t="shared" si="123"/>
        <v>0</v>
      </c>
      <c r="AG37" s="187"/>
      <c r="AH37" s="31"/>
      <c r="AI37" s="20">
        <v>0</v>
      </c>
      <c r="AJ37" s="20">
        <f t="shared" si="18"/>
        <v>0</v>
      </c>
      <c r="AK37" s="20"/>
      <c r="AL37" s="20">
        <v>0</v>
      </c>
      <c r="AM37" s="20">
        <v>0</v>
      </c>
      <c r="AN37" s="139"/>
      <c r="BB37" s="20">
        <f t="shared" si="124"/>
        <v>0</v>
      </c>
      <c r="BE37" s="20">
        <f t="shared" si="19"/>
        <v>0</v>
      </c>
      <c r="BF37" s="20">
        <f t="shared" si="20"/>
        <v>0</v>
      </c>
      <c r="BG37" s="20">
        <f t="shared" si="21"/>
        <v>0</v>
      </c>
      <c r="BH37" s="20">
        <f t="shared" si="22"/>
        <v>0</v>
      </c>
      <c r="BI37" s="20">
        <f t="shared" si="23"/>
        <v>0</v>
      </c>
      <c r="BJ37" s="20">
        <f t="shared" si="24"/>
        <v>0</v>
      </c>
      <c r="BK37" s="20">
        <f t="shared" si="125"/>
        <v>0</v>
      </c>
      <c r="BN37" s="284">
        <v>26</v>
      </c>
      <c r="BO37">
        <v>1</v>
      </c>
      <c r="BP37" s="139"/>
      <c r="BQ37" s="139"/>
      <c r="BR37" s="139"/>
      <c r="BS37" s="139"/>
      <c r="BT37" s="139"/>
      <c r="BU37" s="139"/>
      <c r="BV37" s="139"/>
      <c r="BW37" s="139"/>
      <c r="BX37" s="139"/>
      <c r="BY37" s="139"/>
      <c r="BZ37" s="139"/>
      <c r="CB37" s="139"/>
      <c r="CD37" s="17">
        <f t="shared" si="126"/>
        <v>26</v>
      </c>
      <c r="CE37" s="17">
        <f t="shared" si="127"/>
        <v>26</v>
      </c>
      <c r="CF37" s="139">
        <f t="shared" si="128"/>
        <v>0</v>
      </c>
      <c r="CG37" s="139">
        <f t="shared" si="129"/>
        <v>0</v>
      </c>
      <c r="CH37" s="139">
        <f t="shared" si="130"/>
        <v>0</v>
      </c>
      <c r="CI37" s="139">
        <f t="shared" si="131"/>
        <v>0</v>
      </c>
      <c r="CJ37" s="139">
        <f t="shared" si="132"/>
        <v>0</v>
      </c>
      <c r="CK37" s="139">
        <f t="shared" si="133"/>
        <v>0</v>
      </c>
      <c r="CL37" s="139">
        <f t="shared" si="134"/>
        <v>0</v>
      </c>
      <c r="CM37" s="139">
        <f t="shared" si="135"/>
        <v>0</v>
      </c>
      <c r="CN37" s="139">
        <f t="shared" si="136"/>
        <v>0</v>
      </c>
      <c r="CO37" s="139">
        <f t="shared" si="137"/>
        <v>0</v>
      </c>
      <c r="CP37" s="139">
        <f t="shared" si="138"/>
        <v>0</v>
      </c>
      <c r="CQ37" s="148">
        <f t="shared" si="27"/>
        <v>0</v>
      </c>
      <c r="DV37" s="139">
        <f t="shared" si="28"/>
        <v>0</v>
      </c>
      <c r="DW37" s="139">
        <f t="shared" si="29"/>
        <v>0</v>
      </c>
      <c r="DX37" s="139">
        <f t="shared" si="30"/>
        <v>0</v>
      </c>
      <c r="DY37" s="139">
        <f t="shared" si="31"/>
        <v>0</v>
      </c>
      <c r="DZ37" s="139">
        <f t="shared" si="32"/>
        <v>0</v>
      </c>
      <c r="EA37" s="139">
        <f t="shared" si="33"/>
        <v>0</v>
      </c>
      <c r="EB37" s="139">
        <f t="shared" si="139"/>
        <v>0</v>
      </c>
      <c r="EG37" s="57">
        <f t="shared" si="140"/>
        <v>0</v>
      </c>
      <c r="EH37" s="57">
        <f t="shared" si="141"/>
        <v>0</v>
      </c>
      <c r="EI37" s="17"/>
      <c r="EJ37" s="17"/>
      <c r="EK37" s="17"/>
      <c r="EL37" s="17"/>
      <c r="EM37" s="17"/>
      <c r="EN37" s="17"/>
      <c r="EO37" s="17"/>
      <c r="EP37" s="17"/>
      <c r="EQ37" s="189"/>
      <c r="ER37" s="189"/>
      <c r="ES37" s="189"/>
      <c r="ET37" s="189"/>
      <c r="EU37" s="189"/>
      <c r="EV37" s="189"/>
      <c r="EW37" s="189"/>
      <c r="EX37" s="189"/>
      <c r="EY37" s="189"/>
      <c r="EZ37" s="189"/>
      <c r="FA37" s="189"/>
      <c r="FB37" s="189"/>
      <c r="FC37" s="189"/>
      <c r="FD37" s="17"/>
      <c r="FE37" s="17"/>
      <c r="FF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X37" s="80">
        <v>1</v>
      </c>
      <c r="FY37" s="17">
        <f t="shared" si="142"/>
        <v>26</v>
      </c>
      <c r="FZ37" s="17">
        <f t="shared" si="35"/>
        <v>26</v>
      </c>
      <c r="GA37" s="17">
        <f t="shared" si="36"/>
        <v>0</v>
      </c>
      <c r="GB37" s="17">
        <f t="shared" si="37"/>
        <v>0</v>
      </c>
      <c r="GC37" s="17">
        <f t="shared" si="38"/>
        <v>0</v>
      </c>
      <c r="GD37" s="17">
        <f t="shared" si="39"/>
        <v>0</v>
      </c>
      <c r="GE37" s="17">
        <f t="shared" si="40"/>
        <v>0</v>
      </c>
      <c r="GF37" s="67"/>
      <c r="GG37" s="17">
        <v>0</v>
      </c>
      <c r="GH37" s="17">
        <v>0</v>
      </c>
      <c r="GI37" s="67"/>
      <c r="GJ37" s="62">
        <f t="shared" si="143"/>
        <v>0</v>
      </c>
      <c r="GK37" s="62">
        <f t="shared" si="144"/>
        <v>0</v>
      </c>
      <c r="GO37" s="17">
        <f t="shared" si="41"/>
        <v>0</v>
      </c>
      <c r="GP37" s="17">
        <f t="shared" si="42"/>
        <v>0</v>
      </c>
      <c r="GQ37" s="17">
        <f t="shared" si="43"/>
        <v>0</v>
      </c>
      <c r="GR37" s="17">
        <f t="shared" si="44"/>
        <v>0</v>
      </c>
      <c r="GS37" s="17">
        <f t="shared" si="45"/>
        <v>0</v>
      </c>
      <c r="GT37" s="17">
        <f t="shared" si="145"/>
        <v>1</v>
      </c>
      <c r="GU37" s="101">
        <f t="shared" si="146"/>
        <v>43243</v>
      </c>
      <c r="GV37" s="17" t="str">
        <f t="shared" si="147"/>
        <v>SELESAI</v>
      </c>
      <c r="GW37" s="17">
        <f t="shared" si="148"/>
        <v>0</v>
      </c>
      <c r="GX37" s="66" t="str">
        <f t="shared" si="149"/>
        <v>SELESAI</v>
      </c>
      <c r="GY37" s="66">
        <f t="shared" si="150"/>
        <v>0</v>
      </c>
      <c r="GZ37" s="102" t="str">
        <f t="shared" si="151"/>
        <v>SELESAI</v>
      </c>
      <c r="HA37" s="83"/>
      <c r="HB37" s="83"/>
      <c r="HC37" s="17">
        <f t="shared" si="46"/>
        <v>0</v>
      </c>
      <c r="HD37" s="17">
        <f t="shared" si="47"/>
        <v>0</v>
      </c>
      <c r="HE37" s="17">
        <f t="shared" si="152"/>
        <v>0</v>
      </c>
      <c r="HF37" s="17">
        <f t="shared" si="153"/>
        <v>0</v>
      </c>
      <c r="HG37" s="17">
        <f t="shared" si="154"/>
        <v>0</v>
      </c>
      <c r="HH37" s="101" t="str">
        <f t="shared" si="48"/>
        <v>TIDAK KONSINYASI</v>
      </c>
      <c r="HI37" s="101" t="str">
        <f t="shared" si="155"/>
        <v>SELESAI</v>
      </c>
      <c r="HJ37" s="27"/>
      <c r="HK37" s="101">
        <f t="shared" si="49"/>
        <v>0</v>
      </c>
      <c r="HL37" s="83"/>
      <c r="HM37" s="83"/>
      <c r="HN37" s="83"/>
      <c r="HO37" s="83"/>
      <c r="HP37" s="102">
        <f t="shared" si="156"/>
        <v>0</v>
      </c>
      <c r="HQ37" s="66">
        <f t="shared" si="157"/>
        <v>0</v>
      </c>
      <c r="HR37" s="66">
        <f t="shared" si="50"/>
        <v>0</v>
      </c>
      <c r="HS37" s="102">
        <f t="shared" si="158"/>
        <v>0</v>
      </c>
      <c r="HT37" s="66">
        <f t="shared" si="159"/>
        <v>0</v>
      </c>
      <c r="HU37" s="66">
        <f t="shared" si="51"/>
        <v>0</v>
      </c>
      <c r="HV37" s="102">
        <f t="shared" si="160"/>
        <v>0</v>
      </c>
      <c r="HW37" s="66">
        <f t="shared" si="52"/>
        <v>0</v>
      </c>
      <c r="HX37" s="66">
        <f t="shared" si="53"/>
        <v>0</v>
      </c>
      <c r="HY37" s="102">
        <f t="shared" si="54"/>
        <v>0</v>
      </c>
      <c r="HZ37" s="66">
        <f t="shared" si="161"/>
        <v>0</v>
      </c>
      <c r="IA37" s="66">
        <f t="shared" si="55"/>
        <v>0</v>
      </c>
      <c r="IB37" s="102">
        <f t="shared" si="162"/>
        <v>0</v>
      </c>
      <c r="IC37" s="66">
        <f t="shared" si="56"/>
        <v>0</v>
      </c>
      <c r="ID37" s="66">
        <f t="shared" si="57"/>
        <v>0</v>
      </c>
      <c r="IE37" s="102">
        <f t="shared" si="58"/>
        <v>0</v>
      </c>
      <c r="IF37" s="66">
        <f t="shared" si="59"/>
        <v>0</v>
      </c>
      <c r="IG37" s="66">
        <f t="shared" si="60"/>
        <v>0</v>
      </c>
      <c r="IH37" s="102">
        <f t="shared" si="163"/>
        <v>0</v>
      </c>
      <c r="II37" s="66">
        <f t="shared" si="164"/>
        <v>0</v>
      </c>
      <c r="IJ37" s="66">
        <f t="shared" si="61"/>
        <v>0</v>
      </c>
      <c r="IK37" s="102">
        <f t="shared" si="62"/>
        <v>0</v>
      </c>
      <c r="IL37" s="66">
        <f t="shared" si="63"/>
        <v>0</v>
      </c>
      <c r="IM37" s="66">
        <f t="shared" si="64"/>
        <v>0</v>
      </c>
      <c r="IN37" s="83"/>
      <c r="IO37" s="102">
        <f t="shared" si="65"/>
        <v>0</v>
      </c>
      <c r="IP37" s="66">
        <f t="shared" si="66"/>
        <v>0</v>
      </c>
      <c r="IQ37" s="66">
        <f t="shared" si="67"/>
        <v>0</v>
      </c>
      <c r="IR37" s="83"/>
      <c r="IS37" s="102"/>
      <c r="IT37" s="66">
        <f t="shared" si="68"/>
        <v>1</v>
      </c>
      <c r="IU37" s="66">
        <f t="shared" si="69"/>
        <v>81</v>
      </c>
      <c r="IV37" s="83"/>
      <c r="IW37" s="102"/>
      <c r="IX37" s="66">
        <f t="shared" si="70"/>
        <v>0</v>
      </c>
      <c r="IY37" s="66">
        <f t="shared" si="71"/>
        <v>0</v>
      </c>
      <c r="IZ37" s="83"/>
      <c r="JA37" s="102"/>
      <c r="JB37" s="66">
        <f t="shared" si="72"/>
        <v>0</v>
      </c>
      <c r="JC37" s="66">
        <f t="shared" si="73"/>
        <v>0</v>
      </c>
      <c r="JD37" s="83"/>
      <c r="JE37" s="102"/>
      <c r="JF37" s="66">
        <f t="shared" si="165"/>
        <v>1</v>
      </c>
      <c r="JG37" s="66">
        <f t="shared" si="74"/>
        <v>81</v>
      </c>
      <c r="JH37" s="83"/>
      <c r="JI37" s="102"/>
      <c r="JJ37" s="66">
        <f t="shared" si="75"/>
        <v>0</v>
      </c>
      <c r="JK37" s="66">
        <f t="shared" si="76"/>
        <v>0</v>
      </c>
      <c r="JM37" s="102">
        <f t="shared" si="166"/>
        <v>0</v>
      </c>
      <c r="JO37" s="29">
        <f t="shared" si="77"/>
        <v>1</v>
      </c>
      <c r="JP37" s="122">
        <f t="shared" si="78"/>
        <v>26</v>
      </c>
      <c r="JQ37" s="122">
        <f t="shared" si="79"/>
        <v>1</v>
      </c>
      <c r="JR37" s="122">
        <f t="shared" si="80"/>
        <v>0</v>
      </c>
      <c r="JS37" s="122">
        <f t="shared" si="81"/>
        <v>0</v>
      </c>
      <c r="JT37" s="122">
        <f t="shared" si="82"/>
        <v>0</v>
      </c>
      <c r="JU37" s="122">
        <f t="shared" si="83"/>
        <v>0</v>
      </c>
      <c r="JV37" s="122">
        <f t="shared" si="84"/>
        <v>0</v>
      </c>
      <c r="JW37" s="122">
        <f t="shared" si="85"/>
        <v>0</v>
      </c>
      <c r="JX37" s="122">
        <f t="shared" si="86"/>
        <v>0</v>
      </c>
      <c r="JY37" s="122">
        <f t="shared" si="87"/>
        <v>0</v>
      </c>
      <c r="JZ37" s="122">
        <f t="shared" si="88"/>
        <v>0</v>
      </c>
      <c r="KA37" s="122">
        <f t="shared" si="89"/>
        <v>0</v>
      </c>
      <c r="KB37" s="122">
        <f t="shared" si="90"/>
        <v>0</v>
      </c>
      <c r="KD37" s="122">
        <f t="shared" si="167"/>
        <v>0</v>
      </c>
      <c r="KE37" s="122">
        <f t="shared" si="92"/>
        <v>0</v>
      </c>
      <c r="KF37" s="122">
        <f t="shared" si="93"/>
        <v>26</v>
      </c>
      <c r="KG37" s="122">
        <f t="shared" si="94"/>
        <v>26</v>
      </c>
      <c r="KH37" s="122">
        <f t="shared" si="95"/>
        <v>0</v>
      </c>
      <c r="KI37" s="122">
        <f t="shared" si="96"/>
        <v>0</v>
      </c>
      <c r="KJ37" s="122">
        <f t="shared" si="97"/>
        <v>0</v>
      </c>
      <c r="KK37" s="122">
        <f t="shared" si="98"/>
        <v>0</v>
      </c>
      <c r="KL37" s="122">
        <f t="shared" si="99"/>
        <v>0</v>
      </c>
      <c r="KM37" s="122">
        <f t="shared" si="100"/>
        <v>0</v>
      </c>
      <c r="KN37" s="123">
        <f t="shared" si="101"/>
        <v>0</v>
      </c>
      <c r="KO37" s="123">
        <f t="shared" si="102"/>
        <v>0</v>
      </c>
      <c r="KP37" s="123">
        <f t="shared" si="103"/>
        <v>0</v>
      </c>
      <c r="KQ37" s="123">
        <f t="shared" si="104"/>
        <v>0</v>
      </c>
      <c r="KR37" s="123">
        <f t="shared" si="105"/>
        <v>0</v>
      </c>
      <c r="KT37">
        <f t="shared" si="106"/>
        <v>0</v>
      </c>
      <c r="KU37" s="123"/>
      <c r="KV37" s="123"/>
      <c r="KW37" s="123"/>
      <c r="KX37" s="123"/>
      <c r="KY37" s="123"/>
      <c r="KZ37" s="123"/>
      <c r="LA37" s="123"/>
      <c r="LB37" s="123"/>
      <c r="LC37" s="123"/>
      <c r="LD37" s="123"/>
      <c r="LE37" s="123"/>
      <c r="LF37" s="123"/>
      <c r="LG37" s="123"/>
      <c r="LH37" s="123"/>
      <c r="LI37" s="123"/>
      <c r="LJ37" s="123"/>
      <c r="LK37" s="123"/>
      <c r="LL37" s="123"/>
      <c r="LM37" s="123"/>
      <c r="LN37" s="123"/>
      <c r="LO37" s="123"/>
      <c r="LP37" s="123"/>
      <c r="LQ37" s="123"/>
      <c r="LR37" s="123"/>
      <c r="LS37" s="123"/>
      <c r="LT37" s="123"/>
      <c r="LU37" s="123"/>
      <c r="LV37" s="123"/>
      <c r="LW37" s="123"/>
      <c r="LX37" s="123"/>
      <c r="LY37" s="123"/>
      <c r="LZ37" s="123"/>
      <c r="MA37" s="123"/>
      <c r="MB37" s="123"/>
      <c r="MC37" s="123"/>
      <c r="MD37" s="123"/>
      <c r="ME37" s="123"/>
      <c r="MF37" s="123"/>
      <c r="MG37" s="123"/>
      <c r="MH37" s="123"/>
      <c r="MI37" s="123"/>
      <c r="MJ37" s="123"/>
      <c r="MK37" s="123"/>
      <c r="ML37" s="123"/>
      <c r="MM37" s="123"/>
      <c r="MN37" s="123"/>
      <c r="MO37" s="123"/>
      <c r="MP37" s="123"/>
      <c r="MQ37" s="123"/>
      <c r="MR37" s="123"/>
      <c r="MS37" s="123"/>
      <c r="MT37" s="123"/>
      <c r="MU37" s="123"/>
      <c r="MV37" s="123"/>
      <c r="MW37" s="123"/>
      <c r="MX37" s="123"/>
      <c r="MY37" s="123"/>
      <c r="MZ37" s="123"/>
      <c r="NA37" s="123"/>
      <c r="NB37" s="123"/>
      <c r="NC37" s="123"/>
      <c r="ND37" s="123"/>
      <c r="NE37" s="123"/>
      <c r="NF37" s="123"/>
      <c r="NG37" s="123"/>
      <c r="NH37" s="123"/>
      <c r="NI37" s="123"/>
      <c r="NJ37" s="123"/>
      <c r="NK37" s="123"/>
      <c r="NM37">
        <f t="shared" si="168"/>
        <v>0</v>
      </c>
      <c r="NN37">
        <f t="shared" si="169"/>
        <v>0</v>
      </c>
      <c r="NO37">
        <f t="shared" si="170"/>
        <v>0</v>
      </c>
      <c r="NP37">
        <f t="shared" si="171"/>
        <v>0</v>
      </c>
      <c r="NQ37">
        <f t="shared" si="172"/>
        <v>0</v>
      </c>
      <c r="NR37">
        <f t="shared" si="173"/>
        <v>0</v>
      </c>
      <c r="NS37">
        <f t="shared" si="174"/>
        <v>0</v>
      </c>
      <c r="NT37">
        <f t="shared" si="175"/>
        <v>0</v>
      </c>
      <c r="NU37" s="29">
        <f t="shared" si="176"/>
        <v>0</v>
      </c>
      <c r="NY37" s="17">
        <f t="shared" si="108"/>
        <v>1</v>
      </c>
      <c r="NZ37" s="152">
        <v>11000000</v>
      </c>
      <c r="OE37" s="155">
        <f t="shared" si="109"/>
        <v>0</v>
      </c>
      <c r="OF37" s="155">
        <f t="shared" si="110"/>
        <v>0</v>
      </c>
      <c r="OG37" s="155">
        <f t="shared" si="111"/>
        <v>0</v>
      </c>
      <c r="OH37" s="155">
        <f t="shared" si="177"/>
        <v>0</v>
      </c>
      <c r="OI37" s="155">
        <f t="shared" si="112"/>
        <v>0</v>
      </c>
      <c r="OJ37" s="67">
        <f t="shared" si="178"/>
        <v>0</v>
      </c>
      <c r="OK37" s="67">
        <f t="shared" si="179"/>
        <v>0</v>
      </c>
      <c r="OL37" s="67">
        <f t="shared" si="180"/>
        <v>0</v>
      </c>
      <c r="OM37" s="67">
        <f t="shared" si="181"/>
        <v>0</v>
      </c>
      <c r="OO37" s="155">
        <f t="shared" si="113"/>
        <v>0</v>
      </c>
      <c r="OP37" s="155">
        <f t="shared" si="114"/>
        <v>0</v>
      </c>
      <c r="OQ37" s="155">
        <f t="shared" si="182"/>
        <v>0</v>
      </c>
      <c r="OR37" s="155">
        <f t="shared" si="183"/>
        <v>0</v>
      </c>
      <c r="OS37" s="155">
        <f t="shared" si="184"/>
        <v>0</v>
      </c>
      <c r="OT37" s="67">
        <f t="shared" si="185"/>
        <v>0</v>
      </c>
      <c r="OU37" s="67">
        <f t="shared" si="186"/>
        <v>0</v>
      </c>
      <c r="OV37" s="67">
        <f t="shared" si="187"/>
        <v>0</v>
      </c>
      <c r="OW37" s="67">
        <f t="shared" si="188"/>
        <v>0</v>
      </c>
      <c r="OZ37" s="163">
        <f t="shared" si="115"/>
        <v>0</v>
      </c>
      <c r="PA37" s="166"/>
      <c r="PB37" s="166"/>
      <c r="PC37" s="166"/>
      <c r="PD37" s="210">
        <f t="shared" si="116"/>
        <v>0</v>
      </c>
      <c r="PE37" s="210"/>
      <c r="PF37" s="210">
        <f t="shared" si="117"/>
        <v>0</v>
      </c>
      <c r="PG37" s="210">
        <f t="shared" si="118"/>
        <v>0</v>
      </c>
      <c r="PH37" s="210">
        <f t="shared" si="118"/>
        <v>0</v>
      </c>
      <c r="PI37" s="210">
        <f t="shared" si="118"/>
        <v>0</v>
      </c>
      <c r="PJ37" s="210">
        <f t="shared" si="118"/>
        <v>0</v>
      </c>
      <c r="PK37" s="210">
        <f t="shared" si="118"/>
        <v>0</v>
      </c>
      <c r="PL37" s="210">
        <f t="shared" si="118"/>
        <v>0</v>
      </c>
      <c r="PM37" s="164"/>
      <c r="PN37" s="164"/>
      <c r="PO37" s="172">
        <f t="shared" si="189"/>
        <v>0</v>
      </c>
      <c r="PP37" s="172">
        <f t="shared" si="190"/>
        <v>0</v>
      </c>
      <c r="PQ37" s="172">
        <f t="shared" si="191"/>
        <v>0</v>
      </c>
      <c r="PR37" s="164"/>
      <c r="PS37" s="164"/>
      <c r="PT37" s="164"/>
      <c r="PU37" s="164"/>
    </row>
    <row r="38" spans="1:437 16383:16383" ht="16" x14ac:dyDescent="0.2">
      <c r="A38" s="19">
        <f t="shared" si="192"/>
        <v>30</v>
      </c>
      <c r="B38" s="138" t="s">
        <v>165</v>
      </c>
      <c r="C38" s="138">
        <v>35</v>
      </c>
      <c r="D38" s="20">
        <v>1</v>
      </c>
      <c r="E38" s="20">
        <v>97</v>
      </c>
      <c r="F38" s="20">
        <v>1</v>
      </c>
      <c r="G38" s="20">
        <f t="shared" si="119"/>
        <v>97</v>
      </c>
      <c r="H38" s="137">
        <f t="shared" si="2"/>
        <v>1</v>
      </c>
      <c r="I38" s="137">
        <f t="shared" si="3"/>
        <v>1</v>
      </c>
      <c r="J38" s="20">
        <v>1</v>
      </c>
      <c r="K38" s="20">
        <f t="shared" si="4"/>
        <v>97</v>
      </c>
      <c r="L38" s="137">
        <f t="shared" si="5"/>
        <v>1</v>
      </c>
      <c r="M38" s="137">
        <f t="shared" si="6"/>
        <v>1</v>
      </c>
      <c r="N38" s="20">
        <v>1</v>
      </c>
      <c r="O38" s="20">
        <f t="shared" si="7"/>
        <v>97</v>
      </c>
      <c r="P38" s="137">
        <f t="shared" si="8"/>
        <v>1</v>
      </c>
      <c r="Q38" s="137">
        <f t="shared" si="9"/>
        <v>1</v>
      </c>
      <c r="R38" s="20">
        <v>1</v>
      </c>
      <c r="S38" s="20">
        <f t="shared" si="10"/>
        <v>97</v>
      </c>
      <c r="T38" s="137">
        <f t="shared" si="11"/>
        <v>1</v>
      </c>
      <c r="U38" s="137">
        <f t="shared" si="12"/>
        <v>1</v>
      </c>
      <c r="V38" s="20">
        <v>1</v>
      </c>
      <c r="W38" s="20">
        <f t="shared" si="13"/>
        <v>97</v>
      </c>
      <c r="X38" s="137">
        <f t="shared" si="14"/>
        <v>1</v>
      </c>
      <c r="Y38" s="137">
        <f t="shared" si="15"/>
        <v>1</v>
      </c>
      <c r="Z38" s="38">
        <f>1907611000/1000000000</f>
        <v>1.9076109999999999</v>
      </c>
      <c r="AA38" s="188"/>
      <c r="AB38" s="189">
        <f t="shared" si="120"/>
        <v>0</v>
      </c>
      <c r="AC38" s="250">
        <f t="shared" si="121"/>
        <v>0</v>
      </c>
      <c r="AD38" s="250">
        <f t="shared" si="122"/>
        <v>0</v>
      </c>
      <c r="AE38" s="224"/>
      <c r="AF38" s="188">
        <f t="shared" si="123"/>
        <v>0</v>
      </c>
      <c r="AG38" s="187"/>
      <c r="AH38" s="31"/>
      <c r="AI38" s="20">
        <v>0</v>
      </c>
      <c r="AJ38" s="20">
        <f t="shared" si="18"/>
        <v>0</v>
      </c>
      <c r="AK38" s="20"/>
      <c r="AL38" s="20">
        <v>0</v>
      </c>
      <c r="AM38" s="20">
        <v>0</v>
      </c>
      <c r="AN38" s="139"/>
      <c r="BB38" s="20">
        <f t="shared" si="124"/>
        <v>0</v>
      </c>
      <c r="BE38" s="20">
        <f t="shared" si="19"/>
        <v>0</v>
      </c>
      <c r="BF38" s="20">
        <f t="shared" si="20"/>
        <v>0</v>
      </c>
      <c r="BG38" s="20">
        <f t="shared" si="21"/>
        <v>0</v>
      </c>
      <c r="BH38" s="20">
        <f t="shared" si="22"/>
        <v>0</v>
      </c>
      <c r="BI38" s="20">
        <f t="shared" si="23"/>
        <v>0</v>
      </c>
      <c r="BJ38" s="20">
        <f t="shared" si="24"/>
        <v>0</v>
      </c>
      <c r="BK38" s="20">
        <f t="shared" si="125"/>
        <v>0</v>
      </c>
      <c r="BN38" s="284">
        <v>42</v>
      </c>
      <c r="BO38">
        <v>1</v>
      </c>
      <c r="BP38" s="139"/>
      <c r="BQ38" s="139"/>
      <c r="BR38" s="139"/>
      <c r="BS38" s="139"/>
      <c r="BT38" s="139"/>
      <c r="BU38" s="139"/>
      <c r="BV38" s="139"/>
      <c r="BW38" s="139"/>
      <c r="BX38" s="139"/>
      <c r="BY38" s="139"/>
      <c r="BZ38" s="139"/>
      <c r="CB38" s="139"/>
      <c r="CD38" s="17">
        <f t="shared" si="126"/>
        <v>42</v>
      </c>
      <c r="CE38" s="17">
        <f t="shared" si="127"/>
        <v>42</v>
      </c>
      <c r="CF38" s="139">
        <f t="shared" si="128"/>
        <v>0</v>
      </c>
      <c r="CG38" s="139">
        <f t="shared" si="129"/>
        <v>0</v>
      </c>
      <c r="CH38" s="139">
        <f t="shared" si="130"/>
        <v>0</v>
      </c>
      <c r="CI38" s="139">
        <f t="shared" si="131"/>
        <v>0</v>
      </c>
      <c r="CJ38" s="139">
        <f t="shared" si="132"/>
        <v>0</v>
      </c>
      <c r="CK38" s="139">
        <f t="shared" si="133"/>
        <v>0</v>
      </c>
      <c r="CL38" s="139">
        <f t="shared" si="134"/>
        <v>0</v>
      </c>
      <c r="CM38" s="139">
        <f t="shared" si="135"/>
        <v>0</v>
      </c>
      <c r="CN38" s="139">
        <f t="shared" si="136"/>
        <v>0</v>
      </c>
      <c r="CO38" s="139">
        <f t="shared" si="137"/>
        <v>0</v>
      </c>
      <c r="CP38" s="139">
        <f t="shared" si="138"/>
        <v>0</v>
      </c>
      <c r="CQ38" s="148">
        <f t="shared" si="27"/>
        <v>0</v>
      </c>
      <c r="DV38" s="139">
        <f t="shared" si="28"/>
        <v>0</v>
      </c>
      <c r="DW38" s="139">
        <f t="shared" si="29"/>
        <v>0</v>
      </c>
      <c r="DX38" s="139">
        <f t="shared" si="30"/>
        <v>0</v>
      </c>
      <c r="DY38" s="139">
        <f t="shared" si="31"/>
        <v>0</v>
      </c>
      <c r="DZ38" s="139">
        <f t="shared" si="32"/>
        <v>0</v>
      </c>
      <c r="EA38" s="139">
        <f t="shared" si="33"/>
        <v>0</v>
      </c>
      <c r="EB38" s="139">
        <f t="shared" si="139"/>
        <v>0</v>
      </c>
      <c r="EG38" s="57">
        <f t="shared" si="140"/>
        <v>0</v>
      </c>
      <c r="EH38" s="57">
        <f t="shared" si="141"/>
        <v>0</v>
      </c>
      <c r="EI38" s="17"/>
      <c r="EJ38" s="17"/>
      <c r="EK38" s="17"/>
      <c r="EL38" s="17"/>
      <c r="EM38" s="17"/>
      <c r="EN38" s="17"/>
      <c r="EO38" s="17"/>
      <c r="EP38" s="17"/>
      <c r="EQ38" s="189"/>
      <c r="ER38" s="189"/>
      <c r="ES38" s="189"/>
      <c r="ET38" s="189"/>
      <c r="EU38" s="189"/>
      <c r="EV38" s="189"/>
      <c r="EW38" s="189"/>
      <c r="EX38" s="189"/>
      <c r="EY38" s="189"/>
      <c r="EZ38" s="189"/>
      <c r="FA38" s="189"/>
      <c r="FB38" s="189"/>
      <c r="FC38" s="189"/>
      <c r="FD38" s="17"/>
      <c r="FE38" s="17"/>
      <c r="FF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X38" s="80">
        <v>1</v>
      </c>
      <c r="FY38" s="17">
        <f t="shared" si="142"/>
        <v>42</v>
      </c>
      <c r="FZ38" s="17">
        <f t="shared" si="35"/>
        <v>42</v>
      </c>
      <c r="GA38" s="17">
        <f t="shared" si="36"/>
        <v>0</v>
      </c>
      <c r="GB38" s="17">
        <f t="shared" si="37"/>
        <v>0</v>
      </c>
      <c r="GC38" s="17">
        <f t="shared" si="38"/>
        <v>0</v>
      </c>
      <c r="GD38" s="17">
        <f t="shared" si="39"/>
        <v>0</v>
      </c>
      <c r="GE38" s="17">
        <f t="shared" si="40"/>
        <v>0</v>
      </c>
      <c r="GF38" s="67"/>
      <c r="GG38" s="17">
        <v>0</v>
      </c>
      <c r="GH38" s="17">
        <v>0</v>
      </c>
      <c r="GI38" s="67"/>
      <c r="GJ38" s="62">
        <f t="shared" si="143"/>
        <v>0</v>
      </c>
      <c r="GK38" s="62">
        <f t="shared" si="144"/>
        <v>0</v>
      </c>
      <c r="GO38" s="17">
        <f t="shared" si="41"/>
        <v>0</v>
      </c>
      <c r="GP38" s="17">
        <f t="shared" si="42"/>
        <v>0</v>
      </c>
      <c r="GQ38" s="17">
        <f t="shared" si="43"/>
        <v>0</v>
      </c>
      <c r="GR38" s="17">
        <f t="shared" si="44"/>
        <v>0</v>
      </c>
      <c r="GS38" s="17">
        <f t="shared" si="45"/>
        <v>0</v>
      </c>
      <c r="GT38" s="17">
        <f t="shared" si="145"/>
        <v>1</v>
      </c>
      <c r="GU38" s="101">
        <f t="shared" si="146"/>
        <v>43243</v>
      </c>
      <c r="GV38" s="17" t="str">
        <f t="shared" si="147"/>
        <v>SELESAI</v>
      </c>
      <c r="GW38" s="17">
        <f t="shared" si="148"/>
        <v>0</v>
      </c>
      <c r="GX38" s="66" t="str">
        <f t="shared" si="149"/>
        <v>SELESAI</v>
      </c>
      <c r="GY38" s="66">
        <f t="shared" si="150"/>
        <v>0</v>
      </c>
      <c r="GZ38" s="102" t="str">
        <f t="shared" si="151"/>
        <v>SELESAI</v>
      </c>
      <c r="HA38" s="83"/>
      <c r="HB38" s="83"/>
      <c r="HC38" s="17">
        <f t="shared" si="46"/>
        <v>0</v>
      </c>
      <c r="HD38" s="17">
        <f t="shared" si="47"/>
        <v>0</v>
      </c>
      <c r="HE38" s="17">
        <f t="shared" si="152"/>
        <v>0</v>
      </c>
      <c r="HF38" s="17">
        <f t="shared" si="153"/>
        <v>0</v>
      </c>
      <c r="HG38" s="17">
        <f t="shared" si="154"/>
        <v>0</v>
      </c>
      <c r="HH38" s="101" t="str">
        <f t="shared" si="48"/>
        <v>TIDAK KONSINYASI</v>
      </c>
      <c r="HI38" s="101" t="str">
        <f t="shared" si="155"/>
        <v>SELESAI</v>
      </c>
      <c r="HJ38" s="27"/>
      <c r="HK38" s="101">
        <f t="shared" si="49"/>
        <v>0</v>
      </c>
      <c r="HL38" s="83"/>
      <c r="HM38" s="83"/>
      <c r="HN38" s="83"/>
      <c r="HO38" s="83"/>
      <c r="HP38" s="102">
        <f t="shared" si="156"/>
        <v>0</v>
      </c>
      <c r="HQ38" s="66">
        <f t="shared" si="157"/>
        <v>0</v>
      </c>
      <c r="HR38" s="66">
        <f t="shared" si="50"/>
        <v>0</v>
      </c>
      <c r="HS38" s="102">
        <f t="shared" si="158"/>
        <v>0</v>
      </c>
      <c r="HT38" s="66">
        <f t="shared" si="159"/>
        <v>0</v>
      </c>
      <c r="HU38" s="66">
        <f t="shared" si="51"/>
        <v>0</v>
      </c>
      <c r="HV38" s="102">
        <f t="shared" si="160"/>
        <v>0</v>
      </c>
      <c r="HW38" s="66">
        <f t="shared" si="52"/>
        <v>0</v>
      </c>
      <c r="HX38" s="66">
        <f t="shared" si="53"/>
        <v>0</v>
      </c>
      <c r="HY38" s="102">
        <f t="shared" si="54"/>
        <v>0</v>
      </c>
      <c r="HZ38" s="66">
        <f t="shared" si="161"/>
        <v>0</v>
      </c>
      <c r="IA38" s="66">
        <f t="shared" si="55"/>
        <v>0</v>
      </c>
      <c r="IB38" s="102">
        <f t="shared" si="162"/>
        <v>0</v>
      </c>
      <c r="IC38" s="66">
        <f t="shared" si="56"/>
        <v>0</v>
      </c>
      <c r="ID38" s="66">
        <f t="shared" si="57"/>
        <v>0</v>
      </c>
      <c r="IE38" s="102">
        <f t="shared" si="58"/>
        <v>0</v>
      </c>
      <c r="IF38" s="66">
        <f t="shared" si="59"/>
        <v>0</v>
      </c>
      <c r="IG38" s="66">
        <f t="shared" si="60"/>
        <v>0</v>
      </c>
      <c r="IH38" s="102">
        <f t="shared" si="163"/>
        <v>0</v>
      </c>
      <c r="II38" s="66">
        <f t="shared" si="164"/>
        <v>0</v>
      </c>
      <c r="IJ38" s="66">
        <f t="shared" si="61"/>
        <v>0</v>
      </c>
      <c r="IK38" s="102">
        <f t="shared" si="62"/>
        <v>0</v>
      </c>
      <c r="IL38" s="66">
        <f t="shared" si="63"/>
        <v>0</v>
      </c>
      <c r="IM38" s="66">
        <f t="shared" si="64"/>
        <v>0</v>
      </c>
      <c r="IN38" s="83"/>
      <c r="IO38" s="102">
        <f t="shared" si="65"/>
        <v>0</v>
      </c>
      <c r="IP38" s="66">
        <f t="shared" si="66"/>
        <v>0</v>
      </c>
      <c r="IQ38" s="66">
        <f t="shared" si="67"/>
        <v>0</v>
      </c>
      <c r="IR38" s="83"/>
      <c r="IS38" s="102"/>
      <c r="IT38" s="66">
        <f t="shared" si="68"/>
        <v>1</v>
      </c>
      <c r="IU38" s="66">
        <f t="shared" si="69"/>
        <v>97</v>
      </c>
      <c r="IV38" s="83"/>
      <c r="IW38" s="102"/>
      <c r="IX38" s="66">
        <f t="shared" si="70"/>
        <v>0</v>
      </c>
      <c r="IY38" s="66">
        <f t="shared" si="71"/>
        <v>0</v>
      </c>
      <c r="IZ38" s="83"/>
      <c r="JA38" s="102"/>
      <c r="JB38" s="66">
        <f t="shared" si="72"/>
        <v>0</v>
      </c>
      <c r="JC38" s="66">
        <f t="shared" si="73"/>
        <v>0</v>
      </c>
      <c r="JD38" s="83"/>
      <c r="JE38" s="102"/>
      <c r="JF38" s="66">
        <f t="shared" si="165"/>
        <v>1</v>
      </c>
      <c r="JG38" s="66">
        <f t="shared" si="74"/>
        <v>97</v>
      </c>
      <c r="JH38" s="83"/>
      <c r="JI38" s="102"/>
      <c r="JJ38" s="66">
        <f t="shared" si="75"/>
        <v>0</v>
      </c>
      <c r="JK38" s="66">
        <f t="shared" si="76"/>
        <v>0</v>
      </c>
      <c r="JM38" s="102">
        <f t="shared" si="166"/>
        <v>0</v>
      </c>
      <c r="JO38" s="29">
        <f t="shared" si="77"/>
        <v>1</v>
      </c>
      <c r="JP38" s="122">
        <f t="shared" si="78"/>
        <v>42</v>
      </c>
      <c r="JQ38" s="122">
        <f t="shared" si="79"/>
        <v>1</v>
      </c>
      <c r="JR38" s="122">
        <f t="shared" si="80"/>
        <v>0</v>
      </c>
      <c r="JS38" s="122">
        <f t="shared" si="81"/>
        <v>0</v>
      </c>
      <c r="JT38" s="122">
        <f t="shared" si="82"/>
        <v>0</v>
      </c>
      <c r="JU38" s="122">
        <f t="shared" si="83"/>
        <v>0</v>
      </c>
      <c r="JV38" s="122">
        <f t="shared" si="84"/>
        <v>0</v>
      </c>
      <c r="JW38" s="122">
        <f t="shared" si="85"/>
        <v>0</v>
      </c>
      <c r="JX38" s="122">
        <f t="shared" si="86"/>
        <v>0</v>
      </c>
      <c r="JY38" s="122">
        <f t="shared" si="87"/>
        <v>0</v>
      </c>
      <c r="JZ38" s="122">
        <f t="shared" si="88"/>
        <v>0</v>
      </c>
      <c r="KA38" s="122">
        <f t="shared" si="89"/>
        <v>0</v>
      </c>
      <c r="KB38" s="122">
        <f t="shared" si="90"/>
        <v>0</v>
      </c>
      <c r="KD38" s="122">
        <f t="shared" si="167"/>
        <v>0</v>
      </c>
      <c r="KE38" s="122">
        <f t="shared" si="92"/>
        <v>0</v>
      </c>
      <c r="KF38" s="122">
        <f t="shared" si="93"/>
        <v>42</v>
      </c>
      <c r="KG38" s="122">
        <f t="shared" si="94"/>
        <v>42</v>
      </c>
      <c r="KH38" s="122">
        <f t="shared" si="95"/>
        <v>0</v>
      </c>
      <c r="KI38" s="122">
        <f t="shared" si="96"/>
        <v>0</v>
      </c>
      <c r="KJ38" s="122">
        <f t="shared" si="97"/>
        <v>0</v>
      </c>
      <c r="KK38" s="122">
        <f t="shared" si="98"/>
        <v>0</v>
      </c>
      <c r="KL38" s="122">
        <f t="shared" si="99"/>
        <v>0</v>
      </c>
      <c r="KM38" s="122">
        <f t="shared" si="100"/>
        <v>0</v>
      </c>
      <c r="KN38" s="123">
        <f t="shared" si="101"/>
        <v>0</v>
      </c>
      <c r="KO38" s="123">
        <f t="shared" si="102"/>
        <v>0</v>
      </c>
      <c r="KP38" s="123">
        <f t="shared" si="103"/>
        <v>0</v>
      </c>
      <c r="KQ38" s="123">
        <f t="shared" si="104"/>
        <v>0</v>
      </c>
      <c r="KR38" s="123">
        <f t="shared" si="105"/>
        <v>0</v>
      </c>
      <c r="KT38">
        <f t="shared" si="106"/>
        <v>0</v>
      </c>
      <c r="KU38" s="123"/>
      <c r="KV38" s="123"/>
      <c r="KW38" s="123"/>
      <c r="KX38" s="123"/>
      <c r="KY38" s="123"/>
      <c r="KZ38" s="123"/>
      <c r="LA38" s="123"/>
      <c r="LB38" s="123"/>
      <c r="LC38" s="123"/>
      <c r="LD38" s="123"/>
      <c r="LE38" s="123"/>
      <c r="LF38" s="123"/>
      <c r="LG38" s="123"/>
      <c r="LH38" s="123"/>
      <c r="LI38" s="123"/>
      <c r="LJ38" s="123"/>
      <c r="LK38" s="123"/>
      <c r="LL38" s="123"/>
      <c r="LM38" s="123"/>
      <c r="LN38" s="123"/>
      <c r="LO38" s="123"/>
      <c r="LP38" s="123"/>
      <c r="LQ38" s="123"/>
      <c r="LR38" s="123"/>
      <c r="LS38" s="123"/>
      <c r="LT38" s="123"/>
      <c r="LU38" s="123"/>
      <c r="LV38" s="123"/>
      <c r="LW38" s="123"/>
      <c r="LX38" s="123"/>
      <c r="LY38" s="123"/>
      <c r="LZ38" s="123"/>
      <c r="MA38" s="123"/>
      <c r="MB38" s="123"/>
      <c r="MC38" s="123"/>
      <c r="MD38" s="123"/>
      <c r="ME38" s="123"/>
      <c r="MF38" s="123"/>
      <c r="MG38" s="123"/>
      <c r="MH38" s="123"/>
      <c r="MI38" s="123"/>
      <c r="MJ38" s="123"/>
      <c r="MK38" s="123"/>
      <c r="ML38" s="123"/>
      <c r="MM38" s="123"/>
      <c r="MN38" s="123"/>
      <c r="MO38" s="123"/>
      <c r="MP38" s="123"/>
      <c r="MQ38" s="123"/>
      <c r="MR38" s="123"/>
      <c r="MS38" s="123"/>
      <c r="MT38" s="123"/>
      <c r="MU38" s="123"/>
      <c r="MV38" s="123"/>
      <c r="MW38" s="123"/>
      <c r="MX38" s="123"/>
      <c r="MY38" s="123"/>
      <c r="MZ38" s="123"/>
      <c r="NA38" s="123"/>
      <c r="NB38" s="123"/>
      <c r="NC38" s="123"/>
      <c r="ND38" s="123"/>
      <c r="NE38" s="123"/>
      <c r="NF38" s="123"/>
      <c r="NG38" s="123"/>
      <c r="NH38" s="123"/>
      <c r="NI38" s="123"/>
      <c r="NJ38" s="123"/>
      <c r="NK38" s="123"/>
      <c r="NM38">
        <f t="shared" si="168"/>
        <v>0</v>
      </c>
      <c r="NN38">
        <f t="shared" si="169"/>
        <v>0</v>
      </c>
      <c r="NO38">
        <f t="shared" si="170"/>
        <v>0</v>
      </c>
      <c r="NP38">
        <f t="shared" si="171"/>
        <v>0</v>
      </c>
      <c r="NQ38">
        <f t="shared" si="172"/>
        <v>0</v>
      </c>
      <c r="NR38">
        <f t="shared" si="173"/>
        <v>0</v>
      </c>
      <c r="NS38">
        <f t="shared" si="174"/>
        <v>0</v>
      </c>
      <c r="NT38">
        <f t="shared" si="175"/>
        <v>0</v>
      </c>
      <c r="NU38" s="29">
        <f t="shared" si="176"/>
        <v>0</v>
      </c>
      <c r="NY38" s="17">
        <f t="shared" si="108"/>
        <v>1</v>
      </c>
      <c r="NZ38" s="152">
        <v>11000000</v>
      </c>
      <c r="OE38" s="155">
        <f t="shared" si="109"/>
        <v>0</v>
      </c>
      <c r="OF38" s="155">
        <f t="shared" si="110"/>
        <v>0</v>
      </c>
      <c r="OG38" s="155">
        <f t="shared" si="111"/>
        <v>0</v>
      </c>
      <c r="OH38" s="155">
        <f t="shared" si="177"/>
        <v>0</v>
      </c>
      <c r="OI38" s="155">
        <f t="shared" si="112"/>
        <v>0</v>
      </c>
      <c r="OJ38" s="67">
        <f t="shared" si="178"/>
        <v>0</v>
      </c>
      <c r="OK38" s="67">
        <f t="shared" si="179"/>
        <v>0</v>
      </c>
      <c r="OL38" s="67">
        <f t="shared" si="180"/>
        <v>0</v>
      </c>
      <c r="OM38" s="67">
        <f t="shared" si="181"/>
        <v>0</v>
      </c>
      <c r="OO38" s="155">
        <f t="shared" si="113"/>
        <v>0</v>
      </c>
      <c r="OP38" s="155">
        <f t="shared" si="114"/>
        <v>0</v>
      </c>
      <c r="OQ38" s="155">
        <f t="shared" si="182"/>
        <v>0</v>
      </c>
      <c r="OR38" s="155">
        <f t="shared" si="183"/>
        <v>0</v>
      </c>
      <c r="OS38" s="155">
        <f t="shared" si="184"/>
        <v>0</v>
      </c>
      <c r="OT38" s="67">
        <f t="shared" si="185"/>
        <v>0</v>
      </c>
      <c r="OU38" s="67">
        <f t="shared" si="186"/>
        <v>0</v>
      </c>
      <c r="OV38" s="67">
        <f t="shared" si="187"/>
        <v>0</v>
      </c>
      <c r="OW38" s="67">
        <f t="shared" si="188"/>
        <v>0</v>
      </c>
      <c r="OZ38" s="163">
        <f t="shared" si="115"/>
        <v>0</v>
      </c>
      <c r="PA38" s="166"/>
      <c r="PB38" s="166"/>
      <c r="PC38" s="166"/>
      <c r="PD38" s="210">
        <f t="shared" si="116"/>
        <v>0</v>
      </c>
      <c r="PE38" s="210"/>
      <c r="PF38" s="210">
        <f t="shared" si="117"/>
        <v>0</v>
      </c>
      <c r="PG38" s="210">
        <f t="shared" si="118"/>
        <v>0</v>
      </c>
      <c r="PH38" s="210">
        <f t="shared" si="118"/>
        <v>0</v>
      </c>
      <c r="PI38" s="210">
        <f t="shared" si="118"/>
        <v>0</v>
      </c>
      <c r="PJ38" s="210">
        <f t="shared" si="118"/>
        <v>0</v>
      </c>
      <c r="PK38" s="210">
        <f t="shared" si="118"/>
        <v>0</v>
      </c>
      <c r="PL38" s="210">
        <f t="shared" si="118"/>
        <v>0</v>
      </c>
      <c r="PM38" s="164"/>
      <c r="PN38" s="164"/>
      <c r="PO38" s="172">
        <f t="shared" si="189"/>
        <v>0</v>
      </c>
      <c r="PP38" s="172">
        <f t="shared" si="190"/>
        <v>0</v>
      </c>
      <c r="PQ38" s="172">
        <f t="shared" si="191"/>
        <v>0</v>
      </c>
      <c r="PR38" s="164"/>
      <c r="PS38" s="164"/>
      <c r="PT38" s="164"/>
      <c r="PU38" s="164"/>
    </row>
    <row r="39" spans="1:437 16383:16383" ht="16" x14ac:dyDescent="0.2">
      <c r="A39" s="19">
        <f t="shared" si="192"/>
        <v>31</v>
      </c>
      <c r="B39" s="138" t="s">
        <v>166</v>
      </c>
      <c r="C39" s="138">
        <v>36</v>
      </c>
      <c r="D39" s="20">
        <v>1</v>
      </c>
      <c r="E39" s="20">
        <v>82</v>
      </c>
      <c r="F39" s="20">
        <v>1</v>
      </c>
      <c r="G39" s="20">
        <f t="shared" si="119"/>
        <v>82</v>
      </c>
      <c r="H39" s="137">
        <f t="shared" si="2"/>
        <v>1</v>
      </c>
      <c r="I39" s="137">
        <f t="shared" si="3"/>
        <v>1</v>
      </c>
      <c r="J39" s="20">
        <v>1</v>
      </c>
      <c r="K39" s="20">
        <f t="shared" si="4"/>
        <v>82</v>
      </c>
      <c r="L39" s="137">
        <f t="shared" si="5"/>
        <v>1</v>
      </c>
      <c r="M39" s="137">
        <f t="shared" si="6"/>
        <v>1</v>
      </c>
      <c r="N39" s="20">
        <v>1</v>
      </c>
      <c r="O39" s="20">
        <f t="shared" si="7"/>
        <v>82</v>
      </c>
      <c r="P39" s="137">
        <f t="shared" si="8"/>
        <v>1</v>
      </c>
      <c r="Q39" s="137">
        <f t="shared" si="9"/>
        <v>1</v>
      </c>
      <c r="R39" s="20">
        <v>1</v>
      </c>
      <c r="S39" s="20">
        <f t="shared" si="10"/>
        <v>82</v>
      </c>
      <c r="T39" s="137">
        <f t="shared" si="11"/>
        <v>1</v>
      </c>
      <c r="U39" s="137">
        <f t="shared" si="12"/>
        <v>1</v>
      </c>
      <c r="V39" s="20">
        <v>1</v>
      </c>
      <c r="W39" s="20">
        <f t="shared" si="13"/>
        <v>82</v>
      </c>
      <c r="X39" s="137">
        <f t="shared" si="14"/>
        <v>1</v>
      </c>
      <c r="Y39" s="137">
        <f t="shared" si="15"/>
        <v>1</v>
      </c>
      <c r="Z39" s="38">
        <f>1790214000/1000000000</f>
        <v>1.790214</v>
      </c>
      <c r="AA39" s="188"/>
      <c r="AB39" s="189">
        <f t="shared" si="120"/>
        <v>0</v>
      </c>
      <c r="AC39" s="250">
        <f t="shared" si="121"/>
        <v>0</v>
      </c>
      <c r="AD39" s="250">
        <f t="shared" si="122"/>
        <v>0</v>
      </c>
      <c r="AE39" s="224"/>
      <c r="AF39" s="188">
        <f t="shared" si="123"/>
        <v>0</v>
      </c>
      <c r="AG39" s="187"/>
      <c r="AH39" s="31"/>
      <c r="AI39" s="20">
        <v>0</v>
      </c>
      <c r="AJ39" s="20">
        <f t="shared" si="18"/>
        <v>0</v>
      </c>
      <c r="AK39" s="20"/>
      <c r="AL39" s="20">
        <v>0</v>
      </c>
      <c r="AM39" s="20">
        <v>0</v>
      </c>
      <c r="AN39" s="139"/>
      <c r="BB39" s="20">
        <f t="shared" si="124"/>
        <v>0</v>
      </c>
      <c r="BE39" s="20">
        <f t="shared" si="19"/>
        <v>0</v>
      </c>
      <c r="BF39" s="20">
        <f t="shared" si="20"/>
        <v>0</v>
      </c>
      <c r="BG39" s="20">
        <f t="shared" si="21"/>
        <v>0</v>
      </c>
      <c r="BH39" s="20">
        <f t="shared" si="22"/>
        <v>0</v>
      </c>
      <c r="BI39" s="20">
        <f t="shared" si="23"/>
        <v>0</v>
      </c>
      <c r="BJ39" s="20">
        <f t="shared" si="24"/>
        <v>0</v>
      </c>
      <c r="BK39" s="20">
        <f t="shared" si="125"/>
        <v>0</v>
      </c>
      <c r="BN39" s="284">
        <v>48</v>
      </c>
      <c r="BO39">
        <v>1</v>
      </c>
      <c r="BP39" s="139"/>
      <c r="BQ39" s="139"/>
      <c r="BR39" s="139"/>
      <c r="BS39" s="139"/>
      <c r="BT39" s="139"/>
      <c r="BU39" s="139"/>
      <c r="BV39" s="139"/>
      <c r="BW39" s="139"/>
      <c r="BX39" s="139"/>
      <c r="BY39" s="139"/>
      <c r="BZ39" s="139"/>
      <c r="CB39" s="139"/>
      <c r="CD39" s="17">
        <f t="shared" si="126"/>
        <v>48</v>
      </c>
      <c r="CE39" s="17">
        <f t="shared" si="127"/>
        <v>48</v>
      </c>
      <c r="CF39" s="139">
        <f t="shared" si="128"/>
        <v>0</v>
      </c>
      <c r="CG39" s="139">
        <f t="shared" si="129"/>
        <v>0</v>
      </c>
      <c r="CH39" s="139">
        <f t="shared" si="130"/>
        <v>0</v>
      </c>
      <c r="CI39" s="139">
        <f t="shared" si="131"/>
        <v>0</v>
      </c>
      <c r="CJ39" s="139">
        <f t="shared" si="132"/>
        <v>0</v>
      </c>
      <c r="CK39" s="139">
        <f t="shared" si="133"/>
        <v>0</v>
      </c>
      <c r="CL39" s="139">
        <f t="shared" si="134"/>
        <v>0</v>
      </c>
      <c r="CM39" s="139">
        <f t="shared" si="135"/>
        <v>0</v>
      </c>
      <c r="CN39" s="139">
        <f t="shared" si="136"/>
        <v>0</v>
      </c>
      <c r="CO39" s="139">
        <f t="shared" si="137"/>
        <v>0</v>
      </c>
      <c r="CP39" s="139">
        <f t="shared" si="138"/>
        <v>0</v>
      </c>
      <c r="CQ39" s="148">
        <f t="shared" si="27"/>
        <v>0</v>
      </c>
      <c r="DV39" s="139">
        <f t="shared" si="28"/>
        <v>0</v>
      </c>
      <c r="DW39" s="139">
        <f t="shared" si="29"/>
        <v>0</v>
      </c>
      <c r="DX39" s="139">
        <f t="shared" si="30"/>
        <v>0</v>
      </c>
      <c r="DY39" s="139">
        <f t="shared" si="31"/>
        <v>0</v>
      </c>
      <c r="DZ39" s="139">
        <f t="shared" si="32"/>
        <v>0</v>
      </c>
      <c r="EA39" s="139">
        <f t="shared" si="33"/>
        <v>0</v>
      </c>
      <c r="EB39" s="139">
        <f t="shared" si="139"/>
        <v>0</v>
      </c>
      <c r="EG39" s="57">
        <f t="shared" si="140"/>
        <v>0</v>
      </c>
      <c r="EH39" s="57">
        <f t="shared" si="141"/>
        <v>0</v>
      </c>
      <c r="EI39" s="17"/>
      <c r="EJ39" s="17"/>
      <c r="EK39" s="17"/>
      <c r="EL39" s="17"/>
      <c r="EM39" s="17"/>
      <c r="EN39" s="17"/>
      <c r="EO39" s="17"/>
      <c r="EP39" s="17"/>
      <c r="EQ39" s="189"/>
      <c r="ER39" s="189"/>
      <c r="ES39" s="189"/>
      <c r="ET39" s="189"/>
      <c r="EU39" s="189"/>
      <c r="EV39" s="189"/>
      <c r="EW39" s="189"/>
      <c r="EX39" s="189"/>
      <c r="EY39" s="189"/>
      <c r="EZ39" s="189"/>
      <c r="FA39" s="189"/>
      <c r="FB39" s="189"/>
      <c r="FC39" s="189"/>
      <c r="FD39" s="17"/>
      <c r="FE39" s="17"/>
      <c r="FF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X39" s="80">
        <v>1</v>
      </c>
      <c r="FY39" s="17">
        <f t="shared" si="142"/>
        <v>48</v>
      </c>
      <c r="FZ39" s="17">
        <f t="shared" si="35"/>
        <v>48</v>
      </c>
      <c r="GA39" s="17">
        <f t="shared" si="36"/>
        <v>0</v>
      </c>
      <c r="GB39" s="17">
        <f t="shared" si="37"/>
        <v>0</v>
      </c>
      <c r="GC39" s="17">
        <f t="shared" si="38"/>
        <v>0</v>
      </c>
      <c r="GD39" s="17">
        <f t="shared" si="39"/>
        <v>0</v>
      </c>
      <c r="GE39" s="17">
        <f t="shared" si="40"/>
        <v>0</v>
      </c>
      <c r="GF39" s="67"/>
      <c r="GG39" s="17">
        <v>0</v>
      </c>
      <c r="GH39" s="17">
        <v>0</v>
      </c>
      <c r="GI39" s="67"/>
      <c r="GJ39" s="62">
        <f t="shared" si="143"/>
        <v>0</v>
      </c>
      <c r="GK39" s="62">
        <f t="shared" si="144"/>
        <v>0</v>
      </c>
      <c r="GO39" s="17">
        <f t="shared" si="41"/>
        <v>0</v>
      </c>
      <c r="GP39" s="17">
        <f t="shared" si="42"/>
        <v>0</v>
      </c>
      <c r="GQ39" s="17">
        <f t="shared" si="43"/>
        <v>0</v>
      </c>
      <c r="GR39" s="17">
        <f t="shared" si="44"/>
        <v>0</v>
      </c>
      <c r="GS39" s="17">
        <f t="shared" si="45"/>
        <v>0</v>
      </c>
      <c r="GT39" s="17">
        <f t="shared" si="145"/>
        <v>1</v>
      </c>
      <c r="GU39" s="101">
        <f t="shared" si="146"/>
        <v>43243</v>
      </c>
      <c r="GV39" s="17" t="str">
        <f t="shared" si="147"/>
        <v>SELESAI</v>
      </c>
      <c r="GW39" s="17">
        <f t="shared" si="148"/>
        <v>0</v>
      </c>
      <c r="GX39" s="66" t="str">
        <f t="shared" si="149"/>
        <v>SELESAI</v>
      </c>
      <c r="GY39" s="66">
        <f t="shared" si="150"/>
        <v>0</v>
      </c>
      <c r="GZ39" s="102" t="str">
        <f t="shared" si="151"/>
        <v>SELESAI</v>
      </c>
      <c r="HA39" s="83"/>
      <c r="HB39" s="83"/>
      <c r="HC39" s="17">
        <f t="shared" si="46"/>
        <v>0</v>
      </c>
      <c r="HD39" s="17">
        <f t="shared" si="47"/>
        <v>0</v>
      </c>
      <c r="HE39" s="17">
        <f t="shared" si="152"/>
        <v>0</v>
      </c>
      <c r="HF39" s="17">
        <f t="shared" si="153"/>
        <v>0</v>
      </c>
      <c r="HG39" s="17">
        <f t="shared" si="154"/>
        <v>0</v>
      </c>
      <c r="HH39" s="101" t="str">
        <f t="shared" si="48"/>
        <v>TIDAK KONSINYASI</v>
      </c>
      <c r="HI39" s="101" t="str">
        <f t="shared" si="155"/>
        <v>SELESAI</v>
      </c>
      <c r="HJ39" s="27"/>
      <c r="HK39" s="101">
        <f t="shared" si="49"/>
        <v>0</v>
      </c>
      <c r="HL39" s="83"/>
      <c r="HM39" s="83"/>
      <c r="HN39" s="83"/>
      <c r="HO39" s="83"/>
      <c r="HP39" s="102">
        <f t="shared" si="156"/>
        <v>0</v>
      </c>
      <c r="HQ39" s="66">
        <f t="shared" si="157"/>
        <v>0</v>
      </c>
      <c r="HR39" s="66">
        <f t="shared" si="50"/>
        <v>0</v>
      </c>
      <c r="HS39" s="102">
        <f t="shared" si="158"/>
        <v>0</v>
      </c>
      <c r="HT39" s="66">
        <f t="shared" si="159"/>
        <v>0</v>
      </c>
      <c r="HU39" s="66">
        <f t="shared" si="51"/>
        <v>0</v>
      </c>
      <c r="HV39" s="102">
        <f t="shared" si="160"/>
        <v>0</v>
      </c>
      <c r="HW39" s="66">
        <f t="shared" si="52"/>
        <v>0</v>
      </c>
      <c r="HX39" s="66">
        <f t="shared" si="53"/>
        <v>0</v>
      </c>
      <c r="HY39" s="102">
        <f t="shared" si="54"/>
        <v>0</v>
      </c>
      <c r="HZ39" s="66">
        <f t="shared" si="161"/>
        <v>0</v>
      </c>
      <c r="IA39" s="66">
        <f t="shared" si="55"/>
        <v>0</v>
      </c>
      <c r="IB39" s="102">
        <f t="shared" si="162"/>
        <v>0</v>
      </c>
      <c r="IC39" s="66">
        <f t="shared" si="56"/>
        <v>0</v>
      </c>
      <c r="ID39" s="66">
        <f t="shared" si="57"/>
        <v>0</v>
      </c>
      <c r="IE39" s="102">
        <f t="shared" si="58"/>
        <v>0</v>
      </c>
      <c r="IF39" s="66">
        <f t="shared" si="59"/>
        <v>0</v>
      </c>
      <c r="IG39" s="66">
        <f t="shared" si="60"/>
        <v>0</v>
      </c>
      <c r="IH39" s="102">
        <f t="shared" si="163"/>
        <v>0</v>
      </c>
      <c r="II39" s="66">
        <f t="shared" si="164"/>
        <v>0</v>
      </c>
      <c r="IJ39" s="66">
        <f t="shared" si="61"/>
        <v>0</v>
      </c>
      <c r="IK39" s="102">
        <f t="shared" si="62"/>
        <v>0</v>
      </c>
      <c r="IL39" s="66">
        <f t="shared" si="63"/>
        <v>0</v>
      </c>
      <c r="IM39" s="66">
        <f t="shared" si="64"/>
        <v>0</v>
      </c>
      <c r="IN39" s="83"/>
      <c r="IO39" s="102">
        <f t="shared" si="65"/>
        <v>0</v>
      </c>
      <c r="IP39" s="66">
        <f t="shared" si="66"/>
        <v>0</v>
      </c>
      <c r="IQ39" s="66">
        <f t="shared" si="67"/>
        <v>0</v>
      </c>
      <c r="IR39" s="83"/>
      <c r="IS39" s="102"/>
      <c r="IT39" s="66">
        <f t="shared" si="68"/>
        <v>1</v>
      </c>
      <c r="IU39" s="66">
        <f t="shared" si="69"/>
        <v>82</v>
      </c>
      <c r="IV39" s="83"/>
      <c r="IW39" s="102"/>
      <c r="IX39" s="66">
        <f t="shared" si="70"/>
        <v>0</v>
      </c>
      <c r="IY39" s="66">
        <f t="shared" si="71"/>
        <v>0</v>
      </c>
      <c r="IZ39" s="83"/>
      <c r="JA39" s="102"/>
      <c r="JB39" s="66">
        <f t="shared" si="72"/>
        <v>0</v>
      </c>
      <c r="JC39" s="66">
        <f t="shared" si="73"/>
        <v>0</v>
      </c>
      <c r="JD39" s="83"/>
      <c r="JE39" s="102"/>
      <c r="JF39" s="66">
        <f t="shared" si="165"/>
        <v>1</v>
      </c>
      <c r="JG39" s="66">
        <f t="shared" si="74"/>
        <v>82</v>
      </c>
      <c r="JH39" s="83"/>
      <c r="JI39" s="102"/>
      <c r="JJ39" s="66">
        <f t="shared" si="75"/>
        <v>0</v>
      </c>
      <c r="JK39" s="66">
        <f t="shared" si="76"/>
        <v>0</v>
      </c>
      <c r="JM39" s="102">
        <f t="shared" si="166"/>
        <v>0</v>
      </c>
      <c r="JO39" s="29">
        <f t="shared" si="77"/>
        <v>1</v>
      </c>
      <c r="JP39" s="122">
        <f t="shared" si="78"/>
        <v>48</v>
      </c>
      <c r="JQ39" s="122">
        <f t="shared" si="79"/>
        <v>1</v>
      </c>
      <c r="JR39" s="122">
        <f t="shared" si="80"/>
        <v>0</v>
      </c>
      <c r="JS39" s="122">
        <f t="shared" si="81"/>
        <v>0</v>
      </c>
      <c r="JT39" s="122">
        <f t="shared" si="82"/>
        <v>0</v>
      </c>
      <c r="JU39" s="122">
        <f t="shared" si="83"/>
        <v>0</v>
      </c>
      <c r="JV39" s="122">
        <f t="shared" si="84"/>
        <v>0</v>
      </c>
      <c r="JW39" s="122">
        <f t="shared" si="85"/>
        <v>0</v>
      </c>
      <c r="JX39" s="122">
        <f t="shared" si="86"/>
        <v>0</v>
      </c>
      <c r="JY39" s="122">
        <f t="shared" si="87"/>
        <v>0</v>
      </c>
      <c r="JZ39" s="122">
        <f t="shared" si="88"/>
        <v>0</v>
      </c>
      <c r="KA39" s="122">
        <f t="shared" si="89"/>
        <v>0</v>
      </c>
      <c r="KB39" s="122">
        <f t="shared" si="90"/>
        <v>0</v>
      </c>
      <c r="KD39" s="122">
        <f t="shared" si="167"/>
        <v>0</v>
      </c>
      <c r="KE39" s="122">
        <f t="shared" si="92"/>
        <v>0</v>
      </c>
      <c r="KF39" s="122">
        <f t="shared" si="93"/>
        <v>48</v>
      </c>
      <c r="KG39" s="122">
        <f t="shared" si="94"/>
        <v>48</v>
      </c>
      <c r="KH39" s="122">
        <f t="shared" si="95"/>
        <v>0</v>
      </c>
      <c r="KI39" s="122">
        <f t="shared" si="96"/>
        <v>0</v>
      </c>
      <c r="KJ39" s="122">
        <f t="shared" si="97"/>
        <v>0</v>
      </c>
      <c r="KK39" s="122">
        <f t="shared" si="98"/>
        <v>0</v>
      </c>
      <c r="KL39" s="122">
        <f t="shared" si="99"/>
        <v>0</v>
      </c>
      <c r="KM39" s="122">
        <f t="shared" si="100"/>
        <v>0</v>
      </c>
      <c r="KN39" s="123">
        <f t="shared" si="101"/>
        <v>0</v>
      </c>
      <c r="KO39" s="123">
        <f t="shared" si="102"/>
        <v>0</v>
      </c>
      <c r="KP39" s="123">
        <f t="shared" si="103"/>
        <v>0</v>
      </c>
      <c r="KQ39" s="123">
        <f t="shared" si="104"/>
        <v>0</v>
      </c>
      <c r="KR39" s="123">
        <f t="shared" si="105"/>
        <v>0</v>
      </c>
      <c r="KT39">
        <f t="shared" si="106"/>
        <v>0</v>
      </c>
      <c r="KU39" s="123"/>
      <c r="KV39" s="123"/>
      <c r="KW39" s="123"/>
      <c r="KX39" s="123"/>
      <c r="KY39" s="123"/>
      <c r="KZ39" s="123"/>
      <c r="LA39" s="123"/>
      <c r="LB39" s="123"/>
      <c r="LC39" s="123"/>
      <c r="LD39" s="123"/>
      <c r="LE39" s="123"/>
      <c r="LF39" s="123"/>
      <c r="LG39" s="123"/>
      <c r="LH39" s="123"/>
      <c r="LI39" s="123"/>
      <c r="LJ39" s="123"/>
      <c r="LK39" s="123"/>
      <c r="LL39" s="123"/>
      <c r="LM39" s="123"/>
      <c r="LN39" s="123"/>
      <c r="LO39" s="123"/>
      <c r="LP39" s="123"/>
      <c r="LQ39" s="123"/>
      <c r="LR39" s="123"/>
      <c r="LS39" s="123"/>
      <c r="LT39" s="123"/>
      <c r="LU39" s="123"/>
      <c r="LV39" s="123"/>
      <c r="LW39" s="123"/>
      <c r="LX39" s="123"/>
      <c r="LY39" s="123"/>
      <c r="LZ39" s="123"/>
      <c r="MA39" s="123"/>
      <c r="MB39" s="123"/>
      <c r="MC39" s="123"/>
      <c r="MD39" s="123"/>
      <c r="ME39" s="123"/>
      <c r="MF39" s="123"/>
      <c r="MG39" s="123"/>
      <c r="MH39" s="123"/>
      <c r="MI39" s="123"/>
      <c r="MJ39" s="123"/>
      <c r="MK39" s="123"/>
      <c r="ML39" s="123"/>
      <c r="MM39" s="123"/>
      <c r="MN39" s="123"/>
      <c r="MO39" s="123"/>
      <c r="MP39" s="123"/>
      <c r="MQ39" s="123"/>
      <c r="MR39" s="123"/>
      <c r="MS39" s="123"/>
      <c r="MT39" s="123"/>
      <c r="MU39" s="123"/>
      <c r="MV39" s="123"/>
      <c r="MW39" s="123"/>
      <c r="MX39" s="123"/>
      <c r="MY39" s="123"/>
      <c r="MZ39" s="123"/>
      <c r="NA39" s="123"/>
      <c r="NB39" s="123"/>
      <c r="NC39" s="123"/>
      <c r="ND39" s="123"/>
      <c r="NE39" s="123"/>
      <c r="NF39" s="123"/>
      <c r="NG39" s="123"/>
      <c r="NH39" s="123"/>
      <c r="NI39" s="123"/>
      <c r="NJ39" s="123"/>
      <c r="NK39" s="123"/>
      <c r="NM39">
        <f t="shared" si="168"/>
        <v>0</v>
      </c>
      <c r="NN39">
        <f t="shared" si="169"/>
        <v>0</v>
      </c>
      <c r="NO39">
        <f t="shared" si="170"/>
        <v>0</v>
      </c>
      <c r="NP39">
        <f t="shared" si="171"/>
        <v>0</v>
      </c>
      <c r="NQ39">
        <f t="shared" si="172"/>
        <v>0</v>
      </c>
      <c r="NR39">
        <f t="shared" si="173"/>
        <v>0</v>
      </c>
      <c r="NS39">
        <f t="shared" si="174"/>
        <v>0</v>
      </c>
      <c r="NT39">
        <f t="shared" si="175"/>
        <v>0</v>
      </c>
      <c r="NU39" s="29">
        <f t="shared" si="176"/>
        <v>0</v>
      </c>
      <c r="NY39" s="17">
        <f t="shared" si="108"/>
        <v>1</v>
      </c>
      <c r="NZ39" s="152">
        <v>11000000</v>
      </c>
      <c r="OE39" s="155">
        <f t="shared" si="109"/>
        <v>0</v>
      </c>
      <c r="OF39" s="155">
        <f t="shared" si="110"/>
        <v>0</v>
      </c>
      <c r="OG39" s="155">
        <f t="shared" si="111"/>
        <v>0</v>
      </c>
      <c r="OH39" s="155">
        <f t="shared" si="177"/>
        <v>0</v>
      </c>
      <c r="OI39" s="155">
        <f t="shared" si="112"/>
        <v>0</v>
      </c>
      <c r="OJ39" s="67">
        <f t="shared" si="178"/>
        <v>0</v>
      </c>
      <c r="OK39" s="67">
        <f t="shared" si="179"/>
        <v>0</v>
      </c>
      <c r="OL39" s="67">
        <f t="shared" si="180"/>
        <v>0</v>
      </c>
      <c r="OM39" s="67">
        <f t="shared" si="181"/>
        <v>0</v>
      </c>
      <c r="OO39" s="155">
        <f t="shared" si="113"/>
        <v>0</v>
      </c>
      <c r="OP39" s="155">
        <f t="shared" si="114"/>
        <v>0</v>
      </c>
      <c r="OQ39" s="155">
        <f t="shared" si="182"/>
        <v>0</v>
      </c>
      <c r="OR39" s="155">
        <f t="shared" si="183"/>
        <v>0</v>
      </c>
      <c r="OS39" s="155">
        <f t="shared" si="184"/>
        <v>0</v>
      </c>
      <c r="OT39" s="67">
        <f t="shared" si="185"/>
        <v>0</v>
      </c>
      <c r="OU39" s="67">
        <f t="shared" si="186"/>
        <v>0</v>
      </c>
      <c r="OV39" s="67">
        <f t="shared" si="187"/>
        <v>0</v>
      </c>
      <c r="OW39" s="67">
        <f t="shared" si="188"/>
        <v>0</v>
      </c>
      <c r="OZ39" s="163">
        <f t="shared" si="115"/>
        <v>0</v>
      </c>
      <c r="PA39" s="166"/>
      <c r="PB39" s="166"/>
      <c r="PC39" s="166"/>
      <c r="PD39" s="210">
        <f t="shared" si="116"/>
        <v>0</v>
      </c>
      <c r="PE39" s="210"/>
      <c r="PF39" s="210">
        <f t="shared" si="117"/>
        <v>0</v>
      </c>
      <c r="PG39" s="210">
        <f t="shared" si="118"/>
        <v>0</v>
      </c>
      <c r="PH39" s="210">
        <f t="shared" si="118"/>
        <v>0</v>
      </c>
      <c r="PI39" s="210">
        <f t="shared" si="118"/>
        <v>0</v>
      </c>
      <c r="PJ39" s="210">
        <f t="shared" si="118"/>
        <v>0</v>
      </c>
      <c r="PK39" s="210">
        <f t="shared" si="118"/>
        <v>0</v>
      </c>
      <c r="PL39" s="210">
        <f t="shared" si="118"/>
        <v>0</v>
      </c>
      <c r="PM39" s="164"/>
      <c r="PN39" s="164"/>
      <c r="PO39" s="172">
        <f t="shared" si="189"/>
        <v>0</v>
      </c>
      <c r="PP39" s="172">
        <f t="shared" si="190"/>
        <v>0</v>
      </c>
      <c r="PQ39" s="172">
        <f t="shared" si="191"/>
        <v>0</v>
      </c>
      <c r="PR39" s="164"/>
      <c r="PS39" s="164"/>
      <c r="PT39" s="164"/>
      <c r="PU39" s="164"/>
    </row>
    <row r="40" spans="1:437 16383:16383" ht="16" x14ac:dyDescent="0.2">
      <c r="A40" s="19">
        <f t="shared" si="192"/>
        <v>32</v>
      </c>
      <c r="B40" s="138" t="s">
        <v>167</v>
      </c>
      <c r="C40" s="138">
        <v>37</v>
      </c>
      <c r="D40" s="20">
        <v>1</v>
      </c>
      <c r="E40" s="20">
        <v>123</v>
      </c>
      <c r="F40" s="20">
        <v>1</v>
      </c>
      <c r="G40" s="20">
        <f t="shared" si="119"/>
        <v>123</v>
      </c>
      <c r="H40" s="137">
        <f t="shared" si="2"/>
        <v>1</v>
      </c>
      <c r="I40" s="137">
        <f t="shared" si="3"/>
        <v>1</v>
      </c>
      <c r="J40" s="20">
        <v>1</v>
      </c>
      <c r="K40" s="20">
        <f t="shared" si="4"/>
        <v>123</v>
      </c>
      <c r="L40" s="137">
        <f t="shared" si="5"/>
        <v>1</v>
      </c>
      <c r="M40" s="137">
        <f t="shared" si="6"/>
        <v>1</v>
      </c>
      <c r="N40" s="20">
        <v>1</v>
      </c>
      <c r="O40" s="20">
        <f t="shared" si="7"/>
        <v>123</v>
      </c>
      <c r="P40" s="137">
        <f t="shared" si="8"/>
        <v>1</v>
      </c>
      <c r="Q40" s="137">
        <f t="shared" si="9"/>
        <v>1</v>
      </c>
      <c r="R40" s="20">
        <v>1</v>
      </c>
      <c r="S40" s="20">
        <f t="shared" si="10"/>
        <v>123</v>
      </c>
      <c r="T40" s="137">
        <f t="shared" si="11"/>
        <v>1</v>
      </c>
      <c r="U40" s="214">
        <f t="shared" si="12"/>
        <v>1</v>
      </c>
      <c r="V40" s="188">
        <v>1</v>
      </c>
      <c r="W40" s="188">
        <f t="shared" si="13"/>
        <v>123</v>
      </c>
      <c r="X40" s="214">
        <f t="shared" si="14"/>
        <v>1</v>
      </c>
      <c r="Y40" s="214">
        <f t="shared" si="15"/>
        <v>1</v>
      </c>
      <c r="Z40" s="224">
        <f>2328089000/1000000000</f>
        <v>2.3280889999999999</v>
      </c>
      <c r="AA40" s="224"/>
      <c r="AB40" s="189">
        <f t="shared" si="120"/>
        <v>0</v>
      </c>
      <c r="AC40" s="250">
        <f t="shared" si="121"/>
        <v>0</v>
      </c>
      <c r="AD40" s="250">
        <f t="shared" si="122"/>
        <v>0</v>
      </c>
      <c r="AE40" s="224"/>
      <c r="AF40" s="188">
        <f t="shared" si="123"/>
        <v>0</v>
      </c>
      <c r="AG40" s="187"/>
      <c r="AH40" s="31"/>
      <c r="AI40" s="20">
        <v>0</v>
      </c>
      <c r="AJ40" s="20">
        <f t="shared" si="18"/>
        <v>0</v>
      </c>
      <c r="AK40" s="20"/>
      <c r="AL40" s="20">
        <v>0</v>
      </c>
      <c r="AM40" s="20">
        <v>0</v>
      </c>
      <c r="AN40" s="139"/>
      <c r="BB40" s="20">
        <f t="shared" si="124"/>
        <v>0</v>
      </c>
      <c r="BE40" s="20">
        <f t="shared" si="19"/>
        <v>0</v>
      </c>
      <c r="BF40" s="20">
        <f t="shared" si="20"/>
        <v>0</v>
      </c>
      <c r="BG40" s="20">
        <f t="shared" si="21"/>
        <v>0</v>
      </c>
      <c r="BH40" s="20">
        <f t="shared" si="22"/>
        <v>0</v>
      </c>
      <c r="BI40" s="20">
        <f t="shared" si="23"/>
        <v>0</v>
      </c>
      <c r="BJ40" s="20">
        <f t="shared" si="24"/>
        <v>0</v>
      </c>
      <c r="BK40" s="20">
        <f t="shared" si="125"/>
        <v>0</v>
      </c>
      <c r="BN40" s="284">
        <v>69</v>
      </c>
      <c r="BO40">
        <v>1</v>
      </c>
      <c r="BP40" s="139"/>
      <c r="BQ40" s="139"/>
      <c r="BR40" s="139"/>
      <c r="BS40" s="139"/>
      <c r="BT40" s="139"/>
      <c r="BU40" s="139"/>
      <c r="BV40" s="139"/>
      <c r="BW40" s="139"/>
      <c r="BX40" s="139"/>
      <c r="BY40" s="139"/>
      <c r="BZ40" s="139"/>
      <c r="CB40" s="139"/>
      <c r="CD40" s="17">
        <f t="shared" si="126"/>
        <v>69</v>
      </c>
      <c r="CE40" s="17">
        <f t="shared" si="127"/>
        <v>69</v>
      </c>
      <c r="CF40" s="139">
        <f t="shared" si="128"/>
        <v>0</v>
      </c>
      <c r="CG40" s="139">
        <f t="shared" si="129"/>
        <v>0</v>
      </c>
      <c r="CH40" s="139">
        <f t="shared" si="130"/>
        <v>0</v>
      </c>
      <c r="CI40" s="139">
        <f t="shared" si="131"/>
        <v>0</v>
      </c>
      <c r="CJ40" s="139">
        <f t="shared" si="132"/>
        <v>0</v>
      </c>
      <c r="CK40" s="139">
        <f t="shared" si="133"/>
        <v>0</v>
      </c>
      <c r="CL40" s="139">
        <f t="shared" si="134"/>
        <v>0</v>
      </c>
      <c r="CM40" s="139">
        <f t="shared" si="135"/>
        <v>0</v>
      </c>
      <c r="CN40" s="139">
        <f t="shared" si="136"/>
        <v>0</v>
      </c>
      <c r="CO40" s="139">
        <f t="shared" si="137"/>
        <v>0</v>
      </c>
      <c r="CP40" s="139">
        <f t="shared" si="138"/>
        <v>0</v>
      </c>
      <c r="CQ40" s="148">
        <f t="shared" si="27"/>
        <v>0</v>
      </c>
      <c r="DV40" s="139">
        <f t="shared" si="28"/>
        <v>0</v>
      </c>
      <c r="DW40" s="139">
        <f t="shared" si="29"/>
        <v>0</v>
      </c>
      <c r="DX40" s="139">
        <f t="shared" si="30"/>
        <v>0</v>
      </c>
      <c r="DY40" s="139">
        <f t="shared" si="31"/>
        <v>0</v>
      </c>
      <c r="DZ40" s="139">
        <f t="shared" si="32"/>
        <v>0</v>
      </c>
      <c r="EA40" s="139">
        <f t="shared" si="33"/>
        <v>0</v>
      </c>
      <c r="EB40" s="139">
        <f t="shared" si="139"/>
        <v>0</v>
      </c>
      <c r="EG40" s="57">
        <f t="shared" si="140"/>
        <v>0</v>
      </c>
      <c r="EH40" s="57">
        <f t="shared" si="141"/>
        <v>0</v>
      </c>
      <c r="EI40" s="17"/>
      <c r="EJ40" s="17"/>
      <c r="EK40" s="17"/>
      <c r="EL40" s="17"/>
      <c r="EM40" s="17"/>
      <c r="EN40" s="17"/>
      <c r="EO40" s="17"/>
      <c r="EP40" s="17"/>
      <c r="EQ40" s="189"/>
      <c r="ER40" s="189"/>
      <c r="ES40" s="189"/>
      <c r="ET40" s="189"/>
      <c r="EU40" s="189"/>
      <c r="EV40" s="189"/>
      <c r="EW40" s="189"/>
      <c r="EX40" s="189"/>
      <c r="EY40" s="189"/>
      <c r="EZ40" s="189"/>
      <c r="FA40" s="189"/>
      <c r="FB40" s="189"/>
      <c r="FC40" s="189"/>
      <c r="FD40" s="17"/>
      <c r="FE40" s="17"/>
      <c r="FF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X40" s="80">
        <v>1</v>
      </c>
      <c r="FY40" s="17">
        <f t="shared" si="142"/>
        <v>69</v>
      </c>
      <c r="FZ40" s="17">
        <f t="shared" si="35"/>
        <v>69</v>
      </c>
      <c r="GA40" s="17">
        <f t="shared" si="36"/>
        <v>0</v>
      </c>
      <c r="GB40" s="17">
        <f t="shared" si="37"/>
        <v>0</v>
      </c>
      <c r="GC40" s="17">
        <f t="shared" si="38"/>
        <v>0</v>
      </c>
      <c r="GD40" s="17">
        <f t="shared" si="39"/>
        <v>0</v>
      </c>
      <c r="GE40" s="17">
        <f t="shared" si="40"/>
        <v>0</v>
      </c>
      <c r="GF40" s="67"/>
      <c r="GG40" s="17">
        <v>0</v>
      </c>
      <c r="GH40" s="17">
        <v>0</v>
      </c>
      <c r="GI40" s="67"/>
      <c r="GJ40" s="62">
        <f t="shared" si="143"/>
        <v>0</v>
      </c>
      <c r="GK40" s="62">
        <f t="shared" si="144"/>
        <v>0</v>
      </c>
      <c r="GO40" s="17">
        <f t="shared" si="41"/>
        <v>0</v>
      </c>
      <c r="GP40" s="17">
        <f t="shared" si="42"/>
        <v>0</v>
      </c>
      <c r="GQ40" s="17">
        <f t="shared" si="43"/>
        <v>0</v>
      </c>
      <c r="GR40" s="17">
        <f t="shared" si="44"/>
        <v>0</v>
      </c>
      <c r="GS40" s="17">
        <f t="shared" si="45"/>
        <v>0</v>
      </c>
      <c r="GT40" s="17">
        <f t="shared" si="145"/>
        <v>1</v>
      </c>
      <c r="GU40" s="101">
        <f t="shared" si="146"/>
        <v>43243</v>
      </c>
      <c r="GV40" s="17" t="str">
        <f t="shared" si="147"/>
        <v>SELESAI</v>
      </c>
      <c r="GW40" s="17">
        <f t="shared" si="148"/>
        <v>0</v>
      </c>
      <c r="GX40" s="66" t="str">
        <f t="shared" si="149"/>
        <v>SELESAI</v>
      </c>
      <c r="GY40" s="66">
        <f t="shared" si="150"/>
        <v>0</v>
      </c>
      <c r="GZ40" s="102" t="str">
        <f t="shared" si="151"/>
        <v>SELESAI</v>
      </c>
      <c r="HA40" s="83"/>
      <c r="HB40" s="83"/>
      <c r="HC40" s="17">
        <f t="shared" si="46"/>
        <v>0</v>
      </c>
      <c r="HD40" s="17">
        <f t="shared" si="47"/>
        <v>0</v>
      </c>
      <c r="HE40" s="17">
        <f t="shared" si="152"/>
        <v>0</v>
      </c>
      <c r="HF40" s="17">
        <f t="shared" si="153"/>
        <v>0</v>
      </c>
      <c r="HG40" s="17">
        <f t="shared" si="154"/>
        <v>0</v>
      </c>
      <c r="HH40" s="101" t="str">
        <f t="shared" si="48"/>
        <v>TIDAK KONSINYASI</v>
      </c>
      <c r="HI40" s="101" t="str">
        <f t="shared" si="155"/>
        <v>SELESAI</v>
      </c>
      <c r="HJ40" s="27"/>
      <c r="HK40" s="101">
        <f t="shared" si="49"/>
        <v>0</v>
      </c>
      <c r="HL40" s="83"/>
      <c r="HM40" s="83"/>
      <c r="HN40" s="83"/>
      <c r="HO40" s="83"/>
      <c r="HP40" s="102">
        <f t="shared" si="156"/>
        <v>0</v>
      </c>
      <c r="HQ40" s="66">
        <f t="shared" si="157"/>
        <v>0</v>
      </c>
      <c r="HR40" s="66">
        <f t="shared" si="50"/>
        <v>0</v>
      </c>
      <c r="HS40" s="102">
        <f t="shared" si="158"/>
        <v>0</v>
      </c>
      <c r="HT40" s="66">
        <f t="shared" si="159"/>
        <v>0</v>
      </c>
      <c r="HU40" s="66">
        <f t="shared" si="51"/>
        <v>0</v>
      </c>
      <c r="HV40" s="102">
        <f t="shared" si="160"/>
        <v>0</v>
      </c>
      <c r="HW40" s="66">
        <f t="shared" si="52"/>
        <v>0</v>
      </c>
      <c r="HX40" s="66">
        <f t="shared" si="53"/>
        <v>0</v>
      </c>
      <c r="HY40" s="102">
        <f t="shared" si="54"/>
        <v>0</v>
      </c>
      <c r="HZ40" s="66">
        <f t="shared" si="161"/>
        <v>0</v>
      </c>
      <c r="IA40" s="66">
        <f t="shared" si="55"/>
        <v>0</v>
      </c>
      <c r="IB40" s="102">
        <f t="shared" si="162"/>
        <v>0</v>
      </c>
      <c r="IC40" s="66">
        <f t="shared" si="56"/>
        <v>0</v>
      </c>
      <c r="ID40" s="66">
        <f t="shared" si="57"/>
        <v>0</v>
      </c>
      <c r="IE40" s="102">
        <f t="shared" si="58"/>
        <v>0</v>
      </c>
      <c r="IF40" s="66">
        <f t="shared" si="59"/>
        <v>0</v>
      </c>
      <c r="IG40" s="66">
        <f t="shared" si="60"/>
        <v>0</v>
      </c>
      <c r="IH40" s="102">
        <f t="shared" si="163"/>
        <v>0</v>
      </c>
      <c r="II40" s="66">
        <f t="shared" si="164"/>
        <v>0</v>
      </c>
      <c r="IJ40" s="66">
        <f t="shared" si="61"/>
        <v>0</v>
      </c>
      <c r="IK40" s="102">
        <f t="shared" si="62"/>
        <v>0</v>
      </c>
      <c r="IL40" s="66">
        <f t="shared" si="63"/>
        <v>0</v>
      </c>
      <c r="IM40" s="66">
        <f t="shared" si="64"/>
        <v>0</v>
      </c>
      <c r="IN40" s="83"/>
      <c r="IO40" s="102">
        <f t="shared" si="65"/>
        <v>0</v>
      </c>
      <c r="IP40" s="66">
        <f t="shared" si="66"/>
        <v>0</v>
      </c>
      <c r="IQ40" s="66">
        <f t="shared" si="67"/>
        <v>0</v>
      </c>
      <c r="IR40" s="83"/>
      <c r="IS40" s="102"/>
      <c r="IT40" s="66">
        <f t="shared" si="68"/>
        <v>1</v>
      </c>
      <c r="IU40" s="66">
        <f t="shared" si="69"/>
        <v>123</v>
      </c>
      <c r="IV40" s="83"/>
      <c r="IW40" s="102"/>
      <c r="IX40" s="66">
        <f t="shared" si="70"/>
        <v>0</v>
      </c>
      <c r="IY40" s="66">
        <f t="shared" si="71"/>
        <v>0</v>
      </c>
      <c r="IZ40" s="83"/>
      <c r="JA40" s="102"/>
      <c r="JB40" s="66">
        <f t="shared" si="72"/>
        <v>0</v>
      </c>
      <c r="JC40" s="66">
        <f t="shared" si="73"/>
        <v>0</v>
      </c>
      <c r="JD40" s="83"/>
      <c r="JE40" s="102"/>
      <c r="JF40" s="66">
        <f t="shared" si="165"/>
        <v>1</v>
      </c>
      <c r="JG40" s="66">
        <f t="shared" si="74"/>
        <v>123</v>
      </c>
      <c r="JH40" s="83"/>
      <c r="JI40" s="102"/>
      <c r="JJ40" s="66">
        <f t="shared" si="75"/>
        <v>0</v>
      </c>
      <c r="JK40" s="66">
        <f t="shared" si="76"/>
        <v>0</v>
      </c>
      <c r="JM40" s="102">
        <f t="shared" si="166"/>
        <v>0</v>
      </c>
      <c r="JO40" s="29">
        <f t="shared" si="77"/>
        <v>1</v>
      </c>
      <c r="JP40" s="122">
        <f t="shared" si="78"/>
        <v>69</v>
      </c>
      <c r="JQ40" s="122">
        <f t="shared" si="79"/>
        <v>1</v>
      </c>
      <c r="JR40" s="122">
        <f t="shared" si="80"/>
        <v>0</v>
      </c>
      <c r="JS40" s="122">
        <f t="shared" si="81"/>
        <v>0</v>
      </c>
      <c r="JT40" s="122">
        <f t="shared" si="82"/>
        <v>0</v>
      </c>
      <c r="JU40" s="122">
        <f t="shared" si="83"/>
        <v>0</v>
      </c>
      <c r="JV40" s="122">
        <f t="shared" si="84"/>
        <v>0</v>
      </c>
      <c r="JW40" s="122">
        <f t="shared" si="85"/>
        <v>0</v>
      </c>
      <c r="JX40" s="122">
        <f t="shared" si="86"/>
        <v>0</v>
      </c>
      <c r="JY40" s="122">
        <f t="shared" si="87"/>
        <v>0</v>
      </c>
      <c r="JZ40" s="122">
        <f t="shared" si="88"/>
        <v>0</v>
      </c>
      <c r="KA40" s="122">
        <f t="shared" si="89"/>
        <v>0</v>
      </c>
      <c r="KB40" s="122">
        <f t="shared" si="90"/>
        <v>0</v>
      </c>
      <c r="KD40" s="122">
        <f t="shared" si="167"/>
        <v>0</v>
      </c>
      <c r="KE40" s="122">
        <f t="shared" si="92"/>
        <v>0</v>
      </c>
      <c r="KF40" s="122">
        <f t="shared" si="93"/>
        <v>69</v>
      </c>
      <c r="KG40" s="122">
        <f t="shared" si="94"/>
        <v>69</v>
      </c>
      <c r="KH40" s="122">
        <f t="shared" si="95"/>
        <v>0</v>
      </c>
      <c r="KI40" s="122">
        <f t="shared" si="96"/>
        <v>0</v>
      </c>
      <c r="KJ40" s="122">
        <f t="shared" si="97"/>
        <v>0</v>
      </c>
      <c r="KK40" s="122">
        <f t="shared" si="98"/>
        <v>0</v>
      </c>
      <c r="KL40" s="122">
        <f t="shared" si="99"/>
        <v>0</v>
      </c>
      <c r="KM40" s="122">
        <f t="shared" si="100"/>
        <v>0</v>
      </c>
      <c r="KN40" s="123">
        <f t="shared" si="101"/>
        <v>0</v>
      </c>
      <c r="KO40" s="123">
        <f t="shared" si="102"/>
        <v>0</v>
      </c>
      <c r="KP40" s="123">
        <f t="shared" si="103"/>
        <v>0</v>
      </c>
      <c r="KQ40" s="123">
        <f t="shared" si="104"/>
        <v>0</v>
      </c>
      <c r="KR40" s="123">
        <f t="shared" si="105"/>
        <v>0</v>
      </c>
      <c r="KT40">
        <f t="shared" si="106"/>
        <v>0</v>
      </c>
      <c r="KU40" s="123"/>
      <c r="KV40" s="123"/>
      <c r="KW40" s="123"/>
      <c r="KX40" s="123"/>
      <c r="KY40" s="123"/>
      <c r="KZ40" s="123"/>
      <c r="LA40" s="123"/>
      <c r="LB40" s="123"/>
      <c r="LC40" s="123"/>
      <c r="LD40" s="123"/>
      <c r="LE40" s="123"/>
      <c r="LF40" s="123"/>
      <c r="LG40" s="123"/>
      <c r="LH40" s="123"/>
      <c r="LI40" s="123"/>
      <c r="LJ40" s="123"/>
      <c r="LK40" s="123"/>
      <c r="LL40" s="123"/>
      <c r="LM40" s="123"/>
      <c r="LN40" s="123"/>
      <c r="LO40" s="123"/>
      <c r="LP40" s="123"/>
      <c r="LQ40" s="123"/>
      <c r="LR40" s="123"/>
      <c r="LS40" s="123"/>
      <c r="LT40" s="123"/>
      <c r="LU40" s="123"/>
      <c r="LV40" s="123"/>
      <c r="LW40" s="123"/>
      <c r="LX40" s="123"/>
      <c r="LY40" s="123"/>
      <c r="LZ40" s="123"/>
      <c r="MA40" s="123"/>
      <c r="MB40" s="123"/>
      <c r="MC40" s="123"/>
      <c r="MD40" s="123"/>
      <c r="ME40" s="123"/>
      <c r="MF40" s="123"/>
      <c r="MG40" s="123"/>
      <c r="MH40" s="123"/>
      <c r="MI40" s="123"/>
      <c r="MJ40" s="123"/>
      <c r="MK40" s="123"/>
      <c r="ML40" s="123"/>
      <c r="MM40" s="123"/>
      <c r="MN40" s="123"/>
      <c r="MO40" s="123"/>
      <c r="MP40" s="123"/>
      <c r="MQ40" s="123"/>
      <c r="MR40" s="123"/>
      <c r="MS40" s="123"/>
      <c r="MT40" s="123"/>
      <c r="MU40" s="123"/>
      <c r="MV40" s="123"/>
      <c r="MW40" s="123"/>
      <c r="MX40" s="123"/>
      <c r="MY40" s="123"/>
      <c r="MZ40" s="123"/>
      <c r="NA40" s="123"/>
      <c r="NB40" s="123"/>
      <c r="NC40" s="123"/>
      <c r="ND40" s="123"/>
      <c r="NE40" s="123"/>
      <c r="NF40" s="123"/>
      <c r="NG40" s="123"/>
      <c r="NH40" s="123"/>
      <c r="NI40" s="123"/>
      <c r="NJ40" s="123"/>
      <c r="NK40" s="123"/>
      <c r="NM40">
        <f t="shared" si="168"/>
        <v>0</v>
      </c>
      <c r="NN40">
        <f t="shared" si="169"/>
        <v>0</v>
      </c>
      <c r="NO40">
        <f t="shared" si="170"/>
        <v>0</v>
      </c>
      <c r="NP40">
        <f t="shared" si="171"/>
        <v>0</v>
      </c>
      <c r="NQ40">
        <f t="shared" si="172"/>
        <v>0</v>
      </c>
      <c r="NR40">
        <f t="shared" si="173"/>
        <v>0</v>
      </c>
      <c r="NS40">
        <f t="shared" si="174"/>
        <v>0</v>
      </c>
      <c r="NT40">
        <f t="shared" si="175"/>
        <v>0</v>
      </c>
      <c r="NU40" s="29">
        <f t="shared" si="176"/>
        <v>0</v>
      </c>
      <c r="NY40" s="17">
        <f t="shared" si="108"/>
        <v>1</v>
      </c>
      <c r="NZ40" s="152">
        <v>11000000</v>
      </c>
      <c r="OE40" s="155">
        <f t="shared" si="109"/>
        <v>0</v>
      </c>
      <c r="OF40" s="155">
        <f t="shared" si="110"/>
        <v>0</v>
      </c>
      <c r="OG40" s="155">
        <f t="shared" si="111"/>
        <v>0</v>
      </c>
      <c r="OH40" s="155">
        <f t="shared" si="177"/>
        <v>0</v>
      </c>
      <c r="OI40" s="155">
        <f t="shared" si="112"/>
        <v>0</v>
      </c>
      <c r="OJ40" s="67">
        <f t="shared" si="178"/>
        <v>0</v>
      </c>
      <c r="OK40" s="67">
        <f t="shared" si="179"/>
        <v>0</v>
      </c>
      <c r="OL40" s="67">
        <f t="shared" si="180"/>
        <v>0</v>
      </c>
      <c r="OM40" s="67">
        <f t="shared" si="181"/>
        <v>0</v>
      </c>
      <c r="OO40" s="155">
        <f t="shared" si="113"/>
        <v>0</v>
      </c>
      <c r="OP40" s="155">
        <f t="shared" si="114"/>
        <v>0</v>
      </c>
      <c r="OQ40" s="155">
        <f t="shared" si="182"/>
        <v>0</v>
      </c>
      <c r="OR40" s="155">
        <f t="shared" si="183"/>
        <v>0</v>
      </c>
      <c r="OS40" s="155">
        <f t="shared" si="184"/>
        <v>0</v>
      </c>
      <c r="OT40" s="67">
        <f t="shared" si="185"/>
        <v>0</v>
      </c>
      <c r="OU40" s="67">
        <f t="shared" si="186"/>
        <v>0</v>
      </c>
      <c r="OV40" s="67">
        <f t="shared" si="187"/>
        <v>0</v>
      </c>
      <c r="OW40" s="67">
        <f t="shared" si="188"/>
        <v>0</v>
      </c>
      <c r="OZ40" s="163">
        <f t="shared" si="115"/>
        <v>0</v>
      </c>
      <c r="PA40" s="166"/>
      <c r="PB40" s="166"/>
      <c r="PC40" s="166"/>
      <c r="PD40" s="210">
        <f t="shared" si="116"/>
        <v>0</v>
      </c>
      <c r="PE40" s="210"/>
      <c r="PF40" s="210">
        <f t="shared" si="117"/>
        <v>0</v>
      </c>
      <c r="PG40" s="210">
        <f t="shared" si="118"/>
        <v>0</v>
      </c>
      <c r="PH40" s="210">
        <f t="shared" si="118"/>
        <v>0</v>
      </c>
      <c r="PI40" s="210">
        <f t="shared" si="118"/>
        <v>0</v>
      </c>
      <c r="PJ40" s="210">
        <f t="shared" si="118"/>
        <v>0</v>
      </c>
      <c r="PK40" s="210">
        <f t="shared" si="118"/>
        <v>0</v>
      </c>
      <c r="PL40" s="210">
        <f t="shared" si="118"/>
        <v>0</v>
      </c>
      <c r="PM40" s="164"/>
      <c r="PN40" s="164"/>
      <c r="PO40" s="172">
        <f t="shared" si="189"/>
        <v>0</v>
      </c>
      <c r="PP40" s="172">
        <f t="shared" si="190"/>
        <v>0</v>
      </c>
      <c r="PQ40" s="172">
        <f t="shared" si="191"/>
        <v>0</v>
      </c>
      <c r="PR40" s="164"/>
      <c r="PS40" s="164"/>
      <c r="PT40" s="164"/>
      <c r="PU40" s="164"/>
    </row>
    <row r="41" spans="1:437 16383:16383" ht="16" x14ac:dyDescent="0.2">
      <c r="A41" s="19">
        <f t="shared" si="192"/>
        <v>33</v>
      </c>
      <c r="B41" s="138" t="s">
        <v>168</v>
      </c>
      <c r="C41" s="138">
        <v>38</v>
      </c>
      <c r="D41" s="20">
        <v>1</v>
      </c>
      <c r="E41" s="20">
        <v>246</v>
      </c>
      <c r="F41" s="20">
        <v>1</v>
      </c>
      <c r="G41" s="20">
        <f t="shared" si="119"/>
        <v>246</v>
      </c>
      <c r="H41" s="137">
        <f t="shared" si="2"/>
        <v>1</v>
      </c>
      <c r="I41" s="137">
        <f t="shared" si="3"/>
        <v>1</v>
      </c>
      <c r="J41" s="20">
        <v>1</v>
      </c>
      <c r="K41" s="20">
        <f t="shared" si="4"/>
        <v>246</v>
      </c>
      <c r="L41" s="137">
        <f t="shared" si="5"/>
        <v>1</v>
      </c>
      <c r="M41" s="137">
        <f t="shared" si="6"/>
        <v>1</v>
      </c>
      <c r="N41" s="20">
        <v>1</v>
      </c>
      <c r="O41" s="20">
        <f t="shared" si="7"/>
        <v>246</v>
      </c>
      <c r="P41" s="137">
        <f t="shared" si="8"/>
        <v>1</v>
      </c>
      <c r="Q41" s="137">
        <f t="shared" si="9"/>
        <v>1</v>
      </c>
      <c r="R41" s="20">
        <v>0</v>
      </c>
      <c r="S41" s="20">
        <f t="shared" si="10"/>
        <v>0</v>
      </c>
      <c r="T41" s="137">
        <f t="shared" si="11"/>
        <v>0</v>
      </c>
      <c r="U41" s="214">
        <f t="shared" si="12"/>
        <v>0</v>
      </c>
      <c r="V41" s="188">
        <v>0</v>
      </c>
      <c r="W41" s="188">
        <f t="shared" si="13"/>
        <v>0</v>
      </c>
      <c r="X41" s="214">
        <f t="shared" si="14"/>
        <v>0</v>
      </c>
      <c r="Y41" s="214">
        <f t="shared" si="15"/>
        <v>0</v>
      </c>
      <c r="Z41" s="188">
        <v>0</v>
      </c>
      <c r="AA41" s="188">
        <v>1</v>
      </c>
      <c r="AB41" s="189">
        <f t="shared" si="120"/>
        <v>246</v>
      </c>
      <c r="AC41" s="250">
        <f t="shared" si="121"/>
        <v>1</v>
      </c>
      <c r="AD41" s="250">
        <f t="shared" si="122"/>
        <v>1</v>
      </c>
      <c r="AE41" s="224">
        <f>2350341400/1000000000</f>
        <v>2.3503414</v>
      </c>
      <c r="AF41" s="188">
        <f t="shared" si="123"/>
        <v>0</v>
      </c>
      <c r="AG41" s="188"/>
      <c r="AH41" s="20"/>
      <c r="AI41" s="20">
        <v>0</v>
      </c>
      <c r="AJ41" s="20">
        <f t="shared" si="18"/>
        <v>0</v>
      </c>
      <c r="AK41" s="20"/>
      <c r="AL41" s="20">
        <v>0</v>
      </c>
      <c r="AM41" s="20">
        <v>0</v>
      </c>
      <c r="AN41" s="139"/>
      <c r="BB41" s="20">
        <f t="shared" si="124"/>
        <v>0</v>
      </c>
      <c r="BE41" s="20">
        <f t="shared" si="19"/>
        <v>0</v>
      </c>
      <c r="BF41" s="20">
        <f t="shared" si="20"/>
        <v>0</v>
      </c>
      <c r="BG41" s="20">
        <f t="shared" si="21"/>
        <v>0</v>
      </c>
      <c r="BH41" s="20">
        <f t="shared" si="22"/>
        <v>0</v>
      </c>
      <c r="BI41" s="20">
        <f t="shared" si="23"/>
        <v>0</v>
      </c>
      <c r="BJ41" s="20">
        <f t="shared" si="24"/>
        <v>0</v>
      </c>
      <c r="BK41" s="20">
        <f t="shared" si="125"/>
        <v>0</v>
      </c>
      <c r="BN41" s="139"/>
      <c r="BO41" s="126"/>
      <c r="BP41" s="139"/>
      <c r="BQ41" s="139"/>
      <c r="BR41" s="139"/>
      <c r="BS41" s="139"/>
      <c r="BT41" s="139"/>
      <c r="BU41" s="139"/>
      <c r="BV41" s="139"/>
      <c r="BW41" s="139"/>
      <c r="BX41" s="139"/>
      <c r="BY41" s="139"/>
      <c r="BZ41" s="139"/>
      <c r="CB41" s="139">
        <v>1</v>
      </c>
      <c r="CC41" s="109" t="s">
        <v>343</v>
      </c>
      <c r="CD41" s="17">
        <f t="shared" si="126"/>
        <v>0</v>
      </c>
      <c r="CE41" s="17">
        <f t="shared" si="127"/>
        <v>0</v>
      </c>
      <c r="CF41" s="139">
        <f t="shared" si="128"/>
        <v>0</v>
      </c>
      <c r="CG41" s="139">
        <f t="shared" si="129"/>
        <v>0</v>
      </c>
      <c r="CH41" s="139">
        <f t="shared" si="130"/>
        <v>0</v>
      </c>
      <c r="CI41" s="139">
        <f t="shared" si="131"/>
        <v>0</v>
      </c>
      <c r="CJ41" s="139">
        <f t="shared" si="132"/>
        <v>0</v>
      </c>
      <c r="CK41" s="139">
        <f t="shared" si="133"/>
        <v>0</v>
      </c>
      <c r="CL41" s="139">
        <f t="shared" si="134"/>
        <v>0</v>
      </c>
      <c r="CM41" s="139">
        <f t="shared" si="135"/>
        <v>0</v>
      </c>
      <c r="CN41" s="139">
        <f t="shared" si="136"/>
        <v>0</v>
      </c>
      <c r="CO41" s="139">
        <f t="shared" si="137"/>
        <v>0</v>
      </c>
      <c r="CP41" s="139">
        <f t="shared" si="138"/>
        <v>0</v>
      </c>
      <c r="CQ41" s="148">
        <f t="shared" si="27"/>
        <v>0</v>
      </c>
      <c r="DV41" s="139">
        <f t="shared" si="28"/>
        <v>246</v>
      </c>
      <c r="DW41" s="139">
        <f t="shared" si="29"/>
        <v>0</v>
      </c>
      <c r="DX41" s="139">
        <f t="shared" si="30"/>
        <v>0</v>
      </c>
      <c r="DY41" s="139">
        <f t="shared" si="31"/>
        <v>246</v>
      </c>
      <c r="DZ41" s="139">
        <f t="shared" si="32"/>
        <v>0</v>
      </c>
      <c r="EA41" s="139">
        <f t="shared" si="33"/>
        <v>0</v>
      </c>
      <c r="EB41" s="139">
        <f t="shared" si="139"/>
        <v>246</v>
      </c>
      <c r="EG41" s="57">
        <f t="shared" si="140"/>
        <v>0</v>
      </c>
      <c r="EH41" s="57" t="str">
        <f t="shared" si="141"/>
        <v>C</v>
      </c>
      <c r="EI41" s="17">
        <v>1</v>
      </c>
      <c r="EJ41" s="17">
        <v>1</v>
      </c>
      <c r="EK41" s="17"/>
      <c r="EL41" s="17"/>
      <c r="EM41" s="17"/>
      <c r="EN41" s="17"/>
      <c r="EO41" s="17"/>
      <c r="EP41" s="17"/>
      <c r="EQ41" s="189">
        <v>1</v>
      </c>
      <c r="ER41" s="189">
        <v>1</v>
      </c>
      <c r="ES41" s="189">
        <v>1</v>
      </c>
      <c r="ET41" s="189"/>
      <c r="EU41" s="189"/>
      <c r="EV41" s="189">
        <v>1</v>
      </c>
      <c r="EW41" s="189"/>
      <c r="EX41" s="189"/>
      <c r="EY41" s="189"/>
      <c r="EZ41" s="188">
        <v>1</v>
      </c>
      <c r="FA41" s="189">
        <v>1</v>
      </c>
      <c r="FB41" s="189">
        <v>1</v>
      </c>
      <c r="FC41" s="189"/>
      <c r="FD41" s="189"/>
      <c r="FE41" s="168">
        <v>1</v>
      </c>
      <c r="FF41" s="168">
        <v>1</v>
      </c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X41" s="80"/>
      <c r="FY41" s="17">
        <f t="shared" si="142"/>
        <v>0</v>
      </c>
      <c r="FZ41" s="17">
        <f t="shared" si="35"/>
        <v>0</v>
      </c>
      <c r="GA41" s="17">
        <f t="shared" si="36"/>
        <v>0</v>
      </c>
      <c r="GB41" s="17">
        <f t="shared" si="37"/>
        <v>0</v>
      </c>
      <c r="GC41" s="17">
        <f t="shared" si="38"/>
        <v>0</v>
      </c>
      <c r="GD41" s="17">
        <f t="shared" si="39"/>
        <v>0</v>
      </c>
      <c r="GE41" s="17">
        <f t="shared" si="40"/>
        <v>0</v>
      </c>
      <c r="GF41" s="67"/>
      <c r="GG41" s="17">
        <v>0</v>
      </c>
      <c r="GH41" s="17">
        <v>0</v>
      </c>
      <c r="GI41" s="67"/>
      <c r="GJ41" s="62">
        <f t="shared" si="143"/>
        <v>0</v>
      </c>
      <c r="GK41" s="62">
        <f t="shared" si="144"/>
        <v>0</v>
      </c>
      <c r="GO41" s="17">
        <f t="shared" si="41"/>
        <v>0</v>
      </c>
      <c r="GP41" s="17">
        <f t="shared" si="42"/>
        <v>0</v>
      </c>
      <c r="GQ41" s="17">
        <f t="shared" si="43"/>
        <v>0</v>
      </c>
      <c r="GR41" s="17">
        <f t="shared" si="44"/>
        <v>1</v>
      </c>
      <c r="GS41" s="17">
        <f t="shared" si="45"/>
        <v>1</v>
      </c>
      <c r="GT41" s="17">
        <f t="shared" si="145"/>
        <v>0</v>
      </c>
      <c r="GU41" s="101">
        <f t="shared" si="146"/>
        <v>43243</v>
      </c>
      <c r="GV41" s="17" t="str">
        <f t="shared" si="147"/>
        <v>Musyawarah</v>
      </c>
      <c r="GW41" s="17">
        <f t="shared" si="148"/>
        <v>1</v>
      </c>
      <c r="GX41" s="66" t="str">
        <f t="shared" si="149"/>
        <v>Musyawarah</v>
      </c>
      <c r="GY41" s="66">
        <f t="shared" si="150"/>
        <v>24</v>
      </c>
      <c r="GZ41" s="102">
        <f t="shared" si="151"/>
        <v>43267</v>
      </c>
      <c r="HA41" s="83"/>
      <c r="HB41" s="83"/>
      <c r="HC41" s="17">
        <f t="shared" si="46"/>
        <v>0</v>
      </c>
      <c r="HD41" s="17">
        <f t="shared" si="47"/>
        <v>1</v>
      </c>
      <c r="HE41" s="17">
        <f t="shared" si="152"/>
        <v>1</v>
      </c>
      <c r="HF41" s="17">
        <f t="shared" si="153"/>
        <v>0</v>
      </c>
      <c r="HG41" s="17">
        <f t="shared" si="154"/>
        <v>1</v>
      </c>
      <c r="HH41" s="101">
        <f t="shared" si="48"/>
        <v>43288</v>
      </c>
      <c r="HI41" s="101">
        <f t="shared" si="155"/>
        <v>43312</v>
      </c>
      <c r="HJ41" s="27"/>
      <c r="HK41" s="101">
        <f t="shared" si="49"/>
        <v>43312</v>
      </c>
      <c r="HL41" s="83"/>
      <c r="HM41" s="83"/>
      <c r="HN41" s="83"/>
      <c r="HO41" s="83"/>
      <c r="HP41" s="102">
        <f t="shared" si="156"/>
        <v>0</v>
      </c>
      <c r="HQ41" s="66">
        <f t="shared" si="157"/>
        <v>0</v>
      </c>
      <c r="HR41" s="66">
        <f t="shared" si="50"/>
        <v>0</v>
      </c>
      <c r="HS41" s="102">
        <f t="shared" si="158"/>
        <v>43288</v>
      </c>
      <c r="HT41" s="66">
        <f t="shared" si="159"/>
        <v>1</v>
      </c>
      <c r="HU41" s="66">
        <f t="shared" si="51"/>
        <v>246</v>
      </c>
      <c r="HV41" s="102">
        <f t="shared" si="160"/>
        <v>0</v>
      </c>
      <c r="HW41" s="66">
        <f t="shared" si="52"/>
        <v>0</v>
      </c>
      <c r="HX41" s="66">
        <f t="shared" si="53"/>
        <v>0</v>
      </c>
      <c r="HY41" s="102">
        <f t="shared" si="54"/>
        <v>0</v>
      </c>
      <c r="HZ41" s="66">
        <f t="shared" si="161"/>
        <v>0</v>
      </c>
      <c r="IA41" s="66">
        <f t="shared" si="55"/>
        <v>0</v>
      </c>
      <c r="IB41" s="102">
        <f t="shared" si="162"/>
        <v>0</v>
      </c>
      <c r="IC41" s="66">
        <f t="shared" si="56"/>
        <v>0</v>
      </c>
      <c r="ID41" s="66">
        <f t="shared" si="57"/>
        <v>0</v>
      </c>
      <c r="IE41" s="102">
        <f t="shared" si="58"/>
        <v>0</v>
      </c>
      <c r="IF41" s="66">
        <f t="shared" si="59"/>
        <v>0</v>
      </c>
      <c r="IG41" s="66">
        <f t="shared" si="60"/>
        <v>0</v>
      </c>
      <c r="IH41" s="102">
        <f t="shared" si="163"/>
        <v>0</v>
      </c>
      <c r="II41" s="66">
        <f t="shared" si="164"/>
        <v>0</v>
      </c>
      <c r="IJ41" s="66">
        <f t="shared" si="61"/>
        <v>0</v>
      </c>
      <c r="IK41" s="102">
        <f t="shared" si="62"/>
        <v>0</v>
      </c>
      <c r="IL41" s="66">
        <f t="shared" si="63"/>
        <v>0</v>
      </c>
      <c r="IM41" s="66">
        <f t="shared" si="64"/>
        <v>0</v>
      </c>
      <c r="IN41" s="83"/>
      <c r="IO41" s="102">
        <f t="shared" si="65"/>
        <v>0</v>
      </c>
      <c r="IP41" s="66">
        <f t="shared" si="66"/>
        <v>0</v>
      </c>
      <c r="IQ41" s="66">
        <f t="shared" si="67"/>
        <v>0</v>
      </c>
      <c r="IR41" s="83"/>
      <c r="IS41" s="102"/>
      <c r="IT41" s="66">
        <f t="shared" si="68"/>
        <v>0</v>
      </c>
      <c r="IU41" s="66">
        <f t="shared" si="69"/>
        <v>0</v>
      </c>
      <c r="IV41" s="83"/>
      <c r="IW41" s="102"/>
      <c r="IX41" s="66">
        <f t="shared" si="70"/>
        <v>1</v>
      </c>
      <c r="IY41" s="66">
        <f t="shared" si="71"/>
        <v>246</v>
      </c>
      <c r="IZ41" s="83"/>
      <c r="JA41" s="102"/>
      <c r="JB41" s="66">
        <f t="shared" si="72"/>
        <v>0</v>
      </c>
      <c r="JC41" s="66">
        <f t="shared" si="73"/>
        <v>0</v>
      </c>
      <c r="JD41" s="83"/>
      <c r="JE41" s="102"/>
      <c r="JF41" s="66">
        <f t="shared" si="165"/>
        <v>2</v>
      </c>
      <c r="JG41" s="66">
        <f t="shared" si="74"/>
        <v>492</v>
      </c>
      <c r="JH41" s="83"/>
      <c r="JI41" s="102"/>
      <c r="JJ41" s="66">
        <f t="shared" si="75"/>
        <v>1</v>
      </c>
      <c r="JK41" s="66">
        <f t="shared" si="76"/>
        <v>246</v>
      </c>
      <c r="JM41" s="102">
        <f t="shared" si="166"/>
        <v>43288</v>
      </c>
      <c r="JO41" s="29">
        <f t="shared" si="77"/>
        <v>0</v>
      </c>
      <c r="JP41" s="122">
        <f t="shared" si="78"/>
        <v>0</v>
      </c>
      <c r="JQ41" s="122">
        <f t="shared" si="79"/>
        <v>0</v>
      </c>
      <c r="JR41" s="122">
        <f t="shared" si="80"/>
        <v>0</v>
      </c>
      <c r="JS41" s="122">
        <f t="shared" si="81"/>
        <v>0</v>
      </c>
      <c r="JT41" s="122">
        <f t="shared" si="82"/>
        <v>0</v>
      </c>
      <c r="JU41" s="122">
        <f t="shared" si="83"/>
        <v>0</v>
      </c>
      <c r="JV41" s="122">
        <f t="shared" si="84"/>
        <v>0</v>
      </c>
      <c r="JW41" s="122">
        <f t="shared" si="85"/>
        <v>0</v>
      </c>
      <c r="JX41" s="122">
        <f t="shared" si="86"/>
        <v>0</v>
      </c>
      <c r="JY41" s="122">
        <f t="shared" si="87"/>
        <v>0</v>
      </c>
      <c r="JZ41" s="122">
        <f t="shared" si="88"/>
        <v>0</v>
      </c>
      <c r="KA41" s="122">
        <f t="shared" si="89"/>
        <v>0</v>
      </c>
      <c r="KB41" s="122">
        <f t="shared" si="90"/>
        <v>0</v>
      </c>
      <c r="KD41" s="122">
        <f t="shared" si="167"/>
        <v>0</v>
      </c>
      <c r="KE41" s="122">
        <f t="shared" si="92"/>
        <v>0</v>
      </c>
      <c r="KF41" s="122">
        <f t="shared" si="93"/>
        <v>0</v>
      </c>
      <c r="KG41" s="122">
        <f t="shared" si="94"/>
        <v>0</v>
      </c>
      <c r="KH41" s="122">
        <f t="shared" si="95"/>
        <v>0</v>
      </c>
      <c r="KI41" s="122">
        <f t="shared" si="96"/>
        <v>0</v>
      </c>
      <c r="KJ41" s="122">
        <f t="shared" si="97"/>
        <v>0</v>
      </c>
      <c r="KK41" s="122">
        <f t="shared" si="98"/>
        <v>0</v>
      </c>
      <c r="KL41" s="122">
        <f t="shared" si="99"/>
        <v>0</v>
      </c>
      <c r="KM41" s="122">
        <f t="shared" si="100"/>
        <v>0</v>
      </c>
      <c r="KN41" s="123">
        <f t="shared" si="101"/>
        <v>0</v>
      </c>
      <c r="KO41" s="123">
        <f t="shared" si="102"/>
        <v>0</v>
      </c>
      <c r="KP41" s="123">
        <f t="shared" si="103"/>
        <v>0</v>
      </c>
      <c r="KQ41" s="123">
        <f t="shared" si="104"/>
        <v>0</v>
      </c>
      <c r="KR41" s="123">
        <f t="shared" si="105"/>
        <v>0</v>
      </c>
      <c r="KT41">
        <f t="shared" si="106"/>
        <v>0</v>
      </c>
      <c r="KU41" s="123"/>
      <c r="KV41" s="123"/>
      <c r="KW41" s="123"/>
      <c r="KX41" s="123"/>
      <c r="KY41" s="123"/>
      <c r="KZ41" s="123"/>
      <c r="LA41" s="123"/>
      <c r="LB41" s="123"/>
      <c r="LC41" s="123"/>
      <c r="LD41" s="123"/>
      <c r="LE41" s="123"/>
      <c r="LF41" s="123"/>
      <c r="LG41" s="123"/>
      <c r="LH41" s="123"/>
      <c r="LI41" s="123"/>
      <c r="LJ41" s="123"/>
      <c r="LK41" s="123"/>
      <c r="LL41" s="123"/>
      <c r="LM41" s="123"/>
      <c r="LN41" s="123"/>
      <c r="LO41" s="123"/>
      <c r="LP41" s="123"/>
      <c r="LQ41" s="123"/>
      <c r="LR41" s="123"/>
      <c r="LS41" s="123"/>
      <c r="LT41" s="123"/>
      <c r="LU41" s="123"/>
      <c r="LV41" s="123"/>
      <c r="LW41" s="123"/>
      <c r="LX41" s="123"/>
      <c r="LY41" s="123"/>
      <c r="LZ41" s="123"/>
      <c r="MA41" s="123"/>
      <c r="MB41" s="123"/>
      <c r="MC41" s="123"/>
      <c r="MD41" s="123"/>
      <c r="ME41" s="123"/>
      <c r="MF41" s="123"/>
      <c r="MG41" s="123"/>
      <c r="MH41" s="123"/>
      <c r="MI41" s="123"/>
      <c r="MJ41" s="123"/>
      <c r="MK41" s="123"/>
      <c r="ML41" s="123"/>
      <c r="MM41" s="123"/>
      <c r="MN41" s="123"/>
      <c r="MO41" s="123"/>
      <c r="MP41" s="123"/>
      <c r="MQ41" s="123"/>
      <c r="MR41" s="123"/>
      <c r="MS41" s="123"/>
      <c r="MT41" s="123"/>
      <c r="MU41" s="123"/>
      <c r="MV41" s="123"/>
      <c r="MW41" s="123"/>
      <c r="MX41" s="123"/>
      <c r="MY41" s="123"/>
      <c r="MZ41" s="123"/>
      <c r="NA41" s="123"/>
      <c r="NB41" s="123"/>
      <c r="NC41" s="123"/>
      <c r="ND41" s="123"/>
      <c r="NE41" s="123"/>
      <c r="NF41" s="123"/>
      <c r="NG41" s="123"/>
      <c r="NH41" s="123"/>
      <c r="NI41" s="123"/>
      <c r="NJ41" s="123"/>
      <c r="NK41" s="123"/>
      <c r="NM41">
        <f t="shared" si="168"/>
        <v>0</v>
      </c>
      <c r="NN41">
        <f t="shared" si="169"/>
        <v>0</v>
      </c>
      <c r="NO41">
        <f t="shared" si="170"/>
        <v>0</v>
      </c>
      <c r="NP41">
        <f t="shared" si="171"/>
        <v>0</v>
      </c>
      <c r="NQ41">
        <f t="shared" si="172"/>
        <v>0</v>
      </c>
      <c r="NR41">
        <f t="shared" si="173"/>
        <v>0</v>
      </c>
      <c r="NS41">
        <f t="shared" si="174"/>
        <v>0</v>
      </c>
      <c r="NT41">
        <f t="shared" si="175"/>
        <v>0</v>
      </c>
      <c r="NU41" s="29">
        <f t="shared" si="176"/>
        <v>0</v>
      </c>
      <c r="NY41" s="17">
        <f t="shared" si="108"/>
        <v>0</v>
      </c>
      <c r="NZ41" s="152">
        <v>7488000</v>
      </c>
      <c r="OE41" s="155">
        <f t="shared" si="109"/>
        <v>0</v>
      </c>
      <c r="OF41" s="155">
        <f t="shared" si="110"/>
        <v>0</v>
      </c>
      <c r="OG41" s="155">
        <f t="shared" si="111"/>
        <v>0</v>
      </c>
      <c r="OH41" s="155">
        <f t="shared" si="177"/>
        <v>1</v>
      </c>
      <c r="OI41" s="155">
        <f t="shared" si="112"/>
        <v>1</v>
      </c>
      <c r="OJ41" s="67">
        <f t="shared" si="178"/>
        <v>0</v>
      </c>
      <c r="OK41" s="67">
        <f t="shared" si="179"/>
        <v>0</v>
      </c>
      <c r="OL41" s="67">
        <f t="shared" si="180"/>
        <v>0</v>
      </c>
      <c r="OM41" s="67">
        <f t="shared" si="181"/>
        <v>0</v>
      </c>
      <c r="OO41" s="155">
        <f t="shared" si="113"/>
        <v>0</v>
      </c>
      <c r="OP41" s="155">
        <f t="shared" si="114"/>
        <v>0</v>
      </c>
      <c r="OQ41" s="155">
        <f t="shared" si="182"/>
        <v>0</v>
      </c>
      <c r="OR41" s="155">
        <f t="shared" si="183"/>
        <v>1</v>
      </c>
      <c r="OS41" s="155">
        <f t="shared" si="184"/>
        <v>1</v>
      </c>
      <c r="OT41" s="67">
        <f t="shared" si="185"/>
        <v>0</v>
      </c>
      <c r="OU41" s="67">
        <f t="shared" si="186"/>
        <v>0</v>
      </c>
      <c r="OV41" s="67">
        <f t="shared" si="187"/>
        <v>0</v>
      </c>
      <c r="OW41" s="67">
        <f t="shared" si="188"/>
        <v>0</v>
      </c>
      <c r="OZ41" s="163">
        <f t="shared" si="115"/>
        <v>0</v>
      </c>
      <c r="PA41" s="166"/>
      <c r="PB41" s="166"/>
      <c r="PC41" s="166"/>
      <c r="PD41" s="210">
        <f t="shared" si="116"/>
        <v>0</v>
      </c>
      <c r="PE41" s="210"/>
      <c r="PF41" s="210">
        <f t="shared" si="117"/>
        <v>0</v>
      </c>
      <c r="PG41" s="210">
        <f t="shared" si="118"/>
        <v>0</v>
      </c>
      <c r="PH41" s="210">
        <f t="shared" si="118"/>
        <v>0</v>
      </c>
      <c r="PI41" s="210">
        <f t="shared" si="118"/>
        <v>0</v>
      </c>
      <c r="PJ41" s="210">
        <f t="shared" si="118"/>
        <v>0</v>
      </c>
      <c r="PK41" s="210">
        <f t="shared" si="118"/>
        <v>0</v>
      </c>
      <c r="PL41" s="210">
        <f t="shared" si="118"/>
        <v>0</v>
      </c>
      <c r="PM41" s="164"/>
      <c r="PN41" s="164"/>
      <c r="PO41" s="172">
        <f t="shared" si="189"/>
        <v>0</v>
      </c>
      <c r="PP41" s="172">
        <f t="shared" si="190"/>
        <v>246</v>
      </c>
      <c r="PQ41" s="172">
        <f t="shared" si="191"/>
        <v>0</v>
      </c>
      <c r="PR41" s="164"/>
      <c r="PS41" s="164"/>
      <c r="PT41" s="164"/>
      <c r="PU41" s="164"/>
      <c r="XFC41">
        <v>2350341400</v>
      </c>
    </row>
    <row r="42" spans="1:437 16383:16383" ht="16" x14ac:dyDescent="0.2">
      <c r="A42" s="19">
        <f>A41+1</f>
        <v>34</v>
      </c>
      <c r="B42" s="138" t="s">
        <v>168</v>
      </c>
      <c r="C42" s="138">
        <v>39</v>
      </c>
      <c r="D42" s="20">
        <v>1</v>
      </c>
      <c r="E42" s="20">
        <v>507</v>
      </c>
      <c r="F42" s="20">
        <v>1</v>
      </c>
      <c r="G42" s="20">
        <f t="shared" si="119"/>
        <v>507</v>
      </c>
      <c r="H42" s="137">
        <f>F42/$D42</f>
        <v>1</v>
      </c>
      <c r="I42" s="137">
        <f>G42/$E42</f>
        <v>1</v>
      </c>
      <c r="J42" s="20">
        <v>1</v>
      </c>
      <c r="K42" s="20">
        <f>IF(J42=D42,E42,0)</f>
        <v>507</v>
      </c>
      <c r="L42" s="137">
        <f>J42/$D42</f>
        <v>1</v>
      </c>
      <c r="M42" s="137">
        <f>K42/$E42</f>
        <v>1</v>
      </c>
      <c r="N42" s="20">
        <v>1</v>
      </c>
      <c r="O42" s="20">
        <f>IF(N42=D42,E42,0)</f>
        <v>507</v>
      </c>
      <c r="P42" s="137">
        <f>N42/$D42</f>
        <v>1</v>
      </c>
      <c r="Q42" s="137">
        <f>O42/$E42</f>
        <v>1</v>
      </c>
      <c r="R42" s="20">
        <v>0</v>
      </c>
      <c r="S42" s="20">
        <f>IF(R42=D42,E42,0)</f>
        <v>0</v>
      </c>
      <c r="T42" s="137">
        <f>R42/$D42</f>
        <v>0</v>
      </c>
      <c r="U42" s="214">
        <f>S42/$E42</f>
        <v>0</v>
      </c>
      <c r="V42" s="188">
        <v>0</v>
      </c>
      <c r="W42" s="188">
        <f>IF(V42=D42,E42,0)</f>
        <v>0</v>
      </c>
      <c r="X42" s="214">
        <f>V42/$D42</f>
        <v>0</v>
      </c>
      <c r="Y42" s="214">
        <f>W42/$E42</f>
        <v>0</v>
      </c>
      <c r="Z42" s="188">
        <v>0</v>
      </c>
      <c r="AA42" s="188">
        <v>1</v>
      </c>
      <c r="AB42" s="189">
        <f t="shared" ref="AB42:AB49" si="193">IF(AA42=D42,E42,0)</f>
        <v>507</v>
      </c>
      <c r="AC42" s="250">
        <f t="shared" ref="AC42:AC49" si="194">AA42/$D42</f>
        <v>1</v>
      </c>
      <c r="AD42" s="250">
        <f t="shared" ref="AD42:AD49" si="195">AB42/$E42</f>
        <v>1</v>
      </c>
      <c r="AE42" s="224">
        <f>4627797900/1000000000</f>
        <v>4.6277979</v>
      </c>
      <c r="AF42" s="188">
        <f t="shared" ref="AF42:AF49" si="196">R42-V42</f>
        <v>0</v>
      </c>
      <c r="AG42" s="188"/>
      <c r="AH42" s="20"/>
      <c r="AI42" s="20">
        <v>0</v>
      </c>
      <c r="AJ42" s="20">
        <f t="shared" ref="AJ42:AJ49" si="197">IF(AI42=D42,E42,0)</f>
        <v>0</v>
      </c>
      <c r="AK42" s="20"/>
      <c r="AL42" s="20">
        <v>0</v>
      </c>
      <c r="AM42" s="20">
        <v>0</v>
      </c>
      <c r="AN42" s="139"/>
      <c r="BB42" s="20">
        <f>IF(AN42=1,G42,0)</f>
        <v>0</v>
      </c>
      <c r="BE42" s="20">
        <f t="shared" ref="BE42:BE49" si="198">IF(AF42=1,S42,0)</f>
        <v>0</v>
      </c>
      <c r="BF42" s="20">
        <f t="shared" ref="BF42:BF49" si="199">IF(AG42="A",S42,0)</f>
        <v>0</v>
      </c>
      <c r="BG42" s="20">
        <f t="shared" ref="BG42:BG49" si="200">IF(AG42="B",S42,0)</f>
        <v>0</v>
      </c>
      <c r="BH42" s="20">
        <f t="shared" ref="BH42:BH49" si="201">IF(AG42="C",S42,0)</f>
        <v>0</v>
      </c>
      <c r="BI42" s="20">
        <f t="shared" ref="BI42:BI49" si="202">IF(AG42="D",S42,0)</f>
        <v>0</v>
      </c>
      <c r="BJ42" s="20">
        <f t="shared" ref="BJ42:BJ49" si="203">IF(AG42="E",S42,0)</f>
        <v>0</v>
      </c>
      <c r="BK42" s="20">
        <f t="shared" ref="BK42:BK49" si="204">SUM(BF42:BJ42)</f>
        <v>0</v>
      </c>
      <c r="BN42" s="139"/>
      <c r="BO42" s="126"/>
      <c r="BP42" s="139"/>
      <c r="BQ42" s="139"/>
      <c r="BR42" s="139"/>
      <c r="BS42" s="139"/>
      <c r="BT42" s="139"/>
      <c r="BU42" s="139"/>
      <c r="BV42" s="139"/>
      <c r="BW42" s="139"/>
      <c r="BX42" s="139"/>
      <c r="BY42" s="139"/>
      <c r="BZ42" s="139"/>
      <c r="CB42" s="139">
        <v>1</v>
      </c>
      <c r="CC42" s="109" t="s">
        <v>343</v>
      </c>
      <c r="CD42" s="17">
        <f t="shared" ref="CD42:CD49" si="205">BN42</f>
        <v>0</v>
      </c>
      <c r="CE42" s="17">
        <f t="shared" ref="CE42:CP44" si="206">IF(BO42=1,$CD42,0)</f>
        <v>0</v>
      </c>
      <c r="CF42" s="139">
        <f t="shared" si="206"/>
        <v>0</v>
      </c>
      <c r="CG42" s="139">
        <f t="shared" si="206"/>
        <v>0</v>
      </c>
      <c r="CH42" s="139">
        <f t="shared" si="206"/>
        <v>0</v>
      </c>
      <c r="CI42" s="139">
        <f t="shared" si="206"/>
        <v>0</v>
      </c>
      <c r="CJ42" s="139">
        <f t="shared" si="206"/>
        <v>0</v>
      </c>
      <c r="CK42" s="139">
        <f t="shared" si="206"/>
        <v>0</v>
      </c>
      <c r="CL42" s="139">
        <f t="shared" si="206"/>
        <v>0</v>
      </c>
      <c r="CM42" s="139">
        <f t="shared" si="206"/>
        <v>0</v>
      </c>
      <c r="CN42" s="139">
        <f t="shared" si="206"/>
        <v>0</v>
      </c>
      <c r="CO42" s="139">
        <f t="shared" si="206"/>
        <v>0</v>
      </c>
      <c r="CP42" s="139">
        <f t="shared" si="206"/>
        <v>0</v>
      </c>
      <c r="CQ42" s="148">
        <f t="shared" ref="CQ42:CQ49" si="207">SUM(CE42:CP42)-CD42</f>
        <v>0</v>
      </c>
      <c r="DV42" s="139">
        <f t="shared" ref="DV42:DV49" si="208">IF(CB42=1,G42,0)</f>
        <v>507</v>
      </c>
      <c r="DW42" s="139">
        <f t="shared" ref="DW42:DW49" si="209">IF(CC42="A",G42,0)</f>
        <v>0</v>
      </c>
      <c r="DX42" s="139">
        <f t="shared" ref="DX42:DX49" si="210">IF(CC42="B",G42,0)</f>
        <v>0</v>
      </c>
      <c r="DY42" s="139">
        <f t="shared" ref="DY42:DY49" si="211">IF(CC42="C",G42,0)</f>
        <v>507</v>
      </c>
      <c r="DZ42" s="139">
        <f t="shared" ref="DZ42:DZ49" si="212">IF(CC42="D",G42,0)</f>
        <v>0</v>
      </c>
      <c r="EA42" s="139">
        <f t="shared" ref="EA42:EA49" si="213">IF(CC42="E",G42,0)</f>
        <v>0</v>
      </c>
      <c r="EB42" s="139">
        <f t="shared" ref="EB42:EB49" si="214">SUM(DW42:EA42)</f>
        <v>507</v>
      </c>
      <c r="EG42" s="57">
        <f t="shared" ref="EG42:EG49" si="215">IF(AG42="C","C",IF(AG42="D","D",0))</f>
        <v>0</v>
      </c>
      <c r="EH42" s="57" t="str">
        <f t="shared" ref="EH42:EH49" si="216">CC42</f>
        <v>C</v>
      </c>
      <c r="EI42" s="17">
        <v>1</v>
      </c>
      <c r="EJ42" s="17">
        <v>1</v>
      </c>
      <c r="EK42" s="17"/>
      <c r="EL42" s="17"/>
      <c r="EM42" s="17"/>
      <c r="EN42" s="17"/>
      <c r="EO42" s="17"/>
      <c r="EP42" s="17"/>
      <c r="EQ42" s="189">
        <v>1</v>
      </c>
      <c r="ER42" s="189">
        <v>1</v>
      </c>
      <c r="ES42" s="189">
        <v>1</v>
      </c>
      <c r="ET42" s="189"/>
      <c r="EU42" s="189"/>
      <c r="EV42" s="189">
        <v>1</v>
      </c>
      <c r="EW42" s="189"/>
      <c r="EX42" s="189"/>
      <c r="EY42" s="189"/>
      <c r="EZ42" s="188">
        <v>1</v>
      </c>
      <c r="FA42" s="189">
        <v>1</v>
      </c>
      <c r="FB42" s="189">
        <v>1</v>
      </c>
      <c r="FC42" s="189"/>
      <c r="FD42" s="189"/>
      <c r="FE42" s="168">
        <v>1</v>
      </c>
      <c r="FF42" s="168">
        <v>1</v>
      </c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X42" s="80"/>
      <c r="FY42" s="17">
        <f t="shared" ref="FY42:FY49" si="217">SUM(FZ42:GE42)</f>
        <v>0</v>
      </c>
      <c r="FZ42" s="17">
        <f t="shared" si="35"/>
        <v>0</v>
      </c>
      <c r="GA42" s="17">
        <f t="shared" si="36"/>
        <v>0</v>
      </c>
      <c r="GB42" s="17">
        <f t="shared" si="37"/>
        <v>0</v>
      </c>
      <c r="GC42" s="17">
        <f t="shared" si="38"/>
        <v>0</v>
      </c>
      <c r="GD42" s="17">
        <f t="shared" si="39"/>
        <v>0</v>
      </c>
      <c r="GE42" s="17">
        <f t="shared" si="40"/>
        <v>0</v>
      </c>
      <c r="GF42" s="67"/>
      <c r="GG42" s="17">
        <v>0</v>
      </c>
      <c r="GH42" s="17">
        <v>0</v>
      </c>
      <c r="GI42" s="67"/>
      <c r="GJ42" s="62">
        <f t="shared" ref="GJ42:GJ49" si="218">FY42*GG42/1000000000</f>
        <v>0</v>
      </c>
      <c r="GK42" s="62">
        <f t="shared" ref="GK42:GK49" si="219">FY42*GH42/1000000000</f>
        <v>0</v>
      </c>
      <c r="GO42" s="17">
        <f t="shared" si="41"/>
        <v>0</v>
      </c>
      <c r="GP42" s="17">
        <f t="shared" si="42"/>
        <v>0</v>
      </c>
      <c r="GQ42" s="17">
        <f t="shared" si="43"/>
        <v>0</v>
      </c>
      <c r="GR42" s="17">
        <f t="shared" si="44"/>
        <v>1</v>
      </c>
      <c r="GS42" s="17">
        <f t="shared" si="45"/>
        <v>1</v>
      </c>
      <c r="GT42" s="17">
        <f t="shared" ref="GT42:GT49" si="220">IF(SUM(GO42:GS42)=0,1,0)</f>
        <v>0</v>
      </c>
      <c r="GU42" s="101">
        <f t="shared" si="146"/>
        <v>43243</v>
      </c>
      <c r="GV42" s="17" t="str">
        <f t="shared" ref="GV42:GV49" si="221">IF(GO42&gt;0,$GO$6,IF(GP42&gt;0,$GP$6,IF(GQ42&gt;0,$GQ$6,IF(GR42&gt;0,$GR$6,IF(GS42&gt;0,$GS$6,IF(GT42&gt;0,$GT$6,0))))))</f>
        <v>Musyawarah</v>
      </c>
      <c r="GW42" s="17">
        <f t="shared" ref="GW42:GW49" si="222">IF(GV42=$GO$6,GO42,IF(GV42=$GP$6,GP42,IF(GV42=$GQ$6,GQ42,IF(GV42=$GR$6,GR42,IF(GV42=$GS$6,GS42,0)))))</f>
        <v>1</v>
      </c>
      <c r="GX42" s="66" t="str">
        <f t="shared" ref="GX42:GX49" si="223">GV42</f>
        <v>Musyawarah</v>
      </c>
      <c r="GY42" s="66">
        <f t="shared" ref="GY42:GY49" si="224">IF(GX42="DNP",SUM($GY$4:$GY$8),IF(GX42="Survey KJPP",SUM($GY$5:$GY$8),IF(GX42="Hasil Valuasi",SUM($GY$6:$GY$8),IF(GX42="Musyawarah",SUM($GY$7:$GY$8),IF(GX42="UGR",$GY$8,0)))))</f>
        <v>24</v>
      </c>
      <c r="GZ42" s="102">
        <f t="shared" ref="GZ42:GZ49" si="225">IF(GW42=0,"SELESAI",GU42+GY42)</f>
        <v>43267</v>
      </c>
      <c r="HA42" s="83"/>
      <c r="HB42" s="83"/>
      <c r="HC42" s="17">
        <f t="shared" si="46"/>
        <v>0</v>
      </c>
      <c r="HD42" s="17">
        <f t="shared" si="47"/>
        <v>1</v>
      </c>
      <c r="HE42" s="17">
        <f t="shared" ref="HE42:HE49" si="226">HC42+HD42</f>
        <v>1</v>
      </c>
      <c r="HF42" s="17">
        <f t="shared" ref="HF42:HF49" si="227">FQ42</f>
        <v>0</v>
      </c>
      <c r="HG42" s="17">
        <f t="shared" ref="HG42:HG49" si="228">HE42-HF42</f>
        <v>1</v>
      </c>
      <c r="HH42" s="101">
        <f t="shared" ref="HH42:HH49" si="229">IF(HG42=1,GU42+$HH$8,"TIDAK KONSINYASI")</f>
        <v>43288</v>
      </c>
      <c r="HI42" s="101">
        <f t="shared" ref="HI42:HI49" si="230">IF(GW42=0,"SELESAI",GZ42+$HI$8)</f>
        <v>43312</v>
      </c>
      <c r="HJ42" s="27"/>
      <c r="HK42" s="101">
        <f t="shared" ref="HK42:HK49" si="231">MAX(GZ42,HH42,HI42)</f>
        <v>43312</v>
      </c>
      <c r="HL42" s="83"/>
      <c r="HM42" s="83"/>
      <c r="HN42" s="83"/>
      <c r="HO42" s="83"/>
      <c r="HP42" s="102">
        <f t="shared" ref="HP42:HP49" si="232">IF(HQ42=1,GZ42,0)</f>
        <v>0</v>
      </c>
      <c r="HQ42" s="66">
        <f t="shared" ref="HQ42:HQ49" si="233">IF(IX42=0,IF(HT42=0,IF(IP42=0,IF(GV42="UGR",GS42,0),0),0),0)</f>
        <v>0</v>
      </c>
      <c r="HR42" s="66">
        <f t="shared" si="50"/>
        <v>0</v>
      </c>
      <c r="HS42" s="102">
        <f t="shared" ref="HS42:HS49" si="234">IF(HT42=1,HH42,0)</f>
        <v>43288</v>
      </c>
      <c r="HT42" s="66">
        <f t="shared" ref="HT42:HT49" si="235">HG42</f>
        <v>1</v>
      </c>
      <c r="HU42" s="66">
        <f t="shared" si="51"/>
        <v>507</v>
      </c>
      <c r="HV42" s="102">
        <f t="shared" ref="HV42:HV49" si="236">IF(HW42=1,GZ42,0)</f>
        <v>0</v>
      </c>
      <c r="HW42" s="66">
        <f t="shared" ref="HW42:HW49" si="237">IF(JB42=0,IF(IX42=0,IF(HT42=0,IF(GV42="MUSYAWARAH",GR42,0),0),0),0)</f>
        <v>0</v>
      </c>
      <c r="HX42" s="66">
        <f t="shared" si="53"/>
        <v>0</v>
      </c>
      <c r="HY42" s="102">
        <f t="shared" ref="HY42:HY49" si="238">IF(HZ42=1,HV42+$HI$8,0)</f>
        <v>0</v>
      </c>
      <c r="HZ42" s="66">
        <f t="shared" ref="HZ42:HZ49" si="239">HW42</f>
        <v>0</v>
      </c>
      <c r="IA42" s="66">
        <f t="shared" si="55"/>
        <v>0</v>
      </c>
      <c r="IB42" s="102">
        <f t="shared" ref="IB42:IB49" si="240">IF(IC42=1,$GU$3+SUM($GY$6:$GY$8),0)</f>
        <v>0</v>
      </c>
      <c r="IC42" s="66">
        <f t="shared" ref="IC42:IC49" si="241">IF(GV42="Hasil Valuasi",GQ42,0)</f>
        <v>0</v>
      </c>
      <c r="ID42" s="66">
        <f t="shared" si="57"/>
        <v>0</v>
      </c>
      <c r="IE42" s="102">
        <f t="shared" ref="IE42:IE49" si="242">IF(IF42=1,IB42+$HI$8,0)</f>
        <v>0</v>
      </c>
      <c r="IF42" s="66">
        <f t="shared" ref="IF42:IF49" si="243">IC42</f>
        <v>0</v>
      </c>
      <c r="IG42" s="66">
        <f t="shared" si="60"/>
        <v>0</v>
      </c>
      <c r="IH42" s="102">
        <f t="shared" ref="IH42:IH49" si="244">IF(II42=1,$GU$3+SUM($GY$5:$GY$8),0)</f>
        <v>0</v>
      </c>
      <c r="II42" s="66">
        <f t="shared" ref="II42:II49" si="245">IF(GV42="Survey KJPP",GP42,0)</f>
        <v>0</v>
      </c>
      <c r="IJ42" s="66">
        <f t="shared" si="61"/>
        <v>0</v>
      </c>
      <c r="IK42" s="102">
        <f t="shared" ref="IK42:IK49" si="246">IF(IL42=1,IH42+$HI$8,0)</f>
        <v>0</v>
      </c>
      <c r="IL42" s="66">
        <f t="shared" ref="IL42:IL49" si="247">II42</f>
        <v>0</v>
      </c>
      <c r="IM42" s="66">
        <f t="shared" si="64"/>
        <v>0</v>
      </c>
      <c r="IN42" s="83"/>
      <c r="IO42" s="102">
        <f t="shared" ref="IO42:IO49" si="248">IF(IP42=1,+$GU$3+$HH$8,0)</f>
        <v>0</v>
      </c>
      <c r="IP42" s="66">
        <f t="shared" si="66"/>
        <v>0</v>
      </c>
      <c r="IQ42" s="66">
        <f t="shared" si="67"/>
        <v>0</v>
      </c>
      <c r="IR42" s="83"/>
      <c r="IS42" s="102"/>
      <c r="IT42" s="66">
        <f t="shared" si="68"/>
        <v>0</v>
      </c>
      <c r="IU42" s="66">
        <f t="shared" si="69"/>
        <v>0</v>
      </c>
      <c r="IV42" s="83"/>
      <c r="IW42" s="102"/>
      <c r="IX42" s="66">
        <f t="shared" si="70"/>
        <v>1</v>
      </c>
      <c r="IY42" s="66">
        <f t="shared" si="71"/>
        <v>507</v>
      </c>
      <c r="IZ42" s="83"/>
      <c r="JA42" s="102"/>
      <c r="JB42" s="66">
        <f t="shared" si="72"/>
        <v>0</v>
      </c>
      <c r="JC42" s="66">
        <f t="shared" si="73"/>
        <v>0</v>
      </c>
      <c r="JD42" s="83"/>
      <c r="JE42" s="102"/>
      <c r="JF42" s="66">
        <f t="shared" ref="JF42:JG45" si="249">IT42+HQ42+HT42+HZ42+IF42+IL42+IP42+IX42+JB42</f>
        <v>2</v>
      </c>
      <c r="JG42" s="66">
        <f t="shared" si="249"/>
        <v>1014</v>
      </c>
      <c r="JH42" s="83"/>
      <c r="JI42" s="102"/>
      <c r="JJ42" s="66">
        <f t="shared" si="75"/>
        <v>1</v>
      </c>
      <c r="JK42" s="66">
        <f t="shared" si="76"/>
        <v>507</v>
      </c>
      <c r="JM42" s="102">
        <f t="shared" ref="JM42:JM49" si="250">MAX(IW42,IS42,IO42,IK42,IE42,HY42,HS42,HP42)</f>
        <v>43288</v>
      </c>
      <c r="JO42" s="29">
        <f>SUM(JQ42:KB42)</f>
        <v>0</v>
      </c>
      <c r="JP42" s="122">
        <f t="shared" si="78"/>
        <v>0</v>
      </c>
      <c r="JQ42" s="122">
        <f t="shared" si="79"/>
        <v>0</v>
      </c>
      <c r="JR42" s="122">
        <f t="shared" si="80"/>
        <v>0</v>
      </c>
      <c r="JS42" s="122">
        <f t="shared" si="81"/>
        <v>0</v>
      </c>
      <c r="JT42" s="122">
        <f t="shared" si="82"/>
        <v>0</v>
      </c>
      <c r="JU42" s="122">
        <f t="shared" si="83"/>
        <v>0</v>
      </c>
      <c r="JV42" s="122">
        <f t="shared" si="84"/>
        <v>0</v>
      </c>
      <c r="JW42" s="122">
        <f t="shared" si="85"/>
        <v>0</v>
      </c>
      <c r="JX42" s="122">
        <f t="shared" si="86"/>
        <v>0</v>
      </c>
      <c r="JY42" s="122">
        <f t="shared" si="87"/>
        <v>0</v>
      </c>
      <c r="JZ42" s="122">
        <f t="shared" si="88"/>
        <v>0</v>
      </c>
      <c r="KA42" s="122">
        <f t="shared" si="89"/>
        <v>0</v>
      </c>
      <c r="KB42" s="122">
        <f t="shared" si="90"/>
        <v>0</v>
      </c>
      <c r="KD42" s="122">
        <f t="shared" si="167"/>
        <v>0</v>
      </c>
      <c r="KE42" s="122">
        <f t="shared" si="92"/>
        <v>0</v>
      </c>
      <c r="KF42" s="122">
        <f t="shared" si="93"/>
        <v>0</v>
      </c>
      <c r="KG42" s="122">
        <f t="shared" si="94"/>
        <v>0</v>
      </c>
      <c r="KH42" s="122">
        <f t="shared" si="95"/>
        <v>0</v>
      </c>
      <c r="KI42" s="122">
        <f t="shared" si="96"/>
        <v>0</v>
      </c>
      <c r="KJ42" s="122">
        <f t="shared" si="97"/>
        <v>0</v>
      </c>
      <c r="KK42" s="122">
        <f t="shared" si="98"/>
        <v>0</v>
      </c>
      <c r="KL42" s="122">
        <f t="shared" si="99"/>
        <v>0</v>
      </c>
      <c r="KM42" s="122">
        <f t="shared" si="100"/>
        <v>0</v>
      </c>
      <c r="KN42" s="123">
        <f t="shared" si="101"/>
        <v>0</v>
      </c>
      <c r="KO42" s="123">
        <f t="shared" si="102"/>
        <v>0</v>
      </c>
      <c r="KP42" s="123">
        <f t="shared" si="103"/>
        <v>0</v>
      </c>
      <c r="KQ42" s="123">
        <f t="shared" si="104"/>
        <v>0</v>
      </c>
      <c r="KR42" s="123">
        <f t="shared" si="105"/>
        <v>0</v>
      </c>
      <c r="KT42">
        <f t="shared" si="106"/>
        <v>0</v>
      </c>
      <c r="KU42" s="123"/>
      <c r="KV42" s="123"/>
      <c r="KW42" s="123"/>
      <c r="KX42" s="123"/>
      <c r="KY42" s="123"/>
      <c r="KZ42" s="123"/>
      <c r="LA42" s="123"/>
      <c r="LB42" s="123"/>
      <c r="LC42" s="123"/>
      <c r="LD42" s="123"/>
      <c r="LE42" s="123"/>
      <c r="LF42" s="123"/>
      <c r="LG42" s="123"/>
      <c r="LH42" s="123"/>
      <c r="LI42" s="123"/>
      <c r="LJ42" s="123"/>
      <c r="LK42" s="123"/>
      <c r="LL42" s="123"/>
      <c r="LM42" s="123"/>
      <c r="LN42" s="123"/>
      <c r="LO42" s="123"/>
      <c r="LP42" s="123"/>
      <c r="LQ42" s="123"/>
      <c r="LR42" s="123"/>
      <c r="LS42" s="123"/>
      <c r="LT42" s="123"/>
      <c r="LU42" s="123"/>
      <c r="LV42" s="123"/>
      <c r="LW42" s="123"/>
      <c r="LX42" s="123"/>
      <c r="LY42" s="123"/>
      <c r="LZ42" s="123"/>
      <c r="MA42" s="123"/>
      <c r="MB42" s="123"/>
      <c r="MC42" s="123"/>
      <c r="MD42" s="123"/>
      <c r="ME42" s="123"/>
      <c r="MF42" s="123"/>
      <c r="MG42" s="123"/>
      <c r="MH42" s="123"/>
      <c r="MI42" s="123"/>
      <c r="MJ42" s="123"/>
      <c r="MK42" s="123"/>
      <c r="ML42" s="123"/>
      <c r="MM42" s="123"/>
      <c r="MN42" s="123"/>
      <c r="MO42" s="123"/>
      <c r="MP42" s="123"/>
      <c r="MQ42" s="123"/>
      <c r="MR42" s="123"/>
      <c r="MS42" s="123"/>
      <c r="MT42" s="123"/>
      <c r="MU42" s="123"/>
      <c r="MV42" s="123"/>
      <c r="MW42" s="123"/>
      <c r="MX42" s="123"/>
      <c r="MY42" s="123"/>
      <c r="MZ42" s="123"/>
      <c r="NA42" s="123"/>
      <c r="NB42" s="123"/>
      <c r="NC42" s="123"/>
      <c r="ND42" s="123"/>
      <c r="NE42" s="123"/>
      <c r="NF42" s="123"/>
      <c r="NG42" s="123"/>
      <c r="NH42" s="123"/>
      <c r="NI42" s="123"/>
      <c r="NJ42" s="123"/>
      <c r="NK42" s="123"/>
      <c r="NM42">
        <f t="shared" ref="NM42:NM49" si="251">IF(KS42=1,1,0)</f>
        <v>0</v>
      </c>
      <c r="NN42">
        <f t="shared" ref="NN42:NN49" si="252">IF(KS42=2,1,0)</f>
        <v>0</v>
      </c>
      <c r="NO42">
        <f t="shared" ref="NO42:NO49" si="253">IF(KS42=3,1,0)</f>
        <v>0</v>
      </c>
      <c r="NP42">
        <f t="shared" ref="NP42:NP49" si="254">IF(KS42=4,1,0)</f>
        <v>0</v>
      </c>
      <c r="NQ42">
        <f t="shared" ref="NQ42:NQ49" si="255">IF(KS42=5,1,0)</f>
        <v>0</v>
      </c>
      <c r="NR42">
        <f t="shared" ref="NR42:NR49" si="256">IF(KS42=6,1,0)</f>
        <v>0</v>
      </c>
      <c r="NS42">
        <f t="shared" ref="NS42:NS49" si="257">IF(KS42=7,1,0)</f>
        <v>0</v>
      </c>
      <c r="NT42">
        <f t="shared" ref="NT42:NT49" si="258">SUM(NM42:NS42)</f>
        <v>0</v>
      </c>
      <c r="NU42" s="29">
        <f t="shared" ref="NU42:NU49" si="259">NT42-KT42</f>
        <v>0</v>
      </c>
      <c r="NY42" s="17">
        <f t="shared" si="108"/>
        <v>0</v>
      </c>
      <c r="NZ42" s="152">
        <v>7488000</v>
      </c>
      <c r="OE42" s="155">
        <f t="shared" si="109"/>
        <v>0</v>
      </c>
      <c r="OF42" s="155">
        <f t="shared" si="110"/>
        <v>0</v>
      </c>
      <c r="OG42" s="155">
        <f t="shared" si="111"/>
        <v>0</v>
      </c>
      <c r="OH42" s="155">
        <f>HE42</f>
        <v>1</v>
      </c>
      <c r="OI42" s="155">
        <f t="shared" si="112"/>
        <v>1</v>
      </c>
      <c r="OJ42" s="67">
        <f>IF(OG42=1,OF42,0)</f>
        <v>0</v>
      </c>
      <c r="OK42" s="67">
        <f>IF(OH42=1,OF42,0)</f>
        <v>0</v>
      </c>
      <c r="OL42" s="67">
        <f>IF((OG42+OH42)=0,OF42,0)</f>
        <v>0</v>
      </c>
      <c r="OM42" s="67">
        <f>SUM(OJ42:OL42)</f>
        <v>0</v>
      </c>
      <c r="OO42" s="155">
        <f t="shared" si="113"/>
        <v>0</v>
      </c>
      <c r="OP42" s="155">
        <f t="shared" si="114"/>
        <v>0</v>
      </c>
      <c r="OQ42" s="155">
        <f>OG42</f>
        <v>0</v>
      </c>
      <c r="OR42" s="155">
        <f>OH42</f>
        <v>1</v>
      </c>
      <c r="OS42" s="155">
        <f>OI42</f>
        <v>1</v>
      </c>
      <c r="OT42" s="67">
        <f>IF(OQ42=1,OP42,0)</f>
        <v>0</v>
      </c>
      <c r="OU42" s="67">
        <f>IF(OR42=1,OP42,0)</f>
        <v>0</v>
      </c>
      <c r="OV42" s="67">
        <f>IF((OQ42+OR42)=0,OP42,0)</f>
        <v>0</v>
      </c>
      <c r="OW42" s="67">
        <f>SUM(OT42:OV42)</f>
        <v>0</v>
      </c>
      <c r="OZ42" s="163">
        <f t="shared" si="115"/>
        <v>0</v>
      </c>
      <c r="PA42" s="166"/>
      <c r="PB42" s="166"/>
      <c r="PC42" s="166"/>
      <c r="PD42" s="210">
        <f t="shared" si="116"/>
        <v>0</v>
      </c>
      <c r="PE42" s="210"/>
      <c r="PF42" s="210">
        <f t="shared" si="117"/>
        <v>0</v>
      </c>
      <c r="PG42" s="210">
        <f t="shared" si="118"/>
        <v>0</v>
      </c>
      <c r="PH42" s="210">
        <f t="shared" si="118"/>
        <v>0</v>
      </c>
      <c r="PI42" s="210">
        <f t="shared" si="118"/>
        <v>0</v>
      </c>
      <c r="PJ42" s="210">
        <f t="shared" si="118"/>
        <v>0</v>
      </c>
      <c r="PK42" s="210">
        <f t="shared" si="118"/>
        <v>0</v>
      </c>
      <c r="PL42" s="210">
        <f t="shared" si="118"/>
        <v>0</v>
      </c>
      <c r="PM42" s="164"/>
      <c r="PN42" s="164"/>
      <c r="PO42" s="172">
        <f t="shared" si="189"/>
        <v>0</v>
      </c>
      <c r="PP42" s="172">
        <f t="shared" si="190"/>
        <v>507</v>
      </c>
      <c r="PQ42" s="172">
        <f t="shared" si="191"/>
        <v>0</v>
      </c>
      <c r="PR42" s="164"/>
      <c r="PS42" s="164"/>
      <c r="PT42" s="164"/>
      <c r="PU42" s="164"/>
      <c r="XFC42">
        <v>4627797900</v>
      </c>
    </row>
    <row r="43" spans="1:437 16383:16383" ht="16" x14ac:dyDescent="0.2">
      <c r="A43" s="19">
        <f t="shared" si="192"/>
        <v>35</v>
      </c>
      <c r="B43" s="186" t="s">
        <v>637</v>
      </c>
      <c r="C43" s="138">
        <v>42</v>
      </c>
      <c r="D43" s="20">
        <v>1</v>
      </c>
      <c r="E43" s="20">
        <v>50</v>
      </c>
      <c r="F43" s="20">
        <v>1</v>
      </c>
      <c r="G43" s="20">
        <f t="shared" ref="G43:G47" si="260">E43</f>
        <v>50</v>
      </c>
      <c r="H43" s="137">
        <f t="shared" ref="H43:H45" si="261">F43/$D43</f>
        <v>1</v>
      </c>
      <c r="I43" s="137">
        <f t="shared" ref="I43:I45" si="262">G43/$E43</f>
        <v>1</v>
      </c>
      <c r="J43" s="20">
        <v>1</v>
      </c>
      <c r="K43" s="20">
        <f t="shared" ref="K43:K45" si="263">IF(J43=D43,E43,0)</f>
        <v>50</v>
      </c>
      <c r="L43" s="137">
        <f t="shared" ref="L43:L45" si="264">J43/$D43</f>
        <v>1</v>
      </c>
      <c r="M43" s="137">
        <f t="shared" ref="M43:M45" si="265">K43/$E43</f>
        <v>1</v>
      </c>
      <c r="N43" s="20">
        <v>1</v>
      </c>
      <c r="O43" s="20">
        <f t="shared" ref="O43:O45" si="266">IF(N43=D43,E43,0)</f>
        <v>50</v>
      </c>
      <c r="P43" s="137">
        <f t="shared" ref="P43:P45" si="267">N43/$D43</f>
        <v>1</v>
      </c>
      <c r="Q43" s="137">
        <f t="shared" ref="Q43:Q45" si="268">O43/$E43</f>
        <v>1</v>
      </c>
      <c r="R43" s="20">
        <v>1</v>
      </c>
      <c r="S43" s="20">
        <f t="shared" ref="S43:S45" si="269">IF(R43=D43,E43,0)</f>
        <v>50</v>
      </c>
      <c r="T43" s="137">
        <f t="shared" ref="T43:T45" si="270">R43/$D43</f>
        <v>1</v>
      </c>
      <c r="U43" s="214">
        <f t="shared" ref="U43:U45" si="271">S43/$E43</f>
        <v>1</v>
      </c>
      <c r="V43" s="188">
        <v>1</v>
      </c>
      <c r="W43" s="188">
        <f t="shared" ref="W43:W45" si="272">IF(V43=D43,E43,0)</f>
        <v>50</v>
      </c>
      <c r="X43" s="214">
        <f t="shared" ref="X43:X45" si="273">V43/$D43</f>
        <v>1</v>
      </c>
      <c r="Y43" s="214">
        <f t="shared" ref="Y43:Y45" si="274">W43/$E43</f>
        <v>1</v>
      </c>
      <c r="Z43" s="224">
        <f>418865000/1000000000</f>
        <v>0.41886499999999999</v>
      </c>
      <c r="AA43" s="224"/>
      <c r="AB43" s="189">
        <f t="shared" si="193"/>
        <v>0</v>
      </c>
      <c r="AC43" s="250">
        <f t="shared" si="194"/>
        <v>0</v>
      </c>
      <c r="AD43" s="250">
        <f t="shared" si="195"/>
        <v>0</v>
      </c>
      <c r="AE43" s="224"/>
      <c r="AF43" s="188">
        <f t="shared" si="196"/>
        <v>0</v>
      </c>
      <c r="AG43" s="187"/>
      <c r="AH43" s="31"/>
      <c r="AI43" s="20">
        <v>0</v>
      </c>
      <c r="AJ43" s="20">
        <f t="shared" si="197"/>
        <v>0</v>
      </c>
      <c r="AK43" s="20"/>
      <c r="AL43" s="20">
        <v>0</v>
      </c>
      <c r="AM43" s="20">
        <v>0</v>
      </c>
      <c r="AN43" s="139"/>
      <c r="BB43" s="20">
        <f t="shared" ref="BB43" si="275">IF(AN43=1,G43,0)</f>
        <v>0</v>
      </c>
      <c r="BE43" s="20">
        <f t="shared" si="198"/>
        <v>0</v>
      </c>
      <c r="BF43" s="20">
        <f t="shared" si="199"/>
        <v>0</v>
      </c>
      <c r="BG43" s="20">
        <f t="shared" si="200"/>
        <v>0</v>
      </c>
      <c r="BH43" s="20">
        <f t="shared" si="201"/>
        <v>0</v>
      </c>
      <c r="BI43" s="20">
        <f t="shared" si="202"/>
        <v>0</v>
      </c>
      <c r="BJ43" s="20">
        <f t="shared" si="203"/>
        <v>0</v>
      </c>
      <c r="BK43" s="20">
        <f t="shared" ref="BK43" si="276">SUM(BF43:BJ43)</f>
        <v>0</v>
      </c>
      <c r="BN43" s="139"/>
      <c r="BO43" s="126"/>
      <c r="BP43" s="139"/>
      <c r="BQ43" s="139"/>
      <c r="BR43" s="139"/>
      <c r="BS43" s="139"/>
      <c r="BT43" s="139"/>
      <c r="BU43" s="139"/>
      <c r="BV43" s="139"/>
      <c r="BW43" s="139"/>
      <c r="BX43" s="139"/>
      <c r="BY43" s="139"/>
      <c r="BZ43" s="139"/>
      <c r="CB43" s="139"/>
      <c r="CD43" s="17">
        <f t="shared" si="205"/>
        <v>0</v>
      </c>
      <c r="CE43" s="17">
        <f t="shared" si="206"/>
        <v>0</v>
      </c>
      <c r="CF43" s="139">
        <f t="shared" si="206"/>
        <v>0</v>
      </c>
      <c r="CG43" s="139">
        <f t="shared" si="206"/>
        <v>0</v>
      </c>
      <c r="CH43" s="139">
        <f t="shared" si="206"/>
        <v>0</v>
      </c>
      <c r="CI43" s="139">
        <f t="shared" si="206"/>
        <v>0</v>
      </c>
      <c r="CJ43" s="139">
        <f t="shared" si="206"/>
        <v>0</v>
      </c>
      <c r="CK43" s="139">
        <f t="shared" si="206"/>
        <v>0</v>
      </c>
      <c r="CL43" s="139">
        <f t="shared" si="206"/>
        <v>0</v>
      </c>
      <c r="CM43" s="139">
        <f t="shared" si="206"/>
        <v>0</v>
      </c>
      <c r="CN43" s="139">
        <f t="shared" si="206"/>
        <v>0</v>
      </c>
      <c r="CO43" s="139">
        <f t="shared" si="206"/>
        <v>0</v>
      </c>
      <c r="CP43" s="139">
        <f t="shared" si="206"/>
        <v>0</v>
      </c>
      <c r="CQ43" s="148">
        <f t="shared" si="207"/>
        <v>0</v>
      </c>
      <c r="DV43" s="139">
        <f t="shared" si="208"/>
        <v>0</v>
      </c>
      <c r="DW43" s="139">
        <f t="shared" si="209"/>
        <v>0</v>
      </c>
      <c r="DX43" s="139">
        <f t="shared" si="210"/>
        <v>0</v>
      </c>
      <c r="DY43" s="139">
        <f t="shared" si="211"/>
        <v>0</v>
      </c>
      <c r="DZ43" s="139">
        <f t="shared" si="212"/>
        <v>0</v>
      </c>
      <c r="EA43" s="139">
        <f t="shared" si="213"/>
        <v>0</v>
      </c>
      <c r="EB43" s="139">
        <f t="shared" ref="EB43" si="277">SUM(DW43:EA43)</f>
        <v>0</v>
      </c>
      <c r="EG43" s="57">
        <f t="shared" si="215"/>
        <v>0</v>
      </c>
      <c r="EH43" s="57">
        <f t="shared" si="216"/>
        <v>0</v>
      </c>
      <c r="EI43" s="17"/>
      <c r="EJ43" s="17"/>
      <c r="EK43" s="17"/>
      <c r="EL43" s="17"/>
      <c r="EM43" s="17"/>
      <c r="EN43" s="17"/>
      <c r="EO43" s="17"/>
      <c r="EP43" s="17"/>
      <c r="EQ43" s="189"/>
      <c r="ER43" s="189"/>
      <c r="ES43" s="189"/>
      <c r="ET43" s="189"/>
      <c r="EU43" s="189"/>
      <c r="EV43" s="189"/>
      <c r="EW43" s="189"/>
      <c r="EX43" s="189"/>
      <c r="EY43" s="189"/>
      <c r="EZ43" s="189"/>
      <c r="FA43" s="189"/>
      <c r="FB43" s="189"/>
      <c r="FC43" s="189"/>
      <c r="FD43" s="17"/>
      <c r="FE43" s="17"/>
      <c r="FF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X43" s="80"/>
      <c r="FY43" s="17">
        <f t="shared" si="217"/>
        <v>0</v>
      </c>
      <c r="FZ43" s="17">
        <f t="shared" ref="FZ43:FZ45" si="278">DI43+CE43</f>
        <v>0</v>
      </c>
      <c r="GA43" s="17">
        <f t="shared" ref="GA43:GA45" si="279">DJ43+CF43</f>
        <v>0</v>
      </c>
      <c r="GB43" s="17">
        <f t="shared" ref="GB43:GB45" si="280">DK43+CG43</f>
        <v>0</v>
      </c>
      <c r="GC43" s="17">
        <f t="shared" ref="GC43:GC45" si="281">DM43+CI43</f>
        <v>0</v>
      </c>
      <c r="GD43" s="17">
        <f t="shared" ref="GD43:GD45" si="282">DO43+CK43</f>
        <v>0</v>
      </c>
      <c r="GE43" s="17">
        <f t="shared" ref="GE43:GE45" si="283">DT43+CP43</f>
        <v>0</v>
      </c>
      <c r="GF43" s="67"/>
      <c r="GG43" s="17">
        <v>0</v>
      </c>
      <c r="GH43" s="17">
        <v>0</v>
      </c>
      <c r="GI43" s="67"/>
      <c r="GJ43" s="62">
        <f t="shared" si="218"/>
        <v>0</v>
      </c>
      <c r="GK43" s="62">
        <f t="shared" si="219"/>
        <v>0</v>
      </c>
      <c r="GO43" s="17">
        <f t="shared" ref="GO43:GO45" si="284">D43-F43</f>
        <v>0</v>
      </c>
      <c r="GP43" s="17">
        <f t="shared" ref="GP43:GP45" si="285">D43-J43</f>
        <v>0</v>
      </c>
      <c r="GQ43" s="17">
        <f t="shared" ref="GQ43:GQ45" si="286">D43-N43</f>
        <v>0</v>
      </c>
      <c r="GR43" s="17">
        <f t="shared" ref="GR43:GR45" si="287">D43-R43</f>
        <v>0</v>
      </c>
      <c r="GS43" s="17">
        <f t="shared" ref="GS43:GS45" si="288">D43-V43</f>
        <v>0</v>
      </c>
      <c r="GT43" s="17">
        <f t="shared" si="220"/>
        <v>1</v>
      </c>
      <c r="GU43" s="101">
        <f t="shared" si="146"/>
        <v>43243</v>
      </c>
      <c r="GV43" s="17" t="str">
        <f t="shared" si="221"/>
        <v>SELESAI</v>
      </c>
      <c r="GW43" s="17">
        <f t="shared" si="222"/>
        <v>0</v>
      </c>
      <c r="GX43" s="66" t="str">
        <f t="shared" si="223"/>
        <v>SELESAI</v>
      </c>
      <c r="GY43" s="66">
        <f t="shared" si="224"/>
        <v>0</v>
      </c>
      <c r="GZ43" s="102" t="str">
        <f t="shared" si="225"/>
        <v>SELESAI</v>
      </c>
      <c r="HA43" s="83"/>
      <c r="HB43" s="83"/>
      <c r="HC43" s="17">
        <f t="shared" ref="HC43:HC45" si="289">IF(BH43&gt;0,1,IF(BI43&gt;0,1,0))</f>
        <v>0</v>
      </c>
      <c r="HD43" s="17">
        <f t="shared" ref="HD43:HD45" si="290">IF(CB43&gt;0,1,0)</f>
        <v>0</v>
      </c>
      <c r="HE43" s="17">
        <f t="shared" si="226"/>
        <v>0</v>
      </c>
      <c r="HF43" s="17">
        <f t="shared" si="227"/>
        <v>0</v>
      </c>
      <c r="HG43" s="17">
        <f t="shared" si="228"/>
        <v>0</v>
      </c>
      <c r="HH43" s="101" t="str">
        <f t="shared" si="229"/>
        <v>TIDAK KONSINYASI</v>
      </c>
      <c r="HI43" s="101" t="str">
        <f t="shared" si="230"/>
        <v>SELESAI</v>
      </c>
      <c r="HJ43" s="27"/>
      <c r="HK43" s="101">
        <f t="shared" si="231"/>
        <v>0</v>
      </c>
      <c r="HL43" s="83"/>
      <c r="HM43" s="83"/>
      <c r="HN43" s="83"/>
      <c r="HO43" s="83"/>
      <c r="HP43" s="102">
        <f t="shared" si="232"/>
        <v>0</v>
      </c>
      <c r="HQ43" s="66">
        <f t="shared" si="233"/>
        <v>0</v>
      </c>
      <c r="HR43" s="66">
        <f t="shared" ref="HR43:HR45" si="291">IF(HQ43=1,E43,0)</f>
        <v>0</v>
      </c>
      <c r="HS43" s="102">
        <f t="shared" si="234"/>
        <v>0</v>
      </c>
      <c r="HT43" s="66">
        <f t="shared" si="235"/>
        <v>0</v>
      </c>
      <c r="HU43" s="66">
        <f t="shared" ref="HU43:HU45" si="292">IF(HT43=1,E43,0)</f>
        <v>0</v>
      </c>
      <c r="HV43" s="102">
        <f t="shared" si="236"/>
        <v>0</v>
      </c>
      <c r="HW43" s="66">
        <f t="shared" si="237"/>
        <v>0</v>
      </c>
      <c r="HX43" s="66">
        <f t="shared" ref="HX43:HX45" si="293">IF(HW43=1,E43,0)</f>
        <v>0</v>
      </c>
      <c r="HY43" s="102">
        <f t="shared" si="238"/>
        <v>0</v>
      </c>
      <c r="HZ43" s="66">
        <f t="shared" si="239"/>
        <v>0</v>
      </c>
      <c r="IA43" s="66">
        <f t="shared" ref="IA43:IA45" si="294">IF(HZ43=1,E43,0)</f>
        <v>0</v>
      </c>
      <c r="IB43" s="102">
        <f t="shared" ref="IB43" si="295">IF(IC43=1,$GU$3+SUM($GY$6:$GY$8),0)</f>
        <v>0</v>
      </c>
      <c r="IC43" s="66">
        <f t="shared" si="241"/>
        <v>0</v>
      </c>
      <c r="ID43" s="66">
        <f t="shared" ref="ID43:ID45" si="296">IF(IC43=1,E43,0)</f>
        <v>0</v>
      </c>
      <c r="IE43" s="102">
        <f t="shared" si="242"/>
        <v>0</v>
      </c>
      <c r="IF43" s="66">
        <f t="shared" si="243"/>
        <v>0</v>
      </c>
      <c r="IG43" s="66">
        <f t="shared" ref="IG43:IG45" si="297">IF(IF43=1,E43,0)</f>
        <v>0</v>
      </c>
      <c r="IH43" s="102">
        <f t="shared" ref="IH43" si="298">IF(II43=1,$GU$3+SUM($GY$5:$GY$8),0)</f>
        <v>0</v>
      </c>
      <c r="II43" s="66">
        <f t="shared" si="245"/>
        <v>0</v>
      </c>
      <c r="IJ43" s="66">
        <f t="shared" ref="IJ43:IJ45" si="299">IF(II43=1,E43,0)</f>
        <v>0</v>
      </c>
      <c r="IK43" s="102">
        <f t="shared" si="246"/>
        <v>0</v>
      </c>
      <c r="IL43" s="66">
        <f t="shared" si="247"/>
        <v>0</v>
      </c>
      <c r="IM43" s="66">
        <f t="shared" ref="IM43:IM45" si="300">IF(IL43=1,E43,0)</f>
        <v>0</v>
      </c>
      <c r="IN43" s="83"/>
      <c r="IO43" s="102">
        <f t="shared" si="248"/>
        <v>0</v>
      </c>
      <c r="IP43" s="66">
        <f t="shared" ref="IP43:IP45" si="301">IF(BG43&gt;0,1,0)</f>
        <v>0</v>
      </c>
      <c r="IQ43" s="66">
        <f t="shared" ref="IQ43:IQ45" si="302">IF(IP43=1,E43,0)</f>
        <v>0</v>
      </c>
      <c r="IR43" s="83"/>
      <c r="IS43" s="102"/>
      <c r="IT43" s="66">
        <f t="shared" ref="IT43:IT45" si="303">V43</f>
        <v>1</v>
      </c>
      <c r="IU43" s="66">
        <f t="shared" ref="IU43:IU45" si="304">W43</f>
        <v>50</v>
      </c>
      <c r="IV43" s="83"/>
      <c r="IW43" s="102"/>
      <c r="IX43" s="66">
        <f t="shared" ref="IX43:IX45" si="305">AA43</f>
        <v>0</v>
      </c>
      <c r="IY43" s="66">
        <f t="shared" ref="IY43:IY45" si="306">AB43</f>
        <v>0</v>
      </c>
      <c r="IZ43" s="83"/>
      <c r="JA43" s="102"/>
      <c r="JB43" s="66">
        <f t="shared" ref="JB43:JB45" si="307">AN43</f>
        <v>0</v>
      </c>
      <c r="JC43" s="66">
        <f t="shared" ref="JC43:JC45" si="308">BB43</f>
        <v>0</v>
      </c>
      <c r="JD43" s="83"/>
      <c r="JE43" s="102"/>
      <c r="JF43" s="66">
        <f t="shared" si="249"/>
        <v>1</v>
      </c>
      <c r="JG43" s="66">
        <f t="shared" si="249"/>
        <v>50</v>
      </c>
      <c r="JH43" s="83"/>
      <c r="JI43" s="102"/>
      <c r="JJ43" s="66">
        <f t="shared" ref="JJ43:JJ45" si="309">JF43-D43</f>
        <v>0</v>
      </c>
      <c r="JK43" s="66">
        <f t="shared" ref="JK43:JK45" si="310">JG43-E43</f>
        <v>0</v>
      </c>
      <c r="JM43" s="102">
        <f t="shared" si="250"/>
        <v>0</v>
      </c>
      <c r="JO43" s="29">
        <f t="shared" ref="JO43" si="311">SUM(JQ43:KB43)</f>
        <v>0</v>
      </c>
      <c r="JP43" s="122">
        <f t="shared" ref="JP43:JP45" si="312">BN43+CR43</f>
        <v>0</v>
      </c>
      <c r="JQ43" s="122">
        <f t="shared" ref="JQ43:JQ45" si="313">IF(BO43+CS43=2,1,IF(BO43+CS43=1,1,0))</f>
        <v>0</v>
      </c>
      <c r="JR43" s="122">
        <f t="shared" ref="JR43:JR45" si="314">IF(BP43+CT43=2,1,IF(BP43+CT43=1,1,0))</f>
        <v>0</v>
      </c>
      <c r="JS43" s="122">
        <f t="shared" ref="JS43:JS45" si="315">IF(BQ43+CU43=2,1,IF(BQ43+CU43=1,1,0))</f>
        <v>0</v>
      </c>
      <c r="JT43" s="122">
        <f t="shared" ref="JT43:JT45" si="316">IF(BR43+CV43=2,1,IF(BR43+CV43=1,1,0))</f>
        <v>0</v>
      </c>
      <c r="JU43" s="122">
        <f t="shared" ref="JU43:JU45" si="317">IF(BS43+CW43=2,1,IF(BS43+CW43=1,1,0))</f>
        <v>0</v>
      </c>
      <c r="JV43" s="122">
        <f t="shared" ref="JV43:JV45" si="318">IF(BT43+CX43=2,1,IF(BT43+CX43=1,1,0))</f>
        <v>0</v>
      </c>
      <c r="JW43" s="122">
        <f t="shared" ref="JW43:JW45" si="319">IF(BU43+CY43=2,1,IF(BU43+CY43=1,1,0))</f>
        <v>0</v>
      </c>
      <c r="JX43" s="122">
        <f t="shared" ref="JX43:JX45" si="320">IF(BV43+CZ43=2,1,IF(BV43+CZ43=1,1,0))</f>
        <v>0</v>
      </c>
      <c r="JY43" s="122">
        <f t="shared" ref="JY43:JY45" si="321">IF(BW43+DA43=2,1,IF(BW43+DA43=1,1,0))</f>
        <v>0</v>
      </c>
      <c r="JZ43" s="122">
        <f t="shared" ref="JZ43:JZ45" si="322">IF(BX43+DB43=2,1,IF(BX43+DB43=1,1,0))</f>
        <v>0</v>
      </c>
      <c r="KA43" s="122">
        <f t="shared" ref="KA43:KA45" si="323">IF(BY43+DC43=2,1,IF(BY43+DC43=1,1,0))</f>
        <v>0</v>
      </c>
      <c r="KB43" s="122">
        <f t="shared" ref="KB43:KB45" si="324">IF(BZ43+DD43=2,1,IF(BZ43+DD43=1,1,0))</f>
        <v>0</v>
      </c>
      <c r="KD43" s="122">
        <f t="shared" ref="KD43:KD44" si="325">IF(IF(SUM(GA43:GE43)&gt;100,1,0)+IF(FX43=1,1,0)=2,1,0)</f>
        <v>0</v>
      </c>
      <c r="KE43" s="122">
        <f t="shared" ref="KE43:KE45" si="326">IF(KD43=1,KF43,0)</f>
        <v>0</v>
      </c>
      <c r="KF43" s="122">
        <f t="shared" ref="KF43:KF45" si="327">CD43+DH43</f>
        <v>0</v>
      </c>
      <c r="KG43" s="122">
        <f t="shared" ref="KG43:KG45" si="328">CE43+DI43</f>
        <v>0</v>
      </c>
      <c r="KH43" s="122">
        <f t="shared" ref="KH43:KH45" si="329">CF43+DJ43</f>
        <v>0</v>
      </c>
      <c r="KI43" s="122">
        <f t="shared" ref="KI43:KI45" si="330">CG43+DK43</f>
        <v>0</v>
      </c>
      <c r="KJ43" s="122">
        <f t="shared" ref="KJ43:KJ45" si="331">CH43+DL43</f>
        <v>0</v>
      </c>
      <c r="KK43" s="122">
        <f t="shared" ref="KK43:KK45" si="332">CI43+DM43</f>
        <v>0</v>
      </c>
      <c r="KL43" s="122">
        <f t="shared" ref="KL43:KL45" si="333">CJ43+DN43</f>
        <v>0</v>
      </c>
      <c r="KM43" s="122">
        <f t="shared" ref="KM43:KM45" si="334">CK43+DO43</f>
        <v>0</v>
      </c>
      <c r="KN43" s="123">
        <f t="shared" ref="KN43:KN45" si="335">CL43+DP43</f>
        <v>0</v>
      </c>
      <c r="KO43" s="123">
        <f t="shared" ref="KO43:KO45" si="336">CM43+DQ43</f>
        <v>0</v>
      </c>
      <c r="KP43" s="123">
        <f t="shared" ref="KP43:KP45" si="337">CN43+DR43</f>
        <v>0</v>
      </c>
      <c r="KQ43" s="123">
        <f t="shared" ref="KQ43:KQ45" si="338">CO43+DS43</f>
        <v>0</v>
      </c>
      <c r="KR43" s="123">
        <f t="shared" ref="KR43:KR45" si="339">CP43+DT43</f>
        <v>0</v>
      </c>
      <c r="KT43">
        <f t="shared" ref="KT43:KT45" si="340">AN43</f>
        <v>0</v>
      </c>
      <c r="KU43" s="123"/>
      <c r="KV43" s="123"/>
      <c r="KW43" s="123"/>
      <c r="KX43" s="123"/>
      <c r="KY43" s="123"/>
      <c r="KZ43" s="123"/>
      <c r="LA43" s="123"/>
      <c r="LB43" s="123"/>
      <c r="LC43" s="123"/>
      <c r="LD43" s="123"/>
      <c r="LE43" s="123"/>
      <c r="LF43" s="123"/>
      <c r="LG43" s="123"/>
      <c r="LH43" s="123"/>
      <c r="LI43" s="123"/>
      <c r="LJ43" s="123"/>
      <c r="LK43" s="123"/>
      <c r="LL43" s="123"/>
      <c r="LM43" s="123"/>
      <c r="LN43" s="123"/>
      <c r="LO43" s="123"/>
      <c r="LP43" s="123"/>
      <c r="LQ43" s="123"/>
      <c r="LR43" s="123"/>
      <c r="LS43" s="123"/>
      <c r="LT43" s="123"/>
      <c r="LU43" s="123"/>
      <c r="LV43" s="123"/>
      <c r="LW43" s="123"/>
      <c r="LX43" s="123"/>
      <c r="LY43" s="123"/>
      <c r="LZ43" s="123"/>
      <c r="MA43" s="123"/>
      <c r="MB43" s="123"/>
      <c r="MC43" s="123"/>
      <c r="MD43" s="123"/>
      <c r="ME43" s="123"/>
      <c r="MF43" s="123"/>
      <c r="MG43" s="123"/>
      <c r="MH43" s="123"/>
      <c r="MI43" s="123"/>
      <c r="MJ43" s="123"/>
      <c r="MK43" s="123"/>
      <c r="ML43" s="123"/>
      <c r="MM43" s="123"/>
      <c r="MN43" s="123"/>
      <c r="MO43" s="123"/>
      <c r="MP43" s="123"/>
      <c r="MQ43" s="123"/>
      <c r="MR43" s="123"/>
      <c r="MS43" s="123"/>
      <c r="MT43" s="123"/>
      <c r="MU43" s="123"/>
      <c r="MV43" s="123"/>
      <c r="MW43" s="123"/>
      <c r="MX43" s="123"/>
      <c r="MY43" s="123"/>
      <c r="MZ43" s="123"/>
      <c r="NA43" s="123"/>
      <c r="NB43" s="123"/>
      <c r="NC43" s="123"/>
      <c r="ND43" s="123"/>
      <c r="NE43" s="123"/>
      <c r="NF43" s="123"/>
      <c r="NG43" s="123"/>
      <c r="NH43" s="123"/>
      <c r="NI43" s="123"/>
      <c r="NJ43" s="123"/>
      <c r="NK43" s="123"/>
      <c r="NM43">
        <f t="shared" si="251"/>
        <v>0</v>
      </c>
      <c r="NN43">
        <f t="shared" si="252"/>
        <v>0</v>
      </c>
      <c r="NO43">
        <f t="shared" si="253"/>
        <v>0</v>
      </c>
      <c r="NP43">
        <f t="shared" si="254"/>
        <v>0</v>
      </c>
      <c r="NQ43">
        <f t="shared" si="255"/>
        <v>0</v>
      </c>
      <c r="NR43">
        <f t="shared" si="256"/>
        <v>0</v>
      </c>
      <c r="NS43">
        <f t="shared" si="257"/>
        <v>0</v>
      </c>
      <c r="NT43">
        <f t="shared" si="258"/>
        <v>0</v>
      </c>
      <c r="NU43" s="29">
        <f t="shared" si="259"/>
        <v>0</v>
      </c>
      <c r="NY43" s="17">
        <f t="shared" ref="NY43:NY45" si="341">V43</f>
        <v>1</v>
      </c>
      <c r="NZ43" s="152">
        <v>11000000</v>
      </c>
      <c r="OE43" s="155">
        <f t="shared" ref="OE43:OE45" si="342">D43-J43</f>
        <v>0</v>
      </c>
      <c r="OF43" s="155">
        <f t="shared" ref="OF43:OF45" si="343">D43-N43</f>
        <v>0</v>
      </c>
      <c r="OG43" s="155">
        <f t="shared" ref="OG43:OG45" si="344">AN43</f>
        <v>0</v>
      </c>
      <c r="OH43" s="155">
        <f t="shared" ref="OH43:OH45" si="345">HE43</f>
        <v>0</v>
      </c>
      <c r="OI43" s="155">
        <f t="shared" ref="OI43:OI45" si="346">D43-R43</f>
        <v>0</v>
      </c>
      <c r="OJ43" s="67">
        <f t="shared" ref="OJ43:OJ45" si="347">IF(OG43=1,OF43,0)</f>
        <v>0</v>
      </c>
      <c r="OK43" s="67">
        <f t="shared" ref="OK43:OK45" si="348">IF(OH43=1,OF43,0)</f>
        <v>0</v>
      </c>
      <c r="OL43" s="67">
        <f t="shared" ref="OL43:OL45" si="349">IF((OG43+OH43)=0,OF43,0)</f>
        <v>0</v>
      </c>
      <c r="OM43" s="67">
        <f t="shared" ref="OM43:OM45" si="350">SUM(OJ43:OL43)</f>
        <v>0</v>
      </c>
      <c r="OO43" s="155">
        <f t="shared" ref="OO43:OO45" si="351">E43-K43</f>
        <v>0</v>
      </c>
      <c r="OP43" s="155">
        <f t="shared" ref="OP43:OP45" si="352">E43-O43</f>
        <v>0</v>
      </c>
      <c r="OQ43" s="155">
        <f t="shared" ref="OQ43:OQ45" si="353">OG43</f>
        <v>0</v>
      </c>
      <c r="OR43" s="155">
        <f t="shared" ref="OR43:OR45" si="354">OH43</f>
        <v>0</v>
      </c>
      <c r="OS43" s="155">
        <f t="shared" ref="OS43:OS45" si="355">OI43</f>
        <v>0</v>
      </c>
      <c r="OT43" s="67">
        <f t="shared" ref="OT43:OT45" si="356">IF(OQ43=1,OP43,0)</f>
        <v>0</v>
      </c>
      <c r="OU43" s="67">
        <f t="shared" ref="OU43:OU45" si="357">IF(OR43=1,OP43,0)</f>
        <v>0</v>
      </c>
      <c r="OV43" s="67">
        <f t="shared" ref="OV43:OV45" si="358">IF((OQ43+OR43)=0,OP43,0)</f>
        <v>0</v>
      </c>
      <c r="OW43" s="67">
        <f t="shared" ref="OW43:OW45" si="359">SUM(OT43:OV43)</f>
        <v>0</v>
      </c>
      <c r="OZ43" s="163">
        <f t="shared" ref="OZ43:OZ53" si="360">AN43</f>
        <v>0</v>
      </c>
      <c r="PA43" s="166"/>
      <c r="PB43" s="166"/>
      <c r="PC43" s="166"/>
      <c r="PD43" s="210">
        <f t="shared" si="116"/>
        <v>0</v>
      </c>
      <c r="PE43" s="210"/>
      <c r="PF43" s="210">
        <f t="shared" si="117"/>
        <v>0</v>
      </c>
      <c r="PG43" s="210">
        <f t="shared" si="118"/>
        <v>0</v>
      </c>
      <c r="PH43" s="210">
        <f t="shared" si="118"/>
        <v>0</v>
      </c>
      <c r="PI43" s="210">
        <f t="shared" si="118"/>
        <v>0</v>
      </c>
      <c r="PJ43" s="210">
        <f t="shared" si="118"/>
        <v>0</v>
      </c>
      <c r="PK43" s="210">
        <f t="shared" si="118"/>
        <v>0</v>
      </c>
      <c r="PL43" s="210">
        <f t="shared" si="118"/>
        <v>0</v>
      </c>
      <c r="PM43" s="164"/>
      <c r="PN43" s="164"/>
      <c r="PO43" s="172">
        <f t="shared" ref="PO43:PO45" si="361">IF(FC43=1,AB43,0)</f>
        <v>0</v>
      </c>
      <c r="PP43" s="172">
        <f t="shared" ref="PP43:PP45" si="362">IF(FF43=1,AB43,0)</f>
        <v>0</v>
      </c>
      <c r="PQ43" s="172">
        <f t="shared" ref="PQ43:PQ45" si="363">AB43-(PO43+PP43)</f>
        <v>0</v>
      </c>
      <c r="PR43" s="164"/>
      <c r="PS43" s="164"/>
      <c r="PT43" s="164"/>
      <c r="PU43" s="164"/>
    </row>
    <row r="44" spans="1:437 16383:16383" ht="16" x14ac:dyDescent="0.2">
      <c r="A44" s="19">
        <f t="shared" si="192"/>
        <v>36</v>
      </c>
      <c r="B44" s="268" t="s">
        <v>142</v>
      </c>
      <c r="C44" s="186">
        <v>3</v>
      </c>
      <c r="D44" s="188">
        <v>1</v>
      </c>
      <c r="E44" s="188">
        <v>405</v>
      </c>
      <c r="F44" s="188">
        <v>1</v>
      </c>
      <c r="G44" s="20">
        <f t="shared" si="260"/>
        <v>405</v>
      </c>
      <c r="H44" s="137">
        <f t="shared" si="261"/>
        <v>1</v>
      </c>
      <c r="I44" s="137">
        <f t="shared" si="262"/>
        <v>1</v>
      </c>
      <c r="J44" s="20">
        <v>1</v>
      </c>
      <c r="K44" s="20">
        <f t="shared" si="263"/>
        <v>405</v>
      </c>
      <c r="L44" s="137">
        <f t="shared" si="264"/>
        <v>1</v>
      </c>
      <c r="M44" s="137">
        <f t="shared" si="265"/>
        <v>1</v>
      </c>
      <c r="N44" s="20">
        <v>1</v>
      </c>
      <c r="O44" s="20">
        <f t="shared" si="266"/>
        <v>405</v>
      </c>
      <c r="P44" s="137">
        <f t="shared" si="267"/>
        <v>1</v>
      </c>
      <c r="Q44" s="137">
        <f t="shared" si="268"/>
        <v>1</v>
      </c>
      <c r="R44" s="20">
        <v>1</v>
      </c>
      <c r="S44" s="20">
        <f t="shared" si="269"/>
        <v>405</v>
      </c>
      <c r="T44" s="137">
        <f t="shared" si="270"/>
        <v>1</v>
      </c>
      <c r="U44" s="214">
        <f t="shared" si="271"/>
        <v>1</v>
      </c>
      <c r="V44" s="188">
        <v>1</v>
      </c>
      <c r="W44" s="188">
        <f t="shared" si="272"/>
        <v>405</v>
      </c>
      <c r="X44" s="214">
        <f t="shared" si="273"/>
        <v>1</v>
      </c>
      <c r="Y44" s="214">
        <f t="shared" si="274"/>
        <v>1</v>
      </c>
      <c r="Z44" s="224">
        <f>7772139000/1000000000</f>
        <v>7.7721390000000001</v>
      </c>
      <c r="AA44" s="188"/>
      <c r="AB44" s="189">
        <f t="shared" si="193"/>
        <v>0</v>
      </c>
      <c r="AC44" s="250">
        <f t="shared" si="194"/>
        <v>0</v>
      </c>
      <c r="AD44" s="250">
        <f t="shared" si="195"/>
        <v>0</v>
      </c>
      <c r="AE44" s="188"/>
      <c r="AF44" s="188">
        <f t="shared" si="196"/>
        <v>0</v>
      </c>
      <c r="AG44" s="188"/>
      <c r="AH44" s="20"/>
      <c r="AI44" s="20">
        <v>0</v>
      </c>
      <c r="AJ44" s="20">
        <f t="shared" si="197"/>
        <v>0</v>
      </c>
      <c r="AK44" s="20"/>
      <c r="AL44" s="20">
        <v>0</v>
      </c>
      <c r="AM44" s="20">
        <v>0</v>
      </c>
      <c r="AN44" s="139"/>
      <c r="BB44" s="20">
        <f t="shared" ref="BB44:BB45" si="364">IF(AN44=1,E44,0)</f>
        <v>0</v>
      </c>
      <c r="BE44" s="20">
        <f t="shared" si="198"/>
        <v>0</v>
      </c>
      <c r="BF44" s="20">
        <f t="shared" si="199"/>
        <v>0</v>
      </c>
      <c r="BG44" s="20">
        <f t="shared" si="200"/>
        <v>0</v>
      </c>
      <c r="BH44" s="20">
        <f t="shared" si="201"/>
        <v>0</v>
      </c>
      <c r="BI44" s="20">
        <f t="shared" si="202"/>
        <v>0</v>
      </c>
      <c r="BJ44" s="20">
        <f t="shared" si="203"/>
        <v>0</v>
      </c>
      <c r="BK44" s="20">
        <f t="shared" ref="BK44:BK45" si="365">SUM(BF44:BJ44)</f>
        <v>0</v>
      </c>
      <c r="BN44" s="156">
        <v>133</v>
      </c>
      <c r="BO44" s="284"/>
      <c r="BP44" s="139">
        <v>1</v>
      </c>
      <c r="BQ44" s="139"/>
      <c r="BR44" s="139"/>
      <c r="BS44" s="139"/>
      <c r="BT44" s="139"/>
      <c r="BU44" s="139"/>
      <c r="BV44" s="139"/>
      <c r="BW44" s="139"/>
      <c r="BX44" s="139"/>
      <c r="BY44" s="139"/>
      <c r="BZ44" s="139"/>
      <c r="CB44" s="139"/>
      <c r="CD44" s="17">
        <f t="shared" si="205"/>
        <v>133</v>
      </c>
      <c r="CE44" s="17">
        <f t="shared" si="206"/>
        <v>0</v>
      </c>
      <c r="CF44" s="139">
        <f t="shared" si="206"/>
        <v>133</v>
      </c>
      <c r="CG44" s="139">
        <f t="shared" si="206"/>
        <v>0</v>
      </c>
      <c r="CH44" s="139">
        <f t="shared" si="206"/>
        <v>0</v>
      </c>
      <c r="CI44" s="139">
        <f t="shared" si="206"/>
        <v>0</v>
      </c>
      <c r="CJ44" s="139">
        <f t="shared" si="206"/>
        <v>0</v>
      </c>
      <c r="CK44" s="139">
        <f t="shared" si="206"/>
        <v>0</v>
      </c>
      <c r="CL44" s="139">
        <f t="shared" si="206"/>
        <v>0</v>
      </c>
      <c r="CM44" s="139">
        <f t="shared" si="206"/>
        <v>0</v>
      </c>
      <c r="CN44" s="139">
        <f t="shared" si="206"/>
        <v>0</v>
      </c>
      <c r="CO44" s="139">
        <f t="shared" si="206"/>
        <v>0</v>
      </c>
      <c r="CP44" s="139">
        <f t="shared" si="206"/>
        <v>0</v>
      </c>
      <c r="CQ44" s="148">
        <f t="shared" si="207"/>
        <v>0</v>
      </c>
      <c r="DV44" s="139">
        <f t="shared" si="208"/>
        <v>0</v>
      </c>
      <c r="DW44" s="139">
        <f t="shared" si="209"/>
        <v>0</v>
      </c>
      <c r="DX44" s="139">
        <f t="shared" si="210"/>
        <v>0</v>
      </c>
      <c r="DY44" s="139">
        <f t="shared" si="211"/>
        <v>0</v>
      </c>
      <c r="DZ44" s="139">
        <f t="shared" si="212"/>
        <v>0</v>
      </c>
      <c r="EA44" s="139">
        <f t="shared" si="213"/>
        <v>0</v>
      </c>
      <c r="EB44" s="139">
        <f t="shared" ref="EB44:EB45" si="366">SUM(DW44:EA44)</f>
        <v>0</v>
      </c>
      <c r="EG44" s="57">
        <f t="shared" si="215"/>
        <v>0</v>
      </c>
      <c r="EH44" s="57">
        <f t="shared" si="216"/>
        <v>0</v>
      </c>
      <c r="EI44" s="17"/>
      <c r="EJ44" s="17"/>
      <c r="EK44" s="17"/>
      <c r="EL44" s="17"/>
      <c r="EM44" s="17"/>
      <c r="EN44" s="17"/>
      <c r="EO44" s="17"/>
      <c r="EP44" s="17"/>
      <c r="EQ44" s="189"/>
      <c r="ER44" s="189"/>
      <c r="ES44" s="189"/>
      <c r="ET44" s="189"/>
      <c r="EU44" s="189"/>
      <c r="EV44" s="189"/>
      <c r="EW44" s="189"/>
      <c r="EX44" s="189"/>
      <c r="EY44" s="189"/>
      <c r="EZ44" s="189"/>
      <c r="FA44" s="189"/>
      <c r="FB44" s="189"/>
      <c r="FC44" s="189"/>
      <c r="FD44" s="17"/>
      <c r="FE44" s="17"/>
      <c r="FF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X44" s="177">
        <v>1</v>
      </c>
      <c r="FY44" s="17">
        <f t="shared" si="217"/>
        <v>133</v>
      </c>
      <c r="FZ44" s="17">
        <f t="shared" si="278"/>
        <v>0</v>
      </c>
      <c r="GA44" s="17">
        <f t="shared" si="279"/>
        <v>133</v>
      </c>
      <c r="GB44" s="17">
        <f t="shared" si="280"/>
        <v>0</v>
      </c>
      <c r="GC44" s="17">
        <f t="shared" si="281"/>
        <v>0</v>
      </c>
      <c r="GD44" s="17">
        <f t="shared" si="282"/>
        <v>0</v>
      </c>
      <c r="GE44" s="17">
        <f t="shared" si="283"/>
        <v>0</v>
      </c>
      <c r="GF44" s="67"/>
      <c r="GG44" s="17">
        <v>0</v>
      </c>
      <c r="GH44" s="17">
        <v>0</v>
      </c>
      <c r="GI44" s="67"/>
      <c r="GJ44" s="62">
        <f t="shared" si="218"/>
        <v>0</v>
      </c>
      <c r="GK44" s="62">
        <f t="shared" si="219"/>
        <v>0</v>
      </c>
      <c r="GO44" s="17">
        <f t="shared" si="284"/>
        <v>0</v>
      </c>
      <c r="GP44" s="17">
        <f t="shared" si="285"/>
        <v>0</v>
      </c>
      <c r="GQ44" s="17">
        <f t="shared" si="286"/>
        <v>0</v>
      </c>
      <c r="GR44" s="17">
        <f t="shared" si="287"/>
        <v>0</v>
      </c>
      <c r="GS44" s="17">
        <f t="shared" si="288"/>
        <v>0</v>
      </c>
      <c r="GT44" s="17">
        <f t="shared" si="220"/>
        <v>1</v>
      </c>
      <c r="GU44" s="101">
        <f t="shared" si="146"/>
        <v>43243</v>
      </c>
      <c r="GV44" s="17" t="str">
        <f t="shared" si="221"/>
        <v>SELESAI</v>
      </c>
      <c r="GW44" s="17">
        <f t="shared" si="222"/>
        <v>0</v>
      </c>
      <c r="GX44" s="66" t="str">
        <f t="shared" si="223"/>
        <v>SELESAI</v>
      </c>
      <c r="GY44" s="66">
        <f t="shared" si="224"/>
        <v>0</v>
      </c>
      <c r="GZ44" s="102" t="str">
        <f t="shared" si="225"/>
        <v>SELESAI</v>
      </c>
      <c r="HA44" s="83"/>
      <c r="HB44" s="83"/>
      <c r="HC44" s="17">
        <f t="shared" si="289"/>
        <v>0</v>
      </c>
      <c r="HD44" s="17">
        <f t="shared" si="290"/>
        <v>0</v>
      </c>
      <c r="HE44" s="17">
        <f t="shared" si="226"/>
        <v>0</v>
      </c>
      <c r="HF44" s="17">
        <f t="shared" si="227"/>
        <v>0</v>
      </c>
      <c r="HG44" s="17">
        <f t="shared" si="228"/>
        <v>0</v>
      </c>
      <c r="HH44" s="101" t="str">
        <f t="shared" si="229"/>
        <v>TIDAK KONSINYASI</v>
      </c>
      <c r="HI44" s="101" t="str">
        <f t="shared" si="230"/>
        <v>SELESAI</v>
      </c>
      <c r="HJ44" s="27"/>
      <c r="HK44" s="101">
        <f t="shared" si="231"/>
        <v>0</v>
      </c>
      <c r="HL44" s="83"/>
      <c r="HM44" s="83"/>
      <c r="HN44" s="83"/>
      <c r="HO44" s="83"/>
      <c r="HP44" s="102">
        <f t="shared" si="232"/>
        <v>0</v>
      </c>
      <c r="HQ44" s="66">
        <f t="shared" si="233"/>
        <v>0</v>
      </c>
      <c r="HR44" s="66">
        <f t="shared" si="291"/>
        <v>0</v>
      </c>
      <c r="HS44" s="102">
        <f t="shared" si="234"/>
        <v>0</v>
      </c>
      <c r="HT44" s="66">
        <f t="shared" si="235"/>
        <v>0</v>
      </c>
      <c r="HU44" s="66">
        <f t="shared" si="292"/>
        <v>0</v>
      </c>
      <c r="HV44" s="102">
        <f t="shared" si="236"/>
        <v>0</v>
      </c>
      <c r="HW44" s="66">
        <f t="shared" si="237"/>
        <v>0</v>
      </c>
      <c r="HX44" s="66">
        <f t="shared" si="293"/>
        <v>0</v>
      </c>
      <c r="HY44" s="102">
        <f t="shared" si="238"/>
        <v>0</v>
      </c>
      <c r="HZ44" s="66">
        <f t="shared" si="239"/>
        <v>0</v>
      </c>
      <c r="IA44" s="66">
        <f t="shared" si="294"/>
        <v>0</v>
      </c>
      <c r="IB44" s="102">
        <f t="shared" ref="IB44:IB45" si="367">IF(IC44=1,$GU$3+SUM($GY$6:$GY$8),0)</f>
        <v>0</v>
      </c>
      <c r="IC44" s="66">
        <f t="shared" si="241"/>
        <v>0</v>
      </c>
      <c r="ID44" s="66">
        <f t="shared" si="296"/>
        <v>0</v>
      </c>
      <c r="IE44" s="102">
        <f t="shared" si="242"/>
        <v>0</v>
      </c>
      <c r="IF44" s="66">
        <f t="shared" si="243"/>
        <v>0</v>
      </c>
      <c r="IG44" s="66">
        <f t="shared" si="297"/>
        <v>0</v>
      </c>
      <c r="IH44" s="102">
        <f t="shared" ref="IH44:IH45" si="368">IF(II44=1,$GU$3+SUM($GY$5:$GY$8),0)</f>
        <v>0</v>
      </c>
      <c r="II44" s="66">
        <f t="shared" si="245"/>
        <v>0</v>
      </c>
      <c r="IJ44" s="66">
        <f t="shared" si="299"/>
        <v>0</v>
      </c>
      <c r="IK44" s="102">
        <f t="shared" si="246"/>
        <v>0</v>
      </c>
      <c r="IL44" s="66">
        <f t="shared" si="247"/>
        <v>0</v>
      </c>
      <c r="IM44" s="66">
        <f t="shared" si="300"/>
        <v>0</v>
      </c>
      <c r="IN44" s="83"/>
      <c r="IO44" s="102">
        <f t="shared" si="248"/>
        <v>0</v>
      </c>
      <c r="IP44" s="66">
        <f t="shared" si="301"/>
        <v>0</v>
      </c>
      <c r="IQ44" s="66">
        <f t="shared" si="302"/>
        <v>0</v>
      </c>
      <c r="IR44" s="83"/>
      <c r="IS44" s="102"/>
      <c r="IT44" s="66">
        <f t="shared" si="303"/>
        <v>1</v>
      </c>
      <c r="IU44" s="66">
        <f t="shared" si="304"/>
        <v>405</v>
      </c>
      <c r="IV44" s="83"/>
      <c r="IW44" s="102"/>
      <c r="IX44" s="66">
        <f t="shared" si="305"/>
        <v>0</v>
      </c>
      <c r="IY44" s="66">
        <f t="shared" si="306"/>
        <v>0</v>
      </c>
      <c r="IZ44" s="83"/>
      <c r="JA44" s="102"/>
      <c r="JB44" s="66">
        <f t="shared" si="307"/>
        <v>0</v>
      </c>
      <c r="JC44" s="66">
        <f t="shared" si="308"/>
        <v>0</v>
      </c>
      <c r="JD44" s="83"/>
      <c r="JE44" s="102"/>
      <c r="JF44" s="66">
        <f t="shared" si="249"/>
        <v>1</v>
      </c>
      <c r="JG44" s="66">
        <f t="shared" si="249"/>
        <v>405</v>
      </c>
      <c r="JH44" s="83"/>
      <c r="JI44" s="102"/>
      <c r="JJ44" s="66">
        <f t="shared" si="309"/>
        <v>0</v>
      </c>
      <c r="JK44" s="66">
        <f t="shared" si="310"/>
        <v>0</v>
      </c>
      <c r="JM44" s="102">
        <f t="shared" si="250"/>
        <v>0</v>
      </c>
      <c r="JO44" s="29">
        <f>SUM(JQ44:KB44)</f>
        <v>1</v>
      </c>
      <c r="JP44" s="122">
        <f t="shared" si="312"/>
        <v>133</v>
      </c>
      <c r="JQ44" s="122">
        <f t="shared" si="313"/>
        <v>0</v>
      </c>
      <c r="JR44" s="122">
        <f t="shared" si="314"/>
        <v>1</v>
      </c>
      <c r="JS44" s="122">
        <f t="shared" si="315"/>
        <v>0</v>
      </c>
      <c r="JT44" s="122">
        <f t="shared" si="316"/>
        <v>0</v>
      </c>
      <c r="JU44" s="122">
        <f t="shared" si="317"/>
        <v>0</v>
      </c>
      <c r="JV44" s="122">
        <f t="shared" si="318"/>
        <v>0</v>
      </c>
      <c r="JW44" s="122">
        <f t="shared" si="319"/>
        <v>0</v>
      </c>
      <c r="JX44" s="122">
        <f t="shared" si="320"/>
        <v>0</v>
      </c>
      <c r="JY44" s="122">
        <f t="shared" si="321"/>
        <v>0</v>
      </c>
      <c r="JZ44" s="122">
        <f t="shared" si="322"/>
        <v>0</v>
      </c>
      <c r="KA44" s="122">
        <f t="shared" si="323"/>
        <v>0</v>
      </c>
      <c r="KB44" s="122">
        <f t="shared" si="324"/>
        <v>0</v>
      </c>
      <c r="KD44" s="122">
        <f t="shared" si="325"/>
        <v>1</v>
      </c>
      <c r="KE44" s="122">
        <f t="shared" si="326"/>
        <v>133</v>
      </c>
      <c r="KF44" s="122">
        <f t="shared" si="327"/>
        <v>133</v>
      </c>
      <c r="KG44" s="122">
        <f t="shared" si="328"/>
        <v>0</v>
      </c>
      <c r="KH44" s="122">
        <f t="shared" si="329"/>
        <v>133</v>
      </c>
      <c r="KI44" s="122">
        <f t="shared" si="330"/>
        <v>0</v>
      </c>
      <c r="KJ44" s="122">
        <f t="shared" si="331"/>
        <v>0</v>
      </c>
      <c r="KK44" s="122">
        <f t="shared" si="332"/>
        <v>0</v>
      </c>
      <c r="KL44" s="122">
        <f t="shared" si="333"/>
        <v>0</v>
      </c>
      <c r="KM44" s="122">
        <f t="shared" si="334"/>
        <v>0</v>
      </c>
      <c r="KN44" s="123">
        <f t="shared" si="335"/>
        <v>0</v>
      </c>
      <c r="KO44" s="123">
        <f t="shared" si="336"/>
        <v>0</v>
      </c>
      <c r="KP44" s="123">
        <f t="shared" si="337"/>
        <v>0</v>
      </c>
      <c r="KQ44" s="123">
        <f t="shared" si="338"/>
        <v>0</v>
      </c>
      <c r="KR44" s="123">
        <f t="shared" si="339"/>
        <v>0</v>
      </c>
      <c r="KT44">
        <f t="shared" si="340"/>
        <v>0</v>
      </c>
      <c r="KU44" s="123"/>
      <c r="KV44" s="123"/>
      <c r="KW44" s="123"/>
      <c r="KX44" s="123"/>
      <c r="KY44" s="123"/>
      <c r="KZ44" s="123"/>
      <c r="LA44" s="123"/>
      <c r="LB44" s="123"/>
      <c r="LC44" s="123"/>
      <c r="LD44" s="123"/>
      <c r="LE44" s="123"/>
      <c r="LF44" s="123"/>
      <c r="LG44" s="123"/>
      <c r="LH44" s="123"/>
      <c r="LI44" s="123"/>
      <c r="LJ44" s="123"/>
      <c r="LK44" s="123"/>
      <c r="LL44" s="123"/>
      <c r="LM44" s="123"/>
      <c r="LN44" s="123"/>
      <c r="LO44" s="123"/>
      <c r="LP44" s="123"/>
      <c r="LQ44" s="123"/>
      <c r="LR44" s="123"/>
      <c r="LS44" s="123"/>
      <c r="LT44" s="123"/>
      <c r="LU44" s="123"/>
      <c r="LV44" s="123"/>
      <c r="LW44" s="123"/>
      <c r="LX44" s="123"/>
      <c r="LY44" s="123"/>
      <c r="LZ44" s="123"/>
      <c r="MA44" s="123"/>
      <c r="MB44" s="123"/>
      <c r="MC44" s="123"/>
      <c r="MD44" s="123"/>
      <c r="ME44" s="123"/>
      <c r="MF44" s="123"/>
      <c r="MG44" s="123"/>
      <c r="MH44" s="123"/>
      <c r="MI44" s="123"/>
      <c r="MJ44" s="123"/>
      <c r="MK44" s="123"/>
      <c r="ML44" s="123"/>
      <c r="MM44" s="123"/>
      <c r="MN44" s="123"/>
      <c r="MO44" s="123"/>
      <c r="MP44" s="123"/>
      <c r="MQ44" s="123"/>
      <c r="MR44" s="123"/>
      <c r="MS44" s="123"/>
      <c r="MT44" s="123"/>
      <c r="MU44" s="123"/>
      <c r="MV44" s="123"/>
      <c r="MW44" s="123"/>
      <c r="MX44" s="123"/>
      <c r="MY44" s="123"/>
      <c r="MZ44" s="123"/>
      <c r="NA44" s="123"/>
      <c r="NB44" s="123"/>
      <c r="NC44" s="123"/>
      <c r="ND44" s="123"/>
      <c r="NE44" s="123"/>
      <c r="NF44" s="123"/>
      <c r="NG44" s="123"/>
      <c r="NH44" s="123"/>
      <c r="NI44" s="123"/>
      <c r="NJ44" s="123"/>
      <c r="NK44" s="123"/>
      <c r="NM44">
        <f t="shared" si="251"/>
        <v>0</v>
      </c>
      <c r="NN44">
        <f t="shared" si="252"/>
        <v>0</v>
      </c>
      <c r="NO44">
        <f t="shared" si="253"/>
        <v>0</v>
      </c>
      <c r="NP44">
        <f t="shared" si="254"/>
        <v>0</v>
      </c>
      <c r="NQ44">
        <f t="shared" si="255"/>
        <v>0</v>
      </c>
      <c r="NR44">
        <f t="shared" si="256"/>
        <v>0</v>
      </c>
      <c r="NS44">
        <f t="shared" si="257"/>
        <v>0</v>
      </c>
      <c r="NT44">
        <f t="shared" si="258"/>
        <v>0</v>
      </c>
      <c r="NU44" s="29">
        <f t="shared" si="259"/>
        <v>0</v>
      </c>
      <c r="NY44" s="17">
        <f t="shared" si="341"/>
        <v>1</v>
      </c>
      <c r="NZ44" s="152">
        <v>10800000</v>
      </c>
      <c r="OE44" s="155">
        <f t="shared" si="342"/>
        <v>0</v>
      </c>
      <c r="OF44" s="155">
        <f t="shared" si="343"/>
        <v>0</v>
      </c>
      <c r="OG44" s="155">
        <f t="shared" si="344"/>
        <v>0</v>
      </c>
      <c r="OH44" s="155">
        <f t="shared" si="345"/>
        <v>0</v>
      </c>
      <c r="OI44" s="155">
        <f t="shared" si="346"/>
        <v>0</v>
      </c>
      <c r="OJ44" s="67">
        <f t="shared" si="347"/>
        <v>0</v>
      </c>
      <c r="OK44" s="67">
        <f t="shared" si="348"/>
        <v>0</v>
      </c>
      <c r="OL44" s="67">
        <f t="shared" si="349"/>
        <v>0</v>
      </c>
      <c r="OM44" s="67">
        <f t="shared" si="350"/>
        <v>0</v>
      </c>
      <c r="OO44" s="155">
        <f t="shared" si="351"/>
        <v>0</v>
      </c>
      <c r="OP44" s="155">
        <f t="shared" si="352"/>
        <v>0</v>
      </c>
      <c r="OQ44" s="155">
        <f t="shared" si="353"/>
        <v>0</v>
      </c>
      <c r="OR44" s="155">
        <f t="shared" si="354"/>
        <v>0</v>
      </c>
      <c r="OS44" s="155">
        <f t="shared" si="355"/>
        <v>0</v>
      </c>
      <c r="OT44" s="67">
        <f t="shared" si="356"/>
        <v>0</v>
      </c>
      <c r="OU44" s="67">
        <f t="shared" si="357"/>
        <v>0</v>
      </c>
      <c r="OV44" s="67">
        <f t="shared" si="358"/>
        <v>0</v>
      </c>
      <c r="OW44" s="67">
        <f t="shared" si="359"/>
        <v>0</v>
      </c>
      <c r="OZ44" s="163">
        <f t="shared" ref="OZ44:OZ45" si="369">AN44</f>
        <v>0</v>
      </c>
      <c r="PA44" s="166"/>
      <c r="PB44" s="166"/>
      <c r="PC44" s="166"/>
      <c r="PD44" s="210">
        <f t="shared" si="116"/>
        <v>0</v>
      </c>
      <c r="PE44" s="210"/>
      <c r="PF44" s="210">
        <f t="shared" si="117"/>
        <v>0</v>
      </c>
      <c r="PG44" s="210">
        <f t="shared" si="118"/>
        <v>0</v>
      </c>
      <c r="PH44" s="210">
        <f t="shared" si="118"/>
        <v>0</v>
      </c>
      <c r="PI44" s="210">
        <f t="shared" si="118"/>
        <v>0</v>
      </c>
      <c r="PJ44" s="210">
        <f t="shared" si="118"/>
        <v>0</v>
      </c>
      <c r="PK44" s="210">
        <f t="shared" si="118"/>
        <v>0</v>
      </c>
      <c r="PL44" s="210">
        <f t="shared" si="118"/>
        <v>0</v>
      </c>
      <c r="PM44" s="164"/>
      <c r="PN44" s="164"/>
      <c r="PO44" s="172">
        <f t="shared" si="361"/>
        <v>0</v>
      </c>
      <c r="PP44" s="172">
        <f t="shared" si="362"/>
        <v>0</v>
      </c>
      <c r="PQ44" s="172">
        <f t="shared" si="363"/>
        <v>0</v>
      </c>
      <c r="PR44" s="164"/>
      <c r="PS44" s="164"/>
      <c r="PT44" s="164"/>
      <c r="PU44" s="164"/>
    </row>
    <row r="45" spans="1:437 16383:16383" ht="16" x14ac:dyDescent="0.2">
      <c r="A45" s="19">
        <f t="shared" si="192"/>
        <v>37</v>
      </c>
      <c r="B45" s="268" t="s">
        <v>142</v>
      </c>
      <c r="C45" s="186">
        <v>41</v>
      </c>
      <c r="D45" s="188">
        <v>1</v>
      </c>
      <c r="E45" s="188">
        <v>830</v>
      </c>
      <c r="F45" s="188">
        <v>1</v>
      </c>
      <c r="G45" s="20">
        <f t="shared" si="260"/>
        <v>830</v>
      </c>
      <c r="H45" s="137">
        <f t="shared" si="261"/>
        <v>1</v>
      </c>
      <c r="I45" s="137">
        <f t="shared" si="262"/>
        <v>1</v>
      </c>
      <c r="J45" s="20">
        <v>1</v>
      </c>
      <c r="K45" s="20">
        <f t="shared" si="263"/>
        <v>830</v>
      </c>
      <c r="L45" s="137">
        <f t="shared" si="264"/>
        <v>1</v>
      </c>
      <c r="M45" s="137">
        <f t="shared" si="265"/>
        <v>1</v>
      </c>
      <c r="N45" s="20">
        <v>1</v>
      </c>
      <c r="O45" s="20">
        <f t="shared" si="266"/>
        <v>830</v>
      </c>
      <c r="P45" s="137">
        <f t="shared" si="267"/>
        <v>1</v>
      </c>
      <c r="Q45" s="137">
        <f t="shared" si="268"/>
        <v>1</v>
      </c>
      <c r="R45" s="20">
        <v>1</v>
      </c>
      <c r="S45" s="20">
        <f t="shared" si="269"/>
        <v>830</v>
      </c>
      <c r="T45" s="137">
        <f t="shared" si="270"/>
        <v>1</v>
      </c>
      <c r="U45" s="214">
        <f t="shared" si="271"/>
        <v>1</v>
      </c>
      <c r="V45" s="188">
        <v>1</v>
      </c>
      <c r="W45" s="188">
        <f t="shared" si="272"/>
        <v>830</v>
      </c>
      <c r="X45" s="214">
        <f t="shared" si="273"/>
        <v>1</v>
      </c>
      <c r="Y45" s="214">
        <f t="shared" si="274"/>
        <v>1</v>
      </c>
      <c r="Z45" s="224">
        <f>9773276000/1000000000</f>
        <v>9.7732759999999992</v>
      </c>
      <c r="AA45" s="188"/>
      <c r="AB45" s="189">
        <f t="shared" ref="AB45" si="370">IF(AA45=D45,E45,0)</f>
        <v>0</v>
      </c>
      <c r="AC45" s="18">
        <f t="shared" ref="AC45" si="371">AA45/$D45</f>
        <v>0</v>
      </c>
      <c r="AD45" s="18">
        <f t="shared" ref="AD45" si="372">AB45/$E45</f>
        <v>0</v>
      </c>
      <c r="AE45" s="20"/>
      <c r="AF45" s="20">
        <f t="shared" ref="AF45" si="373">R45-V45</f>
        <v>0</v>
      </c>
      <c r="AG45" s="20"/>
      <c r="AH45" s="20"/>
      <c r="AI45" s="20">
        <v>0</v>
      </c>
      <c r="AJ45" s="20">
        <f t="shared" ref="AJ45" si="374">IF(AI45=D45,E45,0)</f>
        <v>0</v>
      </c>
      <c r="AK45" s="20"/>
      <c r="AL45" s="20">
        <v>0</v>
      </c>
      <c r="AM45" s="20">
        <v>0</v>
      </c>
      <c r="AN45" s="139"/>
      <c r="BB45" s="20">
        <f t="shared" si="364"/>
        <v>0</v>
      </c>
      <c r="BE45" s="20">
        <f t="shared" ref="BE45" si="375">IF(AF45=1,S45,0)</f>
        <v>0</v>
      </c>
      <c r="BF45" s="20">
        <f t="shared" ref="BF45" si="376">IF(AG45="A",S45,0)</f>
        <v>0</v>
      </c>
      <c r="BG45" s="20">
        <f t="shared" ref="BG45" si="377">IF(AG45="B",S45,0)</f>
        <v>0</v>
      </c>
      <c r="BH45" s="20">
        <f t="shared" ref="BH45" si="378">IF(AG45="C",S45,0)</f>
        <v>0</v>
      </c>
      <c r="BI45" s="20">
        <f t="shared" ref="BI45" si="379">IF(AG45="D",S45,0)</f>
        <v>0</v>
      </c>
      <c r="BJ45" s="20">
        <f t="shared" ref="BJ45" si="380">IF(AG45="E",S45,0)</f>
        <v>0</v>
      </c>
      <c r="BK45" s="20">
        <f t="shared" si="365"/>
        <v>0</v>
      </c>
      <c r="BN45" s="156">
        <v>829</v>
      </c>
      <c r="BO45" s="126"/>
      <c r="BP45" s="139">
        <v>1</v>
      </c>
      <c r="BQ45" s="139"/>
      <c r="BR45" s="139"/>
      <c r="BS45" s="139"/>
      <c r="BT45" s="139"/>
      <c r="BU45" s="139"/>
      <c r="BV45" s="139"/>
      <c r="BW45" s="139"/>
      <c r="BX45" s="139"/>
      <c r="BY45" s="139"/>
      <c r="BZ45" s="139"/>
      <c r="CB45" s="139"/>
      <c r="CD45" s="17">
        <f t="shared" ref="CD45" si="381">BN45</f>
        <v>829</v>
      </c>
      <c r="CE45" s="17">
        <f t="shared" ref="CE45" si="382">IF(BO45=1,$CD45,0)</f>
        <v>0</v>
      </c>
      <c r="CF45" s="139">
        <f t="shared" ref="CF45" si="383">IF(BP45=1,$CD45,0)</f>
        <v>829</v>
      </c>
      <c r="CG45" s="139">
        <f t="shared" ref="CG45" si="384">IF(BQ45=1,$CD45,0)</f>
        <v>0</v>
      </c>
      <c r="CH45" s="139">
        <f t="shared" ref="CH45" si="385">IF(BR45=1,$CD45,0)</f>
        <v>0</v>
      </c>
      <c r="CI45" s="139">
        <f t="shared" ref="CI45" si="386">IF(BS45=1,$CD45,0)</f>
        <v>0</v>
      </c>
      <c r="CJ45" s="139">
        <f t="shared" ref="CJ45" si="387">IF(BT45=1,$CD45,0)</f>
        <v>0</v>
      </c>
      <c r="CK45" s="139">
        <f t="shared" ref="CK45" si="388">IF(BU45=1,$CD45,0)</f>
        <v>0</v>
      </c>
      <c r="CL45" s="139">
        <f t="shared" ref="CL45" si="389">IF(BV45=1,$CD45,0)</f>
        <v>0</v>
      </c>
      <c r="CM45" s="139">
        <f t="shared" ref="CM45" si="390">IF(BW45=1,$CD45,0)</f>
        <v>0</v>
      </c>
      <c r="CN45" s="139">
        <f t="shared" ref="CN45" si="391">IF(BX45=1,$CD45,0)</f>
        <v>0</v>
      </c>
      <c r="CO45" s="139">
        <f t="shared" ref="CO45" si="392">IF(BY45=1,$CD45,0)</f>
        <v>0</v>
      </c>
      <c r="CP45" s="139">
        <f t="shared" ref="CP45" si="393">IF(BZ45=1,$CD45,0)</f>
        <v>0</v>
      </c>
      <c r="CQ45" s="148">
        <f t="shared" ref="CQ45" si="394">SUM(CE45:CP45)-CD45</f>
        <v>0</v>
      </c>
      <c r="DV45" s="139">
        <f t="shared" ref="DV45" si="395">IF(CB45=1,G45,0)</f>
        <v>0</v>
      </c>
      <c r="DW45" s="139">
        <f t="shared" ref="DW45" si="396">IF(CC45="A",G45,0)</f>
        <v>0</v>
      </c>
      <c r="DX45" s="139">
        <f t="shared" ref="DX45" si="397">IF(CC45="B",G45,0)</f>
        <v>0</v>
      </c>
      <c r="DY45" s="139">
        <f t="shared" ref="DY45" si="398">IF(CC45="C",G45,0)</f>
        <v>0</v>
      </c>
      <c r="DZ45" s="139">
        <f t="shared" ref="DZ45" si="399">IF(CC45="D",G45,0)</f>
        <v>0</v>
      </c>
      <c r="EA45" s="139">
        <f t="shared" ref="EA45" si="400">IF(CC45="E",G45,0)</f>
        <v>0</v>
      </c>
      <c r="EB45" s="139">
        <f t="shared" si="366"/>
        <v>0</v>
      </c>
      <c r="EG45" s="57">
        <f t="shared" ref="EG45" si="401">IF(AG45="C","C",IF(AG45="D","D",0))</f>
        <v>0</v>
      </c>
      <c r="EH45" s="57">
        <f t="shared" ref="EH45" si="402">CC45</f>
        <v>0</v>
      </c>
      <c r="EI45" s="17"/>
      <c r="EJ45" s="17"/>
      <c r="EK45" s="17"/>
      <c r="EL45" s="17"/>
      <c r="EM45" s="17"/>
      <c r="EN45" s="17"/>
      <c r="EO45" s="17"/>
      <c r="EP45" s="17"/>
      <c r="EQ45" s="189"/>
      <c r="ER45" s="189"/>
      <c r="ES45" s="189"/>
      <c r="ET45" s="189"/>
      <c r="EU45" s="189"/>
      <c r="EV45" s="189"/>
      <c r="EW45" s="189"/>
      <c r="EX45" s="189"/>
      <c r="EY45" s="189"/>
      <c r="EZ45" s="189"/>
      <c r="FA45" s="189"/>
      <c r="FB45" s="189"/>
      <c r="FC45" s="189"/>
      <c r="FD45" s="17"/>
      <c r="FE45" s="17"/>
      <c r="FF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X45" s="177">
        <v>1</v>
      </c>
      <c r="FY45" s="17">
        <f t="shared" ref="FY45" si="403">SUM(FZ45:GE45)</f>
        <v>829</v>
      </c>
      <c r="FZ45" s="17">
        <f t="shared" si="278"/>
        <v>0</v>
      </c>
      <c r="GA45" s="17">
        <f t="shared" si="279"/>
        <v>829</v>
      </c>
      <c r="GB45" s="17">
        <f t="shared" si="280"/>
        <v>0</v>
      </c>
      <c r="GC45" s="17">
        <f t="shared" si="281"/>
        <v>0</v>
      </c>
      <c r="GD45" s="17">
        <f t="shared" si="282"/>
        <v>0</v>
      </c>
      <c r="GE45" s="17">
        <f t="shared" si="283"/>
        <v>0</v>
      </c>
      <c r="GF45" s="67"/>
      <c r="GG45" s="17">
        <v>0</v>
      </c>
      <c r="GH45" s="17">
        <v>0</v>
      </c>
      <c r="GI45" s="67"/>
      <c r="GJ45" s="62">
        <f t="shared" ref="GJ45" si="404">FY45*GG45/1000000000</f>
        <v>0</v>
      </c>
      <c r="GK45" s="62">
        <f t="shared" ref="GK45" si="405">FY45*GH45/1000000000</f>
        <v>0</v>
      </c>
      <c r="GO45" s="17">
        <f t="shared" si="284"/>
        <v>0</v>
      </c>
      <c r="GP45" s="17">
        <f t="shared" si="285"/>
        <v>0</v>
      </c>
      <c r="GQ45" s="17">
        <f t="shared" si="286"/>
        <v>0</v>
      </c>
      <c r="GR45" s="17">
        <f t="shared" si="287"/>
        <v>0</v>
      </c>
      <c r="GS45" s="17">
        <f t="shared" si="288"/>
        <v>0</v>
      </c>
      <c r="GT45" s="17">
        <f t="shared" ref="GT45" si="406">IF(SUM(GO45:GS45)=0,1,0)</f>
        <v>1</v>
      </c>
      <c r="GU45" s="101">
        <f t="shared" si="146"/>
        <v>43243</v>
      </c>
      <c r="GV45" s="17" t="str">
        <f t="shared" ref="GV45" si="407">IF(GO45&gt;0,$GO$6,IF(GP45&gt;0,$GP$6,IF(GQ45&gt;0,$GQ$6,IF(GR45&gt;0,$GR$6,IF(GS45&gt;0,$GS$6,IF(GT45&gt;0,$GT$6,0))))))</f>
        <v>SELESAI</v>
      </c>
      <c r="GW45" s="17">
        <f t="shared" ref="GW45" si="408">IF(GV45=$GO$6,GO45,IF(GV45=$GP$6,GP45,IF(GV45=$GQ$6,GQ45,IF(GV45=$GR$6,GR45,IF(GV45=$GS$6,GS45,0)))))</f>
        <v>0</v>
      </c>
      <c r="GX45" s="66" t="str">
        <f t="shared" ref="GX45" si="409">GV45</f>
        <v>SELESAI</v>
      </c>
      <c r="GY45" s="66">
        <f t="shared" ref="GY45" si="410">IF(GX45="DNP",SUM($GY$4:$GY$8),IF(GX45="Survey KJPP",SUM($GY$5:$GY$8),IF(GX45="Hasil Valuasi",SUM($GY$6:$GY$8),IF(GX45="Musyawarah",SUM($GY$7:$GY$8),IF(GX45="UGR",$GY$8,0)))))</f>
        <v>0</v>
      </c>
      <c r="GZ45" s="102" t="str">
        <f t="shared" ref="GZ45" si="411">IF(GW45=0,"SELESAI",GU45+GY45)</f>
        <v>SELESAI</v>
      </c>
      <c r="HA45" s="83"/>
      <c r="HB45" s="83"/>
      <c r="HC45" s="17">
        <f t="shared" si="289"/>
        <v>0</v>
      </c>
      <c r="HD45" s="17">
        <f t="shared" si="290"/>
        <v>0</v>
      </c>
      <c r="HE45" s="17">
        <f t="shared" ref="HE45" si="412">HC45+HD45</f>
        <v>0</v>
      </c>
      <c r="HF45" s="17">
        <f t="shared" ref="HF45" si="413">FQ45</f>
        <v>0</v>
      </c>
      <c r="HG45" s="17">
        <f t="shared" ref="HG45" si="414">HE45-HF45</f>
        <v>0</v>
      </c>
      <c r="HH45" s="101" t="str">
        <f t="shared" ref="HH45" si="415">IF(HG45=1,GU45+$HH$8,"TIDAK KONSINYASI")</f>
        <v>TIDAK KONSINYASI</v>
      </c>
      <c r="HI45" s="101" t="str">
        <f t="shared" ref="HI45" si="416">IF(GW45=0,"SELESAI",GZ45+$HI$8)</f>
        <v>SELESAI</v>
      </c>
      <c r="HJ45" s="27"/>
      <c r="HK45" s="101">
        <f t="shared" ref="HK45" si="417">MAX(GZ45,HH45,HI45)</f>
        <v>0</v>
      </c>
      <c r="HL45" s="83"/>
      <c r="HM45" s="83"/>
      <c r="HN45" s="83"/>
      <c r="HO45" s="83"/>
      <c r="HP45" s="102">
        <f t="shared" ref="HP45" si="418">IF(HQ45=1,GZ45,0)</f>
        <v>0</v>
      </c>
      <c r="HQ45" s="66">
        <f t="shared" ref="HQ45" si="419">IF(IX45=0,IF(HT45=0,IF(IP45=0,IF(GV45="UGR",GS45,0),0),0),0)</f>
        <v>0</v>
      </c>
      <c r="HR45" s="66">
        <f t="shared" si="291"/>
        <v>0</v>
      </c>
      <c r="HS45" s="102">
        <f t="shared" ref="HS45" si="420">IF(HT45=1,HH45,0)</f>
        <v>0</v>
      </c>
      <c r="HT45" s="66">
        <f t="shared" ref="HT45" si="421">HG45</f>
        <v>0</v>
      </c>
      <c r="HU45" s="66">
        <f t="shared" si="292"/>
        <v>0</v>
      </c>
      <c r="HV45" s="102">
        <f t="shared" ref="HV45" si="422">IF(HW45=1,GZ45,0)</f>
        <v>0</v>
      </c>
      <c r="HW45" s="66">
        <f t="shared" ref="HW45" si="423">IF(JB45=0,IF(IX45=0,IF(HT45=0,IF(GV45="MUSYAWARAH",GR45,0),0),0),0)</f>
        <v>0</v>
      </c>
      <c r="HX45" s="66">
        <f t="shared" si="293"/>
        <v>0</v>
      </c>
      <c r="HY45" s="102">
        <f t="shared" ref="HY45" si="424">IF(HZ45=1,HV45+$HI$8,0)</f>
        <v>0</v>
      </c>
      <c r="HZ45" s="66">
        <f t="shared" ref="HZ45" si="425">HW45</f>
        <v>0</v>
      </c>
      <c r="IA45" s="66">
        <f t="shared" si="294"/>
        <v>0</v>
      </c>
      <c r="IB45" s="102">
        <f t="shared" si="367"/>
        <v>0</v>
      </c>
      <c r="IC45" s="66">
        <f t="shared" ref="IC45" si="426">IF(GV45="Hasil Valuasi",GQ45,0)</f>
        <v>0</v>
      </c>
      <c r="ID45" s="66">
        <f t="shared" si="296"/>
        <v>0</v>
      </c>
      <c r="IE45" s="102">
        <f t="shared" ref="IE45" si="427">IF(IF45=1,IB45+$HI$8,0)</f>
        <v>0</v>
      </c>
      <c r="IF45" s="66">
        <f t="shared" ref="IF45" si="428">IC45</f>
        <v>0</v>
      </c>
      <c r="IG45" s="66">
        <f t="shared" si="297"/>
        <v>0</v>
      </c>
      <c r="IH45" s="102">
        <f t="shared" si="368"/>
        <v>0</v>
      </c>
      <c r="II45" s="66">
        <f t="shared" ref="II45" si="429">IF(GV45="Survey KJPP",GP45,0)</f>
        <v>0</v>
      </c>
      <c r="IJ45" s="66">
        <f t="shared" si="299"/>
        <v>0</v>
      </c>
      <c r="IK45" s="102">
        <f t="shared" ref="IK45" si="430">IF(IL45=1,IH45+$HI$8,0)</f>
        <v>0</v>
      </c>
      <c r="IL45" s="66">
        <f t="shared" ref="IL45" si="431">II45</f>
        <v>0</v>
      </c>
      <c r="IM45" s="66">
        <f t="shared" si="300"/>
        <v>0</v>
      </c>
      <c r="IN45" s="83"/>
      <c r="IO45" s="102">
        <f t="shared" ref="IO45" si="432">IF(IP45=1,+$GU$3+$HH$8,0)</f>
        <v>0</v>
      </c>
      <c r="IP45" s="66">
        <f t="shared" si="301"/>
        <v>0</v>
      </c>
      <c r="IQ45" s="66">
        <f t="shared" si="302"/>
        <v>0</v>
      </c>
      <c r="IR45" s="83"/>
      <c r="IS45" s="102"/>
      <c r="IT45" s="66">
        <f t="shared" si="303"/>
        <v>1</v>
      </c>
      <c r="IU45" s="66">
        <f t="shared" si="304"/>
        <v>830</v>
      </c>
      <c r="IV45" s="83"/>
      <c r="IW45" s="102"/>
      <c r="IX45" s="66">
        <f t="shared" si="305"/>
        <v>0</v>
      </c>
      <c r="IY45" s="66">
        <f t="shared" si="306"/>
        <v>0</v>
      </c>
      <c r="IZ45" s="83"/>
      <c r="JA45" s="102"/>
      <c r="JB45" s="66">
        <f t="shared" si="307"/>
        <v>0</v>
      </c>
      <c r="JC45" s="66">
        <f t="shared" si="308"/>
        <v>0</v>
      </c>
      <c r="JD45" s="83"/>
      <c r="JE45" s="102"/>
      <c r="JF45" s="66">
        <f t="shared" si="249"/>
        <v>1</v>
      </c>
      <c r="JG45" s="66">
        <f t="shared" si="249"/>
        <v>830</v>
      </c>
      <c r="JH45" s="83"/>
      <c r="JI45" s="102"/>
      <c r="JJ45" s="66">
        <f t="shared" si="309"/>
        <v>0</v>
      </c>
      <c r="JK45" s="66">
        <f t="shared" si="310"/>
        <v>0</v>
      </c>
      <c r="JM45" s="102">
        <f t="shared" ref="JM45" si="433">MAX(IW45,IS45,IO45,IK45,IE45,HY45,HS45,HP45)</f>
        <v>0</v>
      </c>
      <c r="JO45" s="29">
        <f>SUM(JQ45:KB45)</f>
        <v>1</v>
      </c>
      <c r="JP45" s="122">
        <f t="shared" si="312"/>
        <v>829</v>
      </c>
      <c r="JQ45" s="122">
        <f t="shared" si="313"/>
        <v>0</v>
      </c>
      <c r="JR45" s="122">
        <f t="shared" si="314"/>
        <v>1</v>
      </c>
      <c r="JS45" s="122">
        <f t="shared" si="315"/>
        <v>0</v>
      </c>
      <c r="JT45" s="122">
        <f t="shared" si="316"/>
        <v>0</v>
      </c>
      <c r="JU45" s="122">
        <f t="shared" si="317"/>
        <v>0</v>
      </c>
      <c r="JV45" s="122">
        <f t="shared" si="318"/>
        <v>0</v>
      </c>
      <c r="JW45" s="122">
        <f t="shared" si="319"/>
        <v>0</v>
      </c>
      <c r="JX45" s="122">
        <f t="shared" si="320"/>
        <v>0</v>
      </c>
      <c r="JY45" s="122">
        <f t="shared" si="321"/>
        <v>0</v>
      </c>
      <c r="JZ45" s="122">
        <f t="shared" si="322"/>
        <v>0</v>
      </c>
      <c r="KA45" s="122">
        <f t="shared" si="323"/>
        <v>0</v>
      </c>
      <c r="KB45" s="122">
        <f t="shared" si="324"/>
        <v>0</v>
      </c>
      <c r="KD45" s="122">
        <f t="shared" ref="KD45" si="434">IF(IF(SUM(GA45:GE45)&gt;100,1,0)+IF(FX45=1,1,0)=2,1,0)</f>
        <v>1</v>
      </c>
      <c r="KE45" s="122">
        <f t="shared" si="326"/>
        <v>829</v>
      </c>
      <c r="KF45" s="122">
        <f t="shared" si="327"/>
        <v>829</v>
      </c>
      <c r="KG45" s="122">
        <f t="shared" si="328"/>
        <v>0</v>
      </c>
      <c r="KH45" s="122">
        <f t="shared" si="329"/>
        <v>829</v>
      </c>
      <c r="KI45" s="122">
        <f t="shared" si="330"/>
        <v>0</v>
      </c>
      <c r="KJ45" s="122">
        <f t="shared" si="331"/>
        <v>0</v>
      </c>
      <c r="KK45" s="122">
        <f t="shared" si="332"/>
        <v>0</v>
      </c>
      <c r="KL45" s="122">
        <f t="shared" si="333"/>
        <v>0</v>
      </c>
      <c r="KM45" s="122">
        <f t="shared" si="334"/>
        <v>0</v>
      </c>
      <c r="KN45" s="123">
        <f t="shared" si="335"/>
        <v>0</v>
      </c>
      <c r="KO45" s="123">
        <f t="shared" si="336"/>
        <v>0</v>
      </c>
      <c r="KP45" s="123">
        <f t="shared" si="337"/>
        <v>0</v>
      </c>
      <c r="KQ45" s="123">
        <f t="shared" si="338"/>
        <v>0</v>
      </c>
      <c r="KR45" s="123">
        <f t="shared" si="339"/>
        <v>0</v>
      </c>
      <c r="KT45">
        <f t="shared" si="340"/>
        <v>0</v>
      </c>
      <c r="KU45" s="123"/>
      <c r="KV45" s="123"/>
      <c r="KW45" s="123"/>
      <c r="KX45" s="123"/>
      <c r="KY45" s="123"/>
      <c r="KZ45" s="123"/>
      <c r="LA45" s="123"/>
      <c r="LB45" s="123"/>
      <c r="LC45" s="123"/>
      <c r="LD45" s="123"/>
      <c r="LE45" s="123"/>
      <c r="LF45" s="123"/>
      <c r="LG45" s="123"/>
      <c r="LH45" s="123"/>
      <c r="LI45" s="123"/>
      <c r="LJ45" s="123"/>
      <c r="LK45" s="123"/>
      <c r="LL45" s="123"/>
      <c r="LM45" s="123"/>
      <c r="LN45" s="123"/>
      <c r="LO45" s="123"/>
      <c r="LP45" s="123"/>
      <c r="LQ45" s="123"/>
      <c r="LR45" s="123"/>
      <c r="LS45" s="123"/>
      <c r="LT45" s="123"/>
      <c r="LU45" s="123"/>
      <c r="LV45" s="123"/>
      <c r="LW45" s="123"/>
      <c r="LX45" s="123"/>
      <c r="LY45" s="123"/>
      <c r="LZ45" s="123"/>
      <c r="MA45" s="123"/>
      <c r="MB45" s="123"/>
      <c r="MC45" s="123"/>
      <c r="MD45" s="123"/>
      <c r="ME45" s="123"/>
      <c r="MF45" s="123"/>
      <c r="MG45" s="123"/>
      <c r="MH45" s="123"/>
      <c r="MI45" s="123"/>
      <c r="MJ45" s="123"/>
      <c r="MK45" s="123"/>
      <c r="ML45" s="123"/>
      <c r="MM45" s="123"/>
      <c r="MN45" s="123"/>
      <c r="MO45" s="123"/>
      <c r="MP45" s="123"/>
      <c r="MQ45" s="123"/>
      <c r="MR45" s="123"/>
      <c r="MS45" s="123"/>
      <c r="MT45" s="123"/>
      <c r="MU45" s="123"/>
      <c r="MV45" s="123"/>
      <c r="MW45" s="123"/>
      <c r="MX45" s="123"/>
      <c r="MY45" s="123"/>
      <c r="MZ45" s="123"/>
      <c r="NA45" s="123"/>
      <c r="NB45" s="123"/>
      <c r="NC45" s="123"/>
      <c r="ND45" s="123"/>
      <c r="NE45" s="123"/>
      <c r="NF45" s="123"/>
      <c r="NG45" s="123"/>
      <c r="NH45" s="123"/>
      <c r="NI45" s="123"/>
      <c r="NJ45" s="123"/>
      <c r="NK45" s="123"/>
      <c r="NM45">
        <f t="shared" ref="NM45" si="435">IF(KS45=1,1,0)</f>
        <v>0</v>
      </c>
      <c r="NN45">
        <f t="shared" ref="NN45" si="436">IF(KS45=2,1,0)</f>
        <v>0</v>
      </c>
      <c r="NO45">
        <f t="shared" ref="NO45" si="437">IF(KS45=3,1,0)</f>
        <v>0</v>
      </c>
      <c r="NP45">
        <f t="shared" ref="NP45" si="438">IF(KS45=4,1,0)</f>
        <v>0</v>
      </c>
      <c r="NQ45">
        <f t="shared" ref="NQ45" si="439">IF(KS45=5,1,0)</f>
        <v>0</v>
      </c>
      <c r="NR45">
        <f t="shared" ref="NR45" si="440">IF(KS45=6,1,0)</f>
        <v>0</v>
      </c>
      <c r="NS45">
        <f t="shared" ref="NS45" si="441">IF(KS45=7,1,0)</f>
        <v>0</v>
      </c>
      <c r="NT45">
        <f t="shared" ref="NT45" si="442">SUM(NM45:NS45)</f>
        <v>0</v>
      </c>
      <c r="NU45" s="29">
        <f t="shared" ref="NU45" si="443">NT45-KT45</f>
        <v>0</v>
      </c>
      <c r="NY45" s="17">
        <f t="shared" si="341"/>
        <v>1</v>
      </c>
      <c r="NZ45" s="152">
        <v>10800000</v>
      </c>
      <c r="OE45" s="155">
        <f t="shared" si="342"/>
        <v>0</v>
      </c>
      <c r="OF45" s="155">
        <f t="shared" si="343"/>
        <v>0</v>
      </c>
      <c r="OG45" s="155">
        <f t="shared" si="344"/>
        <v>0</v>
      </c>
      <c r="OH45" s="155">
        <f t="shared" si="345"/>
        <v>0</v>
      </c>
      <c r="OI45" s="155">
        <f t="shared" si="346"/>
        <v>0</v>
      </c>
      <c r="OJ45" s="67">
        <f t="shared" si="347"/>
        <v>0</v>
      </c>
      <c r="OK45" s="67">
        <f t="shared" si="348"/>
        <v>0</v>
      </c>
      <c r="OL45" s="67">
        <f t="shared" si="349"/>
        <v>0</v>
      </c>
      <c r="OM45" s="67">
        <f t="shared" si="350"/>
        <v>0</v>
      </c>
      <c r="OO45" s="155">
        <f t="shared" si="351"/>
        <v>0</v>
      </c>
      <c r="OP45" s="155">
        <f t="shared" si="352"/>
        <v>0</v>
      </c>
      <c r="OQ45" s="155">
        <f t="shared" si="353"/>
        <v>0</v>
      </c>
      <c r="OR45" s="155">
        <f t="shared" si="354"/>
        <v>0</v>
      </c>
      <c r="OS45" s="155">
        <f t="shared" si="355"/>
        <v>0</v>
      </c>
      <c r="OT45" s="67">
        <f t="shared" si="356"/>
        <v>0</v>
      </c>
      <c r="OU45" s="67">
        <f t="shared" si="357"/>
        <v>0</v>
      </c>
      <c r="OV45" s="67">
        <f t="shared" si="358"/>
        <v>0</v>
      </c>
      <c r="OW45" s="67">
        <f t="shared" si="359"/>
        <v>0</v>
      </c>
      <c r="OZ45" s="163">
        <f t="shared" si="369"/>
        <v>0</v>
      </c>
      <c r="PA45" s="166"/>
      <c r="PB45" s="166"/>
      <c r="PC45" s="166"/>
      <c r="PD45" s="210">
        <f t="shared" si="116"/>
        <v>0</v>
      </c>
      <c r="PE45" s="210"/>
      <c r="PF45" s="210">
        <f t="shared" si="117"/>
        <v>0</v>
      </c>
      <c r="PG45" s="210">
        <f t="shared" si="118"/>
        <v>0</v>
      </c>
      <c r="PH45" s="210">
        <f t="shared" si="118"/>
        <v>0</v>
      </c>
      <c r="PI45" s="210">
        <f t="shared" si="118"/>
        <v>0</v>
      </c>
      <c r="PJ45" s="210">
        <f t="shared" si="118"/>
        <v>0</v>
      </c>
      <c r="PK45" s="210">
        <f t="shared" si="118"/>
        <v>0</v>
      </c>
      <c r="PL45" s="210">
        <f t="shared" si="118"/>
        <v>0</v>
      </c>
      <c r="PM45" s="164"/>
      <c r="PN45" s="164"/>
      <c r="PO45" s="172">
        <f t="shared" si="361"/>
        <v>0</v>
      </c>
      <c r="PP45" s="172">
        <f t="shared" si="362"/>
        <v>0</v>
      </c>
      <c r="PQ45" s="172">
        <f t="shared" si="363"/>
        <v>0</v>
      </c>
      <c r="PR45" s="164"/>
      <c r="PS45" s="164"/>
      <c r="PT45" s="164"/>
      <c r="PU45" s="164"/>
    </row>
    <row r="46" spans="1:437 16383:16383" ht="16" x14ac:dyDescent="0.2">
      <c r="A46" s="19">
        <f t="shared" si="192"/>
        <v>38</v>
      </c>
      <c r="B46" s="269" t="s">
        <v>654</v>
      </c>
      <c r="C46" s="186">
        <v>6</v>
      </c>
      <c r="D46" s="188">
        <v>1</v>
      </c>
      <c r="E46" s="188">
        <v>191</v>
      </c>
      <c r="F46" s="188">
        <v>1</v>
      </c>
      <c r="G46" s="20">
        <f t="shared" si="260"/>
        <v>191</v>
      </c>
      <c r="H46" s="137">
        <f t="shared" ref="H46:H50" si="444">F46/$D46</f>
        <v>1</v>
      </c>
      <c r="I46" s="214">
        <f t="shared" ref="I46:I50" si="445">G46/$E46</f>
        <v>1</v>
      </c>
      <c r="J46" s="165">
        <v>1</v>
      </c>
      <c r="K46" s="188">
        <f>IF(J46=D46,E46,0)</f>
        <v>191</v>
      </c>
      <c r="L46" s="214">
        <f>J46/$D46</f>
        <v>1</v>
      </c>
      <c r="M46" s="214">
        <f>K46/$E46</f>
        <v>1</v>
      </c>
      <c r="N46" s="165">
        <v>1</v>
      </c>
      <c r="O46" s="188">
        <f t="shared" ref="O46:O50" si="446">IF(N46=D46,E46,0)</f>
        <v>191</v>
      </c>
      <c r="P46" s="137">
        <f t="shared" ref="P46:P50" si="447">N46/$D46</f>
        <v>1</v>
      </c>
      <c r="Q46" s="137">
        <f t="shared" ref="Q46:Q50" si="448">O46/$E46</f>
        <v>1</v>
      </c>
      <c r="R46" s="20"/>
      <c r="S46" s="20">
        <f t="shared" ref="S46:S50" si="449">IF(R46=D46,E46,0)</f>
        <v>0</v>
      </c>
      <c r="T46" s="137">
        <f t="shared" ref="T46:T50" si="450">R46/$D46</f>
        <v>0</v>
      </c>
      <c r="U46" s="137">
        <f t="shared" ref="U46:U50" si="451">S46/$E46</f>
        <v>0</v>
      </c>
      <c r="V46" s="20"/>
      <c r="W46" s="20">
        <f t="shared" ref="W46:W50" si="452">IF(V46=D46,E46,0)</f>
        <v>0</v>
      </c>
      <c r="X46" s="137">
        <f t="shared" ref="X46:X50" si="453">V46/$D46</f>
        <v>0</v>
      </c>
      <c r="Y46" s="137">
        <f t="shared" ref="Y46:Y50" si="454">W46/$E46</f>
        <v>0</v>
      </c>
      <c r="Z46" s="20">
        <v>0</v>
      </c>
      <c r="AA46" s="20"/>
      <c r="AB46" s="17">
        <f t="shared" si="193"/>
        <v>0</v>
      </c>
      <c r="AC46" s="18">
        <f t="shared" si="194"/>
        <v>0</v>
      </c>
      <c r="AD46" s="18">
        <f t="shared" si="195"/>
        <v>0</v>
      </c>
      <c r="AE46" s="20"/>
      <c r="AF46" s="20">
        <f t="shared" si="196"/>
        <v>0</v>
      </c>
      <c r="AG46" s="20"/>
      <c r="AH46" s="20"/>
      <c r="AI46" s="20">
        <v>0</v>
      </c>
      <c r="AJ46" s="20">
        <f t="shared" si="197"/>
        <v>0</v>
      </c>
      <c r="AK46" s="20"/>
      <c r="AL46" s="20">
        <v>0</v>
      </c>
      <c r="AM46" s="20">
        <v>0</v>
      </c>
      <c r="AN46" s="139">
        <v>1</v>
      </c>
      <c r="BB46" s="20">
        <f>IF(AN46=1,E46,0)</f>
        <v>191</v>
      </c>
      <c r="BE46" s="20">
        <f t="shared" si="198"/>
        <v>0</v>
      </c>
      <c r="BF46" s="20">
        <f t="shared" si="199"/>
        <v>0</v>
      </c>
      <c r="BG46" s="20">
        <f t="shared" si="200"/>
        <v>0</v>
      </c>
      <c r="BH46" s="20">
        <f t="shared" si="201"/>
        <v>0</v>
      </c>
      <c r="BI46" s="20">
        <f t="shared" si="202"/>
        <v>0</v>
      </c>
      <c r="BJ46" s="20">
        <f t="shared" si="203"/>
        <v>0</v>
      </c>
      <c r="BK46" s="20">
        <f t="shared" si="204"/>
        <v>0</v>
      </c>
      <c r="BN46" s="139"/>
      <c r="BO46" s="126"/>
      <c r="BP46" s="139"/>
      <c r="BQ46" s="139"/>
      <c r="BR46" s="139"/>
      <c r="BS46" s="139"/>
      <c r="BT46" s="139"/>
      <c r="BU46" s="139"/>
      <c r="BV46" s="139"/>
      <c r="BW46" s="139"/>
      <c r="BX46" s="139"/>
      <c r="BY46" s="139"/>
      <c r="BZ46" s="139"/>
      <c r="CB46" s="139"/>
      <c r="CD46" s="17">
        <f t="shared" si="205"/>
        <v>0</v>
      </c>
      <c r="CE46" s="17">
        <f t="shared" ref="CE46:CE48" si="455">IF(BO46=1,$CD46,0)</f>
        <v>0</v>
      </c>
      <c r="CF46" s="139">
        <f t="shared" ref="CF46:CF48" si="456">IF(BP46=1,$CD46,0)</f>
        <v>0</v>
      </c>
      <c r="CG46" s="139">
        <f t="shared" ref="CG46:CG48" si="457">IF(BQ46=1,$CD46,0)</f>
        <v>0</v>
      </c>
      <c r="CH46" s="139">
        <f t="shared" ref="CH46:CH48" si="458">IF(BR46=1,$CD46,0)</f>
        <v>0</v>
      </c>
      <c r="CI46" s="139">
        <f t="shared" ref="CI46:CI48" si="459">IF(BS46=1,$CD46,0)</f>
        <v>0</v>
      </c>
      <c r="CJ46" s="139">
        <f t="shared" ref="CJ46:CJ48" si="460">IF(BT46=1,$CD46,0)</f>
        <v>0</v>
      </c>
      <c r="CK46" s="139">
        <f t="shared" ref="CK46:CK48" si="461">IF(BU46=1,$CD46,0)</f>
        <v>0</v>
      </c>
      <c r="CL46" s="139">
        <f t="shared" ref="CL46:CL48" si="462">IF(BV46=1,$CD46,0)</f>
        <v>0</v>
      </c>
      <c r="CM46" s="139">
        <f t="shared" ref="CM46:CM48" si="463">IF(BW46=1,$CD46,0)</f>
        <v>0</v>
      </c>
      <c r="CN46" s="139">
        <f t="shared" ref="CN46:CN48" si="464">IF(BX46=1,$CD46,0)</f>
        <v>0</v>
      </c>
      <c r="CO46" s="139">
        <f t="shared" ref="CO46:CO48" si="465">IF(BY46=1,$CD46,0)</f>
        <v>0</v>
      </c>
      <c r="CP46" s="139">
        <f t="shared" ref="CP46:CP48" si="466">IF(BZ46=1,$CD46,0)</f>
        <v>0</v>
      </c>
      <c r="CQ46" s="148">
        <f t="shared" si="207"/>
        <v>0</v>
      </c>
      <c r="DV46" s="139">
        <f t="shared" si="208"/>
        <v>0</v>
      </c>
      <c r="DW46" s="139">
        <f t="shared" si="209"/>
        <v>0</v>
      </c>
      <c r="DX46" s="139">
        <f t="shared" si="210"/>
        <v>0</v>
      </c>
      <c r="DY46" s="139">
        <f t="shared" si="211"/>
        <v>0</v>
      </c>
      <c r="DZ46" s="139">
        <f t="shared" si="212"/>
        <v>0</v>
      </c>
      <c r="EA46" s="139">
        <f t="shared" si="213"/>
        <v>0</v>
      </c>
      <c r="EB46" s="139">
        <f t="shared" si="214"/>
        <v>0</v>
      </c>
      <c r="EG46" s="57">
        <f t="shared" si="215"/>
        <v>0</v>
      </c>
      <c r="EH46" s="57">
        <f t="shared" si="216"/>
        <v>0</v>
      </c>
      <c r="EI46" s="17"/>
      <c r="EJ46" s="17"/>
      <c r="EK46" s="17"/>
      <c r="EL46" s="17"/>
      <c r="EM46" s="17"/>
      <c r="EN46" s="17"/>
      <c r="EO46" s="17"/>
      <c r="EP46" s="17"/>
      <c r="EQ46" s="189"/>
      <c r="ER46" s="189"/>
      <c r="ES46" s="189"/>
      <c r="ET46" s="189"/>
      <c r="EU46" s="189"/>
      <c r="EV46" s="189"/>
      <c r="EW46" s="189"/>
      <c r="EX46" s="189"/>
      <c r="EY46" s="189"/>
      <c r="EZ46" s="189"/>
      <c r="FA46" s="189"/>
      <c r="FB46" s="189"/>
      <c r="FC46" s="189"/>
      <c r="FD46" s="17"/>
      <c r="FE46" s="17"/>
      <c r="FF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X46" s="80"/>
      <c r="FY46" s="17">
        <f t="shared" si="217"/>
        <v>0</v>
      </c>
      <c r="FZ46" s="17">
        <f t="shared" si="35"/>
        <v>0</v>
      </c>
      <c r="GA46" s="17">
        <f t="shared" si="36"/>
        <v>0</v>
      </c>
      <c r="GB46" s="17">
        <f t="shared" si="37"/>
        <v>0</v>
      </c>
      <c r="GC46" s="17">
        <f t="shared" si="38"/>
        <v>0</v>
      </c>
      <c r="GD46" s="17">
        <f t="shared" si="39"/>
        <v>0</v>
      </c>
      <c r="GE46" s="17">
        <f t="shared" si="40"/>
        <v>0</v>
      </c>
      <c r="GF46" s="67"/>
      <c r="GG46" s="17">
        <v>0</v>
      </c>
      <c r="GH46" s="17">
        <v>0</v>
      </c>
      <c r="GI46" s="67"/>
      <c r="GJ46" s="62">
        <f t="shared" si="218"/>
        <v>0</v>
      </c>
      <c r="GK46" s="62">
        <f t="shared" si="219"/>
        <v>0</v>
      </c>
      <c r="GO46" s="17">
        <f t="shared" si="41"/>
        <v>0</v>
      </c>
      <c r="GP46" s="17">
        <f t="shared" si="42"/>
        <v>0</v>
      </c>
      <c r="GQ46" s="17">
        <f t="shared" si="43"/>
        <v>0</v>
      </c>
      <c r="GR46" s="17">
        <f t="shared" si="44"/>
        <v>1</v>
      </c>
      <c r="GS46" s="17">
        <f t="shared" si="45"/>
        <v>1</v>
      </c>
      <c r="GT46" s="17">
        <f t="shared" si="220"/>
        <v>0</v>
      </c>
      <c r="GU46" s="101">
        <f t="shared" si="146"/>
        <v>43243</v>
      </c>
      <c r="GV46" s="17" t="str">
        <f t="shared" si="221"/>
        <v>Musyawarah</v>
      </c>
      <c r="GW46" s="17">
        <f t="shared" si="222"/>
        <v>1</v>
      </c>
      <c r="GX46" s="66" t="str">
        <f t="shared" si="223"/>
        <v>Musyawarah</v>
      </c>
      <c r="GY46" s="66">
        <f t="shared" si="224"/>
        <v>24</v>
      </c>
      <c r="GZ46" s="102">
        <f t="shared" si="225"/>
        <v>43267</v>
      </c>
      <c r="HA46" s="83"/>
      <c r="HB46" s="83"/>
      <c r="HC46" s="17">
        <f t="shared" si="46"/>
        <v>0</v>
      </c>
      <c r="HD46" s="17">
        <f t="shared" si="47"/>
        <v>0</v>
      </c>
      <c r="HE46" s="17">
        <f t="shared" si="226"/>
        <v>0</v>
      </c>
      <c r="HF46" s="17">
        <f t="shared" si="227"/>
        <v>0</v>
      </c>
      <c r="HG46" s="17">
        <f t="shared" si="228"/>
        <v>0</v>
      </c>
      <c r="HH46" s="101" t="str">
        <f t="shared" si="229"/>
        <v>TIDAK KONSINYASI</v>
      </c>
      <c r="HI46" s="101">
        <f t="shared" si="230"/>
        <v>43312</v>
      </c>
      <c r="HJ46" s="27"/>
      <c r="HK46" s="101">
        <f t="shared" si="231"/>
        <v>43312</v>
      </c>
      <c r="HL46" s="83"/>
      <c r="HM46" s="83"/>
      <c r="HN46" s="83"/>
      <c r="HO46" s="83"/>
      <c r="HP46" s="102">
        <f t="shared" si="232"/>
        <v>0</v>
      </c>
      <c r="HQ46" s="66">
        <f t="shared" si="233"/>
        <v>0</v>
      </c>
      <c r="HR46" s="66">
        <f t="shared" si="50"/>
        <v>0</v>
      </c>
      <c r="HS46" s="102">
        <f t="shared" si="234"/>
        <v>0</v>
      </c>
      <c r="HT46" s="66">
        <f t="shared" si="235"/>
        <v>0</v>
      </c>
      <c r="HU46" s="66">
        <f t="shared" si="51"/>
        <v>0</v>
      </c>
      <c r="HV46" s="102">
        <f t="shared" si="236"/>
        <v>0</v>
      </c>
      <c r="HW46" s="66">
        <f t="shared" si="237"/>
        <v>0</v>
      </c>
      <c r="HX46" s="66">
        <f t="shared" si="53"/>
        <v>0</v>
      </c>
      <c r="HY46" s="102">
        <f t="shared" si="238"/>
        <v>0</v>
      </c>
      <c r="HZ46" s="66">
        <f t="shared" si="239"/>
        <v>0</v>
      </c>
      <c r="IA46" s="66">
        <f t="shared" si="55"/>
        <v>0</v>
      </c>
      <c r="IB46" s="102">
        <f t="shared" si="240"/>
        <v>0</v>
      </c>
      <c r="IC46" s="66">
        <f t="shared" si="241"/>
        <v>0</v>
      </c>
      <c r="ID46" s="66">
        <f t="shared" si="57"/>
        <v>0</v>
      </c>
      <c r="IE46" s="102">
        <f t="shared" si="242"/>
        <v>0</v>
      </c>
      <c r="IF46" s="66">
        <f t="shared" si="243"/>
        <v>0</v>
      </c>
      <c r="IG46" s="66">
        <f t="shared" si="60"/>
        <v>0</v>
      </c>
      <c r="IH46" s="102">
        <f t="shared" si="244"/>
        <v>0</v>
      </c>
      <c r="II46" s="66">
        <f t="shared" si="245"/>
        <v>0</v>
      </c>
      <c r="IJ46" s="66">
        <f t="shared" si="61"/>
        <v>0</v>
      </c>
      <c r="IK46" s="102">
        <f t="shared" si="246"/>
        <v>0</v>
      </c>
      <c r="IL46" s="66">
        <f t="shared" si="247"/>
        <v>0</v>
      </c>
      <c r="IM46" s="66">
        <f t="shared" si="64"/>
        <v>0</v>
      </c>
      <c r="IN46" s="83"/>
      <c r="IO46" s="102">
        <f t="shared" si="248"/>
        <v>0</v>
      </c>
      <c r="IP46" s="66">
        <f t="shared" si="66"/>
        <v>0</v>
      </c>
      <c r="IQ46" s="66">
        <f t="shared" si="67"/>
        <v>0</v>
      </c>
      <c r="IR46" s="83"/>
      <c r="IS46" s="102"/>
      <c r="IT46" s="66">
        <f t="shared" si="68"/>
        <v>0</v>
      </c>
      <c r="IU46" s="66">
        <f t="shared" si="69"/>
        <v>0</v>
      </c>
      <c r="IV46" s="83"/>
      <c r="IW46" s="102"/>
      <c r="IX46" s="66">
        <f t="shared" si="70"/>
        <v>0</v>
      </c>
      <c r="IY46" s="66">
        <f t="shared" si="71"/>
        <v>0</v>
      </c>
      <c r="IZ46" s="83"/>
      <c r="JA46" s="102"/>
      <c r="JB46" s="66">
        <f t="shared" si="72"/>
        <v>1</v>
      </c>
      <c r="JC46" s="66">
        <f t="shared" si="73"/>
        <v>191</v>
      </c>
      <c r="JD46" s="83"/>
      <c r="JE46" s="102"/>
      <c r="JF46" s="66">
        <f t="shared" ref="JF46:JF48" si="467">IT46+HQ46+HT46+HZ46+IF46+IL46+IP46+IX46+JB46</f>
        <v>1</v>
      </c>
      <c r="JG46" s="66">
        <f t="shared" ref="JG46:JG48" si="468">IU46+HR46+HU46+IA46+IG46+IM46+IQ46+IY46+JC46</f>
        <v>191</v>
      </c>
      <c r="JH46" s="83"/>
      <c r="JI46" s="102"/>
      <c r="JJ46" s="66">
        <f t="shared" si="75"/>
        <v>0</v>
      </c>
      <c r="JK46" s="66">
        <f t="shared" si="76"/>
        <v>0</v>
      </c>
      <c r="JM46" s="102">
        <f t="shared" si="250"/>
        <v>0</v>
      </c>
      <c r="JO46" s="29">
        <f>SUM(JQ46:KB46)</f>
        <v>0</v>
      </c>
      <c r="JP46" s="122">
        <f t="shared" si="78"/>
        <v>0</v>
      </c>
      <c r="JQ46" s="122">
        <f t="shared" si="79"/>
        <v>0</v>
      </c>
      <c r="JR46" s="122">
        <f t="shared" si="80"/>
        <v>0</v>
      </c>
      <c r="JS46" s="122">
        <f t="shared" si="81"/>
        <v>0</v>
      </c>
      <c r="JT46" s="122">
        <f t="shared" si="82"/>
        <v>0</v>
      </c>
      <c r="JU46" s="122">
        <f t="shared" si="83"/>
        <v>0</v>
      </c>
      <c r="JV46" s="122">
        <f t="shared" si="84"/>
        <v>0</v>
      </c>
      <c r="JW46" s="122">
        <f t="shared" si="85"/>
        <v>0</v>
      </c>
      <c r="JX46" s="122">
        <f t="shared" si="86"/>
        <v>0</v>
      </c>
      <c r="JY46" s="122">
        <f t="shared" si="87"/>
        <v>0</v>
      </c>
      <c r="JZ46" s="122">
        <f t="shared" si="88"/>
        <v>0</v>
      </c>
      <c r="KA46" s="122">
        <f t="shared" si="89"/>
        <v>0</v>
      </c>
      <c r="KB46" s="122">
        <f t="shared" si="90"/>
        <v>0</v>
      </c>
      <c r="KD46" s="122">
        <f t="shared" si="167"/>
        <v>0</v>
      </c>
      <c r="KE46" s="122">
        <f t="shared" si="92"/>
        <v>0</v>
      </c>
      <c r="KF46" s="122">
        <f t="shared" si="93"/>
        <v>0</v>
      </c>
      <c r="KG46" s="122">
        <f t="shared" si="94"/>
        <v>0</v>
      </c>
      <c r="KH46" s="122">
        <f t="shared" si="95"/>
        <v>0</v>
      </c>
      <c r="KI46" s="122">
        <f t="shared" si="96"/>
        <v>0</v>
      </c>
      <c r="KJ46" s="122">
        <f t="shared" si="97"/>
        <v>0</v>
      </c>
      <c r="KK46" s="122">
        <f t="shared" si="98"/>
        <v>0</v>
      </c>
      <c r="KL46" s="122">
        <f t="shared" si="99"/>
        <v>0</v>
      </c>
      <c r="KM46" s="122">
        <f t="shared" si="100"/>
        <v>0</v>
      </c>
      <c r="KN46" s="123">
        <f t="shared" si="101"/>
        <v>0</v>
      </c>
      <c r="KO46" s="123">
        <f t="shared" si="102"/>
        <v>0</v>
      </c>
      <c r="KP46" s="123">
        <f t="shared" si="103"/>
        <v>0</v>
      </c>
      <c r="KQ46" s="123">
        <f t="shared" si="104"/>
        <v>0</v>
      </c>
      <c r="KR46" s="123">
        <f t="shared" si="105"/>
        <v>0</v>
      </c>
      <c r="KS46">
        <v>2</v>
      </c>
      <c r="KT46">
        <f t="shared" si="106"/>
        <v>1</v>
      </c>
      <c r="KU46" s="123"/>
      <c r="KV46" s="123"/>
      <c r="KW46" s="123"/>
      <c r="KX46" s="123"/>
      <c r="KY46" s="123"/>
      <c r="KZ46" s="123"/>
      <c r="LA46" s="123"/>
      <c r="LB46" s="123"/>
      <c r="LC46" s="123"/>
      <c r="LD46" s="123"/>
      <c r="LE46" s="123"/>
      <c r="LF46" s="123"/>
      <c r="LG46" s="123"/>
      <c r="LH46" s="123"/>
      <c r="LI46" s="123"/>
      <c r="LJ46" s="123"/>
      <c r="LK46" s="123"/>
      <c r="LL46" s="123"/>
      <c r="LM46" s="123">
        <v>1</v>
      </c>
      <c r="LN46" s="123">
        <v>1</v>
      </c>
      <c r="LO46" s="123"/>
      <c r="LP46" s="123"/>
      <c r="LQ46" s="123"/>
      <c r="LR46" s="123"/>
      <c r="LS46" s="123"/>
      <c r="LT46" s="123"/>
      <c r="LU46" s="123"/>
      <c r="LV46" s="123"/>
      <c r="LW46" s="123"/>
      <c r="LX46" s="123"/>
      <c r="LY46" s="123"/>
      <c r="LZ46" s="123"/>
      <c r="MA46" s="123"/>
      <c r="MB46" s="123"/>
      <c r="MC46" s="123"/>
      <c r="MD46" s="123"/>
      <c r="ME46" s="123"/>
      <c r="MF46" s="123"/>
      <c r="MG46" s="123"/>
      <c r="MH46" s="123"/>
      <c r="MI46" s="123"/>
      <c r="MJ46" s="123"/>
      <c r="MK46" s="123"/>
      <c r="ML46" s="123"/>
      <c r="MM46" s="123"/>
      <c r="MN46" s="123"/>
      <c r="MO46" s="123"/>
      <c r="MP46" s="123"/>
      <c r="MQ46" s="123"/>
      <c r="MR46" s="123"/>
      <c r="MS46" s="123"/>
      <c r="MT46" s="123"/>
      <c r="MU46" s="123"/>
      <c r="MV46" s="123"/>
      <c r="MW46" s="123"/>
      <c r="MX46" s="123"/>
      <c r="MY46" s="123"/>
      <c r="MZ46" s="123"/>
      <c r="NA46" s="123"/>
      <c r="NB46" s="123"/>
      <c r="NC46" s="123"/>
      <c r="ND46" s="123"/>
      <c r="NE46" s="123"/>
      <c r="NF46" s="123"/>
      <c r="NG46" s="123"/>
      <c r="NH46" s="123"/>
      <c r="NI46" s="123"/>
      <c r="NJ46" s="123"/>
      <c r="NK46" s="123"/>
      <c r="NM46">
        <f t="shared" si="251"/>
        <v>0</v>
      </c>
      <c r="NN46">
        <f t="shared" si="252"/>
        <v>1</v>
      </c>
      <c r="NO46">
        <f t="shared" si="253"/>
        <v>0</v>
      </c>
      <c r="NP46">
        <f t="shared" si="254"/>
        <v>0</v>
      </c>
      <c r="NQ46">
        <f t="shared" si="255"/>
        <v>0</v>
      </c>
      <c r="NR46">
        <f t="shared" si="256"/>
        <v>0</v>
      </c>
      <c r="NS46">
        <f t="shared" si="257"/>
        <v>0</v>
      </c>
      <c r="NT46">
        <f t="shared" si="258"/>
        <v>1</v>
      </c>
      <c r="NU46" s="29">
        <f t="shared" si="259"/>
        <v>0</v>
      </c>
      <c r="NY46" s="17"/>
      <c r="NZ46" s="152"/>
      <c r="OE46" s="155"/>
      <c r="OF46" s="155"/>
      <c r="OG46" s="155"/>
      <c r="OH46" s="155"/>
      <c r="OI46" s="155"/>
      <c r="OJ46" s="67"/>
      <c r="OK46" s="67"/>
      <c r="OL46" s="67"/>
      <c r="OM46" s="67"/>
      <c r="OO46" s="155"/>
      <c r="OP46" s="155"/>
      <c r="OQ46" s="155"/>
      <c r="OR46" s="155"/>
      <c r="OS46" s="155"/>
      <c r="OT46" s="67"/>
      <c r="OU46" s="67"/>
      <c r="OV46" s="67"/>
      <c r="OW46" s="67"/>
      <c r="OZ46" s="163">
        <v>1</v>
      </c>
      <c r="PA46" s="166">
        <v>1</v>
      </c>
      <c r="PB46" s="166"/>
      <c r="PC46" s="166"/>
      <c r="PD46" s="210">
        <f t="shared" si="116"/>
        <v>0</v>
      </c>
      <c r="PE46" s="210"/>
      <c r="PF46" s="210">
        <f t="shared" si="117"/>
        <v>0</v>
      </c>
      <c r="PG46" s="210">
        <f t="shared" si="118"/>
        <v>191</v>
      </c>
      <c r="PH46" s="210">
        <f t="shared" si="118"/>
        <v>0</v>
      </c>
      <c r="PI46" s="210">
        <f t="shared" si="118"/>
        <v>0</v>
      </c>
      <c r="PJ46" s="210">
        <f t="shared" si="118"/>
        <v>0</v>
      </c>
      <c r="PK46" s="210">
        <f t="shared" si="118"/>
        <v>0</v>
      </c>
      <c r="PL46" s="210">
        <f t="shared" si="118"/>
        <v>0</v>
      </c>
      <c r="PM46" s="164"/>
      <c r="PN46" s="164"/>
      <c r="PO46" s="172">
        <f t="shared" si="189"/>
        <v>0</v>
      </c>
      <c r="PP46" s="172">
        <f t="shared" si="190"/>
        <v>0</v>
      </c>
      <c r="PQ46" s="172">
        <f t="shared" si="191"/>
        <v>0</v>
      </c>
      <c r="PR46" s="164"/>
      <c r="PS46" s="164"/>
      <c r="PT46" s="164"/>
      <c r="PU46" s="164"/>
    </row>
    <row r="47" spans="1:437 16383:16383" ht="16" x14ac:dyDescent="0.2">
      <c r="A47" s="19">
        <f t="shared" si="192"/>
        <v>39</v>
      </c>
      <c r="B47" s="269" t="s">
        <v>655</v>
      </c>
      <c r="C47" s="186">
        <v>7</v>
      </c>
      <c r="D47" s="188">
        <v>1</v>
      </c>
      <c r="E47" s="188">
        <v>191</v>
      </c>
      <c r="F47" s="188">
        <v>1</v>
      </c>
      <c r="G47" s="20">
        <f t="shared" si="260"/>
        <v>191</v>
      </c>
      <c r="H47" s="137">
        <f t="shared" si="444"/>
        <v>1</v>
      </c>
      <c r="I47" s="214">
        <f t="shared" si="445"/>
        <v>1</v>
      </c>
      <c r="J47" s="165">
        <v>1</v>
      </c>
      <c r="K47" s="188">
        <f t="shared" ref="K47:K50" si="469">IF(J47=D47,E47,0)</f>
        <v>191</v>
      </c>
      <c r="L47" s="214">
        <f t="shared" ref="L47:L50" si="470">J47/$D47</f>
        <v>1</v>
      </c>
      <c r="M47" s="214">
        <f t="shared" ref="M47:M50" si="471">K47/$E47</f>
        <v>1</v>
      </c>
      <c r="N47" s="165">
        <v>1</v>
      </c>
      <c r="O47" s="188">
        <f t="shared" si="446"/>
        <v>191</v>
      </c>
      <c r="P47" s="137">
        <f t="shared" si="447"/>
        <v>1</v>
      </c>
      <c r="Q47" s="137">
        <f t="shared" si="448"/>
        <v>1</v>
      </c>
      <c r="R47" s="20"/>
      <c r="S47" s="20">
        <f t="shared" si="449"/>
        <v>0</v>
      </c>
      <c r="T47" s="137">
        <f t="shared" si="450"/>
        <v>0</v>
      </c>
      <c r="U47" s="137">
        <f t="shared" si="451"/>
        <v>0</v>
      </c>
      <c r="V47" s="20"/>
      <c r="W47" s="20">
        <f t="shared" si="452"/>
        <v>0</v>
      </c>
      <c r="X47" s="137">
        <f t="shared" si="453"/>
        <v>0</v>
      </c>
      <c r="Y47" s="137">
        <f t="shared" si="454"/>
        <v>0</v>
      </c>
      <c r="Z47" s="20">
        <v>0</v>
      </c>
      <c r="AA47" s="20"/>
      <c r="AB47" s="17">
        <f t="shared" si="193"/>
        <v>0</v>
      </c>
      <c r="AC47" s="18">
        <f t="shared" si="194"/>
        <v>0</v>
      </c>
      <c r="AD47" s="18">
        <f t="shared" si="195"/>
        <v>0</v>
      </c>
      <c r="AE47" s="20"/>
      <c r="AF47" s="20">
        <f t="shared" si="196"/>
        <v>0</v>
      </c>
      <c r="AG47" s="20"/>
      <c r="AH47" s="20"/>
      <c r="AI47" s="20">
        <v>0</v>
      </c>
      <c r="AJ47" s="20">
        <f t="shared" si="197"/>
        <v>0</v>
      </c>
      <c r="AK47" s="20"/>
      <c r="AL47" s="20">
        <v>0</v>
      </c>
      <c r="AM47" s="20">
        <v>0</v>
      </c>
      <c r="AN47" s="139">
        <v>1</v>
      </c>
      <c r="BB47" s="20">
        <f t="shared" ref="BB47:BB50" si="472">IF(AN47=1,E47,0)</f>
        <v>191</v>
      </c>
      <c r="BE47" s="20">
        <f t="shared" si="198"/>
        <v>0</v>
      </c>
      <c r="BF47" s="20">
        <f t="shared" si="199"/>
        <v>0</v>
      </c>
      <c r="BG47" s="20">
        <f t="shared" si="200"/>
        <v>0</v>
      </c>
      <c r="BH47" s="20">
        <f t="shared" si="201"/>
        <v>0</v>
      </c>
      <c r="BI47" s="20">
        <f t="shared" si="202"/>
        <v>0</v>
      </c>
      <c r="BJ47" s="20">
        <f t="shared" si="203"/>
        <v>0</v>
      </c>
      <c r="BK47" s="20">
        <f t="shared" si="204"/>
        <v>0</v>
      </c>
      <c r="BN47" s="139"/>
      <c r="BO47" s="126"/>
      <c r="BP47" s="139"/>
      <c r="BQ47" s="139"/>
      <c r="BR47" s="139"/>
      <c r="BS47" s="139"/>
      <c r="BT47" s="139"/>
      <c r="BU47" s="139"/>
      <c r="BV47" s="139"/>
      <c r="BW47" s="139"/>
      <c r="BX47" s="139"/>
      <c r="BY47" s="139"/>
      <c r="BZ47" s="139"/>
      <c r="CB47" s="139"/>
      <c r="CD47" s="17">
        <f t="shared" si="205"/>
        <v>0</v>
      </c>
      <c r="CE47" s="17">
        <f t="shared" si="455"/>
        <v>0</v>
      </c>
      <c r="CF47" s="139">
        <f t="shared" si="456"/>
        <v>0</v>
      </c>
      <c r="CG47" s="139">
        <f t="shared" si="457"/>
        <v>0</v>
      </c>
      <c r="CH47" s="139">
        <f t="shared" si="458"/>
        <v>0</v>
      </c>
      <c r="CI47" s="139">
        <f t="shared" si="459"/>
        <v>0</v>
      </c>
      <c r="CJ47" s="139">
        <f t="shared" si="460"/>
        <v>0</v>
      </c>
      <c r="CK47" s="139">
        <f t="shared" si="461"/>
        <v>0</v>
      </c>
      <c r="CL47" s="139">
        <f t="shared" si="462"/>
        <v>0</v>
      </c>
      <c r="CM47" s="139">
        <f t="shared" si="463"/>
        <v>0</v>
      </c>
      <c r="CN47" s="139">
        <f t="shared" si="464"/>
        <v>0</v>
      </c>
      <c r="CO47" s="139">
        <f t="shared" si="465"/>
        <v>0</v>
      </c>
      <c r="CP47" s="139">
        <f t="shared" si="466"/>
        <v>0</v>
      </c>
      <c r="CQ47" s="148">
        <f t="shared" si="207"/>
        <v>0</v>
      </c>
      <c r="DV47" s="139">
        <f t="shared" si="208"/>
        <v>0</v>
      </c>
      <c r="DW47" s="139">
        <f t="shared" si="209"/>
        <v>0</v>
      </c>
      <c r="DX47" s="139">
        <f t="shared" si="210"/>
        <v>0</v>
      </c>
      <c r="DY47" s="139">
        <f t="shared" si="211"/>
        <v>0</v>
      </c>
      <c r="DZ47" s="139">
        <f t="shared" si="212"/>
        <v>0</v>
      </c>
      <c r="EA47" s="139">
        <f t="shared" si="213"/>
        <v>0</v>
      </c>
      <c r="EB47" s="139">
        <f t="shared" si="214"/>
        <v>0</v>
      </c>
      <c r="EG47" s="57">
        <f t="shared" si="215"/>
        <v>0</v>
      </c>
      <c r="EH47" s="57">
        <f t="shared" si="216"/>
        <v>0</v>
      </c>
      <c r="EI47" s="17"/>
      <c r="EJ47" s="17"/>
      <c r="EK47" s="17"/>
      <c r="EL47" s="17"/>
      <c r="EM47" s="17"/>
      <c r="EN47" s="17"/>
      <c r="EO47" s="17"/>
      <c r="EP47" s="17"/>
      <c r="EQ47" s="189"/>
      <c r="ER47" s="189"/>
      <c r="ES47" s="189"/>
      <c r="ET47" s="189"/>
      <c r="EU47" s="189"/>
      <c r="EV47" s="189"/>
      <c r="EW47" s="189"/>
      <c r="EX47" s="189"/>
      <c r="EY47" s="189"/>
      <c r="EZ47" s="189"/>
      <c r="FA47" s="189"/>
      <c r="FB47" s="189"/>
      <c r="FC47" s="189"/>
      <c r="FD47" s="17"/>
      <c r="FE47" s="17"/>
      <c r="FF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X47" s="80"/>
      <c r="FY47" s="17">
        <f t="shared" si="217"/>
        <v>0</v>
      </c>
      <c r="FZ47" s="17">
        <f t="shared" si="35"/>
        <v>0</v>
      </c>
      <c r="GA47" s="17">
        <f t="shared" si="36"/>
        <v>0</v>
      </c>
      <c r="GB47" s="17">
        <f t="shared" si="37"/>
        <v>0</v>
      </c>
      <c r="GC47" s="17">
        <f t="shared" si="38"/>
        <v>0</v>
      </c>
      <c r="GD47" s="17">
        <f t="shared" si="39"/>
        <v>0</v>
      </c>
      <c r="GE47" s="17">
        <f t="shared" si="40"/>
        <v>0</v>
      </c>
      <c r="GF47" s="67"/>
      <c r="GG47" s="17">
        <v>0</v>
      </c>
      <c r="GH47" s="17">
        <v>0</v>
      </c>
      <c r="GI47" s="67"/>
      <c r="GJ47" s="62">
        <f t="shared" si="218"/>
        <v>0</v>
      </c>
      <c r="GK47" s="62">
        <f t="shared" si="219"/>
        <v>0</v>
      </c>
      <c r="GO47" s="17">
        <f t="shared" si="41"/>
        <v>0</v>
      </c>
      <c r="GP47" s="17">
        <f t="shared" si="42"/>
        <v>0</v>
      </c>
      <c r="GQ47" s="17">
        <f t="shared" si="43"/>
        <v>0</v>
      </c>
      <c r="GR47" s="17">
        <f t="shared" si="44"/>
        <v>1</v>
      </c>
      <c r="GS47" s="17">
        <f t="shared" si="45"/>
        <v>1</v>
      </c>
      <c r="GT47" s="17">
        <f t="shared" si="220"/>
        <v>0</v>
      </c>
      <c r="GU47" s="101">
        <f t="shared" si="146"/>
        <v>43243</v>
      </c>
      <c r="GV47" s="17" t="str">
        <f t="shared" si="221"/>
        <v>Musyawarah</v>
      </c>
      <c r="GW47" s="17">
        <f t="shared" si="222"/>
        <v>1</v>
      </c>
      <c r="GX47" s="66" t="str">
        <f t="shared" si="223"/>
        <v>Musyawarah</v>
      </c>
      <c r="GY47" s="66">
        <f t="shared" si="224"/>
        <v>24</v>
      </c>
      <c r="GZ47" s="102">
        <f t="shared" si="225"/>
        <v>43267</v>
      </c>
      <c r="HA47" s="83"/>
      <c r="HB47" s="83"/>
      <c r="HC47" s="17">
        <f t="shared" si="46"/>
        <v>0</v>
      </c>
      <c r="HD47" s="17">
        <f t="shared" si="47"/>
        <v>0</v>
      </c>
      <c r="HE47" s="17">
        <f t="shared" si="226"/>
        <v>0</v>
      </c>
      <c r="HF47" s="17">
        <f t="shared" si="227"/>
        <v>0</v>
      </c>
      <c r="HG47" s="17">
        <f t="shared" si="228"/>
        <v>0</v>
      </c>
      <c r="HH47" s="101" t="str">
        <f t="shared" si="229"/>
        <v>TIDAK KONSINYASI</v>
      </c>
      <c r="HI47" s="101">
        <f t="shared" si="230"/>
        <v>43312</v>
      </c>
      <c r="HJ47" s="27"/>
      <c r="HK47" s="101">
        <f t="shared" si="231"/>
        <v>43312</v>
      </c>
      <c r="HL47" s="83"/>
      <c r="HM47" s="83"/>
      <c r="HN47" s="83"/>
      <c r="HO47" s="83"/>
      <c r="HP47" s="102">
        <f t="shared" si="232"/>
        <v>0</v>
      </c>
      <c r="HQ47" s="66">
        <f t="shared" si="233"/>
        <v>0</v>
      </c>
      <c r="HR47" s="66">
        <f t="shared" si="50"/>
        <v>0</v>
      </c>
      <c r="HS47" s="102">
        <f t="shared" si="234"/>
        <v>0</v>
      </c>
      <c r="HT47" s="66">
        <f t="shared" si="235"/>
        <v>0</v>
      </c>
      <c r="HU47" s="66">
        <f t="shared" si="51"/>
        <v>0</v>
      </c>
      <c r="HV47" s="102">
        <f t="shared" si="236"/>
        <v>0</v>
      </c>
      <c r="HW47" s="66">
        <f t="shared" si="237"/>
        <v>0</v>
      </c>
      <c r="HX47" s="66">
        <f t="shared" si="53"/>
        <v>0</v>
      </c>
      <c r="HY47" s="102">
        <f t="shared" si="238"/>
        <v>0</v>
      </c>
      <c r="HZ47" s="66">
        <f t="shared" si="239"/>
        <v>0</v>
      </c>
      <c r="IA47" s="66">
        <f t="shared" si="55"/>
        <v>0</v>
      </c>
      <c r="IB47" s="102">
        <f t="shared" si="240"/>
        <v>0</v>
      </c>
      <c r="IC47" s="66">
        <f t="shared" si="241"/>
        <v>0</v>
      </c>
      <c r="ID47" s="66">
        <f t="shared" si="57"/>
        <v>0</v>
      </c>
      <c r="IE47" s="102">
        <f t="shared" si="242"/>
        <v>0</v>
      </c>
      <c r="IF47" s="66">
        <f t="shared" si="243"/>
        <v>0</v>
      </c>
      <c r="IG47" s="66">
        <f t="shared" si="60"/>
        <v>0</v>
      </c>
      <c r="IH47" s="102">
        <f t="shared" si="244"/>
        <v>0</v>
      </c>
      <c r="II47" s="66">
        <f t="shared" si="245"/>
        <v>0</v>
      </c>
      <c r="IJ47" s="66">
        <f t="shared" si="61"/>
        <v>0</v>
      </c>
      <c r="IK47" s="102">
        <f t="shared" si="246"/>
        <v>0</v>
      </c>
      <c r="IL47" s="66">
        <f t="shared" si="247"/>
        <v>0</v>
      </c>
      <c r="IM47" s="66">
        <f t="shared" si="64"/>
        <v>0</v>
      </c>
      <c r="IN47" s="83"/>
      <c r="IO47" s="102">
        <f t="shared" si="248"/>
        <v>0</v>
      </c>
      <c r="IP47" s="66">
        <f t="shared" si="66"/>
        <v>0</v>
      </c>
      <c r="IQ47" s="66">
        <f t="shared" si="67"/>
        <v>0</v>
      </c>
      <c r="IR47" s="83"/>
      <c r="IS47" s="102"/>
      <c r="IT47" s="66">
        <f t="shared" si="68"/>
        <v>0</v>
      </c>
      <c r="IU47" s="66">
        <f t="shared" si="69"/>
        <v>0</v>
      </c>
      <c r="IV47" s="83"/>
      <c r="IW47" s="102"/>
      <c r="IX47" s="66">
        <f t="shared" si="70"/>
        <v>0</v>
      </c>
      <c r="IY47" s="66">
        <f t="shared" si="71"/>
        <v>0</v>
      </c>
      <c r="IZ47" s="83"/>
      <c r="JA47" s="102"/>
      <c r="JB47" s="66">
        <f t="shared" si="72"/>
        <v>1</v>
      </c>
      <c r="JC47" s="66">
        <f t="shared" si="73"/>
        <v>191</v>
      </c>
      <c r="JD47" s="83"/>
      <c r="JE47" s="102"/>
      <c r="JF47" s="66">
        <f t="shared" si="467"/>
        <v>1</v>
      </c>
      <c r="JG47" s="66">
        <f t="shared" si="468"/>
        <v>191</v>
      </c>
      <c r="JH47" s="83"/>
      <c r="JI47" s="102"/>
      <c r="JJ47" s="66">
        <f t="shared" si="75"/>
        <v>0</v>
      </c>
      <c r="JK47" s="66">
        <f t="shared" si="76"/>
        <v>0</v>
      </c>
      <c r="JM47" s="102">
        <f t="shared" si="250"/>
        <v>0</v>
      </c>
      <c r="JO47" s="29">
        <f>SUM(JQ47:KB47)</f>
        <v>0</v>
      </c>
      <c r="JP47" s="122">
        <f t="shared" si="78"/>
        <v>0</v>
      </c>
      <c r="JQ47" s="122">
        <f t="shared" si="79"/>
        <v>0</v>
      </c>
      <c r="JR47" s="122">
        <f t="shared" si="80"/>
        <v>0</v>
      </c>
      <c r="JS47" s="122">
        <f t="shared" si="81"/>
        <v>0</v>
      </c>
      <c r="JT47" s="122">
        <f t="shared" si="82"/>
        <v>0</v>
      </c>
      <c r="JU47" s="122">
        <f t="shared" si="83"/>
        <v>0</v>
      </c>
      <c r="JV47" s="122">
        <f t="shared" si="84"/>
        <v>0</v>
      </c>
      <c r="JW47" s="122">
        <f t="shared" si="85"/>
        <v>0</v>
      </c>
      <c r="JX47" s="122">
        <f t="shared" si="86"/>
        <v>0</v>
      </c>
      <c r="JY47" s="122">
        <f t="shared" si="87"/>
        <v>0</v>
      </c>
      <c r="JZ47" s="122">
        <f t="shared" si="88"/>
        <v>0</v>
      </c>
      <c r="KA47" s="122">
        <f t="shared" si="89"/>
        <v>0</v>
      </c>
      <c r="KB47" s="122">
        <f t="shared" si="90"/>
        <v>0</v>
      </c>
      <c r="KD47" s="122">
        <f t="shared" si="167"/>
        <v>0</v>
      </c>
      <c r="KE47" s="122">
        <f t="shared" si="92"/>
        <v>0</v>
      </c>
      <c r="KF47" s="122">
        <f t="shared" si="93"/>
        <v>0</v>
      </c>
      <c r="KG47" s="122">
        <f t="shared" si="94"/>
        <v>0</v>
      </c>
      <c r="KH47" s="122">
        <f t="shared" si="95"/>
        <v>0</v>
      </c>
      <c r="KI47" s="122">
        <f t="shared" si="96"/>
        <v>0</v>
      </c>
      <c r="KJ47" s="122">
        <f t="shared" si="97"/>
        <v>0</v>
      </c>
      <c r="KK47" s="122">
        <f t="shared" si="98"/>
        <v>0</v>
      </c>
      <c r="KL47" s="122">
        <f t="shared" si="99"/>
        <v>0</v>
      </c>
      <c r="KM47" s="122">
        <f t="shared" si="100"/>
        <v>0</v>
      </c>
      <c r="KN47" s="123">
        <f t="shared" si="101"/>
        <v>0</v>
      </c>
      <c r="KO47" s="123">
        <f t="shared" si="102"/>
        <v>0</v>
      </c>
      <c r="KP47" s="123">
        <f t="shared" si="103"/>
        <v>0</v>
      </c>
      <c r="KQ47" s="123">
        <f t="shared" si="104"/>
        <v>0</v>
      </c>
      <c r="KR47" s="123">
        <f t="shared" si="105"/>
        <v>0</v>
      </c>
      <c r="KS47">
        <v>2</v>
      </c>
      <c r="KT47">
        <f t="shared" si="106"/>
        <v>1</v>
      </c>
      <c r="KU47" s="123"/>
      <c r="KV47" s="123"/>
      <c r="KW47" s="123"/>
      <c r="KX47" s="123"/>
      <c r="KY47" s="123"/>
      <c r="KZ47" s="123"/>
      <c r="LA47" s="123"/>
      <c r="LB47" s="123"/>
      <c r="LC47" s="123"/>
      <c r="LD47" s="123"/>
      <c r="LE47" s="123"/>
      <c r="LF47" s="123"/>
      <c r="LG47" s="123"/>
      <c r="LH47" s="123"/>
      <c r="LI47" s="123"/>
      <c r="LJ47" s="123"/>
      <c r="LK47" s="123"/>
      <c r="LL47" s="123"/>
      <c r="LM47" s="123"/>
      <c r="LN47" s="123"/>
      <c r="LO47" s="123"/>
      <c r="LP47" s="123"/>
      <c r="LQ47" s="123"/>
      <c r="LR47" s="123"/>
      <c r="LS47" s="123"/>
      <c r="LT47" s="123"/>
      <c r="LU47" s="123"/>
      <c r="LV47" s="123"/>
      <c r="LW47" s="123"/>
      <c r="LX47" s="123"/>
      <c r="LY47" s="123"/>
      <c r="LZ47" s="123"/>
      <c r="MA47" s="123"/>
      <c r="MB47" s="123"/>
      <c r="MC47" s="123"/>
      <c r="MD47" s="123"/>
      <c r="ME47" s="123"/>
      <c r="MF47" s="123"/>
      <c r="MG47" s="123"/>
      <c r="MH47" s="123"/>
      <c r="MI47" s="123"/>
      <c r="MJ47" s="123"/>
      <c r="MK47" s="123"/>
      <c r="ML47" s="123"/>
      <c r="MM47" s="123"/>
      <c r="MN47" s="123"/>
      <c r="MO47" s="123"/>
      <c r="MP47" s="123"/>
      <c r="MQ47" s="123"/>
      <c r="MR47" s="123"/>
      <c r="MS47" s="123"/>
      <c r="MT47" s="123"/>
      <c r="MU47" s="123"/>
      <c r="MV47" s="123"/>
      <c r="MW47" s="123"/>
      <c r="MX47" s="123"/>
      <c r="MY47" s="123"/>
      <c r="MZ47" s="123"/>
      <c r="NA47" s="123"/>
      <c r="NB47" s="123"/>
      <c r="NC47" s="123"/>
      <c r="ND47" s="123"/>
      <c r="NE47" s="123"/>
      <c r="NF47" s="123"/>
      <c r="NG47" s="123"/>
      <c r="NH47" s="123"/>
      <c r="NI47" s="123"/>
      <c r="NJ47" s="123"/>
      <c r="NK47" s="123"/>
      <c r="NM47">
        <f t="shared" si="251"/>
        <v>0</v>
      </c>
      <c r="NN47">
        <f t="shared" si="252"/>
        <v>1</v>
      </c>
      <c r="NO47">
        <f t="shared" si="253"/>
        <v>0</v>
      </c>
      <c r="NP47">
        <f t="shared" si="254"/>
        <v>0</v>
      </c>
      <c r="NQ47">
        <f t="shared" si="255"/>
        <v>0</v>
      </c>
      <c r="NR47">
        <f t="shared" si="256"/>
        <v>0</v>
      </c>
      <c r="NS47">
        <f t="shared" si="257"/>
        <v>0</v>
      </c>
      <c r="NT47">
        <f t="shared" si="258"/>
        <v>1</v>
      </c>
      <c r="NU47" s="29">
        <f t="shared" si="259"/>
        <v>0</v>
      </c>
      <c r="NY47" s="17"/>
      <c r="NZ47" s="152"/>
      <c r="OE47" s="155"/>
      <c r="OF47" s="155"/>
      <c r="OG47" s="155"/>
      <c r="OH47" s="155"/>
      <c r="OI47" s="155"/>
      <c r="OJ47" s="67"/>
      <c r="OK47" s="67"/>
      <c r="OL47" s="67"/>
      <c r="OM47" s="67"/>
      <c r="OO47" s="155"/>
      <c r="OP47" s="155"/>
      <c r="OQ47" s="155"/>
      <c r="OR47" s="155"/>
      <c r="OS47" s="155"/>
      <c r="OT47" s="67"/>
      <c r="OU47" s="67"/>
      <c r="OV47" s="67"/>
      <c r="OW47" s="67"/>
      <c r="OZ47" s="163">
        <v>2</v>
      </c>
      <c r="PA47" s="166">
        <v>1</v>
      </c>
      <c r="PB47" s="166"/>
      <c r="PC47" s="166"/>
      <c r="PD47" s="210">
        <f t="shared" si="116"/>
        <v>0</v>
      </c>
      <c r="PE47" s="210"/>
      <c r="PF47" s="210">
        <f t="shared" si="117"/>
        <v>0</v>
      </c>
      <c r="PG47" s="210">
        <f t="shared" si="118"/>
        <v>191</v>
      </c>
      <c r="PH47" s="210">
        <f t="shared" si="118"/>
        <v>0</v>
      </c>
      <c r="PI47" s="210">
        <f t="shared" si="118"/>
        <v>0</v>
      </c>
      <c r="PJ47" s="210">
        <f t="shared" si="118"/>
        <v>0</v>
      </c>
      <c r="PK47" s="210">
        <f t="shared" si="118"/>
        <v>0</v>
      </c>
      <c r="PL47" s="210">
        <f t="shared" si="118"/>
        <v>0</v>
      </c>
      <c r="PM47" s="164"/>
      <c r="PN47" s="164"/>
      <c r="PO47" s="172">
        <f t="shared" si="189"/>
        <v>0</v>
      </c>
      <c r="PP47" s="172">
        <f t="shared" si="190"/>
        <v>0</v>
      </c>
      <c r="PQ47" s="172">
        <f t="shared" si="191"/>
        <v>0</v>
      </c>
      <c r="PR47" s="164"/>
      <c r="PS47" s="164"/>
      <c r="PT47" s="164"/>
      <c r="PU47" s="164"/>
    </row>
    <row r="48" spans="1:437 16383:16383" ht="16" x14ac:dyDescent="0.2">
      <c r="A48" s="19">
        <f t="shared" si="192"/>
        <v>40</v>
      </c>
      <c r="B48" s="186" t="s">
        <v>656</v>
      </c>
      <c r="C48" s="186">
        <v>1</v>
      </c>
      <c r="D48" s="188">
        <v>1</v>
      </c>
      <c r="E48" s="188">
        <v>1419</v>
      </c>
      <c r="F48" s="188">
        <v>1</v>
      </c>
      <c r="G48" s="20">
        <f t="shared" ref="G48:G50" si="473">E48</f>
        <v>1419</v>
      </c>
      <c r="H48" s="137">
        <f t="shared" si="444"/>
        <v>1</v>
      </c>
      <c r="I48" s="214">
        <f t="shared" si="445"/>
        <v>1</v>
      </c>
      <c r="J48" s="188">
        <v>1</v>
      </c>
      <c r="K48" s="188">
        <f t="shared" si="469"/>
        <v>1419</v>
      </c>
      <c r="L48" s="214">
        <f t="shared" si="470"/>
        <v>1</v>
      </c>
      <c r="M48" s="214">
        <f t="shared" si="471"/>
        <v>1</v>
      </c>
      <c r="N48" s="188">
        <v>1</v>
      </c>
      <c r="O48" s="188">
        <f t="shared" si="446"/>
        <v>1419</v>
      </c>
      <c r="P48" s="137">
        <f t="shared" si="447"/>
        <v>1</v>
      </c>
      <c r="Q48" s="137">
        <f t="shared" si="448"/>
        <v>1</v>
      </c>
      <c r="R48" s="20"/>
      <c r="S48" s="20">
        <f t="shared" si="449"/>
        <v>0</v>
      </c>
      <c r="T48" s="137">
        <f t="shared" si="450"/>
        <v>0</v>
      </c>
      <c r="U48" s="137">
        <f t="shared" si="451"/>
        <v>0</v>
      </c>
      <c r="V48" s="20"/>
      <c r="W48" s="20">
        <f t="shared" si="452"/>
        <v>0</v>
      </c>
      <c r="X48" s="137">
        <f t="shared" si="453"/>
        <v>0</v>
      </c>
      <c r="Y48" s="137">
        <f t="shared" si="454"/>
        <v>0</v>
      </c>
      <c r="Z48" s="20">
        <v>0</v>
      </c>
      <c r="AA48" s="20"/>
      <c r="AB48" s="17">
        <f t="shared" si="193"/>
        <v>0</v>
      </c>
      <c r="AC48" s="18">
        <f t="shared" si="194"/>
        <v>0</v>
      </c>
      <c r="AD48" s="18">
        <f t="shared" si="195"/>
        <v>0</v>
      </c>
      <c r="AE48" s="20"/>
      <c r="AF48" s="20">
        <f t="shared" si="196"/>
        <v>0</v>
      </c>
      <c r="AG48" s="20"/>
      <c r="AH48" s="20"/>
      <c r="AI48" s="20">
        <v>0</v>
      </c>
      <c r="AJ48" s="20">
        <f t="shared" si="197"/>
        <v>0</v>
      </c>
      <c r="AK48" s="20"/>
      <c r="AL48" s="20">
        <v>0</v>
      </c>
      <c r="AM48" s="20">
        <v>0</v>
      </c>
      <c r="AN48" s="139">
        <v>1</v>
      </c>
      <c r="BB48" s="20">
        <f t="shared" si="472"/>
        <v>1419</v>
      </c>
      <c r="BE48" s="20">
        <f t="shared" si="198"/>
        <v>0</v>
      </c>
      <c r="BF48" s="20">
        <f t="shared" si="199"/>
        <v>0</v>
      </c>
      <c r="BG48" s="20">
        <f t="shared" si="200"/>
        <v>0</v>
      </c>
      <c r="BH48" s="20">
        <f t="shared" si="201"/>
        <v>0</v>
      </c>
      <c r="BI48" s="20">
        <f t="shared" si="202"/>
        <v>0</v>
      </c>
      <c r="BJ48" s="20">
        <f t="shared" si="203"/>
        <v>0</v>
      </c>
      <c r="BK48" s="20">
        <f t="shared" si="204"/>
        <v>0</v>
      </c>
      <c r="BN48" s="139"/>
      <c r="BO48" s="126"/>
      <c r="BP48" s="139"/>
      <c r="BQ48" s="139"/>
      <c r="BR48" s="139"/>
      <c r="BS48" s="139"/>
      <c r="BT48" s="139"/>
      <c r="BU48" s="139"/>
      <c r="BV48" s="139"/>
      <c r="BW48" s="139"/>
      <c r="BX48" s="139"/>
      <c r="BY48" s="139"/>
      <c r="BZ48" s="139"/>
      <c r="CB48" s="139"/>
      <c r="CD48" s="17">
        <f t="shared" si="205"/>
        <v>0</v>
      </c>
      <c r="CE48" s="17">
        <f t="shared" si="455"/>
        <v>0</v>
      </c>
      <c r="CF48" s="139">
        <f t="shared" si="456"/>
        <v>0</v>
      </c>
      <c r="CG48" s="139">
        <f t="shared" si="457"/>
        <v>0</v>
      </c>
      <c r="CH48" s="139">
        <f t="shared" si="458"/>
        <v>0</v>
      </c>
      <c r="CI48" s="139">
        <f t="shared" si="459"/>
        <v>0</v>
      </c>
      <c r="CJ48" s="139">
        <f t="shared" si="460"/>
        <v>0</v>
      </c>
      <c r="CK48" s="139">
        <f t="shared" si="461"/>
        <v>0</v>
      </c>
      <c r="CL48" s="139">
        <f t="shared" si="462"/>
        <v>0</v>
      </c>
      <c r="CM48" s="139">
        <f t="shared" si="463"/>
        <v>0</v>
      </c>
      <c r="CN48" s="139">
        <f t="shared" si="464"/>
        <v>0</v>
      </c>
      <c r="CO48" s="139">
        <f t="shared" si="465"/>
        <v>0</v>
      </c>
      <c r="CP48" s="139">
        <f t="shared" si="466"/>
        <v>0</v>
      </c>
      <c r="CQ48" s="148">
        <f t="shared" si="207"/>
        <v>0</v>
      </c>
      <c r="DV48" s="139">
        <f t="shared" si="208"/>
        <v>0</v>
      </c>
      <c r="DW48" s="139">
        <f t="shared" si="209"/>
        <v>0</v>
      </c>
      <c r="DX48" s="139">
        <f t="shared" si="210"/>
        <v>0</v>
      </c>
      <c r="DY48" s="139">
        <f t="shared" si="211"/>
        <v>0</v>
      </c>
      <c r="DZ48" s="139">
        <f t="shared" si="212"/>
        <v>0</v>
      </c>
      <c r="EA48" s="139">
        <f t="shared" si="213"/>
        <v>0</v>
      </c>
      <c r="EB48" s="139">
        <f t="shared" si="214"/>
        <v>0</v>
      </c>
      <c r="EG48" s="57">
        <f t="shared" si="215"/>
        <v>0</v>
      </c>
      <c r="EH48" s="57">
        <f t="shared" si="216"/>
        <v>0</v>
      </c>
      <c r="EI48" s="17"/>
      <c r="EJ48" s="17"/>
      <c r="EK48" s="17"/>
      <c r="EL48" s="17"/>
      <c r="EM48" s="17"/>
      <c r="EN48" s="17"/>
      <c r="EO48" s="17"/>
      <c r="EP48" s="17"/>
      <c r="EQ48" s="189"/>
      <c r="ER48" s="189"/>
      <c r="ES48" s="189"/>
      <c r="ET48" s="189"/>
      <c r="EU48" s="189"/>
      <c r="EV48" s="189"/>
      <c r="EW48" s="189"/>
      <c r="EX48" s="189"/>
      <c r="EY48" s="189"/>
      <c r="EZ48" s="189"/>
      <c r="FA48" s="189"/>
      <c r="FB48" s="189"/>
      <c r="FC48" s="189"/>
      <c r="FD48" s="17"/>
      <c r="FE48" s="17"/>
      <c r="FF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X48" s="80"/>
      <c r="FY48" s="17">
        <f t="shared" si="217"/>
        <v>0</v>
      </c>
      <c r="FZ48" s="17">
        <f t="shared" si="35"/>
        <v>0</v>
      </c>
      <c r="GA48" s="17">
        <f t="shared" si="36"/>
        <v>0</v>
      </c>
      <c r="GB48" s="17">
        <f t="shared" si="37"/>
        <v>0</v>
      </c>
      <c r="GC48" s="17">
        <f t="shared" si="38"/>
        <v>0</v>
      </c>
      <c r="GD48" s="17">
        <f t="shared" si="39"/>
        <v>0</v>
      </c>
      <c r="GE48" s="17">
        <f t="shared" si="40"/>
        <v>0</v>
      </c>
      <c r="GF48" s="67"/>
      <c r="GG48" s="17">
        <v>0</v>
      </c>
      <c r="GH48" s="17">
        <v>0</v>
      </c>
      <c r="GI48" s="67"/>
      <c r="GJ48" s="62">
        <f t="shared" si="218"/>
        <v>0</v>
      </c>
      <c r="GK48" s="62">
        <f t="shared" si="219"/>
        <v>0</v>
      </c>
      <c r="GO48" s="17">
        <f t="shared" si="41"/>
        <v>0</v>
      </c>
      <c r="GP48" s="17">
        <f t="shared" si="42"/>
        <v>0</v>
      </c>
      <c r="GQ48" s="17">
        <f t="shared" si="43"/>
        <v>0</v>
      </c>
      <c r="GR48" s="17">
        <f t="shared" si="44"/>
        <v>1</v>
      </c>
      <c r="GS48" s="17">
        <f t="shared" si="45"/>
        <v>1</v>
      </c>
      <c r="GT48" s="17">
        <f t="shared" si="220"/>
        <v>0</v>
      </c>
      <c r="GU48" s="101">
        <f t="shared" si="146"/>
        <v>43243</v>
      </c>
      <c r="GV48" s="17" t="str">
        <f t="shared" si="221"/>
        <v>Musyawarah</v>
      </c>
      <c r="GW48" s="17">
        <f t="shared" si="222"/>
        <v>1</v>
      </c>
      <c r="GX48" s="66" t="str">
        <f t="shared" si="223"/>
        <v>Musyawarah</v>
      </c>
      <c r="GY48" s="66">
        <f t="shared" si="224"/>
        <v>24</v>
      </c>
      <c r="GZ48" s="102">
        <f t="shared" si="225"/>
        <v>43267</v>
      </c>
      <c r="HA48" s="83"/>
      <c r="HB48" s="83"/>
      <c r="HC48" s="17">
        <f t="shared" si="46"/>
        <v>0</v>
      </c>
      <c r="HD48" s="17">
        <f t="shared" si="47"/>
        <v>0</v>
      </c>
      <c r="HE48" s="17">
        <f t="shared" si="226"/>
        <v>0</v>
      </c>
      <c r="HF48" s="17">
        <f t="shared" si="227"/>
        <v>0</v>
      </c>
      <c r="HG48" s="17">
        <f t="shared" si="228"/>
        <v>0</v>
      </c>
      <c r="HH48" s="101" t="str">
        <f t="shared" si="229"/>
        <v>TIDAK KONSINYASI</v>
      </c>
      <c r="HI48" s="101">
        <f t="shared" si="230"/>
        <v>43312</v>
      </c>
      <c r="HJ48" s="27"/>
      <c r="HK48" s="101">
        <f t="shared" si="231"/>
        <v>43312</v>
      </c>
      <c r="HL48" s="83"/>
      <c r="HM48" s="83"/>
      <c r="HN48" s="83"/>
      <c r="HO48" s="83"/>
      <c r="HP48" s="102">
        <f t="shared" si="232"/>
        <v>0</v>
      </c>
      <c r="HQ48" s="66">
        <f t="shared" si="233"/>
        <v>0</v>
      </c>
      <c r="HR48" s="66">
        <f t="shared" si="50"/>
        <v>0</v>
      </c>
      <c r="HS48" s="102">
        <f t="shared" si="234"/>
        <v>0</v>
      </c>
      <c r="HT48" s="66">
        <f t="shared" si="235"/>
        <v>0</v>
      </c>
      <c r="HU48" s="66">
        <f t="shared" si="51"/>
        <v>0</v>
      </c>
      <c r="HV48" s="102">
        <f t="shared" si="236"/>
        <v>0</v>
      </c>
      <c r="HW48" s="66">
        <f t="shared" si="237"/>
        <v>0</v>
      </c>
      <c r="HX48" s="66">
        <f t="shared" si="53"/>
        <v>0</v>
      </c>
      <c r="HY48" s="102">
        <f t="shared" si="238"/>
        <v>0</v>
      </c>
      <c r="HZ48" s="66">
        <f t="shared" si="239"/>
        <v>0</v>
      </c>
      <c r="IA48" s="66">
        <f t="shared" si="55"/>
        <v>0</v>
      </c>
      <c r="IB48" s="102">
        <f t="shared" si="240"/>
        <v>0</v>
      </c>
      <c r="IC48" s="66">
        <f t="shared" si="241"/>
        <v>0</v>
      </c>
      <c r="ID48" s="66">
        <f t="shared" si="57"/>
        <v>0</v>
      </c>
      <c r="IE48" s="102">
        <f t="shared" si="242"/>
        <v>0</v>
      </c>
      <c r="IF48" s="66">
        <f t="shared" si="243"/>
        <v>0</v>
      </c>
      <c r="IG48" s="66">
        <f t="shared" si="60"/>
        <v>0</v>
      </c>
      <c r="IH48" s="102">
        <f t="shared" si="244"/>
        <v>0</v>
      </c>
      <c r="II48" s="66">
        <f t="shared" si="245"/>
        <v>0</v>
      </c>
      <c r="IJ48" s="66">
        <f t="shared" si="61"/>
        <v>0</v>
      </c>
      <c r="IK48" s="102">
        <f t="shared" si="246"/>
        <v>0</v>
      </c>
      <c r="IL48" s="66">
        <f t="shared" si="247"/>
        <v>0</v>
      </c>
      <c r="IM48" s="66">
        <f t="shared" si="64"/>
        <v>0</v>
      </c>
      <c r="IN48" s="83"/>
      <c r="IO48" s="102">
        <f t="shared" si="248"/>
        <v>0</v>
      </c>
      <c r="IP48" s="66">
        <f t="shared" si="66"/>
        <v>0</v>
      </c>
      <c r="IQ48" s="66">
        <f t="shared" si="67"/>
        <v>0</v>
      </c>
      <c r="IR48" s="83"/>
      <c r="IS48" s="102"/>
      <c r="IT48" s="66">
        <f t="shared" si="68"/>
        <v>0</v>
      </c>
      <c r="IU48" s="66">
        <f t="shared" si="69"/>
        <v>0</v>
      </c>
      <c r="IV48" s="83"/>
      <c r="IW48" s="102"/>
      <c r="IX48" s="66">
        <f t="shared" si="70"/>
        <v>0</v>
      </c>
      <c r="IY48" s="66">
        <f t="shared" si="71"/>
        <v>0</v>
      </c>
      <c r="IZ48" s="83"/>
      <c r="JA48" s="102"/>
      <c r="JB48" s="66">
        <f t="shared" si="72"/>
        <v>1</v>
      </c>
      <c r="JC48" s="66">
        <f t="shared" si="73"/>
        <v>1419</v>
      </c>
      <c r="JD48" s="83"/>
      <c r="JE48" s="102"/>
      <c r="JF48" s="66">
        <f t="shared" si="467"/>
        <v>1</v>
      </c>
      <c r="JG48" s="66">
        <f t="shared" si="468"/>
        <v>1419</v>
      </c>
      <c r="JH48" s="83"/>
      <c r="JI48" s="102"/>
      <c r="JJ48" s="66">
        <f t="shared" si="75"/>
        <v>0</v>
      </c>
      <c r="JK48" s="66">
        <f t="shared" si="76"/>
        <v>0</v>
      </c>
      <c r="JM48" s="102">
        <f t="shared" si="250"/>
        <v>0</v>
      </c>
      <c r="JO48" s="29">
        <f>SUM(JQ48:KB48)</f>
        <v>0</v>
      </c>
      <c r="JP48" s="122">
        <f t="shared" si="78"/>
        <v>0</v>
      </c>
      <c r="JQ48" s="122">
        <f t="shared" si="79"/>
        <v>0</v>
      </c>
      <c r="JR48" s="122">
        <f t="shared" si="80"/>
        <v>0</v>
      </c>
      <c r="JS48" s="122">
        <f t="shared" si="81"/>
        <v>0</v>
      </c>
      <c r="JT48" s="122">
        <f t="shared" si="82"/>
        <v>0</v>
      </c>
      <c r="JU48" s="122">
        <f t="shared" si="83"/>
        <v>0</v>
      </c>
      <c r="JV48" s="122">
        <f t="shared" si="84"/>
        <v>0</v>
      </c>
      <c r="JW48" s="122">
        <f t="shared" si="85"/>
        <v>0</v>
      </c>
      <c r="JX48" s="122">
        <f t="shared" si="86"/>
        <v>0</v>
      </c>
      <c r="JY48" s="122">
        <f t="shared" si="87"/>
        <v>0</v>
      </c>
      <c r="JZ48" s="122">
        <f t="shared" si="88"/>
        <v>0</v>
      </c>
      <c r="KA48" s="122">
        <f t="shared" si="89"/>
        <v>0</v>
      </c>
      <c r="KB48" s="122">
        <f t="shared" si="90"/>
        <v>0</v>
      </c>
      <c r="KD48" s="122">
        <f t="shared" si="167"/>
        <v>0</v>
      </c>
      <c r="KE48" s="122">
        <f t="shared" si="92"/>
        <v>0</v>
      </c>
      <c r="KF48" s="122">
        <f t="shared" si="93"/>
        <v>0</v>
      </c>
      <c r="KG48" s="122">
        <f t="shared" si="94"/>
        <v>0</v>
      </c>
      <c r="KH48" s="122">
        <f t="shared" si="95"/>
        <v>0</v>
      </c>
      <c r="KI48" s="122">
        <f t="shared" si="96"/>
        <v>0</v>
      </c>
      <c r="KJ48" s="122">
        <f t="shared" si="97"/>
        <v>0</v>
      </c>
      <c r="KK48" s="122">
        <f t="shared" si="98"/>
        <v>0</v>
      </c>
      <c r="KL48" s="122">
        <f t="shared" si="99"/>
        <v>0</v>
      </c>
      <c r="KM48" s="122">
        <f t="shared" si="100"/>
        <v>0</v>
      </c>
      <c r="KN48" s="123">
        <f t="shared" si="101"/>
        <v>0</v>
      </c>
      <c r="KO48" s="123">
        <f t="shared" si="102"/>
        <v>0</v>
      </c>
      <c r="KP48" s="123">
        <f t="shared" si="103"/>
        <v>0</v>
      </c>
      <c r="KQ48" s="123">
        <f t="shared" si="104"/>
        <v>0</v>
      </c>
      <c r="KR48" s="123">
        <f t="shared" si="105"/>
        <v>0</v>
      </c>
      <c r="KS48">
        <v>7</v>
      </c>
      <c r="KT48">
        <f t="shared" si="106"/>
        <v>1</v>
      </c>
      <c r="KU48" s="123"/>
      <c r="KV48" s="123"/>
      <c r="KW48" s="123"/>
      <c r="KX48" s="123"/>
      <c r="KY48" s="123"/>
      <c r="KZ48" s="123"/>
      <c r="LA48" s="123"/>
      <c r="LB48" s="123"/>
      <c r="LC48" s="123"/>
      <c r="LD48" s="123"/>
      <c r="LE48" s="123"/>
      <c r="LF48" s="123"/>
      <c r="LG48" s="123"/>
      <c r="LH48" s="123"/>
      <c r="LI48" s="123"/>
      <c r="LJ48" s="123"/>
      <c r="LK48" s="123"/>
      <c r="LL48" s="123"/>
      <c r="LM48" s="123">
        <v>1</v>
      </c>
      <c r="LN48" s="123">
        <v>1</v>
      </c>
      <c r="LO48" s="123"/>
      <c r="LP48" s="123"/>
      <c r="LQ48" s="123"/>
      <c r="LR48" s="123"/>
      <c r="LS48" s="123"/>
      <c r="LT48" s="123"/>
      <c r="LU48" s="123"/>
      <c r="LV48" s="123"/>
      <c r="LW48" s="123"/>
      <c r="LX48" s="123"/>
      <c r="LY48" s="123"/>
      <c r="LZ48" s="123"/>
      <c r="MA48" s="123"/>
      <c r="MB48" s="123"/>
      <c r="MC48" s="123"/>
      <c r="MD48" s="123"/>
      <c r="ME48" s="123"/>
      <c r="MF48" s="123"/>
      <c r="MG48" s="123"/>
      <c r="MH48" s="123"/>
      <c r="MI48" s="123"/>
      <c r="MJ48" s="123"/>
      <c r="MK48" s="123"/>
      <c r="ML48" s="123"/>
      <c r="MM48" s="123"/>
      <c r="MN48" s="123"/>
      <c r="MO48" s="123"/>
      <c r="MP48" s="123"/>
      <c r="MQ48" s="123"/>
      <c r="MR48" s="123"/>
      <c r="MS48" s="123"/>
      <c r="MT48" s="123"/>
      <c r="MU48" s="123"/>
      <c r="MV48" s="123"/>
      <c r="MW48" s="123"/>
      <c r="MX48" s="123"/>
      <c r="MY48" s="123"/>
      <c r="MZ48" s="123"/>
      <c r="NA48" s="123"/>
      <c r="NB48" s="123"/>
      <c r="NC48" s="123"/>
      <c r="ND48" s="123"/>
      <c r="NE48" s="123"/>
      <c r="NF48" s="123"/>
      <c r="NG48" s="123"/>
      <c r="NH48" s="123"/>
      <c r="NI48" s="123"/>
      <c r="NJ48" s="123"/>
      <c r="NK48" s="123"/>
      <c r="NM48">
        <f t="shared" si="251"/>
        <v>0</v>
      </c>
      <c r="NN48">
        <f t="shared" si="252"/>
        <v>0</v>
      </c>
      <c r="NO48">
        <f t="shared" si="253"/>
        <v>0</v>
      </c>
      <c r="NP48">
        <f t="shared" si="254"/>
        <v>0</v>
      </c>
      <c r="NQ48">
        <f t="shared" si="255"/>
        <v>0</v>
      </c>
      <c r="NR48">
        <f t="shared" si="256"/>
        <v>0</v>
      </c>
      <c r="NS48">
        <f t="shared" si="257"/>
        <v>1</v>
      </c>
      <c r="NT48">
        <f t="shared" si="258"/>
        <v>1</v>
      </c>
      <c r="NU48" s="29">
        <f t="shared" si="259"/>
        <v>0</v>
      </c>
      <c r="NY48" s="17"/>
      <c r="NZ48" s="152"/>
      <c r="OE48" s="155"/>
      <c r="OF48" s="155"/>
      <c r="OG48" s="155"/>
      <c r="OH48" s="155"/>
      <c r="OI48" s="155"/>
      <c r="OJ48" s="67"/>
      <c r="OK48" s="67"/>
      <c r="OL48" s="67"/>
      <c r="OM48" s="67"/>
      <c r="OO48" s="155"/>
      <c r="OP48" s="155"/>
      <c r="OQ48" s="155"/>
      <c r="OR48" s="155"/>
      <c r="OS48" s="155"/>
      <c r="OT48" s="67"/>
      <c r="OU48" s="67"/>
      <c r="OV48" s="67"/>
      <c r="OW48" s="67"/>
      <c r="OZ48" s="163">
        <f t="shared" si="360"/>
        <v>1</v>
      </c>
      <c r="PA48" s="166">
        <v>1</v>
      </c>
      <c r="PB48" s="166"/>
      <c r="PC48" s="166"/>
      <c r="PD48" s="210">
        <f t="shared" si="116"/>
        <v>0</v>
      </c>
      <c r="PE48" s="210"/>
      <c r="PF48" s="210">
        <f t="shared" si="117"/>
        <v>0</v>
      </c>
      <c r="PG48" s="210">
        <f t="shared" si="118"/>
        <v>1419</v>
      </c>
      <c r="PH48" s="210">
        <f t="shared" si="118"/>
        <v>0</v>
      </c>
      <c r="PI48" s="210">
        <f t="shared" si="118"/>
        <v>0</v>
      </c>
      <c r="PJ48" s="210">
        <f t="shared" si="118"/>
        <v>0</v>
      </c>
      <c r="PK48" s="210">
        <f t="shared" si="118"/>
        <v>0</v>
      </c>
      <c r="PL48" s="210">
        <f t="shared" si="118"/>
        <v>0</v>
      </c>
      <c r="PM48" s="164"/>
      <c r="PN48" s="164"/>
      <c r="PO48" s="172">
        <f t="shared" si="189"/>
        <v>0</v>
      </c>
      <c r="PP48" s="172">
        <f t="shared" si="190"/>
        <v>0</v>
      </c>
      <c r="PQ48" s="172">
        <f t="shared" si="191"/>
        <v>0</v>
      </c>
      <c r="PR48" s="164"/>
      <c r="PS48" s="164"/>
      <c r="PT48" s="164"/>
      <c r="PU48" s="164"/>
    </row>
    <row r="49" spans="1:437 16383:16384" ht="16" x14ac:dyDescent="0.2">
      <c r="A49" s="19">
        <f t="shared" si="192"/>
        <v>41</v>
      </c>
      <c r="B49" s="186" t="s">
        <v>674</v>
      </c>
      <c r="C49" s="186">
        <v>2</v>
      </c>
      <c r="D49" s="188">
        <v>1</v>
      </c>
      <c r="E49" s="188">
        <v>383</v>
      </c>
      <c r="F49" s="188">
        <v>1</v>
      </c>
      <c r="G49" s="20">
        <f t="shared" si="473"/>
        <v>383</v>
      </c>
      <c r="H49" s="137">
        <f t="shared" si="444"/>
        <v>1</v>
      </c>
      <c r="I49" s="214">
        <f t="shared" si="445"/>
        <v>1</v>
      </c>
      <c r="J49" s="188">
        <v>1</v>
      </c>
      <c r="K49" s="188">
        <f t="shared" si="469"/>
        <v>383</v>
      </c>
      <c r="L49" s="214">
        <f t="shared" si="470"/>
        <v>1</v>
      </c>
      <c r="M49" s="214">
        <f t="shared" si="471"/>
        <v>1</v>
      </c>
      <c r="N49" s="188">
        <v>1</v>
      </c>
      <c r="O49" s="188">
        <f t="shared" si="446"/>
        <v>383</v>
      </c>
      <c r="P49" s="137">
        <f t="shared" si="447"/>
        <v>1</v>
      </c>
      <c r="Q49" s="137">
        <f t="shared" si="448"/>
        <v>1</v>
      </c>
      <c r="R49" s="20"/>
      <c r="S49" s="20">
        <f t="shared" si="449"/>
        <v>0</v>
      </c>
      <c r="T49" s="137">
        <f t="shared" si="450"/>
        <v>0</v>
      </c>
      <c r="U49" s="137">
        <f t="shared" si="451"/>
        <v>0</v>
      </c>
      <c r="V49" s="20"/>
      <c r="W49" s="20">
        <f t="shared" si="452"/>
        <v>0</v>
      </c>
      <c r="X49" s="137">
        <f t="shared" si="453"/>
        <v>0</v>
      </c>
      <c r="Y49" s="137">
        <f t="shared" si="454"/>
        <v>0</v>
      </c>
      <c r="Z49" s="20">
        <v>0</v>
      </c>
      <c r="AA49" s="20"/>
      <c r="AB49" s="17">
        <f t="shared" si="193"/>
        <v>0</v>
      </c>
      <c r="AC49" s="18">
        <f t="shared" si="194"/>
        <v>0</v>
      </c>
      <c r="AD49" s="18">
        <f t="shared" si="195"/>
        <v>0</v>
      </c>
      <c r="AE49" s="20"/>
      <c r="AF49" s="20">
        <f t="shared" si="196"/>
        <v>0</v>
      </c>
      <c r="AG49" s="20"/>
      <c r="AH49" s="20"/>
      <c r="AI49" s="20">
        <v>0</v>
      </c>
      <c r="AJ49" s="20">
        <f t="shared" si="197"/>
        <v>0</v>
      </c>
      <c r="AK49" s="20"/>
      <c r="AL49" s="20">
        <v>0</v>
      </c>
      <c r="AM49" s="20">
        <v>0</v>
      </c>
      <c r="AN49" s="139">
        <v>1</v>
      </c>
      <c r="BB49" s="20">
        <f t="shared" si="472"/>
        <v>383</v>
      </c>
      <c r="BE49" s="20">
        <f t="shared" si="198"/>
        <v>0</v>
      </c>
      <c r="BF49" s="20">
        <f t="shared" si="199"/>
        <v>0</v>
      </c>
      <c r="BG49" s="20">
        <f t="shared" si="200"/>
        <v>0</v>
      </c>
      <c r="BH49" s="20">
        <f t="shared" si="201"/>
        <v>0</v>
      </c>
      <c r="BI49" s="20">
        <f t="shared" si="202"/>
        <v>0</v>
      </c>
      <c r="BJ49" s="20">
        <f t="shared" si="203"/>
        <v>0</v>
      </c>
      <c r="BK49" s="20">
        <f t="shared" si="204"/>
        <v>0</v>
      </c>
      <c r="BN49" s="139"/>
      <c r="BO49" s="126"/>
      <c r="BP49" s="139"/>
      <c r="BQ49" s="139"/>
      <c r="BR49" s="139"/>
      <c r="BS49" s="139"/>
      <c r="BT49" s="139"/>
      <c r="BU49" s="139"/>
      <c r="BV49" s="139"/>
      <c r="BW49" s="139"/>
      <c r="BX49" s="139"/>
      <c r="BY49" s="139"/>
      <c r="BZ49" s="139"/>
      <c r="CB49" s="139"/>
      <c r="CC49" s="109"/>
      <c r="CD49" s="17">
        <f t="shared" si="205"/>
        <v>0</v>
      </c>
      <c r="CE49" s="17">
        <f t="shared" ref="CE49:CE50" si="474">IF(BO49=1,$CD49,0)</f>
        <v>0</v>
      </c>
      <c r="CF49" s="139">
        <f t="shared" ref="CF49:CF50" si="475">IF(BP49=1,$CD49,0)</f>
        <v>0</v>
      </c>
      <c r="CG49" s="139">
        <f t="shared" ref="CG49:CG50" si="476">IF(BQ49=1,$CD49,0)</f>
        <v>0</v>
      </c>
      <c r="CH49" s="139">
        <f t="shared" ref="CH49:CH50" si="477">IF(BR49=1,$CD49,0)</f>
        <v>0</v>
      </c>
      <c r="CI49" s="139">
        <f t="shared" ref="CI49:CI50" si="478">IF(BS49=1,$CD49,0)</f>
        <v>0</v>
      </c>
      <c r="CJ49" s="139">
        <f t="shared" ref="CJ49:CJ50" si="479">IF(BT49=1,$CD49,0)</f>
        <v>0</v>
      </c>
      <c r="CK49" s="139">
        <f t="shared" ref="CK49:CK50" si="480">IF(BU49=1,$CD49,0)</f>
        <v>0</v>
      </c>
      <c r="CL49" s="139">
        <f t="shared" ref="CL49:CL50" si="481">IF(BV49=1,$CD49,0)</f>
        <v>0</v>
      </c>
      <c r="CM49" s="139">
        <f t="shared" ref="CM49:CM50" si="482">IF(BW49=1,$CD49,0)</f>
        <v>0</v>
      </c>
      <c r="CN49" s="139">
        <f t="shared" ref="CN49:CN50" si="483">IF(BX49=1,$CD49,0)</f>
        <v>0</v>
      </c>
      <c r="CO49" s="139">
        <f t="shared" ref="CO49:CO50" si="484">IF(BY49=1,$CD49,0)</f>
        <v>0</v>
      </c>
      <c r="CP49" s="139">
        <f t="shared" ref="CP49:CP50" si="485">IF(BZ49=1,$CD49,0)</f>
        <v>0</v>
      </c>
      <c r="CQ49" s="148">
        <f t="shared" si="207"/>
        <v>0</v>
      </c>
      <c r="DV49" s="139">
        <f t="shared" si="208"/>
        <v>0</v>
      </c>
      <c r="DW49" s="139">
        <f t="shared" si="209"/>
        <v>0</v>
      </c>
      <c r="DX49" s="139">
        <f t="shared" si="210"/>
        <v>0</v>
      </c>
      <c r="DY49" s="139">
        <f t="shared" si="211"/>
        <v>0</v>
      </c>
      <c r="DZ49" s="139">
        <f t="shared" si="212"/>
        <v>0</v>
      </c>
      <c r="EA49" s="139">
        <f t="shared" si="213"/>
        <v>0</v>
      </c>
      <c r="EB49" s="139">
        <f t="shared" si="214"/>
        <v>0</v>
      </c>
      <c r="EG49" s="57">
        <f t="shared" si="215"/>
        <v>0</v>
      </c>
      <c r="EH49" s="57">
        <f t="shared" si="216"/>
        <v>0</v>
      </c>
      <c r="EI49" s="17"/>
      <c r="EJ49" s="17"/>
      <c r="EK49" s="17"/>
      <c r="EL49" s="17"/>
      <c r="EM49" s="17"/>
      <c r="EN49" s="17"/>
      <c r="EO49" s="17"/>
      <c r="EP49" s="17"/>
      <c r="EQ49" s="189"/>
      <c r="ER49" s="189"/>
      <c r="ES49" s="189"/>
      <c r="ET49" s="189"/>
      <c r="EU49" s="189"/>
      <c r="EV49" s="189"/>
      <c r="EW49" s="189"/>
      <c r="EX49" s="189"/>
      <c r="EY49" s="189"/>
      <c r="EZ49" s="189"/>
      <c r="FA49" s="189"/>
      <c r="FB49" s="189"/>
      <c r="FC49" s="189"/>
      <c r="FD49" s="17"/>
      <c r="FE49" s="17"/>
      <c r="FF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X49" s="80"/>
      <c r="FY49" s="17">
        <f t="shared" si="217"/>
        <v>0</v>
      </c>
      <c r="FZ49" s="17">
        <f t="shared" si="35"/>
        <v>0</v>
      </c>
      <c r="GA49" s="17">
        <f t="shared" si="36"/>
        <v>0</v>
      </c>
      <c r="GB49" s="17">
        <f t="shared" si="37"/>
        <v>0</v>
      </c>
      <c r="GC49" s="17">
        <f t="shared" si="38"/>
        <v>0</v>
      </c>
      <c r="GD49" s="17">
        <f t="shared" si="39"/>
        <v>0</v>
      </c>
      <c r="GE49" s="17">
        <f t="shared" si="40"/>
        <v>0</v>
      </c>
      <c r="GF49" s="67"/>
      <c r="GG49" s="17">
        <v>0</v>
      </c>
      <c r="GH49" s="17">
        <v>0</v>
      </c>
      <c r="GI49" s="67"/>
      <c r="GJ49" s="62">
        <f t="shared" si="218"/>
        <v>0</v>
      </c>
      <c r="GK49" s="62">
        <f t="shared" si="219"/>
        <v>0</v>
      </c>
      <c r="GO49" s="17">
        <f t="shared" si="41"/>
        <v>0</v>
      </c>
      <c r="GP49" s="17">
        <f t="shared" si="42"/>
        <v>0</v>
      </c>
      <c r="GQ49" s="17">
        <f t="shared" si="43"/>
        <v>0</v>
      </c>
      <c r="GR49" s="17">
        <f t="shared" si="44"/>
        <v>1</v>
      </c>
      <c r="GS49" s="17">
        <f t="shared" si="45"/>
        <v>1</v>
      </c>
      <c r="GT49" s="17">
        <f t="shared" si="220"/>
        <v>0</v>
      </c>
      <c r="GU49" s="101">
        <f t="shared" si="146"/>
        <v>43243</v>
      </c>
      <c r="GV49" s="17" t="str">
        <f t="shared" si="221"/>
        <v>Musyawarah</v>
      </c>
      <c r="GW49" s="17">
        <f t="shared" si="222"/>
        <v>1</v>
      </c>
      <c r="GX49" s="66" t="str">
        <f t="shared" si="223"/>
        <v>Musyawarah</v>
      </c>
      <c r="GY49" s="66">
        <f t="shared" si="224"/>
        <v>24</v>
      </c>
      <c r="GZ49" s="102">
        <f t="shared" si="225"/>
        <v>43267</v>
      </c>
      <c r="HA49" s="83"/>
      <c r="HB49" s="83"/>
      <c r="HC49" s="17">
        <f t="shared" si="46"/>
        <v>0</v>
      </c>
      <c r="HD49" s="17">
        <f t="shared" si="47"/>
        <v>0</v>
      </c>
      <c r="HE49" s="17">
        <f t="shared" si="226"/>
        <v>0</v>
      </c>
      <c r="HF49" s="17">
        <f t="shared" si="227"/>
        <v>0</v>
      </c>
      <c r="HG49" s="17">
        <f t="shared" si="228"/>
        <v>0</v>
      </c>
      <c r="HH49" s="101" t="str">
        <f t="shared" si="229"/>
        <v>TIDAK KONSINYASI</v>
      </c>
      <c r="HI49" s="101">
        <f t="shared" si="230"/>
        <v>43312</v>
      </c>
      <c r="HJ49" s="27"/>
      <c r="HK49" s="101">
        <f t="shared" si="231"/>
        <v>43312</v>
      </c>
      <c r="HL49" s="83"/>
      <c r="HM49" s="83"/>
      <c r="HN49" s="83"/>
      <c r="HO49" s="83"/>
      <c r="HP49" s="102">
        <f t="shared" si="232"/>
        <v>0</v>
      </c>
      <c r="HQ49" s="66">
        <f t="shared" si="233"/>
        <v>0</v>
      </c>
      <c r="HR49" s="66">
        <f t="shared" si="50"/>
        <v>0</v>
      </c>
      <c r="HS49" s="102">
        <f t="shared" si="234"/>
        <v>0</v>
      </c>
      <c r="HT49" s="66">
        <f t="shared" si="235"/>
        <v>0</v>
      </c>
      <c r="HU49" s="66">
        <f t="shared" si="51"/>
        <v>0</v>
      </c>
      <c r="HV49" s="102">
        <f t="shared" si="236"/>
        <v>0</v>
      </c>
      <c r="HW49" s="66">
        <f t="shared" si="237"/>
        <v>0</v>
      </c>
      <c r="HX49" s="66">
        <f t="shared" si="53"/>
        <v>0</v>
      </c>
      <c r="HY49" s="102">
        <f t="shared" si="238"/>
        <v>0</v>
      </c>
      <c r="HZ49" s="66">
        <f t="shared" si="239"/>
        <v>0</v>
      </c>
      <c r="IA49" s="66">
        <f t="shared" si="55"/>
        <v>0</v>
      </c>
      <c r="IB49" s="102">
        <f t="shared" si="240"/>
        <v>0</v>
      </c>
      <c r="IC49" s="66">
        <f t="shared" si="241"/>
        <v>0</v>
      </c>
      <c r="ID49" s="66">
        <f t="shared" si="57"/>
        <v>0</v>
      </c>
      <c r="IE49" s="102">
        <f t="shared" si="242"/>
        <v>0</v>
      </c>
      <c r="IF49" s="66">
        <f t="shared" si="243"/>
        <v>0</v>
      </c>
      <c r="IG49" s="66">
        <f t="shared" si="60"/>
        <v>0</v>
      </c>
      <c r="IH49" s="102">
        <f t="shared" si="244"/>
        <v>0</v>
      </c>
      <c r="II49" s="66">
        <f t="shared" si="245"/>
        <v>0</v>
      </c>
      <c r="IJ49" s="66">
        <f t="shared" si="61"/>
        <v>0</v>
      </c>
      <c r="IK49" s="102">
        <f t="shared" si="246"/>
        <v>0</v>
      </c>
      <c r="IL49" s="66">
        <f t="shared" si="247"/>
        <v>0</v>
      </c>
      <c r="IM49" s="66">
        <f t="shared" si="64"/>
        <v>0</v>
      </c>
      <c r="IN49" s="83"/>
      <c r="IO49" s="102">
        <f t="shared" si="248"/>
        <v>0</v>
      </c>
      <c r="IP49" s="66">
        <f t="shared" si="66"/>
        <v>0</v>
      </c>
      <c r="IQ49" s="66">
        <f t="shared" si="67"/>
        <v>0</v>
      </c>
      <c r="IR49" s="83"/>
      <c r="IS49" s="102"/>
      <c r="IT49" s="66">
        <f t="shared" si="68"/>
        <v>0</v>
      </c>
      <c r="IU49" s="66">
        <f t="shared" si="69"/>
        <v>0</v>
      </c>
      <c r="IV49" s="83"/>
      <c r="IW49" s="102"/>
      <c r="IX49" s="66">
        <f t="shared" si="70"/>
        <v>0</v>
      </c>
      <c r="IY49" s="66">
        <f t="shared" si="71"/>
        <v>0</v>
      </c>
      <c r="IZ49" s="83"/>
      <c r="JA49" s="102"/>
      <c r="JB49" s="66">
        <f t="shared" si="72"/>
        <v>1</v>
      </c>
      <c r="JC49" s="66">
        <f t="shared" si="73"/>
        <v>383</v>
      </c>
      <c r="JD49" s="83"/>
      <c r="JE49" s="102"/>
      <c r="JF49" s="66">
        <f t="shared" ref="JF49:JF50" si="486">IT49+HQ49+HT49+HZ49+IF49+IL49+IP49+IX49+JB49</f>
        <v>1</v>
      </c>
      <c r="JG49" s="66">
        <f t="shared" ref="JG49:JG50" si="487">IU49+HR49+HU49+IA49+IG49+IM49+IQ49+IY49+JC49</f>
        <v>383</v>
      </c>
      <c r="JH49" s="83"/>
      <c r="JI49" s="102"/>
      <c r="JJ49" s="66">
        <f t="shared" si="75"/>
        <v>0</v>
      </c>
      <c r="JK49" s="66">
        <f t="shared" si="76"/>
        <v>0</v>
      </c>
      <c r="JM49" s="102">
        <f t="shared" si="250"/>
        <v>0</v>
      </c>
      <c r="JO49" s="29"/>
      <c r="JP49" s="122">
        <f t="shared" si="78"/>
        <v>0</v>
      </c>
      <c r="JQ49" s="122">
        <f t="shared" si="79"/>
        <v>0</v>
      </c>
      <c r="JR49" s="122">
        <f t="shared" si="80"/>
        <v>0</v>
      </c>
      <c r="JS49" s="122">
        <f t="shared" si="81"/>
        <v>0</v>
      </c>
      <c r="JT49" s="122">
        <f t="shared" si="82"/>
        <v>0</v>
      </c>
      <c r="JU49" s="122">
        <f t="shared" si="83"/>
        <v>0</v>
      </c>
      <c r="JV49" s="122">
        <f t="shared" si="84"/>
        <v>0</v>
      </c>
      <c r="JW49" s="122">
        <f t="shared" si="85"/>
        <v>0</v>
      </c>
      <c r="JX49" s="122">
        <f t="shared" si="86"/>
        <v>0</v>
      </c>
      <c r="JY49" s="122">
        <f t="shared" si="87"/>
        <v>0</v>
      </c>
      <c r="JZ49" s="122">
        <f t="shared" si="88"/>
        <v>0</v>
      </c>
      <c r="KA49" s="122">
        <f t="shared" si="89"/>
        <v>0</v>
      </c>
      <c r="KB49" s="122">
        <f t="shared" si="90"/>
        <v>0</v>
      </c>
      <c r="KD49" s="122">
        <f t="shared" si="167"/>
        <v>0</v>
      </c>
      <c r="KE49" s="122">
        <f t="shared" si="92"/>
        <v>0</v>
      </c>
      <c r="KF49" s="122">
        <f t="shared" si="93"/>
        <v>0</v>
      </c>
      <c r="KG49" s="122">
        <f t="shared" si="94"/>
        <v>0</v>
      </c>
      <c r="KH49" s="122">
        <f t="shared" si="95"/>
        <v>0</v>
      </c>
      <c r="KI49" s="122">
        <f t="shared" si="96"/>
        <v>0</v>
      </c>
      <c r="KJ49" s="122">
        <f t="shared" si="97"/>
        <v>0</v>
      </c>
      <c r="KK49" s="122">
        <f t="shared" si="98"/>
        <v>0</v>
      </c>
      <c r="KL49" s="122">
        <f t="shared" si="99"/>
        <v>0</v>
      </c>
      <c r="KM49" s="122">
        <f t="shared" si="100"/>
        <v>0</v>
      </c>
      <c r="KN49" s="123">
        <f t="shared" si="101"/>
        <v>0</v>
      </c>
      <c r="KO49" s="123">
        <f t="shared" si="102"/>
        <v>0</v>
      </c>
      <c r="KP49" s="123">
        <f t="shared" si="103"/>
        <v>0</v>
      </c>
      <c r="KQ49" s="123">
        <f t="shared" si="104"/>
        <v>0</v>
      </c>
      <c r="KR49" s="123">
        <f t="shared" si="105"/>
        <v>0</v>
      </c>
      <c r="KS49">
        <v>7</v>
      </c>
      <c r="KT49">
        <f t="shared" si="106"/>
        <v>1</v>
      </c>
      <c r="KU49" s="123"/>
      <c r="KV49" s="123"/>
      <c r="KW49" s="123"/>
      <c r="KX49" s="123"/>
      <c r="KY49" s="123"/>
      <c r="KZ49" s="123"/>
      <c r="LA49" s="123"/>
      <c r="LB49" s="123"/>
      <c r="LC49" s="123"/>
      <c r="LD49" s="123"/>
      <c r="LE49" s="123"/>
      <c r="LF49" s="123"/>
      <c r="LG49" s="123"/>
      <c r="LH49" s="123"/>
      <c r="LI49" s="123"/>
      <c r="LJ49" s="123"/>
      <c r="LK49" s="123"/>
      <c r="LL49" s="123"/>
      <c r="LM49" s="123"/>
      <c r="LN49" s="123"/>
      <c r="LO49" s="123"/>
      <c r="LP49" s="123"/>
      <c r="LQ49" s="123"/>
      <c r="LR49" s="123"/>
      <c r="LS49" s="123"/>
      <c r="LT49" s="123"/>
      <c r="LU49" s="123"/>
      <c r="LV49" s="123"/>
      <c r="LW49" s="123"/>
      <c r="LX49" s="123"/>
      <c r="LY49" s="123"/>
      <c r="LZ49" s="123"/>
      <c r="MA49" s="123"/>
      <c r="MB49" s="123"/>
      <c r="MC49" s="123"/>
      <c r="MD49" s="123"/>
      <c r="ME49" s="123"/>
      <c r="MF49" s="123"/>
      <c r="MG49" s="123"/>
      <c r="MH49" s="123"/>
      <c r="MI49" s="123"/>
      <c r="MJ49" s="123"/>
      <c r="MK49" s="123"/>
      <c r="ML49" s="123"/>
      <c r="MM49" s="123"/>
      <c r="MN49" s="123"/>
      <c r="MO49" s="123"/>
      <c r="MP49" s="123"/>
      <c r="MQ49" s="123"/>
      <c r="MR49" s="123"/>
      <c r="MS49" s="123"/>
      <c r="MT49" s="123"/>
      <c r="MU49" s="123"/>
      <c r="MV49" s="123"/>
      <c r="MW49" s="123"/>
      <c r="MX49" s="123"/>
      <c r="MY49" s="123"/>
      <c r="MZ49" s="123"/>
      <c r="NA49" s="123"/>
      <c r="NB49" s="123"/>
      <c r="NC49" s="123"/>
      <c r="ND49" s="123"/>
      <c r="NE49" s="123"/>
      <c r="NF49" s="123"/>
      <c r="NG49" s="123"/>
      <c r="NH49" s="123"/>
      <c r="NI49" s="123"/>
      <c r="NJ49" s="123"/>
      <c r="NK49" s="123"/>
      <c r="NM49">
        <f t="shared" si="251"/>
        <v>0</v>
      </c>
      <c r="NN49">
        <f t="shared" si="252"/>
        <v>0</v>
      </c>
      <c r="NO49">
        <f t="shared" si="253"/>
        <v>0</v>
      </c>
      <c r="NP49">
        <f t="shared" si="254"/>
        <v>0</v>
      </c>
      <c r="NQ49">
        <f t="shared" si="255"/>
        <v>0</v>
      </c>
      <c r="NR49">
        <f t="shared" si="256"/>
        <v>0</v>
      </c>
      <c r="NS49">
        <f t="shared" si="257"/>
        <v>1</v>
      </c>
      <c r="NT49">
        <f t="shared" si="258"/>
        <v>1</v>
      </c>
      <c r="NU49" s="29">
        <f t="shared" si="259"/>
        <v>0</v>
      </c>
      <c r="NY49" s="17"/>
      <c r="NZ49" s="152"/>
      <c r="OE49" s="155"/>
      <c r="OF49" s="155"/>
      <c r="OG49" s="155"/>
      <c r="OH49" s="155"/>
      <c r="OI49" s="155"/>
      <c r="OJ49" s="67"/>
      <c r="OK49" s="67"/>
      <c r="OL49" s="67"/>
      <c r="OM49" s="67"/>
      <c r="OO49" s="155"/>
      <c r="OP49" s="155"/>
      <c r="OQ49" s="155"/>
      <c r="OR49" s="155"/>
      <c r="OS49" s="155"/>
      <c r="OT49" s="67"/>
      <c r="OU49" s="67"/>
      <c r="OV49" s="67"/>
      <c r="OW49" s="67"/>
      <c r="OZ49" s="163">
        <f t="shared" si="360"/>
        <v>1</v>
      </c>
      <c r="PA49" s="166">
        <v>1</v>
      </c>
      <c r="PB49" s="166"/>
      <c r="PC49" s="166"/>
      <c r="PD49" s="210">
        <f t="shared" si="116"/>
        <v>0</v>
      </c>
      <c r="PE49" s="210"/>
      <c r="PF49" s="210">
        <f t="shared" si="117"/>
        <v>0</v>
      </c>
      <c r="PG49" s="210">
        <f t="shared" si="118"/>
        <v>383</v>
      </c>
      <c r="PH49" s="210">
        <f t="shared" si="118"/>
        <v>0</v>
      </c>
      <c r="PI49" s="210">
        <f t="shared" si="118"/>
        <v>0</v>
      </c>
      <c r="PJ49" s="210">
        <f t="shared" si="118"/>
        <v>0</v>
      </c>
      <c r="PK49" s="210">
        <f t="shared" si="118"/>
        <v>0</v>
      </c>
      <c r="PL49" s="210">
        <f t="shared" si="118"/>
        <v>0</v>
      </c>
      <c r="PM49" s="164"/>
      <c r="PN49" s="164"/>
      <c r="PO49" s="172">
        <f t="shared" si="189"/>
        <v>0</v>
      </c>
      <c r="PP49" s="172">
        <f t="shared" si="190"/>
        <v>0</v>
      </c>
      <c r="PQ49" s="172">
        <f t="shared" si="191"/>
        <v>0</v>
      </c>
      <c r="PR49" s="164"/>
      <c r="PS49" s="164"/>
      <c r="PT49" s="164"/>
      <c r="PU49" s="164"/>
    </row>
    <row r="50" spans="1:437 16383:16384" ht="16" x14ac:dyDescent="0.2">
      <c r="A50" s="19">
        <f t="shared" si="192"/>
        <v>42</v>
      </c>
      <c r="B50" s="268" t="s">
        <v>668</v>
      </c>
      <c r="C50" s="186">
        <v>3</v>
      </c>
      <c r="D50" s="188">
        <v>1</v>
      </c>
      <c r="E50" s="188">
        <v>23</v>
      </c>
      <c r="F50" s="188">
        <v>1</v>
      </c>
      <c r="G50" s="20">
        <f t="shared" si="473"/>
        <v>23</v>
      </c>
      <c r="H50" s="137">
        <f t="shared" si="444"/>
        <v>1</v>
      </c>
      <c r="I50" s="214">
        <f t="shared" si="445"/>
        <v>1</v>
      </c>
      <c r="J50" s="188">
        <v>1</v>
      </c>
      <c r="K50" s="188">
        <f t="shared" si="469"/>
        <v>23</v>
      </c>
      <c r="L50" s="214">
        <f t="shared" si="470"/>
        <v>1</v>
      </c>
      <c r="M50" s="214">
        <f t="shared" si="471"/>
        <v>1</v>
      </c>
      <c r="N50" s="188">
        <v>1</v>
      </c>
      <c r="O50" s="188">
        <f t="shared" si="446"/>
        <v>23</v>
      </c>
      <c r="P50" s="137">
        <f t="shared" si="447"/>
        <v>1</v>
      </c>
      <c r="Q50" s="137">
        <f t="shared" si="448"/>
        <v>1</v>
      </c>
      <c r="R50" s="20"/>
      <c r="S50" s="20">
        <f t="shared" si="449"/>
        <v>0</v>
      </c>
      <c r="T50" s="137">
        <f t="shared" si="450"/>
        <v>0</v>
      </c>
      <c r="U50" s="137">
        <f t="shared" si="451"/>
        <v>0</v>
      </c>
      <c r="V50" s="20"/>
      <c r="W50" s="20">
        <f t="shared" si="452"/>
        <v>0</v>
      </c>
      <c r="X50" s="137">
        <f t="shared" si="453"/>
        <v>0</v>
      </c>
      <c r="Y50" s="137">
        <f t="shared" si="454"/>
        <v>0</v>
      </c>
      <c r="Z50" s="20">
        <v>0</v>
      </c>
      <c r="AA50" s="20"/>
      <c r="AB50" s="17">
        <f t="shared" ref="AB50" si="488">IF(AA50=D50,E50,0)</f>
        <v>0</v>
      </c>
      <c r="AC50" s="18">
        <f t="shared" ref="AC50" si="489">AA50/$D50</f>
        <v>0</v>
      </c>
      <c r="AD50" s="18">
        <f t="shared" ref="AD50" si="490">AB50/$E50</f>
        <v>0</v>
      </c>
      <c r="AE50" s="20"/>
      <c r="AF50" s="20">
        <f t="shared" ref="AF50" si="491">R50-V50</f>
        <v>0</v>
      </c>
      <c r="AG50" s="20"/>
      <c r="AH50" s="20"/>
      <c r="AI50" s="20">
        <v>0</v>
      </c>
      <c r="AJ50" s="20">
        <f t="shared" ref="AJ50" si="492">IF(AI50=D50,E50,0)</f>
        <v>0</v>
      </c>
      <c r="AK50" s="20"/>
      <c r="AL50" s="20">
        <v>0</v>
      </c>
      <c r="AM50" s="20">
        <v>0</v>
      </c>
      <c r="AN50" s="139">
        <v>1</v>
      </c>
      <c r="BB50" s="20">
        <f t="shared" si="472"/>
        <v>23</v>
      </c>
      <c r="BE50" s="20">
        <f t="shared" ref="BE50" si="493">IF(AF50=1,S50,0)</f>
        <v>0</v>
      </c>
      <c r="BF50" s="20">
        <f t="shared" ref="BF50" si="494">IF(AG50="A",S50,0)</f>
        <v>0</v>
      </c>
      <c r="BG50" s="20">
        <f t="shared" ref="BG50" si="495">IF(AG50="B",S50,0)</f>
        <v>0</v>
      </c>
      <c r="BH50" s="20">
        <f t="shared" ref="BH50" si="496">IF(AG50="C",S50,0)</f>
        <v>0</v>
      </c>
      <c r="BI50" s="20">
        <f t="shared" ref="BI50" si="497">IF(AG50="D",S50,0)</f>
        <v>0</v>
      </c>
      <c r="BJ50" s="20">
        <f t="shared" ref="BJ50" si="498">IF(AG50="E",S50,0)</f>
        <v>0</v>
      </c>
      <c r="BK50" s="20">
        <f t="shared" ref="BK50" si="499">SUM(BF50:BJ50)</f>
        <v>0</v>
      </c>
      <c r="BN50" s="139"/>
      <c r="BO50" s="126"/>
      <c r="BP50" s="139"/>
      <c r="BQ50" s="139"/>
      <c r="BR50" s="139"/>
      <c r="BS50" s="139"/>
      <c r="BT50" s="139"/>
      <c r="BU50" s="139"/>
      <c r="BV50" s="139"/>
      <c r="BW50" s="139"/>
      <c r="BX50" s="139"/>
      <c r="BY50" s="139"/>
      <c r="BZ50" s="139"/>
      <c r="CB50" s="139"/>
      <c r="CD50" s="17">
        <f t="shared" ref="CD50" si="500">BN50</f>
        <v>0</v>
      </c>
      <c r="CE50" s="17">
        <f t="shared" si="474"/>
        <v>0</v>
      </c>
      <c r="CF50" s="139">
        <f t="shared" si="475"/>
        <v>0</v>
      </c>
      <c r="CG50" s="139">
        <f t="shared" si="476"/>
        <v>0</v>
      </c>
      <c r="CH50" s="139">
        <f t="shared" si="477"/>
        <v>0</v>
      </c>
      <c r="CI50" s="139">
        <f t="shared" si="478"/>
        <v>0</v>
      </c>
      <c r="CJ50" s="139">
        <f t="shared" si="479"/>
        <v>0</v>
      </c>
      <c r="CK50" s="139">
        <f t="shared" si="480"/>
        <v>0</v>
      </c>
      <c r="CL50" s="139">
        <f t="shared" si="481"/>
        <v>0</v>
      </c>
      <c r="CM50" s="139">
        <f t="shared" si="482"/>
        <v>0</v>
      </c>
      <c r="CN50" s="139">
        <f t="shared" si="483"/>
        <v>0</v>
      </c>
      <c r="CO50" s="139">
        <f t="shared" si="484"/>
        <v>0</v>
      </c>
      <c r="CP50" s="139">
        <f t="shared" si="485"/>
        <v>0</v>
      </c>
      <c r="CQ50" s="148">
        <f t="shared" ref="CQ50" si="501">SUM(CE50:CP50)-CD50</f>
        <v>0</v>
      </c>
      <c r="DV50" s="139">
        <f t="shared" ref="DV50" si="502">IF(CB50=1,G50,0)</f>
        <v>0</v>
      </c>
      <c r="DW50" s="139">
        <f t="shared" ref="DW50" si="503">IF(CC50="A",G50,0)</f>
        <v>0</v>
      </c>
      <c r="DX50" s="139">
        <f t="shared" ref="DX50" si="504">IF(CC50="B",G50,0)</f>
        <v>0</v>
      </c>
      <c r="DY50" s="139">
        <f t="shared" ref="DY50" si="505">IF(CC50="C",G50,0)</f>
        <v>0</v>
      </c>
      <c r="DZ50" s="139">
        <f t="shared" ref="DZ50" si="506">IF(CC50="D",G50,0)</f>
        <v>0</v>
      </c>
      <c r="EA50" s="139">
        <f t="shared" ref="EA50" si="507">IF(CC50="E",G50,0)</f>
        <v>0</v>
      </c>
      <c r="EB50" s="139">
        <f t="shared" ref="EB50" si="508">SUM(DW50:EA50)</f>
        <v>0</v>
      </c>
      <c r="EG50" s="57">
        <f t="shared" ref="EG50" si="509">IF(AG50="C","C",IF(AG50="D","D",0))</f>
        <v>0</v>
      </c>
      <c r="EH50" s="57">
        <f t="shared" ref="EH50" si="510">CC50</f>
        <v>0</v>
      </c>
      <c r="EI50" s="17"/>
      <c r="EJ50" s="17"/>
      <c r="EK50" s="17"/>
      <c r="EL50" s="17"/>
      <c r="EM50" s="17"/>
      <c r="EN50" s="17"/>
      <c r="EO50" s="17"/>
      <c r="EP50" s="17"/>
      <c r="EQ50" s="189"/>
      <c r="ER50" s="189"/>
      <c r="ES50" s="189"/>
      <c r="ET50" s="189"/>
      <c r="EU50" s="189"/>
      <c r="EV50" s="189"/>
      <c r="EW50" s="189"/>
      <c r="EX50" s="189"/>
      <c r="EY50" s="189"/>
      <c r="EZ50" s="189"/>
      <c r="FA50" s="189"/>
      <c r="FB50" s="189"/>
      <c r="FC50" s="189"/>
      <c r="FD50" s="17"/>
      <c r="FE50" s="17"/>
      <c r="FF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X50" s="177"/>
      <c r="FY50" s="17">
        <f t="shared" ref="FY50" si="511">SUM(FZ50:GE50)</f>
        <v>0</v>
      </c>
      <c r="FZ50" s="17">
        <f t="shared" ref="FZ50" si="512">DI50+CE50</f>
        <v>0</v>
      </c>
      <c r="GA50" s="17">
        <f t="shared" ref="GA50" si="513">DJ50+CF50</f>
        <v>0</v>
      </c>
      <c r="GB50" s="17">
        <f t="shared" ref="GB50" si="514">DK50+CG50</f>
        <v>0</v>
      </c>
      <c r="GC50" s="17">
        <f t="shared" ref="GC50" si="515">DM50+CI50</f>
        <v>0</v>
      </c>
      <c r="GD50" s="17">
        <f t="shared" ref="GD50" si="516">DO50+CK50</f>
        <v>0</v>
      </c>
      <c r="GE50" s="17">
        <f t="shared" ref="GE50" si="517">DT50+CP50</f>
        <v>0</v>
      </c>
      <c r="GF50" s="67"/>
      <c r="GG50" s="17">
        <v>0</v>
      </c>
      <c r="GH50" s="17">
        <v>0</v>
      </c>
      <c r="GI50" s="67"/>
      <c r="GJ50" s="62">
        <f t="shared" ref="GJ50" si="518">FY50*GG50/1000000000</f>
        <v>0</v>
      </c>
      <c r="GK50" s="62">
        <f t="shared" ref="GK50" si="519">FY50*GH50/1000000000</f>
        <v>0</v>
      </c>
      <c r="GO50" s="17">
        <f t="shared" ref="GO50" si="520">D50-F50</f>
        <v>0</v>
      </c>
      <c r="GP50" s="17">
        <f t="shared" ref="GP50" si="521">D50-J50</f>
        <v>0</v>
      </c>
      <c r="GQ50" s="17">
        <f t="shared" ref="GQ50" si="522">D50-N50</f>
        <v>0</v>
      </c>
      <c r="GR50" s="17">
        <f t="shared" ref="GR50" si="523">D50-R50</f>
        <v>1</v>
      </c>
      <c r="GS50" s="17">
        <f t="shared" ref="GS50" si="524">D50-V50</f>
        <v>1</v>
      </c>
      <c r="GT50" s="17">
        <f t="shared" ref="GT50" si="525">IF(SUM(GO50:GS50)=0,1,0)</f>
        <v>0</v>
      </c>
      <c r="GU50" s="101">
        <f t="shared" si="146"/>
        <v>43243</v>
      </c>
      <c r="GV50" s="17" t="str">
        <f t="shared" ref="GV50" si="526">IF(GO50&gt;0,$GO$6,IF(GP50&gt;0,$GP$6,IF(GQ50&gt;0,$GQ$6,IF(GR50&gt;0,$GR$6,IF(GS50&gt;0,$GS$6,IF(GT50&gt;0,$GT$6,0))))))</f>
        <v>Musyawarah</v>
      </c>
      <c r="GW50" s="17">
        <f t="shared" ref="GW50" si="527">IF(GV50=$GO$6,GO50,IF(GV50=$GP$6,GP50,IF(GV50=$GQ$6,GQ50,IF(GV50=$GR$6,GR50,IF(GV50=$GS$6,GS50,0)))))</f>
        <v>1</v>
      </c>
      <c r="GX50" s="66" t="str">
        <f t="shared" ref="GX50" si="528">GV50</f>
        <v>Musyawarah</v>
      </c>
      <c r="GY50" s="66">
        <f t="shared" ref="GY50" si="529">IF(GX50="DNP",SUM($GY$4:$GY$8),IF(GX50="Survey KJPP",SUM($GY$5:$GY$8),IF(GX50="Hasil Valuasi",SUM($GY$6:$GY$8),IF(GX50="Musyawarah",SUM($GY$7:$GY$8),IF(GX50="UGR",$GY$8,0)))))</f>
        <v>24</v>
      </c>
      <c r="GZ50" s="102">
        <f t="shared" ref="GZ50" si="530">IF(GW50=0,"SELESAI",GU50+GY50)</f>
        <v>43267</v>
      </c>
      <c r="HA50" s="83"/>
      <c r="HB50" s="83"/>
      <c r="HC50" s="17">
        <f t="shared" ref="HC50" si="531">IF(BH50&gt;0,1,IF(BI50&gt;0,1,0))</f>
        <v>0</v>
      </c>
      <c r="HD50" s="17">
        <f t="shared" ref="HD50" si="532">IF(CB50&gt;0,1,0)</f>
        <v>0</v>
      </c>
      <c r="HE50" s="17">
        <f t="shared" ref="HE50" si="533">HC50+HD50</f>
        <v>0</v>
      </c>
      <c r="HF50" s="17">
        <f t="shared" ref="HF50" si="534">FQ50</f>
        <v>0</v>
      </c>
      <c r="HG50" s="17">
        <f t="shared" ref="HG50" si="535">HE50-HF50</f>
        <v>0</v>
      </c>
      <c r="HH50" s="101" t="str">
        <f t="shared" ref="HH50" si="536">IF(HG50=1,GU50+$HH$8,"TIDAK KONSINYASI")</f>
        <v>TIDAK KONSINYASI</v>
      </c>
      <c r="HI50" s="101">
        <f t="shared" ref="HI50" si="537">IF(GW50=0,"SELESAI",GZ50+$HI$8)</f>
        <v>43312</v>
      </c>
      <c r="HJ50" s="27"/>
      <c r="HK50" s="101">
        <f t="shared" ref="HK50" si="538">MAX(GZ50,HH50,HI50)</f>
        <v>43312</v>
      </c>
      <c r="HL50" s="83"/>
      <c r="HM50" s="83"/>
      <c r="HN50" s="83"/>
      <c r="HO50" s="83"/>
      <c r="HP50" s="102">
        <f t="shared" ref="HP50" si="539">IF(HQ50=1,GZ50,0)</f>
        <v>0</v>
      </c>
      <c r="HQ50" s="66">
        <f t="shared" ref="HQ50" si="540">IF(IX50=0,IF(HT50=0,IF(IP50=0,IF(GV50="UGR",GS50,0),0),0),0)</f>
        <v>0</v>
      </c>
      <c r="HR50" s="66">
        <f t="shared" ref="HR50" si="541">IF(HQ50=1,E50,0)</f>
        <v>0</v>
      </c>
      <c r="HS50" s="102">
        <f t="shared" ref="HS50" si="542">IF(HT50=1,HH50,0)</f>
        <v>0</v>
      </c>
      <c r="HT50" s="66">
        <f t="shared" ref="HT50" si="543">HG50</f>
        <v>0</v>
      </c>
      <c r="HU50" s="66">
        <f t="shared" ref="HU50" si="544">IF(HT50=1,E50,0)</f>
        <v>0</v>
      </c>
      <c r="HV50" s="102">
        <f t="shared" ref="HV50" si="545">IF(HW50=1,GZ50,0)</f>
        <v>0</v>
      </c>
      <c r="HW50" s="66">
        <f t="shared" ref="HW50" si="546">IF(JB50=0,IF(IX50=0,IF(HT50=0,IF(GV50="MUSYAWARAH",GR50,0),0),0),0)</f>
        <v>0</v>
      </c>
      <c r="HX50" s="66">
        <f t="shared" ref="HX50" si="547">IF(HW50=1,E50,0)</f>
        <v>0</v>
      </c>
      <c r="HY50" s="102">
        <f t="shared" ref="HY50" si="548">IF(HZ50=1,HV50+$HI$8,0)</f>
        <v>0</v>
      </c>
      <c r="HZ50" s="66">
        <f t="shared" ref="HZ50" si="549">HW50</f>
        <v>0</v>
      </c>
      <c r="IA50" s="66">
        <f t="shared" ref="IA50" si="550">IF(HZ50=1,E50,0)</f>
        <v>0</v>
      </c>
      <c r="IB50" s="102">
        <f t="shared" ref="IB50" si="551">IF(IC50=1,$GU$3+SUM($GY$6:$GY$8),0)</f>
        <v>0</v>
      </c>
      <c r="IC50" s="66">
        <f t="shared" ref="IC50" si="552">IF(GV50="Hasil Valuasi",GQ50,0)</f>
        <v>0</v>
      </c>
      <c r="ID50" s="66">
        <f t="shared" ref="ID50" si="553">IF(IC50=1,E50,0)</f>
        <v>0</v>
      </c>
      <c r="IE50" s="102">
        <f t="shared" ref="IE50" si="554">IF(IF50=1,IB50+$HI$8,0)</f>
        <v>0</v>
      </c>
      <c r="IF50" s="66">
        <f t="shared" ref="IF50" si="555">IC50</f>
        <v>0</v>
      </c>
      <c r="IG50" s="66">
        <f t="shared" ref="IG50" si="556">IF(IF50=1,E50,0)</f>
        <v>0</v>
      </c>
      <c r="IH50" s="102">
        <f t="shared" ref="IH50" si="557">IF(II50=1,$GU$3+SUM($GY$5:$GY$8),0)</f>
        <v>0</v>
      </c>
      <c r="II50" s="66">
        <f t="shared" ref="II50" si="558">IF(GV50="Survey KJPP",GP50,0)</f>
        <v>0</v>
      </c>
      <c r="IJ50" s="66">
        <f t="shared" ref="IJ50" si="559">IF(II50=1,E50,0)</f>
        <v>0</v>
      </c>
      <c r="IK50" s="102">
        <f t="shared" ref="IK50" si="560">IF(IL50=1,IH50+$HI$8,0)</f>
        <v>0</v>
      </c>
      <c r="IL50" s="66">
        <f t="shared" ref="IL50" si="561">II50</f>
        <v>0</v>
      </c>
      <c r="IM50" s="66">
        <f t="shared" ref="IM50" si="562">IF(IL50=1,E50,0)</f>
        <v>0</v>
      </c>
      <c r="IN50" s="83"/>
      <c r="IO50" s="102">
        <f t="shared" ref="IO50" si="563">IF(IP50=1,+$GU$3+$HH$8,0)</f>
        <v>0</v>
      </c>
      <c r="IP50" s="66">
        <f t="shared" ref="IP50" si="564">IF(BG50&gt;0,1,0)</f>
        <v>0</v>
      </c>
      <c r="IQ50" s="66">
        <f t="shared" ref="IQ50" si="565">IF(IP50=1,E50,0)</f>
        <v>0</v>
      </c>
      <c r="IR50" s="83"/>
      <c r="IS50" s="102"/>
      <c r="IT50" s="66">
        <f t="shared" ref="IT50" si="566">V50</f>
        <v>0</v>
      </c>
      <c r="IU50" s="66">
        <f t="shared" ref="IU50" si="567">W50</f>
        <v>0</v>
      </c>
      <c r="IV50" s="83"/>
      <c r="IW50" s="102"/>
      <c r="IX50" s="66">
        <f t="shared" ref="IX50" si="568">AA50</f>
        <v>0</v>
      </c>
      <c r="IY50" s="66">
        <f t="shared" ref="IY50" si="569">AB50</f>
        <v>0</v>
      </c>
      <c r="IZ50" s="83"/>
      <c r="JA50" s="102"/>
      <c r="JB50" s="66">
        <f t="shared" ref="JB50" si="570">AN50</f>
        <v>1</v>
      </c>
      <c r="JC50" s="66">
        <f t="shared" ref="JC50" si="571">BB50</f>
        <v>23</v>
      </c>
      <c r="JD50" s="83"/>
      <c r="JE50" s="102"/>
      <c r="JF50" s="66">
        <f t="shared" si="486"/>
        <v>1</v>
      </c>
      <c r="JG50" s="66">
        <f t="shared" si="487"/>
        <v>23</v>
      </c>
      <c r="JH50" s="83"/>
      <c r="JI50" s="102"/>
      <c r="JJ50" s="66">
        <f t="shared" ref="JJ50" si="572">JF50-D50</f>
        <v>0</v>
      </c>
      <c r="JK50" s="66">
        <f t="shared" ref="JK50" si="573">JG50-E50</f>
        <v>0</v>
      </c>
      <c r="JM50" s="102">
        <f t="shared" ref="JM50" si="574">MAX(IW50,IS50,IO50,IK50,IE50,HY50,HS50,HP50)</f>
        <v>0</v>
      </c>
      <c r="JO50" s="29">
        <f t="shared" ref="JO50" si="575">SUM(JQ50:KB50)</f>
        <v>0</v>
      </c>
      <c r="JP50" s="122">
        <f t="shared" ref="JP50" si="576">BN50+CR50</f>
        <v>0</v>
      </c>
      <c r="JQ50" s="122">
        <f t="shared" ref="JQ50" si="577">IF(BO50+CS50=2,1,IF(BO50+CS50=1,1,0))</f>
        <v>0</v>
      </c>
      <c r="JR50" s="122">
        <f t="shared" ref="JR50" si="578">IF(BP50+CT50=2,1,IF(BP50+CT50=1,1,0))</f>
        <v>0</v>
      </c>
      <c r="JS50" s="122">
        <f t="shared" ref="JS50" si="579">IF(BQ50+CU50=2,1,IF(BQ50+CU50=1,1,0))</f>
        <v>0</v>
      </c>
      <c r="JT50" s="122">
        <f t="shared" ref="JT50" si="580">IF(BR50+CV50=2,1,IF(BR50+CV50=1,1,0))</f>
        <v>0</v>
      </c>
      <c r="JU50" s="122">
        <f t="shared" ref="JU50" si="581">IF(BS50+CW50=2,1,IF(BS50+CW50=1,1,0))</f>
        <v>0</v>
      </c>
      <c r="JV50" s="122">
        <f t="shared" ref="JV50" si="582">IF(BT50+CX50=2,1,IF(BT50+CX50=1,1,0))</f>
        <v>0</v>
      </c>
      <c r="JW50" s="122">
        <f t="shared" ref="JW50" si="583">IF(BU50+CY50=2,1,IF(BU50+CY50=1,1,0))</f>
        <v>0</v>
      </c>
      <c r="JX50" s="122">
        <f t="shared" ref="JX50" si="584">IF(BV50+CZ50=2,1,IF(BV50+CZ50=1,1,0))</f>
        <v>0</v>
      </c>
      <c r="JY50" s="122">
        <f t="shared" ref="JY50" si="585">IF(BW50+DA50=2,1,IF(BW50+DA50=1,1,0))</f>
        <v>0</v>
      </c>
      <c r="JZ50" s="122">
        <f t="shared" ref="JZ50" si="586">IF(BX50+DB50=2,1,IF(BX50+DB50=1,1,0))</f>
        <v>0</v>
      </c>
      <c r="KA50" s="122">
        <f t="shared" ref="KA50" si="587">IF(BY50+DC50=2,1,IF(BY50+DC50=1,1,0))</f>
        <v>0</v>
      </c>
      <c r="KB50" s="122">
        <f t="shared" ref="KB50" si="588">IF(BZ50+DD50=2,1,IF(BZ50+DD50=1,1,0))</f>
        <v>0</v>
      </c>
      <c r="KD50" s="122">
        <f t="shared" ref="KD50" si="589">IF(IF(SUM(GA50:GE50)&gt;100,1,0)+IF(FX50=1,1,0)=2,1,0)</f>
        <v>0</v>
      </c>
      <c r="KE50" s="122">
        <f t="shared" ref="KE50" si="590">IF(KD50=1,KF50,0)</f>
        <v>0</v>
      </c>
      <c r="KF50" s="122">
        <f t="shared" ref="KF50" si="591">CD50+DH50</f>
        <v>0</v>
      </c>
      <c r="KG50" s="122">
        <f t="shared" ref="KG50" si="592">CE50+DI50</f>
        <v>0</v>
      </c>
      <c r="KH50" s="122">
        <f t="shared" ref="KH50" si="593">CF50+DJ50</f>
        <v>0</v>
      </c>
      <c r="KI50" s="122">
        <f t="shared" ref="KI50" si="594">CG50+DK50</f>
        <v>0</v>
      </c>
      <c r="KJ50" s="122">
        <f t="shared" ref="KJ50" si="595">CH50+DL50</f>
        <v>0</v>
      </c>
      <c r="KK50" s="122">
        <f t="shared" ref="KK50" si="596">CI50+DM50</f>
        <v>0</v>
      </c>
      <c r="KL50" s="122">
        <f t="shared" ref="KL50" si="597">CJ50+DN50</f>
        <v>0</v>
      </c>
      <c r="KM50" s="122">
        <f t="shared" ref="KM50" si="598">CK50+DO50</f>
        <v>0</v>
      </c>
      <c r="KN50" s="123">
        <f t="shared" ref="KN50" si="599">CL50+DP50</f>
        <v>0</v>
      </c>
      <c r="KO50" s="123">
        <f t="shared" ref="KO50" si="600">CM50+DQ50</f>
        <v>0</v>
      </c>
      <c r="KP50" s="123">
        <f t="shared" ref="KP50" si="601">CN50+DR50</f>
        <v>0</v>
      </c>
      <c r="KQ50" s="123">
        <f t="shared" ref="KQ50" si="602">CO50+DS50</f>
        <v>0</v>
      </c>
      <c r="KR50" s="123">
        <f t="shared" ref="KR50" si="603">CP50+DT50</f>
        <v>0</v>
      </c>
      <c r="KS50">
        <v>7</v>
      </c>
      <c r="KT50">
        <f t="shared" ref="KT50" si="604">AN50</f>
        <v>1</v>
      </c>
      <c r="KU50" s="123"/>
      <c r="KV50" s="123"/>
      <c r="KW50" s="123"/>
      <c r="KX50" s="123"/>
      <c r="KY50" s="123"/>
      <c r="KZ50" s="123"/>
      <c r="LA50" s="123"/>
      <c r="LB50" s="123"/>
      <c r="LC50" s="123"/>
      <c r="LD50" s="123"/>
      <c r="LE50" s="123"/>
      <c r="LF50" s="123"/>
      <c r="LG50" s="123"/>
      <c r="LH50" s="123"/>
      <c r="LI50" s="123"/>
      <c r="LJ50" s="123"/>
      <c r="LK50" s="123"/>
      <c r="LL50" s="123"/>
      <c r="LM50" s="123"/>
      <c r="LN50" s="123"/>
      <c r="LO50" s="123"/>
      <c r="LP50" s="123"/>
      <c r="LQ50" s="123"/>
      <c r="LR50" s="123"/>
      <c r="LS50" s="123"/>
      <c r="LT50" s="123"/>
      <c r="LU50" s="123"/>
      <c r="LV50" s="123"/>
      <c r="LW50" s="123"/>
      <c r="LX50" s="123"/>
      <c r="LY50" s="123"/>
      <c r="LZ50" s="123"/>
      <c r="MA50" s="123"/>
      <c r="MB50" s="123"/>
      <c r="MC50" s="123"/>
      <c r="MD50" s="123"/>
      <c r="ME50" s="123"/>
      <c r="MF50" s="123"/>
      <c r="MG50" s="123"/>
      <c r="MH50" s="123"/>
      <c r="MI50" s="123"/>
      <c r="MJ50" s="123"/>
      <c r="MK50" s="123"/>
      <c r="ML50" s="123"/>
      <c r="MM50" s="123"/>
      <c r="MN50" s="123"/>
      <c r="MO50" s="123"/>
      <c r="MP50" s="123"/>
      <c r="MQ50" s="123"/>
      <c r="MR50" s="123"/>
      <c r="MS50" s="123"/>
      <c r="MT50" s="123"/>
      <c r="MU50" s="123"/>
      <c r="MV50" s="123"/>
      <c r="MW50" s="123"/>
      <c r="MX50" s="123"/>
      <c r="MY50" s="123"/>
      <c r="MZ50" s="123"/>
      <c r="NA50" s="123"/>
      <c r="NB50" s="123"/>
      <c r="NC50" s="123"/>
      <c r="ND50" s="123"/>
      <c r="NE50" s="123"/>
      <c r="NF50" s="123"/>
      <c r="NG50" s="123"/>
      <c r="NH50" s="123"/>
      <c r="NI50" s="123"/>
      <c r="NJ50" s="123"/>
      <c r="NK50" s="123"/>
      <c r="NM50">
        <f t="shared" ref="NM50" si="605">IF(KS50=1,1,0)</f>
        <v>0</v>
      </c>
      <c r="NN50">
        <f t="shared" ref="NN50" si="606">IF(KS50=2,1,0)</f>
        <v>0</v>
      </c>
      <c r="NO50">
        <f t="shared" ref="NO50" si="607">IF(KS50=3,1,0)</f>
        <v>0</v>
      </c>
      <c r="NP50">
        <f t="shared" ref="NP50" si="608">IF(KS50=4,1,0)</f>
        <v>0</v>
      </c>
      <c r="NQ50">
        <f t="shared" ref="NQ50" si="609">IF(KS50=5,1,0)</f>
        <v>0</v>
      </c>
      <c r="NR50">
        <f t="shared" ref="NR50" si="610">IF(KS50=6,1,0)</f>
        <v>0</v>
      </c>
      <c r="NS50">
        <f t="shared" ref="NS50" si="611">IF(KS50=7,1,0)</f>
        <v>1</v>
      </c>
      <c r="NT50">
        <f t="shared" ref="NT50" si="612">SUM(NM50:NS50)</f>
        <v>1</v>
      </c>
      <c r="NU50" s="29">
        <f t="shared" ref="NU50" si="613">NT50-KT50</f>
        <v>0</v>
      </c>
      <c r="NY50" s="17"/>
      <c r="NZ50" s="152"/>
      <c r="OE50" s="155"/>
      <c r="OF50" s="155"/>
      <c r="OG50" s="155"/>
      <c r="OH50" s="155"/>
      <c r="OI50" s="155"/>
      <c r="OJ50" s="67"/>
      <c r="OK50" s="67"/>
      <c r="OL50" s="67"/>
      <c r="OM50" s="67"/>
      <c r="OO50" s="155"/>
      <c r="OP50" s="155"/>
      <c r="OQ50" s="155"/>
      <c r="OR50" s="155"/>
      <c r="OS50" s="155"/>
      <c r="OT50" s="67"/>
      <c r="OU50" s="67"/>
      <c r="OV50" s="67"/>
      <c r="OW50" s="67"/>
      <c r="OZ50" s="163">
        <f t="shared" ref="OZ50" si="614">AN50</f>
        <v>1</v>
      </c>
      <c r="PA50" s="166">
        <v>1</v>
      </c>
      <c r="PB50" s="166"/>
      <c r="PC50" s="166"/>
      <c r="PD50" s="210">
        <f t="shared" si="116"/>
        <v>0</v>
      </c>
      <c r="PE50" s="210"/>
      <c r="PF50" s="210">
        <f t="shared" si="117"/>
        <v>0</v>
      </c>
      <c r="PG50" s="210">
        <f t="shared" si="118"/>
        <v>23</v>
      </c>
      <c r="PH50" s="210">
        <f t="shared" si="118"/>
        <v>0</v>
      </c>
      <c r="PI50" s="210">
        <f t="shared" si="118"/>
        <v>0</v>
      </c>
      <c r="PJ50" s="210">
        <f t="shared" si="118"/>
        <v>0</v>
      </c>
      <c r="PK50" s="210">
        <f t="shared" si="118"/>
        <v>0</v>
      </c>
      <c r="PL50" s="210">
        <f t="shared" si="118"/>
        <v>0</v>
      </c>
      <c r="PM50" s="164"/>
      <c r="PN50" s="164"/>
      <c r="PO50" s="172">
        <f t="shared" ref="PO50" si="615">IF(FC50=1,AB50,0)</f>
        <v>0</v>
      </c>
      <c r="PP50" s="172">
        <f t="shared" ref="PP50" si="616">IF(FF50=1,AB50,0)</f>
        <v>0</v>
      </c>
      <c r="PQ50" s="172">
        <f t="shared" ref="PQ50" si="617">AB50-(PO50+PP50)</f>
        <v>0</v>
      </c>
      <c r="PR50" s="164"/>
      <c r="PS50" s="164"/>
      <c r="PT50" s="164"/>
      <c r="PU50" s="164"/>
    </row>
    <row r="51" spans="1:437 16383:16384" ht="16" x14ac:dyDescent="0.2">
      <c r="A51" s="19"/>
      <c r="B51" s="269"/>
      <c r="C51" s="186"/>
      <c r="D51" s="188"/>
      <c r="E51" s="188"/>
      <c r="F51" s="188"/>
      <c r="G51" s="20"/>
      <c r="H51" s="137"/>
      <c r="I51" s="214"/>
      <c r="J51" s="188"/>
      <c r="K51" s="188"/>
      <c r="L51" s="214"/>
      <c r="M51" s="214"/>
      <c r="N51" s="188"/>
      <c r="O51" s="188"/>
      <c r="P51" s="137"/>
      <c r="Q51" s="137"/>
      <c r="R51" s="20"/>
      <c r="S51" s="20"/>
      <c r="T51" s="137"/>
      <c r="U51" s="137"/>
      <c r="V51" s="20"/>
      <c r="W51" s="20"/>
      <c r="X51" s="137"/>
      <c r="Y51" s="137"/>
      <c r="Z51" s="20"/>
      <c r="AA51" s="20"/>
      <c r="AB51" s="17"/>
      <c r="AC51" s="18"/>
      <c r="AD51" s="18"/>
      <c r="AE51" s="20"/>
      <c r="AF51" s="20"/>
      <c r="AG51" s="20"/>
      <c r="AH51" s="20"/>
      <c r="AI51" s="20"/>
      <c r="AJ51" s="20"/>
      <c r="AK51" s="20"/>
      <c r="AL51" s="20"/>
      <c r="AM51" s="20"/>
      <c r="AN51" s="139"/>
      <c r="BB51" s="20"/>
      <c r="BE51" s="20"/>
      <c r="BF51" s="20"/>
      <c r="BG51" s="20"/>
      <c r="BH51" s="20"/>
      <c r="BI51" s="20"/>
      <c r="BJ51" s="20"/>
      <c r="BK51" s="20"/>
      <c r="BN51" s="139"/>
      <c r="BO51" s="126"/>
      <c r="BP51" s="139"/>
      <c r="BQ51" s="139"/>
      <c r="BR51" s="139"/>
      <c r="BS51" s="139"/>
      <c r="BT51" s="139"/>
      <c r="BU51" s="139"/>
      <c r="BV51" s="139"/>
      <c r="BW51" s="139"/>
      <c r="BX51" s="139"/>
      <c r="BY51" s="139"/>
      <c r="BZ51" s="139"/>
      <c r="CB51" s="139"/>
      <c r="CD51" s="17"/>
      <c r="CE51" s="17"/>
      <c r="CF51" s="139"/>
      <c r="CG51" s="139"/>
      <c r="CH51" s="139"/>
      <c r="CI51" s="139"/>
      <c r="CJ51" s="139"/>
      <c r="CK51" s="139"/>
      <c r="CL51" s="139"/>
      <c r="CM51" s="139"/>
      <c r="CN51" s="139"/>
      <c r="CO51" s="139"/>
      <c r="CP51" s="139"/>
      <c r="CQ51" s="148"/>
      <c r="DV51" s="139"/>
      <c r="DW51" s="139"/>
      <c r="DX51" s="139"/>
      <c r="DY51" s="139"/>
      <c r="DZ51" s="139"/>
      <c r="EA51" s="139"/>
      <c r="EB51" s="139"/>
      <c r="EG51" s="57"/>
      <c r="EH51" s="57"/>
      <c r="EI51" s="17"/>
      <c r="EJ51" s="17"/>
      <c r="EK51" s="17"/>
      <c r="EL51" s="17"/>
      <c r="EM51" s="17"/>
      <c r="EN51" s="17"/>
      <c r="EO51" s="17"/>
      <c r="EP51" s="17"/>
      <c r="EQ51" s="189"/>
      <c r="ER51" s="189"/>
      <c r="ES51" s="189"/>
      <c r="ET51" s="189"/>
      <c r="EU51" s="189"/>
      <c r="EV51" s="189"/>
      <c r="EW51" s="189"/>
      <c r="EX51" s="189"/>
      <c r="EY51" s="189"/>
      <c r="EZ51" s="189"/>
      <c r="FA51" s="189"/>
      <c r="FB51" s="189"/>
      <c r="FC51" s="189"/>
      <c r="FD51" s="17"/>
      <c r="FE51" s="17"/>
      <c r="FF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X51" s="80"/>
      <c r="FY51" s="17"/>
      <c r="FZ51" s="17"/>
      <c r="GA51" s="17"/>
      <c r="GB51" s="17"/>
      <c r="GC51" s="17"/>
      <c r="GD51" s="17"/>
      <c r="GE51" s="17"/>
      <c r="GF51" s="67"/>
      <c r="GG51" s="17"/>
      <c r="GH51" s="17"/>
      <c r="GI51" s="67"/>
      <c r="GJ51" s="62"/>
      <c r="GK51" s="62"/>
      <c r="GO51" s="17"/>
      <c r="GP51" s="17"/>
      <c r="GQ51" s="17"/>
      <c r="GR51" s="17"/>
      <c r="GS51" s="17"/>
      <c r="GT51" s="17"/>
      <c r="GU51" s="101"/>
      <c r="GV51" s="17"/>
      <c r="GW51" s="17"/>
      <c r="GX51" s="66"/>
      <c r="GY51" s="66"/>
      <c r="GZ51" s="102"/>
      <c r="HA51" s="83"/>
      <c r="HB51" s="83"/>
      <c r="HC51" s="17"/>
      <c r="HD51" s="17"/>
      <c r="HE51" s="17"/>
      <c r="HF51" s="17"/>
      <c r="HG51" s="17"/>
      <c r="HH51" s="101"/>
      <c r="HI51" s="101"/>
      <c r="HJ51" s="27"/>
      <c r="HK51" s="101"/>
      <c r="HL51" s="83"/>
      <c r="HM51" s="83"/>
      <c r="HN51" s="83"/>
      <c r="HO51" s="83"/>
      <c r="HP51" s="102"/>
      <c r="HQ51" s="66"/>
      <c r="HR51" s="66"/>
      <c r="HS51" s="102"/>
      <c r="HT51" s="66"/>
      <c r="HU51" s="66"/>
      <c r="HV51" s="102"/>
      <c r="HW51" s="66"/>
      <c r="HX51" s="66"/>
      <c r="HY51" s="102"/>
      <c r="HZ51" s="66"/>
      <c r="IA51" s="66"/>
      <c r="IB51" s="102"/>
      <c r="IC51" s="66"/>
      <c r="ID51" s="66"/>
      <c r="IE51" s="102"/>
      <c r="IF51" s="66"/>
      <c r="IG51" s="66"/>
      <c r="IH51" s="102"/>
      <c r="II51" s="66"/>
      <c r="IJ51" s="66"/>
      <c r="IK51" s="102"/>
      <c r="IL51" s="66"/>
      <c r="IM51" s="66"/>
      <c r="IN51" s="83"/>
      <c r="IO51" s="102"/>
      <c r="IP51" s="66"/>
      <c r="IQ51" s="66"/>
      <c r="IR51" s="83"/>
      <c r="IS51" s="102"/>
      <c r="IT51" s="66"/>
      <c r="IU51" s="66"/>
      <c r="IV51" s="83"/>
      <c r="IW51" s="102"/>
      <c r="IX51" s="66"/>
      <c r="IY51" s="66"/>
      <c r="IZ51" s="83"/>
      <c r="JA51" s="102"/>
      <c r="JB51" s="66"/>
      <c r="JC51" s="66"/>
      <c r="JD51" s="83"/>
      <c r="JE51" s="102"/>
      <c r="JF51" s="66"/>
      <c r="JG51" s="66"/>
      <c r="JH51" s="83"/>
      <c r="JI51" s="102"/>
      <c r="JJ51" s="66"/>
      <c r="JK51" s="66"/>
      <c r="JM51" s="102"/>
      <c r="JO51" s="29"/>
      <c r="JP51" s="122"/>
      <c r="JQ51" s="122"/>
      <c r="JR51" s="122"/>
      <c r="JS51" s="122"/>
      <c r="JT51" s="122"/>
      <c r="JU51" s="122"/>
      <c r="JV51" s="122"/>
      <c r="JW51" s="122"/>
      <c r="JX51" s="122"/>
      <c r="JY51" s="122"/>
      <c r="JZ51" s="122"/>
      <c r="KA51" s="122"/>
      <c r="KB51" s="122"/>
      <c r="KD51" s="122"/>
      <c r="KE51" s="122"/>
      <c r="KF51" s="122"/>
      <c r="KG51" s="122"/>
      <c r="KH51" s="122"/>
      <c r="KI51" s="122"/>
      <c r="KJ51" s="122"/>
      <c r="KK51" s="122"/>
      <c r="KL51" s="122"/>
      <c r="KM51" s="122"/>
      <c r="KN51" s="123"/>
      <c r="KO51" s="123"/>
      <c r="KP51" s="123"/>
      <c r="KQ51" s="123"/>
      <c r="KR51" s="123"/>
      <c r="KU51" s="123"/>
      <c r="KV51" s="123"/>
      <c r="KW51" s="123"/>
      <c r="KX51" s="123"/>
      <c r="KY51" s="123"/>
      <c r="KZ51" s="123"/>
      <c r="LA51" s="123"/>
      <c r="LB51" s="123"/>
      <c r="LC51" s="123"/>
      <c r="LD51" s="123"/>
      <c r="LE51" s="123"/>
      <c r="LF51" s="123"/>
      <c r="LG51" s="123"/>
      <c r="LH51" s="123"/>
      <c r="LI51" s="123"/>
      <c r="LJ51" s="123"/>
      <c r="LK51" s="123"/>
      <c r="LL51" s="123"/>
      <c r="LM51" s="123"/>
      <c r="LN51" s="123"/>
      <c r="LO51" s="123"/>
      <c r="LP51" s="123"/>
      <c r="LQ51" s="123"/>
      <c r="LR51" s="123"/>
      <c r="LS51" s="123"/>
      <c r="LT51" s="123"/>
      <c r="LU51" s="123"/>
      <c r="LV51" s="123"/>
      <c r="LW51" s="123"/>
      <c r="LX51" s="123"/>
      <c r="LY51" s="123"/>
      <c r="LZ51" s="123"/>
      <c r="MA51" s="123"/>
      <c r="MB51" s="123"/>
      <c r="MC51" s="123"/>
      <c r="MD51" s="123"/>
      <c r="ME51" s="123"/>
      <c r="MF51" s="123"/>
      <c r="MG51" s="123"/>
      <c r="MH51" s="123"/>
      <c r="MI51" s="123"/>
      <c r="MJ51" s="123"/>
      <c r="MK51" s="123"/>
      <c r="ML51" s="123"/>
      <c r="MM51" s="123"/>
      <c r="MN51" s="123"/>
      <c r="MO51" s="123"/>
      <c r="MP51" s="123"/>
      <c r="MQ51" s="123"/>
      <c r="MR51" s="123"/>
      <c r="MS51" s="123"/>
      <c r="MT51" s="123"/>
      <c r="MU51" s="123"/>
      <c r="MV51" s="123"/>
      <c r="MW51" s="123"/>
      <c r="MX51" s="123"/>
      <c r="MY51" s="123"/>
      <c r="MZ51" s="123"/>
      <c r="NA51" s="123"/>
      <c r="NB51" s="123"/>
      <c r="NC51" s="123"/>
      <c r="ND51" s="123"/>
      <c r="NE51" s="123"/>
      <c r="NF51" s="123"/>
      <c r="NG51" s="123"/>
      <c r="NH51" s="123"/>
      <c r="NI51" s="123"/>
      <c r="NJ51" s="123"/>
      <c r="NK51" s="123"/>
      <c r="NU51" s="29"/>
      <c r="NY51" s="17"/>
      <c r="NZ51" s="152"/>
      <c r="OE51" s="155"/>
      <c r="OF51" s="155"/>
      <c r="OG51" s="155"/>
      <c r="OH51" s="155"/>
      <c r="OI51" s="155"/>
      <c r="OJ51" s="67"/>
      <c r="OK51" s="67"/>
      <c r="OL51" s="67"/>
      <c r="OM51" s="67"/>
      <c r="OO51" s="155"/>
      <c r="OP51" s="155"/>
      <c r="OQ51" s="155"/>
      <c r="OR51" s="155"/>
      <c r="OS51" s="155"/>
      <c r="OT51" s="67"/>
      <c r="OU51" s="67"/>
      <c r="OV51" s="67"/>
      <c r="OW51" s="67"/>
      <c r="OZ51" s="163"/>
      <c r="PA51" s="166"/>
      <c r="PB51" s="166"/>
      <c r="PC51" s="166"/>
      <c r="PD51" s="210">
        <f t="shared" si="116"/>
        <v>0</v>
      </c>
      <c r="PE51" s="210"/>
      <c r="PF51" s="210">
        <f t="shared" si="117"/>
        <v>0</v>
      </c>
      <c r="PG51" s="210">
        <f t="shared" si="118"/>
        <v>0</v>
      </c>
      <c r="PH51" s="210">
        <f t="shared" si="118"/>
        <v>0</v>
      </c>
      <c r="PI51" s="210">
        <f t="shared" si="118"/>
        <v>0</v>
      </c>
      <c r="PJ51" s="210">
        <f t="shared" ref="PJ51:PL54" si="618">IF(PD51=1,$BB51,0)</f>
        <v>0</v>
      </c>
      <c r="PK51" s="210">
        <f t="shared" si="618"/>
        <v>0</v>
      </c>
      <c r="PL51" s="210">
        <f t="shared" si="618"/>
        <v>0</v>
      </c>
      <c r="PM51" s="164"/>
      <c r="PN51" s="164"/>
      <c r="PO51" s="172"/>
      <c r="PP51" s="172"/>
      <c r="PQ51" s="172"/>
      <c r="PR51" s="164"/>
      <c r="PS51" s="164"/>
      <c r="PT51" s="164"/>
      <c r="PU51" s="164"/>
    </row>
    <row r="52" spans="1:437 16383:16384" ht="16" x14ac:dyDescent="0.2">
      <c r="A52" s="19"/>
      <c r="B52" s="269"/>
      <c r="C52" s="186"/>
      <c r="D52" s="188"/>
      <c r="E52" s="188"/>
      <c r="F52" s="188"/>
      <c r="G52" s="20"/>
      <c r="H52" s="137"/>
      <c r="I52" s="214"/>
      <c r="J52" s="188"/>
      <c r="K52" s="188"/>
      <c r="L52" s="214"/>
      <c r="M52" s="214"/>
      <c r="N52" s="188"/>
      <c r="O52" s="188"/>
      <c r="P52" s="137"/>
      <c r="Q52" s="137"/>
      <c r="R52" s="20"/>
      <c r="S52" s="20"/>
      <c r="T52" s="137"/>
      <c r="U52" s="137"/>
      <c r="V52" s="20"/>
      <c r="W52" s="20"/>
      <c r="X52" s="137"/>
      <c r="Y52" s="137"/>
      <c r="Z52" s="20"/>
      <c r="AA52" s="20"/>
      <c r="AB52" s="17"/>
      <c r="AC52" s="18"/>
      <c r="AD52" s="18"/>
      <c r="AE52" s="20"/>
      <c r="AF52" s="20"/>
      <c r="AG52" s="20"/>
      <c r="AH52" s="20"/>
      <c r="AI52" s="20"/>
      <c r="AJ52" s="20"/>
      <c r="AK52" s="20"/>
      <c r="AL52" s="20"/>
      <c r="AM52" s="20"/>
      <c r="AN52" s="139"/>
      <c r="BB52" s="20"/>
      <c r="BE52" s="20"/>
      <c r="BF52" s="20"/>
      <c r="BG52" s="20"/>
      <c r="BH52" s="20"/>
      <c r="BI52" s="20"/>
      <c r="BJ52" s="20"/>
      <c r="BK52" s="20"/>
      <c r="BN52" s="139"/>
      <c r="BO52" s="126"/>
      <c r="BP52" s="139"/>
      <c r="BQ52" s="139"/>
      <c r="BR52" s="139"/>
      <c r="BS52" s="139"/>
      <c r="BT52" s="139"/>
      <c r="BU52" s="139"/>
      <c r="BV52" s="139"/>
      <c r="BW52" s="139"/>
      <c r="BX52" s="139"/>
      <c r="BY52" s="139"/>
      <c r="BZ52" s="139"/>
      <c r="CB52" s="139"/>
      <c r="CD52" s="17"/>
      <c r="CE52" s="17"/>
      <c r="CF52" s="139"/>
      <c r="CG52" s="139"/>
      <c r="CH52" s="139"/>
      <c r="CI52" s="139"/>
      <c r="CJ52" s="139"/>
      <c r="CK52" s="139"/>
      <c r="CL52" s="139"/>
      <c r="CM52" s="139"/>
      <c r="CN52" s="139"/>
      <c r="CO52" s="139"/>
      <c r="CP52" s="139"/>
      <c r="CQ52" s="148"/>
      <c r="DV52" s="139"/>
      <c r="DW52" s="139"/>
      <c r="DX52" s="139"/>
      <c r="DY52" s="139"/>
      <c r="DZ52" s="139"/>
      <c r="EA52" s="139"/>
      <c r="EB52" s="139"/>
      <c r="EG52" s="57"/>
      <c r="EH52" s="57"/>
      <c r="EI52" s="17"/>
      <c r="EJ52" s="17"/>
      <c r="EK52" s="17"/>
      <c r="EL52" s="17"/>
      <c r="EM52" s="17"/>
      <c r="EN52" s="17"/>
      <c r="EO52" s="17"/>
      <c r="EP52" s="17"/>
      <c r="EQ52" s="189"/>
      <c r="ER52" s="189"/>
      <c r="ES52" s="189"/>
      <c r="ET52" s="189"/>
      <c r="EU52" s="189"/>
      <c r="EV52" s="189"/>
      <c r="EW52" s="189"/>
      <c r="EX52" s="189"/>
      <c r="EY52" s="189"/>
      <c r="EZ52" s="189"/>
      <c r="FA52" s="189"/>
      <c r="FB52" s="189"/>
      <c r="FC52" s="189"/>
      <c r="FD52" s="17"/>
      <c r="FE52" s="17"/>
      <c r="FF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X52" s="80"/>
      <c r="FY52" s="17"/>
      <c r="FZ52" s="17"/>
      <c r="GA52" s="17"/>
      <c r="GB52" s="17"/>
      <c r="GC52" s="17"/>
      <c r="GD52" s="17"/>
      <c r="GE52" s="17"/>
      <c r="GF52" s="67"/>
      <c r="GG52" s="17"/>
      <c r="GH52" s="17"/>
      <c r="GI52" s="67"/>
      <c r="GJ52" s="62"/>
      <c r="GK52" s="62"/>
      <c r="GO52" s="17"/>
      <c r="GP52" s="17"/>
      <c r="GQ52" s="17"/>
      <c r="GR52" s="17"/>
      <c r="GS52" s="17"/>
      <c r="GT52" s="17"/>
      <c r="GU52" s="101"/>
      <c r="GV52" s="17"/>
      <c r="GW52" s="17"/>
      <c r="GX52" s="66"/>
      <c r="GY52" s="66"/>
      <c r="GZ52" s="102"/>
      <c r="HA52" s="83"/>
      <c r="HB52" s="83"/>
      <c r="HC52" s="17"/>
      <c r="HD52" s="17"/>
      <c r="HE52" s="17"/>
      <c r="HF52" s="17"/>
      <c r="HG52" s="17"/>
      <c r="HH52" s="101"/>
      <c r="HI52" s="101"/>
      <c r="HJ52" s="27"/>
      <c r="HK52" s="101"/>
      <c r="HL52" s="83"/>
      <c r="HM52" s="83"/>
      <c r="HN52" s="83"/>
      <c r="HO52" s="83"/>
      <c r="HP52" s="102"/>
      <c r="HQ52" s="66"/>
      <c r="HR52" s="66"/>
      <c r="HS52" s="102"/>
      <c r="HT52" s="66"/>
      <c r="HU52" s="66"/>
      <c r="HV52" s="102"/>
      <c r="HW52" s="66"/>
      <c r="HX52" s="66"/>
      <c r="HY52" s="102"/>
      <c r="HZ52" s="66"/>
      <c r="IA52" s="66"/>
      <c r="IB52" s="102"/>
      <c r="IC52" s="66"/>
      <c r="ID52" s="66"/>
      <c r="IE52" s="102"/>
      <c r="IF52" s="66"/>
      <c r="IG52" s="66"/>
      <c r="IH52" s="102"/>
      <c r="II52" s="66"/>
      <c r="IJ52" s="66"/>
      <c r="IK52" s="102"/>
      <c r="IL52" s="66"/>
      <c r="IM52" s="66"/>
      <c r="IN52" s="83"/>
      <c r="IO52" s="102"/>
      <c r="IP52" s="66"/>
      <c r="IQ52" s="66"/>
      <c r="IR52" s="83"/>
      <c r="IS52" s="102"/>
      <c r="IT52" s="66"/>
      <c r="IU52" s="66"/>
      <c r="IV52" s="83"/>
      <c r="IW52" s="102"/>
      <c r="IX52" s="66"/>
      <c r="IY52" s="66"/>
      <c r="IZ52" s="83"/>
      <c r="JA52" s="102"/>
      <c r="JB52" s="66"/>
      <c r="JC52" s="66"/>
      <c r="JD52" s="83"/>
      <c r="JE52" s="102"/>
      <c r="JF52" s="66"/>
      <c r="JG52" s="66"/>
      <c r="JH52" s="83"/>
      <c r="JI52" s="102"/>
      <c r="JJ52" s="66"/>
      <c r="JK52" s="66"/>
      <c r="JM52" s="102"/>
      <c r="JO52" s="29"/>
      <c r="JP52" s="122"/>
      <c r="JQ52" s="122"/>
      <c r="JR52" s="122"/>
      <c r="JS52" s="122"/>
      <c r="JT52" s="122"/>
      <c r="JU52" s="122"/>
      <c r="JV52" s="122"/>
      <c r="JW52" s="122"/>
      <c r="JX52" s="122"/>
      <c r="JY52" s="122"/>
      <c r="JZ52" s="122"/>
      <c r="KA52" s="122"/>
      <c r="KB52" s="122"/>
      <c r="KD52" s="122"/>
      <c r="KE52" s="122"/>
      <c r="KF52" s="122"/>
      <c r="KG52" s="122"/>
      <c r="KH52" s="122"/>
      <c r="KI52" s="122"/>
      <c r="KJ52" s="122"/>
      <c r="KK52" s="122"/>
      <c r="KL52" s="122"/>
      <c r="KM52" s="122"/>
      <c r="KN52" s="123"/>
      <c r="KO52" s="123"/>
      <c r="KP52" s="123"/>
      <c r="KQ52" s="123"/>
      <c r="KR52" s="123"/>
      <c r="KU52" s="123"/>
      <c r="KV52" s="123"/>
      <c r="KW52" s="123"/>
      <c r="KX52" s="123"/>
      <c r="KY52" s="123"/>
      <c r="KZ52" s="123"/>
      <c r="LA52" s="123"/>
      <c r="LB52" s="123"/>
      <c r="LC52" s="123"/>
      <c r="LD52" s="123"/>
      <c r="LE52" s="123"/>
      <c r="LF52" s="123"/>
      <c r="LG52" s="123"/>
      <c r="LH52" s="123"/>
      <c r="LI52" s="123"/>
      <c r="LJ52" s="123"/>
      <c r="LK52" s="123"/>
      <c r="LL52" s="123"/>
      <c r="LM52" s="123"/>
      <c r="LN52" s="123"/>
      <c r="LO52" s="123"/>
      <c r="LP52" s="123"/>
      <c r="LQ52" s="123"/>
      <c r="LR52" s="123"/>
      <c r="LS52" s="123"/>
      <c r="LT52" s="123"/>
      <c r="LU52" s="123"/>
      <c r="LV52" s="123"/>
      <c r="LW52" s="123"/>
      <c r="LX52" s="123"/>
      <c r="LY52" s="123"/>
      <c r="LZ52" s="123"/>
      <c r="MA52" s="123"/>
      <c r="MB52" s="123"/>
      <c r="MC52" s="123"/>
      <c r="MD52" s="123"/>
      <c r="ME52" s="123"/>
      <c r="MF52" s="123"/>
      <c r="MG52" s="123"/>
      <c r="MH52" s="123"/>
      <c r="MI52" s="123"/>
      <c r="MJ52" s="123"/>
      <c r="MK52" s="123"/>
      <c r="ML52" s="123"/>
      <c r="MM52" s="123"/>
      <c r="MN52" s="123"/>
      <c r="MO52" s="123"/>
      <c r="MP52" s="123"/>
      <c r="MQ52" s="123"/>
      <c r="MR52" s="123"/>
      <c r="MS52" s="123"/>
      <c r="MT52" s="123"/>
      <c r="MU52" s="123"/>
      <c r="MV52" s="123"/>
      <c r="MW52" s="123"/>
      <c r="MX52" s="123"/>
      <c r="MY52" s="123"/>
      <c r="MZ52" s="123"/>
      <c r="NA52" s="123"/>
      <c r="NB52" s="123"/>
      <c r="NC52" s="123"/>
      <c r="ND52" s="123"/>
      <c r="NE52" s="123"/>
      <c r="NF52" s="123"/>
      <c r="NG52" s="123"/>
      <c r="NH52" s="123"/>
      <c r="NI52" s="123"/>
      <c r="NJ52" s="123"/>
      <c r="NK52" s="123"/>
      <c r="NU52" s="29"/>
      <c r="NY52" s="17"/>
      <c r="NZ52" s="152"/>
      <c r="OE52" s="155"/>
      <c r="OF52" s="155"/>
      <c r="OG52" s="155"/>
      <c r="OH52" s="155"/>
      <c r="OI52" s="155"/>
      <c r="OJ52" s="67"/>
      <c r="OK52" s="67"/>
      <c r="OL52" s="67"/>
      <c r="OM52" s="67"/>
      <c r="OO52" s="155"/>
      <c r="OP52" s="155"/>
      <c r="OQ52" s="155"/>
      <c r="OR52" s="155"/>
      <c r="OS52" s="155"/>
      <c r="OT52" s="67"/>
      <c r="OU52" s="67"/>
      <c r="OV52" s="67"/>
      <c r="OW52" s="67"/>
      <c r="OZ52" s="163"/>
      <c r="PA52" s="166"/>
      <c r="PB52" s="166"/>
      <c r="PC52" s="166"/>
      <c r="PD52" s="210">
        <f t="shared" si="116"/>
        <v>0</v>
      </c>
      <c r="PE52" s="210"/>
      <c r="PF52" s="210">
        <f t="shared" si="117"/>
        <v>0</v>
      </c>
      <c r="PG52" s="210">
        <f t="shared" ref="PG52:PI54" si="619">IF(PA52=1,$BB52,0)</f>
        <v>0</v>
      </c>
      <c r="PH52" s="210">
        <f t="shared" si="619"/>
        <v>0</v>
      </c>
      <c r="PI52" s="210">
        <f t="shared" si="619"/>
        <v>0</v>
      </c>
      <c r="PJ52" s="210">
        <f t="shared" si="618"/>
        <v>0</v>
      </c>
      <c r="PK52" s="210">
        <f t="shared" si="618"/>
        <v>0</v>
      </c>
      <c r="PL52" s="210">
        <f t="shared" si="618"/>
        <v>0</v>
      </c>
      <c r="PM52" s="164"/>
      <c r="PN52" s="164"/>
      <c r="PO52" s="172"/>
      <c r="PP52" s="172"/>
      <c r="PQ52" s="172"/>
      <c r="PR52" s="164"/>
      <c r="PS52" s="164"/>
      <c r="PT52" s="164"/>
      <c r="PU52" s="164"/>
    </row>
    <row r="53" spans="1:437 16383:16384" ht="16" x14ac:dyDescent="0.2">
      <c r="A53" s="19">
        <f>A50+1</f>
        <v>43</v>
      </c>
      <c r="B53" s="269" t="s">
        <v>657</v>
      </c>
      <c r="C53" s="186">
        <v>4</v>
      </c>
      <c r="D53" s="188">
        <v>1</v>
      </c>
      <c r="E53" s="188">
        <v>52</v>
      </c>
      <c r="F53" s="188">
        <v>1</v>
      </c>
      <c r="G53" s="20">
        <f t="shared" ref="G53:G54" si="620">E53</f>
        <v>52</v>
      </c>
      <c r="H53" s="137">
        <f t="shared" ref="H53" si="621">F53/$D53</f>
        <v>1</v>
      </c>
      <c r="I53" s="214">
        <f t="shared" ref="I53" si="622">G53/$E53</f>
        <v>1</v>
      </c>
      <c r="J53" s="188">
        <v>1</v>
      </c>
      <c r="K53" s="188">
        <f t="shared" ref="K53" si="623">IF(J53=D53,E53,0)</f>
        <v>52</v>
      </c>
      <c r="L53" s="214">
        <f t="shared" ref="L53" si="624">J53/$D53</f>
        <v>1</v>
      </c>
      <c r="M53" s="214">
        <f t="shared" ref="M53" si="625">K53/$E53</f>
        <v>1</v>
      </c>
      <c r="N53" s="188">
        <v>1</v>
      </c>
      <c r="O53" s="188">
        <f t="shared" ref="O53:O54" si="626">IF(N53=D53,E53,0)</f>
        <v>52</v>
      </c>
      <c r="P53" s="137">
        <f t="shared" ref="P53:P54" si="627">N53/$D53</f>
        <v>1</v>
      </c>
      <c r="Q53" s="137">
        <f t="shared" ref="Q53:Q54" si="628">O53/$E53</f>
        <v>1</v>
      </c>
      <c r="R53" s="20"/>
      <c r="S53" s="20">
        <f t="shared" ref="S53" si="629">IF(R53=D53,E53,0)</f>
        <v>0</v>
      </c>
      <c r="T53" s="137">
        <f t="shared" ref="T53" si="630">R53/$D53</f>
        <v>0</v>
      </c>
      <c r="U53" s="137">
        <f t="shared" ref="U53" si="631">S53/$E53</f>
        <v>0</v>
      </c>
      <c r="V53" s="20"/>
      <c r="W53" s="20">
        <f t="shared" ref="W53" si="632">IF(V53=D53,E53,0)</f>
        <v>0</v>
      </c>
      <c r="X53" s="137">
        <f t="shared" ref="X53" si="633">V53/$D53</f>
        <v>0</v>
      </c>
      <c r="Y53" s="137">
        <f t="shared" ref="Y53" si="634">W53/$E53</f>
        <v>0</v>
      </c>
      <c r="Z53" s="20">
        <v>0</v>
      </c>
      <c r="AA53" s="20"/>
      <c r="AB53" s="17">
        <f t="shared" ref="AB53" si="635">IF(AA53=D53,E53,0)</f>
        <v>0</v>
      </c>
      <c r="AC53" s="18">
        <f t="shared" ref="AC53" si="636">AA53/$D53</f>
        <v>0</v>
      </c>
      <c r="AD53" s="18">
        <f t="shared" ref="AD53" si="637">AB53/$E53</f>
        <v>0</v>
      </c>
      <c r="AE53" s="20"/>
      <c r="AF53" s="20">
        <f t="shared" ref="AF53" si="638">R53-V53</f>
        <v>0</v>
      </c>
      <c r="AG53" s="20"/>
      <c r="AH53" s="20"/>
      <c r="AI53" s="20">
        <v>0</v>
      </c>
      <c r="AJ53" s="20">
        <f t="shared" ref="AJ53:AJ54" si="639">IF(AI53=D53,E53,0)</f>
        <v>0</v>
      </c>
      <c r="AK53" s="20"/>
      <c r="AL53" s="20">
        <v>0</v>
      </c>
      <c r="AM53" s="20">
        <v>0</v>
      </c>
      <c r="AN53" s="139">
        <v>1</v>
      </c>
      <c r="BB53" s="20">
        <f t="shared" ref="BB53" si="640">IF(AN53=1,E53,0)</f>
        <v>52</v>
      </c>
      <c r="BE53" s="20">
        <f t="shared" ref="BE53" si="641">IF(AF53=1,S53,0)</f>
        <v>0</v>
      </c>
      <c r="BF53" s="20">
        <f t="shared" ref="BF53" si="642">IF(AG53="A",S53,0)</f>
        <v>0</v>
      </c>
      <c r="BG53" s="20">
        <f t="shared" ref="BG53" si="643">IF(AG53="B",S53,0)</f>
        <v>0</v>
      </c>
      <c r="BH53" s="20">
        <f t="shared" ref="BH53" si="644">IF(AG53="C",S53,0)</f>
        <v>0</v>
      </c>
      <c r="BI53" s="20">
        <f t="shared" ref="BI53" si="645">IF(AG53="D",S53,0)</f>
        <v>0</v>
      </c>
      <c r="BJ53" s="20">
        <f t="shared" ref="BJ53" si="646">IF(AG53="E",S53,0)</f>
        <v>0</v>
      </c>
      <c r="BK53" s="20">
        <f t="shared" ref="BK53" si="647">SUM(BF53:BJ53)</f>
        <v>0</v>
      </c>
      <c r="BN53" s="139"/>
      <c r="BO53" s="126"/>
      <c r="BP53" s="139"/>
      <c r="BQ53" s="139"/>
      <c r="BR53" s="139"/>
      <c r="BS53" s="139"/>
      <c r="BT53" s="139"/>
      <c r="BU53" s="139"/>
      <c r="BV53" s="139"/>
      <c r="BW53" s="139"/>
      <c r="BX53" s="139"/>
      <c r="BY53" s="139"/>
      <c r="BZ53" s="139"/>
      <c r="CB53" s="139"/>
      <c r="CD53" s="17">
        <f t="shared" ref="CD53:CD54" si="648">BN53</f>
        <v>0</v>
      </c>
      <c r="CE53" s="17">
        <f t="shared" ref="CE53:CE54" si="649">IF(BO53=1,$CD53,0)</f>
        <v>0</v>
      </c>
      <c r="CF53" s="139">
        <f t="shared" ref="CF53:CF54" si="650">IF(BP53=1,$CD53,0)</f>
        <v>0</v>
      </c>
      <c r="CG53" s="139">
        <f t="shared" ref="CG53:CG54" si="651">IF(BQ53=1,$CD53,0)</f>
        <v>0</v>
      </c>
      <c r="CH53" s="139">
        <f t="shared" ref="CH53:CH54" si="652">IF(BR53=1,$CD53,0)</f>
        <v>0</v>
      </c>
      <c r="CI53" s="139">
        <f t="shared" ref="CI53:CI54" si="653">IF(BS53=1,$CD53,0)</f>
        <v>0</v>
      </c>
      <c r="CJ53" s="139">
        <f t="shared" ref="CJ53:CJ54" si="654">IF(BT53=1,$CD53,0)</f>
        <v>0</v>
      </c>
      <c r="CK53" s="139">
        <f t="shared" ref="CK53:CK54" si="655">IF(BU53=1,$CD53,0)</f>
        <v>0</v>
      </c>
      <c r="CL53" s="139">
        <f t="shared" ref="CL53:CL54" si="656">IF(BV53=1,$CD53,0)</f>
        <v>0</v>
      </c>
      <c r="CM53" s="139">
        <f t="shared" ref="CM53:CM54" si="657">IF(BW53=1,$CD53,0)</f>
        <v>0</v>
      </c>
      <c r="CN53" s="139">
        <f t="shared" ref="CN53:CN54" si="658">IF(BX53=1,$CD53,0)</f>
        <v>0</v>
      </c>
      <c r="CO53" s="139">
        <f t="shared" ref="CO53:CO54" si="659">IF(BY53=1,$CD53,0)</f>
        <v>0</v>
      </c>
      <c r="CP53" s="139">
        <f t="shared" ref="CP53:CP54" si="660">IF(BZ53=1,$CD53,0)</f>
        <v>0</v>
      </c>
      <c r="CQ53" s="148">
        <f t="shared" ref="CQ53" si="661">SUM(CE53:CP53)-CD53</f>
        <v>0</v>
      </c>
      <c r="DV53" s="139">
        <f t="shared" ref="DV53:DV54" si="662">IF(CB53=1,G53,0)</f>
        <v>0</v>
      </c>
      <c r="DW53" s="139">
        <f t="shared" ref="DW53:DW54" si="663">IF(CC53="A",G53,0)</f>
        <v>0</v>
      </c>
      <c r="DX53" s="139">
        <f t="shared" ref="DX53:DX54" si="664">IF(CC53="B",G53,0)</f>
        <v>0</v>
      </c>
      <c r="DY53" s="139">
        <f t="shared" ref="DY53:DY54" si="665">IF(CC53="C",G53,0)</f>
        <v>0</v>
      </c>
      <c r="DZ53" s="139">
        <f t="shared" ref="DZ53:DZ54" si="666">IF(CC53="D",G53,0)</f>
        <v>0</v>
      </c>
      <c r="EA53" s="139">
        <f t="shared" ref="EA53:EA54" si="667">IF(CC53="E",G53,0)</f>
        <v>0</v>
      </c>
      <c r="EB53" s="139">
        <f t="shared" ref="EB53:EB54" si="668">SUM(DW53:EA53)</f>
        <v>0</v>
      </c>
      <c r="EG53" s="57">
        <f t="shared" ref="EG53:EG54" si="669">IF(AG53="C","C",IF(AG53="D","D",0))</f>
        <v>0</v>
      </c>
      <c r="EH53" s="57">
        <f t="shared" ref="EH53:EH54" si="670">CC53</f>
        <v>0</v>
      </c>
      <c r="EI53" s="17"/>
      <c r="EJ53" s="17"/>
      <c r="EK53" s="17"/>
      <c r="EL53" s="17"/>
      <c r="EM53" s="17"/>
      <c r="EN53" s="17"/>
      <c r="EO53" s="17"/>
      <c r="EP53" s="17"/>
      <c r="EQ53" s="189"/>
      <c r="ER53" s="189"/>
      <c r="ES53" s="189"/>
      <c r="ET53" s="189"/>
      <c r="EU53" s="189"/>
      <c r="EV53" s="189"/>
      <c r="EW53" s="189"/>
      <c r="EX53" s="189"/>
      <c r="EY53" s="189"/>
      <c r="EZ53" s="189"/>
      <c r="FA53" s="189"/>
      <c r="FB53" s="189"/>
      <c r="FC53" s="189"/>
      <c r="FD53" s="17"/>
      <c r="FE53" s="17"/>
      <c r="FF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X53" s="80"/>
      <c r="FY53" s="17">
        <f t="shared" ref="FY53:FY54" si="671">SUM(FZ53:GE53)</f>
        <v>0</v>
      </c>
      <c r="FZ53" s="17">
        <f t="shared" ref="FZ53:FZ54" si="672">DI53+CE53</f>
        <v>0</v>
      </c>
      <c r="GA53" s="17">
        <f t="shared" ref="GA53:GA54" si="673">DJ53+CF53</f>
        <v>0</v>
      </c>
      <c r="GB53" s="17">
        <f t="shared" ref="GB53:GB54" si="674">DK53+CG53</f>
        <v>0</v>
      </c>
      <c r="GC53" s="17">
        <f t="shared" ref="GC53:GC54" si="675">DM53+CI53</f>
        <v>0</v>
      </c>
      <c r="GD53" s="17">
        <f t="shared" ref="GD53:GD54" si="676">DO53+CK53</f>
        <v>0</v>
      </c>
      <c r="GE53" s="17">
        <f t="shared" ref="GE53:GE54" si="677">DT53+CP53</f>
        <v>0</v>
      </c>
      <c r="GF53" s="67"/>
      <c r="GG53" s="17">
        <v>0</v>
      </c>
      <c r="GH53" s="17">
        <v>0</v>
      </c>
      <c r="GI53" s="67"/>
      <c r="GJ53" s="62">
        <f t="shared" ref="GJ53:GJ54" si="678">FY53*GG53/1000000000</f>
        <v>0</v>
      </c>
      <c r="GK53" s="62">
        <f t="shared" ref="GK53:GK54" si="679">FY53*GH53/1000000000</f>
        <v>0</v>
      </c>
      <c r="GO53" s="17">
        <f t="shared" ref="GO53" si="680">D53-F53</f>
        <v>0</v>
      </c>
      <c r="GP53" s="17">
        <f t="shared" ref="GP53" si="681">D53-J53</f>
        <v>0</v>
      </c>
      <c r="GQ53" s="17">
        <f t="shared" ref="GQ53:GQ54" si="682">D53-N53</f>
        <v>0</v>
      </c>
      <c r="GR53" s="17">
        <f t="shared" ref="GR53" si="683">D53-R53</f>
        <v>1</v>
      </c>
      <c r="GS53" s="17">
        <f t="shared" ref="GS53" si="684">D53-V53</f>
        <v>1</v>
      </c>
      <c r="GT53" s="17">
        <f t="shared" ref="GT53" si="685">IF(SUM(GO53:GS53)=0,1,0)</f>
        <v>0</v>
      </c>
      <c r="GU53" s="101">
        <f t="shared" si="146"/>
        <v>43243</v>
      </c>
      <c r="GV53" s="17" t="str">
        <f t="shared" ref="GV53" si="686">IF(GO53&gt;0,$GO$6,IF(GP53&gt;0,$GP$6,IF(GQ53&gt;0,$GQ$6,IF(GR53&gt;0,$GR$6,IF(GS53&gt;0,$GS$6,IF(GT53&gt;0,$GT$6,0))))))</f>
        <v>Musyawarah</v>
      </c>
      <c r="GW53" s="17">
        <f t="shared" ref="GW53" si="687">IF(GV53=$GO$6,GO53,IF(GV53=$GP$6,GP53,IF(GV53=$GQ$6,GQ53,IF(GV53=$GR$6,GR53,IF(GV53=$GS$6,GS53,0)))))</f>
        <v>1</v>
      </c>
      <c r="GX53" s="66" t="str">
        <f t="shared" ref="GX53" si="688">GV53</f>
        <v>Musyawarah</v>
      </c>
      <c r="GY53" s="66">
        <f t="shared" ref="GY53" si="689">IF(GX53="DNP",SUM($GY$4:$GY$8),IF(GX53="Survey KJPP",SUM($GY$5:$GY$8),IF(GX53="Hasil Valuasi",SUM($GY$6:$GY$8),IF(GX53="Musyawarah",SUM($GY$7:$GY$8),IF(GX53="UGR",$GY$8,0)))))</f>
        <v>24</v>
      </c>
      <c r="GZ53" s="102">
        <f t="shared" ref="GZ53" si="690">IF(GW53=0,"SELESAI",GU53+GY53)</f>
        <v>43267</v>
      </c>
      <c r="HA53" s="83"/>
      <c r="HB53" s="83"/>
      <c r="HC53" s="17">
        <f t="shared" ref="HC53:HC54" si="691">IF(BH53&gt;0,1,IF(BI53&gt;0,1,0))</f>
        <v>0</v>
      </c>
      <c r="HD53" s="17">
        <f t="shared" ref="HD53:HD54" si="692">IF(CB53&gt;0,1,0)</f>
        <v>0</v>
      </c>
      <c r="HE53" s="17">
        <f t="shared" ref="HE53:HE54" si="693">HC53+HD53</f>
        <v>0</v>
      </c>
      <c r="HF53" s="17">
        <f t="shared" ref="HF53:HF54" si="694">FQ53</f>
        <v>0</v>
      </c>
      <c r="HG53" s="17">
        <f t="shared" ref="HG53:HG54" si="695">HE53-HF53</f>
        <v>0</v>
      </c>
      <c r="HH53" s="101" t="str">
        <f t="shared" ref="HH53:HH54" si="696">IF(HG53=1,GU53+$HH$8,"TIDAK KONSINYASI")</f>
        <v>TIDAK KONSINYASI</v>
      </c>
      <c r="HI53" s="101">
        <f t="shared" ref="HI53:HI54" si="697">IF(GW53=0,"SELESAI",GZ53+$HI$8)</f>
        <v>43312</v>
      </c>
      <c r="HJ53" s="27"/>
      <c r="HK53" s="101">
        <f t="shared" ref="HK53" si="698">MAX(GZ53,HH53,HI53)</f>
        <v>43312</v>
      </c>
      <c r="HL53" s="83"/>
      <c r="HM53" s="83"/>
      <c r="HN53" s="83"/>
      <c r="HO53" s="83"/>
      <c r="HP53" s="102">
        <f t="shared" ref="HP53:HP54" si="699">IF(HQ53=1,GZ53,0)</f>
        <v>0</v>
      </c>
      <c r="HQ53" s="66">
        <f t="shared" ref="HQ53:HQ54" si="700">IF(IX53=0,IF(HT53=0,IF(IP53=0,IF(GV53="UGR",GS53,0),0),0),0)</f>
        <v>0</v>
      </c>
      <c r="HR53" s="66">
        <f t="shared" ref="HR53:HR54" si="701">IF(HQ53=1,E53,0)</f>
        <v>0</v>
      </c>
      <c r="HS53" s="102">
        <f t="shared" ref="HS53:HS54" si="702">IF(HT53=1,HH53,0)</f>
        <v>0</v>
      </c>
      <c r="HT53" s="66">
        <f t="shared" ref="HT53:HT54" si="703">HG53</f>
        <v>0</v>
      </c>
      <c r="HU53" s="66">
        <f t="shared" ref="HU53:HU54" si="704">IF(HT53=1,E53,0)</f>
        <v>0</v>
      </c>
      <c r="HV53" s="102">
        <f t="shared" ref="HV53:HV54" si="705">IF(HW53=1,GZ53,0)</f>
        <v>0</v>
      </c>
      <c r="HW53" s="66">
        <f t="shared" ref="HW53:HW54" si="706">IF(JB53=0,IF(IX53=0,IF(HT53=0,IF(GV53="MUSYAWARAH",GR53,0),0),0),0)</f>
        <v>0</v>
      </c>
      <c r="HX53" s="66">
        <f t="shared" ref="HX53:HX54" si="707">IF(HW53=1,E53,0)</f>
        <v>0</v>
      </c>
      <c r="HY53" s="102">
        <f t="shared" ref="HY53:HY54" si="708">IF(HZ53=1,HV53+$HI$8,0)</f>
        <v>0</v>
      </c>
      <c r="HZ53" s="66">
        <f t="shared" ref="HZ53:HZ54" si="709">HW53</f>
        <v>0</v>
      </c>
      <c r="IA53" s="66">
        <f t="shared" ref="IA53:IA54" si="710">IF(HZ53=1,E53,0)</f>
        <v>0</v>
      </c>
      <c r="IB53" s="102">
        <f t="shared" ref="IB53:IB54" si="711">IF(IC53=1,$GU$3+SUM($GY$6:$GY$8),0)</f>
        <v>0</v>
      </c>
      <c r="IC53" s="66">
        <f t="shared" ref="IC53:IC54" si="712">IF(GV53="Hasil Valuasi",GQ53,0)</f>
        <v>0</v>
      </c>
      <c r="ID53" s="66">
        <f t="shared" ref="ID53:ID54" si="713">IF(IC53=1,E53,0)</f>
        <v>0</v>
      </c>
      <c r="IE53" s="102">
        <f t="shared" ref="IE53:IE54" si="714">IF(IF53=1,IB53+$HI$8,0)</f>
        <v>0</v>
      </c>
      <c r="IF53" s="66">
        <f t="shared" ref="IF53:IF54" si="715">IC53</f>
        <v>0</v>
      </c>
      <c r="IG53" s="66">
        <f t="shared" ref="IG53:IG54" si="716">IF(IF53=1,E53,0)</f>
        <v>0</v>
      </c>
      <c r="IH53" s="102">
        <f t="shared" ref="IH53:IH54" si="717">IF(II53=1,$GU$3+SUM($GY$5:$GY$8),0)</f>
        <v>0</v>
      </c>
      <c r="II53" s="66">
        <f t="shared" ref="II53:II54" si="718">IF(GV53="Survey KJPP",GP53,0)</f>
        <v>0</v>
      </c>
      <c r="IJ53" s="66">
        <f t="shared" ref="IJ53:IJ54" si="719">IF(II53=1,E53,0)</f>
        <v>0</v>
      </c>
      <c r="IK53" s="102">
        <f t="shared" ref="IK53:IK54" si="720">IF(IL53=1,IH53+$HI$8,0)</f>
        <v>0</v>
      </c>
      <c r="IL53" s="66">
        <f t="shared" ref="IL53:IL54" si="721">II53</f>
        <v>0</v>
      </c>
      <c r="IM53" s="66">
        <f t="shared" ref="IM53:IM54" si="722">IF(IL53=1,E53,0)</f>
        <v>0</v>
      </c>
      <c r="IN53" s="83"/>
      <c r="IO53" s="102">
        <f t="shared" ref="IO53" si="723">IF(IP53=1,+$GU$3+$HH$8,0)</f>
        <v>0</v>
      </c>
      <c r="IP53" s="66">
        <f t="shared" ref="IP53" si="724">IF(BG53&gt;0,1,0)</f>
        <v>0</v>
      </c>
      <c r="IQ53" s="66">
        <f t="shared" ref="IQ53" si="725">IF(IP53=1,E53,0)</f>
        <v>0</v>
      </c>
      <c r="IR53" s="83"/>
      <c r="IS53" s="102"/>
      <c r="IT53" s="66">
        <f t="shared" ref="IT53:IT54" si="726">V53</f>
        <v>0</v>
      </c>
      <c r="IU53" s="66">
        <f t="shared" ref="IU53:IU54" si="727">W53</f>
        <v>0</v>
      </c>
      <c r="IV53" s="83"/>
      <c r="IW53" s="102"/>
      <c r="IX53" s="66">
        <f t="shared" ref="IX53:IX54" si="728">AA53</f>
        <v>0</v>
      </c>
      <c r="IY53" s="66">
        <f t="shared" ref="IY53:IY54" si="729">AB53</f>
        <v>0</v>
      </c>
      <c r="IZ53" s="83"/>
      <c r="JA53" s="102"/>
      <c r="JB53" s="66">
        <f t="shared" ref="JB53:JB54" si="730">AN53</f>
        <v>1</v>
      </c>
      <c r="JC53" s="66">
        <f t="shared" ref="JC53:JC54" si="731">BB53</f>
        <v>52</v>
      </c>
      <c r="JD53" s="83"/>
      <c r="JE53" s="102"/>
      <c r="JF53" s="66">
        <f t="shared" ref="JF53:JF54" si="732">IT53+HQ53+HT53+HZ53+IF53+IL53+IP53+IX53+JB53</f>
        <v>1</v>
      </c>
      <c r="JG53" s="66">
        <f t="shared" ref="JG53:JG54" si="733">IU53+HR53+HU53+IA53+IG53+IM53+IQ53+IY53+JC53</f>
        <v>52</v>
      </c>
      <c r="JH53" s="83"/>
      <c r="JI53" s="102"/>
      <c r="JJ53" s="66">
        <f t="shared" ref="JJ53:JJ54" si="734">JF53-D53</f>
        <v>0</v>
      </c>
      <c r="JK53" s="66">
        <f t="shared" ref="JK53:JK54" si="735">JG53-E53</f>
        <v>0</v>
      </c>
      <c r="JM53" s="102">
        <f t="shared" ref="JM53" si="736">MAX(IW53,IS53,IO53,IK53,IE53,HY53,HS53,HP53)</f>
        <v>0</v>
      </c>
      <c r="JO53" s="29">
        <f t="shared" ref="JO53:JO54" si="737">SUM(JQ53:KB53)</f>
        <v>0</v>
      </c>
      <c r="JP53" s="122">
        <f t="shared" ref="JP53:JP54" si="738">BN53+CR53</f>
        <v>0</v>
      </c>
      <c r="JQ53" s="122">
        <f t="shared" ref="JQ53:JQ54" si="739">IF(BO53+CS53=2,1,IF(BO53+CS53=1,1,0))</f>
        <v>0</v>
      </c>
      <c r="JR53" s="122">
        <f t="shared" ref="JR53:JR54" si="740">IF(BP53+CT53=2,1,IF(BP53+CT53=1,1,0))</f>
        <v>0</v>
      </c>
      <c r="JS53" s="122">
        <f t="shared" ref="JS53:JS54" si="741">IF(BQ53+CU53=2,1,IF(BQ53+CU53=1,1,0))</f>
        <v>0</v>
      </c>
      <c r="JT53" s="122">
        <f t="shared" ref="JT53:JT54" si="742">IF(BR53+CV53=2,1,IF(BR53+CV53=1,1,0))</f>
        <v>0</v>
      </c>
      <c r="JU53" s="122">
        <f t="shared" ref="JU53:JU54" si="743">IF(BS53+CW53=2,1,IF(BS53+CW53=1,1,0))</f>
        <v>0</v>
      </c>
      <c r="JV53" s="122">
        <f t="shared" ref="JV53:JV54" si="744">IF(BT53+CX53=2,1,IF(BT53+CX53=1,1,0))</f>
        <v>0</v>
      </c>
      <c r="JW53" s="122">
        <f t="shared" ref="JW53:JW54" si="745">IF(BU53+CY53=2,1,IF(BU53+CY53=1,1,0))</f>
        <v>0</v>
      </c>
      <c r="JX53" s="122">
        <f t="shared" ref="JX53:JX54" si="746">IF(BV53+CZ53=2,1,IF(BV53+CZ53=1,1,0))</f>
        <v>0</v>
      </c>
      <c r="JY53" s="122">
        <f t="shared" ref="JY53:JY54" si="747">IF(BW53+DA53=2,1,IF(BW53+DA53=1,1,0))</f>
        <v>0</v>
      </c>
      <c r="JZ53" s="122">
        <f t="shared" ref="JZ53:JZ54" si="748">IF(BX53+DB53=2,1,IF(BX53+DB53=1,1,0))</f>
        <v>0</v>
      </c>
      <c r="KA53" s="122">
        <f t="shared" ref="KA53:KA54" si="749">IF(BY53+DC53=2,1,IF(BY53+DC53=1,1,0))</f>
        <v>0</v>
      </c>
      <c r="KB53" s="122">
        <f t="shared" ref="KB53:KB54" si="750">IF(BZ53+DD53=2,1,IF(BZ53+DD53=1,1,0))</f>
        <v>0</v>
      </c>
      <c r="KD53" s="122">
        <f t="shared" ref="KD53:KD54" si="751">IF(IF(SUM(GA53:GE53)&gt;100,1,0)+IF(FX53=1,1,0)=2,1,0)</f>
        <v>0</v>
      </c>
      <c r="KE53" s="122">
        <f t="shared" ref="KE53:KE54" si="752">IF(KD53=1,KF53,0)</f>
        <v>0</v>
      </c>
      <c r="KF53" s="122">
        <f t="shared" ref="KF53:KF54" si="753">CD53+DH53</f>
        <v>0</v>
      </c>
      <c r="KG53" s="122">
        <f t="shared" ref="KG53:KG54" si="754">CE53+DI53</f>
        <v>0</v>
      </c>
      <c r="KH53" s="122">
        <f t="shared" ref="KH53:KH54" si="755">CF53+DJ53</f>
        <v>0</v>
      </c>
      <c r="KI53" s="122">
        <f t="shared" ref="KI53:KI54" si="756">CG53+DK53</f>
        <v>0</v>
      </c>
      <c r="KJ53" s="122">
        <f t="shared" ref="KJ53:KJ54" si="757">CH53+DL53</f>
        <v>0</v>
      </c>
      <c r="KK53" s="122">
        <f t="shared" ref="KK53:KK54" si="758">CI53+DM53</f>
        <v>0</v>
      </c>
      <c r="KL53" s="122">
        <f t="shared" ref="KL53:KL54" si="759">CJ53+DN53</f>
        <v>0</v>
      </c>
      <c r="KM53" s="122">
        <f t="shared" ref="KM53:KM54" si="760">CK53+DO53</f>
        <v>0</v>
      </c>
      <c r="KN53" s="123">
        <f t="shared" ref="KN53:KN54" si="761">CL53+DP53</f>
        <v>0</v>
      </c>
      <c r="KO53" s="123">
        <f t="shared" ref="KO53:KO54" si="762">CM53+DQ53</f>
        <v>0</v>
      </c>
      <c r="KP53" s="123">
        <f t="shared" ref="KP53:KP54" si="763">CN53+DR53</f>
        <v>0</v>
      </c>
      <c r="KQ53" s="123">
        <f t="shared" ref="KQ53:KQ54" si="764">CO53+DS53</f>
        <v>0</v>
      </c>
      <c r="KR53" s="123">
        <f t="shared" ref="KR53:KR54" si="765">CP53+DT53</f>
        <v>0</v>
      </c>
      <c r="KS53">
        <v>7</v>
      </c>
      <c r="KT53">
        <f t="shared" ref="KT53:KT54" si="766">AN53</f>
        <v>1</v>
      </c>
      <c r="KU53" s="123"/>
      <c r="KV53" s="123"/>
      <c r="KW53" s="123"/>
      <c r="KX53" s="123"/>
      <c r="KY53" s="123"/>
      <c r="KZ53" s="123"/>
      <c r="LA53" s="123"/>
      <c r="LB53" s="123"/>
      <c r="LC53" s="123"/>
      <c r="LD53" s="123"/>
      <c r="LE53" s="123"/>
      <c r="LF53" s="123"/>
      <c r="LG53" s="123"/>
      <c r="LH53" s="123"/>
      <c r="LI53" s="123"/>
      <c r="LJ53" s="123"/>
      <c r="LK53" s="123"/>
      <c r="LL53" s="123"/>
      <c r="LM53" s="123"/>
      <c r="LN53" s="123"/>
      <c r="LO53" s="123"/>
      <c r="LP53" s="123"/>
      <c r="LQ53" s="123"/>
      <c r="LR53" s="123"/>
      <c r="LS53" s="123"/>
      <c r="LT53" s="123"/>
      <c r="LU53" s="123"/>
      <c r="LV53" s="123"/>
      <c r="LW53" s="123"/>
      <c r="LX53" s="123"/>
      <c r="LY53" s="123"/>
      <c r="LZ53" s="123"/>
      <c r="MA53" s="123"/>
      <c r="MB53" s="123"/>
      <c r="MC53" s="123"/>
      <c r="MD53" s="123"/>
      <c r="ME53" s="123"/>
      <c r="MF53" s="123"/>
      <c r="MG53" s="123"/>
      <c r="MH53" s="123"/>
      <c r="MI53" s="123"/>
      <c r="MJ53" s="123"/>
      <c r="MK53" s="123"/>
      <c r="ML53" s="123"/>
      <c r="MM53" s="123"/>
      <c r="MN53" s="123"/>
      <c r="MO53" s="123"/>
      <c r="MP53" s="123"/>
      <c r="MQ53" s="123"/>
      <c r="MR53" s="123"/>
      <c r="MS53" s="123"/>
      <c r="MT53" s="123"/>
      <c r="MU53" s="123"/>
      <c r="MV53" s="123"/>
      <c r="MW53" s="123"/>
      <c r="MX53" s="123"/>
      <c r="MY53" s="123"/>
      <c r="MZ53" s="123"/>
      <c r="NA53" s="123"/>
      <c r="NB53" s="123"/>
      <c r="NC53" s="123"/>
      <c r="ND53" s="123"/>
      <c r="NE53" s="123"/>
      <c r="NF53" s="123"/>
      <c r="NG53" s="123"/>
      <c r="NH53" s="123"/>
      <c r="NI53" s="123"/>
      <c r="NJ53" s="123"/>
      <c r="NK53" s="123"/>
      <c r="NM53">
        <f t="shared" ref="NM53:NM54" si="767">IF(KS53=1,1,0)</f>
        <v>0</v>
      </c>
      <c r="NN53">
        <f t="shared" ref="NN53:NN54" si="768">IF(KS53=2,1,0)</f>
        <v>0</v>
      </c>
      <c r="NO53">
        <f t="shared" ref="NO53:NO54" si="769">IF(KS53=3,1,0)</f>
        <v>0</v>
      </c>
      <c r="NP53">
        <f t="shared" ref="NP53:NP54" si="770">IF(KS53=4,1,0)</f>
        <v>0</v>
      </c>
      <c r="NQ53">
        <f t="shared" ref="NQ53:NQ54" si="771">IF(KS53=5,1,0)</f>
        <v>0</v>
      </c>
      <c r="NR53">
        <f t="shared" ref="NR53:NR54" si="772">IF(KS53=6,1,0)</f>
        <v>0</v>
      </c>
      <c r="NS53">
        <f t="shared" ref="NS53:NS54" si="773">IF(KS53=7,1,0)</f>
        <v>1</v>
      </c>
      <c r="NT53">
        <f t="shared" ref="NT53:NT54" si="774">SUM(NM53:NS53)</f>
        <v>1</v>
      </c>
      <c r="NU53" s="29">
        <f t="shared" ref="NU53:NU54" si="775">NT53-KT53</f>
        <v>0</v>
      </c>
      <c r="NY53" s="17"/>
      <c r="NZ53" s="152"/>
      <c r="OE53" s="155"/>
      <c r="OF53" s="155"/>
      <c r="OG53" s="155"/>
      <c r="OH53" s="155"/>
      <c r="OI53" s="155"/>
      <c r="OJ53" s="67"/>
      <c r="OK53" s="67"/>
      <c r="OL53" s="67"/>
      <c r="OM53" s="67"/>
      <c r="OO53" s="155"/>
      <c r="OP53" s="155"/>
      <c r="OQ53" s="155"/>
      <c r="OR53" s="155"/>
      <c r="OS53" s="155"/>
      <c r="OT53" s="67"/>
      <c r="OU53" s="67"/>
      <c r="OV53" s="67"/>
      <c r="OW53" s="67"/>
      <c r="OZ53" s="163">
        <f t="shared" si="360"/>
        <v>1</v>
      </c>
      <c r="PA53" s="166">
        <v>1</v>
      </c>
      <c r="PB53" s="166"/>
      <c r="PC53" s="166"/>
      <c r="PD53" s="210">
        <f t="shared" si="116"/>
        <v>0</v>
      </c>
      <c r="PE53" s="210"/>
      <c r="PF53" s="210">
        <f t="shared" si="117"/>
        <v>0</v>
      </c>
      <c r="PG53" s="210">
        <f t="shared" si="619"/>
        <v>52</v>
      </c>
      <c r="PH53" s="210">
        <f t="shared" si="619"/>
        <v>0</v>
      </c>
      <c r="PI53" s="210">
        <f t="shared" si="619"/>
        <v>0</v>
      </c>
      <c r="PJ53" s="210">
        <f t="shared" si="618"/>
        <v>0</v>
      </c>
      <c r="PK53" s="210">
        <f t="shared" si="618"/>
        <v>0</v>
      </c>
      <c r="PL53" s="210">
        <f t="shared" si="618"/>
        <v>0</v>
      </c>
      <c r="PM53" s="164"/>
      <c r="PN53" s="164"/>
      <c r="PO53" s="172">
        <f t="shared" ref="PO53" si="776">IF(FC53=1,AB53,0)</f>
        <v>0</v>
      </c>
      <c r="PP53" s="172">
        <f t="shared" ref="PP53" si="777">IF(FF53=1,AB53,0)</f>
        <v>0</v>
      </c>
      <c r="PQ53" s="172">
        <f t="shared" ref="PQ53" si="778">AB53-(PO53+PP53)</f>
        <v>0</v>
      </c>
      <c r="PR53" s="164"/>
      <c r="PS53" s="164"/>
      <c r="PT53" s="164"/>
      <c r="PU53" s="164"/>
    </row>
    <row r="54" spans="1:437 16383:16384" ht="16" x14ac:dyDescent="0.2">
      <c r="A54" s="19">
        <f t="shared" si="192"/>
        <v>44</v>
      </c>
      <c r="B54" s="268" t="s">
        <v>658</v>
      </c>
      <c r="C54" s="186">
        <v>5</v>
      </c>
      <c r="D54" s="188">
        <v>1</v>
      </c>
      <c r="E54" s="188">
        <v>51</v>
      </c>
      <c r="F54" s="188">
        <v>1</v>
      </c>
      <c r="G54" s="20">
        <f t="shared" si="620"/>
        <v>51</v>
      </c>
      <c r="H54" s="137">
        <f t="shared" ref="H54" si="779">F54/$D54</f>
        <v>1</v>
      </c>
      <c r="I54" s="214">
        <f t="shared" ref="I54" si="780">G54/$E54</f>
        <v>1</v>
      </c>
      <c r="J54" s="188">
        <v>1</v>
      </c>
      <c r="K54" s="188">
        <f t="shared" ref="K54" si="781">IF(J54=D54,E54,0)</f>
        <v>51</v>
      </c>
      <c r="L54" s="214">
        <f t="shared" ref="L54" si="782">J54/$D54</f>
        <v>1</v>
      </c>
      <c r="M54" s="214">
        <f t="shared" ref="M54" si="783">K54/$E54</f>
        <v>1</v>
      </c>
      <c r="N54" s="188">
        <v>1</v>
      </c>
      <c r="O54" s="188">
        <f t="shared" si="626"/>
        <v>51</v>
      </c>
      <c r="P54" s="137">
        <f t="shared" si="627"/>
        <v>1</v>
      </c>
      <c r="Q54" s="137">
        <f t="shared" si="628"/>
        <v>1</v>
      </c>
      <c r="R54" s="20"/>
      <c r="S54" s="20">
        <f t="shared" ref="S54" si="784">IF(R54=D54,E54,0)</f>
        <v>0</v>
      </c>
      <c r="T54" s="137">
        <f t="shared" ref="T54" si="785">R54/$D54</f>
        <v>0</v>
      </c>
      <c r="U54" s="137">
        <f t="shared" ref="U54" si="786">S54/$E54</f>
        <v>0</v>
      </c>
      <c r="V54" s="20"/>
      <c r="W54" s="20">
        <f t="shared" ref="W54" si="787">IF(V54=D54,E54,0)</f>
        <v>0</v>
      </c>
      <c r="X54" s="137">
        <f t="shared" ref="X54" si="788">V54/$D54</f>
        <v>0</v>
      </c>
      <c r="Y54" s="137">
        <f t="shared" ref="Y54" si="789">W54/$E54</f>
        <v>0</v>
      </c>
      <c r="Z54" s="20">
        <v>0</v>
      </c>
      <c r="AA54" s="20"/>
      <c r="AB54" s="17">
        <f t="shared" ref="AB54" si="790">IF(AA54=D54,E54,0)</f>
        <v>0</v>
      </c>
      <c r="AC54" s="18">
        <f t="shared" ref="AC54" si="791">AA54/$D54</f>
        <v>0</v>
      </c>
      <c r="AD54" s="18">
        <f t="shared" ref="AD54" si="792">AB54/$E54</f>
        <v>0</v>
      </c>
      <c r="AE54" s="20"/>
      <c r="AF54" s="20">
        <f t="shared" ref="AF54" si="793">R54-V54</f>
        <v>0</v>
      </c>
      <c r="AG54" s="20"/>
      <c r="AH54" s="20"/>
      <c r="AI54" s="20">
        <v>0</v>
      </c>
      <c r="AJ54" s="20">
        <f t="shared" si="639"/>
        <v>0</v>
      </c>
      <c r="AK54" s="20"/>
      <c r="AL54" s="20">
        <v>0</v>
      </c>
      <c r="AM54" s="20">
        <v>0</v>
      </c>
      <c r="AN54" s="139">
        <v>1</v>
      </c>
      <c r="BB54" s="20">
        <f t="shared" ref="BB54" si="794">IF(AN54=1,E54,0)</f>
        <v>51</v>
      </c>
      <c r="BE54" s="20">
        <f t="shared" ref="BE54" si="795">IF(AF54=1,S54,0)</f>
        <v>0</v>
      </c>
      <c r="BF54" s="20">
        <f t="shared" ref="BF54" si="796">IF(AG54="A",S54,0)</f>
        <v>0</v>
      </c>
      <c r="BG54" s="20">
        <f t="shared" ref="BG54" si="797">IF(AG54="B",S54,0)</f>
        <v>0</v>
      </c>
      <c r="BH54" s="20">
        <f t="shared" ref="BH54" si="798">IF(AG54="C",S54,0)</f>
        <v>0</v>
      </c>
      <c r="BI54" s="20">
        <f t="shared" ref="BI54" si="799">IF(AG54="D",S54,0)</f>
        <v>0</v>
      </c>
      <c r="BJ54" s="20">
        <f t="shared" ref="BJ54" si="800">IF(AG54="E",S54,0)</f>
        <v>0</v>
      </c>
      <c r="BK54" s="20">
        <f t="shared" ref="BK54" si="801">SUM(BF54:BJ54)</f>
        <v>0</v>
      </c>
      <c r="BN54" s="139"/>
      <c r="BO54" s="126"/>
      <c r="BP54" s="139"/>
      <c r="BQ54" s="139"/>
      <c r="BR54" s="139"/>
      <c r="BS54" s="139"/>
      <c r="BT54" s="139"/>
      <c r="BU54" s="139"/>
      <c r="BV54" s="139"/>
      <c r="BW54" s="139"/>
      <c r="BX54" s="139"/>
      <c r="BY54" s="139"/>
      <c r="BZ54" s="139"/>
      <c r="CB54" s="139"/>
      <c r="CD54" s="17">
        <f t="shared" si="648"/>
        <v>0</v>
      </c>
      <c r="CE54" s="17">
        <f t="shared" si="649"/>
        <v>0</v>
      </c>
      <c r="CF54" s="139">
        <f t="shared" si="650"/>
        <v>0</v>
      </c>
      <c r="CG54" s="139">
        <f t="shared" si="651"/>
        <v>0</v>
      </c>
      <c r="CH54" s="139">
        <f t="shared" si="652"/>
        <v>0</v>
      </c>
      <c r="CI54" s="139">
        <f t="shared" si="653"/>
        <v>0</v>
      </c>
      <c r="CJ54" s="139">
        <f t="shared" si="654"/>
        <v>0</v>
      </c>
      <c r="CK54" s="139">
        <f t="shared" si="655"/>
        <v>0</v>
      </c>
      <c r="CL54" s="139">
        <f t="shared" si="656"/>
        <v>0</v>
      </c>
      <c r="CM54" s="139">
        <f t="shared" si="657"/>
        <v>0</v>
      </c>
      <c r="CN54" s="139">
        <f t="shared" si="658"/>
        <v>0</v>
      </c>
      <c r="CO54" s="139">
        <f t="shared" si="659"/>
        <v>0</v>
      </c>
      <c r="CP54" s="139">
        <f t="shared" si="660"/>
        <v>0</v>
      </c>
      <c r="CQ54" s="148">
        <f t="shared" ref="CQ54" si="802">SUM(CE54:CP54)-CD54</f>
        <v>0</v>
      </c>
      <c r="DV54" s="139">
        <f t="shared" si="662"/>
        <v>0</v>
      </c>
      <c r="DW54" s="139">
        <f t="shared" si="663"/>
        <v>0</v>
      </c>
      <c r="DX54" s="139">
        <f t="shared" si="664"/>
        <v>0</v>
      </c>
      <c r="DY54" s="139">
        <f t="shared" si="665"/>
        <v>0</v>
      </c>
      <c r="DZ54" s="139">
        <f t="shared" si="666"/>
        <v>0</v>
      </c>
      <c r="EA54" s="139">
        <f t="shared" si="667"/>
        <v>0</v>
      </c>
      <c r="EB54" s="139">
        <f t="shared" si="668"/>
        <v>0</v>
      </c>
      <c r="EG54" s="57">
        <f t="shared" si="669"/>
        <v>0</v>
      </c>
      <c r="EH54" s="57">
        <f t="shared" si="670"/>
        <v>0</v>
      </c>
      <c r="EI54" s="17"/>
      <c r="EJ54" s="17"/>
      <c r="EK54" s="17"/>
      <c r="EL54" s="17"/>
      <c r="EM54" s="17"/>
      <c r="EN54" s="17"/>
      <c r="EO54" s="17"/>
      <c r="EP54" s="17"/>
      <c r="EQ54" s="189"/>
      <c r="ER54" s="189"/>
      <c r="ES54" s="189"/>
      <c r="ET54" s="189"/>
      <c r="EU54" s="189"/>
      <c r="EV54" s="189"/>
      <c r="EW54" s="189"/>
      <c r="EX54" s="189"/>
      <c r="EY54" s="189"/>
      <c r="EZ54" s="189"/>
      <c r="FA54" s="189"/>
      <c r="FB54" s="189"/>
      <c r="FC54" s="189"/>
      <c r="FD54" s="17"/>
      <c r="FE54" s="17"/>
      <c r="FF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X54" s="177"/>
      <c r="FY54" s="17">
        <f t="shared" si="671"/>
        <v>0</v>
      </c>
      <c r="FZ54" s="17">
        <f t="shared" si="672"/>
        <v>0</v>
      </c>
      <c r="GA54" s="17">
        <f t="shared" si="673"/>
        <v>0</v>
      </c>
      <c r="GB54" s="17">
        <f t="shared" si="674"/>
        <v>0</v>
      </c>
      <c r="GC54" s="17">
        <f t="shared" si="675"/>
        <v>0</v>
      </c>
      <c r="GD54" s="17">
        <f t="shared" si="676"/>
        <v>0</v>
      </c>
      <c r="GE54" s="17">
        <f t="shared" si="677"/>
        <v>0</v>
      </c>
      <c r="GF54" s="67"/>
      <c r="GG54" s="17">
        <v>0</v>
      </c>
      <c r="GH54" s="17">
        <v>0</v>
      </c>
      <c r="GI54" s="67"/>
      <c r="GJ54" s="62">
        <f t="shared" si="678"/>
        <v>0</v>
      </c>
      <c r="GK54" s="62">
        <f t="shared" si="679"/>
        <v>0</v>
      </c>
      <c r="GO54" s="17">
        <f t="shared" ref="GO54" si="803">D54-F54</f>
        <v>0</v>
      </c>
      <c r="GP54" s="17">
        <f t="shared" ref="GP54" si="804">D54-J54</f>
        <v>0</v>
      </c>
      <c r="GQ54" s="17">
        <f t="shared" si="682"/>
        <v>0</v>
      </c>
      <c r="GR54" s="17">
        <f t="shared" ref="GR54" si="805">D54-R54</f>
        <v>1</v>
      </c>
      <c r="GS54" s="17">
        <f t="shared" ref="GS54" si="806">D54-V54</f>
        <v>1</v>
      </c>
      <c r="GT54" s="17">
        <f t="shared" ref="GT54" si="807">IF(SUM(GO54:GS54)=0,1,0)</f>
        <v>0</v>
      </c>
      <c r="GU54" s="101">
        <f t="shared" si="146"/>
        <v>43243</v>
      </c>
      <c r="GV54" s="17" t="str">
        <f t="shared" ref="GV54" si="808">IF(GO54&gt;0,$GO$6,IF(GP54&gt;0,$GP$6,IF(GQ54&gt;0,$GQ$6,IF(GR54&gt;0,$GR$6,IF(GS54&gt;0,$GS$6,IF(GT54&gt;0,$GT$6,0))))))</f>
        <v>Musyawarah</v>
      </c>
      <c r="GW54" s="17">
        <f t="shared" ref="GW54" si="809">IF(GV54=$GO$6,GO54,IF(GV54=$GP$6,GP54,IF(GV54=$GQ$6,GQ54,IF(GV54=$GR$6,GR54,IF(GV54=$GS$6,GS54,0)))))</f>
        <v>1</v>
      </c>
      <c r="GX54" s="66" t="str">
        <f t="shared" ref="GX54" si="810">GV54</f>
        <v>Musyawarah</v>
      </c>
      <c r="GY54" s="66">
        <f t="shared" ref="GY54" si="811">IF(GX54="DNP",SUM($GY$4:$GY$8),IF(GX54="Survey KJPP",SUM($GY$5:$GY$8),IF(GX54="Hasil Valuasi",SUM($GY$6:$GY$8),IF(GX54="Musyawarah",SUM($GY$7:$GY$8),IF(GX54="UGR",$GY$8,0)))))</f>
        <v>24</v>
      </c>
      <c r="GZ54" s="102">
        <f t="shared" ref="GZ54" si="812">IF(GW54=0,"SELESAI",GU54+GY54)</f>
        <v>43267</v>
      </c>
      <c r="HA54" s="83"/>
      <c r="HB54" s="83"/>
      <c r="HC54" s="17">
        <f t="shared" si="691"/>
        <v>0</v>
      </c>
      <c r="HD54" s="17">
        <f t="shared" si="692"/>
        <v>0</v>
      </c>
      <c r="HE54" s="17">
        <f t="shared" si="693"/>
        <v>0</v>
      </c>
      <c r="HF54" s="17">
        <f t="shared" si="694"/>
        <v>0</v>
      </c>
      <c r="HG54" s="17">
        <f t="shared" si="695"/>
        <v>0</v>
      </c>
      <c r="HH54" s="101" t="str">
        <f t="shared" si="696"/>
        <v>TIDAK KONSINYASI</v>
      </c>
      <c r="HI54" s="101">
        <f t="shared" si="697"/>
        <v>43312</v>
      </c>
      <c r="HJ54" s="27"/>
      <c r="HK54" s="101">
        <f t="shared" ref="HK54" si="813">MAX(GZ54,HH54,HI54)</f>
        <v>43312</v>
      </c>
      <c r="HL54" s="83"/>
      <c r="HM54" s="83"/>
      <c r="HN54" s="83"/>
      <c r="HO54" s="83"/>
      <c r="HP54" s="102">
        <f t="shared" si="699"/>
        <v>0</v>
      </c>
      <c r="HQ54" s="66">
        <f t="shared" si="700"/>
        <v>0</v>
      </c>
      <c r="HR54" s="66">
        <f t="shared" si="701"/>
        <v>0</v>
      </c>
      <c r="HS54" s="102">
        <f t="shared" si="702"/>
        <v>0</v>
      </c>
      <c r="HT54" s="66">
        <f t="shared" si="703"/>
        <v>0</v>
      </c>
      <c r="HU54" s="66">
        <f t="shared" si="704"/>
        <v>0</v>
      </c>
      <c r="HV54" s="102">
        <f t="shared" si="705"/>
        <v>0</v>
      </c>
      <c r="HW54" s="66">
        <f t="shared" si="706"/>
        <v>0</v>
      </c>
      <c r="HX54" s="66">
        <f t="shared" si="707"/>
        <v>0</v>
      </c>
      <c r="HY54" s="102">
        <f t="shared" si="708"/>
        <v>0</v>
      </c>
      <c r="HZ54" s="66">
        <f t="shared" si="709"/>
        <v>0</v>
      </c>
      <c r="IA54" s="66">
        <f t="shared" si="710"/>
        <v>0</v>
      </c>
      <c r="IB54" s="102">
        <f t="shared" si="711"/>
        <v>0</v>
      </c>
      <c r="IC54" s="66">
        <f t="shared" si="712"/>
        <v>0</v>
      </c>
      <c r="ID54" s="66">
        <f t="shared" si="713"/>
        <v>0</v>
      </c>
      <c r="IE54" s="102">
        <f t="shared" si="714"/>
        <v>0</v>
      </c>
      <c r="IF54" s="66">
        <f t="shared" si="715"/>
        <v>0</v>
      </c>
      <c r="IG54" s="66">
        <f t="shared" si="716"/>
        <v>0</v>
      </c>
      <c r="IH54" s="102">
        <f t="shared" si="717"/>
        <v>0</v>
      </c>
      <c r="II54" s="66">
        <f t="shared" si="718"/>
        <v>0</v>
      </c>
      <c r="IJ54" s="66">
        <f t="shared" si="719"/>
        <v>0</v>
      </c>
      <c r="IK54" s="102">
        <f t="shared" si="720"/>
        <v>0</v>
      </c>
      <c r="IL54" s="66">
        <f t="shared" si="721"/>
        <v>0</v>
      </c>
      <c r="IM54" s="66">
        <f t="shared" si="722"/>
        <v>0</v>
      </c>
      <c r="IN54" s="83"/>
      <c r="IO54" s="102">
        <f t="shared" ref="IO54" si="814">IF(IP54=1,+$GU$3+$HH$8,0)</f>
        <v>0</v>
      </c>
      <c r="IP54" s="66">
        <f t="shared" ref="IP54" si="815">IF(BG54&gt;0,1,0)</f>
        <v>0</v>
      </c>
      <c r="IQ54" s="66">
        <f t="shared" ref="IQ54" si="816">IF(IP54=1,E54,0)</f>
        <v>0</v>
      </c>
      <c r="IR54" s="83"/>
      <c r="IS54" s="102"/>
      <c r="IT54" s="66">
        <f t="shared" si="726"/>
        <v>0</v>
      </c>
      <c r="IU54" s="66">
        <f t="shared" si="727"/>
        <v>0</v>
      </c>
      <c r="IV54" s="83"/>
      <c r="IW54" s="102"/>
      <c r="IX54" s="66">
        <f t="shared" si="728"/>
        <v>0</v>
      </c>
      <c r="IY54" s="66">
        <f t="shared" si="729"/>
        <v>0</v>
      </c>
      <c r="IZ54" s="83"/>
      <c r="JA54" s="102"/>
      <c r="JB54" s="66">
        <f t="shared" si="730"/>
        <v>1</v>
      </c>
      <c r="JC54" s="66">
        <f t="shared" si="731"/>
        <v>51</v>
      </c>
      <c r="JD54" s="83"/>
      <c r="JE54" s="102"/>
      <c r="JF54" s="66">
        <f t="shared" si="732"/>
        <v>1</v>
      </c>
      <c r="JG54" s="66">
        <f t="shared" si="733"/>
        <v>51</v>
      </c>
      <c r="JH54" s="83"/>
      <c r="JI54" s="102"/>
      <c r="JJ54" s="66">
        <f t="shared" si="734"/>
        <v>0</v>
      </c>
      <c r="JK54" s="66">
        <f t="shared" si="735"/>
        <v>0</v>
      </c>
      <c r="JM54" s="102">
        <f t="shared" ref="JM54" si="817">MAX(IW54,IS54,IO54,IK54,IE54,HY54,HS54,HP54)</f>
        <v>0</v>
      </c>
      <c r="JO54" s="29">
        <f t="shared" si="737"/>
        <v>0</v>
      </c>
      <c r="JP54" s="122">
        <f t="shared" si="738"/>
        <v>0</v>
      </c>
      <c r="JQ54" s="122">
        <f t="shared" si="739"/>
        <v>0</v>
      </c>
      <c r="JR54" s="122">
        <f t="shared" si="740"/>
        <v>0</v>
      </c>
      <c r="JS54" s="122">
        <f t="shared" si="741"/>
        <v>0</v>
      </c>
      <c r="JT54" s="122">
        <f t="shared" si="742"/>
        <v>0</v>
      </c>
      <c r="JU54" s="122">
        <f t="shared" si="743"/>
        <v>0</v>
      </c>
      <c r="JV54" s="122">
        <f t="shared" si="744"/>
        <v>0</v>
      </c>
      <c r="JW54" s="122">
        <f t="shared" si="745"/>
        <v>0</v>
      </c>
      <c r="JX54" s="122">
        <f t="shared" si="746"/>
        <v>0</v>
      </c>
      <c r="JY54" s="122">
        <f t="shared" si="747"/>
        <v>0</v>
      </c>
      <c r="JZ54" s="122">
        <f t="shared" si="748"/>
        <v>0</v>
      </c>
      <c r="KA54" s="122">
        <f t="shared" si="749"/>
        <v>0</v>
      </c>
      <c r="KB54" s="122">
        <f t="shared" si="750"/>
        <v>0</v>
      </c>
      <c r="KD54" s="122">
        <f t="shared" si="751"/>
        <v>0</v>
      </c>
      <c r="KE54" s="122">
        <f t="shared" si="752"/>
        <v>0</v>
      </c>
      <c r="KF54" s="122">
        <f t="shared" si="753"/>
        <v>0</v>
      </c>
      <c r="KG54" s="122">
        <f t="shared" si="754"/>
        <v>0</v>
      </c>
      <c r="KH54" s="122">
        <f t="shared" si="755"/>
        <v>0</v>
      </c>
      <c r="KI54" s="122">
        <f t="shared" si="756"/>
        <v>0</v>
      </c>
      <c r="KJ54" s="122">
        <f t="shared" si="757"/>
        <v>0</v>
      </c>
      <c r="KK54" s="122">
        <f t="shared" si="758"/>
        <v>0</v>
      </c>
      <c r="KL54" s="122">
        <f t="shared" si="759"/>
        <v>0</v>
      </c>
      <c r="KM54" s="122">
        <f t="shared" si="760"/>
        <v>0</v>
      </c>
      <c r="KN54" s="123">
        <f t="shared" si="761"/>
        <v>0</v>
      </c>
      <c r="KO54" s="123">
        <f t="shared" si="762"/>
        <v>0</v>
      </c>
      <c r="KP54" s="123">
        <f t="shared" si="763"/>
        <v>0</v>
      </c>
      <c r="KQ54" s="123">
        <f t="shared" si="764"/>
        <v>0</v>
      </c>
      <c r="KR54" s="123">
        <f t="shared" si="765"/>
        <v>0</v>
      </c>
      <c r="KS54">
        <v>7</v>
      </c>
      <c r="KT54">
        <f t="shared" si="766"/>
        <v>1</v>
      </c>
      <c r="KU54" s="123"/>
      <c r="KV54" s="123"/>
      <c r="KW54" s="123"/>
      <c r="KX54" s="123"/>
      <c r="KY54" s="123"/>
      <c r="KZ54" s="123"/>
      <c r="LA54" s="123"/>
      <c r="LB54" s="123"/>
      <c r="LC54" s="123"/>
      <c r="LD54" s="123"/>
      <c r="LE54" s="123"/>
      <c r="LF54" s="123"/>
      <c r="LG54" s="123"/>
      <c r="LH54" s="123"/>
      <c r="LI54" s="123"/>
      <c r="LJ54" s="123"/>
      <c r="LK54" s="123"/>
      <c r="LL54" s="123"/>
      <c r="LM54" s="123"/>
      <c r="LN54" s="123"/>
      <c r="LO54" s="123"/>
      <c r="LP54" s="123"/>
      <c r="LQ54" s="123"/>
      <c r="LR54" s="123"/>
      <c r="LS54" s="123"/>
      <c r="LT54" s="123"/>
      <c r="LU54" s="123"/>
      <c r="LV54" s="123"/>
      <c r="LW54" s="123"/>
      <c r="LX54" s="123"/>
      <c r="LY54" s="123"/>
      <c r="LZ54" s="123"/>
      <c r="MA54" s="123"/>
      <c r="MB54" s="123"/>
      <c r="MC54" s="123"/>
      <c r="MD54" s="123"/>
      <c r="ME54" s="123"/>
      <c r="MF54" s="123"/>
      <c r="MG54" s="123"/>
      <c r="MH54" s="123"/>
      <c r="MI54" s="123"/>
      <c r="MJ54" s="123"/>
      <c r="MK54" s="123"/>
      <c r="ML54" s="123"/>
      <c r="MM54" s="123"/>
      <c r="MN54" s="123"/>
      <c r="MO54" s="123"/>
      <c r="MP54" s="123"/>
      <c r="MQ54" s="123"/>
      <c r="MR54" s="123"/>
      <c r="MS54" s="123"/>
      <c r="MT54" s="123"/>
      <c r="MU54" s="123"/>
      <c r="MV54" s="123"/>
      <c r="MW54" s="123"/>
      <c r="MX54" s="123"/>
      <c r="MY54" s="123"/>
      <c r="MZ54" s="123"/>
      <c r="NA54" s="123"/>
      <c r="NB54" s="123"/>
      <c r="NC54" s="123"/>
      <c r="ND54" s="123"/>
      <c r="NE54" s="123"/>
      <c r="NF54" s="123"/>
      <c r="NG54" s="123"/>
      <c r="NH54" s="123"/>
      <c r="NI54" s="123"/>
      <c r="NJ54" s="123"/>
      <c r="NK54" s="123"/>
      <c r="NM54">
        <f t="shared" si="767"/>
        <v>0</v>
      </c>
      <c r="NN54">
        <f t="shared" si="768"/>
        <v>0</v>
      </c>
      <c r="NO54">
        <f t="shared" si="769"/>
        <v>0</v>
      </c>
      <c r="NP54">
        <f t="shared" si="770"/>
        <v>0</v>
      </c>
      <c r="NQ54">
        <f t="shared" si="771"/>
        <v>0</v>
      </c>
      <c r="NR54">
        <f t="shared" si="772"/>
        <v>0</v>
      </c>
      <c r="NS54">
        <f t="shared" si="773"/>
        <v>1</v>
      </c>
      <c r="NT54">
        <f t="shared" si="774"/>
        <v>1</v>
      </c>
      <c r="NU54" s="29">
        <f t="shared" si="775"/>
        <v>0</v>
      </c>
      <c r="NY54" s="17"/>
      <c r="NZ54" s="152"/>
      <c r="OE54" s="155"/>
      <c r="OF54" s="155"/>
      <c r="OG54" s="155"/>
      <c r="OH54" s="155"/>
      <c r="OI54" s="155"/>
      <c r="OJ54" s="67"/>
      <c r="OK54" s="67"/>
      <c r="OL54" s="67"/>
      <c r="OM54" s="67"/>
      <c r="OO54" s="155"/>
      <c r="OP54" s="155"/>
      <c r="OQ54" s="155"/>
      <c r="OR54" s="155"/>
      <c r="OS54" s="155"/>
      <c r="OT54" s="67"/>
      <c r="OU54" s="67"/>
      <c r="OV54" s="67"/>
      <c r="OW54" s="67"/>
      <c r="OZ54" s="163">
        <f t="shared" ref="OZ54" si="818">AN54</f>
        <v>1</v>
      </c>
      <c r="PA54" s="166">
        <v>1</v>
      </c>
      <c r="PB54" s="166"/>
      <c r="PC54" s="166"/>
      <c r="PD54" s="210">
        <f t="shared" si="116"/>
        <v>0</v>
      </c>
      <c r="PE54" s="210"/>
      <c r="PF54" s="210">
        <f t="shared" si="117"/>
        <v>0</v>
      </c>
      <c r="PG54" s="210">
        <f t="shared" si="619"/>
        <v>51</v>
      </c>
      <c r="PH54" s="210">
        <f t="shared" si="619"/>
        <v>0</v>
      </c>
      <c r="PI54" s="210">
        <f t="shared" si="619"/>
        <v>0</v>
      </c>
      <c r="PJ54" s="210">
        <f t="shared" si="618"/>
        <v>0</v>
      </c>
      <c r="PK54" s="210">
        <f t="shared" si="618"/>
        <v>0</v>
      </c>
      <c r="PL54" s="210">
        <f t="shared" si="618"/>
        <v>0</v>
      </c>
      <c r="PM54" s="164"/>
      <c r="PN54" s="164"/>
      <c r="PO54" s="172">
        <f t="shared" ref="PO54" si="819">IF(FC54=1,AB54,0)</f>
        <v>0</v>
      </c>
      <c r="PP54" s="172">
        <f t="shared" ref="PP54" si="820">IF(FF54=1,AB54,0)</f>
        <v>0</v>
      </c>
      <c r="PQ54" s="172">
        <f t="shared" ref="PQ54" si="821">AB54-(PO54+PP54)</f>
        <v>0</v>
      </c>
      <c r="PR54" s="164"/>
      <c r="PS54" s="164"/>
      <c r="PT54" s="164"/>
      <c r="PU54" s="164"/>
    </row>
    <row r="55" spans="1:437 16383:16384" ht="16" x14ac:dyDescent="0.2">
      <c r="A55" s="19"/>
      <c r="B55" s="268"/>
      <c r="C55" s="186"/>
      <c r="D55" s="20"/>
      <c r="E55" s="20"/>
      <c r="F55" s="20"/>
      <c r="G55" s="20"/>
      <c r="H55" s="137"/>
      <c r="I55" s="214"/>
      <c r="J55" s="188"/>
      <c r="K55" s="188"/>
      <c r="L55" s="214"/>
      <c r="M55" s="214"/>
      <c r="N55" s="188"/>
      <c r="O55" s="188"/>
      <c r="P55" s="137"/>
      <c r="Q55" s="137"/>
      <c r="R55" s="20"/>
      <c r="S55" s="20"/>
      <c r="T55" s="137"/>
      <c r="U55" s="137"/>
      <c r="V55" s="20"/>
      <c r="W55" s="20"/>
      <c r="X55" s="137"/>
      <c r="Y55" s="137"/>
      <c r="Z55" s="20"/>
      <c r="AA55" s="20"/>
      <c r="AB55" s="17"/>
      <c r="AC55" s="18"/>
      <c r="AD55" s="18"/>
      <c r="AE55" s="20"/>
      <c r="AF55" s="20"/>
      <c r="AG55" s="20"/>
      <c r="AH55" s="20"/>
      <c r="AI55" s="20"/>
      <c r="AJ55" s="20"/>
      <c r="AK55" s="20"/>
      <c r="AL55" s="20"/>
      <c r="AM55" s="20"/>
      <c r="AN55" s="139"/>
      <c r="BB55" s="20"/>
      <c r="BE55" s="20"/>
      <c r="BF55" s="20"/>
      <c r="BG55" s="20"/>
      <c r="BH55" s="20"/>
      <c r="BI55" s="20"/>
      <c r="BJ55" s="20"/>
      <c r="BK55" s="20"/>
      <c r="BN55" s="139"/>
      <c r="BO55" s="126"/>
      <c r="BP55" s="139"/>
      <c r="BQ55" s="139"/>
      <c r="BR55" s="139"/>
      <c r="BS55" s="139"/>
      <c r="BT55" s="139"/>
      <c r="BU55" s="139"/>
      <c r="BV55" s="139"/>
      <c r="BW55" s="139"/>
      <c r="BX55" s="139"/>
      <c r="BY55" s="139"/>
      <c r="BZ55" s="139"/>
      <c r="CB55" s="139"/>
      <c r="CD55" s="17"/>
      <c r="CE55" s="17"/>
      <c r="CF55" s="139"/>
      <c r="CG55" s="139"/>
      <c r="CH55" s="139"/>
      <c r="CI55" s="139"/>
      <c r="CJ55" s="139"/>
      <c r="CK55" s="139"/>
      <c r="CL55" s="139"/>
      <c r="CM55" s="139"/>
      <c r="CN55" s="139"/>
      <c r="CO55" s="139"/>
      <c r="CP55" s="139"/>
      <c r="CQ55" s="148"/>
      <c r="DV55" s="139"/>
      <c r="DW55" s="139"/>
      <c r="DX55" s="139"/>
      <c r="DY55" s="139"/>
      <c r="DZ55" s="139"/>
      <c r="EA55" s="139"/>
      <c r="EB55" s="139"/>
      <c r="EG55" s="57"/>
      <c r="EH55" s="57"/>
      <c r="EI55" s="17"/>
      <c r="EJ55" s="17"/>
      <c r="EK55" s="17"/>
      <c r="EL55" s="17"/>
      <c r="EM55" s="17"/>
      <c r="EN55" s="17"/>
      <c r="EO55" s="17"/>
      <c r="EP55" s="17"/>
      <c r="EQ55" s="189"/>
      <c r="ER55" s="189"/>
      <c r="ES55" s="189"/>
      <c r="ET55" s="189"/>
      <c r="EU55" s="189"/>
      <c r="EV55" s="189"/>
      <c r="EW55" s="189"/>
      <c r="EX55" s="189"/>
      <c r="EY55" s="189"/>
      <c r="EZ55" s="189"/>
      <c r="FA55" s="189"/>
      <c r="FB55" s="189"/>
      <c r="FC55" s="189"/>
      <c r="FD55" s="17"/>
      <c r="FE55" s="17"/>
      <c r="FF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X55" s="177"/>
      <c r="FY55" s="17"/>
      <c r="FZ55" s="17"/>
      <c r="GA55" s="17"/>
      <c r="GB55" s="17"/>
      <c r="GC55" s="17"/>
      <c r="GD55" s="17"/>
      <c r="GE55" s="17"/>
      <c r="GF55" s="67"/>
      <c r="GG55" s="17"/>
      <c r="GH55" s="17"/>
      <c r="GI55" s="67"/>
      <c r="GJ55" s="62"/>
      <c r="GK55" s="62"/>
      <c r="GO55" s="17"/>
      <c r="GP55" s="17"/>
      <c r="GQ55" s="17"/>
      <c r="GR55" s="17"/>
      <c r="GS55" s="17"/>
      <c r="GT55" s="17"/>
      <c r="GU55" s="101"/>
      <c r="GV55" s="17"/>
      <c r="GW55" s="17"/>
      <c r="GX55" s="66"/>
      <c r="GY55" s="66"/>
      <c r="GZ55" s="102"/>
      <c r="HA55" s="83"/>
      <c r="HB55" s="83"/>
      <c r="HC55" s="17"/>
      <c r="HD55" s="17"/>
      <c r="HE55" s="17"/>
      <c r="HF55" s="17"/>
      <c r="HG55" s="17"/>
      <c r="HH55" s="101"/>
      <c r="HI55" s="101"/>
      <c r="HJ55" s="27"/>
      <c r="HK55" s="101"/>
      <c r="HL55" s="83"/>
      <c r="HM55" s="83"/>
      <c r="HN55" s="83"/>
      <c r="HO55" s="83"/>
      <c r="HP55" s="102"/>
      <c r="HQ55" s="66"/>
      <c r="HR55" s="66"/>
      <c r="HS55" s="102"/>
      <c r="HT55" s="66"/>
      <c r="HU55" s="66"/>
      <c r="HV55" s="102"/>
      <c r="HW55" s="66"/>
      <c r="HX55" s="66"/>
      <c r="HY55" s="102"/>
      <c r="HZ55" s="66"/>
      <c r="IA55" s="66"/>
      <c r="IB55" s="102"/>
      <c r="IC55" s="66"/>
      <c r="ID55" s="66"/>
      <c r="IE55" s="102"/>
      <c r="IF55" s="66"/>
      <c r="IG55" s="66"/>
      <c r="IH55" s="102"/>
      <c r="II55" s="66"/>
      <c r="IJ55" s="66"/>
      <c r="IK55" s="102"/>
      <c r="IL55" s="66"/>
      <c r="IM55" s="66"/>
      <c r="IN55" s="83"/>
      <c r="IO55" s="102"/>
      <c r="IP55" s="66"/>
      <c r="IQ55" s="66"/>
      <c r="IR55" s="83"/>
      <c r="IS55" s="102"/>
      <c r="IT55" s="66"/>
      <c r="IU55" s="66"/>
      <c r="IV55" s="83"/>
      <c r="IW55" s="102"/>
      <c r="IX55" s="66"/>
      <c r="IY55" s="66"/>
      <c r="IZ55" s="83"/>
      <c r="JA55" s="102"/>
      <c r="JB55" s="66"/>
      <c r="JC55" s="66"/>
      <c r="JD55" s="83"/>
      <c r="JE55" s="102"/>
      <c r="JF55" s="66"/>
      <c r="JG55" s="66"/>
      <c r="JH55" s="83"/>
      <c r="JI55" s="102"/>
      <c r="JJ55" s="66"/>
      <c r="JK55" s="66"/>
      <c r="JM55" s="102"/>
      <c r="JO55" s="29"/>
      <c r="JP55" s="122"/>
      <c r="JQ55" s="122"/>
      <c r="JR55" s="122"/>
      <c r="JS55" s="122"/>
      <c r="JT55" s="122"/>
      <c r="JU55" s="122"/>
      <c r="JV55" s="122"/>
      <c r="JW55" s="122"/>
      <c r="JX55" s="122"/>
      <c r="JY55" s="122"/>
      <c r="JZ55" s="122"/>
      <c r="KA55" s="122"/>
      <c r="KB55" s="122"/>
      <c r="KD55" s="122"/>
      <c r="KE55" s="122"/>
      <c r="KF55" s="122"/>
      <c r="KG55" s="122"/>
      <c r="KH55" s="122"/>
      <c r="KI55" s="122"/>
      <c r="KJ55" s="122"/>
      <c r="KK55" s="122"/>
      <c r="KL55" s="122"/>
      <c r="KM55" s="122"/>
      <c r="KN55" s="123"/>
      <c r="KO55" s="123"/>
      <c r="KP55" s="123"/>
      <c r="KQ55" s="123"/>
      <c r="KR55" s="123"/>
      <c r="KU55" s="123"/>
      <c r="KV55" s="123"/>
      <c r="KW55" s="123"/>
      <c r="KX55" s="123"/>
      <c r="KY55" s="123"/>
      <c r="KZ55" s="123"/>
      <c r="LA55" s="123"/>
      <c r="LB55" s="123"/>
      <c r="LC55" s="123"/>
      <c r="LD55" s="123"/>
      <c r="LE55" s="123"/>
      <c r="LF55" s="123"/>
      <c r="LG55" s="123"/>
      <c r="LH55" s="123"/>
      <c r="LI55" s="123"/>
      <c r="LJ55" s="123"/>
      <c r="LK55" s="123"/>
      <c r="LL55" s="123"/>
      <c r="LM55" s="123"/>
      <c r="LN55" s="123"/>
      <c r="LO55" s="123"/>
      <c r="LP55" s="123"/>
      <c r="LQ55" s="123"/>
      <c r="LR55" s="123"/>
      <c r="LS55" s="123"/>
      <c r="LT55" s="123"/>
      <c r="LU55" s="123"/>
      <c r="LV55" s="123"/>
      <c r="LW55" s="123"/>
      <c r="LX55" s="123"/>
      <c r="LY55" s="123"/>
      <c r="LZ55" s="123"/>
      <c r="MA55" s="123"/>
      <c r="MB55" s="123"/>
      <c r="MC55" s="123"/>
      <c r="MD55" s="123"/>
      <c r="ME55" s="123"/>
      <c r="MF55" s="123"/>
      <c r="MG55" s="123"/>
      <c r="MH55" s="123"/>
      <c r="MI55" s="123"/>
      <c r="MJ55" s="123"/>
      <c r="MK55" s="123"/>
      <c r="ML55" s="123"/>
      <c r="MM55" s="123"/>
      <c r="MN55" s="123"/>
      <c r="MO55" s="123"/>
      <c r="MP55" s="123"/>
      <c r="MQ55" s="123"/>
      <c r="MR55" s="123"/>
      <c r="MS55" s="123"/>
      <c r="MT55" s="123"/>
      <c r="MU55" s="123"/>
      <c r="MV55" s="123"/>
      <c r="MW55" s="123"/>
      <c r="MX55" s="123"/>
      <c r="MY55" s="123"/>
      <c r="MZ55" s="123"/>
      <c r="NA55" s="123"/>
      <c r="NB55" s="123"/>
      <c r="NC55" s="123"/>
      <c r="ND55" s="123"/>
      <c r="NE55" s="123"/>
      <c r="NF55" s="123"/>
      <c r="NG55" s="123"/>
      <c r="NH55" s="123"/>
      <c r="NI55" s="123"/>
      <c r="NJ55" s="123"/>
      <c r="NK55" s="123"/>
      <c r="NU55" s="29"/>
      <c r="NY55" s="17"/>
      <c r="NZ55" s="152"/>
      <c r="OE55" s="155"/>
      <c r="OF55" s="155"/>
      <c r="OG55" s="155"/>
      <c r="OH55" s="155"/>
      <c r="OI55" s="155"/>
      <c r="OJ55" s="67"/>
      <c r="OK55" s="67"/>
      <c r="OL55" s="67"/>
      <c r="OM55" s="67"/>
      <c r="OO55" s="155"/>
      <c r="OP55" s="155"/>
      <c r="OQ55" s="155"/>
      <c r="OR55" s="155"/>
      <c r="OS55" s="155"/>
      <c r="OT55" s="67"/>
      <c r="OU55" s="67"/>
      <c r="OV55" s="67"/>
      <c r="OW55" s="67"/>
      <c r="OZ55" s="163"/>
      <c r="PA55" s="166"/>
      <c r="PB55" s="166"/>
      <c r="PC55" s="166"/>
      <c r="PD55" s="210"/>
      <c r="PE55" s="210"/>
      <c r="PF55" s="210"/>
      <c r="PG55" s="210"/>
      <c r="PH55" s="210"/>
      <c r="PI55" s="210"/>
      <c r="PJ55" s="210"/>
      <c r="PK55" s="210"/>
      <c r="PL55" s="210"/>
      <c r="PM55" s="164"/>
      <c r="PN55" s="164"/>
      <c r="PO55" s="172"/>
      <c r="PP55" s="172"/>
      <c r="PQ55" s="172"/>
      <c r="PR55" s="164"/>
      <c r="PS55" s="164"/>
      <c r="PT55" s="164"/>
      <c r="PU55" s="164"/>
    </row>
    <row r="56" spans="1:437 16383:16384" ht="16" x14ac:dyDescent="0.2">
      <c r="A56" s="19"/>
      <c r="B56" s="268"/>
      <c r="C56" s="186"/>
      <c r="D56" s="20"/>
      <c r="E56" s="20"/>
      <c r="F56" s="20"/>
      <c r="G56" s="20"/>
      <c r="H56" s="137"/>
      <c r="I56" s="137"/>
      <c r="J56" s="20"/>
      <c r="K56" s="20"/>
      <c r="L56" s="137"/>
      <c r="M56" s="137"/>
      <c r="N56" s="20"/>
      <c r="O56" s="20"/>
      <c r="P56" s="137"/>
      <c r="Q56" s="137"/>
      <c r="R56" s="20"/>
      <c r="S56" s="20"/>
      <c r="T56" s="137"/>
      <c r="U56" s="137"/>
      <c r="V56" s="20"/>
      <c r="W56" s="20"/>
      <c r="X56" s="137"/>
      <c r="Y56" s="137"/>
      <c r="Z56" s="20"/>
      <c r="AA56" s="20"/>
      <c r="AB56" s="17"/>
      <c r="AC56" s="18"/>
      <c r="AD56" s="18"/>
      <c r="AE56" s="20"/>
      <c r="AF56" s="20"/>
      <c r="AG56" s="20"/>
      <c r="AH56" s="20"/>
      <c r="AI56" s="20"/>
      <c r="AJ56" s="20"/>
      <c r="AK56" s="20"/>
      <c r="AL56" s="20"/>
      <c r="AM56" s="20"/>
      <c r="AN56" s="139"/>
      <c r="BB56" s="20"/>
      <c r="BE56" s="20"/>
      <c r="BF56" s="20"/>
      <c r="BG56" s="20"/>
      <c r="BH56" s="20"/>
      <c r="BI56" s="20"/>
      <c r="BJ56" s="20"/>
      <c r="BK56" s="20"/>
      <c r="BN56" s="139"/>
      <c r="BO56" s="126"/>
      <c r="BP56" s="139"/>
      <c r="BQ56" s="139"/>
      <c r="BR56" s="139"/>
      <c r="BS56" s="139"/>
      <c r="BT56" s="139"/>
      <c r="BU56" s="139"/>
      <c r="BV56" s="139"/>
      <c r="BW56" s="139"/>
      <c r="BX56" s="139"/>
      <c r="BY56" s="139"/>
      <c r="BZ56" s="139"/>
      <c r="CB56" s="139"/>
      <c r="CD56" s="17"/>
      <c r="CE56" s="17"/>
      <c r="CF56" s="139"/>
      <c r="CG56" s="139"/>
      <c r="CH56" s="139"/>
      <c r="CI56" s="139"/>
      <c r="CJ56" s="139"/>
      <c r="CK56" s="139"/>
      <c r="CL56" s="139"/>
      <c r="CM56" s="139"/>
      <c r="CN56" s="139"/>
      <c r="CO56" s="139"/>
      <c r="CP56" s="139"/>
      <c r="CQ56" s="148"/>
      <c r="DV56" s="139"/>
      <c r="DW56" s="139"/>
      <c r="DX56" s="139"/>
      <c r="DY56" s="139"/>
      <c r="DZ56" s="139"/>
      <c r="EA56" s="139"/>
      <c r="EB56" s="139"/>
      <c r="EG56" s="57"/>
      <c r="EH56" s="57"/>
      <c r="EI56" s="17"/>
      <c r="EJ56" s="17"/>
      <c r="EK56" s="17"/>
      <c r="EL56" s="17"/>
      <c r="EM56" s="17"/>
      <c r="EN56" s="17"/>
      <c r="EO56" s="17"/>
      <c r="EP56" s="17"/>
      <c r="EQ56" s="189"/>
      <c r="ER56" s="189"/>
      <c r="ES56" s="189"/>
      <c r="ET56" s="189"/>
      <c r="EU56" s="189"/>
      <c r="EV56" s="189"/>
      <c r="EW56" s="189"/>
      <c r="EX56" s="189"/>
      <c r="EY56" s="189"/>
      <c r="EZ56" s="189"/>
      <c r="FA56" s="189"/>
      <c r="FB56" s="189"/>
      <c r="FC56" s="189"/>
      <c r="FD56" s="17"/>
      <c r="FE56" s="17"/>
      <c r="FF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X56" s="177"/>
      <c r="FY56" s="17"/>
      <c r="FZ56" s="17"/>
      <c r="GA56" s="17"/>
      <c r="GB56" s="17"/>
      <c r="GC56" s="17"/>
      <c r="GD56" s="17"/>
      <c r="GE56" s="17"/>
      <c r="GF56" s="67"/>
      <c r="GG56" s="17"/>
      <c r="GH56" s="17"/>
      <c r="GI56" s="67"/>
      <c r="GJ56" s="62"/>
      <c r="GK56" s="62"/>
      <c r="GO56" s="17"/>
      <c r="GP56" s="17"/>
      <c r="GQ56" s="17"/>
      <c r="GR56" s="17"/>
      <c r="GS56" s="17"/>
      <c r="GT56" s="17"/>
      <c r="GU56" s="101"/>
      <c r="GV56" s="17"/>
      <c r="GW56" s="17"/>
      <c r="GX56" s="66"/>
      <c r="GY56" s="66"/>
      <c r="GZ56" s="102"/>
      <c r="HA56" s="83"/>
      <c r="HB56" s="83"/>
      <c r="HC56" s="17"/>
      <c r="HD56" s="17"/>
      <c r="HE56" s="17"/>
      <c r="HF56" s="17"/>
      <c r="HG56" s="17"/>
      <c r="HH56" s="101"/>
      <c r="HI56" s="101"/>
      <c r="HJ56" s="27"/>
      <c r="HK56" s="101"/>
      <c r="HL56" s="83"/>
      <c r="HM56" s="83"/>
      <c r="HN56" s="83"/>
      <c r="HO56" s="83"/>
      <c r="HP56" s="102"/>
      <c r="HQ56" s="66"/>
      <c r="HR56" s="66"/>
      <c r="HS56" s="102"/>
      <c r="HT56" s="66"/>
      <c r="HU56" s="66"/>
      <c r="HV56" s="102"/>
      <c r="HW56" s="66"/>
      <c r="HX56" s="66"/>
      <c r="HY56" s="102"/>
      <c r="HZ56" s="66"/>
      <c r="IA56" s="66"/>
      <c r="IB56" s="102"/>
      <c r="IC56" s="66"/>
      <c r="ID56" s="66"/>
      <c r="IE56" s="102"/>
      <c r="IF56" s="66"/>
      <c r="IG56" s="66"/>
      <c r="IH56" s="102"/>
      <c r="II56" s="66"/>
      <c r="IJ56" s="66"/>
      <c r="IK56" s="102"/>
      <c r="IL56" s="66"/>
      <c r="IM56" s="66"/>
      <c r="IN56" s="83"/>
      <c r="IO56" s="102"/>
      <c r="IP56" s="66"/>
      <c r="IQ56" s="66"/>
      <c r="IR56" s="83"/>
      <c r="IS56" s="102"/>
      <c r="IT56" s="66"/>
      <c r="IU56" s="66"/>
      <c r="IV56" s="83"/>
      <c r="IW56" s="102"/>
      <c r="IX56" s="66"/>
      <c r="IY56" s="66"/>
      <c r="IZ56" s="83"/>
      <c r="JA56" s="102"/>
      <c r="JB56" s="66"/>
      <c r="JC56" s="66"/>
      <c r="JD56" s="83"/>
      <c r="JE56" s="102"/>
      <c r="JF56" s="66"/>
      <c r="JG56" s="66"/>
      <c r="JH56" s="83"/>
      <c r="JI56" s="102"/>
      <c r="JJ56" s="66"/>
      <c r="JK56" s="66"/>
      <c r="JM56" s="102"/>
      <c r="JO56" s="29"/>
      <c r="JP56" s="122"/>
      <c r="JQ56" s="122"/>
      <c r="JR56" s="122"/>
      <c r="JS56" s="122"/>
      <c r="JT56" s="122"/>
      <c r="JU56" s="122"/>
      <c r="JV56" s="122"/>
      <c r="JW56" s="122"/>
      <c r="JX56" s="122"/>
      <c r="JY56" s="122"/>
      <c r="JZ56" s="122"/>
      <c r="KA56" s="122"/>
      <c r="KB56" s="122"/>
      <c r="KD56" s="122"/>
      <c r="KE56" s="122"/>
      <c r="KF56" s="122"/>
      <c r="KG56" s="122"/>
      <c r="KH56" s="122"/>
      <c r="KI56" s="122"/>
      <c r="KJ56" s="122"/>
      <c r="KK56" s="122"/>
      <c r="KL56" s="122"/>
      <c r="KM56" s="122"/>
      <c r="KN56" s="123"/>
      <c r="KO56" s="123"/>
      <c r="KP56" s="123"/>
      <c r="KQ56" s="123"/>
      <c r="KR56" s="123"/>
      <c r="KU56" s="123"/>
      <c r="KV56" s="123"/>
      <c r="KW56" s="123"/>
      <c r="KX56" s="123"/>
      <c r="KY56" s="123"/>
      <c r="KZ56" s="123"/>
      <c r="LA56" s="123"/>
      <c r="LB56" s="123"/>
      <c r="LC56" s="123"/>
      <c r="LD56" s="123"/>
      <c r="LE56" s="123"/>
      <c r="LF56" s="123"/>
      <c r="LG56" s="123"/>
      <c r="LH56" s="123"/>
      <c r="LI56" s="123"/>
      <c r="LJ56" s="123"/>
      <c r="LK56" s="123"/>
      <c r="LL56" s="123"/>
      <c r="LM56" s="123"/>
      <c r="LN56" s="123"/>
      <c r="LO56" s="123"/>
      <c r="LP56" s="123"/>
      <c r="LQ56" s="123"/>
      <c r="LR56" s="123"/>
      <c r="LS56" s="123"/>
      <c r="LT56" s="123"/>
      <c r="LU56" s="123"/>
      <c r="LV56" s="123"/>
      <c r="LW56" s="123"/>
      <c r="LX56" s="123"/>
      <c r="LY56" s="123"/>
      <c r="LZ56" s="123"/>
      <c r="MA56" s="123"/>
      <c r="MB56" s="123"/>
      <c r="MC56" s="123"/>
      <c r="MD56" s="123"/>
      <c r="ME56" s="123"/>
      <c r="MF56" s="123"/>
      <c r="MG56" s="123"/>
      <c r="MH56" s="123"/>
      <c r="MI56" s="123"/>
      <c r="MJ56" s="123"/>
      <c r="MK56" s="123"/>
      <c r="ML56" s="123"/>
      <c r="MM56" s="123"/>
      <c r="MN56" s="123"/>
      <c r="MO56" s="123"/>
      <c r="MP56" s="123"/>
      <c r="MQ56" s="123"/>
      <c r="MR56" s="123"/>
      <c r="MS56" s="123"/>
      <c r="MT56" s="123"/>
      <c r="MU56" s="123"/>
      <c r="MV56" s="123"/>
      <c r="MW56" s="123"/>
      <c r="MX56" s="123"/>
      <c r="MY56" s="123"/>
      <c r="MZ56" s="123"/>
      <c r="NA56" s="123"/>
      <c r="NB56" s="123"/>
      <c r="NC56" s="123"/>
      <c r="ND56" s="123"/>
      <c r="NE56" s="123"/>
      <c r="NF56" s="123"/>
      <c r="NG56" s="123"/>
      <c r="NH56" s="123"/>
      <c r="NI56" s="123"/>
      <c r="NJ56" s="123"/>
      <c r="NK56" s="123"/>
      <c r="NU56" s="29"/>
      <c r="NY56" s="17"/>
      <c r="NZ56" s="152"/>
      <c r="OE56" s="155"/>
      <c r="OF56" s="155"/>
      <c r="OG56" s="155"/>
      <c r="OH56" s="155"/>
      <c r="OI56" s="155"/>
      <c r="OJ56" s="67"/>
      <c r="OK56" s="67"/>
      <c r="OL56" s="67"/>
      <c r="OM56" s="67"/>
      <c r="OO56" s="155"/>
      <c r="OP56" s="155"/>
      <c r="OQ56" s="155"/>
      <c r="OR56" s="155"/>
      <c r="OS56" s="155"/>
      <c r="OT56" s="67"/>
      <c r="OU56" s="67"/>
      <c r="OV56" s="67"/>
      <c r="OW56" s="67"/>
      <c r="OZ56" s="163"/>
      <c r="PA56" s="166"/>
      <c r="PB56" s="166"/>
      <c r="PC56" s="166"/>
      <c r="PD56" s="210"/>
      <c r="PE56" s="210"/>
      <c r="PF56" s="210"/>
      <c r="PG56" s="210"/>
      <c r="PH56" s="210"/>
      <c r="PI56" s="210"/>
      <c r="PJ56" s="210"/>
      <c r="PK56" s="210"/>
      <c r="PL56" s="210"/>
      <c r="PM56" s="164"/>
      <c r="PN56" s="164"/>
      <c r="PO56" s="172"/>
      <c r="PP56" s="172"/>
      <c r="PQ56" s="172"/>
      <c r="PR56" s="164"/>
      <c r="PS56" s="164"/>
      <c r="PT56" s="164"/>
      <c r="PU56" s="164"/>
    </row>
    <row r="57" spans="1:437 16383:16384" ht="16" x14ac:dyDescent="0.2">
      <c r="A57" s="21"/>
      <c r="B57" s="22" t="s">
        <v>18</v>
      </c>
      <c r="C57" s="22"/>
      <c r="D57" s="23">
        <f>SUM(D9:D56)</f>
        <v>44</v>
      </c>
      <c r="E57" s="23">
        <f>SUM(E9:E56)</f>
        <v>9222</v>
      </c>
      <c r="F57" s="23">
        <f>SUM(F9:F56)</f>
        <v>44</v>
      </c>
      <c r="G57" s="23">
        <f>SUM(G9:G56)</f>
        <v>9222</v>
      </c>
      <c r="H57" s="24">
        <f t="shared" ref="H57" si="822">F57/$D57</f>
        <v>1</v>
      </c>
      <c r="I57" s="24">
        <f t="shared" ref="I57" si="823">G57/$E57</f>
        <v>1</v>
      </c>
      <c r="J57" s="23">
        <f>SUM(J9:J56)</f>
        <v>44</v>
      </c>
      <c r="K57" s="23">
        <f>SUM(K9:K56)</f>
        <v>9222</v>
      </c>
      <c r="L57" s="24">
        <f t="shared" si="5"/>
        <v>1</v>
      </c>
      <c r="M57" s="24">
        <f t="shared" si="6"/>
        <v>1</v>
      </c>
      <c r="N57" s="23">
        <f>SUM(N9:N56)</f>
        <v>44</v>
      </c>
      <c r="O57" s="23">
        <f>SUM(O9:O56)</f>
        <v>9222</v>
      </c>
      <c r="P57" s="24">
        <f t="shared" si="8"/>
        <v>1</v>
      </c>
      <c r="Q57" s="24">
        <f t="shared" si="9"/>
        <v>1</v>
      </c>
      <c r="R57" s="23">
        <f>SUM(R9:R56)</f>
        <v>33</v>
      </c>
      <c r="S57" s="23">
        <f>SUM(S9:S56)</f>
        <v>5332</v>
      </c>
      <c r="T57" s="24">
        <f t="shared" ref="T57" si="824">R57/$D57</f>
        <v>0.75</v>
      </c>
      <c r="U57" s="24">
        <f t="shared" ref="U57" si="825">S57/$E57</f>
        <v>0.5781826068098026</v>
      </c>
      <c r="V57" s="23">
        <f>SUM(V9:V56)</f>
        <v>33</v>
      </c>
      <c r="W57" s="23">
        <f>SUM(W9:W56)</f>
        <v>5332</v>
      </c>
      <c r="X57" s="24">
        <f t="shared" ref="X57" si="826">V57/$D57</f>
        <v>0.75</v>
      </c>
      <c r="Y57" s="24">
        <f t="shared" ref="Y57" si="827">W57/$E57</f>
        <v>0.5781826068098026</v>
      </c>
      <c r="Z57" s="39">
        <f>SUM(Z9:Z56)</f>
        <v>79.501695499999983</v>
      </c>
      <c r="AA57" s="23">
        <f>SUM(AA9:AA56)</f>
        <v>3</v>
      </c>
      <c r="AB57" s="23">
        <f>SUM(AB9:AB56)</f>
        <v>1255</v>
      </c>
      <c r="AC57" s="24">
        <f t="shared" ref="AC57" si="828">AA57/$D57</f>
        <v>6.8181818181818177E-2</v>
      </c>
      <c r="AD57" s="24">
        <f t="shared" ref="AD57" si="829">AB57/$E57</f>
        <v>0.13608761656907395</v>
      </c>
      <c r="AE57" s="39">
        <f>SUM(AE9:AE56)</f>
        <v>11.245126299999999</v>
      </c>
      <c r="AF57" s="23">
        <f>SUM(AF9:AF56)</f>
        <v>0</v>
      </c>
      <c r="AG57" s="23"/>
      <c r="AH57" s="23"/>
      <c r="AI57" s="23">
        <f t="shared" ref="AI57:AN57" si="830">SUM(AI9:AI56)</f>
        <v>0</v>
      </c>
      <c r="AJ57" s="23">
        <f t="shared" si="830"/>
        <v>0</v>
      </c>
      <c r="AK57" s="23">
        <f t="shared" si="830"/>
        <v>0</v>
      </c>
      <c r="AL57" s="23">
        <f t="shared" si="830"/>
        <v>0</v>
      </c>
      <c r="AM57" s="23">
        <f t="shared" si="830"/>
        <v>0</v>
      </c>
      <c r="AN57" s="23">
        <f t="shared" si="830"/>
        <v>8</v>
      </c>
      <c r="BB57" s="23">
        <f>SUM(BB9:BB56)</f>
        <v>2635</v>
      </c>
      <c r="BE57" s="23">
        <f t="shared" ref="BE57:BK57" si="831">SUM(BE9:BE56)</f>
        <v>0</v>
      </c>
      <c r="BF57" s="23">
        <f t="shared" si="831"/>
        <v>0</v>
      </c>
      <c r="BG57" s="23">
        <f t="shared" si="831"/>
        <v>0</v>
      </c>
      <c r="BH57" s="23">
        <f t="shared" si="831"/>
        <v>0</v>
      </c>
      <c r="BI57" s="23">
        <f t="shared" si="831"/>
        <v>0</v>
      </c>
      <c r="BJ57" s="23">
        <f t="shared" si="831"/>
        <v>0</v>
      </c>
      <c r="BK57" s="23">
        <f t="shared" si="831"/>
        <v>0</v>
      </c>
      <c r="BN57" s="23">
        <f t="shared" ref="BN57:BZ57" si="832">SUM(BN9:BN56)</f>
        <v>2494</v>
      </c>
      <c r="BO57" s="23">
        <f t="shared" si="832"/>
        <v>23</v>
      </c>
      <c r="BP57" s="23">
        <f t="shared" si="832"/>
        <v>4</v>
      </c>
      <c r="BQ57" s="23">
        <f t="shared" si="832"/>
        <v>0</v>
      </c>
      <c r="BR57" s="23">
        <f t="shared" si="832"/>
        <v>0</v>
      </c>
      <c r="BS57" s="23">
        <f t="shared" si="832"/>
        <v>0</v>
      </c>
      <c r="BT57" s="23">
        <f t="shared" si="832"/>
        <v>0</v>
      </c>
      <c r="BU57" s="23">
        <f t="shared" si="832"/>
        <v>0</v>
      </c>
      <c r="BV57" s="23">
        <f t="shared" si="832"/>
        <v>0</v>
      </c>
      <c r="BW57" s="23">
        <f t="shared" si="832"/>
        <v>0</v>
      </c>
      <c r="BX57" s="23">
        <f t="shared" si="832"/>
        <v>0</v>
      </c>
      <c r="BY57" s="23">
        <f t="shared" si="832"/>
        <v>0</v>
      </c>
      <c r="BZ57" s="23">
        <f t="shared" si="832"/>
        <v>0</v>
      </c>
      <c r="CB57" s="23">
        <f>SUM(CB9:CB56)</f>
        <v>3</v>
      </c>
      <c r="CD57" s="23">
        <f t="shared" ref="CD57:CP57" si="833">SUM(CD9:CD56)</f>
        <v>2494</v>
      </c>
      <c r="CE57" s="23">
        <f t="shared" si="833"/>
        <v>984</v>
      </c>
      <c r="CF57" s="23">
        <f t="shared" si="833"/>
        <v>1510</v>
      </c>
      <c r="CG57" s="23">
        <f t="shared" si="833"/>
        <v>0</v>
      </c>
      <c r="CH57" s="23">
        <f t="shared" si="833"/>
        <v>0</v>
      </c>
      <c r="CI57" s="23">
        <f t="shared" si="833"/>
        <v>0</v>
      </c>
      <c r="CJ57" s="23">
        <f t="shared" si="833"/>
        <v>0</v>
      </c>
      <c r="CK57" s="23">
        <f t="shared" si="833"/>
        <v>0</v>
      </c>
      <c r="CL57" s="23">
        <f t="shared" si="833"/>
        <v>0</v>
      </c>
      <c r="CM57" s="23">
        <f t="shared" si="833"/>
        <v>0</v>
      </c>
      <c r="CN57" s="23">
        <f t="shared" si="833"/>
        <v>0</v>
      </c>
      <c r="CO57" s="23">
        <f t="shared" si="833"/>
        <v>0</v>
      </c>
      <c r="CP57" s="23">
        <f t="shared" si="833"/>
        <v>0</v>
      </c>
      <c r="CQ57" s="148">
        <f t="shared" si="27"/>
        <v>0</v>
      </c>
      <c r="DV57" s="23">
        <f t="shared" ref="DV57:EB57" si="834">SUM(DV9:DV56)</f>
        <v>1255</v>
      </c>
      <c r="DW57" s="23">
        <f t="shared" si="834"/>
        <v>0</v>
      </c>
      <c r="DX57" s="23">
        <f t="shared" si="834"/>
        <v>0</v>
      </c>
      <c r="DY57" s="23">
        <f t="shared" si="834"/>
        <v>753</v>
      </c>
      <c r="DZ57" s="23">
        <f t="shared" si="834"/>
        <v>502</v>
      </c>
      <c r="EA57" s="23">
        <f t="shared" si="834"/>
        <v>0</v>
      </c>
      <c r="EB57" s="23">
        <f t="shared" si="834"/>
        <v>1255</v>
      </c>
      <c r="EG57" s="58">
        <f>COUNTIF(EG9:EG56,"&gt;&lt;0")</f>
        <v>0</v>
      </c>
      <c r="EH57" s="58">
        <f>COUNTIF(EH9:EH56,"&gt;&lt;0")</f>
        <v>3</v>
      </c>
      <c r="EI57" s="23">
        <f t="shared" ref="EI57:FF57" si="835">SUM(EI9:EI56)</f>
        <v>3</v>
      </c>
      <c r="EJ57" s="23">
        <f t="shared" si="835"/>
        <v>3</v>
      </c>
      <c r="EK57" s="23">
        <f t="shared" si="835"/>
        <v>0</v>
      </c>
      <c r="EL57" s="23">
        <f t="shared" si="835"/>
        <v>0</v>
      </c>
      <c r="EM57" s="23">
        <f t="shared" si="835"/>
        <v>0</v>
      </c>
      <c r="EN57" s="23">
        <f t="shared" si="835"/>
        <v>0</v>
      </c>
      <c r="EO57" s="23">
        <f t="shared" si="835"/>
        <v>0</v>
      </c>
      <c r="EP57" s="23">
        <f t="shared" si="835"/>
        <v>0</v>
      </c>
      <c r="EQ57" s="23">
        <f t="shared" si="835"/>
        <v>3</v>
      </c>
      <c r="ER57" s="23">
        <f t="shared" si="835"/>
        <v>3</v>
      </c>
      <c r="ES57" s="23">
        <f t="shared" si="835"/>
        <v>3</v>
      </c>
      <c r="ET57" s="23">
        <f t="shared" si="835"/>
        <v>0</v>
      </c>
      <c r="EU57" s="23">
        <f t="shared" si="835"/>
        <v>0</v>
      </c>
      <c r="EV57" s="23">
        <f t="shared" si="835"/>
        <v>3</v>
      </c>
      <c r="EW57" s="23">
        <f t="shared" si="835"/>
        <v>0</v>
      </c>
      <c r="EX57" s="23">
        <f t="shared" si="835"/>
        <v>0</v>
      </c>
      <c r="EY57" s="23">
        <f t="shared" si="835"/>
        <v>0</v>
      </c>
      <c r="EZ57" s="23">
        <f t="shared" si="835"/>
        <v>3</v>
      </c>
      <c r="FA57" s="23">
        <f t="shared" si="835"/>
        <v>2</v>
      </c>
      <c r="FB57" s="23">
        <f t="shared" si="835"/>
        <v>2</v>
      </c>
      <c r="FC57" s="23">
        <f t="shared" si="835"/>
        <v>1</v>
      </c>
      <c r="FD57" s="23">
        <f t="shared" si="835"/>
        <v>0</v>
      </c>
      <c r="FE57" s="23">
        <f t="shared" si="835"/>
        <v>2</v>
      </c>
      <c r="FF57" s="23">
        <f t="shared" si="835"/>
        <v>2</v>
      </c>
      <c r="FH57" s="23">
        <f t="shared" ref="FH57:FV57" si="836">SUM(FH9:FH56)</f>
        <v>0</v>
      </c>
      <c r="FI57" s="23">
        <f t="shared" si="836"/>
        <v>0</v>
      </c>
      <c r="FJ57" s="23">
        <f t="shared" si="836"/>
        <v>0</v>
      </c>
      <c r="FK57" s="23">
        <f t="shared" si="836"/>
        <v>0</v>
      </c>
      <c r="FL57" s="23">
        <f t="shared" si="836"/>
        <v>0</v>
      </c>
      <c r="FM57" s="23">
        <f t="shared" si="836"/>
        <v>0</v>
      </c>
      <c r="FN57" s="23">
        <f t="shared" si="836"/>
        <v>0</v>
      </c>
      <c r="FO57" s="23">
        <f t="shared" si="836"/>
        <v>0</v>
      </c>
      <c r="FP57" s="23">
        <f t="shared" si="836"/>
        <v>0</v>
      </c>
      <c r="FQ57" s="23">
        <f t="shared" si="836"/>
        <v>0</v>
      </c>
      <c r="FR57" s="23">
        <f t="shared" si="836"/>
        <v>0</v>
      </c>
      <c r="FS57" s="23">
        <f t="shared" si="836"/>
        <v>0</v>
      </c>
      <c r="FT57" s="23">
        <f t="shared" si="836"/>
        <v>0</v>
      </c>
      <c r="FU57" s="23">
        <f t="shared" si="836"/>
        <v>0</v>
      </c>
      <c r="FV57" s="23">
        <f t="shared" si="836"/>
        <v>0</v>
      </c>
      <c r="FX57" s="23">
        <f t="shared" ref="FX57:GE57" si="837">SUM(FX9:FX56)</f>
        <v>27</v>
      </c>
      <c r="FY57" s="23">
        <f t="shared" si="837"/>
        <v>2494</v>
      </c>
      <c r="FZ57" s="23">
        <f t="shared" si="837"/>
        <v>984</v>
      </c>
      <c r="GA57" s="23">
        <f t="shared" si="837"/>
        <v>1510</v>
      </c>
      <c r="GB57" s="23">
        <f t="shared" si="837"/>
        <v>0</v>
      </c>
      <c r="GC57" s="23">
        <f t="shared" si="837"/>
        <v>0</v>
      </c>
      <c r="GD57" s="23">
        <f t="shared" si="837"/>
        <v>0</v>
      </c>
      <c r="GE57" s="23">
        <f t="shared" si="837"/>
        <v>0</v>
      </c>
      <c r="GG57" s="23">
        <f>SUM(GG9:GG56)</f>
        <v>0</v>
      </c>
      <c r="GH57" s="23">
        <f>SUM(GH9:GH56)</f>
        <v>0</v>
      </c>
      <c r="GJ57" s="39">
        <f>SUM(GJ9:GJ56)</f>
        <v>0</v>
      </c>
      <c r="GK57" s="39">
        <f>SUM(GK9:GK56)</f>
        <v>0</v>
      </c>
      <c r="GO57" s="103">
        <f t="shared" ref="GO57:GT57" si="838">SUM(GO9:GO56)</f>
        <v>0</v>
      </c>
      <c r="GP57" s="103">
        <f t="shared" si="838"/>
        <v>0</v>
      </c>
      <c r="GQ57" s="103">
        <f t="shared" si="838"/>
        <v>0</v>
      </c>
      <c r="GR57" s="103">
        <f t="shared" si="838"/>
        <v>11</v>
      </c>
      <c r="GS57" s="103">
        <f t="shared" si="838"/>
        <v>11</v>
      </c>
      <c r="GT57" s="103">
        <f t="shared" si="838"/>
        <v>33</v>
      </c>
      <c r="GU57" s="103">
        <f>COUNTA(GU9:GU56)</f>
        <v>44</v>
      </c>
      <c r="GV57" s="103">
        <f>COUNTA(GV9:GV56)</f>
        <v>44</v>
      </c>
      <c r="GW57" s="103">
        <f>SUM(GW9:GW56)</f>
        <v>11</v>
      </c>
      <c r="GX57" s="103">
        <f>COUNTA(GX9:GX56)</f>
        <v>44</v>
      </c>
      <c r="GY57" s="103"/>
      <c r="GZ57" s="103">
        <f>COUNTA(GZ9:GZ56)</f>
        <v>44</v>
      </c>
      <c r="HA57" s="83"/>
      <c r="HB57" s="83"/>
      <c r="HC57" s="103">
        <f>SUM(HC9:HC56)</f>
        <v>0</v>
      </c>
      <c r="HD57" s="103">
        <f>SUM(HD9:HD56)</f>
        <v>3</v>
      </c>
      <c r="HE57" s="103">
        <f>SUM(HE9:HE56)</f>
        <v>3</v>
      </c>
      <c r="HF57" s="103">
        <f>SUM(HF9:HF56)</f>
        <v>0</v>
      </c>
      <c r="HG57" s="103">
        <f>SUM(HG9:HG56)</f>
        <v>3</v>
      </c>
      <c r="HH57" s="103">
        <f>COUNTA(HH9:HH56)</f>
        <v>44</v>
      </c>
      <c r="HI57" s="103">
        <f>COUNTA(HI9:HI56)</f>
        <v>44</v>
      </c>
      <c r="HJ57" s="83"/>
      <c r="HK57" s="103">
        <f>COUNTA(HK9:HK56)</f>
        <v>44</v>
      </c>
      <c r="HL57" s="83"/>
      <c r="HM57" s="83"/>
      <c r="HN57" s="83"/>
      <c r="HO57" s="83"/>
      <c r="HP57" s="104">
        <f>HP59</f>
        <v>43257</v>
      </c>
      <c r="HQ57" s="103">
        <f>SUM(HQ9:HQ56)</f>
        <v>0</v>
      </c>
      <c r="HR57" s="103">
        <f>SUM(HR9:HR56)</f>
        <v>0</v>
      </c>
      <c r="HS57" s="104">
        <f>HS59</f>
        <v>43288</v>
      </c>
      <c r="HT57" s="103">
        <f>SUM(HT9:HT56)</f>
        <v>3</v>
      </c>
      <c r="HU57" s="103">
        <f>SUM(HU9:HU56)</f>
        <v>1255</v>
      </c>
      <c r="HV57" s="104">
        <f>HV59</f>
        <v>43267</v>
      </c>
      <c r="HW57" s="103">
        <f>SUM(HW9:HW56)</f>
        <v>0</v>
      </c>
      <c r="HX57" s="103">
        <f>SUM(HX9:HX56)</f>
        <v>0</v>
      </c>
      <c r="HY57" s="104">
        <f>HY59</f>
        <v>43312</v>
      </c>
      <c r="HZ57" s="103">
        <f>SUM(HZ9:HZ56)</f>
        <v>0</v>
      </c>
      <c r="IA57" s="103">
        <f>SUM(IA9:IA56)</f>
        <v>0</v>
      </c>
      <c r="IB57" s="104">
        <f>IB59</f>
        <v>43277</v>
      </c>
      <c r="IC57" s="103">
        <f>SUM(IC9:IC56)</f>
        <v>0</v>
      </c>
      <c r="ID57" s="103">
        <f>SUM(ID9:ID56)</f>
        <v>0</v>
      </c>
      <c r="IE57" s="104">
        <f>IE59</f>
        <v>43322</v>
      </c>
      <c r="IF57" s="103">
        <f>SUM(IF9:IF56)</f>
        <v>0</v>
      </c>
      <c r="IG57" s="103">
        <f>SUM(IG9:IG56)</f>
        <v>0</v>
      </c>
      <c r="IH57" s="104">
        <f>IH59</f>
        <v>43297</v>
      </c>
      <c r="II57" s="103">
        <f>SUM(II9:II56)</f>
        <v>0</v>
      </c>
      <c r="IJ57" s="103">
        <f>SUM(IJ9:IJ56)</f>
        <v>0</v>
      </c>
      <c r="IK57" s="104">
        <f>IK59</f>
        <v>43342</v>
      </c>
      <c r="IL57" s="103">
        <f>SUM(IL9:IL56)</f>
        <v>0</v>
      </c>
      <c r="IM57" s="103">
        <f>SUM(IM9:IM56)</f>
        <v>0</v>
      </c>
      <c r="IN57" s="83"/>
      <c r="IO57" s="104">
        <f>IO59</f>
        <v>43288</v>
      </c>
      <c r="IP57" s="103">
        <f>SUM(IP9:IP56)</f>
        <v>0</v>
      </c>
      <c r="IQ57" s="103">
        <f>SUM(IQ9:IQ56)</f>
        <v>0</v>
      </c>
      <c r="IR57" s="83"/>
      <c r="IS57" s="104">
        <f>$D$3</f>
        <v>44201</v>
      </c>
      <c r="IT57" s="103">
        <f>SUM(IT9:IT56)</f>
        <v>33</v>
      </c>
      <c r="IU57" s="103">
        <f>SUM(IU9:IU56)</f>
        <v>5332</v>
      </c>
      <c r="IV57" s="83"/>
      <c r="IW57" s="104">
        <f>$D$3</f>
        <v>44201</v>
      </c>
      <c r="IX57" s="103">
        <f>SUM(IX9:IX56)</f>
        <v>3</v>
      </c>
      <c r="IY57" s="103">
        <f>SUM(IY9:IY56)</f>
        <v>1255</v>
      </c>
      <c r="IZ57" s="83"/>
      <c r="JA57" s="103"/>
      <c r="JB57" s="103">
        <f>SUM(JB9:JB56)</f>
        <v>8</v>
      </c>
      <c r="JC57" s="103">
        <f>SUM(JC9:JC56)</f>
        <v>2635</v>
      </c>
      <c r="JD57" s="83"/>
      <c r="JE57" s="103"/>
      <c r="JF57" s="103">
        <f>SUM(JF9:JF56)</f>
        <v>47</v>
      </c>
      <c r="JG57" s="103">
        <f>SUM(JG9:JG56)</f>
        <v>10477</v>
      </c>
      <c r="JH57" s="83"/>
      <c r="JI57" s="103"/>
      <c r="JJ57" s="103">
        <f>SUM(JJ9:JJ56)</f>
        <v>3</v>
      </c>
      <c r="JK57" s="103">
        <f>SUM(JK9:JK56)</f>
        <v>1255</v>
      </c>
      <c r="JM57" s="104">
        <f>MAX(JM9:JM56)</f>
        <v>43288</v>
      </c>
      <c r="JO57" s="29">
        <f>MAX(JO9:JO56)</f>
        <v>1</v>
      </c>
      <c r="JP57" s="125">
        <f t="shared" ref="JP57:KB57" si="839">SUM(JP9:JP56)</f>
        <v>2494</v>
      </c>
      <c r="JQ57" s="125">
        <f t="shared" si="839"/>
        <v>23</v>
      </c>
      <c r="JR57" s="125">
        <f t="shared" si="839"/>
        <v>4</v>
      </c>
      <c r="JS57" s="125">
        <f t="shared" si="839"/>
        <v>0</v>
      </c>
      <c r="JT57" s="125">
        <f t="shared" si="839"/>
        <v>0</v>
      </c>
      <c r="JU57" s="125">
        <f t="shared" si="839"/>
        <v>0</v>
      </c>
      <c r="JV57" s="125">
        <f t="shared" si="839"/>
        <v>0</v>
      </c>
      <c r="JW57" s="125">
        <f t="shared" si="839"/>
        <v>0</v>
      </c>
      <c r="JX57" s="125">
        <f t="shared" si="839"/>
        <v>0</v>
      </c>
      <c r="JY57" s="125">
        <f t="shared" si="839"/>
        <v>0</v>
      </c>
      <c r="JZ57" s="125">
        <f t="shared" si="839"/>
        <v>0</v>
      </c>
      <c r="KA57" s="125">
        <f t="shared" si="839"/>
        <v>0</v>
      </c>
      <c r="KB57" s="125">
        <f t="shared" si="839"/>
        <v>0</v>
      </c>
      <c r="KD57" s="125">
        <f t="shared" ref="KD57:KR57" si="840">SUM(KD9:KD56)</f>
        <v>4</v>
      </c>
      <c r="KE57" s="125">
        <f t="shared" si="840"/>
        <v>1510</v>
      </c>
      <c r="KF57" s="125">
        <f t="shared" si="840"/>
        <v>2494</v>
      </c>
      <c r="KG57" s="125">
        <f t="shared" si="840"/>
        <v>984</v>
      </c>
      <c r="KH57" s="125">
        <f t="shared" si="840"/>
        <v>1510</v>
      </c>
      <c r="KI57" s="125">
        <f t="shared" si="840"/>
        <v>0</v>
      </c>
      <c r="KJ57" s="125">
        <f t="shared" si="840"/>
        <v>0</v>
      </c>
      <c r="KK57" s="125">
        <f t="shared" si="840"/>
        <v>0</v>
      </c>
      <c r="KL57" s="125">
        <f t="shared" si="840"/>
        <v>0</v>
      </c>
      <c r="KM57" s="125">
        <f t="shared" si="840"/>
        <v>0</v>
      </c>
      <c r="KN57" s="125">
        <f t="shared" si="840"/>
        <v>0</v>
      </c>
      <c r="KO57" s="125">
        <f t="shared" si="840"/>
        <v>0</v>
      </c>
      <c r="KP57" s="125">
        <f t="shared" si="840"/>
        <v>0</v>
      </c>
      <c r="KQ57" s="125">
        <f t="shared" si="840"/>
        <v>0</v>
      </c>
      <c r="KR57" s="125">
        <f t="shared" si="840"/>
        <v>0</v>
      </c>
      <c r="KT57" s="125">
        <f t="shared" ref="KT57:LY57" si="841">SUM(KT9:KT56)</f>
        <v>8</v>
      </c>
      <c r="KU57" s="125">
        <f t="shared" si="841"/>
        <v>0</v>
      </c>
      <c r="KV57" s="125">
        <f t="shared" si="841"/>
        <v>0</v>
      </c>
      <c r="KW57" s="125">
        <f t="shared" si="841"/>
        <v>0</v>
      </c>
      <c r="KX57" s="125">
        <f t="shared" si="841"/>
        <v>0</v>
      </c>
      <c r="KY57" s="125">
        <f t="shared" si="841"/>
        <v>0</v>
      </c>
      <c r="KZ57" s="125">
        <f t="shared" si="841"/>
        <v>0</v>
      </c>
      <c r="LA57" s="125">
        <f t="shared" si="841"/>
        <v>0</v>
      </c>
      <c r="LB57" s="125">
        <f t="shared" si="841"/>
        <v>0</v>
      </c>
      <c r="LC57" s="125">
        <f t="shared" si="841"/>
        <v>0</v>
      </c>
      <c r="LD57" s="125">
        <f t="shared" si="841"/>
        <v>0</v>
      </c>
      <c r="LE57" s="125">
        <f t="shared" si="841"/>
        <v>0</v>
      </c>
      <c r="LF57" s="125">
        <f t="shared" si="841"/>
        <v>0</v>
      </c>
      <c r="LG57" s="125">
        <f t="shared" si="841"/>
        <v>0</v>
      </c>
      <c r="LH57" s="125">
        <f t="shared" si="841"/>
        <v>0</v>
      </c>
      <c r="LI57" s="125">
        <f t="shared" si="841"/>
        <v>0</v>
      </c>
      <c r="LJ57" s="125">
        <f t="shared" si="841"/>
        <v>0</v>
      </c>
      <c r="LK57" s="125">
        <f t="shared" si="841"/>
        <v>0</v>
      </c>
      <c r="LL57" s="125">
        <f t="shared" si="841"/>
        <v>0</v>
      </c>
      <c r="LM57" s="125">
        <f t="shared" si="841"/>
        <v>2</v>
      </c>
      <c r="LN57" s="125">
        <f t="shared" si="841"/>
        <v>2</v>
      </c>
      <c r="LO57" s="125">
        <f t="shared" si="841"/>
        <v>0</v>
      </c>
      <c r="LP57" s="125">
        <f t="shared" si="841"/>
        <v>0</v>
      </c>
      <c r="LQ57" s="125">
        <f t="shared" si="841"/>
        <v>0</v>
      </c>
      <c r="LR57" s="125">
        <f t="shared" si="841"/>
        <v>0</v>
      </c>
      <c r="LS57" s="125">
        <f t="shared" si="841"/>
        <v>0</v>
      </c>
      <c r="LT57" s="125">
        <f t="shared" si="841"/>
        <v>0</v>
      </c>
      <c r="LU57" s="125">
        <f t="shared" si="841"/>
        <v>0</v>
      </c>
      <c r="LV57" s="125">
        <f t="shared" si="841"/>
        <v>0</v>
      </c>
      <c r="LW57" s="125">
        <f t="shared" si="841"/>
        <v>0</v>
      </c>
      <c r="LX57" s="125">
        <f t="shared" si="841"/>
        <v>0</v>
      </c>
      <c r="LY57" s="125">
        <f t="shared" si="841"/>
        <v>0</v>
      </c>
      <c r="LZ57" s="125">
        <f t="shared" ref="LZ57:MX57" si="842">SUM(LZ9:LZ56)</f>
        <v>0</v>
      </c>
      <c r="MA57" s="125">
        <f t="shared" si="842"/>
        <v>0</v>
      </c>
      <c r="MB57" s="125">
        <f t="shared" si="842"/>
        <v>0</v>
      </c>
      <c r="MC57" s="125">
        <f t="shared" si="842"/>
        <v>0</v>
      </c>
      <c r="MD57" s="125">
        <f t="shared" si="842"/>
        <v>0</v>
      </c>
      <c r="ME57" s="125">
        <f t="shared" si="842"/>
        <v>0</v>
      </c>
      <c r="MF57" s="125">
        <f t="shared" si="842"/>
        <v>0</v>
      </c>
      <c r="MG57" s="125">
        <f t="shared" si="842"/>
        <v>0</v>
      </c>
      <c r="MH57" s="125">
        <f t="shared" si="842"/>
        <v>0</v>
      </c>
      <c r="MI57" s="125">
        <f t="shared" si="842"/>
        <v>0</v>
      </c>
      <c r="MJ57" s="125">
        <f t="shared" si="842"/>
        <v>0</v>
      </c>
      <c r="MK57" s="125">
        <f t="shared" si="842"/>
        <v>0</v>
      </c>
      <c r="ML57" s="125">
        <f t="shared" si="842"/>
        <v>0</v>
      </c>
      <c r="MM57" s="125">
        <f t="shared" si="842"/>
        <v>0</v>
      </c>
      <c r="MN57" s="125">
        <f t="shared" si="842"/>
        <v>0</v>
      </c>
      <c r="MO57" s="125">
        <f t="shared" si="842"/>
        <v>0</v>
      </c>
      <c r="MP57" s="125">
        <f t="shared" si="842"/>
        <v>0</v>
      </c>
      <c r="MQ57" s="125">
        <f t="shared" si="842"/>
        <v>0</v>
      </c>
      <c r="MR57" s="125">
        <f t="shared" si="842"/>
        <v>0</v>
      </c>
      <c r="MS57" s="125">
        <f t="shared" si="842"/>
        <v>0</v>
      </c>
      <c r="MT57" s="125">
        <f t="shared" si="842"/>
        <v>0</v>
      </c>
      <c r="MU57" s="125">
        <f t="shared" si="842"/>
        <v>0</v>
      </c>
      <c r="MV57" s="125">
        <f t="shared" si="842"/>
        <v>0</v>
      </c>
      <c r="MW57" s="125">
        <f t="shared" si="842"/>
        <v>0</v>
      </c>
      <c r="MX57" s="125">
        <f t="shared" si="842"/>
        <v>1</v>
      </c>
      <c r="MY57" s="125"/>
      <c r="MZ57" s="125"/>
      <c r="NA57" s="125"/>
      <c r="NB57" s="125">
        <f t="shared" ref="NB57:NK57" si="843">SUM(NB9:NB56)</f>
        <v>0</v>
      </c>
      <c r="NC57" s="125">
        <f t="shared" si="843"/>
        <v>0</v>
      </c>
      <c r="ND57" s="125">
        <f t="shared" si="843"/>
        <v>0</v>
      </c>
      <c r="NE57" s="125">
        <f t="shared" si="843"/>
        <v>0</v>
      </c>
      <c r="NF57" s="125">
        <f t="shared" si="843"/>
        <v>0</v>
      </c>
      <c r="NG57" s="125">
        <f t="shared" si="843"/>
        <v>0</v>
      </c>
      <c r="NH57" s="125">
        <f t="shared" si="843"/>
        <v>0</v>
      </c>
      <c r="NI57" s="125">
        <f t="shared" si="843"/>
        <v>0</v>
      </c>
      <c r="NJ57" s="125">
        <f t="shared" si="843"/>
        <v>0</v>
      </c>
      <c r="NK57" s="125">
        <f t="shared" si="843"/>
        <v>0</v>
      </c>
      <c r="NM57" s="125">
        <f t="shared" ref="NM57:NU57" si="844">SUM(NM9:NM56)</f>
        <v>0</v>
      </c>
      <c r="NN57" s="125">
        <f t="shared" si="844"/>
        <v>2</v>
      </c>
      <c r="NO57" s="125">
        <f t="shared" si="844"/>
        <v>0</v>
      </c>
      <c r="NP57" s="125">
        <f t="shared" si="844"/>
        <v>0</v>
      </c>
      <c r="NQ57" s="125">
        <f t="shared" si="844"/>
        <v>0</v>
      </c>
      <c r="NR57" s="125">
        <f t="shared" si="844"/>
        <v>0</v>
      </c>
      <c r="NS57" s="125">
        <f t="shared" si="844"/>
        <v>6</v>
      </c>
      <c r="NT57" s="125">
        <f t="shared" si="844"/>
        <v>8</v>
      </c>
      <c r="NU57" s="125">
        <f t="shared" si="844"/>
        <v>0</v>
      </c>
      <c r="NZ57" s="153">
        <f>MAX(NZ9:NZ56)</f>
        <v>11000000</v>
      </c>
      <c r="OA57" s="153">
        <f>MIN(NZ9:NZ56)</f>
        <v>7488000</v>
      </c>
      <c r="OB57" s="153">
        <f>AVERAGE(NZ9:NZ56)</f>
        <v>9559666.666666666</v>
      </c>
      <c r="OE57" s="125">
        <f t="shared" ref="OE57:OM57" si="845">SUM(OE9:OE56)</f>
        <v>0</v>
      </c>
      <c r="OF57" s="125">
        <f t="shared" si="845"/>
        <v>0</v>
      </c>
      <c r="OG57" s="125">
        <f t="shared" si="845"/>
        <v>1</v>
      </c>
      <c r="OH57" s="125">
        <f t="shared" si="845"/>
        <v>3</v>
      </c>
      <c r="OI57" s="125">
        <f t="shared" si="845"/>
        <v>4</v>
      </c>
      <c r="OJ57" s="125">
        <f t="shared" si="845"/>
        <v>0</v>
      </c>
      <c r="OK57" s="125">
        <f t="shared" si="845"/>
        <v>0</v>
      </c>
      <c r="OL57" s="125">
        <f t="shared" si="845"/>
        <v>0</v>
      </c>
      <c r="OM57" s="125">
        <f t="shared" si="845"/>
        <v>0</v>
      </c>
      <c r="OO57" s="125">
        <f t="shared" ref="OO57:OW57" si="846">SUM(OO9:OO56)</f>
        <v>0</v>
      </c>
      <c r="OP57" s="125">
        <f t="shared" si="846"/>
        <v>0</v>
      </c>
      <c r="OQ57" s="125">
        <f t="shared" si="846"/>
        <v>1</v>
      </c>
      <c r="OR57" s="125">
        <f t="shared" si="846"/>
        <v>3</v>
      </c>
      <c r="OS57" s="125">
        <f t="shared" si="846"/>
        <v>4</v>
      </c>
      <c r="OT57" s="125">
        <f t="shared" si="846"/>
        <v>0</v>
      </c>
      <c r="OU57" s="125">
        <f t="shared" si="846"/>
        <v>0</v>
      </c>
      <c r="OV57" s="125">
        <f t="shared" si="846"/>
        <v>0</v>
      </c>
      <c r="OW57" s="125">
        <f t="shared" si="846"/>
        <v>0</v>
      </c>
      <c r="OZ57" s="163">
        <f t="shared" si="115"/>
        <v>8</v>
      </c>
      <c r="PA57" s="125">
        <f t="shared" ref="PA57:PL57" si="847">SUM(PA9:PA56)</f>
        <v>7</v>
      </c>
      <c r="PB57" s="125">
        <f t="shared" si="847"/>
        <v>1</v>
      </c>
      <c r="PC57" s="125">
        <f t="shared" si="847"/>
        <v>0</v>
      </c>
      <c r="PD57" s="125">
        <f t="shared" si="847"/>
        <v>1</v>
      </c>
      <c r="PE57" s="125">
        <f t="shared" si="847"/>
        <v>1</v>
      </c>
      <c r="PF57" s="125">
        <f t="shared" si="847"/>
        <v>0</v>
      </c>
      <c r="PG57" s="125">
        <f t="shared" si="847"/>
        <v>2310</v>
      </c>
      <c r="PH57" s="125">
        <f t="shared" si="847"/>
        <v>325</v>
      </c>
      <c r="PI57" s="125">
        <f t="shared" si="847"/>
        <v>0</v>
      </c>
      <c r="PJ57" s="125">
        <f t="shared" si="847"/>
        <v>325</v>
      </c>
      <c r="PK57" s="125">
        <f t="shared" si="847"/>
        <v>325</v>
      </c>
      <c r="PL57" s="125">
        <f t="shared" si="847"/>
        <v>0</v>
      </c>
      <c r="PO57" s="125">
        <f>SUM(PO9:PO56)</f>
        <v>502</v>
      </c>
      <c r="PP57" s="125">
        <f>SUM(PP9:PP56)</f>
        <v>753</v>
      </c>
      <c r="PQ57" s="125">
        <f>SUM(PQ9:PQ56)</f>
        <v>0</v>
      </c>
      <c r="XFC57" s="125">
        <f>SUM(XFC9:XFC56)</f>
        <v>11245126300</v>
      </c>
      <c r="XFD57" s="125">
        <f>SUM(XFD9:XFD56)</f>
        <v>0</v>
      </c>
    </row>
    <row r="58" spans="1:437 16383:16384" ht="16" x14ac:dyDescent="0.2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6"/>
      <c r="AG58" s="27"/>
      <c r="GO58" s="83"/>
      <c r="GP58" s="83"/>
      <c r="GQ58" s="83"/>
      <c r="GR58" s="83"/>
      <c r="GS58" s="83"/>
      <c r="GT58" s="83"/>
      <c r="GU58" s="83"/>
      <c r="GV58" s="83"/>
      <c r="GW58" s="83"/>
      <c r="GX58" s="83"/>
      <c r="GY58" s="83"/>
      <c r="GZ58" s="83"/>
      <c r="HA58" s="83"/>
      <c r="HB58" s="83"/>
      <c r="HC58" s="83"/>
      <c r="HD58" s="83"/>
      <c r="HE58" s="83"/>
      <c r="HF58" s="83"/>
      <c r="HG58" s="83"/>
      <c r="HH58" s="83"/>
      <c r="HI58" s="83"/>
      <c r="HJ58" s="83"/>
      <c r="HK58" s="83"/>
      <c r="HL58" s="83"/>
      <c r="HM58" s="83"/>
      <c r="HN58" s="83"/>
      <c r="HO58" s="83"/>
      <c r="HP58" s="83"/>
      <c r="HQ58" s="83"/>
      <c r="HR58" s="83"/>
      <c r="HS58" s="83"/>
      <c r="HT58" s="83"/>
      <c r="HU58" s="83"/>
      <c r="HV58" s="83"/>
      <c r="HW58" s="83"/>
      <c r="HX58" s="83"/>
      <c r="HY58" s="105"/>
      <c r="HZ58" s="83"/>
      <c r="IA58" s="83"/>
      <c r="IB58" s="83"/>
      <c r="IC58" s="83"/>
      <c r="ID58" s="83"/>
      <c r="IE58" s="83"/>
      <c r="IF58" s="83"/>
      <c r="IG58" s="83"/>
      <c r="IH58" s="83"/>
      <c r="II58" s="83"/>
      <c r="IJ58" s="83"/>
      <c r="IK58" s="83"/>
      <c r="IL58" s="83"/>
      <c r="IM58" s="83"/>
      <c r="IN58" s="83"/>
      <c r="IO58" s="83"/>
      <c r="IP58" s="83"/>
      <c r="IQ58" s="83"/>
      <c r="IR58" s="83"/>
      <c r="IS58" s="83"/>
      <c r="IT58" s="83"/>
      <c r="IU58" s="83"/>
      <c r="IV58" s="83"/>
      <c r="IW58" s="83"/>
      <c r="IX58" s="83"/>
      <c r="IY58" s="83"/>
      <c r="IZ58" s="83"/>
      <c r="JA58" s="83"/>
      <c r="JB58" s="83"/>
      <c r="JC58" s="83"/>
      <c r="JD58" s="83"/>
      <c r="JE58" s="83"/>
      <c r="JF58" s="83"/>
      <c r="JG58" s="83"/>
      <c r="JH58" s="83"/>
      <c r="JI58" s="83"/>
      <c r="JJ58" s="83"/>
      <c r="JK58" s="83"/>
      <c r="JP58" s="124">
        <f>SUM(JQ57:KB57)</f>
        <v>27</v>
      </c>
      <c r="KF58" s="124">
        <f>SUM(KG57:KR57)</f>
        <v>2494</v>
      </c>
      <c r="NZ58" t="s">
        <v>593</v>
      </c>
      <c r="OA58" t="s">
        <v>594</v>
      </c>
      <c r="OB58" t="s">
        <v>595</v>
      </c>
    </row>
    <row r="59" spans="1:437 16383:16384" ht="16" x14ac:dyDescent="0.2">
      <c r="D59" s="29"/>
      <c r="E59" s="29"/>
      <c r="F59" s="29"/>
      <c r="G59" s="29"/>
      <c r="H59" s="29"/>
      <c r="I59" s="29"/>
      <c r="J59" s="29"/>
      <c r="K59" s="29"/>
      <c r="L59" s="29"/>
      <c r="M59" s="29"/>
      <c r="R59" s="29"/>
      <c r="S59" s="29"/>
      <c r="T59" s="29"/>
      <c r="U59" s="29"/>
      <c r="V59" s="29"/>
      <c r="W59" s="29"/>
      <c r="X59" s="29"/>
      <c r="Y59" t="s">
        <v>18</v>
      </c>
      <c r="Z59" t="s">
        <v>294</v>
      </c>
      <c r="AG59" s="29">
        <f>COUNTIF(AG9:AG56,"A")</f>
        <v>0</v>
      </c>
      <c r="AI59" s="29"/>
      <c r="AJ59" s="29"/>
      <c r="AK59" s="29"/>
      <c r="BW59" t="s">
        <v>344</v>
      </c>
      <c r="CC59" s="29">
        <f>COUNTIF(CC9:CC56,"A")</f>
        <v>0</v>
      </c>
      <c r="GO59" s="106">
        <f>GO57</f>
        <v>0</v>
      </c>
      <c r="GP59" s="106">
        <f>GP57-GO57</f>
        <v>0</v>
      </c>
      <c r="GQ59" s="106">
        <f>GQ57-GP57</f>
        <v>0</v>
      </c>
      <c r="GR59" s="106">
        <f>GR57-GQ57</f>
        <v>11</v>
      </c>
      <c r="GS59" s="106">
        <f>GS57-GR57</f>
        <v>0</v>
      </c>
      <c r="GT59" s="106">
        <f>GT57</f>
        <v>33</v>
      </c>
      <c r="GU59" s="83"/>
      <c r="GV59" s="83"/>
      <c r="GW59" s="83"/>
      <c r="GX59" s="83"/>
      <c r="GY59" s="107" t="s">
        <v>464</v>
      </c>
      <c r="GZ59" s="105">
        <f>MAX(GZ9:GZ56)</f>
        <v>43267</v>
      </c>
      <c r="HA59" s="83"/>
      <c r="HB59" s="83"/>
      <c r="HC59" s="83"/>
      <c r="HD59" s="83"/>
      <c r="HE59" s="83"/>
      <c r="HF59" s="83"/>
      <c r="HG59" s="83"/>
      <c r="HH59" s="105">
        <f>MAX(HH9:HH56)</f>
        <v>43288</v>
      </c>
      <c r="HI59" s="83"/>
      <c r="HJ59" s="83"/>
      <c r="HK59" s="83"/>
      <c r="HL59" s="83"/>
      <c r="HM59" s="83"/>
      <c r="HN59" s="83"/>
      <c r="HO59" s="83"/>
      <c r="HP59" s="102">
        <f>+$GU$3+$GY$8</f>
        <v>43257</v>
      </c>
      <c r="HQ59" s="106">
        <f>HQ57</f>
        <v>0</v>
      </c>
      <c r="HR59" s="106">
        <f>HR57</f>
        <v>0</v>
      </c>
      <c r="HS59" s="102">
        <f>+$GU$3+$HH$8</f>
        <v>43288</v>
      </c>
      <c r="HT59" s="106">
        <f>HT57</f>
        <v>3</v>
      </c>
      <c r="HU59" s="106">
        <f>HU57</f>
        <v>1255</v>
      </c>
      <c r="HV59" s="102">
        <f>+$GU$3+SUM($GY$7:$GY$8)</f>
        <v>43267</v>
      </c>
      <c r="HW59" s="106">
        <f>HW57</f>
        <v>0</v>
      </c>
      <c r="HX59" s="106">
        <f>HX57</f>
        <v>0</v>
      </c>
      <c r="HY59" s="102">
        <f>+$GU$3+SUM($GY$7:$GY$8)+$HI$8</f>
        <v>43312</v>
      </c>
      <c r="HZ59" s="106">
        <f>HZ57</f>
        <v>0</v>
      </c>
      <c r="IA59" s="106">
        <f>IA57</f>
        <v>0</v>
      </c>
      <c r="IB59" s="102">
        <f>+$GU$3+SUM($GY$6:$GY$8)</f>
        <v>43277</v>
      </c>
      <c r="IC59" s="106">
        <f>IC57</f>
        <v>0</v>
      </c>
      <c r="ID59" s="106">
        <f>ID57</f>
        <v>0</v>
      </c>
      <c r="IE59" s="102">
        <f>+$GU$3+SUM($GY$6:$GY$8)+$HI$8</f>
        <v>43322</v>
      </c>
      <c r="IF59" s="106">
        <f>IF57</f>
        <v>0</v>
      </c>
      <c r="IG59" s="106">
        <f>IG57</f>
        <v>0</v>
      </c>
      <c r="IH59" s="102">
        <f>+$GU$3+SUM($GY$5:$GY$8)</f>
        <v>43297</v>
      </c>
      <c r="II59" s="106">
        <f>II57</f>
        <v>0</v>
      </c>
      <c r="IJ59" s="106">
        <f>IJ57</f>
        <v>0</v>
      </c>
      <c r="IK59" s="102">
        <f>+$GU$3+SUM($GY$5:$GY$8)+$HI$8</f>
        <v>43342</v>
      </c>
      <c r="IL59" s="106">
        <f>IL57</f>
        <v>0</v>
      </c>
      <c r="IM59" s="106">
        <f>IM57</f>
        <v>0</v>
      </c>
      <c r="IN59" s="83"/>
      <c r="IO59" s="102">
        <f>+$GU$3+$HH$8</f>
        <v>43288</v>
      </c>
      <c r="IP59" s="106">
        <f>IP57</f>
        <v>0</v>
      </c>
      <c r="IQ59" s="106">
        <f>IQ57</f>
        <v>0</v>
      </c>
      <c r="IR59" s="83"/>
      <c r="IS59" s="102"/>
      <c r="IT59" s="106">
        <f>IT57</f>
        <v>33</v>
      </c>
      <c r="IU59" s="106">
        <f>IU57</f>
        <v>5332</v>
      </c>
      <c r="IV59" s="83"/>
      <c r="IW59" s="102"/>
      <c r="IX59" s="106">
        <f>IX57</f>
        <v>3</v>
      </c>
      <c r="IY59" s="106">
        <f>IY57</f>
        <v>1255</v>
      </c>
      <c r="IZ59" s="83"/>
      <c r="JA59" s="102"/>
      <c r="JB59" s="106">
        <f>JB57</f>
        <v>8</v>
      </c>
      <c r="JC59" s="106">
        <f>JC57</f>
        <v>2635</v>
      </c>
      <c r="JD59" s="83"/>
      <c r="JE59" s="102"/>
      <c r="JF59" s="106">
        <f>JF57</f>
        <v>47</v>
      </c>
      <c r="JG59" s="106">
        <f>JG57</f>
        <v>10477</v>
      </c>
      <c r="JH59" s="83"/>
      <c r="JI59" s="102"/>
      <c r="JJ59" s="66">
        <f>JJ57</f>
        <v>3</v>
      </c>
      <c r="JK59" s="66">
        <f>JK57</f>
        <v>1255</v>
      </c>
    </row>
    <row r="60" spans="1:437 16383:16384" x14ac:dyDescent="0.2">
      <c r="Y60" t="s">
        <v>18</v>
      </c>
      <c r="Z60" t="s">
        <v>295</v>
      </c>
      <c r="AG60" s="29">
        <f>COUNTIF(AG9:AG56,"b")</f>
        <v>0</v>
      </c>
      <c r="BW60" t="s">
        <v>345</v>
      </c>
      <c r="CC60" s="29">
        <f>COUNTIF(CC9:CC56,"b")</f>
        <v>0</v>
      </c>
      <c r="GO60" s="83"/>
      <c r="GP60" s="83"/>
      <c r="GQ60" s="83"/>
      <c r="GR60" s="83"/>
      <c r="GS60" s="83"/>
      <c r="GT60" s="106">
        <f>SUM(GO59:GT59)</f>
        <v>44</v>
      </c>
      <c r="GU60" s="83"/>
      <c r="GV60" s="83"/>
      <c r="GW60" s="83"/>
      <c r="GX60" s="83"/>
      <c r="GY60" s="107" t="s">
        <v>465</v>
      </c>
      <c r="GZ60" s="105">
        <f>MIN(GZ9:GZ56)</f>
        <v>43267</v>
      </c>
      <c r="HA60" s="83"/>
      <c r="HB60" s="83"/>
      <c r="HC60" s="83"/>
      <c r="HD60" s="83"/>
      <c r="HE60" s="83"/>
      <c r="HF60" s="83"/>
      <c r="HG60" s="83"/>
      <c r="HH60" s="105">
        <f>MIN(HH9:HH56)</f>
        <v>43288</v>
      </c>
      <c r="HI60" s="83"/>
      <c r="HJ60" s="83"/>
      <c r="HK60" s="83"/>
      <c r="HL60" s="83"/>
      <c r="HM60" s="83"/>
      <c r="HN60" s="83"/>
      <c r="HO60" s="83"/>
      <c r="HP60" s="83"/>
      <c r="HQ60" s="83"/>
      <c r="HR60" s="83"/>
      <c r="HS60" s="83"/>
      <c r="HT60" s="83"/>
      <c r="HU60" s="83"/>
      <c r="HV60" s="83"/>
      <c r="HW60" s="83"/>
      <c r="HX60" s="83"/>
      <c r="HY60" s="83"/>
      <c r="HZ60" s="83"/>
      <c r="IA60" s="83"/>
      <c r="IB60" s="83"/>
      <c r="IC60" s="83"/>
      <c r="ID60" s="83"/>
      <c r="IE60" s="83"/>
      <c r="IF60" s="83"/>
      <c r="IG60" s="83"/>
      <c r="IH60" s="83"/>
      <c r="II60" s="83"/>
      <c r="IJ60" s="83"/>
      <c r="IK60" s="83"/>
      <c r="IL60" s="83"/>
      <c r="IM60" s="83"/>
      <c r="IN60" s="83"/>
      <c r="IO60" s="83"/>
      <c r="IP60" s="83"/>
      <c r="IQ60" s="83"/>
      <c r="IR60" s="83"/>
      <c r="IS60" s="83"/>
      <c r="IT60" s="83"/>
      <c r="IU60" s="83"/>
      <c r="IV60" s="83"/>
      <c r="IW60" s="83"/>
      <c r="IX60" s="83"/>
      <c r="IY60" s="83"/>
      <c r="IZ60" s="83"/>
      <c r="JA60" s="83"/>
      <c r="JB60" s="83"/>
      <c r="JC60" s="83"/>
      <c r="JD60" s="83"/>
      <c r="JE60" s="83"/>
      <c r="JF60" s="83"/>
      <c r="JG60" s="83"/>
      <c r="JH60" s="83"/>
      <c r="JI60" s="83"/>
      <c r="JJ60" s="83"/>
      <c r="JK60" s="83"/>
    </row>
    <row r="61" spans="1:437 16383:16384" x14ac:dyDescent="0.2">
      <c r="Y61" t="s">
        <v>18</v>
      </c>
      <c r="Z61" t="s">
        <v>296</v>
      </c>
      <c r="AG61" s="29">
        <f>COUNTIF(AG9:AG56,"c")</f>
        <v>0</v>
      </c>
      <c r="BW61" t="s">
        <v>346</v>
      </c>
      <c r="CC61" s="29">
        <f>COUNTIF(CC9:CC56,"c")</f>
        <v>2</v>
      </c>
      <c r="GO61" s="83"/>
      <c r="GP61" s="83"/>
      <c r="GQ61" s="83"/>
      <c r="GR61" s="83"/>
      <c r="GS61" s="83"/>
      <c r="GT61" s="83"/>
      <c r="GU61" s="83"/>
      <c r="GV61" s="83"/>
      <c r="GW61" s="83"/>
      <c r="GX61" s="83"/>
      <c r="GY61" s="83"/>
      <c r="GZ61" s="83"/>
      <c r="HA61" s="83"/>
      <c r="HB61" s="83"/>
      <c r="HC61" s="83"/>
      <c r="HD61" s="83"/>
      <c r="HE61" s="83"/>
      <c r="HF61" s="83"/>
      <c r="HG61" s="83"/>
      <c r="HH61" s="83"/>
      <c r="HI61" s="83"/>
      <c r="HJ61" s="83"/>
      <c r="HK61" s="83"/>
      <c r="HL61" s="83"/>
      <c r="HM61" s="83"/>
      <c r="HN61" s="83"/>
      <c r="HO61" s="83"/>
      <c r="HP61" s="83"/>
      <c r="HQ61" s="83"/>
      <c r="HR61" s="83"/>
      <c r="HS61" s="83"/>
      <c r="HT61" s="83"/>
      <c r="HU61" s="83"/>
      <c r="HV61" s="83"/>
      <c r="HW61" s="83"/>
      <c r="HX61" s="83"/>
      <c r="HY61" s="83"/>
      <c r="HZ61" s="83"/>
      <c r="IA61" s="83"/>
      <c r="IB61" s="83"/>
      <c r="IC61" s="83"/>
      <c r="ID61" s="83"/>
      <c r="IE61" s="83"/>
      <c r="IF61" s="83"/>
      <c r="IG61" s="83"/>
      <c r="IH61" s="83"/>
      <c r="II61" s="83"/>
      <c r="IJ61" s="83"/>
      <c r="IK61" s="83"/>
      <c r="IL61" s="83"/>
      <c r="IM61" s="83"/>
      <c r="IN61" s="83"/>
      <c r="IO61" s="83"/>
      <c r="IP61" s="83"/>
      <c r="IQ61" s="83"/>
      <c r="IR61" s="83"/>
      <c r="IS61" s="83"/>
      <c r="IT61" s="83"/>
      <c r="IU61" s="83"/>
      <c r="IV61" s="83"/>
      <c r="IW61" s="83"/>
      <c r="IX61" s="83"/>
      <c r="IY61" s="83"/>
      <c r="IZ61" s="83"/>
      <c r="JA61" s="83"/>
      <c r="JB61" s="83"/>
      <c r="JC61" s="83"/>
      <c r="JD61" s="83"/>
      <c r="JE61" s="83"/>
      <c r="JF61" s="83"/>
      <c r="JG61" s="83"/>
      <c r="JH61" s="83"/>
      <c r="JI61" s="83"/>
      <c r="JJ61" s="83"/>
      <c r="JK61" s="83"/>
    </row>
    <row r="62" spans="1:437 16383:16384" x14ac:dyDescent="0.2">
      <c r="Y62" t="s">
        <v>18</v>
      </c>
      <c r="Z62" t="s">
        <v>297</v>
      </c>
      <c r="AG62" s="29">
        <f>COUNTIF(AG9:AG56,"D")</f>
        <v>0</v>
      </c>
      <c r="BW62" t="s">
        <v>347</v>
      </c>
      <c r="CC62" s="29">
        <f>COUNTIF(CC9:CC56,"D")</f>
        <v>1</v>
      </c>
      <c r="GO62" s="83"/>
      <c r="GP62" s="83"/>
      <c r="GQ62" s="83"/>
      <c r="GR62" s="83"/>
      <c r="GS62" s="83"/>
      <c r="GT62" s="83"/>
      <c r="GU62" s="83"/>
      <c r="GV62" s="83"/>
      <c r="GW62" s="83"/>
      <c r="GX62" s="107" t="s">
        <v>434</v>
      </c>
      <c r="GY62" s="105">
        <f>$GU$3+SUM($GY$4:$GY$8)</f>
        <v>43317</v>
      </c>
      <c r="GZ62" s="83">
        <f t="shared" ref="GZ62:GZ67" si="848">COUNTIF($GZ$9:$GZ$56,GY62)</f>
        <v>0</v>
      </c>
      <c r="HA62" s="83"/>
      <c r="HB62" s="83"/>
      <c r="HC62" s="83"/>
      <c r="HD62" s="83"/>
      <c r="HE62" s="83"/>
      <c r="HF62" s="107"/>
      <c r="HG62" s="105"/>
      <c r="HH62" s="83"/>
      <c r="HI62" s="83">
        <f t="shared" ref="HI62:HI67" si="849">COUNTIF($HI$9:$HI$56,HK62)</f>
        <v>0</v>
      </c>
      <c r="HJ62" s="83"/>
      <c r="HK62" s="105">
        <f>GY62+$HI$8</f>
        <v>43362</v>
      </c>
      <c r="HL62" s="83"/>
      <c r="HM62" s="83"/>
      <c r="HN62" s="83"/>
      <c r="HO62" s="83"/>
      <c r="HP62" s="83"/>
      <c r="HQ62" s="83"/>
      <c r="HR62" s="83"/>
      <c r="HS62" s="83"/>
      <c r="HT62" s="83"/>
      <c r="HU62" s="83"/>
      <c r="HV62" s="83"/>
      <c r="HW62" s="83"/>
      <c r="HX62" s="83"/>
      <c r="HY62" s="83"/>
      <c r="HZ62" s="83"/>
      <c r="IA62" s="83"/>
      <c r="IB62" s="83"/>
      <c r="IC62" s="83"/>
      <c r="ID62" s="83"/>
      <c r="IE62" s="83"/>
      <c r="IF62" s="83"/>
      <c r="IG62" s="83"/>
      <c r="IH62" s="83"/>
      <c r="II62" s="83"/>
      <c r="IJ62" s="83"/>
      <c r="IK62" s="83"/>
      <c r="IL62" s="83"/>
      <c r="IM62" s="83"/>
      <c r="IN62" s="83"/>
      <c r="IO62" s="83"/>
      <c r="IP62" s="83"/>
      <c r="IQ62" s="83"/>
      <c r="IR62" s="83"/>
      <c r="IS62" s="83"/>
      <c r="IT62" s="83"/>
      <c r="IU62" s="83"/>
      <c r="IV62" s="83"/>
      <c r="IW62" s="83"/>
      <c r="IX62" s="83"/>
      <c r="IY62" s="83"/>
      <c r="IZ62" s="83"/>
      <c r="JA62" s="83"/>
      <c r="JB62" s="83"/>
      <c r="JC62" s="83"/>
      <c r="JD62" s="83"/>
      <c r="JE62" s="83"/>
      <c r="JF62" s="83"/>
      <c r="JG62" s="83"/>
      <c r="JH62" s="83"/>
      <c r="JI62" s="83"/>
      <c r="JJ62" s="83"/>
      <c r="JK62" s="83"/>
    </row>
    <row r="63" spans="1:437 16383:16384" x14ac:dyDescent="0.2">
      <c r="AG63" s="29"/>
      <c r="BW63" t="s">
        <v>348</v>
      </c>
      <c r="CC63" s="29">
        <f>COUNTIF(CC9:CC56,"E")</f>
        <v>0</v>
      </c>
      <c r="GO63" s="83"/>
      <c r="GP63" s="83"/>
      <c r="GQ63" s="83"/>
      <c r="GR63" s="83"/>
      <c r="GS63" s="83"/>
      <c r="GT63" s="83"/>
      <c r="GU63" s="83"/>
      <c r="GV63" s="83"/>
      <c r="GW63" s="83"/>
      <c r="GX63" s="83" t="s">
        <v>440</v>
      </c>
      <c r="GY63" s="105">
        <f>+$GU$3+SUM($GY$5:$GY$8)</f>
        <v>43297</v>
      </c>
      <c r="GZ63" s="83">
        <f t="shared" si="848"/>
        <v>0</v>
      </c>
      <c r="HA63" s="83"/>
      <c r="HB63" s="83"/>
      <c r="HC63" s="83"/>
      <c r="HD63" s="83"/>
      <c r="HE63" s="83"/>
      <c r="HF63" s="83"/>
      <c r="HG63" s="105"/>
      <c r="HH63" s="83"/>
      <c r="HI63" s="83">
        <f t="shared" si="849"/>
        <v>0</v>
      </c>
      <c r="HJ63" s="83"/>
      <c r="HK63" s="105">
        <f t="shared" ref="HK63:HK66" si="850">GY63+$HI$8</f>
        <v>43342</v>
      </c>
      <c r="HL63" s="83"/>
      <c r="HM63" s="83"/>
      <c r="HN63" s="83"/>
      <c r="HO63" s="83"/>
      <c r="HP63" s="83"/>
      <c r="HQ63" s="83"/>
      <c r="HR63" s="83"/>
      <c r="HS63" s="83"/>
      <c r="HT63" s="83"/>
      <c r="HU63" s="83"/>
      <c r="HV63" s="83"/>
      <c r="HW63" s="83"/>
      <c r="HX63" s="83"/>
      <c r="HY63" s="83"/>
      <c r="HZ63" s="83"/>
      <c r="IA63" s="83"/>
      <c r="IB63" s="83"/>
      <c r="IC63" s="83"/>
      <c r="ID63" s="83"/>
      <c r="IE63" s="83"/>
      <c r="IF63" s="83"/>
      <c r="IG63" s="83"/>
      <c r="IH63" s="83"/>
      <c r="II63" s="83"/>
      <c r="IJ63" s="83"/>
      <c r="IK63" s="83"/>
      <c r="IL63" s="83"/>
      <c r="IM63" s="83"/>
      <c r="IN63" s="83"/>
      <c r="IO63" s="83"/>
      <c r="IP63" s="83"/>
      <c r="IQ63" s="83"/>
      <c r="IR63" s="83"/>
      <c r="IS63" s="83"/>
      <c r="IT63" s="83"/>
      <c r="IU63" s="83"/>
      <c r="IV63" s="83"/>
      <c r="IW63" s="83"/>
      <c r="IX63" s="83"/>
      <c r="IY63" s="83"/>
      <c r="IZ63" s="83"/>
      <c r="JA63" s="83"/>
      <c r="JB63" s="83"/>
      <c r="JC63" s="83"/>
      <c r="JD63" s="83"/>
      <c r="JE63" s="83"/>
      <c r="JF63" s="83"/>
      <c r="JG63" s="83"/>
      <c r="JH63" s="83"/>
      <c r="JI63" s="83"/>
      <c r="JJ63" s="83"/>
      <c r="JK63" s="83"/>
    </row>
    <row r="64" spans="1:437 16383:16384" x14ac:dyDescent="0.2">
      <c r="Y64" t="s">
        <v>18</v>
      </c>
      <c r="Z64" t="s">
        <v>299</v>
      </c>
      <c r="AG64" s="29">
        <f>SUM(AG59:AG63)</f>
        <v>0</v>
      </c>
      <c r="BW64" t="s">
        <v>299</v>
      </c>
      <c r="CC64" s="29">
        <f>SUM(CC59:CC63)</f>
        <v>3</v>
      </c>
      <c r="GO64" s="83"/>
      <c r="GP64" s="83"/>
      <c r="GQ64" s="83"/>
      <c r="GR64" s="83"/>
      <c r="GS64" s="83"/>
      <c r="GT64" s="83"/>
      <c r="GU64" s="83"/>
      <c r="GV64" s="83"/>
      <c r="GW64" s="83"/>
      <c r="GX64" s="83" t="s">
        <v>7</v>
      </c>
      <c r="GY64" s="105">
        <f>$GU$3+SUM($GY$6:$GY$8)</f>
        <v>43277</v>
      </c>
      <c r="GZ64" s="83">
        <f t="shared" si="848"/>
        <v>0</v>
      </c>
      <c r="HA64" s="83"/>
      <c r="HB64" s="83"/>
      <c r="HC64" s="83"/>
      <c r="HD64" s="83"/>
      <c r="HE64" s="83"/>
      <c r="HF64" s="83"/>
      <c r="HG64" s="105"/>
      <c r="HH64" s="83"/>
      <c r="HI64" s="83">
        <f t="shared" si="849"/>
        <v>0</v>
      </c>
      <c r="HJ64" s="83"/>
      <c r="HK64" s="105">
        <f t="shared" si="850"/>
        <v>43322</v>
      </c>
      <c r="HL64" s="83"/>
      <c r="HM64" s="83"/>
      <c r="HN64" s="83"/>
      <c r="HO64" s="83"/>
      <c r="HP64" s="83"/>
      <c r="HQ64" s="83"/>
      <c r="HR64" s="83"/>
      <c r="HS64" s="83"/>
      <c r="HT64" s="83"/>
      <c r="HU64" s="83"/>
      <c r="HV64" s="83"/>
      <c r="HW64" s="83"/>
      <c r="HX64" s="83"/>
      <c r="HY64" s="83"/>
      <c r="HZ64" s="83"/>
      <c r="IA64" s="83"/>
      <c r="IB64" s="83"/>
      <c r="IC64" s="83"/>
      <c r="ID64" s="83"/>
      <c r="IE64" s="83"/>
      <c r="IF64" s="83"/>
      <c r="IG64" s="83"/>
      <c r="IH64" s="83"/>
      <c r="II64" s="83"/>
      <c r="IJ64" s="83"/>
      <c r="IK64" s="83"/>
      <c r="IL64" s="83"/>
      <c r="IM64" s="83"/>
      <c r="IN64" s="83"/>
      <c r="IO64" s="83"/>
      <c r="IP64" s="83"/>
      <c r="IQ64" s="83"/>
      <c r="IR64" s="83"/>
      <c r="IS64" s="83"/>
      <c r="IT64" s="83"/>
      <c r="IU64" s="83"/>
      <c r="IV64" s="83"/>
      <c r="IW64" s="83"/>
      <c r="IX64" s="83"/>
      <c r="IY64" s="83"/>
      <c r="IZ64" s="83"/>
      <c r="JA64" s="83"/>
      <c r="JB64" s="83"/>
      <c r="JC64" s="83"/>
      <c r="JD64" s="83"/>
      <c r="JE64" s="83"/>
      <c r="JF64" s="83"/>
      <c r="JG64" s="83"/>
      <c r="JH64" s="83"/>
      <c r="JI64" s="83"/>
      <c r="JJ64" s="83"/>
      <c r="JK64" s="83"/>
    </row>
    <row r="65" spans="197:271" x14ac:dyDescent="0.2">
      <c r="GO65" s="83"/>
      <c r="GP65" s="83"/>
      <c r="GQ65" s="83"/>
      <c r="GR65" s="83"/>
      <c r="GS65" s="83"/>
      <c r="GT65" s="83"/>
      <c r="GU65" s="83"/>
      <c r="GV65" s="83"/>
      <c r="GW65" s="83"/>
      <c r="GX65" s="83" t="s">
        <v>265</v>
      </c>
      <c r="GY65" s="105">
        <f>$GU$3+SUM($GY$7:$GY$8)</f>
        <v>43267</v>
      </c>
      <c r="GZ65" s="83">
        <f t="shared" si="848"/>
        <v>11</v>
      </c>
      <c r="HA65" s="83"/>
      <c r="HB65" s="83"/>
      <c r="HC65" s="83"/>
      <c r="HD65" s="83"/>
      <c r="HE65" s="83"/>
      <c r="HF65" s="83"/>
      <c r="HG65" s="105"/>
      <c r="HH65" s="83"/>
      <c r="HI65" s="83">
        <f t="shared" si="849"/>
        <v>11</v>
      </c>
      <c r="HJ65" s="83"/>
      <c r="HK65" s="105">
        <f t="shared" si="850"/>
        <v>43312</v>
      </c>
      <c r="HL65" s="83"/>
      <c r="HM65" s="83"/>
      <c r="HN65" s="83"/>
      <c r="HO65" s="83"/>
      <c r="HP65" s="83"/>
      <c r="HQ65" s="83"/>
      <c r="HR65" s="83"/>
      <c r="HS65" s="83"/>
      <c r="HT65" s="83"/>
      <c r="HU65" s="83"/>
      <c r="HV65" s="83"/>
      <c r="HW65" s="83"/>
      <c r="HX65" s="83"/>
      <c r="HY65" s="83"/>
      <c r="HZ65" s="83"/>
      <c r="IA65" s="83"/>
      <c r="IB65" s="83"/>
      <c r="IC65" s="83"/>
      <c r="ID65" s="83"/>
      <c r="IE65" s="83"/>
      <c r="IF65" s="83"/>
      <c r="IG65" s="83"/>
      <c r="IH65" s="83"/>
      <c r="II65" s="83"/>
      <c r="IJ65" s="83"/>
      <c r="IK65" s="83"/>
      <c r="IL65" s="83"/>
      <c r="IM65" s="83"/>
      <c r="IN65" s="83"/>
      <c r="IO65" s="83"/>
      <c r="IP65" s="83"/>
      <c r="IQ65" s="83"/>
      <c r="IR65" s="83"/>
      <c r="IS65" s="83"/>
      <c r="IT65" s="83"/>
      <c r="IU65" s="83"/>
      <c r="IV65" s="83"/>
      <c r="IW65" s="83"/>
      <c r="IX65" s="83"/>
      <c r="IY65" s="83"/>
      <c r="IZ65" s="83"/>
      <c r="JA65" s="83"/>
      <c r="JB65" s="83"/>
      <c r="JC65" s="83"/>
      <c r="JD65" s="83"/>
      <c r="JE65" s="83"/>
      <c r="JF65" s="83"/>
      <c r="JG65" s="83"/>
      <c r="JH65" s="83"/>
      <c r="JI65" s="83"/>
      <c r="JJ65" s="83"/>
      <c r="JK65" s="83"/>
    </row>
    <row r="66" spans="197:271" x14ac:dyDescent="0.2">
      <c r="GO66" s="83"/>
      <c r="GP66" s="83"/>
      <c r="GQ66" s="83"/>
      <c r="GR66" s="83"/>
      <c r="GS66" s="83"/>
      <c r="GT66" s="83"/>
      <c r="GU66" s="83"/>
      <c r="GV66" s="83"/>
      <c r="GW66" s="83"/>
      <c r="GX66" s="83" t="s">
        <v>447</v>
      </c>
      <c r="GY66" s="105">
        <f>$GU$3+$GY$8</f>
        <v>43257</v>
      </c>
      <c r="GZ66" s="83">
        <f t="shared" si="848"/>
        <v>0</v>
      </c>
      <c r="HA66" s="83"/>
      <c r="HB66" s="83"/>
      <c r="HC66" s="83"/>
      <c r="HD66" s="105">
        <f>$GU$3+$HH$8</f>
        <v>43288</v>
      </c>
      <c r="HE66" s="83"/>
      <c r="HF66" s="83"/>
      <c r="HG66" s="83"/>
      <c r="HH66" s="83">
        <f>COUNTIF($HH$9:$HH$56,HD66)</f>
        <v>3</v>
      </c>
      <c r="HI66" s="83">
        <f t="shared" si="849"/>
        <v>0</v>
      </c>
      <c r="HJ66" s="83"/>
      <c r="HK66" s="105">
        <f t="shared" si="850"/>
        <v>43302</v>
      </c>
      <c r="HL66" s="83"/>
      <c r="HM66" s="83"/>
      <c r="HN66" s="83"/>
      <c r="HO66" s="83"/>
      <c r="HP66" s="83"/>
      <c r="HQ66" s="83"/>
      <c r="HR66" s="83"/>
      <c r="HS66" s="83"/>
      <c r="HT66" s="83"/>
      <c r="HU66" s="83"/>
      <c r="HV66" s="83"/>
      <c r="HW66" s="83"/>
      <c r="HX66" s="83"/>
      <c r="HY66" s="83"/>
      <c r="HZ66" s="83"/>
      <c r="IA66" s="83"/>
      <c r="IB66" s="83"/>
      <c r="IC66" s="83"/>
      <c r="ID66" s="83"/>
      <c r="IE66" s="83"/>
      <c r="IF66" s="83"/>
      <c r="IG66" s="83"/>
      <c r="IH66" s="83"/>
      <c r="II66" s="83"/>
      <c r="IJ66" s="83"/>
      <c r="IK66" s="83"/>
      <c r="IL66" s="83"/>
      <c r="IM66" s="83"/>
      <c r="IN66" s="83"/>
      <c r="IO66" s="83"/>
      <c r="IP66" s="83"/>
      <c r="IQ66" s="83"/>
      <c r="IR66" s="83"/>
      <c r="IS66" s="83"/>
      <c r="IT66" s="83"/>
      <c r="IU66" s="83"/>
      <c r="IV66" s="83"/>
      <c r="IW66" s="83"/>
      <c r="IX66" s="83"/>
      <c r="IY66" s="83"/>
      <c r="IZ66" s="83"/>
      <c r="JA66" s="83"/>
      <c r="JB66" s="83"/>
      <c r="JC66" s="83"/>
      <c r="JD66" s="83"/>
      <c r="JE66" s="83"/>
      <c r="JF66" s="83"/>
      <c r="JG66" s="83"/>
      <c r="JH66" s="83"/>
      <c r="JI66" s="83"/>
      <c r="JJ66" s="83"/>
      <c r="JK66" s="83"/>
    </row>
    <row r="67" spans="197:271" x14ac:dyDescent="0.2">
      <c r="GO67" s="83"/>
      <c r="GP67" s="83"/>
      <c r="GQ67" s="83"/>
      <c r="GR67" s="83"/>
      <c r="GS67" s="83"/>
      <c r="GT67" s="83"/>
      <c r="GU67" s="83"/>
      <c r="GV67" s="83"/>
      <c r="GW67" s="83"/>
      <c r="GX67" s="107" t="s">
        <v>448</v>
      </c>
      <c r="GY67" s="107" t="s">
        <v>448</v>
      </c>
      <c r="GZ67" s="83">
        <f t="shared" si="848"/>
        <v>33</v>
      </c>
      <c r="HA67" s="83"/>
      <c r="HB67" s="83"/>
      <c r="HC67" s="83"/>
      <c r="HD67" s="107" t="s">
        <v>466</v>
      </c>
      <c r="HE67" s="83"/>
      <c r="HF67" s="83"/>
      <c r="HG67" s="83"/>
      <c r="HH67" s="83">
        <f>COUNTIF($HH$9:$HH$56,HD67)</f>
        <v>41</v>
      </c>
      <c r="HI67" s="83">
        <f t="shared" si="849"/>
        <v>33</v>
      </c>
      <c r="HJ67" s="83"/>
      <c r="HK67" s="108" t="s">
        <v>448</v>
      </c>
      <c r="HL67" s="83"/>
      <c r="HM67" s="83"/>
      <c r="HN67" s="83"/>
      <c r="HO67" s="83"/>
      <c r="HP67" s="83"/>
      <c r="HQ67" s="83"/>
      <c r="HR67" s="83"/>
      <c r="HS67" s="83"/>
      <c r="HT67" s="83"/>
      <c r="HU67" s="83"/>
      <c r="HV67" s="83"/>
      <c r="HW67" s="83"/>
      <c r="HX67" s="83"/>
      <c r="HY67" s="83"/>
      <c r="HZ67" s="83"/>
      <c r="IA67" s="83"/>
      <c r="IB67" s="83"/>
      <c r="IC67" s="83"/>
      <c r="ID67" s="83"/>
      <c r="IE67" s="83"/>
      <c r="IF67" s="83"/>
      <c r="IG67" s="83"/>
      <c r="IH67" s="83"/>
      <c r="II67" s="83"/>
      <c r="IJ67" s="83"/>
      <c r="IK67" s="83"/>
      <c r="IL67" s="83"/>
      <c r="IM67" s="83"/>
      <c r="IN67" s="83"/>
      <c r="IO67" s="83"/>
      <c r="IP67" s="83"/>
      <c r="IQ67" s="83"/>
      <c r="IR67" s="83"/>
      <c r="IS67" s="83"/>
      <c r="IT67" s="83"/>
      <c r="IU67" s="83"/>
      <c r="IV67" s="83"/>
      <c r="IW67" s="83"/>
      <c r="IX67" s="83"/>
      <c r="IY67" s="83"/>
      <c r="IZ67" s="83"/>
      <c r="JA67" s="83"/>
      <c r="JB67" s="83"/>
      <c r="JC67" s="83"/>
      <c r="JD67" s="83"/>
      <c r="JE67" s="83"/>
      <c r="JF67" s="83"/>
      <c r="JG67" s="83"/>
      <c r="JH67" s="83"/>
      <c r="JI67" s="83"/>
      <c r="JJ67" s="83"/>
      <c r="JK67" s="83"/>
    </row>
    <row r="68" spans="197:271" x14ac:dyDescent="0.2">
      <c r="GO68" s="83"/>
      <c r="GP68" s="83"/>
      <c r="GQ68" s="83"/>
      <c r="GR68" s="83"/>
      <c r="GS68" s="83"/>
      <c r="GT68" s="83"/>
      <c r="GU68" s="83"/>
      <c r="GV68" s="83"/>
      <c r="GW68" s="83"/>
      <c r="GX68" s="83"/>
      <c r="GY68" s="83"/>
      <c r="GZ68" s="83">
        <f>SUM(GZ62:GZ67)</f>
        <v>44</v>
      </c>
      <c r="HA68" s="83"/>
      <c r="HB68" s="83"/>
      <c r="HC68" s="83"/>
      <c r="HD68" s="83"/>
      <c r="HE68" s="83"/>
      <c r="HF68" s="83"/>
      <c r="HG68" s="83"/>
      <c r="HH68" s="83">
        <f>SUM(HH62:HH67)</f>
        <v>44</v>
      </c>
      <c r="HI68" s="83">
        <f>SUM(HI62:HI67)</f>
        <v>44</v>
      </c>
      <c r="HJ68" s="83"/>
      <c r="HK68" s="105"/>
      <c r="HL68" s="83"/>
      <c r="HM68" s="83"/>
      <c r="HN68" s="83"/>
      <c r="HO68" s="83"/>
      <c r="HP68" s="83"/>
      <c r="HQ68" s="83"/>
      <c r="HR68" s="83"/>
      <c r="HS68" s="83"/>
      <c r="HT68" s="83"/>
      <c r="HU68" s="83"/>
      <c r="HV68" s="83"/>
      <c r="HW68" s="83"/>
      <c r="HX68" s="83"/>
      <c r="HY68" s="83"/>
      <c r="HZ68" s="83"/>
      <c r="IA68" s="83"/>
      <c r="IB68" s="83"/>
      <c r="IC68" s="83"/>
      <c r="ID68" s="83"/>
      <c r="IE68" s="83"/>
      <c r="IF68" s="83"/>
      <c r="IG68" s="83"/>
      <c r="IH68" s="83"/>
      <c r="II68" s="83"/>
      <c r="IJ68" s="83"/>
      <c r="IK68" s="83"/>
      <c r="IL68" s="83"/>
      <c r="IM68" s="83"/>
      <c r="IN68" s="83"/>
      <c r="IO68" s="83"/>
      <c r="IP68" s="83"/>
      <c r="IQ68" s="83"/>
      <c r="IR68" s="83"/>
      <c r="IS68" s="83"/>
      <c r="IT68" s="83"/>
      <c r="IU68" s="83"/>
      <c r="IV68" s="83"/>
      <c r="IW68" s="83"/>
      <c r="IX68" s="83"/>
      <c r="IY68" s="83"/>
      <c r="IZ68" s="83"/>
      <c r="JA68" s="83"/>
      <c r="JB68" s="83"/>
      <c r="JC68" s="83"/>
      <c r="JD68" s="83"/>
      <c r="JE68" s="83"/>
      <c r="JF68" s="83"/>
      <c r="JG68" s="83"/>
      <c r="JH68" s="83"/>
      <c r="JI68" s="83"/>
      <c r="JJ68" s="83"/>
      <c r="JK68" s="111"/>
    </row>
  </sheetData>
  <sortState xmlns:xlrd2="http://schemas.microsoft.com/office/spreadsheetml/2017/richdata2" ref="B9:AG52">
    <sortCondition ref="C9:C52"/>
  </sortState>
  <mergeCells count="323">
    <mergeCell ref="PL7:PL8"/>
    <mergeCell ref="PO1:PQ1"/>
    <mergeCell ref="PO2:PO7"/>
    <mergeCell ref="PP2:PP7"/>
    <mergeCell ref="PQ2:PQ7"/>
    <mergeCell ref="MC6:MC8"/>
    <mergeCell ref="MD6:MD8"/>
    <mergeCell ref="ME6:ME8"/>
    <mergeCell ref="MF6:MF8"/>
    <mergeCell ref="MG6:MG8"/>
    <mergeCell ref="MH6:MH8"/>
    <mergeCell ref="MI6:MI8"/>
    <mergeCell ref="MO6:MO8"/>
    <mergeCell ref="MP6:MP8"/>
    <mergeCell ref="MQ6:MQ8"/>
    <mergeCell ref="MP5:MW5"/>
    <mergeCell ref="MX5:NB5"/>
    <mergeCell ref="NC5:NE6"/>
    <mergeCell ref="NF5:NI6"/>
    <mergeCell ref="MK5:MO5"/>
    <mergeCell ref="MT6:MT8"/>
    <mergeCell ref="MU6:MU8"/>
    <mergeCell ref="MV6:MV8"/>
    <mergeCell ref="MW6:MW8"/>
    <mergeCell ref="MX6:MX8"/>
    <mergeCell ref="KU5:KU7"/>
    <mergeCell ref="KV5:KV7"/>
    <mergeCell ref="KW5:KW8"/>
    <mergeCell ref="KX5:KX8"/>
    <mergeCell ref="KY5:KY8"/>
    <mergeCell ref="KZ5:LA7"/>
    <mergeCell ref="LB5:LC7"/>
    <mergeCell ref="LD5:LE7"/>
    <mergeCell ref="LF5:LL5"/>
    <mergeCell ref="LF6:LF8"/>
    <mergeCell ref="LG6:LG8"/>
    <mergeCell ref="LH6:LH8"/>
    <mergeCell ref="LI6:LI8"/>
    <mergeCell ref="LJ6:LJ8"/>
    <mergeCell ref="LK6:LK8"/>
    <mergeCell ref="LL6:LL8"/>
    <mergeCell ref="LM6:LM8"/>
    <mergeCell ref="LN6:LN8"/>
    <mergeCell ref="MJ6:MJ8"/>
    <mergeCell ref="MK6:MK8"/>
    <mergeCell ref="ML6:ML8"/>
    <mergeCell ref="MM6:MM8"/>
    <mergeCell ref="MN6:MN8"/>
    <mergeCell ref="JU7:JV7"/>
    <mergeCell ref="JW7:JW8"/>
    <mergeCell ref="KP7:KP8"/>
    <mergeCell ref="KQ7:KQ8"/>
    <mergeCell ref="KR7:KR8"/>
    <mergeCell ref="JX7:JX8"/>
    <mergeCell ref="JZ7:JZ8"/>
    <mergeCell ref="KA7:KA8"/>
    <mergeCell ref="KB7:KB8"/>
    <mergeCell ref="KH7:KH8"/>
    <mergeCell ref="KI7:KJ7"/>
    <mergeCell ref="KK7:KL7"/>
    <mergeCell ref="KM7:KM8"/>
    <mergeCell ref="KN7:KN8"/>
    <mergeCell ref="KD4:KD8"/>
    <mergeCell ref="KE4:KE8"/>
    <mergeCell ref="IW6:IY7"/>
    <mergeCell ref="JA6:JC7"/>
    <mergeCell ref="JQ3:KB3"/>
    <mergeCell ref="KG3:KR3"/>
    <mergeCell ref="JP4:JP8"/>
    <mergeCell ref="JQ4:JQ8"/>
    <mergeCell ref="JR4:KB4"/>
    <mergeCell ref="KF4:KF8"/>
    <mergeCell ref="KG4:KG8"/>
    <mergeCell ref="KH4:KR4"/>
    <mergeCell ref="JR5:JX5"/>
    <mergeCell ref="JY5:KB5"/>
    <mergeCell ref="KH5:KN5"/>
    <mergeCell ref="KO5:KR5"/>
    <mergeCell ref="JR6:JV6"/>
    <mergeCell ref="JW6:JX6"/>
    <mergeCell ref="JY6:JY8"/>
    <mergeCell ref="JZ6:KB6"/>
    <mergeCell ref="KH6:KL6"/>
    <mergeCell ref="KM6:KN6"/>
    <mergeCell ref="KO6:KO8"/>
    <mergeCell ref="KP6:KR6"/>
    <mergeCell ref="JR7:JR8"/>
    <mergeCell ref="JS7:JT7"/>
    <mergeCell ref="IH7:IJ7"/>
    <mergeCell ref="IK7:IM7"/>
    <mergeCell ref="HP6:HR7"/>
    <mergeCell ref="HS6:HU7"/>
    <mergeCell ref="HV6:IA6"/>
    <mergeCell ref="IB6:IG6"/>
    <mergeCell ref="IH6:IM6"/>
    <mergeCell ref="IO6:IQ7"/>
    <mergeCell ref="IS6:IU7"/>
    <mergeCell ref="D3:E3"/>
    <mergeCell ref="GX3:GY3"/>
    <mergeCell ref="GO4:GT5"/>
    <mergeCell ref="GV4:GW6"/>
    <mergeCell ref="GZ4:GZ8"/>
    <mergeCell ref="HC4:HI4"/>
    <mergeCell ref="HK4:HK8"/>
    <mergeCell ref="HC5:HC8"/>
    <mergeCell ref="HD5:HD8"/>
    <mergeCell ref="HE5:HE8"/>
    <mergeCell ref="HF5:HF8"/>
    <mergeCell ref="HG5:HG8"/>
    <mergeCell ref="HH5:HH7"/>
    <mergeCell ref="HI5:HI7"/>
    <mergeCell ref="GO6:GO8"/>
    <mergeCell ref="GP6:GP8"/>
    <mergeCell ref="GQ6:GQ8"/>
    <mergeCell ref="GR6:GR8"/>
    <mergeCell ref="GS6:GS8"/>
    <mergeCell ref="GT6:GT8"/>
    <mergeCell ref="GA4:GA8"/>
    <mergeCell ref="GB4:GB8"/>
    <mergeCell ref="GC4:GC8"/>
    <mergeCell ref="GK4:GK8"/>
    <mergeCell ref="BO3:BZ3"/>
    <mergeCell ref="CE3:CP3"/>
    <mergeCell ref="BN4:BN8"/>
    <mergeCell ref="BO4:BO8"/>
    <mergeCell ref="BP4:BZ4"/>
    <mergeCell ref="CB4:CB8"/>
    <mergeCell ref="CD4:CD8"/>
    <mergeCell ref="CE4:CE8"/>
    <mergeCell ref="CF4:CP4"/>
    <mergeCell ref="BP5:BV5"/>
    <mergeCell ref="BW5:BZ5"/>
    <mergeCell ref="CF5:CL5"/>
    <mergeCell ref="CM5:CP5"/>
    <mergeCell ref="BP6:BT6"/>
    <mergeCell ref="BU6:BV6"/>
    <mergeCell ref="CK7:CK8"/>
    <mergeCell ref="CL7:CL8"/>
    <mergeCell ref="CN7:CN8"/>
    <mergeCell ref="CO7:CO8"/>
    <mergeCell ref="CP7:CP8"/>
    <mergeCell ref="CN6:CP6"/>
    <mergeCell ref="BX7:BX8"/>
    <mergeCell ref="BY7:BY8"/>
    <mergeCell ref="BZ7:BZ8"/>
    <mergeCell ref="F5:I7"/>
    <mergeCell ref="J5:Q5"/>
    <mergeCell ref="R5:U7"/>
    <mergeCell ref="V5:Z7"/>
    <mergeCell ref="F4:AE4"/>
    <mergeCell ref="AA5:AE7"/>
    <mergeCell ref="D7:E7"/>
    <mergeCell ref="BE4:BK5"/>
    <mergeCell ref="BE6:BE8"/>
    <mergeCell ref="BF6:BF8"/>
    <mergeCell ref="BG6:BG8"/>
    <mergeCell ref="BH6:BH8"/>
    <mergeCell ref="BI6:BI8"/>
    <mergeCell ref="BJ6:BJ8"/>
    <mergeCell ref="BK6:BK8"/>
    <mergeCell ref="CF7:CF8"/>
    <mergeCell ref="CG7:CH7"/>
    <mergeCell ref="CI7:CJ7"/>
    <mergeCell ref="A4:A8"/>
    <mergeCell ref="B4:B8"/>
    <mergeCell ref="C4:C8"/>
    <mergeCell ref="D4:E6"/>
    <mergeCell ref="AN4:AN8"/>
    <mergeCell ref="AI4:AK4"/>
    <mergeCell ref="AI5:AK7"/>
    <mergeCell ref="AF6:AF8"/>
    <mergeCell ref="BB4:BB8"/>
    <mergeCell ref="AG6:AG8"/>
    <mergeCell ref="AF4:AH5"/>
    <mergeCell ref="AH6:AH8"/>
    <mergeCell ref="AL4:AM5"/>
    <mergeCell ref="AL6:AL8"/>
    <mergeCell ref="AM6:AM8"/>
    <mergeCell ref="N6:Q7"/>
    <mergeCell ref="J6:M7"/>
    <mergeCell ref="BP7:BP8"/>
    <mergeCell ref="BQ7:BR7"/>
    <mergeCell ref="BS7:BT7"/>
    <mergeCell ref="BU7:BU8"/>
    <mergeCell ref="BV7:BV8"/>
    <mergeCell ref="BX6:BZ6"/>
    <mergeCell ref="CF6:CJ6"/>
    <mergeCell ref="CK6:CL6"/>
    <mergeCell ref="CM6:CM8"/>
    <mergeCell ref="BW6:BW8"/>
    <mergeCell ref="EI2:EI7"/>
    <mergeCell ref="FL2:FL7"/>
    <mergeCell ref="FM2:FM7"/>
    <mergeCell ref="FK2:FK7"/>
    <mergeCell ref="EJ2:EJ7"/>
    <mergeCell ref="EK2:EP2"/>
    <mergeCell ref="EQ2:EQ7"/>
    <mergeCell ref="ER2:ER7"/>
    <mergeCell ref="ES2:ES7"/>
    <mergeCell ref="ET2:ET7"/>
    <mergeCell ref="EU2:EU7"/>
    <mergeCell ref="EV2:EV7"/>
    <mergeCell ref="EW2:EY2"/>
    <mergeCell ref="EZ2:EZ7"/>
    <mergeCell ref="FA2:FA7"/>
    <mergeCell ref="FB2:FB7"/>
    <mergeCell ref="FD2:FD7"/>
    <mergeCell ref="FE2:FE7"/>
    <mergeCell ref="EK3:EK7"/>
    <mergeCell ref="EL3:EL7"/>
    <mergeCell ref="EM3:EM7"/>
    <mergeCell ref="DV4:EB5"/>
    <mergeCell ref="DV6:DV8"/>
    <mergeCell ref="DW6:DW8"/>
    <mergeCell ref="DX6:DX8"/>
    <mergeCell ref="DY6:DY8"/>
    <mergeCell ref="DZ6:DZ8"/>
    <mergeCell ref="EA6:EA8"/>
    <mergeCell ref="EB6:EB8"/>
    <mergeCell ref="EH2:EH8"/>
    <mergeCell ref="EG2:EG8"/>
    <mergeCell ref="GG4:GG8"/>
    <mergeCell ref="LM5:LS5"/>
    <mergeCell ref="LT5:LZ5"/>
    <mergeCell ref="MA5:MJ5"/>
    <mergeCell ref="GH4:GH8"/>
    <mergeCell ref="GJ4:GJ8"/>
    <mergeCell ref="FT2:FT7"/>
    <mergeCell ref="FU2:FU7"/>
    <mergeCell ref="FO2:FO7"/>
    <mergeCell ref="FP2:FP7"/>
    <mergeCell ref="FQ2:FQ7"/>
    <mergeCell ref="FR2:FR7"/>
    <mergeCell ref="FS2:FS7"/>
    <mergeCell ref="FY4:FY8"/>
    <mergeCell ref="FZ4:FZ8"/>
    <mergeCell ref="FV2:FV7"/>
    <mergeCell ref="JE6:JG7"/>
    <mergeCell ref="JI6:JK7"/>
    <mergeCell ref="GV7:GV8"/>
    <mergeCell ref="GW7:GW8"/>
    <mergeCell ref="HV7:HX7"/>
    <mergeCell ref="HY7:IA7"/>
    <mergeCell ref="IB7:ID7"/>
    <mergeCell ref="IE7:IG7"/>
    <mergeCell ref="EN3:EN7"/>
    <mergeCell ref="EO3:EO7"/>
    <mergeCell ref="EP3:EP7"/>
    <mergeCell ref="EW3:EW7"/>
    <mergeCell ref="EX3:EX7"/>
    <mergeCell ref="EY3:EY7"/>
    <mergeCell ref="FN2:FN7"/>
    <mergeCell ref="GD4:GD8"/>
    <mergeCell ref="GE4:GE8"/>
    <mergeCell ref="FH2:FH7"/>
    <mergeCell ref="FI2:FI7"/>
    <mergeCell ref="FJ2:FJ7"/>
    <mergeCell ref="FC2:FC7"/>
    <mergeCell ref="FX4:FX8"/>
    <mergeCell ref="FF2:FF7"/>
    <mergeCell ref="MR6:MR8"/>
    <mergeCell ref="MS6:MS8"/>
    <mergeCell ref="LO6:LO8"/>
    <mergeCell ref="LP6:LP8"/>
    <mergeCell ref="LQ6:LQ8"/>
    <mergeCell ref="LR6:LR8"/>
    <mergeCell ref="LS6:LS8"/>
    <mergeCell ref="LT6:LT8"/>
    <mergeCell ref="LU6:LU8"/>
    <mergeCell ref="LV6:LV8"/>
    <mergeCell ref="LW6:LW8"/>
    <mergeCell ref="LX6:LX8"/>
    <mergeCell ref="LY6:LY8"/>
    <mergeCell ref="LZ6:LZ8"/>
    <mergeCell ref="MA6:MA8"/>
    <mergeCell ref="MB6:MB8"/>
    <mergeCell ref="NB6:NB8"/>
    <mergeCell ref="NC7:NC8"/>
    <mergeCell ref="MY6:MY8"/>
    <mergeCell ref="MZ6:MZ8"/>
    <mergeCell ref="NA6:NA8"/>
    <mergeCell ref="OI5:OI8"/>
    <mergeCell ref="OJ5:OJ8"/>
    <mergeCell ref="OK5:OK8"/>
    <mergeCell ref="OL5:OL8"/>
    <mergeCell ref="NM7:NT7"/>
    <mergeCell ref="ND7:ND8"/>
    <mergeCell ref="NE7:NE8"/>
    <mergeCell ref="NF7:NF8"/>
    <mergeCell ref="NG7:NG8"/>
    <mergeCell ref="OE5:OE8"/>
    <mergeCell ref="OF5:OF8"/>
    <mergeCell ref="OG5:OG8"/>
    <mergeCell ref="OH5:OH8"/>
    <mergeCell ref="NH7:NH8"/>
    <mergeCell ref="NI7:NI8"/>
    <mergeCell ref="NK5:NK8"/>
    <mergeCell ref="NZ4:NZ8"/>
    <mergeCell ref="NJ5:NJ8"/>
    <mergeCell ref="OM5:OM8"/>
    <mergeCell ref="PA7:PA8"/>
    <mergeCell ref="PB7:PB8"/>
    <mergeCell ref="PC7:PC8"/>
    <mergeCell ref="PG7:PG8"/>
    <mergeCell ref="PH7:PH8"/>
    <mergeCell ref="PI7:PI8"/>
    <mergeCell ref="OV5:OV8"/>
    <mergeCell ref="OW5:OW8"/>
    <mergeCell ref="OO5:OO8"/>
    <mergeCell ref="OP5:OP8"/>
    <mergeCell ref="OQ5:OQ8"/>
    <mergeCell ref="OR5:OR8"/>
    <mergeCell ref="OS5:OS8"/>
    <mergeCell ref="OT5:OT8"/>
    <mergeCell ref="OU5:OU8"/>
    <mergeCell ref="PA5:PL5"/>
    <mergeCell ref="PA6:PF6"/>
    <mergeCell ref="PG6:PL6"/>
    <mergeCell ref="PD7:PD8"/>
    <mergeCell ref="PE7:PE8"/>
    <mergeCell ref="PF7:PF8"/>
    <mergeCell ref="PJ7:PJ8"/>
    <mergeCell ref="PK7:PK8"/>
  </mergeCells>
  <conditionalFormatting sqref="FY9:GE42">
    <cfRule type="cellIs" dxfId="314" priority="105" operator="greaterThan">
      <formula>0</formula>
    </cfRule>
  </conditionalFormatting>
  <conditionalFormatting sqref="JJ9:JK42">
    <cfRule type="cellIs" dxfId="313" priority="101" operator="notEqual">
      <formula>0</formula>
    </cfRule>
  </conditionalFormatting>
  <conditionalFormatting sqref="JJ59:JK59">
    <cfRule type="cellIs" dxfId="312" priority="100" operator="notEqual">
      <formula>0</formula>
    </cfRule>
  </conditionalFormatting>
  <conditionalFormatting sqref="KT9:KT42">
    <cfRule type="cellIs" dxfId="311" priority="99" operator="notEqual">
      <formula>0</formula>
    </cfRule>
  </conditionalFormatting>
  <conditionalFormatting sqref="FY51:GE51">
    <cfRule type="cellIs" dxfId="310" priority="98" operator="greaterThan">
      <formula>0</formula>
    </cfRule>
  </conditionalFormatting>
  <conditionalFormatting sqref="JJ51:JK51">
    <cfRule type="cellIs" dxfId="309" priority="97" operator="notEqual">
      <formula>0</formula>
    </cfRule>
  </conditionalFormatting>
  <conditionalFormatting sqref="KT51">
    <cfRule type="cellIs" dxfId="308" priority="96" operator="notEqual">
      <formula>0</formula>
    </cfRule>
  </conditionalFormatting>
  <conditionalFormatting sqref="FY52:GE52">
    <cfRule type="cellIs" dxfId="307" priority="95" operator="greaterThan">
      <formula>0</formula>
    </cfRule>
  </conditionalFormatting>
  <conditionalFormatting sqref="JJ52:JK52">
    <cfRule type="cellIs" dxfId="306" priority="94" operator="notEqual">
      <formula>0</formula>
    </cfRule>
  </conditionalFormatting>
  <conditionalFormatting sqref="KT52">
    <cfRule type="cellIs" dxfId="305" priority="93" operator="notEqual">
      <formula>0</formula>
    </cfRule>
  </conditionalFormatting>
  <conditionalFormatting sqref="FY56:GE56">
    <cfRule type="cellIs" dxfId="304" priority="92" operator="greaterThan">
      <formula>0</formula>
    </cfRule>
  </conditionalFormatting>
  <conditionalFormatting sqref="JJ56:JK56">
    <cfRule type="cellIs" dxfId="303" priority="91" operator="notEqual">
      <formula>0</formula>
    </cfRule>
  </conditionalFormatting>
  <conditionalFormatting sqref="KT56">
    <cfRule type="cellIs" dxfId="302" priority="90" operator="notEqual">
      <formula>0</formula>
    </cfRule>
  </conditionalFormatting>
  <conditionalFormatting sqref="OZ9:OZ42 OZ49 OZ56:OZ57 OZ51:OZ52">
    <cfRule type="cellIs" dxfId="301" priority="87" operator="notEqual">
      <formula>0</formula>
    </cfRule>
  </conditionalFormatting>
  <conditionalFormatting sqref="PA9:PC42 PB49:PC49 PB56:PC56 PA51:PC52">
    <cfRule type="cellIs" dxfId="300" priority="84" operator="equal">
      <formula>0</formula>
    </cfRule>
  </conditionalFormatting>
  <conditionalFormatting sqref="PA9:PC42 PB49:PC49 PA51:PC52">
    <cfRule type="cellIs" dxfId="299" priority="83" operator="equal">
      <formula>0</formula>
    </cfRule>
  </conditionalFormatting>
  <conditionalFormatting sqref="PA9:PC42 PB49:PC49 PA51:PC52">
    <cfRule type="cellIs" dxfId="298" priority="82" operator="equal">
      <formula>0</formula>
    </cfRule>
  </conditionalFormatting>
  <conditionalFormatting sqref="PC9:PC42 PC49 PC51:PC52">
    <cfRule type="cellIs" dxfId="297" priority="81" operator="equal">
      <formula>0</formula>
    </cfRule>
  </conditionalFormatting>
  <conditionalFormatting sqref="FY46:GE46">
    <cfRule type="cellIs" dxfId="296" priority="80" operator="greaterThan">
      <formula>0</formula>
    </cfRule>
  </conditionalFormatting>
  <conditionalFormatting sqref="JJ46:JK46">
    <cfRule type="cellIs" dxfId="295" priority="79" operator="notEqual">
      <formula>0</formula>
    </cfRule>
  </conditionalFormatting>
  <conditionalFormatting sqref="KT46">
    <cfRule type="cellIs" dxfId="294" priority="78" operator="notEqual">
      <formula>0</formula>
    </cfRule>
  </conditionalFormatting>
  <conditionalFormatting sqref="FY47:GE47">
    <cfRule type="cellIs" dxfId="293" priority="77" operator="greaterThan">
      <formula>0</formula>
    </cfRule>
  </conditionalFormatting>
  <conditionalFormatting sqref="JJ47:JK47">
    <cfRule type="cellIs" dxfId="292" priority="76" operator="notEqual">
      <formula>0</formula>
    </cfRule>
  </conditionalFormatting>
  <conditionalFormatting sqref="KT47">
    <cfRule type="cellIs" dxfId="291" priority="75" operator="notEqual">
      <formula>0</formula>
    </cfRule>
  </conditionalFormatting>
  <conditionalFormatting sqref="FY48:GE48">
    <cfRule type="cellIs" dxfId="290" priority="74" operator="greaterThan">
      <formula>0</formula>
    </cfRule>
  </conditionalFormatting>
  <conditionalFormatting sqref="JJ48:JK48">
    <cfRule type="cellIs" dxfId="289" priority="73" operator="notEqual">
      <formula>0</formula>
    </cfRule>
  </conditionalFormatting>
  <conditionalFormatting sqref="KT48">
    <cfRule type="cellIs" dxfId="288" priority="72" operator="notEqual">
      <formula>0</formula>
    </cfRule>
  </conditionalFormatting>
  <conditionalFormatting sqref="OZ46:OZ48">
    <cfRule type="cellIs" dxfId="287" priority="71" operator="notEqual">
      <formula>0</formula>
    </cfRule>
  </conditionalFormatting>
  <conditionalFormatting sqref="PA46:PC47 PB48:PC48">
    <cfRule type="cellIs" dxfId="286" priority="70" operator="equal">
      <formula>0</formula>
    </cfRule>
  </conditionalFormatting>
  <conditionalFormatting sqref="PA46:PC47 PB48:PC48">
    <cfRule type="cellIs" dxfId="285" priority="69" operator="equal">
      <formula>0</formula>
    </cfRule>
  </conditionalFormatting>
  <conditionalFormatting sqref="PA46:PC47 PB48:PC48">
    <cfRule type="cellIs" dxfId="284" priority="68" operator="equal">
      <formula>0</formula>
    </cfRule>
  </conditionalFormatting>
  <conditionalFormatting sqref="PC46:PC48">
    <cfRule type="cellIs" dxfId="283" priority="67" operator="equal">
      <formula>0</formula>
    </cfRule>
  </conditionalFormatting>
  <conditionalFormatting sqref="FY49:GE49">
    <cfRule type="cellIs" dxfId="282" priority="66" operator="greaterThan">
      <formula>0</formula>
    </cfRule>
  </conditionalFormatting>
  <conditionalFormatting sqref="JJ49:JK49">
    <cfRule type="cellIs" dxfId="281" priority="65" operator="notEqual">
      <formula>0</formula>
    </cfRule>
  </conditionalFormatting>
  <conditionalFormatting sqref="KT49">
    <cfRule type="cellIs" dxfId="280" priority="64" operator="notEqual">
      <formula>0</formula>
    </cfRule>
  </conditionalFormatting>
  <conditionalFormatting sqref="FY53:GE53">
    <cfRule type="cellIs" dxfId="279" priority="63" operator="greaterThan">
      <formula>0</formula>
    </cfRule>
  </conditionalFormatting>
  <conditionalFormatting sqref="JJ53:JK53">
    <cfRule type="cellIs" dxfId="278" priority="62" operator="notEqual">
      <formula>0</formula>
    </cfRule>
  </conditionalFormatting>
  <conditionalFormatting sqref="KT53">
    <cfRule type="cellIs" dxfId="277" priority="61" operator="notEqual">
      <formula>0</formula>
    </cfRule>
  </conditionalFormatting>
  <conditionalFormatting sqref="OZ53">
    <cfRule type="cellIs" dxfId="276" priority="60" operator="notEqual">
      <formula>0</formula>
    </cfRule>
  </conditionalFormatting>
  <conditionalFormatting sqref="PB53:PC53">
    <cfRule type="cellIs" dxfId="275" priority="59" operator="equal">
      <formula>0</formula>
    </cfRule>
  </conditionalFormatting>
  <conditionalFormatting sqref="PB53:PC53">
    <cfRule type="cellIs" dxfId="274" priority="58" operator="equal">
      <formula>0</formula>
    </cfRule>
  </conditionalFormatting>
  <conditionalFormatting sqref="PB53:PC53">
    <cfRule type="cellIs" dxfId="273" priority="57" operator="equal">
      <formula>0</formula>
    </cfRule>
  </conditionalFormatting>
  <conditionalFormatting sqref="PC53">
    <cfRule type="cellIs" dxfId="272" priority="56" operator="equal">
      <formula>0</formula>
    </cfRule>
  </conditionalFormatting>
  <conditionalFormatting sqref="FY43:GE43">
    <cfRule type="cellIs" dxfId="271" priority="52" operator="greaterThan">
      <formula>0</formula>
    </cfRule>
  </conditionalFormatting>
  <conditionalFormatting sqref="JJ43:JK43">
    <cfRule type="cellIs" dxfId="270" priority="51" operator="notEqual">
      <formula>0</formula>
    </cfRule>
  </conditionalFormatting>
  <conditionalFormatting sqref="KT43">
    <cfRule type="cellIs" dxfId="269" priority="50" operator="notEqual">
      <formula>0</formula>
    </cfRule>
  </conditionalFormatting>
  <conditionalFormatting sqref="OZ43">
    <cfRule type="cellIs" dxfId="268" priority="49" operator="notEqual">
      <formula>0</formula>
    </cfRule>
  </conditionalFormatting>
  <conditionalFormatting sqref="PA43:PC43">
    <cfRule type="cellIs" dxfId="267" priority="48" operator="equal">
      <formula>0</formula>
    </cfRule>
  </conditionalFormatting>
  <conditionalFormatting sqref="PA43:PC43">
    <cfRule type="cellIs" dxfId="266" priority="47" operator="equal">
      <formula>0</formula>
    </cfRule>
  </conditionalFormatting>
  <conditionalFormatting sqref="PA43:PC43">
    <cfRule type="cellIs" dxfId="265" priority="46" operator="equal">
      <formula>0</formula>
    </cfRule>
  </conditionalFormatting>
  <conditionalFormatting sqref="PC43">
    <cfRule type="cellIs" dxfId="264" priority="45" operator="equal">
      <formula>0</formula>
    </cfRule>
  </conditionalFormatting>
  <conditionalFormatting sqref="FY45:GE45">
    <cfRule type="cellIs" dxfId="263" priority="44" operator="greaterThan">
      <formula>0</formula>
    </cfRule>
  </conditionalFormatting>
  <conditionalFormatting sqref="JJ45:JK45">
    <cfRule type="cellIs" dxfId="262" priority="43" operator="notEqual">
      <formula>0</formula>
    </cfRule>
  </conditionalFormatting>
  <conditionalFormatting sqref="KT45">
    <cfRule type="cellIs" dxfId="261" priority="42" operator="notEqual">
      <formula>0</formula>
    </cfRule>
  </conditionalFormatting>
  <conditionalFormatting sqref="OZ44:OZ45">
    <cfRule type="cellIs" dxfId="260" priority="41" operator="notEqual">
      <formula>0</formula>
    </cfRule>
  </conditionalFormatting>
  <conditionalFormatting sqref="PA44:PC45">
    <cfRule type="cellIs" dxfId="259" priority="40" operator="equal">
      <formula>0</formula>
    </cfRule>
  </conditionalFormatting>
  <conditionalFormatting sqref="PA44:PC45">
    <cfRule type="cellIs" dxfId="258" priority="39" operator="equal">
      <formula>0</formula>
    </cfRule>
  </conditionalFormatting>
  <conditionalFormatting sqref="PA44:PC45">
    <cfRule type="cellIs" dxfId="257" priority="38" operator="equal">
      <formula>0</formula>
    </cfRule>
  </conditionalFormatting>
  <conditionalFormatting sqref="PC44:PC45">
    <cfRule type="cellIs" dxfId="256" priority="37" operator="equal">
      <formula>0</formula>
    </cfRule>
  </conditionalFormatting>
  <conditionalFormatting sqref="FY44:GE44">
    <cfRule type="cellIs" dxfId="255" priority="36" operator="greaterThan">
      <formula>0</formula>
    </cfRule>
  </conditionalFormatting>
  <conditionalFormatting sqref="JJ44:JK44">
    <cfRule type="cellIs" dxfId="254" priority="35" operator="notEqual">
      <formula>0</formula>
    </cfRule>
  </conditionalFormatting>
  <conditionalFormatting sqref="KT44">
    <cfRule type="cellIs" dxfId="253" priority="34" operator="notEqual">
      <formula>0</formula>
    </cfRule>
  </conditionalFormatting>
  <conditionalFormatting sqref="FY55:GE55">
    <cfRule type="cellIs" dxfId="252" priority="33" operator="greaterThan">
      <formula>0</formula>
    </cfRule>
  </conditionalFormatting>
  <conditionalFormatting sqref="JJ55:JK55">
    <cfRule type="cellIs" dxfId="251" priority="32" operator="notEqual">
      <formula>0</formula>
    </cfRule>
  </conditionalFormatting>
  <conditionalFormatting sqref="KT55">
    <cfRule type="cellIs" dxfId="250" priority="31" operator="notEqual">
      <formula>0</formula>
    </cfRule>
  </conditionalFormatting>
  <conditionalFormatting sqref="OZ54:OZ55">
    <cfRule type="cellIs" dxfId="249" priority="30" operator="notEqual">
      <formula>0</formula>
    </cfRule>
  </conditionalFormatting>
  <conditionalFormatting sqref="PB54:PC55">
    <cfRule type="cellIs" dxfId="248" priority="29" operator="equal">
      <formula>0</formula>
    </cfRule>
  </conditionalFormatting>
  <conditionalFormatting sqref="PB54:PC55">
    <cfRule type="cellIs" dxfId="247" priority="28" operator="equal">
      <formula>0</formula>
    </cfRule>
  </conditionalFormatting>
  <conditionalFormatting sqref="PB54:PC55">
    <cfRule type="cellIs" dxfId="246" priority="27" operator="equal">
      <formula>0</formula>
    </cfRule>
  </conditionalFormatting>
  <conditionalFormatting sqref="PC54:PC55">
    <cfRule type="cellIs" dxfId="245" priority="26" operator="equal">
      <formula>0</formula>
    </cfRule>
  </conditionalFormatting>
  <conditionalFormatting sqref="FY54:GE54">
    <cfRule type="cellIs" dxfId="244" priority="25" operator="greaterThan">
      <formula>0</formula>
    </cfRule>
  </conditionalFormatting>
  <conditionalFormatting sqref="JJ54:JK54">
    <cfRule type="cellIs" dxfId="243" priority="24" operator="notEqual">
      <formula>0</formula>
    </cfRule>
  </conditionalFormatting>
  <conditionalFormatting sqref="KT54">
    <cfRule type="cellIs" dxfId="242" priority="23" operator="notEqual">
      <formula>0</formula>
    </cfRule>
  </conditionalFormatting>
  <conditionalFormatting sqref="FY50:GE50">
    <cfRule type="cellIs" dxfId="241" priority="22" operator="greaterThan">
      <formula>0</formula>
    </cfRule>
  </conditionalFormatting>
  <conditionalFormatting sqref="JJ50:JK50">
    <cfRule type="cellIs" dxfId="240" priority="21" operator="notEqual">
      <formula>0</formula>
    </cfRule>
  </conditionalFormatting>
  <conditionalFormatting sqref="KT50">
    <cfRule type="cellIs" dxfId="239" priority="20" operator="notEqual">
      <formula>0</formula>
    </cfRule>
  </conditionalFormatting>
  <conditionalFormatting sqref="OZ50">
    <cfRule type="cellIs" dxfId="238" priority="19" operator="notEqual">
      <formula>0</formula>
    </cfRule>
  </conditionalFormatting>
  <conditionalFormatting sqref="PA50:PC50">
    <cfRule type="cellIs" dxfId="237" priority="18" operator="equal">
      <formula>0</formula>
    </cfRule>
  </conditionalFormatting>
  <conditionalFormatting sqref="PA56">
    <cfRule type="cellIs" dxfId="236" priority="17" operator="equal">
      <formula>0</formula>
    </cfRule>
  </conditionalFormatting>
  <conditionalFormatting sqref="PA53">
    <cfRule type="cellIs" dxfId="235" priority="16" operator="equal">
      <formula>0</formula>
    </cfRule>
  </conditionalFormatting>
  <conditionalFormatting sqref="PA53">
    <cfRule type="cellIs" dxfId="234" priority="15" operator="equal">
      <formula>0</formula>
    </cfRule>
  </conditionalFormatting>
  <conditionalFormatting sqref="PA53">
    <cfRule type="cellIs" dxfId="233" priority="14" operator="equal">
      <formula>0</formula>
    </cfRule>
  </conditionalFormatting>
  <conditionalFormatting sqref="PA54:PA55">
    <cfRule type="cellIs" dxfId="232" priority="13" operator="equal">
      <formula>0</formula>
    </cfRule>
  </conditionalFormatting>
  <conditionalFormatting sqref="PA54:PA55">
    <cfRule type="cellIs" dxfId="231" priority="12" operator="equal">
      <formula>0</formula>
    </cfRule>
  </conditionalFormatting>
  <conditionalFormatting sqref="PA54:PA55">
    <cfRule type="cellIs" dxfId="230" priority="11" operator="equal">
      <formula>0</formula>
    </cfRule>
  </conditionalFormatting>
  <conditionalFormatting sqref="PA49">
    <cfRule type="cellIs" dxfId="229" priority="10" operator="equal">
      <formula>0</formula>
    </cfRule>
  </conditionalFormatting>
  <conditionalFormatting sqref="PA49">
    <cfRule type="cellIs" dxfId="228" priority="9" operator="equal">
      <formula>0</formula>
    </cfRule>
  </conditionalFormatting>
  <conditionalFormatting sqref="PA49">
    <cfRule type="cellIs" dxfId="227" priority="8" operator="equal">
      <formula>0</formula>
    </cfRule>
  </conditionalFormatting>
  <conditionalFormatting sqref="PA48">
    <cfRule type="cellIs" dxfId="226" priority="7" operator="equal">
      <formula>0</formula>
    </cfRule>
  </conditionalFormatting>
  <conditionalFormatting sqref="PA48">
    <cfRule type="cellIs" dxfId="225" priority="6" operator="equal">
      <formula>0</formula>
    </cfRule>
  </conditionalFormatting>
  <conditionalFormatting sqref="PA48">
    <cfRule type="cellIs" dxfId="224" priority="5" operator="equal">
      <formula>0</formula>
    </cfRule>
  </conditionalFormatting>
  <conditionalFormatting sqref="PD9:PF56">
    <cfRule type="cellIs" dxfId="223" priority="4" operator="equal">
      <formula>0</formula>
    </cfRule>
  </conditionalFormatting>
  <conditionalFormatting sqref="PD9:PF56">
    <cfRule type="cellIs" dxfId="222" priority="3" operator="equal">
      <formula>0</formula>
    </cfRule>
  </conditionalFormatting>
  <conditionalFormatting sqref="PD9:PF56">
    <cfRule type="cellIs" dxfId="221" priority="2" operator="equal">
      <formula>0</formula>
    </cfRule>
  </conditionalFormatting>
  <conditionalFormatting sqref="PD9:PF56">
    <cfRule type="cellIs" dxfId="220" priority="1" operator="equal">
      <formula>0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Q58"/>
  <sheetViews>
    <sheetView showGridLines="0" zoomScale="92" zoomScaleNormal="55" workbookViewId="0">
      <pane xSplit="5" ySplit="8" topLeftCell="OT9" activePane="bottomRight" state="frozen"/>
      <selection activeCell="NZ67" sqref="NZ67"/>
      <selection pane="topRight" activeCell="NZ67" sqref="NZ67"/>
      <selection pane="bottomLeft" activeCell="NZ67" sqref="NZ67"/>
      <selection pane="bottomRight" activeCell="NZ67" sqref="NZ67"/>
    </sheetView>
  </sheetViews>
  <sheetFormatPr baseColWidth="10" defaultColWidth="8.5" defaultRowHeight="15" x14ac:dyDescent="0.2"/>
  <cols>
    <col min="1" max="1" width="9.5" customWidth="1"/>
    <col min="2" max="2" width="43.83203125" customWidth="1"/>
    <col min="3" max="3" width="10.5" bestFit="1" customWidth="1"/>
    <col min="4" max="4" width="7.5" bestFit="1" customWidth="1"/>
    <col min="5" max="5" width="10" bestFit="1" customWidth="1"/>
    <col min="6" max="6" width="7.5" bestFit="1" customWidth="1"/>
    <col min="7" max="8" width="10.5" bestFit="1" customWidth="1"/>
    <col min="9" max="9" width="11.5" bestFit="1" customWidth="1"/>
    <col min="10" max="10" width="7.5" bestFit="1" customWidth="1"/>
    <col min="11" max="11" width="8.5" bestFit="1" customWidth="1"/>
    <col min="12" max="12" width="10.5" bestFit="1" customWidth="1"/>
    <col min="13" max="13" width="8.5" bestFit="1" customWidth="1"/>
    <col min="14" max="14" width="7.5" bestFit="1" customWidth="1"/>
    <col min="15" max="15" width="8.5" bestFit="1" customWidth="1"/>
    <col min="16" max="16" width="10.5" bestFit="1" customWidth="1"/>
    <col min="17" max="17" width="8.5" bestFit="1" customWidth="1"/>
    <col min="18" max="18" width="7.5" bestFit="1" customWidth="1"/>
    <col min="19" max="19" width="8.5" bestFit="1" customWidth="1"/>
    <col min="20" max="20" width="10.5" bestFit="1" customWidth="1"/>
    <col min="21" max="21" width="8.5" bestFit="1" customWidth="1"/>
    <col min="22" max="23" width="7.5" bestFit="1" customWidth="1"/>
    <col min="24" max="24" width="10.5" bestFit="1" customWidth="1"/>
    <col min="25" max="25" width="8.5" bestFit="1" customWidth="1"/>
    <col min="26" max="26" width="13" bestFit="1" customWidth="1"/>
    <col min="27" max="32" width="13" customWidth="1"/>
    <col min="33" max="33" width="17.5" customWidth="1"/>
    <col min="34" max="34" width="13.5" bestFit="1" customWidth="1"/>
    <col min="37" max="37" width="21.5" bestFit="1" customWidth="1"/>
    <col min="38" max="39" width="16.5" customWidth="1"/>
    <col min="40" max="40" width="23.5" customWidth="1"/>
    <col min="135" max="135" width="84.5" bestFit="1" customWidth="1"/>
    <col min="137" max="138" width="12.5" customWidth="1"/>
    <col min="139" max="177" width="15.5" customWidth="1"/>
    <col min="273" max="273" width="9.5" bestFit="1" customWidth="1"/>
    <col min="390" max="390" width="14.5" bestFit="1" customWidth="1"/>
    <col min="391" max="391" width="10.5" bestFit="1" customWidth="1"/>
    <col min="392" max="392" width="11.5" bestFit="1" customWidth="1"/>
  </cols>
  <sheetData>
    <row r="1" spans="1:433" ht="24" x14ac:dyDescent="0.2">
      <c r="A1" s="1" t="s">
        <v>0</v>
      </c>
      <c r="B1" s="2"/>
      <c r="C1" s="2"/>
      <c r="D1" s="2"/>
      <c r="E1" s="2"/>
      <c r="F1" s="2"/>
      <c r="G1" s="3"/>
      <c r="H1" s="3"/>
      <c r="I1" s="4"/>
      <c r="J1" s="4"/>
      <c r="K1" s="4"/>
      <c r="L1" s="4"/>
      <c r="M1" s="4"/>
      <c r="N1" s="4"/>
      <c r="O1" s="4"/>
      <c r="P1" s="4"/>
      <c r="Q1" s="4"/>
      <c r="R1" s="2"/>
      <c r="S1" s="2"/>
      <c r="T1" s="2"/>
      <c r="U1" s="2"/>
      <c r="V1" s="5"/>
      <c r="W1" s="5"/>
      <c r="X1" s="5"/>
      <c r="Y1" s="5"/>
      <c r="Z1" s="2"/>
      <c r="AA1" s="7"/>
      <c r="AB1" s="7"/>
      <c r="AC1" s="7"/>
      <c r="AD1" s="7"/>
      <c r="AE1" s="7"/>
      <c r="AF1" s="34" t="s">
        <v>294</v>
      </c>
      <c r="AG1" s="34" t="s">
        <v>296</v>
      </c>
      <c r="BF1" s="34" t="s">
        <v>294</v>
      </c>
      <c r="BG1" s="34"/>
      <c r="BH1" s="34" t="s">
        <v>296</v>
      </c>
      <c r="EI1" s="47">
        <v>1</v>
      </c>
      <c r="EJ1" s="47">
        <f>EI1+1</f>
        <v>2</v>
      </c>
      <c r="EK1" s="47">
        <f t="shared" ref="EK1:FF1" si="0">EJ1+1</f>
        <v>3</v>
      </c>
      <c r="EL1" s="47">
        <f t="shared" si="0"/>
        <v>4</v>
      </c>
      <c r="EM1" s="47">
        <f t="shared" si="0"/>
        <v>5</v>
      </c>
      <c r="EN1" s="47">
        <f t="shared" si="0"/>
        <v>6</v>
      </c>
      <c r="EO1" s="47">
        <f t="shared" si="0"/>
        <v>7</v>
      </c>
      <c r="EP1" s="47">
        <f t="shared" si="0"/>
        <v>8</v>
      </c>
      <c r="EQ1" s="47">
        <f t="shared" si="0"/>
        <v>9</v>
      </c>
      <c r="ER1" s="47">
        <f t="shared" si="0"/>
        <v>10</v>
      </c>
      <c r="ES1" s="47">
        <f t="shared" si="0"/>
        <v>11</v>
      </c>
      <c r="ET1" s="47">
        <f t="shared" si="0"/>
        <v>12</v>
      </c>
      <c r="EU1" s="47">
        <f t="shared" si="0"/>
        <v>13</v>
      </c>
      <c r="EV1" s="47">
        <f t="shared" si="0"/>
        <v>14</v>
      </c>
      <c r="EW1" s="47">
        <f t="shared" si="0"/>
        <v>15</v>
      </c>
      <c r="EX1" s="47">
        <f t="shared" si="0"/>
        <v>16</v>
      </c>
      <c r="EY1" s="47">
        <f t="shared" si="0"/>
        <v>17</v>
      </c>
      <c r="EZ1" s="47">
        <f t="shared" si="0"/>
        <v>18</v>
      </c>
      <c r="FA1" s="47">
        <f t="shared" si="0"/>
        <v>19</v>
      </c>
      <c r="FB1" s="47">
        <f t="shared" si="0"/>
        <v>20</v>
      </c>
      <c r="FC1" s="47">
        <f t="shared" si="0"/>
        <v>21</v>
      </c>
      <c r="FD1" s="47">
        <f t="shared" si="0"/>
        <v>22</v>
      </c>
      <c r="FE1" s="47">
        <f t="shared" si="0"/>
        <v>23</v>
      </c>
      <c r="FF1" s="47">
        <f t="shared" si="0"/>
        <v>24</v>
      </c>
      <c r="FH1" s="47">
        <f t="shared" ref="FH1:FV1" si="1">FG1+1</f>
        <v>1</v>
      </c>
      <c r="FI1" s="47">
        <f t="shared" si="1"/>
        <v>2</v>
      </c>
      <c r="FJ1" s="47">
        <f t="shared" si="1"/>
        <v>3</v>
      </c>
      <c r="FK1" s="47">
        <f t="shared" si="1"/>
        <v>4</v>
      </c>
      <c r="FL1" s="47">
        <f t="shared" si="1"/>
        <v>5</v>
      </c>
      <c r="FM1" s="47">
        <f t="shared" si="1"/>
        <v>6</v>
      </c>
      <c r="FN1" s="47">
        <f t="shared" si="1"/>
        <v>7</v>
      </c>
      <c r="FO1" s="47">
        <f t="shared" si="1"/>
        <v>8</v>
      </c>
      <c r="FP1" s="47">
        <f t="shared" si="1"/>
        <v>9</v>
      </c>
      <c r="FQ1" s="47">
        <f t="shared" si="1"/>
        <v>10</v>
      </c>
      <c r="FR1" s="47">
        <f t="shared" si="1"/>
        <v>11</v>
      </c>
      <c r="FS1" s="47">
        <f t="shared" si="1"/>
        <v>12</v>
      </c>
      <c r="FT1" s="47">
        <f t="shared" si="1"/>
        <v>13</v>
      </c>
      <c r="FU1" s="47">
        <f t="shared" si="1"/>
        <v>14</v>
      </c>
      <c r="FV1" s="47">
        <f t="shared" si="1"/>
        <v>15</v>
      </c>
      <c r="GO1" s="83"/>
      <c r="GP1" s="83"/>
      <c r="GQ1" s="83"/>
      <c r="GR1" s="83"/>
      <c r="GS1" s="83"/>
      <c r="GT1" s="83"/>
      <c r="GU1" s="83"/>
      <c r="GV1" s="83"/>
      <c r="GW1" s="83"/>
      <c r="GX1" s="83"/>
      <c r="GY1" s="83"/>
      <c r="GZ1" s="83"/>
      <c r="HA1" s="83"/>
      <c r="HB1" s="83"/>
      <c r="HC1" s="83"/>
      <c r="HD1" s="83"/>
      <c r="HE1" s="83"/>
      <c r="HF1" s="83"/>
      <c r="HG1" s="83"/>
      <c r="HH1" s="83"/>
      <c r="HI1" s="83"/>
      <c r="HJ1" s="83"/>
      <c r="HK1" s="83"/>
      <c r="HL1" s="83"/>
      <c r="HM1" s="83"/>
      <c r="HN1" s="83"/>
      <c r="HO1" s="83"/>
      <c r="HP1" s="84"/>
      <c r="HQ1" s="84"/>
      <c r="HR1" s="84"/>
      <c r="HS1" s="84" t="s">
        <v>425</v>
      </c>
      <c r="HT1" s="84"/>
      <c r="HU1" s="84"/>
      <c r="HV1" s="84"/>
      <c r="HW1" s="84"/>
      <c r="HX1" s="84"/>
      <c r="HY1" s="84"/>
      <c r="HZ1" s="84"/>
      <c r="IA1" s="84"/>
      <c r="IB1" s="84"/>
      <c r="IC1" s="84"/>
      <c r="ID1" s="84"/>
      <c r="IE1" s="84"/>
      <c r="IF1" s="84"/>
      <c r="IG1" s="84"/>
      <c r="IH1" s="84"/>
      <c r="II1" s="84"/>
      <c r="IJ1" s="84"/>
      <c r="IK1" s="84"/>
      <c r="IL1" s="84"/>
      <c r="IM1" s="83"/>
      <c r="IN1" s="83"/>
      <c r="IO1" s="83"/>
      <c r="IP1" s="83"/>
      <c r="IQ1" s="83"/>
      <c r="IR1" s="83"/>
      <c r="IS1" s="83"/>
      <c r="IT1" s="83"/>
      <c r="IU1" s="83"/>
      <c r="IV1" s="83"/>
      <c r="IW1" s="83"/>
      <c r="IX1" s="83"/>
      <c r="IY1" s="83"/>
      <c r="IZ1" s="83"/>
      <c r="JA1" s="83"/>
      <c r="JB1" s="83"/>
      <c r="JC1" s="83"/>
      <c r="JD1" s="83"/>
      <c r="JE1" s="83"/>
      <c r="JF1" s="83"/>
      <c r="JG1" s="83"/>
      <c r="JH1" s="83"/>
      <c r="JI1" s="83"/>
      <c r="JJ1" s="83"/>
      <c r="JK1" s="83"/>
      <c r="KS1">
        <v>1</v>
      </c>
      <c r="KT1" t="s">
        <v>580</v>
      </c>
      <c r="PO1" s="557" t="s">
        <v>630</v>
      </c>
      <c r="PP1" s="558"/>
      <c r="PQ1" s="559"/>
    </row>
    <row r="2" spans="1:433" ht="23.75" customHeight="1" x14ac:dyDescent="0.2">
      <c r="A2" s="6" t="s">
        <v>23</v>
      </c>
      <c r="B2" s="7"/>
      <c r="C2" s="7"/>
      <c r="D2" s="7"/>
      <c r="E2" s="7"/>
      <c r="F2" s="7"/>
      <c r="G2" s="8"/>
      <c r="H2" s="8"/>
      <c r="I2" s="9"/>
      <c r="J2" s="9"/>
      <c r="K2" s="9"/>
      <c r="L2" s="9"/>
      <c r="M2" s="9"/>
      <c r="N2" s="9"/>
      <c r="O2" s="9"/>
      <c r="P2" s="9"/>
      <c r="Q2" s="9"/>
      <c r="R2" s="7"/>
      <c r="S2" s="7"/>
      <c r="T2" s="7"/>
      <c r="U2" s="7"/>
      <c r="V2" s="10"/>
      <c r="W2" s="10"/>
      <c r="X2" s="10"/>
      <c r="Y2" s="10"/>
      <c r="Z2" s="7"/>
      <c r="AA2" s="7"/>
      <c r="AB2" s="7"/>
      <c r="AC2" s="7"/>
      <c r="AD2" s="7"/>
      <c r="AE2" s="7"/>
      <c r="AF2" s="34" t="s">
        <v>295</v>
      </c>
      <c r="AG2" s="35" t="s">
        <v>297</v>
      </c>
      <c r="BF2" s="34" t="s">
        <v>295</v>
      </c>
      <c r="BG2" s="34"/>
      <c r="BH2" s="35" t="s">
        <v>297</v>
      </c>
      <c r="BN2" s="30" t="s">
        <v>338</v>
      </c>
      <c r="CD2" s="30" t="s">
        <v>338</v>
      </c>
      <c r="ED2" s="48"/>
      <c r="EE2" s="49"/>
      <c r="EG2" s="533" t="s">
        <v>388</v>
      </c>
      <c r="EH2" s="533" t="s">
        <v>352</v>
      </c>
      <c r="EI2" s="429" t="s">
        <v>387</v>
      </c>
      <c r="EJ2" s="429" t="s">
        <v>482</v>
      </c>
      <c r="EK2" s="507" t="s">
        <v>483</v>
      </c>
      <c r="EL2" s="508"/>
      <c r="EM2" s="508"/>
      <c r="EN2" s="508"/>
      <c r="EO2" s="508"/>
      <c r="EP2" s="509"/>
      <c r="EQ2" s="429" t="s">
        <v>353</v>
      </c>
      <c r="ER2" s="429" t="s">
        <v>484</v>
      </c>
      <c r="ES2" s="429" t="s">
        <v>354</v>
      </c>
      <c r="ET2" s="429" t="s">
        <v>397</v>
      </c>
      <c r="EU2" s="429" t="s">
        <v>485</v>
      </c>
      <c r="EV2" s="429" t="s">
        <v>355</v>
      </c>
      <c r="EW2" s="507" t="s">
        <v>486</v>
      </c>
      <c r="EX2" s="508"/>
      <c r="EY2" s="509"/>
      <c r="EZ2" s="429" t="s">
        <v>356</v>
      </c>
      <c r="FA2" s="429" t="s">
        <v>357</v>
      </c>
      <c r="FB2" s="429" t="s">
        <v>358</v>
      </c>
      <c r="FC2" s="429" t="s">
        <v>623</v>
      </c>
      <c r="FD2" s="429" t="s">
        <v>359</v>
      </c>
      <c r="FE2" s="429" t="s">
        <v>360</v>
      </c>
      <c r="FF2" s="429" t="s">
        <v>629</v>
      </c>
      <c r="FH2" s="429" t="s">
        <v>11</v>
      </c>
      <c r="FI2" s="429" t="s">
        <v>487</v>
      </c>
      <c r="FJ2" s="429" t="s">
        <v>488</v>
      </c>
      <c r="FK2" s="429" t="s">
        <v>489</v>
      </c>
      <c r="FL2" s="429" t="s">
        <v>490</v>
      </c>
      <c r="FM2" s="429" t="s">
        <v>491</v>
      </c>
      <c r="FN2" s="429" t="s">
        <v>492</v>
      </c>
      <c r="FO2" s="429" t="s">
        <v>493</v>
      </c>
      <c r="FP2" s="429" t="s">
        <v>494</v>
      </c>
      <c r="FQ2" s="429" t="s">
        <v>495</v>
      </c>
      <c r="FR2" s="429" t="s">
        <v>496</v>
      </c>
      <c r="FS2" s="429" t="s">
        <v>497</v>
      </c>
      <c r="FT2" s="429" t="s">
        <v>498</v>
      </c>
      <c r="FU2" s="429" t="s">
        <v>499</v>
      </c>
      <c r="FV2" s="429" t="s">
        <v>500</v>
      </c>
      <c r="GO2" s="83"/>
      <c r="GP2" s="83"/>
      <c r="GQ2" s="83"/>
      <c r="GR2" s="83"/>
      <c r="GS2" s="83"/>
      <c r="GT2" s="83"/>
      <c r="GU2" s="83" t="s">
        <v>467</v>
      </c>
      <c r="GV2" s="83"/>
      <c r="GW2" s="83"/>
      <c r="GX2" s="83"/>
      <c r="GY2" s="83"/>
      <c r="GZ2" s="83"/>
      <c r="HA2" s="83"/>
      <c r="HB2" s="83"/>
      <c r="HC2" s="83"/>
      <c r="HD2" s="83"/>
      <c r="HE2" s="83"/>
      <c r="HF2" s="83"/>
      <c r="HG2" s="83"/>
      <c r="HH2" s="83"/>
      <c r="HI2" s="83"/>
      <c r="HJ2" s="83"/>
      <c r="HK2" s="83"/>
      <c r="HL2" s="83"/>
      <c r="HM2" s="83"/>
      <c r="HN2" s="83"/>
      <c r="HO2" s="83"/>
      <c r="HP2" s="82"/>
      <c r="HQ2" s="82"/>
      <c r="HR2" s="82"/>
      <c r="HS2" t="s">
        <v>426</v>
      </c>
      <c r="HT2" s="82"/>
      <c r="HU2" s="82"/>
      <c r="HV2" s="82"/>
      <c r="HW2" s="82"/>
      <c r="HX2" s="82"/>
      <c r="HY2" s="82"/>
      <c r="HZ2" s="82"/>
      <c r="IA2" s="82"/>
      <c r="IB2" s="82"/>
      <c r="IC2" s="82"/>
      <c r="ID2" s="82"/>
      <c r="IE2" s="82"/>
      <c r="IF2" s="82"/>
      <c r="IG2" s="82"/>
      <c r="IH2" s="82"/>
      <c r="II2" s="82"/>
      <c r="IJ2" s="82"/>
      <c r="IK2" s="82"/>
      <c r="IL2" s="82"/>
      <c r="IM2" s="83"/>
      <c r="IN2" s="83"/>
      <c r="IO2" s="83"/>
      <c r="IP2" s="83"/>
      <c r="IQ2" s="83"/>
      <c r="IR2" s="83"/>
      <c r="IS2" s="83"/>
      <c r="IT2" s="83"/>
      <c r="IU2" s="83"/>
      <c r="IV2" s="83"/>
      <c r="IW2" s="83"/>
      <c r="IX2" s="83"/>
      <c r="IY2" s="83"/>
      <c r="IZ2" s="83"/>
      <c r="JA2" s="83"/>
      <c r="JB2" s="83"/>
      <c r="JC2" s="83"/>
      <c r="JD2" s="83"/>
      <c r="JE2" s="83"/>
      <c r="JF2" s="83"/>
      <c r="JG2" s="83"/>
      <c r="JH2" s="83"/>
      <c r="JI2" s="83"/>
      <c r="JJ2" s="83"/>
      <c r="JK2" s="83"/>
      <c r="JP2" s="30" t="s">
        <v>338</v>
      </c>
      <c r="KB2" s="121" t="s">
        <v>477</v>
      </c>
      <c r="KF2" s="30" t="s">
        <v>338</v>
      </c>
      <c r="KR2" s="121" t="s">
        <v>477</v>
      </c>
      <c r="KS2">
        <v>2</v>
      </c>
      <c r="KT2" t="s">
        <v>581</v>
      </c>
      <c r="PO2" s="560" t="s">
        <v>623</v>
      </c>
      <c r="PP2" s="563" t="s">
        <v>629</v>
      </c>
      <c r="PQ2" s="563" t="s">
        <v>631</v>
      </c>
    </row>
    <row r="3" spans="1:433" ht="24" x14ac:dyDescent="0.2">
      <c r="A3" s="6" t="s">
        <v>424</v>
      </c>
      <c r="B3" s="82"/>
      <c r="C3" s="6"/>
      <c r="D3" s="584">
        <f>Jaticempaka!D3</f>
        <v>44201</v>
      </c>
      <c r="E3" s="585"/>
      <c r="F3" s="7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7"/>
      <c r="S3" s="7"/>
      <c r="T3" s="7"/>
      <c r="U3" s="7"/>
      <c r="V3" s="10"/>
      <c r="W3" s="10"/>
      <c r="X3" s="10"/>
      <c r="Y3" s="10"/>
      <c r="Z3" s="7"/>
      <c r="AA3" s="7"/>
      <c r="AB3" s="7"/>
      <c r="AC3" s="7"/>
      <c r="AD3" s="7"/>
      <c r="AE3" s="7"/>
      <c r="AF3" s="33"/>
      <c r="AG3" s="33"/>
      <c r="BF3" s="33"/>
      <c r="BG3" s="36"/>
      <c r="BH3" s="36"/>
      <c r="BN3" s="46" t="s">
        <v>336</v>
      </c>
      <c r="BO3" s="529" t="s">
        <v>337</v>
      </c>
      <c r="BP3" s="529"/>
      <c r="BQ3" s="529"/>
      <c r="BR3" s="529"/>
      <c r="BS3" s="529"/>
      <c r="BT3" s="529"/>
      <c r="BU3" s="529"/>
      <c r="BV3" s="529"/>
      <c r="BW3" s="529"/>
      <c r="BX3" s="529"/>
      <c r="BY3" s="529"/>
      <c r="BZ3" s="529"/>
      <c r="CB3" s="30" t="s">
        <v>340</v>
      </c>
      <c r="CD3" s="46"/>
      <c r="CE3" s="529"/>
      <c r="CF3" s="529"/>
      <c r="CG3" s="529"/>
      <c r="CH3" s="529"/>
      <c r="CI3" s="529"/>
      <c r="CJ3" s="529"/>
      <c r="CK3" s="529"/>
      <c r="CL3" s="529"/>
      <c r="CM3" s="529"/>
      <c r="CN3" s="529"/>
      <c r="CO3" s="529"/>
      <c r="CP3" s="529"/>
      <c r="ED3" s="50"/>
      <c r="EE3" s="51"/>
      <c r="EG3" s="533"/>
      <c r="EH3" s="533"/>
      <c r="EI3" s="429"/>
      <c r="EJ3" s="429"/>
      <c r="EK3" s="510" t="s">
        <v>308</v>
      </c>
      <c r="EL3" s="510" t="s">
        <v>501</v>
      </c>
      <c r="EM3" s="510" t="s">
        <v>502</v>
      </c>
      <c r="EN3" s="510" t="s">
        <v>503</v>
      </c>
      <c r="EO3" s="510"/>
      <c r="EP3" s="510"/>
      <c r="EQ3" s="429"/>
      <c r="ER3" s="429"/>
      <c r="ES3" s="429"/>
      <c r="ET3" s="429"/>
      <c r="EU3" s="429"/>
      <c r="EV3" s="429"/>
      <c r="EW3" s="510" t="s">
        <v>504</v>
      </c>
      <c r="EX3" s="510" t="s">
        <v>309</v>
      </c>
      <c r="EY3" s="510" t="s">
        <v>505</v>
      </c>
      <c r="EZ3" s="429"/>
      <c r="FA3" s="429"/>
      <c r="FB3" s="429"/>
      <c r="FC3" s="429"/>
      <c r="FD3" s="429"/>
      <c r="FE3" s="429"/>
      <c r="FF3" s="429"/>
      <c r="FH3" s="429"/>
      <c r="FI3" s="429"/>
      <c r="FJ3" s="429"/>
      <c r="FK3" s="429"/>
      <c r="FL3" s="429"/>
      <c r="FM3" s="429"/>
      <c r="FN3" s="429"/>
      <c r="FO3" s="429"/>
      <c r="FP3" s="429"/>
      <c r="FQ3" s="429"/>
      <c r="FR3" s="429"/>
      <c r="FS3" s="429"/>
      <c r="FT3" s="429"/>
      <c r="FU3" s="429"/>
      <c r="FV3" s="429"/>
      <c r="GU3" s="85">
        <v>43243</v>
      </c>
      <c r="GX3" s="519" t="s">
        <v>427</v>
      </c>
      <c r="GY3" s="520"/>
      <c r="GZ3" s="86"/>
      <c r="HA3" s="83"/>
      <c r="HB3" s="83"/>
      <c r="HC3" s="86"/>
      <c r="HD3" s="86"/>
      <c r="HE3" s="86"/>
      <c r="HF3" s="82"/>
      <c r="HG3" s="82"/>
      <c r="HH3" s="82" t="s">
        <v>428</v>
      </c>
      <c r="HI3" s="82"/>
      <c r="HJ3" s="86"/>
      <c r="HK3" s="82"/>
      <c r="HL3" s="83"/>
      <c r="HM3" s="83"/>
      <c r="HN3" s="83"/>
      <c r="HO3" s="83"/>
      <c r="HP3" s="86"/>
      <c r="HQ3" s="86"/>
      <c r="HR3" s="86"/>
      <c r="HS3" t="s">
        <v>429</v>
      </c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 t="s">
        <v>430</v>
      </c>
      <c r="II3" s="86"/>
      <c r="IJ3" s="86"/>
      <c r="IK3" s="86"/>
      <c r="IL3" s="86"/>
      <c r="IM3" s="83"/>
      <c r="IN3" s="83"/>
      <c r="IO3" s="83"/>
      <c r="IP3" s="83"/>
      <c r="IQ3" s="83"/>
      <c r="IR3" s="83"/>
      <c r="IS3" s="83"/>
      <c r="IT3" s="83"/>
      <c r="IU3" s="83"/>
      <c r="IV3" s="83"/>
      <c r="IW3" s="83"/>
      <c r="IX3" s="83"/>
      <c r="IY3" s="83"/>
      <c r="IZ3" s="83"/>
      <c r="JA3" s="83"/>
      <c r="JB3" s="83"/>
      <c r="JC3" s="83"/>
      <c r="JD3" s="83"/>
      <c r="JE3" s="83"/>
      <c r="JF3" s="83"/>
      <c r="JG3" s="83"/>
      <c r="JH3" s="83"/>
      <c r="JI3" s="83"/>
      <c r="JJ3" s="83"/>
      <c r="JK3" s="83"/>
      <c r="JP3" s="46" t="s">
        <v>336</v>
      </c>
      <c r="JQ3" s="529" t="s">
        <v>337</v>
      </c>
      <c r="JR3" s="529"/>
      <c r="JS3" s="529"/>
      <c r="JT3" s="529"/>
      <c r="JU3" s="529"/>
      <c r="JV3" s="529"/>
      <c r="JW3" s="529"/>
      <c r="JX3" s="529"/>
      <c r="JY3" s="529"/>
      <c r="JZ3" s="529"/>
      <c r="KA3" s="529"/>
      <c r="KB3" s="529"/>
      <c r="KF3" s="46"/>
      <c r="KG3" s="529"/>
      <c r="KH3" s="529"/>
      <c r="KI3" s="529"/>
      <c r="KJ3" s="529"/>
      <c r="KK3" s="529"/>
      <c r="KL3" s="529"/>
      <c r="KM3" s="529"/>
      <c r="KN3" s="529"/>
      <c r="KO3" s="529"/>
      <c r="KP3" s="529"/>
      <c r="KQ3" s="529"/>
      <c r="KR3" s="529"/>
      <c r="KS3">
        <v>3</v>
      </c>
      <c r="KT3" t="s">
        <v>582</v>
      </c>
      <c r="KU3" s="30" t="s">
        <v>508</v>
      </c>
      <c r="PO3" s="561"/>
      <c r="PP3" s="563"/>
      <c r="PQ3" s="563"/>
    </row>
    <row r="4" spans="1:433" ht="15.5" customHeight="1" thickBot="1" x14ac:dyDescent="0.25">
      <c r="A4" s="479" t="s">
        <v>1</v>
      </c>
      <c r="B4" s="479" t="s">
        <v>2</v>
      </c>
      <c r="C4" s="479" t="s">
        <v>3</v>
      </c>
      <c r="D4" s="482" t="s">
        <v>4</v>
      </c>
      <c r="E4" s="483"/>
      <c r="F4" s="499" t="s">
        <v>5</v>
      </c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0"/>
      <c r="AA4" s="500"/>
      <c r="AB4" s="500"/>
      <c r="AC4" s="500"/>
      <c r="AD4" s="500"/>
      <c r="AE4" s="501"/>
      <c r="AF4" s="431" t="s">
        <v>298</v>
      </c>
      <c r="AG4" s="432"/>
      <c r="AH4" s="433"/>
      <c r="AI4" s="496" t="s">
        <v>261</v>
      </c>
      <c r="AJ4" s="497"/>
      <c r="AK4" s="498"/>
      <c r="AL4" s="573" t="s">
        <v>292</v>
      </c>
      <c r="AM4" s="574"/>
      <c r="AN4" s="566" t="s">
        <v>312</v>
      </c>
      <c r="AO4" s="489" t="s">
        <v>264</v>
      </c>
      <c r="AP4" s="482"/>
      <c r="AQ4" s="482"/>
      <c r="AR4" s="482"/>
      <c r="AS4" s="482"/>
      <c r="AT4" s="482"/>
      <c r="AU4" s="482"/>
      <c r="AV4" s="482"/>
      <c r="AW4" s="482"/>
      <c r="AX4" s="482"/>
      <c r="AY4" s="482"/>
      <c r="AZ4" s="483"/>
      <c r="BA4" s="586" t="s">
        <v>341</v>
      </c>
      <c r="BB4" s="570" t="s">
        <v>349</v>
      </c>
      <c r="BE4" s="431" t="s">
        <v>298</v>
      </c>
      <c r="BF4" s="432"/>
      <c r="BG4" s="432"/>
      <c r="BH4" s="432"/>
      <c r="BI4" s="432"/>
      <c r="BJ4" s="432"/>
      <c r="BK4" s="433"/>
      <c r="BN4" s="400" t="s">
        <v>319</v>
      </c>
      <c r="BO4" s="397" t="s">
        <v>320</v>
      </c>
      <c r="BP4" s="468" t="s">
        <v>321</v>
      </c>
      <c r="BQ4" s="468"/>
      <c r="BR4" s="468"/>
      <c r="BS4" s="468"/>
      <c r="BT4" s="468"/>
      <c r="BU4" s="468"/>
      <c r="BV4" s="468"/>
      <c r="BW4" s="468"/>
      <c r="BX4" s="468"/>
      <c r="BY4" s="468"/>
      <c r="BZ4" s="468"/>
      <c r="CB4" s="469" t="s">
        <v>339</v>
      </c>
      <c r="CD4" s="400" t="s">
        <v>319</v>
      </c>
      <c r="CE4" s="397" t="s">
        <v>320</v>
      </c>
      <c r="CF4" s="468" t="s">
        <v>321</v>
      </c>
      <c r="CG4" s="468"/>
      <c r="CH4" s="468"/>
      <c r="CI4" s="468"/>
      <c r="CJ4" s="468"/>
      <c r="CK4" s="468"/>
      <c r="CL4" s="468"/>
      <c r="CM4" s="468"/>
      <c r="CN4" s="468"/>
      <c r="CO4" s="468"/>
      <c r="CP4" s="468"/>
      <c r="DV4" s="513" t="s">
        <v>350</v>
      </c>
      <c r="DW4" s="514"/>
      <c r="DX4" s="514"/>
      <c r="DY4" s="514"/>
      <c r="DZ4" s="514"/>
      <c r="EA4" s="514"/>
      <c r="EB4" s="515"/>
      <c r="ED4" s="50"/>
      <c r="EE4" s="51"/>
      <c r="EG4" s="533"/>
      <c r="EH4" s="533"/>
      <c r="EI4" s="429"/>
      <c r="EJ4" s="429"/>
      <c r="EK4" s="511"/>
      <c r="EL4" s="511"/>
      <c r="EM4" s="511"/>
      <c r="EN4" s="511"/>
      <c r="EO4" s="511"/>
      <c r="EP4" s="511"/>
      <c r="EQ4" s="429"/>
      <c r="ER4" s="429"/>
      <c r="ES4" s="429"/>
      <c r="ET4" s="429"/>
      <c r="EU4" s="429"/>
      <c r="EV4" s="429"/>
      <c r="EW4" s="511"/>
      <c r="EX4" s="511"/>
      <c r="EY4" s="511"/>
      <c r="EZ4" s="429"/>
      <c r="FA4" s="429"/>
      <c r="FB4" s="429"/>
      <c r="FC4" s="429"/>
      <c r="FD4" s="429"/>
      <c r="FE4" s="429"/>
      <c r="FF4" s="429"/>
      <c r="FH4" s="429"/>
      <c r="FI4" s="429"/>
      <c r="FJ4" s="429"/>
      <c r="FK4" s="429"/>
      <c r="FL4" s="429"/>
      <c r="FM4" s="429"/>
      <c r="FN4" s="429"/>
      <c r="FO4" s="429"/>
      <c r="FP4" s="429"/>
      <c r="FQ4" s="429"/>
      <c r="FR4" s="429"/>
      <c r="FS4" s="429"/>
      <c r="FT4" s="429"/>
      <c r="FU4" s="429"/>
      <c r="FV4" s="429"/>
      <c r="FX4" s="365" t="s">
        <v>624</v>
      </c>
      <c r="FY4" s="412" t="s">
        <v>319</v>
      </c>
      <c r="FZ4" s="397" t="s">
        <v>320</v>
      </c>
      <c r="GA4" s="397" t="s">
        <v>378</v>
      </c>
      <c r="GB4" s="397" t="s">
        <v>379</v>
      </c>
      <c r="GC4" s="397" t="s">
        <v>380</v>
      </c>
      <c r="GD4" s="397" t="s">
        <v>381</v>
      </c>
      <c r="GE4" s="397" t="s">
        <v>382</v>
      </c>
      <c r="GF4" s="27"/>
      <c r="GG4" s="397" t="s">
        <v>383</v>
      </c>
      <c r="GH4" s="397" t="s">
        <v>384</v>
      </c>
      <c r="GI4" s="27"/>
      <c r="GJ4" s="397" t="s">
        <v>385</v>
      </c>
      <c r="GK4" s="397" t="s">
        <v>386</v>
      </c>
      <c r="GO4" s="521" t="s">
        <v>431</v>
      </c>
      <c r="GP4" s="522"/>
      <c r="GQ4" s="522"/>
      <c r="GR4" s="522"/>
      <c r="GS4" s="522"/>
      <c r="GT4" s="523"/>
      <c r="GU4" s="87" t="s">
        <v>432</v>
      </c>
      <c r="GV4" s="521" t="s">
        <v>433</v>
      </c>
      <c r="GW4" s="523"/>
      <c r="GX4" s="88" t="s">
        <v>434</v>
      </c>
      <c r="GY4" s="89">
        <f>Jaticempaka!GY4</f>
        <v>20</v>
      </c>
      <c r="GZ4" s="423"/>
      <c r="HA4" s="83"/>
      <c r="HB4" s="83"/>
      <c r="HC4" s="426" t="s">
        <v>436</v>
      </c>
      <c r="HD4" s="427"/>
      <c r="HE4" s="427"/>
      <c r="HF4" s="427"/>
      <c r="HG4" s="427"/>
      <c r="HH4" s="427"/>
      <c r="HI4" s="428"/>
      <c r="HJ4" s="90"/>
      <c r="HK4" s="398" t="s">
        <v>437</v>
      </c>
      <c r="HL4" s="83"/>
      <c r="HM4" s="83"/>
      <c r="HN4" s="83"/>
      <c r="HO4" s="83"/>
      <c r="HS4" t="s">
        <v>438</v>
      </c>
      <c r="IM4" s="83"/>
      <c r="IN4" s="83"/>
      <c r="IO4" s="83"/>
      <c r="IP4" s="83"/>
      <c r="IQ4" s="83"/>
      <c r="IR4" s="83"/>
      <c r="IS4" s="83"/>
      <c r="IT4" s="83"/>
      <c r="IU4" s="83"/>
      <c r="IV4" s="83"/>
      <c r="IW4" s="83"/>
      <c r="IX4" s="83"/>
      <c r="IY4" s="83"/>
      <c r="IZ4" s="83"/>
      <c r="JA4" s="83"/>
      <c r="JB4" s="83"/>
      <c r="JC4" s="83"/>
      <c r="JD4" s="83"/>
      <c r="JE4" s="83"/>
      <c r="JF4" s="83"/>
      <c r="JG4" s="83"/>
      <c r="JH4" s="83"/>
      <c r="JI4" s="83"/>
      <c r="JJ4" s="83"/>
      <c r="JK4" s="83"/>
      <c r="JP4" s="400" t="s">
        <v>319</v>
      </c>
      <c r="JQ4" s="397" t="s">
        <v>320</v>
      </c>
      <c r="JR4" s="468" t="s">
        <v>321</v>
      </c>
      <c r="JS4" s="468"/>
      <c r="JT4" s="468"/>
      <c r="JU4" s="468"/>
      <c r="JV4" s="468"/>
      <c r="JW4" s="468"/>
      <c r="JX4" s="468"/>
      <c r="JY4" s="468"/>
      <c r="JZ4" s="468"/>
      <c r="KA4" s="468"/>
      <c r="KB4" s="468"/>
      <c r="KD4" s="400" t="s">
        <v>626</v>
      </c>
      <c r="KE4" s="400" t="s">
        <v>627</v>
      </c>
      <c r="KF4" s="400" t="s">
        <v>319</v>
      </c>
      <c r="KG4" s="397" t="s">
        <v>320</v>
      </c>
      <c r="KH4" s="468" t="s">
        <v>321</v>
      </c>
      <c r="KI4" s="468"/>
      <c r="KJ4" s="468"/>
      <c r="KK4" s="468"/>
      <c r="KL4" s="468"/>
      <c r="KM4" s="468"/>
      <c r="KN4" s="468"/>
      <c r="KO4" s="468"/>
      <c r="KP4" s="468"/>
      <c r="KQ4" s="468"/>
      <c r="KR4" s="468"/>
      <c r="KS4">
        <v>4</v>
      </c>
      <c r="KT4" t="s">
        <v>583</v>
      </c>
      <c r="LF4">
        <v>1</v>
      </c>
      <c r="LM4">
        <v>2</v>
      </c>
      <c r="LT4">
        <v>3</v>
      </c>
      <c r="MA4">
        <v>4</v>
      </c>
      <c r="MK4">
        <v>5</v>
      </c>
      <c r="MP4">
        <v>6</v>
      </c>
      <c r="MX4">
        <v>7</v>
      </c>
      <c r="NZ4" s="341" t="s">
        <v>592</v>
      </c>
      <c r="PO4" s="561"/>
      <c r="PP4" s="563"/>
      <c r="PQ4" s="563"/>
    </row>
    <row r="5" spans="1:433" ht="15.5" customHeight="1" x14ac:dyDescent="0.2">
      <c r="A5" s="480"/>
      <c r="B5" s="480"/>
      <c r="C5" s="480"/>
      <c r="D5" s="484"/>
      <c r="E5" s="485"/>
      <c r="F5" s="493" t="s">
        <v>6</v>
      </c>
      <c r="G5" s="493"/>
      <c r="H5" s="493"/>
      <c r="I5" s="493"/>
      <c r="J5" s="496" t="s">
        <v>283</v>
      </c>
      <c r="K5" s="497" t="s">
        <v>283</v>
      </c>
      <c r="L5" s="497" t="s">
        <v>283</v>
      </c>
      <c r="M5" s="497" t="s">
        <v>283</v>
      </c>
      <c r="N5" s="497" t="s">
        <v>283</v>
      </c>
      <c r="O5" s="497" t="s">
        <v>283</v>
      </c>
      <c r="P5" s="497" t="s">
        <v>283</v>
      </c>
      <c r="Q5" s="498" t="s">
        <v>283</v>
      </c>
      <c r="R5" s="493" t="s">
        <v>8</v>
      </c>
      <c r="S5" s="493"/>
      <c r="T5" s="493"/>
      <c r="U5" s="493"/>
      <c r="V5" s="493" t="s">
        <v>9</v>
      </c>
      <c r="W5" s="493"/>
      <c r="X5" s="493"/>
      <c r="Y5" s="493"/>
      <c r="Z5" s="493"/>
      <c r="AA5" s="502" t="s">
        <v>396</v>
      </c>
      <c r="AB5" s="502"/>
      <c r="AC5" s="502"/>
      <c r="AD5" s="502"/>
      <c r="AE5" s="502"/>
      <c r="AF5" s="434"/>
      <c r="AG5" s="435"/>
      <c r="AH5" s="436"/>
      <c r="AI5" s="489" t="s">
        <v>262</v>
      </c>
      <c r="AJ5" s="482"/>
      <c r="AK5" s="483"/>
      <c r="AL5" s="575"/>
      <c r="AM5" s="576"/>
      <c r="AN5" s="567"/>
      <c r="AO5" s="489" t="s">
        <v>10</v>
      </c>
      <c r="AP5" s="483"/>
      <c r="AQ5" s="489" t="s">
        <v>277</v>
      </c>
      <c r="AR5" s="483"/>
      <c r="AS5" s="489" t="s">
        <v>278</v>
      </c>
      <c r="AT5" s="483"/>
      <c r="AU5" s="489" t="s">
        <v>265</v>
      </c>
      <c r="AV5" s="483"/>
      <c r="AW5" s="489" t="s">
        <v>9</v>
      </c>
      <c r="AX5" s="483"/>
      <c r="AY5" s="489" t="s">
        <v>266</v>
      </c>
      <c r="AZ5" s="483"/>
      <c r="BA5" s="587"/>
      <c r="BB5" s="571"/>
      <c r="BE5" s="434"/>
      <c r="BF5" s="435"/>
      <c r="BG5" s="435"/>
      <c r="BH5" s="435"/>
      <c r="BI5" s="435"/>
      <c r="BJ5" s="435"/>
      <c r="BK5" s="436"/>
      <c r="BN5" s="400"/>
      <c r="BO5" s="397"/>
      <c r="BP5" s="472" t="s">
        <v>315</v>
      </c>
      <c r="BQ5" s="472"/>
      <c r="BR5" s="472"/>
      <c r="BS5" s="472"/>
      <c r="BT5" s="472"/>
      <c r="BU5" s="472"/>
      <c r="BV5" s="472"/>
      <c r="BW5" s="472" t="s">
        <v>330</v>
      </c>
      <c r="BX5" s="472"/>
      <c r="BY5" s="472"/>
      <c r="BZ5" s="472"/>
      <c r="CB5" s="470"/>
      <c r="CD5" s="400"/>
      <c r="CE5" s="397"/>
      <c r="CF5" s="472" t="s">
        <v>315</v>
      </c>
      <c r="CG5" s="472"/>
      <c r="CH5" s="472"/>
      <c r="CI5" s="472"/>
      <c r="CJ5" s="472"/>
      <c r="CK5" s="472"/>
      <c r="CL5" s="472"/>
      <c r="CM5" s="472" t="s">
        <v>330</v>
      </c>
      <c r="CN5" s="472"/>
      <c r="CO5" s="472"/>
      <c r="CP5" s="472"/>
      <c r="DV5" s="516"/>
      <c r="DW5" s="517"/>
      <c r="DX5" s="517"/>
      <c r="DY5" s="517"/>
      <c r="DZ5" s="517"/>
      <c r="EA5" s="517"/>
      <c r="EB5" s="518"/>
      <c r="ED5" s="52" t="s">
        <v>361</v>
      </c>
      <c r="EE5" s="51"/>
      <c r="EG5" s="533"/>
      <c r="EH5" s="533"/>
      <c r="EI5" s="429"/>
      <c r="EJ5" s="429"/>
      <c r="EK5" s="511"/>
      <c r="EL5" s="511"/>
      <c r="EM5" s="511"/>
      <c r="EN5" s="511"/>
      <c r="EO5" s="511"/>
      <c r="EP5" s="511"/>
      <c r="EQ5" s="429"/>
      <c r="ER5" s="429"/>
      <c r="ES5" s="429"/>
      <c r="ET5" s="429"/>
      <c r="EU5" s="429"/>
      <c r="EV5" s="429"/>
      <c r="EW5" s="511"/>
      <c r="EX5" s="511"/>
      <c r="EY5" s="511"/>
      <c r="EZ5" s="429"/>
      <c r="FA5" s="429"/>
      <c r="FB5" s="429"/>
      <c r="FC5" s="429"/>
      <c r="FD5" s="429"/>
      <c r="FE5" s="429"/>
      <c r="FF5" s="429"/>
      <c r="FH5" s="429"/>
      <c r="FI5" s="429"/>
      <c r="FJ5" s="429"/>
      <c r="FK5" s="429"/>
      <c r="FL5" s="429"/>
      <c r="FM5" s="429"/>
      <c r="FN5" s="429"/>
      <c r="FO5" s="429"/>
      <c r="FP5" s="429"/>
      <c r="FQ5" s="429"/>
      <c r="FR5" s="429"/>
      <c r="FS5" s="429"/>
      <c r="FT5" s="429"/>
      <c r="FU5" s="429"/>
      <c r="FV5" s="429"/>
      <c r="FX5" s="366"/>
      <c r="FY5" s="413"/>
      <c r="FZ5" s="397"/>
      <c r="GA5" s="397"/>
      <c r="GB5" s="397"/>
      <c r="GC5" s="397"/>
      <c r="GD5" s="397"/>
      <c r="GE5" s="397"/>
      <c r="GF5" s="27"/>
      <c r="GG5" s="397"/>
      <c r="GH5" s="397"/>
      <c r="GI5" s="27"/>
      <c r="GJ5" s="397"/>
      <c r="GK5" s="397"/>
      <c r="GO5" s="524"/>
      <c r="GP5" s="525"/>
      <c r="GQ5" s="525"/>
      <c r="GR5" s="525"/>
      <c r="GS5" s="525"/>
      <c r="GT5" s="526"/>
      <c r="GU5" s="91" t="s">
        <v>439</v>
      </c>
      <c r="GV5" s="524"/>
      <c r="GW5" s="526"/>
      <c r="GX5" s="92" t="s">
        <v>440</v>
      </c>
      <c r="GY5" s="93">
        <f>Jaticempaka!GY5</f>
        <v>20</v>
      </c>
      <c r="GZ5" s="424"/>
      <c r="HA5" s="83"/>
      <c r="HB5" s="83"/>
      <c r="HC5" s="399" t="s">
        <v>441</v>
      </c>
      <c r="HD5" s="399" t="s">
        <v>442</v>
      </c>
      <c r="HE5" s="399" t="s">
        <v>18</v>
      </c>
      <c r="HF5" s="399" t="s">
        <v>443</v>
      </c>
      <c r="HG5" s="399" t="s">
        <v>444</v>
      </c>
      <c r="HH5" s="398" t="s">
        <v>445</v>
      </c>
      <c r="HI5" s="398" t="s">
        <v>446</v>
      </c>
      <c r="HJ5" s="90"/>
      <c r="HK5" s="399"/>
      <c r="HL5" s="83"/>
      <c r="HM5" s="83"/>
      <c r="HN5" s="83"/>
      <c r="HO5" s="83"/>
      <c r="HP5">
        <v>1</v>
      </c>
      <c r="HS5" s="94">
        <v>2</v>
      </c>
      <c r="HV5">
        <v>3</v>
      </c>
      <c r="HY5">
        <v>4</v>
      </c>
      <c r="IB5">
        <v>5</v>
      </c>
      <c r="IE5">
        <v>6</v>
      </c>
      <c r="IH5">
        <v>7</v>
      </c>
      <c r="IK5">
        <v>8</v>
      </c>
      <c r="IM5" s="83"/>
      <c r="IN5" s="83"/>
      <c r="IO5" s="83"/>
      <c r="IP5" s="83"/>
      <c r="IQ5" s="83"/>
      <c r="IR5" s="83"/>
      <c r="IS5" s="83"/>
      <c r="IT5" s="83"/>
      <c r="IU5" s="83"/>
      <c r="IV5" s="83"/>
      <c r="IW5" s="83"/>
      <c r="IX5" s="83"/>
      <c r="IY5" s="83"/>
      <c r="IZ5" s="83"/>
      <c r="JA5" s="83"/>
      <c r="JB5" s="83"/>
      <c r="JC5" s="83"/>
      <c r="JD5" s="83"/>
      <c r="JE5" s="83"/>
      <c r="JF5" s="83"/>
      <c r="JG5" s="83"/>
      <c r="JH5" s="83"/>
      <c r="JI5" s="83"/>
      <c r="JJ5" s="83"/>
      <c r="JK5" s="83"/>
      <c r="JP5" s="400"/>
      <c r="JQ5" s="397"/>
      <c r="JR5" s="472" t="s">
        <v>315</v>
      </c>
      <c r="JS5" s="472"/>
      <c r="JT5" s="472"/>
      <c r="JU5" s="472"/>
      <c r="JV5" s="472"/>
      <c r="JW5" s="472"/>
      <c r="JX5" s="472"/>
      <c r="JY5" s="472" t="s">
        <v>330</v>
      </c>
      <c r="JZ5" s="472"/>
      <c r="KA5" s="472"/>
      <c r="KB5" s="472"/>
      <c r="KD5" s="400"/>
      <c r="KE5" s="400"/>
      <c r="KF5" s="400"/>
      <c r="KG5" s="397"/>
      <c r="KH5" s="472" t="s">
        <v>315</v>
      </c>
      <c r="KI5" s="472"/>
      <c r="KJ5" s="472"/>
      <c r="KK5" s="472"/>
      <c r="KL5" s="472"/>
      <c r="KM5" s="472"/>
      <c r="KN5" s="472"/>
      <c r="KO5" s="472" t="s">
        <v>330</v>
      </c>
      <c r="KP5" s="472"/>
      <c r="KQ5" s="472"/>
      <c r="KR5" s="472"/>
      <c r="KS5">
        <v>5</v>
      </c>
      <c r="KT5" t="s">
        <v>519</v>
      </c>
      <c r="KU5" s="534" t="s">
        <v>509</v>
      </c>
      <c r="KV5" s="534" t="s">
        <v>510</v>
      </c>
      <c r="KW5" s="536" t="s">
        <v>11</v>
      </c>
      <c r="KX5" s="537" t="s">
        <v>511</v>
      </c>
      <c r="KY5" s="537" t="s">
        <v>434</v>
      </c>
      <c r="KZ5" s="540" t="s">
        <v>512</v>
      </c>
      <c r="LA5" s="540"/>
      <c r="LB5" s="540" t="s">
        <v>513</v>
      </c>
      <c r="LC5" s="540"/>
      <c r="LD5" s="541" t="s">
        <v>514</v>
      </c>
      <c r="LE5" s="541"/>
      <c r="LF5" s="544" t="s">
        <v>515</v>
      </c>
      <c r="LG5" s="544"/>
      <c r="LH5" s="544"/>
      <c r="LI5" s="544"/>
      <c r="LJ5" s="544"/>
      <c r="LK5" s="544"/>
      <c r="LL5" s="544"/>
      <c r="LM5" s="547" t="s">
        <v>516</v>
      </c>
      <c r="LN5" s="547"/>
      <c r="LO5" s="547"/>
      <c r="LP5" s="547"/>
      <c r="LQ5" s="547"/>
      <c r="LR5" s="547"/>
      <c r="LS5" s="547"/>
      <c r="LT5" s="548" t="s">
        <v>517</v>
      </c>
      <c r="LU5" s="548"/>
      <c r="LV5" s="548"/>
      <c r="LW5" s="548"/>
      <c r="LX5" s="548"/>
      <c r="LY5" s="548"/>
      <c r="LZ5" s="548"/>
      <c r="MA5" s="549" t="s">
        <v>518</v>
      </c>
      <c r="MB5" s="549"/>
      <c r="MC5" s="549"/>
      <c r="MD5" s="549"/>
      <c r="ME5" s="549"/>
      <c r="MF5" s="549"/>
      <c r="MG5" s="549"/>
      <c r="MH5" s="549"/>
      <c r="MI5" s="549"/>
      <c r="MJ5" s="549"/>
      <c r="MK5" s="550" t="s">
        <v>519</v>
      </c>
      <c r="ML5" s="551"/>
      <c r="MM5" s="551"/>
      <c r="MN5" s="551"/>
      <c r="MO5" s="552"/>
      <c r="MP5" s="372" t="s">
        <v>520</v>
      </c>
      <c r="MQ5" s="373"/>
      <c r="MR5" s="373"/>
      <c r="MS5" s="373"/>
      <c r="MT5" s="373"/>
      <c r="MU5" s="373"/>
      <c r="MV5" s="373"/>
      <c r="MW5" s="374"/>
      <c r="MX5" s="375" t="s">
        <v>575</v>
      </c>
      <c r="MY5" s="376"/>
      <c r="MZ5" s="376"/>
      <c r="NA5" s="376"/>
      <c r="NB5" s="377"/>
      <c r="NC5" s="378" t="s">
        <v>521</v>
      </c>
      <c r="ND5" s="379"/>
      <c r="NE5" s="380"/>
      <c r="NF5" s="384" t="s">
        <v>522</v>
      </c>
      <c r="NG5" s="385"/>
      <c r="NH5" s="385"/>
      <c r="NI5" s="386"/>
      <c r="NJ5" s="350" t="s">
        <v>523</v>
      </c>
      <c r="NK5" s="370" t="s">
        <v>524</v>
      </c>
      <c r="NZ5" s="341"/>
      <c r="OE5" s="340" t="s">
        <v>596</v>
      </c>
      <c r="OF5" s="340" t="s">
        <v>597</v>
      </c>
      <c r="OG5" s="340" t="s">
        <v>457</v>
      </c>
      <c r="OH5" s="340" t="s">
        <v>303</v>
      </c>
      <c r="OI5" s="340" t="s">
        <v>598</v>
      </c>
      <c r="OJ5" s="340" t="s">
        <v>599</v>
      </c>
      <c r="OK5" s="340" t="s">
        <v>600</v>
      </c>
      <c r="OL5" s="340" t="s">
        <v>601</v>
      </c>
      <c r="OM5" s="340" t="s">
        <v>602</v>
      </c>
      <c r="OO5" s="340" t="s">
        <v>596</v>
      </c>
      <c r="OP5" s="340" t="s">
        <v>597</v>
      </c>
      <c r="OQ5" s="340" t="s">
        <v>457</v>
      </c>
      <c r="OR5" s="340" t="s">
        <v>303</v>
      </c>
      <c r="OS5" s="340" t="s">
        <v>598</v>
      </c>
      <c r="OT5" s="340" t="s">
        <v>599</v>
      </c>
      <c r="OU5" s="340" t="s">
        <v>600</v>
      </c>
      <c r="OV5" s="340" t="s">
        <v>601</v>
      </c>
      <c r="OW5" s="340" t="s">
        <v>602</v>
      </c>
      <c r="PA5" s="529" t="s">
        <v>617</v>
      </c>
      <c r="PB5" s="529"/>
      <c r="PC5" s="529"/>
      <c r="PD5" s="529"/>
      <c r="PE5" s="529"/>
      <c r="PF5" s="529"/>
      <c r="PG5" s="529"/>
      <c r="PH5" s="529"/>
      <c r="PI5" s="529"/>
      <c r="PJ5" s="529"/>
      <c r="PK5" s="529"/>
      <c r="PL5" s="529"/>
      <c r="PO5" s="561"/>
      <c r="PP5" s="563"/>
      <c r="PQ5" s="563"/>
    </row>
    <row r="6" spans="1:433" ht="14.75" customHeight="1" x14ac:dyDescent="0.2">
      <c r="A6" s="480"/>
      <c r="B6" s="480"/>
      <c r="C6" s="480"/>
      <c r="D6" s="484"/>
      <c r="E6" s="485"/>
      <c r="F6" s="494"/>
      <c r="G6" s="494"/>
      <c r="H6" s="494"/>
      <c r="I6" s="494"/>
      <c r="J6" s="489" t="s">
        <v>284</v>
      </c>
      <c r="K6" s="482" t="s">
        <v>284</v>
      </c>
      <c r="L6" s="482" t="s">
        <v>284</v>
      </c>
      <c r="M6" s="483" t="s">
        <v>284</v>
      </c>
      <c r="N6" s="489" t="s">
        <v>7</v>
      </c>
      <c r="O6" s="482" t="s">
        <v>285</v>
      </c>
      <c r="P6" s="482" t="s">
        <v>285</v>
      </c>
      <c r="Q6" s="483" t="s">
        <v>285</v>
      </c>
      <c r="R6" s="494"/>
      <c r="S6" s="494"/>
      <c r="T6" s="494"/>
      <c r="U6" s="494"/>
      <c r="V6" s="494"/>
      <c r="W6" s="494"/>
      <c r="X6" s="494"/>
      <c r="Y6" s="494"/>
      <c r="Z6" s="494"/>
      <c r="AA6" s="503"/>
      <c r="AB6" s="503"/>
      <c r="AC6" s="503"/>
      <c r="AD6" s="503"/>
      <c r="AE6" s="503"/>
      <c r="AF6" s="454" t="s">
        <v>11</v>
      </c>
      <c r="AG6" s="457" t="s">
        <v>311</v>
      </c>
      <c r="AH6" s="486" t="s">
        <v>293</v>
      </c>
      <c r="AI6" s="569"/>
      <c r="AJ6" s="484"/>
      <c r="AK6" s="485"/>
      <c r="AL6" s="577" t="s">
        <v>265</v>
      </c>
      <c r="AM6" s="580" t="s">
        <v>9</v>
      </c>
      <c r="AN6" s="567"/>
      <c r="AO6" s="490"/>
      <c r="AP6" s="492"/>
      <c r="AQ6" s="490"/>
      <c r="AR6" s="492"/>
      <c r="AS6" s="490"/>
      <c r="AT6" s="492"/>
      <c r="AU6" s="490"/>
      <c r="AV6" s="492"/>
      <c r="AW6" s="490"/>
      <c r="AX6" s="492"/>
      <c r="AY6" s="490"/>
      <c r="AZ6" s="492"/>
      <c r="BA6" s="587"/>
      <c r="BB6" s="571"/>
      <c r="BE6" s="454" t="s">
        <v>11</v>
      </c>
      <c r="BF6" s="457" t="s">
        <v>306</v>
      </c>
      <c r="BG6" s="457" t="s">
        <v>307</v>
      </c>
      <c r="BH6" s="457" t="s">
        <v>308</v>
      </c>
      <c r="BI6" s="457" t="s">
        <v>309</v>
      </c>
      <c r="BJ6" s="457"/>
      <c r="BK6" s="457" t="s">
        <v>310</v>
      </c>
      <c r="BN6" s="400"/>
      <c r="BO6" s="397"/>
      <c r="BP6" s="472" t="s">
        <v>316</v>
      </c>
      <c r="BQ6" s="472"/>
      <c r="BR6" s="472"/>
      <c r="BS6" s="472"/>
      <c r="BT6" s="472"/>
      <c r="BU6" s="473" t="s">
        <v>325</v>
      </c>
      <c r="BV6" s="474"/>
      <c r="BW6" s="475" t="s">
        <v>331</v>
      </c>
      <c r="BX6" s="472" t="s">
        <v>332</v>
      </c>
      <c r="BY6" s="472"/>
      <c r="BZ6" s="472"/>
      <c r="CB6" s="470"/>
      <c r="CD6" s="400"/>
      <c r="CE6" s="397"/>
      <c r="CF6" s="472" t="s">
        <v>316</v>
      </c>
      <c r="CG6" s="472"/>
      <c r="CH6" s="472"/>
      <c r="CI6" s="472"/>
      <c r="CJ6" s="472"/>
      <c r="CK6" s="473" t="s">
        <v>325</v>
      </c>
      <c r="CL6" s="474"/>
      <c r="CM6" s="475" t="s">
        <v>331</v>
      </c>
      <c r="CN6" s="472" t="s">
        <v>332</v>
      </c>
      <c r="CO6" s="472"/>
      <c r="CP6" s="472"/>
      <c r="DV6" s="530" t="s">
        <v>11</v>
      </c>
      <c r="DW6" s="476" t="s">
        <v>300</v>
      </c>
      <c r="DX6" s="476" t="s">
        <v>301</v>
      </c>
      <c r="DY6" s="476" t="s">
        <v>343</v>
      </c>
      <c r="DZ6" s="476" t="s">
        <v>302</v>
      </c>
      <c r="EA6" s="476" t="s">
        <v>351</v>
      </c>
      <c r="EB6" s="476" t="s">
        <v>18</v>
      </c>
      <c r="ED6" s="50"/>
      <c r="EE6" s="51"/>
      <c r="EG6" s="533"/>
      <c r="EH6" s="533"/>
      <c r="EI6" s="429"/>
      <c r="EJ6" s="429"/>
      <c r="EK6" s="511"/>
      <c r="EL6" s="511"/>
      <c r="EM6" s="511"/>
      <c r="EN6" s="511"/>
      <c r="EO6" s="511"/>
      <c r="EP6" s="511"/>
      <c r="EQ6" s="429"/>
      <c r="ER6" s="429"/>
      <c r="ES6" s="429"/>
      <c r="ET6" s="429"/>
      <c r="EU6" s="429"/>
      <c r="EV6" s="429"/>
      <c r="EW6" s="511"/>
      <c r="EX6" s="511"/>
      <c r="EY6" s="511"/>
      <c r="EZ6" s="429"/>
      <c r="FA6" s="429"/>
      <c r="FB6" s="429"/>
      <c r="FC6" s="429"/>
      <c r="FD6" s="429"/>
      <c r="FE6" s="429"/>
      <c r="FF6" s="429"/>
      <c r="FH6" s="429"/>
      <c r="FI6" s="429"/>
      <c r="FJ6" s="429"/>
      <c r="FK6" s="429"/>
      <c r="FL6" s="429"/>
      <c r="FM6" s="429"/>
      <c r="FN6" s="429"/>
      <c r="FO6" s="429"/>
      <c r="FP6" s="429"/>
      <c r="FQ6" s="429"/>
      <c r="FR6" s="429"/>
      <c r="FS6" s="429"/>
      <c r="FT6" s="429"/>
      <c r="FU6" s="429"/>
      <c r="FV6" s="429"/>
      <c r="FX6" s="366"/>
      <c r="FY6" s="413"/>
      <c r="FZ6" s="397"/>
      <c r="GA6" s="397"/>
      <c r="GB6" s="397"/>
      <c r="GC6" s="397"/>
      <c r="GD6" s="397"/>
      <c r="GE6" s="397"/>
      <c r="GF6" s="27"/>
      <c r="GG6" s="397"/>
      <c r="GH6" s="397"/>
      <c r="GI6" s="27"/>
      <c r="GJ6" s="397"/>
      <c r="GK6" s="397"/>
      <c r="GO6" s="423" t="s">
        <v>434</v>
      </c>
      <c r="GP6" s="423" t="s">
        <v>440</v>
      </c>
      <c r="GQ6" s="423" t="s">
        <v>7</v>
      </c>
      <c r="GR6" s="423" t="s">
        <v>265</v>
      </c>
      <c r="GS6" s="423" t="s">
        <v>447</v>
      </c>
      <c r="GT6" s="423" t="s">
        <v>448</v>
      </c>
      <c r="GU6" s="91"/>
      <c r="GV6" s="527"/>
      <c r="GW6" s="528"/>
      <c r="GX6" s="92" t="s">
        <v>7</v>
      </c>
      <c r="GY6" s="93">
        <f>Jaticempaka!GY6</f>
        <v>10</v>
      </c>
      <c r="GZ6" s="424"/>
      <c r="HA6" s="83"/>
      <c r="HB6" s="83"/>
      <c r="HC6" s="399"/>
      <c r="HD6" s="399"/>
      <c r="HE6" s="399"/>
      <c r="HF6" s="399"/>
      <c r="HG6" s="399"/>
      <c r="HH6" s="399"/>
      <c r="HI6" s="399"/>
      <c r="HJ6" s="90"/>
      <c r="HK6" s="399"/>
      <c r="HL6" s="83"/>
      <c r="HM6" s="83"/>
      <c r="HN6" s="83"/>
      <c r="HO6" s="83"/>
      <c r="HP6" s="418" t="s">
        <v>449</v>
      </c>
      <c r="HQ6" s="419"/>
      <c r="HR6" s="420"/>
      <c r="HS6" s="406" t="s">
        <v>450</v>
      </c>
      <c r="HT6" s="407"/>
      <c r="HU6" s="408"/>
      <c r="HV6" s="415" t="s">
        <v>451</v>
      </c>
      <c r="HW6" s="416"/>
      <c r="HX6" s="416"/>
      <c r="HY6" s="416"/>
      <c r="HZ6" s="416"/>
      <c r="IA6" s="417"/>
      <c r="IB6" s="403" t="s">
        <v>452</v>
      </c>
      <c r="IC6" s="404"/>
      <c r="ID6" s="404"/>
      <c r="IE6" s="404"/>
      <c r="IF6" s="404"/>
      <c r="IG6" s="405"/>
      <c r="IH6" s="403" t="s">
        <v>453</v>
      </c>
      <c r="II6" s="404"/>
      <c r="IJ6" s="404"/>
      <c r="IK6" s="404"/>
      <c r="IL6" s="404"/>
      <c r="IM6" s="405"/>
      <c r="IN6" s="83"/>
      <c r="IO6" s="406" t="s">
        <v>454</v>
      </c>
      <c r="IP6" s="407"/>
      <c r="IQ6" s="408"/>
      <c r="IR6" s="83"/>
      <c r="IS6" s="406" t="s">
        <v>455</v>
      </c>
      <c r="IT6" s="407"/>
      <c r="IU6" s="408"/>
      <c r="IV6" s="83"/>
      <c r="IW6" s="406" t="s">
        <v>456</v>
      </c>
      <c r="IX6" s="407"/>
      <c r="IY6" s="408"/>
      <c r="IZ6" s="83"/>
      <c r="JA6" s="406" t="s">
        <v>457</v>
      </c>
      <c r="JB6" s="407"/>
      <c r="JC6" s="408"/>
      <c r="JD6" s="83"/>
      <c r="JE6" s="406" t="s">
        <v>18</v>
      </c>
      <c r="JF6" s="407"/>
      <c r="JG6" s="408"/>
      <c r="JH6" s="83"/>
      <c r="JI6" s="406" t="s">
        <v>458</v>
      </c>
      <c r="JJ6" s="407"/>
      <c r="JK6" s="408"/>
      <c r="JP6" s="400"/>
      <c r="JQ6" s="397"/>
      <c r="JR6" s="472" t="s">
        <v>316</v>
      </c>
      <c r="JS6" s="472"/>
      <c r="JT6" s="472"/>
      <c r="JU6" s="472"/>
      <c r="JV6" s="472"/>
      <c r="JW6" s="473" t="s">
        <v>325</v>
      </c>
      <c r="JX6" s="474"/>
      <c r="JY6" s="475" t="s">
        <v>331</v>
      </c>
      <c r="JZ6" s="472" t="s">
        <v>332</v>
      </c>
      <c r="KA6" s="472"/>
      <c r="KB6" s="472"/>
      <c r="KD6" s="400"/>
      <c r="KE6" s="400"/>
      <c r="KF6" s="400"/>
      <c r="KG6" s="397"/>
      <c r="KH6" s="472" t="s">
        <v>316</v>
      </c>
      <c r="KI6" s="472"/>
      <c r="KJ6" s="472"/>
      <c r="KK6" s="472"/>
      <c r="KL6" s="472"/>
      <c r="KM6" s="473" t="s">
        <v>325</v>
      </c>
      <c r="KN6" s="474"/>
      <c r="KO6" s="475" t="s">
        <v>331</v>
      </c>
      <c r="KP6" s="472" t="s">
        <v>332</v>
      </c>
      <c r="KQ6" s="472"/>
      <c r="KR6" s="472"/>
      <c r="KS6">
        <v>6</v>
      </c>
      <c r="KT6" t="s">
        <v>584</v>
      </c>
      <c r="KU6" s="535"/>
      <c r="KV6" s="535"/>
      <c r="KW6" s="536"/>
      <c r="KX6" s="538"/>
      <c r="KY6" s="538"/>
      <c r="KZ6" s="540"/>
      <c r="LA6" s="540"/>
      <c r="LB6" s="540"/>
      <c r="LC6" s="540"/>
      <c r="LD6" s="542"/>
      <c r="LE6" s="542"/>
      <c r="LF6" s="545" t="s">
        <v>525</v>
      </c>
      <c r="LG6" s="545" t="s">
        <v>526</v>
      </c>
      <c r="LH6" s="546" t="s">
        <v>527</v>
      </c>
      <c r="LI6" s="545" t="s">
        <v>528</v>
      </c>
      <c r="LJ6" s="545" t="s">
        <v>529</v>
      </c>
      <c r="LK6" s="545" t="s">
        <v>530</v>
      </c>
      <c r="LL6" s="545" t="s">
        <v>531</v>
      </c>
      <c r="LM6" s="396" t="s">
        <v>532</v>
      </c>
      <c r="LN6" s="396" t="s">
        <v>533</v>
      </c>
      <c r="LO6" s="553" t="s">
        <v>534</v>
      </c>
      <c r="LP6" s="554" t="s">
        <v>535</v>
      </c>
      <c r="LQ6" s="396" t="s">
        <v>529</v>
      </c>
      <c r="LR6" s="396" t="s">
        <v>536</v>
      </c>
      <c r="LS6" s="396" t="s">
        <v>531</v>
      </c>
      <c r="LT6" s="356" t="s">
        <v>537</v>
      </c>
      <c r="LU6" s="356" t="s">
        <v>538</v>
      </c>
      <c r="LV6" s="356" t="s">
        <v>539</v>
      </c>
      <c r="LW6" s="356" t="s">
        <v>540</v>
      </c>
      <c r="LX6" s="356" t="s">
        <v>541</v>
      </c>
      <c r="LY6" s="356" t="s">
        <v>542</v>
      </c>
      <c r="LZ6" s="356" t="s">
        <v>531</v>
      </c>
      <c r="MA6" s="345" t="s">
        <v>543</v>
      </c>
      <c r="MB6" s="345" t="s">
        <v>544</v>
      </c>
      <c r="MC6" s="345" t="s">
        <v>545</v>
      </c>
      <c r="MD6" s="345" t="s">
        <v>546</v>
      </c>
      <c r="ME6" s="345" t="s">
        <v>547</v>
      </c>
      <c r="MF6" s="345" t="s">
        <v>548</v>
      </c>
      <c r="MG6" s="345" t="s">
        <v>549</v>
      </c>
      <c r="MH6" s="345" t="s">
        <v>550</v>
      </c>
      <c r="MI6" s="345" t="s">
        <v>529</v>
      </c>
      <c r="MJ6" s="345" t="s">
        <v>531</v>
      </c>
      <c r="MK6" s="342" t="s">
        <v>551</v>
      </c>
      <c r="ML6" s="342" t="s">
        <v>552</v>
      </c>
      <c r="MM6" s="342" t="s">
        <v>553</v>
      </c>
      <c r="MN6" s="342" t="s">
        <v>529</v>
      </c>
      <c r="MO6" s="342" t="s">
        <v>531</v>
      </c>
      <c r="MP6" s="362" t="s">
        <v>554</v>
      </c>
      <c r="MQ6" s="362" t="s">
        <v>555</v>
      </c>
      <c r="MR6" s="362" t="s">
        <v>556</v>
      </c>
      <c r="MS6" s="362" t="s">
        <v>557</v>
      </c>
      <c r="MT6" s="362" t="s">
        <v>558</v>
      </c>
      <c r="MU6" s="362" t="s">
        <v>529</v>
      </c>
      <c r="MV6" s="362" t="s">
        <v>559</v>
      </c>
      <c r="MW6" s="362" t="s">
        <v>531</v>
      </c>
      <c r="MX6" s="359" t="s">
        <v>576</v>
      </c>
      <c r="MY6" s="359" t="s">
        <v>577</v>
      </c>
      <c r="MZ6" s="359" t="s">
        <v>578</v>
      </c>
      <c r="NA6" s="359" t="s">
        <v>579</v>
      </c>
      <c r="NB6" s="359" t="s">
        <v>522</v>
      </c>
      <c r="NC6" s="381"/>
      <c r="ND6" s="382"/>
      <c r="NE6" s="383"/>
      <c r="NF6" s="387"/>
      <c r="NG6" s="388"/>
      <c r="NH6" s="388"/>
      <c r="NI6" s="389"/>
      <c r="NJ6" s="351"/>
      <c r="NK6" s="371"/>
      <c r="NZ6" s="341"/>
      <c r="OE6" s="340"/>
      <c r="OF6" s="340"/>
      <c r="OG6" s="340"/>
      <c r="OH6" s="340"/>
      <c r="OI6" s="340"/>
      <c r="OJ6" s="340"/>
      <c r="OK6" s="340"/>
      <c r="OL6" s="340"/>
      <c r="OM6" s="340"/>
      <c r="OO6" s="340"/>
      <c r="OP6" s="340"/>
      <c r="OQ6" s="340"/>
      <c r="OR6" s="340"/>
      <c r="OS6" s="340"/>
      <c r="OT6" s="340"/>
      <c r="OU6" s="340"/>
      <c r="OV6" s="340"/>
      <c r="OW6" s="340"/>
      <c r="PA6" s="415" t="s">
        <v>11</v>
      </c>
      <c r="PB6" s="416"/>
      <c r="PC6" s="416"/>
      <c r="PD6" s="416"/>
      <c r="PE6" s="416"/>
      <c r="PF6" s="417"/>
      <c r="PG6" s="355" t="s">
        <v>13</v>
      </c>
      <c r="PH6" s="355"/>
      <c r="PI6" s="355"/>
      <c r="PJ6" s="355"/>
      <c r="PK6" s="355"/>
      <c r="PL6" s="355"/>
      <c r="PO6" s="561"/>
      <c r="PP6" s="563"/>
      <c r="PQ6" s="563"/>
    </row>
    <row r="7" spans="1:433" ht="15.5" customHeight="1" x14ac:dyDescent="0.2">
      <c r="A7" s="480"/>
      <c r="B7" s="480"/>
      <c r="C7" s="480"/>
      <c r="D7" s="496" t="s">
        <v>10</v>
      </c>
      <c r="E7" s="498"/>
      <c r="F7" s="495"/>
      <c r="G7" s="495"/>
      <c r="H7" s="495"/>
      <c r="I7" s="495"/>
      <c r="J7" s="490" t="s">
        <v>284</v>
      </c>
      <c r="K7" s="491" t="s">
        <v>284</v>
      </c>
      <c r="L7" s="491" t="s">
        <v>284</v>
      </c>
      <c r="M7" s="492" t="s">
        <v>284</v>
      </c>
      <c r="N7" s="490" t="s">
        <v>285</v>
      </c>
      <c r="O7" s="491" t="s">
        <v>285</v>
      </c>
      <c r="P7" s="491" t="s">
        <v>285</v>
      </c>
      <c r="Q7" s="492" t="s">
        <v>285</v>
      </c>
      <c r="R7" s="495"/>
      <c r="S7" s="495"/>
      <c r="T7" s="495"/>
      <c r="U7" s="495"/>
      <c r="V7" s="495"/>
      <c r="W7" s="495"/>
      <c r="X7" s="495"/>
      <c r="Y7" s="495"/>
      <c r="Z7" s="495"/>
      <c r="AA7" s="504"/>
      <c r="AB7" s="504"/>
      <c r="AC7" s="504"/>
      <c r="AD7" s="504"/>
      <c r="AE7" s="504"/>
      <c r="AF7" s="455"/>
      <c r="AG7" s="458"/>
      <c r="AH7" s="487"/>
      <c r="AI7" s="490"/>
      <c r="AJ7" s="491"/>
      <c r="AK7" s="492"/>
      <c r="AL7" s="578"/>
      <c r="AM7" s="581"/>
      <c r="AN7" s="567"/>
      <c r="AO7" s="11" t="s">
        <v>11</v>
      </c>
      <c r="AP7" s="11" t="s">
        <v>267</v>
      </c>
      <c r="AQ7" s="11" t="s">
        <v>11</v>
      </c>
      <c r="AR7" s="11" t="s">
        <v>267</v>
      </c>
      <c r="AS7" s="11" t="s">
        <v>11</v>
      </c>
      <c r="AT7" s="11" t="s">
        <v>267</v>
      </c>
      <c r="AU7" s="11" t="s">
        <v>11</v>
      </c>
      <c r="AV7" s="11" t="s">
        <v>267</v>
      </c>
      <c r="AW7" s="11" t="s">
        <v>11</v>
      </c>
      <c r="AX7" s="11" t="s">
        <v>267</v>
      </c>
      <c r="AY7" s="11" t="s">
        <v>11</v>
      </c>
      <c r="AZ7" s="11" t="s">
        <v>267</v>
      </c>
      <c r="BA7" s="587"/>
      <c r="BB7" s="571"/>
      <c r="BE7" s="455"/>
      <c r="BF7" s="458"/>
      <c r="BG7" s="458"/>
      <c r="BH7" s="458"/>
      <c r="BI7" s="458"/>
      <c r="BJ7" s="458"/>
      <c r="BK7" s="458"/>
      <c r="BN7" s="400"/>
      <c r="BO7" s="397"/>
      <c r="BP7" s="397" t="s">
        <v>317</v>
      </c>
      <c r="BQ7" s="472" t="s">
        <v>318</v>
      </c>
      <c r="BR7" s="472"/>
      <c r="BS7" s="472" t="s">
        <v>322</v>
      </c>
      <c r="BT7" s="472"/>
      <c r="BU7" s="397" t="s">
        <v>327</v>
      </c>
      <c r="BV7" s="401" t="s">
        <v>326</v>
      </c>
      <c r="BW7" s="475"/>
      <c r="BX7" s="401" t="s">
        <v>333</v>
      </c>
      <c r="BY7" s="401" t="s">
        <v>334</v>
      </c>
      <c r="BZ7" s="397" t="s">
        <v>335</v>
      </c>
      <c r="CB7" s="470"/>
      <c r="CD7" s="400"/>
      <c r="CE7" s="397"/>
      <c r="CF7" s="397" t="s">
        <v>317</v>
      </c>
      <c r="CG7" s="472" t="s">
        <v>318</v>
      </c>
      <c r="CH7" s="472"/>
      <c r="CI7" s="472" t="s">
        <v>322</v>
      </c>
      <c r="CJ7" s="472"/>
      <c r="CK7" s="397" t="s">
        <v>327</v>
      </c>
      <c r="CL7" s="401" t="s">
        <v>326</v>
      </c>
      <c r="CM7" s="475"/>
      <c r="CN7" s="401" t="s">
        <v>333</v>
      </c>
      <c r="CO7" s="401" t="s">
        <v>334</v>
      </c>
      <c r="CP7" s="397" t="s">
        <v>335</v>
      </c>
      <c r="DV7" s="531"/>
      <c r="DW7" s="477"/>
      <c r="DX7" s="477"/>
      <c r="DY7" s="477"/>
      <c r="DZ7" s="477"/>
      <c r="EA7" s="477"/>
      <c r="EB7" s="477"/>
      <c r="ED7" s="50"/>
      <c r="EE7" s="51"/>
      <c r="EG7" s="533"/>
      <c r="EH7" s="533"/>
      <c r="EI7" s="429"/>
      <c r="EJ7" s="429"/>
      <c r="EK7" s="512"/>
      <c r="EL7" s="512"/>
      <c r="EM7" s="512"/>
      <c r="EN7" s="512"/>
      <c r="EO7" s="512"/>
      <c r="EP7" s="512"/>
      <c r="EQ7" s="429"/>
      <c r="ER7" s="429"/>
      <c r="ES7" s="429"/>
      <c r="ET7" s="429"/>
      <c r="EU7" s="429"/>
      <c r="EV7" s="429"/>
      <c r="EW7" s="512"/>
      <c r="EX7" s="512"/>
      <c r="EY7" s="512"/>
      <c r="EZ7" s="429"/>
      <c r="FA7" s="429"/>
      <c r="FB7" s="429"/>
      <c r="FC7" s="429"/>
      <c r="FD7" s="429"/>
      <c r="FE7" s="429"/>
      <c r="FF7" s="429"/>
      <c r="FH7" s="429"/>
      <c r="FI7" s="429"/>
      <c r="FJ7" s="429"/>
      <c r="FK7" s="429"/>
      <c r="FL7" s="429"/>
      <c r="FM7" s="429"/>
      <c r="FN7" s="429"/>
      <c r="FO7" s="429"/>
      <c r="FP7" s="429"/>
      <c r="FQ7" s="429"/>
      <c r="FR7" s="429"/>
      <c r="FS7" s="429"/>
      <c r="FT7" s="429"/>
      <c r="FU7" s="429"/>
      <c r="FV7" s="429"/>
      <c r="FX7" s="366"/>
      <c r="FY7" s="413"/>
      <c r="FZ7" s="397"/>
      <c r="GA7" s="397"/>
      <c r="GB7" s="397"/>
      <c r="GC7" s="397"/>
      <c r="GD7" s="397"/>
      <c r="GE7" s="397"/>
      <c r="GF7" s="27"/>
      <c r="GG7" s="397"/>
      <c r="GH7" s="397"/>
      <c r="GI7" s="27"/>
      <c r="GJ7" s="397"/>
      <c r="GK7" s="397"/>
      <c r="GO7" s="424"/>
      <c r="GP7" s="424"/>
      <c r="GQ7" s="424"/>
      <c r="GR7" s="424"/>
      <c r="GS7" s="424"/>
      <c r="GT7" s="424"/>
      <c r="GU7" s="91"/>
      <c r="GV7" s="423" t="s">
        <v>459</v>
      </c>
      <c r="GW7" s="423" t="s">
        <v>460</v>
      </c>
      <c r="GX7" s="92" t="s">
        <v>265</v>
      </c>
      <c r="GY7" s="93">
        <f>Jaticempaka!GY7</f>
        <v>10</v>
      </c>
      <c r="GZ7" s="424"/>
      <c r="HA7" s="83"/>
      <c r="HB7" s="83"/>
      <c r="HC7" s="399"/>
      <c r="HD7" s="399"/>
      <c r="HE7" s="399"/>
      <c r="HF7" s="399"/>
      <c r="HG7" s="399"/>
      <c r="HH7" s="399"/>
      <c r="HI7" s="399"/>
      <c r="HJ7" s="90"/>
      <c r="HK7" s="399"/>
      <c r="HL7" s="83"/>
      <c r="HM7" s="83"/>
      <c r="HN7" s="83"/>
      <c r="HO7" s="83"/>
      <c r="HP7" s="421"/>
      <c r="HQ7" s="388"/>
      <c r="HR7" s="422"/>
      <c r="HS7" s="409"/>
      <c r="HT7" s="410"/>
      <c r="HU7" s="411"/>
      <c r="HV7" s="415" t="s">
        <v>461</v>
      </c>
      <c r="HW7" s="416"/>
      <c r="HX7" s="417"/>
      <c r="HY7" s="415" t="s">
        <v>462</v>
      </c>
      <c r="HZ7" s="416"/>
      <c r="IA7" s="417"/>
      <c r="IB7" s="415" t="s">
        <v>461</v>
      </c>
      <c r="IC7" s="416"/>
      <c r="ID7" s="417"/>
      <c r="IE7" s="415" t="s">
        <v>462</v>
      </c>
      <c r="IF7" s="416"/>
      <c r="IG7" s="417"/>
      <c r="IH7" s="415" t="s">
        <v>461</v>
      </c>
      <c r="II7" s="416"/>
      <c r="IJ7" s="417"/>
      <c r="IK7" s="415" t="s">
        <v>462</v>
      </c>
      <c r="IL7" s="416"/>
      <c r="IM7" s="417"/>
      <c r="IN7" s="83"/>
      <c r="IO7" s="409"/>
      <c r="IP7" s="410"/>
      <c r="IQ7" s="411"/>
      <c r="IR7" s="83"/>
      <c r="IS7" s="409"/>
      <c r="IT7" s="410"/>
      <c r="IU7" s="411"/>
      <c r="IV7" s="83"/>
      <c r="IW7" s="409"/>
      <c r="IX7" s="410"/>
      <c r="IY7" s="411"/>
      <c r="IZ7" s="83"/>
      <c r="JA7" s="409"/>
      <c r="JB7" s="410"/>
      <c r="JC7" s="411"/>
      <c r="JD7" s="83"/>
      <c r="JE7" s="409"/>
      <c r="JF7" s="410"/>
      <c r="JG7" s="411"/>
      <c r="JH7" s="83"/>
      <c r="JI7" s="409"/>
      <c r="JJ7" s="410"/>
      <c r="JK7" s="411"/>
      <c r="JP7" s="400"/>
      <c r="JQ7" s="397"/>
      <c r="JR7" s="397" t="s">
        <v>317</v>
      </c>
      <c r="JS7" s="472" t="s">
        <v>318</v>
      </c>
      <c r="JT7" s="472"/>
      <c r="JU7" s="472" t="s">
        <v>322</v>
      </c>
      <c r="JV7" s="472"/>
      <c r="JW7" s="397" t="s">
        <v>327</v>
      </c>
      <c r="JX7" s="401" t="s">
        <v>478</v>
      </c>
      <c r="JY7" s="475"/>
      <c r="JZ7" s="401" t="s">
        <v>333</v>
      </c>
      <c r="KA7" s="401" t="s">
        <v>334</v>
      </c>
      <c r="KB7" s="397" t="s">
        <v>335</v>
      </c>
      <c r="KD7" s="400"/>
      <c r="KE7" s="400"/>
      <c r="KF7" s="400"/>
      <c r="KG7" s="397"/>
      <c r="KH7" s="397" t="s">
        <v>317</v>
      </c>
      <c r="KI7" s="472" t="s">
        <v>318</v>
      </c>
      <c r="KJ7" s="472"/>
      <c r="KK7" s="472" t="s">
        <v>322</v>
      </c>
      <c r="KL7" s="472"/>
      <c r="KM7" s="397" t="s">
        <v>327</v>
      </c>
      <c r="KN7" s="401" t="s">
        <v>478</v>
      </c>
      <c r="KO7" s="475"/>
      <c r="KP7" s="401" t="s">
        <v>333</v>
      </c>
      <c r="KQ7" s="401" t="s">
        <v>334</v>
      </c>
      <c r="KR7" s="397" t="s">
        <v>335</v>
      </c>
      <c r="KS7">
        <v>7</v>
      </c>
      <c r="KT7" t="s">
        <v>585</v>
      </c>
      <c r="KU7" s="535"/>
      <c r="KV7" s="535"/>
      <c r="KW7" s="536"/>
      <c r="KX7" s="538"/>
      <c r="KY7" s="538"/>
      <c r="KZ7" s="540"/>
      <c r="LA7" s="540"/>
      <c r="LB7" s="540"/>
      <c r="LC7" s="540"/>
      <c r="LD7" s="543"/>
      <c r="LE7" s="543"/>
      <c r="LF7" s="545"/>
      <c r="LG7" s="545"/>
      <c r="LH7" s="546"/>
      <c r="LI7" s="545"/>
      <c r="LJ7" s="545"/>
      <c r="LK7" s="545"/>
      <c r="LL7" s="545"/>
      <c r="LM7" s="396"/>
      <c r="LN7" s="396"/>
      <c r="LO7" s="553"/>
      <c r="LP7" s="554"/>
      <c r="LQ7" s="396"/>
      <c r="LR7" s="396"/>
      <c r="LS7" s="396"/>
      <c r="LT7" s="357"/>
      <c r="LU7" s="357"/>
      <c r="LV7" s="357"/>
      <c r="LW7" s="357"/>
      <c r="LX7" s="357"/>
      <c r="LY7" s="357"/>
      <c r="LZ7" s="357"/>
      <c r="MA7" s="346"/>
      <c r="MB7" s="346"/>
      <c r="MC7" s="346"/>
      <c r="MD7" s="346"/>
      <c r="ME7" s="346"/>
      <c r="MF7" s="346"/>
      <c r="MG7" s="346"/>
      <c r="MH7" s="346"/>
      <c r="MI7" s="346"/>
      <c r="MJ7" s="346"/>
      <c r="MK7" s="343"/>
      <c r="ML7" s="343"/>
      <c r="MM7" s="343"/>
      <c r="MN7" s="343"/>
      <c r="MO7" s="343"/>
      <c r="MP7" s="363"/>
      <c r="MQ7" s="363"/>
      <c r="MR7" s="363"/>
      <c r="MS7" s="363"/>
      <c r="MT7" s="363"/>
      <c r="MU7" s="363"/>
      <c r="MV7" s="363"/>
      <c r="MW7" s="363"/>
      <c r="MX7" s="360"/>
      <c r="MY7" s="360"/>
      <c r="MZ7" s="360"/>
      <c r="NA7" s="360"/>
      <c r="NB7" s="360"/>
      <c r="NC7" s="348" t="s">
        <v>542</v>
      </c>
      <c r="ND7" s="555" t="s">
        <v>560</v>
      </c>
      <c r="NE7" s="390" t="s">
        <v>531</v>
      </c>
      <c r="NF7" s="392" t="s">
        <v>561</v>
      </c>
      <c r="NG7" s="394" t="s">
        <v>562</v>
      </c>
      <c r="NH7" s="394" t="s">
        <v>563</v>
      </c>
      <c r="NI7" s="353" t="s">
        <v>564</v>
      </c>
      <c r="NJ7" s="351"/>
      <c r="NK7" s="371"/>
      <c r="NM7" s="355" t="s">
        <v>586</v>
      </c>
      <c r="NN7" s="355"/>
      <c r="NO7" s="355"/>
      <c r="NP7" s="355"/>
      <c r="NQ7" s="355"/>
      <c r="NR7" s="355"/>
      <c r="NS7" s="355"/>
      <c r="NT7" s="355"/>
      <c r="NU7" t="s">
        <v>588</v>
      </c>
      <c r="NZ7" s="341"/>
      <c r="OE7" s="340"/>
      <c r="OF7" s="340"/>
      <c r="OG7" s="340"/>
      <c r="OH7" s="340"/>
      <c r="OI7" s="340"/>
      <c r="OJ7" s="340"/>
      <c r="OK7" s="340"/>
      <c r="OL7" s="340"/>
      <c r="OM7" s="340"/>
      <c r="OO7" s="340"/>
      <c r="OP7" s="340"/>
      <c r="OQ7" s="340"/>
      <c r="OR7" s="340"/>
      <c r="OS7" s="340"/>
      <c r="OT7" s="340"/>
      <c r="OU7" s="340"/>
      <c r="OV7" s="340"/>
      <c r="OW7" s="340"/>
      <c r="PA7" s="368" t="s">
        <v>618</v>
      </c>
      <c r="PB7" s="368" t="s">
        <v>619</v>
      </c>
      <c r="PC7" s="368" t="s">
        <v>620</v>
      </c>
      <c r="PD7" s="368" t="s">
        <v>698</v>
      </c>
      <c r="PE7" s="368" t="s">
        <v>699</v>
      </c>
      <c r="PF7" s="368" t="s">
        <v>700</v>
      </c>
      <c r="PG7" s="368" t="s">
        <v>618</v>
      </c>
      <c r="PH7" s="368" t="s">
        <v>619</v>
      </c>
      <c r="PI7" s="368" t="s">
        <v>620</v>
      </c>
      <c r="PJ7" s="368" t="s">
        <v>698</v>
      </c>
      <c r="PK7" s="368" t="s">
        <v>699</v>
      </c>
      <c r="PL7" s="368" t="s">
        <v>700</v>
      </c>
      <c r="PO7" s="562"/>
      <c r="PP7" s="563"/>
      <c r="PQ7" s="563"/>
    </row>
    <row r="8" spans="1:433" ht="49" thickBot="1" x14ac:dyDescent="0.25">
      <c r="A8" s="481"/>
      <c r="B8" s="481"/>
      <c r="C8" s="481"/>
      <c r="D8" s="11" t="s">
        <v>11</v>
      </c>
      <c r="E8" s="11" t="s">
        <v>12</v>
      </c>
      <c r="F8" s="11" t="s">
        <v>11</v>
      </c>
      <c r="G8" s="12" t="s">
        <v>13</v>
      </c>
      <c r="H8" s="12" t="s">
        <v>14</v>
      </c>
      <c r="I8" s="13" t="s">
        <v>15</v>
      </c>
      <c r="J8" s="11" t="s">
        <v>11</v>
      </c>
      <c r="K8" s="12" t="s">
        <v>13</v>
      </c>
      <c r="L8" s="12" t="s">
        <v>14</v>
      </c>
      <c r="M8" s="12" t="s">
        <v>16</v>
      </c>
      <c r="N8" s="11" t="s">
        <v>11</v>
      </c>
      <c r="O8" s="12" t="s">
        <v>13</v>
      </c>
      <c r="P8" s="12" t="s">
        <v>14</v>
      </c>
      <c r="Q8" s="12" t="s">
        <v>16</v>
      </c>
      <c r="R8" s="11" t="s">
        <v>11</v>
      </c>
      <c r="S8" s="12" t="s">
        <v>13</v>
      </c>
      <c r="T8" s="12" t="s">
        <v>14</v>
      </c>
      <c r="U8" s="12" t="s">
        <v>16</v>
      </c>
      <c r="V8" s="11" t="s">
        <v>11</v>
      </c>
      <c r="W8" s="12" t="s">
        <v>13</v>
      </c>
      <c r="X8" s="12" t="s">
        <v>14</v>
      </c>
      <c r="Y8" s="12" t="s">
        <v>16</v>
      </c>
      <c r="Z8" s="12" t="s">
        <v>17</v>
      </c>
      <c r="AA8" s="63" t="s">
        <v>11</v>
      </c>
      <c r="AB8" s="64" t="s">
        <v>13</v>
      </c>
      <c r="AC8" s="64" t="s">
        <v>14</v>
      </c>
      <c r="AD8" s="64" t="s">
        <v>16</v>
      </c>
      <c r="AE8" s="64" t="s">
        <v>17</v>
      </c>
      <c r="AF8" s="456"/>
      <c r="AG8" s="459"/>
      <c r="AH8" s="488"/>
      <c r="AI8" s="11" t="s">
        <v>11</v>
      </c>
      <c r="AJ8" s="12" t="s">
        <v>13</v>
      </c>
      <c r="AK8" s="12" t="s">
        <v>263</v>
      </c>
      <c r="AL8" s="579"/>
      <c r="AM8" s="582"/>
      <c r="AN8" s="568"/>
      <c r="AO8" s="28" t="s">
        <v>268</v>
      </c>
      <c r="AP8" s="28" t="s">
        <v>269</v>
      </c>
      <c r="AQ8" s="28" t="s">
        <v>270</v>
      </c>
      <c r="AR8" s="28" t="s">
        <v>271</v>
      </c>
      <c r="AS8" s="28" t="s">
        <v>270</v>
      </c>
      <c r="AT8" s="28" t="s">
        <v>271</v>
      </c>
      <c r="AU8" s="28" t="s">
        <v>272</v>
      </c>
      <c r="AV8" s="28" t="s">
        <v>273</v>
      </c>
      <c r="AW8" s="28" t="s">
        <v>274</v>
      </c>
      <c r="AX8" s="28" t="s">
        <v>275</v>
      </c>
      <c r="AY8" s="11" t="s">
        <v>279</v>
      </c>
      <c r="AZ8" s="11" t="s">
        <v>280</v>
      </c>
      <c r="BA8" s="588"/>
      <c r="BB8" s="572"/>
      <c r="BE8" s="456"/>
      <c r="BF8" s="459"/>
      <c r="BG8" s="459"/>
      <c r="BH8" s="459"/>
      <c r="BI8" s="459"/>
      <c r="BJ8" s="459"/>
      <c r="BK8" s="459"/>
      <c r="BN8" s="400"/>
      <c r="BO8" s="397"/>
      <c r="BP8" s="397"/>
      <c r="BQ8" s="44" t="s">
        <v>328</v>
      </c>
      <c r="BR8" s="45" t="s">
        <v>329</v>
      </c>
      <c r="BS8" s="44" t="s">
        <v>323</v>
      </c>
      <c r="BT8" s="45" t="s">
        <v>324</v>
      </c>
      <c r="BU8" s="397"/>
      <c r="BV8" s="401"/>
      <c r="BW8" s="475"/>
      <c r="BX8" s="401"/>
      <c r="BY8" s="401"/>
      <c r="BZ8" s="397"/>
      <c r="CB8" s="471"/>
      <c r="CD8" s="400"/>
      <c r="CE8" s="397"/>
      <c r="CF8" s="397"/>
      <c r="CG8" s="44" t="s">
        <v>328</v>
      </c>
      <c r="CH8" s="45" t="s">
        <v>329</v>
      </c>
      <c r="CI8" s="44" t="s">
        <v>323</v>
      </c>
      <c r="CJ8" s="45" t="s">
        <v>324</v>
      </c>
      <c r="CK8" s="397"/>
      <c r="CL8" s="401"/>
      <c r="CM8" s="475"/>
      <c r="CN8" s="401"/>
      <c r="CO8" s="401"/>
      <c r="CP8" s="397"/>
      <c r="DV8" s="532"/>
      <c r="DW8" s="478"/>
      <c r="DX8" s="478"/>
      <c r="DY8" s="478"/>
      <c r="DZ8" s="478"/>
      <c r="EA8" s="478"/>
      <c r="EB8" s="478"/>
      <c r="ED8" s="53"/>
      <c r="EE8" s="54"/>
      <c r="EG8" s="533"/>
      <c r="EH8" s="533"/>
      <c r="EI8" s="47" t="s">
        <v>363</v>
      </c>
      <c r="EJ8" s="47" t="s">
        <v>506</v>
      </c>
      <c r="EK8" s="47"/>
      <c r="EL8" s="47"/>
      <c r="EM8" s="47"/>
      <c r="EN8" s="47"/>
      <c r="EO8" s="47"/>
      <c r="EP8" s="47"/>
      <c r="EQ8" s="47" t="s">
        <v>362</v>
      </c>
      <c r="ER8" s="47" t="s">
        <v>506</v>
      </c>
      <c r="ES8" s="47" t="s">
        <v>364</v>
      </c>
      <c r="ET8" s="47" t="s">
        <v>363</v>
      </c>
      <c r="EU8" s="47" t="s">
        <v>364</v>
      </c>
      <c r="EV8" s="47" t="s">
        <v>364</v>
      </c>
      <c r="EW8" s="47" t="s">
        <v>364</v>
      </c>
      <c r="EX8" s="47" t="s">
        <v>364</v>
      </c>
      <c r="EY8" s="47" t="s">
        <v>364</v>
      </c>
      <c r="EZ8" s="47" t="s">
        <v>365</v>
      </c>
      <c r="FA8" s="47" t="s">
        <v>364</v>
      </c>
      <c r="FB8" s="47" t="s">
        <v>362</v>
      </c>
      <c r="FC8" s="47" t="s">
        <v>364</v>
      </c>
      <c r="FD8" s="47" t="s">
        <v>363</v>
      </c>
      <c r="FE8" s="47" t="s">
        <v>364</v>
      </c>
      <c r="FF8" s="47" t="s">
        <v>364</v>
      </c>
      <c r="FH8" s="47"/>
      <c r="FI8" s="47"/>
      <c r="FJ8" s="47"/>
      <c r="FK8" s="47"/>
      <c r="FL8" s="47"/>
      <c r="FM8" s="47"/>
      <c r="FN8" s="47"/>
      <c r="FO8" s="47"/>
      <c r="FP8" s="47"/>
      <c r="FQ8" s="47"/>
      <c r="FR8" s="47"/>
      <c r="FS8" s="47"/>
      <c r="FT8" s="47"/>
      <c r="FU8" s="47"/>
      <c r="FV8" s="47"/>
      <c r="FX8" s="367"/>
      <c r="FY8" s="414"/>
      <c r="FZ8" s="397"/>
      <c r="GA8" s="397"/>
      <c r="GB8" s="397"/>
      <c r="GC8" s="397"/>
      <c r="GD8" s="397"/>
      <c r="GE8" s="397"/>
      <c r="GF8" s="27"/>
      <c r="GG8" s="397"/>
      <c r="GH8" s="397"/>
      <c r="GI8" s="27"/>
      <c r="GJ8" s="397"/>
      <c r="GK8" s="397"/>
      <c r="GO8" s="425"/>
      <c r="GP8" s="425"/>
      <c r="GQ8" s="425"/>
      <c r="GR8" s="425"/>
      <c r="GS8" s="425"/>
      <c r="GT8" s="425"/>
      <c r="GU8" s="95"/>
      <c r="GV8" s="425"/>
      <c r="GW8" s="425"/>
      <c r="GX8" s="96" t="s">
        <v>447</v>
      </c>
      <c r="GY8" s="97">
        <f>Jaticempaka!GY8</f>
        <v>14</v>
      </c>
      <c r="GZ8" s="425"/>
      <c r="HA8" s="83"/>
      <c r="HB8" s="83"/>
      <c r="HC8" s="402"/>
      <c r="HD8" s="402"/>
      <c r="HE8" s="402"/>
      <c r="HF8" s="402"/>
      <c r="HG8" s="402"/>
      <c r="HH8" s="98">
        <f>Jaticempaka!HH8</f>
        <v>45</v>
      </c>
      <c r="HI8" s="98">
        <f>Jaticempaka!HI8</f>
        <v>45</v>
      </c>
      <c r="HJ8" s="90"/>
      <c r="HK8" s="402"/>
      <c r="HL8" s="83"/>
      <c r="HM8" s="83"/>
      <c r="HN8" s="83"/>
      <c r="HO8" s="83"/>
      <c r="HP8" s="99" t="s">
        <v>463</v>
      </c>
      <c r="HQ8" s="99" t="s">
        <v>11</v>
      </c>
      <c r="HR8" s="100" t="s">
        <v>13</v>
      </c>
      <c r="HS8" s="99" t="s">
        <v>463</v>
      </c>
      <c r="HT8" s="99" t="s">
        <v>11</v>
      </c>
      <c r="HU8" s="100" t="s">
        <v>13</v>
      </c>
      <c r="HV8" s="99" t="s">
        <v>463</v>
      </c>
      <c r="HW8" s="99" t="s">
        <v>11</v>
      </c>
      <c r="HX8" s="100" t="s">
        <v>13</v>
      </c>
      <c r="HY8" s="99" t="s">
        <v>463</v>
      </c>
      <c r="HZ8" s="99" t="s">
        <v>11</v>
      </c>
      <c r="IA8" s="100" t="s">
        <v>13</v>
      </c>
      <c r="IB8" s="99" t="s">
        <v>463</v>
      </c>
      <c r="IC8" s="99" t="s">
        <v>11</v>
      </c>
      <c r="ID8" s="100" t="s">
        <v>13</v>
      </c>
      <c r="IE8" s="99" t="s">
        <v>463</v>
      </c>
      <c r="IF8" s="99" t="s">
        <v>11</v>
      </c>
      <c r="IG8" s="100" t="s">
        <v>13</v>
      </c>
      <c r="IH8" s="99" t="s">
        <v>463</v>
      </c>
      <c r="II8" s="99" t="s">
        <v>11</v>
      </c>
      <c r="IJ8" s="100" t="s">
        <v>13</v>
      </c>
      <c r="IK8" s="99" t="s">
        <v>463</v>
      </c>
      <c r="IL8" s="99" t="s">
        <v>11</v>
      </c>
      <c r="IM8" s="100" t="s">
        <v>13</v>
      </c>
      <c r="IN8" s="83"/>
      <c r="IO8" s="99" t="s">
        <v>463</v>
      </c>
      <c r="IP8" s="99" t="s">
        <v>11</v>
      </c>
      <c r="IQ8" s="100" t="s">
        <v>13</v>
      </c>
      <c r="IR8" s="83"/>
      <c r="IS8" s="99" t="s">
        <v>463</v>
      </c>
      <c r="IT8" s="99" t="s">
        <v>11</v>
      </c>
      <c r="IU8" s="100" t="s">
        <v>13</v>
      </c>
      <c r="IV8" s="83"/>
      <c r="IW8" s="99" t="s">
        <v>463</v>
      </c>
      <c r="IX8" s="99" t="s">
        <v>11</v>
      </c>
      <c r="IY8" s="100" t="s">
        <v>13</v>
      </c>
      <c r="IZ8" s="83"/>
      <c r="JA8" s="99" t="s">
        <v>463</v>
      </c>
      <c r="JB8" s="99" t="s">
        <v>11</v>
      </c>
      <c r="JC8" s="100" t="s">
        <v>13</v>
      </c>
      <c r="JD8" s="83"/>
      <c r="JE8" s="99" t="s">
        <v>463</v>
      </c>
      <c r="JF8" s="99" t="s">
        <v>11</v>
      </c>
      <c r="JG8" s="100" t="s">
        <v>13</v>
      </c>
      <c r="JH8" s="83"/>
      <c r="JI8" s="99" t="s">
        <v>463</v>
      </c>
      <c r="JJ8" s="99" t="s">
        <v>11</v>
      </c>
      <c r="JK8" s="100" t="s">
        <v>13</v>
      </c>
      <c r="JM8" t="s">
        <v>468</v>
      </c>
      <c r="JP8" s="400"/>
      <c r="JQ8" s="397"/>
      <c r="JR8" s="397"/>
      <c r="JS8" s="44" t="s">
        <v>328</v>
      </c>
      <c r="JT8" s="45" t="s">
        <v>479</v>
      </c>
      <c r="JU8" s="44" t="s">
        <v>323</v>
      </c>
      <c r="JV8" s="45" t="s">
        <v>324</v>
      </c>
      <c r="JW8" s="397"/>
      <c r="JX8" s="401"/>
      <c r="JY8" s="475"/>
      <c r="JZ8" s="401"/>
      <c r="KA8" s="401"/>
      <c r="KB8" s="397"/>
      <c r="KD8" s="400"/>
      <c r="KE8" s="400"/>
      <c r="KF8" s="400"/>
      <c r="KG8" s="397"/>
      <c r="KH8" s="397"/>
      <c r="KI8" s="44" t="s">
        <v>328</v>
      </c>
      <c r="KJ8" s="45" t="s">
        <v>479</v>
      </c>
      <c r="KK8" s="44" t="s">
        <v>323</v>
      </c>
      <c r="KL8" s="45" t="s">
        <v>324</v>
      </c>
      <c r="KM8" s="397"/>
      <c r="KN8" s="401"/>
      <c r="KO8" s="475"/>
      <c r="KP8" s="401"/>
      <c r="KQ8" s="401"/>
      <c r="KR8" s="397"/>
      <c r="KU8" s="130" t="s">
        <v>565</v>
      </c>
      <c r="KV8" s="130" t="s">
        <v>565</v>
      </c>
      <c r="KW8" s="536"/>
      <c r="KX8" s="539"/>
      <c r="KY8" s="539"/>
      <c r="KZ8" s="129" t="s">
        <v>12</v>
      </c>
      <c r="LA8" s="131" t="s">
        <v>566</v>
      </c>
      <c r="LB8" s="129" t="s">
        <v>12</v>
      </c>
      <c r="LC8" s="131" t="s">
        <v>566</v>
      </c>
      <c r="LD8" s="132" t="s">
        <v>567</v>
      </c>
      <c r="LE8" s="133" t="s">
        <v>568</v>
      </c>
      <c r="LF8" s="545"/>
      <c r="LG8" s="545"/>
      <c r="LH8" s="546"/>
      <c r="LI8" s="545"/>
      <c r="LJ8" s="545"/>
      <c r="LK8" s="545"/>
      <c r="LL8" s="545"/>
      <c r="LM8" s="396"/>
      <c r="LN8" s="396"/>
      <c r="LO8" s="553"/>
      <c r="LP8" s="554"/>
      <c r="LQ8" s="396"/>
      <c r="LR8" s="396"/>
      <c r="LS8" s="396"/>
      <c r="LT8" s="358"/>
      <c r="LU8" s="358"/>
      <c r="LV8" s="358"/>
      <c r="LW8" s="358"/>
      <c r="LX8" s="358"/>
      <c r="LY8" s="358"/>
      <c r="LZ8" s="358"/>
      <c r="MA8" s="347"/>
      <c r="MB8" s="347"/>
      <c r="MC8" s="347"/>
      <c r="MD8" s="347"/>
      <c r="ME8" s="347"/>
      <c r="MF8" s="347"/>
      <c r="MG8" s="347"/>
      <c r="MH8" s="347"/>
      <c r="MI8" s="347"/>
      <c r="MJ8" s="347"/>
      <c r="MK8" s="344"/>
      <c r="ML8" s="344"/>
      <c r="MM8" s="344"/>
      <c r="MN8" s="344"/>
      <c r="MO8" s="344"/>
      <c r="MP8" s="364"/>
      <c r="MQ8" s="364"/>
      <c r="MR8" s="364"/>
      <c r="MS8" s="364"/>
      <c r="MT8" s="364"/>
      <c r="MU8" s="364"/>
      <c r="MV8" s="364"/>
      <c r="MW8" s="364"/>
      <c r="MX8" s="361"/>
      <c r="MY8" s="361"/>
      <c r="MZ8" s="361"/>
      <c r="NA8" s="361"/>
      <c r="NB8" s="361"/>
      <c r="NC8" s="349"/>
      <c r="ND8" s="556"/>
      <c r="NE8" s="391"/>
      <c r="NF8" s="393"/>
      <c r="NG8" s="395"/>
      <c r="NH8" s="395"/>
      <c r="NI8" s="354"/>
      <c r="NJ8" s="352"/>
      <c r="NK8" s="371"/>
      <c r="NM8" s="80">
        <v>1</v>
      </c>
      <c r="NN8" s="80">
        <v>2</v>
      </c>
      <c r="NO8" s="80">
        <v>3</v>
      </c>
      <c r="NP8" s="80">
        <v>4</v>
      </c>
      <c r="NQ8" s="80">
        <v>5</v>
      </c>
      <c r="NR8" s="80">
        <v>6</v>
      </c>
      <c r="NS8" s="80">
        <v>7</v>
      </c>
      <c r="NT8" s="80" t="s">
        <v>587</v>
      </c>
      <c r="NU8" t="s">
        <v>589</v>
      </c>
      <c r="NZ8" s="341"/>
      <c r="OE8" s="340"/>
      <c r="OF8" s="340"/>
      <c r="OG8" s="340"/>
      <c r="OH8" s="340"/>
      <c r="OI8" s="340"/>
      <c r="OJ8" s="340"/>
      <c r="OK8" s="340"/>
      <c r="OL8" s="340"/>
      <c r="OM8" s="340"/>
      <c r="OO8" s="340"/>
      <c r="OP8" s="340"/>
      <c r="OQ8" s="340"/>
      <c r="OR8" s="340"/>
      <c r="OS8" s="340"/>
      <c r="OT8" s="340"/>
      <c r="OU8" s="340"/>
      <c r="OV8" s="340"/>
      <c r="OW8" s="340"/>
      <c r="PA8" s="369"/>
      <c r="PB8" s="369"/>
      <c r="PC8" s="369"/>
      <c r="PD8" s="369"/>
      <c r="PE8" s="369"/>
      <c r="PF8" s="369"/>
      <c r="PG8" s="369"/>
      <c r="PH8" s="369"/>
      <c r="PI8" s="369"/>
      <c r="PJ8" s="369"/>
      <c r="PK8" s="369"/>
      <c r="PL8" s="369"/>
      <c r="PO8" s="47" t="s">
        <v>364</v>
      </c>
      <c r="PP8" s="47" t="s">
        <v>364</v>
      </c>
      <c r="PQ8" s="47" t="s">
        <v>364</v>
      </c>
    </row>
    <row r="9" spans="1:433" ht="16" x14ac:dyDescent="0.2">
      <c r="A9" s="14">
        <v>1</v>
      </c>
      <c r="B9" s="191" t="s">
        <v>639</v>
      </c>
      <c r="C9" s="16">
        <v>1</v>
      </c>
      <c r="D9" s="17">
        <v>1</v>
      </c>
      <c r="E9" s="17">
        <v>299</v>
      </c>
      <c r="F9" s="17">
        <v>1</v>
      </c>
      <c r="G9" s="17">
        <f>E9</f>
        <v>299</v>
      </c>
      <c r="H9" s="18">
        <f t="shared" ref="H9:H10" si="2">F9/$D9</f>
        <v>1</v>
      </c>
      <c r="I9" s="18">
        <f t="shared" ref="I9:I10" si="3">G9/$E9</f>
        <v>1</v>
      </c>
      <c r="J9" s="17">
        <v>1</v>
      </c>
      <c r="K9" s="17">
        <f t="shared" ref="K9:K10" si="4">IF(J9=D9,E9,0)</f>
        <v>299</v>
      </c>
      <c r="L9" s="18">
        <f t="shared" ref="L9:L29" si="5">J9/$D9</f>
        <v>1</v>
      </c>
      <c r="M9" s="18">
        <f t="shared" ref="M9:M29" si="6">K9/$E9</f>
        <v>1</v>
      </c>
      <c r="N9" s="17">
        <v>1</v>
      </c>
      <c r="O9" s="17">
        <f t="shared" ref="O9:O10" si="7">IF(N9=D9,E9,0)</f>
        <v>299</v>
      </c>
      <c r="P9" s="18">
        <f t="shared" ref="P9:P29" si="8">N9/$D9</f>
        <v>1</v>
      </c>
      <c r="Q9" s="18">
        <f t="shared" ref="Q9:Q29" si="9">O9/$E9</f>
        <v>1</v>
      </c>
      <c r="R9" s="17">
        <v>1</v>
      </c>
      <c r="S9" s="17">
        <f t="shared" ref="S9:S10" si="10">IF(R9=D9,E9,0)</f>
        <v>299</v>
      </c>
      <c r="T9" s="18">
        <f t="shared" ref="T9:T10" si="11">R9/$D9</f>
        <v>1</v>
      </c>
      <c r="U9" s="18">
        <f t="shared" ref="U9:U10" si="12">S9/$E9</f>
        <v>1</v>
      </c>
      <c r="V9" s="17">
        <v>1</v>
      </c>
      <c r="W9" s="17">
        <f t="shared" ref="W9:W10" si="13">IF(V9=D9,E9,0)</f>
        <v>299</v>
      </c>
      <c r="X9" s="18">
        <f t="shared" ref="X9:X10" si="14">V9/$D9</f>
        <v>1</v>
      </c>
      <c r="Y9" s="18">
        <f t="shared" ref="Y9:Y10" si="15">W9/$E9</f>
        <v>1</v>
      </c>
      <c r="Z9" s="38">
        <f>15957299000/1000000000</f>
        <v>15.957299000000001</v>
      </c>
      <c r="AA9" s="17"/>
      <c r="AB9" s="17">
        <f>IF(AA9=D9,E9,0)</f>
        <v>0</v>
      </c>
      <c r="AC9" s="18">
        <f t="shared" ref="AC9" si="16">AA9/$D9</f>
        <v>0</v>
      </c>
      <c r="AD9" s="18">
        <f t="shared" ref="AD9" si="17">AB9/$E9</f>
        <v>0</v>
      </c>
      <c r="AE9" s="62"/>
      <c r="AF9" s="32">
        <f>R9-V9</f>
        <v>0</v>
      </c>
      <c r="AG9" s="17"/>
      <c r="AH9" s="31"/>
      <c r="AI9" s="17">
        <v>1</v>
      </c>
      <c r="AJ9" s="17">
        <f t="shared" ref="AJ9:AJ10" si="18">IF(AI9=D9,E9,0)</f>
        <v>299</v>
      </c>
      <c r="AK9" s="17" t="s">
        <v>276</v>
      </c>
      <c r="AL9" s="17">
        <v>0</v>
      </c>
      <c r="AM9" s="17">
        <v>0</v>
      </c>
      <c r="AN9" s="72"/>
      <c r="AO9" s="17">
        <f t="shared" ref="AO9:AO10" si="19">IF(AI9=1,D9,0)</f>
        <v>1</v>
      </c>
      <c r="AP9" s="17">
        <f t="shared" ref="AP9:AP10" si="20">IF(AO9=D9,E9,0)</f>
        <v>299</v>
      </c>
      <c r="AQ9" s="17">
        <f t="shared" ref="AQ9:AQ10" si="21">IF(AI9=1,N9,0)</f>
        <v>1</v>
      </c>
      <c r="AR9" s="17">
        <f t="shared" ref="AR9:AR10" si="22">IF(AQ9=1,O9,0)</f>
        <v>299</v>
      </c>
      <c r="AS9" s="17">
        <f t="shared" ref="AS9:AS10" si="23">IF(AI9=1,J9,0)</f>
        <v>1</v>
      </c>
      <c r="AT9" s="17">
        <f t="shared" ref="AT9:AT10" si="24">IF(AS9=1,K9,0)</f>
        <v>299</v>
      </c>
      <c r="AU9" s="17">
        <f t="shared" ref="AU9:AU10" si="25">IF(AI9=1,R9,0)</f>
        <v>1</v>
      </c>
      <c r="AV9" s="17">
        <f t="shared" ref="AV9:AV10" si="26">IF(AU9=1,S9,0)</f>
        <v>299</v>
      </c>
      <c r="AW9" s="17">
        <f t="shared" ref="AW9:AW10" si="27">IF(AI9=1,V9,0)</f>
        <v>1</v>
      </c>
      <c r="AX9" s="17">
        <f t="shared" ref="AX9:AX10" si="28">IF(AW9=1,W9,0)</f>
        <v>299</v>
      </c>
      <c r="AY9" s="17">
        <f>AU9-AW9</f>
        <v>0</v>
      </c>
      <c r="AZ9" s="17">
        <f>AV9-AX9</f>
        <v>0</v>
      </c>
      <c r="BA9" s="17">
        <f>IF(AW9=1,Z9,0)</f>
        <v>15.957299000000001</v>
      </c>
      <c r="BB9" s="17">
        <f>IF(AN9=1,G9,0)</f>
        <v>0</v>
      </c>
      <c r="BE9" s="17">
        <f t="shared" ref="BE9:BE13" si="29">IF(AF9=1,S9,0)</f>
        <v>0</v>
      </c>
      <c r="BF9" s="17">
        <f t="shared" ref="BF9:BF13" si="30">IF(AG9="A",S9,0)</f>
        <v>0</v>
      </c>
      <c r="BG9" s="17">
        <f t="shared" ref="BG9:BG13" si="31">IF(AG9="B",S9,0)</f>
        <v>0</v>
      </c>
      <c r="BH9" s="17">
        <f t="shared" ref="BH9:BH13" si="32">IF(AG9="C",S9,0)</f>
        <v>0</v>
      </c>
      <c r="BI9" s="17">
        <f t="shared" ref="BI9:BI13" si="33">IF(AG9="D",S9,0)</f>
        <v>0</v>
      </c>
      <c r="BJ9" s="17">
        <f t="shared" ref="BJ9:BJ13" si="34">IF(AG9="E",S9,0)</f>
        <v>0</v>
      </c>
      <c r="BK9" s="17">
        <f t="shared" ref="BK9" si="35">SUM(BF9:BJ9)</f>
        <v>0</v>
      </c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B9" s="72"/>
      <c r="CD9" s="17">
        <f>BN9</f>
        <v>0</v>
      </c>
      <c r="CE9" s="17">
        <f>IF(BO9=1,$CD9,0)</f>
        <v>0</v>
      </c>
      <c r="CF9" s="17">
        <f t="shared" ref="CF9:CP10" si="36">IF(BP9=1,$CD9,0)</f>
        <v>0</v>
      </c>
      <c r="CG9" s="17">
        <f t="shared" si="36"/>
        <v>0</v>
      </c>
      <c r="CH9" s="17">
        <f t="shared" si="36"/>
        <v>0</v>
      </c>
      <c r="CI9" s="17">
        <f t="shared" si="36"/>
        <v>0</v>
      </c>
      <c r="CJ9" s="17">
        <f t="shared" si="36"/>
        <v>0</v>
      </c>
      <c r="CK9" s="17">
        <f t="shared" si="36"/>
        <v>0</v>
      </c>
      <c r="CL9" s="17">
        <f t="shared" si="36"/>
        <v>0</v>
      </c>
      <c r="CM9" s="17">
        <f t="shared" si="36"/>
        <v>0</v>
      </c>
      <c r="CN9" s="17">
        <f t="shared" si="36"/>
        <v>0</v>
      </c>
      <c r="CO9" s="17">
        <f t="shared" si="36"/>
        <v>0</v>
      </c>
      <c r="CP9" s="17">
        <f t="shared" si="36"/>
        <v>0</v>
      </c>
      <c r="DV9" s="17">
        <f t="shared" ref="DV9:DV13" si="37">IF(CB9=1,G9,0)</f>
        <v>0</v>
      </c>
      <c r="DW9" s="17">
        <f t="shared" ref="DW9:DW13" si="38">IF(CC9="A",G9,0)</f>
        <v>0</v>
      </c>
      <c r="DX9" s="17">
        <f t="shared" ref="DX9:DX13" si="39">IF(CC9="B",G9,0)</f>
        <v>0</v>
      </c>
      <c r="DY9" s="17">
        <f t="shared" ref="DY9:DY13" si="40">IF(CC9="C",G9,0)</f>
        <v>0</v>
      </c>
      <c r="DZ9" s="17">
        <f t="shared" ref="DZ9:DZ13" si="41">IF(CC9="D",G9,0)</f>
        <v>0</v>
      </c>
      <c r="EA9" s="17">
        <f t="shared" ref="EA9:EA13" si="42">IF(CC9="E",G9,0)</f>
        <v>0</v>
      </c>
      <c r="EB9" s="17">
        <f t="shared" ref="EB9" si="43">SUM(DW9:EA9)</f>
        <v>0</v>
      </c>
      <c r="ED9" s="46" t="s">
        <v>366</v>
      </c>
      <c r="EE9" s="46" t="s">
        <v>367</v>
      </c>
      <c r="EG9" s="57">
        <f>IF(AG9="C","C",IF(AG9="D","D",0))</f>
        <v>0</v>
      </c>
      <c r="EH9" s="57">
        <f>CC9</f>
        <v>0</v>
      </c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X9" s="80"/>
      <c r="FY9" s="17">
        <f>SUM(FZ9:GE9)</f>
        <v>0</v>
      </c>
      <c r="FZ9" s="17">
        <f t="shared" ref="FZ9:GB28" si="44">DI9+CE9</f>
        <v>0</v>
      </c>
      <c r="GA9" s="17">
        <f t="shared" si="44"/>
        <v>0</v>
      </c>
      <c r="GB9" s="17">
        <f t="shared" si="44"/>
        <v>0</v>
      </c>
      <c r="GC9" s="17">
        <f t="shared" ref="GC9:GC28" si="45">DM9+CI9</f>
        <v>0</v>
      </c>
      <c r="GD9" s="17">
        <f t="shared" ref="GD9:GD28" si="46">DO9+CK9</f>
        <v>0</v>
      </c>
      <c r="GE9" s="17">
        <f t="shared" ref="GE9:GE28" si="47">DT9+CP9</f>
        <v>0</v>
      </c>
      <c r="GF9" s="67"/>
      <c r="GG9" s="17">
        <v>0</v>
      </c>
      <c r="GH9" s="17">
        <v>0</v>
      </c>
      <c r="GI9" s="67"/>
      <c r="GJ9" s="62">
        <f>FY9*GG9/1000000000</f>
        <v>0</v>
      </c>
      <c r="GK9" s="62">
        <f>FY9*GH9/1000000000</f>
        <v>0</v>
      </c>
      <c r="GO9" s="17">
        <f t="shared" ref="GO9:GO28" si="48">D9-F9</f>
        <v>0</v>
      </c>
      <c r="GP9" s="17">
        <f t="shared" ref="GP9:GP28" si="49">D9-J9</f>
        <v>0</v>
      </c>
      <c r="GQ9" s="17">
        <f t="shared" ref="GQ9:GQ28" si="50">D9-N9</f>
        <v>0</v>
      </c>
      <c r="GR9" s="17">
        <f t="shared" ref="GR9:GR28" si="51">D9-R9</f>
        <v>0</v>
      </c>
      <c r="GS9" s="17">
        <f t="shared" ref="GS9:GS28" si="52">D9-V9</f>
        <v>0</v>
      </c>
      <c r="GT9" s="17">
        <f>IF(SUM(GO9:GS9)=0,1,0)</f>
        <v>1</v>
      </c>
      <c r="GU9" s="101">
        <f>$GU$3</f>
        <v>43243</v>
      </c>
      <c r="GV9" s="17" t="str">
        <f>IF(GO9&gt;0,$GO$6,IF(GP9&gt;0,$GP$6,IF(GQ9&gt;0,$GQ$6,IF(GR9&gt;0,$GR$6,IF(GS9&gt;0,$GS$6,IF(GT9&gt;0,$GT$6,0))))))</f>
        <v>SELESAI</v>
      </c>
      <c r="GW9" s="17">
        <f>IF(GV9=$GO$6,GO9,IF(GV9=$GP$6,GP9,IF(GV9=$GQ$6,GQ9,IF(GV9=$GR$6,GR9,IF(GV9=$GS$6,GS9,0)))))</f>
        <v>0</v>
      </c>
      <c r="GX9" s="66" t="str">
        <f>GV9</f>
        <v>SELESAI</v>
      </c>
      <c r="GY9" s="66">
        <f>IF(GX9="DNP",SUM($GY$4:$GY$8),IF(GX9="Survey KJPP",SUM($GY$5:$GY$8),IF(GX9="Hasil Valuasi",SUM($GY$6:$GY$8),IF(GX9="Musyawarah",SUM($GY$7:$GY$8),IF(GX9="UGR",$GY$8,0)))))</f>
        <v>0</v>
      </c>
      <c r="GZ9" s="102" t="str">
        <f>IF(GW9=0,"SELESAI",GU9+GY9)</f>
        <v>SELESAI</v>
      </c>
      <c r="HA9" s="83"/>
      <c r="HB9" s="83"/>
      <c r="HC9" s="17">
        <f t="shared" ref="HC9:HC28" si="53">IF(BH9&gt;0,1,IF(BI9&gt;0,1,0))</f>
        <v>0</v>
      </c>
      <c r="HD9" s="17">
        <f t="shared" ref="HD9:HD28" si="54">IF(CB9&gt;0,1,0)</f>
        <v>0</v>
      </c>
      <c r="HE9" s="17">
        <f>HC9+HD9</f>
        <v>0</v>
      </c>
      <c r="HF9" s="17">
        <f>FQ9</f>
        <v>0</v>
      </c>
      <c r="HG9" s="17">
        <f>HE9-HF9</f>
        <v>0</v>
      </c>
      <c r="HH9" s="101" t="str">
        <f t="shared" ref="HH9:HH13" si="55">IF(HG9=1,GU9+$HH$8,"TIDAK KONSINYASI")</f>
        <v>TIDAK KONSINYASI</v>
      </c>
      <c r="HI9" s="101" t="str">
        <f>IF(GW9=0,"SELESAI",GZ9+$HI$8)</f>
        <v>SELESAI</v>
      </c>
      <c r="HJ9" s="27"/>
      <c r="HK9" s="101">
        <f t="shared" ref="HK9:HK13" si="56">MAX(GZ9,HH9,HI9)</f>
        <v>0</v>
      </c>
      <c r="HL9" s="83"/>
      <c r="HM9" s="83"/>
      <c r="HN9" s="83"/>
      <c r="HO9" s="83"/>
      <c r="HP9" s="102">
        <f>IF(HQ9=1,GZ9,0)</f>
        <v>0</v>
      </c>
      <c r="HQ9" s="66">
        <f>IF(IX9=0,IF(HT9=0,IF(IP9=0,IF(GV9="UGR",GS9,0),0),0),0)</f>
        <v>0</v>
      </c>
      <c r="HR9" s="66">
        <f t="shared" ref="HR9:HR28" si="57">IF(HQ9=1,E9,0)</f>
        <v>0</v>
      </c>
      <c r="HS9" s="102">
        <f>IF(HT9=1,HH9,0)</f>
        <v>0</v>
      </c>
      <c r="HT9" s="66">
        <f>HG9</f>
        <v>0</v>
      </c>
      <c r="HU9" s="66">
        <f t="shared" ref="HU9:HU28" si="58">IF(HT9=1,E9,0)</f>
        <v>0</v>
      </c>
      <c r="HV9" s="102">
        <f>IF(HW9=1,GZ9,0)</f>
        <v>0</v>
      </c>
      <c r="HW9" s="66">
        <f t="shared" ref="HW9:HW13" si="59">IF(JB9=0,IF(IX9=0,IF(HT9=0,IF(GV9="MUSYAWARAH",GR9,0),0),0),0)</f>
        <v>0</v>
      </c>
      <c r="HX9" s="66">
        <f t="shared" ref="HX9:HX28" si="60">IF(HW9=1,E9,0)</f>
        <v>0</v>
      </c>
      <c r="HY9" s="102">
        <f t="shared" ref="HY9:HY13" si="61">IF(HZ9=1,HV9+$HI$8,0)</f>
        <v>0</v>
      </c>
      <c r="HZ9" s="66">
        <f>HW9</f>
        <v>0</v>
      </c>
      <c r="IA9" s="66">
        <f t="shared" ref="IA9:IA28" si="62">IF(HZ9=1,E9,0)</f>
        <v>0</v>
      </c>
      <c r="IB9" s="102">
        <f>IF(IC9=1,$GU$3+SUM($GY$6:$GY$8),0)</f>
        <v>0</v>
      </c>
      <c r="IC9" s="66">
        <f t="shared" ref="IC9:IC13" si="63">IF(GV9="Hasil Valuasi",GQ9,0)</f>
        <v>0</v>
      </c>
      <c r="ID9" s="66">
        <f t="shared" ref="ID9:ID28" si="64">IF(IC9=1,E9,0)</f>
        <v>0</v>
      </c>
      <c r="IE9" s="102">
        <f t="shared" ref="IE9:IE13" si="65">IF(IF9=1,IB9+$HI$8,0)</f>
        <v>0</v>
      </c>
      <c r="IF9" s="66">
        <f t="shared" ref="IF9:IF13" si="66">IC9</f>
        <v>0</v>
      </c>
      <c r="IG9" s="66">
        <f t="shared" ref="IG9:IG28" si="67">IF(IF9=1,E9,0)</f>
        <v>0</v>
      </c>
      <c r="IH9" s="102">
        <f>IF(II9=1,$GU$3+SUM($GY$5:$GY$8),0)</f>
        <v>0</v>
      </c>
      <c r="II9" s="66">
        <f>IF(GV9="Survey KJPP",GP9,0)</f>
        <v>0</v>
      </c>
      <c r="IJ9" s="66">
        <f t="shared" ref="IJ9:IJ28" si="68">IF(II9=1,E9,0)</f>
        <v>0</v>
      </c>
      <c r="IK9" s="102">
        <f t="shared" ref="IK9:IK13" si="69">IF(IL9=1,IH9+$HI$8,0)</f>
        <v>0</v>
      </c>
      <c r="IL9" s="66">
        <f t="shared" ref="IL9:IL13" si="70">II9</f>
        <v>0</v>
      </c>
      <c r="IM9" s="66">
        <f t="shared" ref="IM9:IM28" si="71">IF(IL9=1,E9,0)</f>
        <v>0</v>
      </c>
      <c r="IN9" s="83"/>
      <c r="IO9" s="102">
        <f t="shared" ref="IO9:IO13" si="72">IF(IP9=1,+$GU$3+$HH$8,0)</f>
        <v>0</v>
      </c>
      <c r="IP9" s="66">
        <f t="shared" ref="IP9:IP28" si="73">IF(BG9&gt;0,1,0)</f>
        <v>0</v>
      </c>
      <c r="IQ9" s="66">
        <f t="shared" ref="IQ9:IQ28" si="74">IF(IP9=1,E9,0)</f>
        <v>0</v>
      </c>
      <c r="IR9" s="83"/>
      <c r="IS9" s="102"/>
      <c r="IT9" s="66">
        <f t="shared" ref="IT9:IU28" si="75">V9</f>
        <v>1</v>
      </c>
      <c r="IU9" s="66">
        <f t="shared" si="75"/>
        <v>299</v>
      </c>
      <c r="IV9" s="83"/>
      <c r="IW9" s="102"/>
      <c r="IX9" s="66">
        <f t="shared" ref="IX9:IY28" si="76">AA9</f>
        <v>0</v>
      </c>
      <c r="IY9" s="66">
        <f t="shared" si="76"/>
        <v>0</v>
      </c>
      <c r="IZ9" s="83"/>
      <c r="JA9" s="102"/>
      <c r="JB9" s="66">
        <f t="shared" ref="JB9:JB28" si="77">AN9</f>
        <v>0</v>
      </c>
      <c r="JC9" s="66">
        <f t="shared" ref="JC9:JC28" si="78">BB9</f>
        <v>0</v>
      </c>
      <c r="JD9" s="83"/>
      <c r="JE9" s="102"/>
      <c r="JF9" s="66">
        <f>IT9+HQ9+HT9+HZ9+IF9+IL9+IP9+IX9+JB9</f>
        <v>1</v>
      </c>
      <c r="JG9" s="66">
        <f t="shared" ref="JG9:JG13" si="79">IU9+HR9+HU9+IA9+IG9+IM9+IQ9+IY9+JC9</f>
        <v>299</v>
      </c>
      <c r="JH9" s="83"/>
      <c r="JI9" s="102"/>
      <c r="JJ9" s="66">
        <f t="shared" ref="JJ9:JK28" si="80">JF9-D9</f>
        <v>0</v>
      </c>
      <c r="JK9" s="66">
        <f t="shared" si="80"/>
        <v>0</v>
      </c>
      <c r="JM9" s="102">
        <f>MAX(IW9,IS9,IO9,IK9,IE9,HY9,HS9,HP9)</f>
        <v>0</v>
      </c>
      <c r="JO9" s="29">
        <f t="shared" ref="JO9:JO13" si="81">SUM(JQ9:KB9)</f>
        <v>0</v>
      </c>
      <c r="JP9" s="122">
        <f t="shared" ref="JP9:JP28" si="82">BN9+CR9</f>
        <v>0</v>
      </c>
      <c r="JQ9" s="122">
        <f t="shared" ref="JQ9:KB28" si="83">IF(BO9+CS9=2,1,IF(BO9+CS9=1,1,0))</f>
        <v>0</v>
      </c>
      <c r="JR9" s="122">
        <f t="shared" si="83"/>
        <v>0</v>
      </c>
      <c r="JS9" s="122">
        <f t="shared" si="83"/>
        <v>0</v>
      </c>
      <c r="JT9" s="122">
        <f t="shared" si="83"/>
        <v>0</v>
      </c>
      <c r="JU9" s="122">
        <f t="shared" si="83"/>
        <v>0</v>
      </c>
      <c r="JV9" s="122">
        <f t="shared" si="83"/>
        <v>0</v>
      </c>
      <c r="JW9" s="122">
        <f t="shared" si="83"/>
        <v>0</v>
      </c>
      <c r="JX9" s="122">
        <f t="shared" si="83"/>
        <v>0</v>
      </c>
      <c r="JY9" s="122">
        <f t="shared" si="83"/>
        <v>0</v>
      </c>
      <c r="JZ9" s="122">
        <f t="shared" si="83"/>
        <v>0</v>
      </c>
      <c r="KA9" s="122">
        <f t="shared" si="83"/>
        <v>0</v>
      </c>
      <c r="KB9" s="122">
        <f t="shared" si="83"/>
        <v>0</v>
      </c>
      <c r="KD9" s="122">
        <f t="shared" ref="KD9" si="84">IF(IF(SUM(GA9:GE9)&gt;100,1,0)+IF(FX9=1,1,0)=2,1,0)</f>
        <v>0</v>
      </c>
      <c r="KE9" s="122">
        <f t="shared" ref="KE9:KE28" si="85">IF(KD9=1,KF9,0)</f>
        <v>0</v>
      </c>
      <c r="KF9" s="122">
        <f t="shared" ref="KF9:KR28" si="86">CD9+DH9</f>
        <v>0</v>
      </c>
      <c r="KG9" s="122">
        <f t="shared" si="86"/>
        <v>0</v>
      </c>
      <c r="KH9" s="122">
        <f t="shared" si="86"/>
        <v>0</v>
      </c>
      <c r="KI9" s="122">
        <f t="shared" si="86"/>
        <v>0</v>
      </c>
      <c r="KJ9" s="122">
        <f t="shared" si="86"/>
        <v>0</v>
      </c>
      <c r="KK9" s="122">
        <f t="shared" si="86"/>
        <v>0</v>
      </c>
      <c r="KL9" s="122">
        <f t="shared" si="86"/>
        <v>0</v>
      </c>
      <c r="KM9" s="122">
        <f t="shared" si="86"/>
        <v>0</v>
      </c>
      <c r="KN9" s="122">
        <f t="shared" si="86"/>
        <v>0</v>
      </c>
      <c r="KO9" s="122">
        <f t="shared" si="86"/>
        <v>0</v>
      </c>
      <c r="KP9" s="122">
        <f t="shared" si="86"/>
        <v>0</v>
      </c>
      <c r="KQ9" s="122">
        <f t="shared" si="86"/>
        <v>0</v>
      </c>
      <c r="KR9" s="122">
        <f t="shared" si="86"/>
        <v>0</v>
      </c>
      <c r="KT9">
        <f t="shared" ref="KT9:KT28" si="87">AN9</f>
        <v>0</v>
      </c>
      <c r="KU9" s="122"/>
      <c r="KV9" s="122"/>
      <c r="KW9" s="122"/>
      <c r="KX9" s="122"/>
      <c r="KY9" s="122"/>
      <c r="KZ9" s="122"/>
      <c r="LA9" s="122"/>
      <c r="LB9" s="122"/>
      <c r="LC9" s="122"/>
      <c r="LD9" s="122"/>
      <c r="LE9" s="122"/>
      <c r="LF9" s="122"/>
      <c r="LG9" s="122"/>
      <c r="LH9" s="122"/>
      <c r="LI9" s="122"/>
      <c r="LJ9" s="122"/>
      <c r="LK9" s="122"/>
      <c r="LL9" s="122"/>
      <c r="LM9" s="122"/>
      <c r="LN9" s="122"/>
      <c r="LO9" s="122"/>
      <c r="LP9" s="122"/>
      <c r="LQ9" s="122"/>
      <c r="LR9" s="122"/>
      <c r="LS9" s="122"/>
      <c r="LT9" s="122"/>
      <c r="LU9" s="122"/>
      <c r="LV9" s="122"/>
      <c r="LW9" s="122"/>
      <c r="LX9" s="122"/>
      <c r="LY9" s="122"/>
      <c r="LZ9" s="122"/>
      <c r="MA9" s="122"/>
      <c r="MB9" s="122"/>
      <c r="MC9" s="122"/>
      <c r="MD9" s="122"/>
      <c r="ME9" s="122"/>
      <c r="MF9" s="122"/>
      <c r="MG9" s="122"/>
      <c r="MH9" s="122"/>
      <c r="MI9" s="122"/>
      <c r="MJ9" s="122"/>
      <c r="MK9" s="122"/>
      <c r="ML9" s="122"/>
      <c r="MM9" s="122"/>
      <c r="MN9" s="122"/>
      <c r="MO9" s="122"/>
      <c r="MP9" s="122"/>
      <c r="MQ9" s="122"/>
      <c r="MR9" s="122"/>
      <c r="MS9" s="122"/>
      <c r="MT9" s="122"/>
      <c r="MU9" s="122"/>
      <c r="MV9" s="122"/>
      <c r="MW9" s="122"/>
      <c r="MX9" s="122"/>
      <c r="MY9" s="122"/>
      <c r="MZ9" s="122"/>
      <c r="NA9" s="122"/>
      <c r="NB9" s="122"/>
      <c r="NC9" s="122"/>
      <c r="ND9" s="122"/>
      <c r="NE9" s="122"/>
      <c r="NF9" s="122"/>
      <c r="NG9" s="122"/>
      <c r="NH9" s="122"/>
      <c r="NI9" s="122"/>
      <c r="NJ9" s="122"/>
      <c r="NK9" s="122"/>
      <c r="NM9">
        <f>IF(KS9=1,1,0)</f>
        <v>0</v>
      </c>
      <c r="NN9">
        <f>IF(KS9=2,1,0)</f>
        <v>0</v>
      </c>
      <c r="NO9">
        <f>IF(KS9=3,1,0)</f>
        <v>0</v>
      </c>
      <c r="NP9">
        <f>IF(KS9=4,1,0)</f>
        <v>0</v>
      </c>
      <c r="NQ9">
        <f>IF(KS9=5,1,0)</f>
        <v>0</v>
      </c>
      <c r="NR9">
        <f>IF(KS9=6,1,0)</f>
        <v>0</v>
      </c>
      <c r="NS9">
        <f>IF(KS9=7,1,0)</f>
        <v>0</v>
      </c>
      <c r="NT9">
        <f>SUM(NM9:NS9)</f>
        <v>0</v>
      </c>
      <c r="NU9" s="29">
        <f t="shared" ref="NU9" si="88">NT9-KT9</f>
        <v>0</v>
      </c>
      <c r="NY9" s="29">
        <f t="shared" ref="NY9:NY14" si="89">V9</f>
        <v>1</v>
      </c>
      <c r="NZ9" s="152">
        <v>13770000</v>
      </c>
      <c r="OE9" s="155">
        <f t="shared" ref="OE9:OE15" si="90">D9-J9</f>
        <v>0</v>
      </c>
      <c r="OF9" s="155">
        <f t="shared" ref="OF9:OF15" si="91">D9-N9</f>
        <v>0</v>
      </c>
      <c r="OG9" s="155">
        <f t="shared" ref="OG9:OG14" si="92">AN9</f>
        <v>0</v>
      </c>
      <c r="OH9" s="155">
        <f>HE9</f>
        <v>0</v>
      </c>
      <c r="OI9" s="155">
        <f t="shared" ref="OI9:OI14" si="93">D9-R9</f>
        <v>0</v>
      </c>
      <c r="OJ9" s="67">
        <f>IF(OG9=1,OF9,0)</f>
        <v>0</v>
      </c>
      <c r="OK9" s="67">
        <f>IF(OH9=1,OF9,0)</f>
        <v>0</v>
      </c>
      <c r="OL9" s="67">
        <f>IF((OG9+OH9)=0,OF9,0)</f>
        <v>0</v>
      </c>
      <c r="OM9" s="67">
        <f>SUM(OJ9:OL9)</f>
        <v>0</v>
      </c>
      <c r="OO9" s="155">
        <f t="shared" ref="OO9:OO14" si="94">E9-K9</f>
        <v>0</v>
      </c>
      <c r="OP9" s="155">
        <f t="shared" ref="OP9:OP14" si="95">E9-O9</f>
        <v>0</v>
      </c>
      <c r="OQ9" s="155">
        <f>OG9</f>
        <v>0</v>
      </c>
      <c r="OR9" s="155">
        <f>OH9</f>
        <v>0</v>
      </c>
      <c r="OS9" s="155">
        <f>OI9</f>
        <v>0</v>
      </c>
      <c r="OT9" s="67">
        <f>IF(OQ9=1,OP9,0)</f>
        <v>0</v>
      </c>
      <c r="OU9" s="67">
        <f>IF(OR9=1,OP9,0)</f>
        <v>0</v>
      </c>
      <c r="OV9" s="67">
        <f>IF((OQ9+OR9)=0,OP9,0)</f>
        <v>0</v>
      </c>
      <c r="OW9" s="67">
        <f>SUM(OT9:OV9)</f>
        <v>0</v>
      </c>
      <c r="PA9" s="166"/>
      <c r="PB9" s="166"/>
      <c r="PC9" s="166"/>
      <c r="PD9" s="210">
        <f t="shared" ref="PD9:PD28" si="96">PB9-PC9</f>
        <v>0</v>
      </c>
      <c r="PE9" s="210"/>
      <c r="PF9" s="210">
        <f t="shared" ref="PF9:PF28" si="97">PD9-PE9</f>
        <v>0</v>
      </c>
      <c r="PG9" s="210">
        <f t="shared" ref="PG9:PL28" si="98">IF(PA9=1,$BB9,0)</f>
        <v>0</v>
      </c>
      <c r="PH9" s="210">
        <f t="shared" si="98"/>
        <v>0</v>
      </c>
      <c r="PI9" s="210">
        <f t="shared" si="98"/>
        <v>0</v>
      </c>
      <c r="PJ9" s="210">
        <f t="shared" si="98"/>
        <v>0</v>
      </c>
      <c r="PK9" s="210">
        <f t="shared" si="98"/>
        <v>0</v>
      </c>
      <c r="PL9" s="210">
        <f t="shared" si="98"/>
        <v>0</v>
      </c>
      <c r="PO9" s="172">
        <f>IF(FC9=1,AB9,0)</f>
        <v>0</v>
      </c>
      <c r="PP9" s="172">
        <f>IF(FF9=1,AB9,0)</f>
        <v>0</v>
      </c>
      <c r="PQ9" s="172">
        <f>AB9-(PO9+PP9)</f>
        <v>0</v>
      </c>
    </row>
    <row r="10" spans="1:433" ht="16" x14ac:dyDescent="0.2">
      <c r="A10" s="19">
        <f>A9+1</f>
        <v>2</v>
      </c>
      <c r="B10" s="191" t="s">
        <v>639</v>
      </c>
      <c r="C10" s="138">
        <v>2</v>
      </c>
      <c r="D10" s="20">
        <v>1</v>
      </c>
      <c r="E10" s="20">
        <v>551</v>
      </c>
      <c r="F10" s="20">
        <v>1</v>
      </c>
      <c r="G10" s="20">
        <f t="shared" ref="G10:G14" si="99">E10</f>
        <v>551</v>
      </c>
      <c r="H10" s="137">
        <f t="shared" si="2"/>
        <v>1</v>
      </c>
      <c r="I10" s="137">
        <f t="shared" si="3"/>
        <v>1</v>
      </c>
      <c r="J10" s="20">
        <v>1</v>
      </c>
      <c r="K10" s="20">
        <f t="shared" si="4"/>
        <v>551</v>
      </c>
      <c r="L10" s="137">
        <f t="shared" si="5"/>
        <v>1</v>
      </c>
      <c r="M10" s="137">
        <f t="shared" si="6"/>
        <v>1</v>
      </c>
      <c r="N10" s="20">
        <v>1</v>
      </c>
      <c r="O10" s="20">
        <f t="shared" si="7"/>
        <v>551</v>
      </c>
      <c r="P10" s="137">
        <f t="shared" si="8"/>
        <v>1</v>
      </c>
      <c r="Q10" s="137">
        <f t="shared" si="9"/>
        <v>1</v>
      </c>
      <c r="R10" s="20">
        <v>1</v>
      </c>
      <c r="S10" s="20">
        <f t="shared" si="10"/>
        <v>551</v>
      </c>
      <c r="T10" s="137">
        <f t="shared" si="11"/>
        <v>1</v>
      </c>
      <c r="U10" s="137">
        <f t="shared" si="12"/>
        <v>1</v>
      </c>
      <c r="V10" s="20">
        <v>1</v>
      </c>
      <c r="W10" s="20">
        <f t="shared" si="13"/>
        <v>551</v>
      </c>
      <c r="X10" s="137">
        <f t="shared" si="14"/>
        <v>1</v>
      </c>
      <c r="Y10" s="137">
        <f t="shared" si="15"/>
        <v>1</v>
      </c>
      <c r="Z10" s="224">
        <f>8346215000/1000000000</f>
        <v>8.3462150000000008</v>
      </c>
      <c r="AA10" s="224"/>
      <c r="AB10" s="17">
        <f t="shared" ref="AB10:AB13" si="100">IF(AA10=D10,E10,0)</f>
        <v>0</v>
      </c>
      <c r="AC10" s="18">
        <f t="shared" ref="AC10:AC13" si="101">AA10/$D10</f>
        <v>0</v>
      </c>
      <c r="AD10" s="18">
        <f t="shared" ref="AD10:AD13" si="102">AB10/$E10</f>
        <v>0</v>
      </c>
      <c r="AE10" s="38"/>
      <c r="AF10" s="31">
        <f t="shared" ref="AF10" si="103">R10-V10</f>
        <v>0</v>
      </c>
      <c r="AG10" s="20"/>
      <c r="AH10" s="31"/>
      <c r="AI10" s="17">
        <v>1</v>
      </c>
      <c r="AJ10" s="17">
        <f t="shared" si="18"/>
        <v>551</v>
      </c>
      <c r="AK10" s="17" t="s">
        <v>276</v>
      </c>
      <c r="AL10" s="17">
        <v>0</v>
      </c>
      <c r="AM10" s="17">
        <v>0</v>
      </c>
      <c r="AN10" s="139"/>
      <c r="AO10" s="17">
        <f t="shared" si="19"/>
        <v>1</v>
      </c>
      <c r="AP10" s="17">
        <f t="shared" si="20"/>
        <v>551</v>
      </c>
      <c r="AQ10" s="17">
        <f t="shared" si="21"/>
        <v>1</v>
      </c>
      <c r="AR10" s="17">
        <f t="shared" si="22"/>
        <v>551</v>
      </c>
      <c r="AS10" s="17">
        <f t="shared" si="23"/>
        <v>1</v>
      </c>
      <c r="AT10" s="17">
        <f t="shared" si="24"/>
        <v>551</v>
      </c>
      <c r="AU10" s="17">
        <f t="shared" si="25"/>
        <v>1</v>
      </c>
      <c r="AV10" s="17">
        <f t="shared" si="26"/>
        <v>551</v>
      </c>
      <c r="AW10" s="17">
        <f t="shared" si="27"/>
        <v>1</v>
      </c>
      <c r="AX10" s="17">
        <f t="shared" si="28"/>
        <v>551</v>
      </c>
      <c r="AY10" s="17">
        <f t="shared" ref="AY10:AZ10" si="104">AU10-AW10</f>
        <v>0</v>
      </c>
      <c r="AZ10" s="17">
        <f t="shared" si="104"/>
        <v>0</v>
      </c>
      <c r="BA10" s="17">
        <f t="shared" ref="BA10:BA13" si="105">IF(AW10=1,Z10,0)</f>
        <v>8.3462150000000008</v>
      </c>
      <c r="BB10" s="20">
        <f t="shared" ref="BB10:BB13" si="106">IF(AN10=1,G10,0)</f>
        <v>0</v>
      </c>
      <c r="BE10" s="20">
        <f t="shared" si="29"/>
        <v>0</v>
      </c>
      <c r="BF10" s="20">
        <f t="shared" si="30"/>
        <v>0</v>
      </c>
      <c r="BG10" s="20">
        <f t="shared" si="31"/>
        <v>0</v>
      </c>
      <c r="BH10" s="20">
        <f t="shared" si="32"/>
        <v>0</v>
      </c>
      <c r="BI10" s="20">
        <f t="shared" si="33"/>
        <v>0</v>
      </c>
      <c r="BJ10" s="20">
        <f t="shared" si="34"/>
        <v>0</v>
      </c>
      <c r="BK10" s="20">
        <f t="shared" ref="BK10" si="107">SUM(BF10:BJ10)</f>
        <v>0</v>
      </c>
      <c r="BN10" s="139"/>
      <c r="BO10" s="139"/>
      <c r="BP10" s="139"/>
      <c r="BQ10" s="139"/>
      <c r="BR10" s="139"/>
      <c r="BS10" s="139"/>
      <c r="BT10" s="139"/>
      <c r="BU10" s="139"/>
      <c r="BV10" s="139"/>
      <c r="BW10" s="139"/>
      <c r="BX10" s="139"/>
      <c r="BY10" s="139"/>
      <c r="BZ10" s="139"/>
      <c r="CB10" s="139"/>
      <c r="CD10" s="17">
        <f t="shared" ref="CD10" si="108">BN10</f>
        <v>0</v>
      </c>
      <c r="CE10" s="17">
        <f t="shared" ref="CE10" si="109">IF(BO10=1,$CD10,0)</f>
        <v>0</v>
      </c>
      <c r="CF10" s="17">
        <f t="shared" si="36"/>
        <v>0</v>
      </c>
      <c r="CG10" s="17">
        <f t="shared" si="36"/>
        <v>0</v>
      </c>
      <c r="CH10" s="17">
        <f t="shared" si="36"/>
        <v>0</v>
      </c>
      <c r="CI10" s="17">
        <f t="shared" si="36"/>
        <v>0</v>
      </c>
      <c r="CJ10" s="17">
        <f t="shared" si="36"/>
        <v>0</v>
      </c>
      <c r="CK10" s="17">
        <f t="shared" si="36"/>
        <v>0</v>
      </c>
      <c r="CL10" s="20">
        <f t="shared" si="36"/>
        <v>0</v>
      </c>
      <c r="CM10" s="20">
        <f t="shared" si="36"/>
        <v>0</v>
      </c>
      <c r="CN10" s="20">
        <f t="shared" si="36"/>
        <v>0</v>
      </c>
      <c r="CO10" s="20">
        <f t="shared" si="36"/>
        <v>0</v>
      </c>
      <c r="CP10" s="20">
        <f t="shared" si="36"/>
        <v>0</v>
      </c>
      <c r="DV10" s="20">
        <f t="shared" si="37"/>
        <v>0</v>
      </c>
      <c r="DW10" s="20">
        <f t="shared" si="38"/>
        <v>0</v>
      </c>
      <c r="DX10" s="20">
        <f t="shared" si="39"/>
        <v>0</v>
      </c>
      <c r="DY10" s="20">
        <f t="shared" si="40"/>
        <v>0</v>
      </c>
      <c r="DZ10" s="20">
        <f t="shared" si="41"/>
        <v>0</v>
      </c>
      <c r="EA10" s="20">
        <f t="shared" si="42"/>
        <v>0</v>
      </c>
      <c r="EB10" s="20">
        <f t="shared" ref="EB10:EB13" si="110">SUM(DW10:EA10)</f>
        <v>0</v>
      </c>
      <c r="ED10" s="46" t="s">
        <v>368</v>
      </c>
      <c r="EE10" s="46" t="s">
        <v>369</v>
      </c>
      <c r="EG10" s="57">
        <f t="shared" ref="EG10:EG13" si="111">IF(AG10="C","C",IF(AG10="D","D",0))</f>
        <v>0</v>
      </c>
      <c r="EH10" s="57">
        <f t="shared" ref="EH10:EH13" si="112">CC10</f>
        <v>0</v>
      </c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X10" s="80"/>
      <c r="FY10" s="17">
        <f t="shared" ref="FY10:FY13" si="113">SUM(FZ10:GE10)</f>
        <v>0</v>
      </c>
      <c r="FZ10" s="17">
        <f t="shared" si="44"/>
        <v>0</v>
      </c>
      <c r="GA10" s="17">
        <f t="shared" si="44"/>
        <v>0</v>
      </c>
      <c r="GB10" s="17">
        <f t="shared" si="44"/>
        <v>0</v>
      </c>
      <c r="GC10" s="17">
        <f t="shared" si="45"/>
        <v>0</v>
      </c>
      <c r="GD10" s="17">
        <f t="shared" si="46"/>
        <v>0</v>
      </c>
      <c r="GE10" s="17">
        <f t="shared" si="47"/>
        <v>0</v>
      </c>
      <c r="GF10" s="67"/>
      <c r="GG10" s="17">
        <v>0</v>
      </c>
      <c r="GH10" s="17">
        <v>0</v>
      </c>
      <c r="GI10" s="67"/>
      <c r="GJ10" s="62">
        <f t="shared" ref="GJ10:GJ13" si="114">FY10*GG10/1000000000</f>
        <v>0</v>
      </c>
      <c r="GK10" s="62">
        <f t="shared" ref="GK10:GK13" si="115">FY10*GH10/1000000000</f>
        <v>0</v>
      </c>
      <c r="GO10" s="17">
        <f t="shared" si="48"/>
        <v>0</v>
      </c>
      <c r="GP10" s="17">
        <f t="shared" si="49"/>
        <v>0</v>
      </c>
      <c r="GQ10" s="17">
        <f t="shared" si="50"/>
        <v>0</v>
      </c>
      <c r="GR10" s="17">
        <f t="shared" si="51"/>
        <v>0</v>
      </c>
      <c r="GS10" s="17">
        <f t="shared" si="52"/>
        <v>0</v>
      </c>
      <c r="GT10" s="17">
        <f t="shared" ref="GT10:GT13" si="116">IF(SUM(GO10:GS10)=0,1,0)</f>
        <v>1</v>
      </c>
      <c r="GU10" s="101">
        <f t="shared" ref="GU10:GU28" si="117">$GU$3</f>
        <v>43243</v>
      </c>
      <c r="GV10" s="17" t="str">
        <f t="shared" ref="GV10:GV13" si="118">IF(GO10&gt;0,$GO$6,IF(GP10&gt;0,$GP$6,IF(GQ10&gt;0,$GQ$6,IF(GR10&gt;0,$GR$6,IF(GS10&gt;0,$GS$6,IF(GT10&gt;0,$GT$6,0))))))</f>
        <v>SELESAI</v>
      </c>
      <c r="GW10" s="17">
        <f t="shared" ref="GW10:GW13" si="119">IF(GV10=$GO$6,GO10,IF(GV10=$GP$6,GP10,IF(GV10=$GQ$6,GQ10,IF(GV10=$GR$6,GR10,IF(GV10=$GS$6,GS10,0)))))</f>
        <v>0</v>
      </c>
      <c r="GX10" s="66" t="str">
        <f t="shared" ref="GX10:GX13" si="120">GV10</f>
        <v>SELESAI</v>
      </c>
      <c r="GY10" s="66">
        <f t="shared" ref="GY10:GY13" si="121">IF(GX10="DNP",SUM($GY$4:$GY$8),IF(GX10="Survey KJPP",SUM($GY$5:$GY$8),IF(GX10="Hasil Valuasi",SUM($GY$6:$GY$8),IF(GX10="Musyawarah",SUM($GY$7:$GY$8),IF(GX10="UGR",$GY$8,0)))))</f>
        <v>0</v>
      </c>
      <c r="GZ10" s="102" t="str">
        <f t="shared" ref="GZ10:GZ13" si="122">IF(GW10=0,"SELESAI",GU10+GY10)</f>
        <v>SELESAI</v>
      </c>
      <c r="HA10" s="83"/>
      <c r="HB10" s="83"/>
      <c r="HC10" s="17">
        <f t="shared" si="53"/>
        <v>0</v>
      </c>
      <c r="HD10" s="17">
        <f t="shared" si="54"/>
        <v>0</v>
      </c>
      <c r="HE10" s="17">
        <f t="shared" ref="HE10:HE13" si="123">HC10+HD10</f>
        <v>0</v>
      </c>
      <c r="HF10" s="17">
        <f t="shared" ref="HF10:HF13" si="124">FQ10</f>
        <v>0</v>
      </c>
      <c r="HG10" s="17">
        <f t="shared" ref="HG10:HG13" si="125">HE10-HF10</f>
        <v>0</v>
      </c>
      <c r="HH10" s="101" t="str">
        <f t="shared" si="55"/>
        <v>TIDAK KONSINYASI</v>
      </c>
      <c r="HI10" s="101" t="str">
        <f t="shared" ref="HI10:HI13" si="126">IF(GW10=0,"SELESAI",GZ10+$HI$8)</f>
        <v>SELESAI</v>
      </c>
      <c r="HJ10" s="27"/>
      <c r="HK10" s="101">
        <f t="shared" si="56"/>
        <v>0</v>
      </c>
      <c r="HL10" s="83"/>
      <c r="HM10" s="83"/>
      <c r="HN10" s="83"/>
      <c r="HO10" s="83"/>
      <c r="HP10" s="102">
        <f t="shared" ref="HP10:HP13" si="127">IF(HQ10=1,GZ10,0)</f>
        <v>0</v>
      </c>
      <c r="HQ10" s="66">
        <f t="shared" ref="HQ10:HQ13" si="128">IF(IX10=0,IF(HT10=0,IF(IP10=0,IF(GV10="UGR",GS10,0),0),0),0)</f>
        <v>0</v>
      </c>
      <c r="HR10" s="66">
        <f t="shared" si="57"/>
        <v>0</v>
      </c>
      <c r="HS10" s="102">
        <f t="shared" ref="HS10:HS13" si="129">IF(HT10=1,HH10,0)</f>
        <v>0</v>
      </c>
      <c r="HT10" s="66">
        <f t="shared" ref="HT10:HT13" si="130">HG10</f>
        <v>0</v>
      </c>
      <c r="HU10" s="66">
        <f t="shared" si="58"/>
        <v>0</v>
      </c>
      <c r="HV10" s="102">
        <f t="shared" ref="HV10:HV13" si="131">IF(HW10=1,GZ10,0)</f>
        <v>0</v>
      </c>
      <c r="HW10" s="66">
        <f t="shared" si="59"/>
        <v>0</v>
      </c>
      <c r="HX10" s="66">
        <f t="shared" si="60"/>
        <v>0</v>
      </c>
      <c r="HY10" s="102">
        <f t="shared" si="61"/>
        <v>0</v>
      </c>
      <c r="HZ10" s="66">
        <f t="shared" ref="HZ10:HZ13" si="132">HW10</f>
        <v>0</v>
      </c>
      <c r="IA10" s="66">
        <f t="shared" si="62"/>
        <v>0</v>
      </c>
      <c r="IB10" s="102">
        <f t="shared" ref="IB10:IB13" si="133">IF(IC10=1,$GU$3+SUM($GY$6:$GY$8),0)</f>
        <v>0</v>
      </c>
      <c r="IC10" s="66">
        <f t="shared" si="63"/>
        <v>0</v>
      </c>
      <c r="ID10" s="66">
        <f t="shared" si="64"/>
        <v>0</v>
      </c>
      <c r="IE10" s="102">
        <f t="shared" si="65"/>
        <v>0</v>
      </c>
      <c r="IF10" s="66">
        <f t="shared" si="66"/>
        <v>0</v>
      </c>
      <c r="IG10" s="66">
        <f t="shared" si="67"/>
        <v>0</v>
      </c>
      <c r="IH10" s="102">
        <f t="shared" ref="IH10:IH13" si="134">IF(II10=1,$GU$3+SUM($GY$5:$GY$8),0)</f>
        <v>0</v>
      </c>
      <c r="II10" s="66">
        <f t="shared" ref="II10:II13" si="135">IF(GV10="Survey KJPP",GP10,0)</f>
        <v>0</v>
      </c>
      <c r="IJ10" s="66">
        <f t="shared" si="68"/>
        <v>0</v>
      </c>
      <c r="IK10" s="102">
        <f t="shared" si="69"/>
        <v>0</v>
      </c>
      <c r="IL10" s="66">
        <f t="shared" si="70"/>
        <v>0</v>
      </c>
      <c r="IM10" s="66">
        <f t="shared" si="71"/>
        <v>0</v>
      </c>
      <c r="IN10" s="83"/>
      <c r="IO10" s="102">
        <f t="shared" si="72"/>
        <v>0</v>
      </c>
      <c r="IP10" s="66">
        <f t="shared" si="73"/>
        <v>0</v>
      </c>
      <c r="IQ10" s="66">
        <f t="shared" si="74"/>
        <v>0</v>
      </c>
      <c r="IR10" s="83"/>
      <c r="IS10" s="102"/>
      <c r="IT10" s="66">
        <f t="shared" si="75"/>
        <v>1</v>
      </c>
      <c r="IU10" s="66">
        <f t="shared" si="75"/>
        <v>551</v>
      </c>
      <c r="IV10" s="83"/>
      <c r="IW10" s="102"/>
      <c r="IX10" s="66">
        <f t="shared" si="76"/>
        <v>0</v>
      </c>
      <c r="IY10" s="66">
        <f t="shared" si="76"/>
        <v>0</v>
      </c>
      <c r="IZ10" s="83"/>
      <c r="JA10" s="102"/>
      <c r="JB10" s="66">
        <f t="shared" si="77"/>
        <v>0</v>
      </c>
      <c r="JC10" s="66">
        <f t="shared" si="78"/>
        <v>0</v>
      </c>
      <c r="JD10" s="83"/>
      <c r="JE10" s="102"/>
      <c r="JF10" s="66">
        <f t="shared" ref="JF10:JF13" si="136">IT10+HQ10+HT10+HZ10+IF10+IL10+IP10+IX10+JB10</f>
        <v>1</v>
      </c>
      <c r="JG10" s="66">
        <f t="shared" si="79"/>
        <v>551</v>
      </c>
      <c r="JH10" s="83"/>
      <c r="JI10" s="102"/>
      <c r="JJ10" s="66">
        <f t="shared" si="80"/>
        <v>0</v>
      </c>
      <c r="JK10" s="66">
        <f t="shared" si="80"/>
        <v>0</v>
      </c>
      <c r="JM10" s="102">
        <f t="shared" ref="JM10:JM13" si="137">MAX(IW10,IS10,IO10,IK10,IE10,HY10,HS10,HP10)</f>
        <v>0</v>
      </c>
      <c r="JO10" s="29">
        <f t="shared" si="81"/>
        <v>0</v>
      </c>
      <c r="JP10" s="122">
        <f t="shared" si="82"/>
        <v>0</v>
      </c>
      <c r="JQ10" s="122">
        <f t="shared" si="83"/>
        <v>0</v>
      </c>
      <c r="JR10" s="122">
        <f t="shared" si="83"/>
        <v>0</v>
      </c>
      <c r="JS10" s="122">
        <f t="shared" si="83"/>
        <v>0</v>
      </c>
      <c r="JT10" s="122">
        <f t="shared" si="83"/>
        <v>0</v>
      </c>
      <c r="JU10" s="122">
        <f t="shared" si="83"/>
        <v>0</v>
      </c>
      <c r="JV10" s="122">
        <f t="shared" si="83"/>
        <v>0</v>
      </c>
      <c r="JW10" s="122">
        <f t="shared" si="83"/>
        <v>0</v>
      </c>
      <c r="JX10" s="122">
        <f t="shared" si="83"/>
        <v>0</v>
      </c>
      <c r="JY10" s="122">
        <f t="shared" si="83"/>
        <v>0</v>
      </c>
      <c r="JZ10" s="122">
        <f t="shared" si="83"/>
        <v>0</v>
      </c>
      <c r="KA10" s="122">
        <f t="shared" si="83"/>
        <v>0</v>
      </c>
      <c r="KB10" s="122">
        <f t="shared" si="83"/>
        <v>0</v>
      </c>
      <c r="KD10" s="122">
        <f t="shared" ref="KD10:KD28" si="138">IF(IF(SUM(GA10:GE10)&gt;100,1,0)+IF(FX10=1,1,0)=2,1,0)</f>
        <v>0</v>
      </c>
      <c r="KE10" s="122">
        <f t="shared" si="85"/>
        <v>0</v>
      </c>
      <c r="KF10" s="122">
        <f t="shared" si="86"/>
        <v>0</v>
      </c>
      <c r="KG10" s="122">
        <f t="shared" si="86"/>
        <v>0</v>
      </c>
      <c r="KH10" s="122">
        <f t="shared" si="86"/>
        <v>0</v>
      </c>
      <c r="KI10" s="122">
        <f t="shared" si="86"/>
        <v>0</v>
      </c>
      <c r="KJ10" s="122">
        <f t="shared" si="86"/>
        <v>0</v>
      </c>
      <c r="KK10" s="122">
        <f t="shared" si="86"/>
        <v>0</v>
      </c>
      <c r="KL10" s="122">
        <f t="shared" si="86"/>
        <v>0</v>
      </c>
      <c r="KM10" s="122">
        <f t="shared" si="86"/>
        <v>0</v>
      </c>
      <c r="KN10" s="123">
        <f t="shared" si="86"/>
        <v>0</v>
      </c>
      <c r="KO10" s="123">
        <f t="shared" si="86"/>
        <v>0</v>
      </c>
      <c r="KP10" s="123">
        <f t="shared" si="86"/>
        <v>0</v>
      </c>
      <c r="KQ10" s="123">
        <f t="shared" si="86"/>
        <v>0</v>
      </c>
      <c r="KR10" s="123">
        <f t="shared" si="86"/>
        <v>0</v>
      </c>
      <c r="KT10">
        <f t="shared" si="87"/>
        <v>0</v>
      </c>
      <c r="KU10" s="123"/>
      <c r="KV10" s="123"/>
      <c r="KW10" s="123"/>
      <c r="KX10" s="123"/>
      <c r="KY10" s="123"/>
      <c r="KZ10" s="123"/>
      <c r="LA10" s="123"/>
      <c r="LB10" s="123"/>
      <c r="LC10" s="123"/>
      <c r="LD10" s="123"/>
      <c r="LE10" s="123"/>
      <c r="LF10" s="123"/>
      <c r="LG10" s="123"/>
      <c r="LH10" s="123"/>
      <c r="LI10" s="123"/>
      <c r="LJ10" s="123"/>
      <c r="LK10" s="123"/>
      <c r="LL10" s="123"/>
      <c r="LM10" s="123"/>
      <c r="LN10" s="123"/>
      <c r="LO10" s="123"/>
      <c r="LP10" s="123"/>
      <c r="LQ10" s="123"/>
      <c r="LR10" s="123"/>
      <c r="LS10" s="123"/>
      <c r="LT10" s="123"/>
      <c r="LU10" s="123"/>
      <c r="LV10" s="123"/>
      <c r="LW10" s="123"/>
      <c r="LX10" s="123"/>
      <c r="LY10" s="123"/>
      <c r="LZ10" s="123"/>
      <c r="MA10" s="123"/>
      <c r="MB10" s="123"/>
      <c r="MC10" s="123"/>
      <c r="MD10" s="123"/>
      <c r="ME10" s="123"/>
      <c r="MF10" s="123"/>
      <c r="MG10" s="123"/>
      <c r="MH10" s="123"/>
      <c r="MI10" s="123"/>
      <c r="MJ10" s="123"/>
      <c r="MK10" s="123"/>
      <c r="ML10" s="123"/>
      <c r="MM10" s="123"/>
      <c r="MN10" s="123"/>
      <c r="MO10" s="123"/>
      <c r="MP10" s="123"/>
      <c r="MQ10" s="123"/>
      <c r="MR10" s="123"/>
      <c r="MS10" s="123"/>
      <c r="MT10" s="123"/>
      <c r="MU10" s="123"/>
      <c r="MV10" s="123"/>
      <c r="MW10" s="123"/>
      <c r="MX10" s="123"/>
      <c r="MY10" s="123"/>
      <c r="MZ10" s="123"/>
      <c r="NA10" s="123"/>
      <c r="NB10" s="123"/>
      <c r="NC10" s="123"/>
      <c r="ND10" s="123"/>
      <c r="NE10" s="123"/>
      <c r="NF10" s="123"/>
      <c r="NG10" s="123"/>
      <c r="NH10" s="123"/>
      <c r="NI10" s="123"/>
      <c r="NJ10" s="123"/>
      <c r="NK10" s="123"/>
      <c r="NM10">
        <f t="shared" ref="NM10:NM13" si="139">IF(KS10=1,1,0)</f>
        <v>0</v>
      </c>
      <c r="NN10">
        <f t="shared" ref="NN10:NN13" si="140">IF(KS10=2,1,0)</f>
        <v>0</v>
      </c>
      <c r="NO10">
        <f t="shared" ref="NO10:NO13" si="141">IF(KS10=3,1,0)</f>
        <v>0</v>
      </c>
      <c r="NP10">
        <f t="shared" ref="NP10:NP13" si="142">IF(KS10=4,1,0)</f>
        <v>0</v>
      </c>
      <c r="NQ10">
        <f t="shared" ref="NQ10:NQ13" si="143">IF(KS10=5,1,0)</f>
        <v>0</v>
      </c>
      <c r="NR10">
        <f t="shared" ref="NR10:NR13" si="144">IF(KS10=6,1,0)</f>
        <v>0</v>
      </c>
      <c r="NS10">
        <f t="shared" ref="NS10:NS13" si="145">IF(KS10=7,1,0)</f>
        <v>0</v>
      </c>
      <c r="NT10">
        <f t="shared" ref="NT10:NT13" si="146">SUM(NM10:NS10)</f>
        <v>0</v>
      </c>
      <c r="NU10">
        <f t="shared" ref="NU10:NU13" si="147">NT10-KT10</f>
        <v>0</v>
      </c>
      <c r="NY10" s="29">
        <f t="shared" si="89"/>
        <v>1</v>
      </c>
      <c r="NZ10" s="152">
        <v>13770000</v>
      </c>
      <c r="OE10" s="155">
        <f t="shared" si="90"/>
        <v>0</v>
      </c>
      <c r="OF10" s="155">
        <f t="shared" si="91"/>
        <v>0</v>
      </c>
      <c r="OG10" s="155">
        <f t="shared" si="92"/>
        <v>0</v>
      </c>
      <c r="OH10" s="155">
        <f t="shared" ref="OH10:OH14" si="148">HE10</f>
        <v>0</v>
      </c>
      <c r="OI10" s="155">
        <f t="shared" si="93"/>
        <v>0</v>
      </c>
      <c r="OJ10" s="67">
        <f t="shared" ref="OJ10:OJ14" si="149">IF(OG10=1,OF10,0)</f>
        <v>0</v>
      </c>
      <c r="OK10" s="67">
        <f t="shared" ref="OK10:OK14" si="150">IF(OH10=1,OF10,0)</f>
        <v>0</v>
      </c>
      <c r="OL10" s="67">
        <f t="shared" ref="OL10:OL14" si="151">IF((OG10+OH10)=0,OF10,0)</f>
        <v>0</v>
      </c>
      <c r="OM10" s="67">
        <f t="shared" ref="OM10:OM14" si="152">SUM(OJ10:OL10)</f>
        <v>0</v>
      </c>
      <c r="OO10" s="155">
        <f t="shared" si="94"/>
        <v>0</v>
      </c>
      <c r="OP10" s="155">
        <f t="shared" si="95"/>
        <v>0</v>
      </c>
      <c r="OQ10" s="155">
        <f t="shared" ref="OQ10:OQ14" si="153">OG10</f>
        <v>0</v>
      </c>
      <c r="OR10" s="155">
        <f t="shared" ref="OR10:OR14" si="154">OH10</f>
        <v>0</v>
      </c>
      <c r="OS10" s="155">
        <f t="shared" ref="OS10:OS14" si="155">OI10</f>
        <v>0</v>
      </c>
      <c r="OT10" s="67">
        <f t="shared" ref="OT10:OT14" si="156">IF(OQ10=1,OP10,0)</f>
        <v>0</v>
      </c>
      <c r="OU10" s="67">
        <f t="shared" ref="OU10:OU14" si="157">IF(OR10=1,OP10,0)</f>
        <v>0</v>
      </c>
      <c r="OV10" s="67">
        <f t="shared" ref="OV10:OV14" si="158">IF((OQ10+OR10)=0,OP10,0)</f>
        <v>0</v>
      </c>
      <c r="OW10" s="67">
        <f t="shared" ref="OW10:OW14" si="159">SUM(OT10:OV10)</f>
        <v>0</v>
      </c>
      <c r="PA10" s="166"/>
      <c r="PB10" s="166"/>
      <c r="PC10" s="166"/>
      <c r="PD10" s="210">
        <f t="shared" si="96"/>
        <v>0</v>
      </c>
      <c r="PE10" s="210"/>
      <c r="PF10" s="210">
        <f t="shared" si="97"/>
        <v>0</v>
      </c>
      <c r="PG10" s="210">
        <f t="shared" si="98"/>
        <v>0</v>
      </c>
      <c r="PH10" s="210">
        <f t="shared" si="98"/>
        <v>0</v>
      </c>
      <c r="PI10" s="210">
        <f t="shared" si="98"/>
        <v>0</v>
      </c>
      <c r="PJ10" s="210">
        <f t="shared" si="98"/>
        <v>0</v>
      </c>
      <c r="PK10" s="210">
        <f t="shared" si="98"/>
        <v>0</v>
      </c>
      <c r="PL10" s="210">
        <f t="shared" si="98"/>
        <v>0</v>
      </c>
      <c r="PO10" s="172">
        <f t="shared" ref="PO10:PO28" si="160">IF(FC10=1,AB10,0)</f>
        <v>0</v>
      </c>
      <c r="PP10" s="172">
        <f t="shared" ref="PP10:PP28" si="161">IF(FF10=1,AB10,0)</f>
        <v>0</v>
      </c>
      <c r="PQ10" s="172">
        <f t="shared" ref="PQ10:PQ28" si="162">AB10-(PO10+PP10)</f>
        <v>0</v>
      </c>
    </row>
    <row r="11" spans="1:433" ht="16" x14ac:dyDescent="0.2">
      <c r="A11" s="19">
        <f t="shared" ref="A11:A28" si="163">A10+1</f>
        <v>3</v>
      </c>
      <c r="B11" s="186" t="s">
        <v>171</v>
      </c>
      <c r="C11" s="138">
        <v>3</v>
      </c>
      <c r="D11" s="20">
        <v>1</v>
      </c>
      <c r="E11" s="188">
        <v>228</v>
      </c>
      <c r="F11" s="20">
        <v>1</v>
      </c>
      <c r="G11" s="20">
        <f t="shared" si="99"/>
        <v>228</v>
      </c>
      <c r="H11" s="137">
        <f t="shared" ref="H11:H28" si="164">F11/$D11</f>
        <v>1</v>
      </c>
      <c r="I11" s="137">
        <f t="shared" ref="I11:I28" si="165">G11/$E11</f>
        <v>1</v>
      </c>
      <c r="J11" s="20">
        <v>1</v>
      </c>
      <c r="K11" s="20">
        <f t="shared" ref="K11:K28" si="166">IF(J11=D11,E11,0)</f>
        <v>228</v>
      </c>
      <c r="L11" s="137">
        <f t="shared" ref="L11:L28" si="167">J11/$D11</f>
        <v>1</v>
      </c>
      <c r="M11" s="137">
        <f t="shared" ref="M11:M28" si="168">K11/$E11</f>
        <v>1</v>
      </c>
      <c r="N11" s="20">
        <v>1</v>
      </c>
      <c r="O11" s="20">
        <f t="shared" ref="O11:O28" si="169">IF(N11=D11,E11,0)</f>
        <v>228</v>
      </c>
      <c r="P11" s="137">
        <f t="shared" ref="P11:P28" si="170">N11/$D11</f>
        <v>1</v>
      </c>
      <c r="Q11" s="137">
        <f t="shared" ref="Q11:Q28" si="171">O11/$E11</f>
        <v>1</v>
      </c>
      <c r="R11" s="20">
        <v>1</v>
      </c>
      <c r="S11" s="20">
        <f t="shared" ref="S11:S28" si="172">IF(R11=D11,E11,0)</f>
        <v>228</v>
      </c>
      <c r="T11" s="137">
        <f t="shared" ref="T11:T28" si="173">R11/$D11</f>
        <v>1</v>
      </c>
      <c r="U11" s="137">
        <f t="shared" ref="U11:U28" si="174">S11/$E11</f>
        <v>1</v>
      </c>
      <c r="V11" s="20">
        <v>1</v>
      </c>
      <c r="W11" s="20">
        <f t="shared" ref="W11:W28" si="175">IF(V11=D11,E11,0)</f>
        <v>228</v>
      </c>
      <c r="X11" s="137">
        <f t="shared" ref="X11:X28" si="176">V11/$D11</f>
        <v>1</v>
      </c>
      <c r="Y11" s="137">
        <f t="shared" ref="Y11:Y28" si="177">W11/$E11</f>
        <v>1</v>
      </c>
      <c r="Z11" s="224">
        <f>(1271921000+1398519000)/1000000000</f>
        <v>2.6704400000000001</v>
      </c>
      <c r="AA11" s="224"/>
      <c r="AB11" s="17">
        <f t="shared" si="100"/>
        <v>0</v>
      </c>
      <c r="AC11" s="18">
        <f t="shared" si="101"/>
        <v>0</v>
      </c>
      <c r="AD11" s="18">
        <f t="shared" si="102"/>
        <v>0</v>
      </c>
      <c r="AE11" s="38"/>
      <c r="AF11" s="31">
        <f t="shared" ref="AF11:AF28" si="178">R11-V11</f>
        <v>0</v>
      </c>
      <c r="AG11" s="31"/>
      <c r="AH11" s="31"/>
      <c r="AI11" s="17">
        <v>1</v>
      </c>
      <c r="AJ11" s="17">
        <f>IF(AI11=D11,E11,0)</f>
        <v>228</v>
      </c>
      <c r="AK11" s="17" t="s">
        <v>276</v>
      </c>
      <c r="AL11" s="17">
        <v>0</v>
      </c>
      <c r="AM11" s="17">
        <v>0</v>
      </c>
      <c r="AN11" s="139"/>
      <c r="AO11" s="17">
        <f t="shared" ref="AO11:AO28" si="179">IF(AI11=1,D11,0)</f>
        <v>1</v>
      </c>
      <c r="AP11" s="17">
        <f t="shared" ref="AP11:AP28" si="180">IF(AO11=D11,E11,0)</f>
        <v>228</v>
      </c>
      <c r="AQ11" s="17">
        <f t="shared" ref="AQ11:AQ28" si="181">IF(AI11=1,N11,0)</f>
        <v>1</v>
      </c>
      <c r="AR11" s="17">
        <f t="shared" ref="AR11:AR28" si="182">IF(AQ11=1,O11,0)</f>
        <v>228</v>
      </c>
      <c r="AS11" s="17">
        <f t="shared" ref="AS11:AS28" si="183">IF(AI11=1,J11,0)</f>
        <v>1</v>
      </c>
      <c r="AT11" s="17">
        <f t="shared" ref="AT11:AT28" si="184">IF(AS11=1,K11,0)</f>
        <v>228</v>
      </c>
      <c r="AU11" s="17">
        <f t="shared" ref="AU11:AU28" si="185">IF(AI11=1,R11,0)</f>
        <v>1</v>
      </c>
      <c r="AV11" s="17">
        <f t="shared" ref="AV11:AV28" si="186">IF(AU11=1,S11,0)</f>
        <v>228</v>
      </c>
      <c r="AW11" s="17">
        <f t="shared" ref="AW11:AW28" si="187">IF(AI11=1,V11,0)</f>
        <v>1</v>
      </c>
      <c r="AX11" s="17">
        <f t="shared" ref="AX11:AX28" si="188">IF(AW11=1,W11,0)</f>
        <v>228</v>
      </c>
      <c r="AY11" s="17">
        <f t="shared" ref="AY11:AZ13" si="189">AU11-AW11</f>
        <v>0</v>
      </c>
      <c r="AZ11" s="17">
        <f t="shared" si="189"/>
        <v>0</v>
      </c>
      <c r="BA11" s="17">
        <f t="shared" si="105"/>
        <v>2.6704400000000001</v>
      </c>
      <c r="BB11" s="20">
        <f t="shared" si="106"/>
        <v>0</v>
      </c>
      <c r="BE11" s="20">
        <f t="shared" si="29"/>
        <v>0</v>
      </c>
      <c r="BF11" s="20">
        <f t="shared" si="30"/>
        <v>0</v>
      </c>
      <c r="BG11" s="20">
        <f t="shared" si="31"/>
        <v>0</v>
      </c>
      <c r="BH11" s="20">
        <f t="shared" si="32"/>
        <v>0</v>
      </c>
      <c r="BI11" s="20">
        <f t="shared" si="33"/>
        <v>0</v>
      </c>
      <c r="BJ11" s="20">
        <f t="shared" si="34"/>
        <v>0</v>
      </c>
      <c r="BK11" s="20">
        <f t="shared" ref="BK11:BK28" si="190">SUM(BF11:BJ11)</f>
        <v>0</v>
      </c>
      <c r="BN11" s="139">
        <v>165</v>
      </c>
      <c r="BO11" s="139"/>
      <c r="BP11" s="139">
        <v>1</v>
      </c>
      <c r="BQ11" s="139"/>
      <c r="BR11" s="139"/>
      <c r="BS11" s="139"/>
      <c r="BT11" s="139"/>
      <c r="BU11" s="139"/>
      <c r="BV11" s="139"/>
      <c r="BW11" s="139"/>
      <c r="BX11" s="139"/>
      <c r="BY11" s="139"/>
      <c r="BZ11" s="139"/>
      <c r="CB11" s="139"/>
      <c r="CD11" s="139">
        <f t="shared" ref="CD11:CD13" si="191">BN11</f>
        <v>165</v>
      </c>
      <c r="CE11" s="139">
        <f t="shared" ref="CE11:CE13" si="192">IF(BO11=1,$CD11,0)</f>
        <v>0</v>
      </c>
      <c r="CF11" s="139">
        <f t="shared" ref="CF11:CF13" si="193">IF(BP11=1,$CD11,0)</f>
        <v>165</v>
      </c>
      <c r="CG11" s="139">
        <f t="shared" ref="CG11:CG13" si="194">IF(BQ11=1,$CD11,0)</f>
        <v>0</v>
      </c>
      <c r="CH11" s="139">
        <f t="shared" ref="CH11:CH13" si="195">IF(BR11=1,$CD11,0)</f>
        <v>0</v>
      </c>
      <c r="CI11" s="139">
        <f t="shared" ref="CI11:CI13" si="196">IF(BS11=1,$CD11,0)</f>
        <v>0</v>
      </c>
      <c r="CJ11" s="139">
        <f t="shared" ref="CJ11:CJ13" si="197">IF(BT11=1,$CD11,0)</f>
        <v>0</v>
      </c>
      <c r="CK11" s="139">
        <f t="shared" ref="CK11:CK13" si="198">IF(BU11=1,$CD11,0)</f>
        <v>0</v>
      </c>
      <c r="CL11" s="139">
        <f t="shared" ref="CL11:CL13" si="199">IF(BV11=1,$CD11,0)</f>
        <v>0</v>
      </c>
      <c r="CM11" s="139">
        <f t="shared" ref="CM11:CM13" si="200">IF(BW11=1,$CD11,0)</f>
        <v>0</v>
      </c>
      <c r="CN11" s="139">
        <f t="shared" ref="CN11:CN13" si="201">IF(BX11=1,$CD11,0)</f>
        <v>0</v>
      </c>
      <c r="CO11" s="139">
        <f t="shared" ref="CO11:CO13" si="202">IF(BY11=1,$CD11,0)</f>
        <v>0</v>
      </c>
      <c r="CP11" s="139">
        <f t="shared" ref="CP11:CP13" si="203">IF(BZ11=1,$CD11,0)</f>
        <v>0</v>
      </c>
      <c r="DV11" s="139">
        <f t="shared" si="37"/>
        <v>0</v>
      </c>
      <c r="DW11" s="139">
        <f t="shared" si="38"/>
        <v>0</v>
      </c>
      <c r="DX11" s="139">
        <f t="shared" si="39"/>
        <v>0</v>
      </c>
      <c r="DY11" s="139">
        <f t="shared" si="40"/>
        <v>0</v>
      </c>
      <c r="DZ11" s="139">
        <f t="shared" si="41"/>
        <v>0</v>
      </c>
      <c r="EA11" s="139">
        <f t="shared" si="42"/>
        <v>0</v>
      </c>
      <c r="EB11" s="139">
        <f t="shared" si="110"/>
        <v>0</v>
      </c>
      <c r="ED11" s="46" t="s">
        <v>368</v>
      </c>
      <c r="EE11" s="46" t="s">
        <v>370</v>
      </c>
      <c r="EF11" s="56"/>
      <c r="EG11" s="57">
        <f t="shared" si="111"/>
        <v>0</v>
      </c>
      <c r="EH11" s="57">
        <f t="shared" si="112"/>
        <v>0</v>
      </c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X11" s="80">
        <v>1</v>
      </c>
      <c r="FY11" s="17">
        <f t="shared" si="113"/>
        <v>165</v>
      </c>
      <c r="FZ11" s="17">
        <f t="shared" si="44"/>
        <v>0</v>
      </c>
      <c r="GA11" s="17">
        <f t="shared" si="44"/>
        <v>165</v>
      </c>
      <c r="GB11" s="17">
        <f t="shared" si="44"/>
        <v>0</v>
      </c>
      <c r="GC11" s="17">
        <f t="shared" si="45"/>
        <v>0</v>
      </c>
      <c r="GD11" s="17">
        <f t="shared" si="46"/>
        <v>0</v>
      </c>
      <c r="GE11" s="17">
        <f t="shared" si="47"/>
        <v>0</v>
      </c>
      <c r="GF11" s="67"/>
      <c r="GG11" s="17">
        <v>0</v>
      </c>
      <c r="GH11" s="17">
        <v>0</v>
      </c>
      <c r="GI11" s="67"/>
      <c r="GJ11" s="62">
        <f t="shared" si="114"/>
        <v>0</v>
      </c>
      <c r="GK11" s="62">
        <f t="shared" si="115"/>
        <v>0</v>
      </c>
      <c r="GO11" s="17">
        <f t="shared" si="48"/>
        <v>0</v>
      </c>
      <c r="GP11" s="17">
        <f t="shared" si="49"/>
        <v>0</v>
      </c>
      <c r="GQ11" s="17">
        <f t="shared" si="50"/>
        <v>0</v>
      </c>
      <c r="GR11" s="17">
        <f t="shared" si="51"/>
        <v>0</v>
      </c>
      <c r="GS11" s="17">
        <f t="shared" si="52"/>
        <v>0</v>
      </c>
      <c r="GT11" s="17">
        <f t="shared" si="116"/>
        <v>1</v>
      </c>
      <c r="GU11" s="101">
        <f t="shared" si="117"/>
        <v>43243</v>
      </c>
      <c r="GV11" s="17" t="str">
        <f t="shared" si="118"/>
        <v>SELESAI</v>
      </c>
      <c r="GW11" s="17">
        <f t="shared" si="119"/>
        <v>0</v>
      </c>
      <c r="GX11" s="66" t="str">
        <f t="shared" si="120"/>
        <v>SELESAI</v>
      </c>
      <c r="GY11" s="66">
        <f t="shared" si="121"/>
        <v>0</v>
      </c>
      <c r="GZ11" s="102" t="str">
        <f t="shared" si="122"/>
        <v>SELESAI</v>
      </c>
      <c r="HA11" s="83"/>
      <c r="HB11" s="83"/>
      <c r="HC11" s="17">
        <f t="shared" si="53"/>
        <v>0</v>
      </c>
      <c r="HD11" s="17">
        <f t="shared" si="54"/>
        <v>0</v>
      </c>
      <c r="HE11" s="17">
        <f t="shared" si="123"/>
        <v>0</v>
      </c>
      <c r="HF11" s="17">
        <f t="shared" si="124"/>
        <v>0</v>
      </c>
      <c r="HG11" s="17">
        <f t="shared" si="125"/>
        <v>0</v>
      </c>
      <c r="HH11" s="101" t="str">
        <f t="shared" si="55"/>
        <v>TIDAK KONSINYASI</v>
      </c>
      <c r="HI11" s="101" t="str">
        <f t="shared" si="126"/>
        <v>SELESAI</v>
      </c>
      <c r="HJ11" s="27"/>
      <c r="HK11" s="101">
        <f t="shared" si="56"/>
        <v>0</v>
      </c>
      <c r="HL11" s="83"/>
      <c r="HM11" s="83"/>
      <c r="HN11" s="83"/>
      <c r="HO11" s="83"/>
      <c r="HP11" s="102">
        <f t="shared" si="127"/>
        <v>0</v>
      </c>
      <c r="HQ11" s="66">
        <f t="shared" si="128"/>
        <v>0</v>
      </c>
      <c r="HR11" s="66">
        <f t="shared" si="57"/>
        <v>0</v>
      </c>
      <c r="HS11" s="102">
        <f t="shared" si="129"/>
        <v>0</v>
      </c>
      <c r="HT11" s="66">
        <f t="shared" si="130"/>
        <v>0</v>
      </c>
      <c r="HU11" s="66">
        <f t="shared" si="58"/>
        <v>0</v>
      </c>
      <c r="HV11" s="102">
        <f t="shared" si="131"/>
        <v>0</v>
      </c>
      <c r="HW11" s="66">
        <f t="shared" si="59"/>
        <v>0</v>
      </c>
      <c r="HX11" s="66">
        <f t="shared" si="60"/>
        <v>0</v>
      </c>
      <c r="HY11" s="102">
        <f t="shared" si="61"/>
        <v>0</v>
      </c>
      <c r="HZ11" s="66">
        <f t="shared" si="132"/>
        <v>0</v>
      </c>
      <c r="IA11" s="66">
        <f t="shared" si="62"/>
        <v>0</v>
      </c>
      <c r="IB11" s="102">
        <f t="shared" si="133"/>
        <v>0</v>
      </c>
      <c r="IC11" s="66">
        <f t="shared" si="63"/>
        <v>0</v>
      </c>
      <c r="ID11" s="66">
        <f t="shared" si="64"/>
        <v>0</v>
      </c>
      <c r="IE11" s="102">
        <f t="shared" si="65"/>
        <v>0</v>
      </c>
      <c r="IF11" s="66">
        <f t="shared" si="66"/>
        <v>0</v>
      </c>
      <c r="IG11" s="66">
        <f t="shared" si="67"/>
        <v>0</v>
      </c>
      <c r="IH11" s="102">
        <f t="shared" si="134"/>
        <v>0</v>
      </c>
      <c r="II11" s="66">
        <f t="shared" si="135"/>
        <v>0</v>
      </c>
      <c r="IJ11" s="66">
        <f t="shared" si="68"/>
        <v>0</v>
      </c>
      <c r="IK11" s="102">
        <f t="shared" si="69"/>
        <v>0</v>
      </c>
      <c r="IL11" s="66">
        <f t="shared" si="70"/>
        <v>0</v>
      </c>
      <c r="IM11" s="66">
        <f t="shared" si="71"/>
        <v>0</v>
      </c>
      <c r="IN11" s="83"/>
      <c r="IO11" s="102">
        <f t="shared" si="72"/>
        <v>0</v>
      </c>
      <c r="IP11" s="66">
        <f t="shared" si="73"/>
        <v>0</v>
      </c>
      <c r="IQ11" s="66">
        <f t="shared" si="74"/>
        <v>0</v>
      </c>
      <c r="IR11" s="83"/>
      <c r="IS11" s="102"/>
      <c r="IT11" s="66">
        <f t="shared" si="75"/>
        <v>1</v>
      </c>
      <c r="IU11" s="66">
        <f t="shared" si="75"/>
        <v>228</v>
      </c>
      <c r="IV11" s="83"/>
      <c r="IW11" s="102"/>
      <c r="IX11" s="66">
        <f t="shared" si="76"/>
        <v>0</v>
      </c>
      <c r="IY11" s="66">
        <f t="shared" si="76"/>
        <v>0</v>
      </c>
      <c r="IZ11" s="83"/>
      <c r="JA11" s="102"/>
      <c r="JB11" s="66">
        <f t="shared" si="77"/>
        <v>0</v>
      </c>
      <c r="JC11" s="66">
        <f t="shared" si="78"/>
        <v>0</v>
      </c>
      <c r="JD11" s="83"/>
      <c r="JE11" s="102"/>
      <c r="JF11" s="66">
        <f t="shared" si="136"/>
        <v>1</v>
      </c>
      <c r="JG11" s="66">
        <f t="shared" si="79"/>
        <v>228</v>
      </c>
      <c r="JH11" s="83"/>
      <c r="JI11" s="102"/>
      <c r="JJ11" s="66">
        <f t="shared" si="80"/>
        <v>0</v>
      </c>
      <c r="JK11" s="66">
        <f t="shared" si="80"/>
        <v>0</v>
      </c>
      <c r="JM11" s="102">
        <f t="shared" si="137"/>
        <v>0</v>
      </c>
      <c r="JO11" s="29">
        <f t="shared" si="81"/>
        <v>1</v>
      </c>
      <c r="JP11" s="122">
        <f t="shared" si="82"/>
        <v>165</v>
      </c>
      <c r="JQ11" s="122">
        <f t="shared" si="83"/>
        <v>0</v>
      </c>
      <c r="JR11" s="122">
        <f t="shared" si="83"/>
        <v>1</v>
      </c>
      <c r="JS11" s="122">
        <f t="shared" si="83"/>
        <v>0</v>
      </c>
      <c r="JT11" s="122">
        <f t="shared" si="83"/>
        <v>0</v>
      </c>
      <c r="JU11" s="122">
        <f t="shared" si="83"/>
        <v>0</v>
      </c>
      <c r="JV11" s="122">
        <f t="shared" si="83"/>
        <v>0</v>
      </c>
      <c r="JW11" s="122">
        <f t="shared" si="83"/>
        <v>0</v>
      </c>
      <c r="JX11" s="122">
        <f t="shared" si="83"/>
        <v>0</v>
      </c>
      <c r="JY11" s="122">
        <f t="shared" si="83"/>
        <v>0</v>
      </c>
      <c r="JZ11" s="122">
        <f t="shared" si="83"/>
        <v>0</v>
      </c>
      <c r="KA11" s="122">
        <f t="shared" si="83"/>
        <v>0</v>
      </c>
      <c r="KB11" s="122">
        <f t="shared" si="83"/>
        <v>0</v>
      </c>
      <c r="KD11" s="122">
        <f t="shared" si="138"/>
        <v>1</v>
      </c>
      <c r="KE11" s="122">
        <f t="shared" si="85"/>
        <v>165</v>
      </c>
      <c r="KF11" s="122">
        <f t="shared" si="86"/>
        <v>165</v>
      </c>
      <c r="KG11" s="122">
        <f t="shared" si="86"/>
        <v>0</v>
      </c>
      <c r="KH11" s="122">
        <f t="shared" si="86"/>
        <v>165</v>
      </c>
      <c r="KI11" s="122">
        <f t="shared" si="86"/>
        <v>0</v>
      </c>
      <c r="KJ11" s="122">
        <f t="shared" si="86"/>
        <v>0</v>
      </c>
      <c r="KK11" s="122">
        <f t="shared" si="86"/>
        <v>0</v>
      </c>
      <c r="KL11" s="122">
        <f t="shared" si="86"/>
        <v>0</v>
      </c>
      <c r="KM11" s="122">
        <f t="shared" si="86"/>
        <v>0</v>
      </c>
      <c r="KN11" s="123">
        <f t="shared" si="86"/>
        <v>0</v>
      </c>
      <c r="KO11" s="123">
        <f t="shared" si="86"/>
        <v>0</v>
      </c>
      <c r="KP11" s="123">
        <f t="shared" si="86"/>
        <v>0</v>
      </c>
      <c r="KQ11" s="123">
        <f t="shared" si="86"/>
        <v>0</v>
      </c>
      <c r="KR11" s="123">
        <f t="shared" si="86"/>
        <v>0</v>
      </c>
      <c r="KT11">
        <f t="shared" si="87"/>
        <v>0</v>
      </c>
      <c r="KU11" s="123"/>
      <c r="KV11" s="123"/>
      <c r="KW11" s="123"/>
      <c r="KX11" s="123"/>
      <c r="KY11" s="123"/>
      <c r="KZ11" s="123"/>
      <c r="LA11" s="123"/>
      <c r="LB11" s="123"/>
      <c r="LC11" s="123"/>
      <c r="LD11" s="123"/>
      <c r="LE11" s="123"/>
      <c r="LF11" s="123"/>
      <c r="LG11" s="123"/>
      <c r="LH11" s="123"/>
      <c r="LI11" s="123"/>
      <c r="LJ11" s="123"/>
      <c r="LK11" s="123"/>
      <c r="LL11" s="123"/>
      <c r="LM11" s="123"/>
      <c r="LN11" s="123"/>
      <c r="LO11" s="123"/>
      <c r="LP11" s="123"/>
      <c r="LQ11" s="123"/>
      <c r="LR11" s="123"/>
      <c r="LS11" s="123"/>
      <c r="LT11" s="123"/>
      <c r="LU11" s="123"/>
      <c r="LV11" s="123"/>
      <c r="LW11" s="123"/>
      <c r="LX11" s="123"/>
      <c r="LY11" s="123"/>
      <c r="LZ11" s="123"/>
      <c r="MA11" s="123"/>
      <c r="MB11" s="123"/>
      <c r="MC11" s="123"/>
      <c r="MD11" s="123"/>
      <c r="ME11" s="123"/>
      <c r="MF11" s="123"/>
      <c r="MG11" s="123"/>
      <c r="MH11" s="123"/>
      <c r="MI11" s="123"/>
      <c r="MJ11" s="123"/>
      <c r="MK11" s="123"/>
      <c r="ML11" s="123"/>
      <c r="MM11" s="123"/>
      <c r="MN11" s="123"/>
      <c r="MO11" s="123"/>
      <c r="MP11" s="123"/>
      <c r="MQ11" s="123"/>
      <c r="MR11" s="123"/>
      <c r="MS11" s="123"/>
      <c r="MT11" s="123"/>
      <c r="MU11" s="123"/>
      <c r="MV11" s="123"/>
      <c r="MW11" s="123"/>
      <c r="MX11" s="123"/>
      <c r="MY11" s="123"/>
      <c r="MZ11" s="123"/>
      <c r="NA11" s="123"/>
      <c r="NB11" s="123"/>
      <c r="NC11" s="123"/>
      <c r="ND11" s="123"/>
      <c r="NE11" s="123"/>
      <c r="NF11" s="123"/>
      <c r="NG11" s="123"/>
      <c r="NH11" s="123"/>
      <c r="NI11" s="123"/>
      <c r="NJ11" s="123"/>
      <c r="NK11" s="123"/>
      <c r="NM11">
        <f t="shared" si="139"/>
        <v>0</v>
      </c>
      <c r="NN11">
        <f t="shared" si="140"/>
        <v>0</v>
      </c>
      <c r="NO11">
        <f t="shared" si="141"/>
        <v>0</v>
      </c>
      <c r="NP11">
        <f t="shared" si="142"/>
        <v>0</v>
      </c>
      <c r="NQ11">
        <f t="shared" si="143"/>
        <v>0</v>
      </c>
      <c r="NR11">
        <f t="shared" si="144"/>
        <v>0</v>
      </c>
      <c r="NS11">
        <f t="shared" si="145"/>
        <v>0</v>
      </c>
      <c r="NT11">
        <f t="shared" si="146"/>
        <v>0</v>
      </c>
      <c r="NU11">
        <f t="shared" si="147"/>
        <v>0</v>
      </c>
      <c r="NY11" s="29">
        <f t="shared" si="89"/>
        <v>1</v>
      </c>
      <c r="NZ11" s="152">
        <v>8240000</v>
      </c>
      <c r="OE11" s="155">
        <f t="shared" si="90"/>
        <v>0</v>
      </c>
      <c r="OF11" s="155">
        <f t="shared" si="91"/>
        <v>0</v>
      </c>
      <c r="OG11" s="155">
        <f t="shared" si="92"/>
        <v>0</v>
      </c>
      <c r="OH11" s="155">
        <f t="shared" si="148"/>
        <v>0</v>
      </c>
      <c r="OI11" s="155">
        <f t="shared" si="93"/>
        <v>0</v>
      </c>
      <c r="OJ11" s="67">
        <f t="shared" si="149"/>
        <v>0</v>
      </c>
      <c r="OK11" s="67">
        <f t="shared" si="150"/>
        <v>0</v>
      </c>
      <c r="OL11" s="67">
        <f t="shared" si="151"/>
        <v>0</v>
      </c>
      <c r="OM11" s="67">
        <f t="shared" si="152"/>
        <v>0</v>
      </c>
      <c r="OO11" s="155">
        <f t="shared" si="94"/>
        <v>0</v>
      </c>
      <c r="OP11" s="155">
        <f t="shared" si="95"/>
        <v>0</v>
      </c>
      <c r="OQ11" s="155">
        <f t="shared" si="153"/>
        <v>0</v>
      </c>
      <c r="OR11" s="155">
        <f t="shared" si="154"/>
        <v>0</v>
      </c>
      <c r="OS11" s="155">
        <f t="shared" si="155"/>
        <v>0</v>
      </c>
      <c r="OT11" s="67">
        <f t="shared" si="156"/>
        <v>0</v>
      </c>
      <c r="OU11" s="67">
        <f t="shared" si="157"/>
        <v>0</v>
      </c>
      <c r="OV11" s="67">
        <f t="shared" si="158"/>
        <v>0</v>
      </c>
      <c r="OW11" s="67">
        <f t="shared" si="159"/>
        <v>0</v>
      </c>
      <c r="PA11" s="166"/>
      <c r="PB11" s="166"/>
      <c r="PC11" s="166"/>
      <c r="PD11" s="210">
        <f t="shared" si="96"/>
        <v>0</v>
      </c>
      <c r="PE11" s="210"/>
      <c r="PF11" s="210">
        <f t="shared" si="97"/>
        <v>0</v>
      </c>
      <c r="PG11" s="210">
        <f t="shared" si="98"/>
        <v>0</v>
      </c>
      <c r="PH11" s="210">
        <f t="shared" si="98"/>
        <v>0</v>
      </c>
      <c r="PI11" s="210">
        <f t="shared" si="98"/>
        <v>0</v>
      </c>
      <c r="PJ11" s="210">
        <f t="shared" si="98"/>
        <v>0</v>
      </c>
      <c r="PK11" s="210">
        <f t="shared" si="98"/>
        <v>0</v>
      </c>
      <c r="PL11" s="210">
        <f t="shared" si="98"/>
        <v>0</v>
      </c>
      <c r="PO11" s="172">
        <f t="shared" si="160"/>
        <v>0</v>
      </c>
      <c r="PP11" s="172">
        <f t="shared" si="161"/>
        <v>0</v>
      </c>
      <c r="PQ11" s="172">
        <f t="shared" si="162"/>
        <v>0</v>
      </c>
    </row>
    <row r="12" spans="1:433" ht="16" x14ac:dyDescent="0.2">
      <c r="A12" s="19">
        <f t="shared" si="163"/>
        <v>4</v>
      </c>
      <c r="B12" s="186" t="s">
        <v>172</v>
      </c>
      <c r="C12" s="138">
        <v>4</v>
      </c>
      <c r="D12" s="20">
        <v>1</v>
      </c>
      <c r="E12" s="188">
        <v>60</v>
      </c>
      <c r="F12" s="20">
        <v>1</v>
      </c>
      <c r="G12" s="20">
        <f t="shared" si="99"/>
        <v>60</v>
      </c>
      <c r="H12" s="137">
        <f t="shared" si="164"/>
        <v>1</v>
      </c>
      <c r="I12" s="137">
        <f t="shared" si="165"/>
        <v>1</v>
      </c>
      <c r="J12" s="20">
        <v>1</v>
      </c>
      <c r="K12" s="20">
        <f t="shared" si="166"/>
        <v>60</v>
      </c>
      <c r="L12" s="137">
        <f t="shared" si="167"/>
        <v>1</v>
      </c>
      <c r="M12" s="137">
        <f t="shared" si="168"/>
        <v>1</v>
      </c>
      <c r="N12" s="20">
        <v>1</v>
      </c>
      <c r="O12" s="20">
        <f t="shared" si="169"/>
        <v>60</v>
      </c>
      <c r="P12" s="137">
        <f t="shared" si="170"/>
        <v>1</v>
      </c>
      <c r="Q12" s="137">
        <f t="shared" si="171"/>
        <v>1</v>
      </c>
      <c r="R12" s="20">
        <v>1</v>
      </c>
      <c r="S12" s="20">
        <f t="shared" si="172"/>
        <v>60</v>
      </c>
      <c r="T12" s="137">
        <f t="shared" si="173"/>
        <v>1</v>
      </c>
      <c r="U12" s="137">
        <f t="shared" si="174"/>
        <v>1</v>
      </c>
      <c r="V12" s="20">
        <v>1</v>
      </c>
      <c r="W12" s="20">
        <f t="shared" si="175"/>
        <v>60</v>
      </c>
      <c r="X12" s="137">
        <f t="shared" si="176"/>
        <v>1</v>
      </c>
      <c r="Y12" s="137">
        <f t="shared" si="177"/>
        <v>1</v>
      </c>
      <c r="Z12" s="224">
        <f>602982000/1000000000</f>
        <v>0.60298200000000002</v>
      </c>
      <c r="AA12" s="224"/>
      <c r="AB12" s="17">
        <f t="shared" si="100"/>
        <v>0</v>
      </c>
      <c r="AC12" s="18">
        <f t="shared" si="101"/>
        <v>0</v>
      </c>
      <c r="AD12" s="18">
        <f t="shared" si="102"/>
        <v>0</v>
      </c>
      <c r="AE12" s="38"/>
      <c r="AF12" s="31">
        <f t="shared" si="178"/>
        <v>0</v>
      </c>
      <c r="AG12" s="31"/>
      <c r="AH12" s="31"/>
      <c r="AI12" s="17"/>
      <c r="AJ12" s="17"/>
      <c r="AK12" s="17"/>
      <c r="AL12" s="17">
        <v>0</v>
      </c>
      <c r="AM12" s="17">
        <v>0</v>
      </c>
      <c r="AN12" s="139"/>
      <c r="AO12" s="17">
        <f t="shared" si="179"/>
        <v>0</v>
      </c>
      <c r="AP12" s="17">
        <f t="shared" si="180"/>
        <v>0</v>
      </c>
      <c r="AQ12" s="17">
        <f t="shared" si="181"/>
        <v>0</v>
      </c>
      <c r="AR12" s="17">
        <f t="shared" si="182"/>
        <v>0</v>
      </c>
      <c r="AS12" s="17">
        <f t="shared" si="183"/>
        <v>0</v>
      </c>
      <c r="AT12" s="17">
        <f t="shared" si="184"/>
        <v>0</v>
      </c>
      <c r="AU12" s="17">
        <f t="shared" si="185"/>
        <v>0</v>
      </c>
      <c r="AV12" s="17">
        <f t="shared" si="186"/>
        <v>0</v>
      </c>
      <c r="AW12" s="17">
        <f t="shared" si="187"/>
        <v>0</v>
      </c>
      <c r="AX12" s="17">
        <f t="shared" si="188"/>
        <v>0</v>
      </c>
      <c r="AY12" s="17">
        <f t="shared" si="189"/>
        <v>0</v>
      </c>
      <c r="AZ12" s="17">
        <f t="shared" si="189"/>
        <v>0</v>
      </c>
      <c r="BA12" s="17">
        <f t="shared" si="105"/>
        <v>0</v>
      </c>
      <c r="BB12" s="20">
        <f t="shared" si="106"/>
        <v>0</v>
      </c>
      <c r="BE12" s="20">
        <f t="shared" si="29"/>
        <v>0</v>
      </c>
      <c r="BF12" s="20">
        <f t="shared" si="30"/>
        <v>0</v>
      </c>
      <c r="BG12" s="20">
        <f t="shared" si="31"/>
        <v>0</v>
      </c>
      <c r="BH12" s="20">
        <f t="shared" si="32"/>
        <v>0</v>
      </c>
      <c r="BI12" s="20">
        <f t="shared" si="33"/>
        <v>0</v>
      </c>
      <c r="BJ12" s="20">
        <f t="shared" si="34"/>
        <v>0</v>
      </c>
      <c r="BK12" s="20">
        <f t="shared" si="190"/>
        <v>0</v>
      </c>
      <c r="BN12" s="139"/>
      <c r="BO12" s="139"/>
      <c r="BP12" s="139"/>
      <c r="BQ12" s="139"/>
      <c r="BR12" s="139"/>
      <c r="BS12" s="139"/>
      <c r="BT12" s="139"/>
      <c r="BU12" s="139"/>
      <c r="BV12" s="139"/>
      <c r="BW12" s="139"/>
      <c r="BX12" s="139"/>
      <c r="BY12" s="139"/>
      <c r="BZ12" s="139"/>
      <c r="CB12" s="139"/>
      <c r="CD12" s="139">
        <f t="shared" si="191"/>
        <v>0</v>
      </c>
      <c r="CE12" s="139">
        <f t="shared" si="192"/>
        <v>0</v>
      </c>
      <c r="CF12" s="139">
        <f t="shared" si="193"/>
        <v>0</v>
      </c>
      <c r="CG12" s="139">
        <f t="shared" si="194"/>
        <v>0</v>
      </c>
      <c r="CH12" s="139">
        <f t="shared" si="195"/>
        <v>0</v>
      </c>
      <c r="CI12" s="139">
        <f t="shared" si="196"/>
        <v>0</v>
      </c>
      <c r="CJ12" s="139">
        <f t="shared" si="197"/>
        <v>0</v>
      </c>
      <c r="CK12" s="139">
        <f t="shared" si="198"/>
        <v>0</v>
      </c>
      <c r="CL12" s="139">
        <f t="shared" si="199"/>
        <v>0</v>
      </c>
      <c r="CM12" s="139">
        <f t="shared" si="200"/>
        <v>0</v>
      </c>
      <c r="CN12" s="139">
        <f t="shared" si="201"/>
        <v>0</v>
      </c>
      <c r="CO12" s="139">
        <f t="shared" si="202"/>
        <v>0</v>
      </c>
      <c r="CP12" s="139">
        <f t="shared" si="203"/>
        <v>0</v>
      </c>
      <c r="DV12" s="139">
        <f t="shared" si="37"/>
        <v>0</v>
      </c>
      <c r="DW12" s="139">
        <f t="shared" si="38"/>
        <v>0</v>
      </c>
      <c r="DX12" s="139">
        <f t="shared" si="39"/>
        <v>0</v>
      </c>
      <c r="DY12" s="139">
        <f t="shared" si="40"/>
        <v>0</v>
      </c>
      <c r="DZ12" s="139">
        <f t="shared" si="41"/>
        <v>0</v>
      </c>
      <c r="EA12" s="139">
        <f t="shared" si="42"/>
        <v>0</v>
      </c>
      <c r="EB12" s="139">
        <f t="shared" si="110"/>
        <v>0</v>
      </c>
      <c r="ED12" s="46" t="s">
        <v>371</v>
      </c>
      <c r="EE12" s="46" t="s">
        <v>372</v>
      </c>
      <c r="EF12" s="56"/>
      <c r="EG12" s="57">
        <f t="shared" si="111"/>
        <v>0</v>
      </c>
      <c r="EH12" s="57">
        <f t="shared" si="112"/>
        <v>0</v>
      </c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X12" s="80"/>
      <c r="FY12" s="17">
        <f t="shared" si="113"/>
        <v>0</v>
      </c>
      <c r="FZ12" s="17">
        <f t="shared" si="44"/>
        <v>0</v>
      </c>
      <c r="GA12" s="17">
        <f t="shared" si="44"/>
        <v>0</v>
      </c>
      <c r="GB12" s="17">
        <f t="shared" si="44"/>
        <v>0</v>
      </c>
      <c r="GC12" s="17">
        <f t="shared" si="45"/>
        <v>0</v>
      </c>
      <c r="GD12" s="17">
        <f t="shared" si="46"/>
        <v>0</v>
      </c>
      <c r="GE12" s="17">
        <f t="shared" si="47"/>
        <v>0</v>
      </c>
      <c r="GF12" s="67"/>
      <c r="GG12" s="17">
        <v>0</v>
      </c>
      <c r="GH12" s="17">
        <v>0</v>
      </c>
      <c r="GI12" s="67"/>
      <c r="GJ12" s="62">
        <f t="shared" si="114"/>
        <v>0</v>
      </c>
      <c r="GK12" s="62">
        <f t="shared" si="115"/>
        <v>0</v>
      </c>
      <c r="GO12" s="17">
        <f t="shared" si="48"/>
        <v>0</v>
      </c>
      <c r="GP12" s="17">
        <f t="shared" si="49"/>
        <v>0</v>
      </c>
      <c r="GQ12" s="17">
        <f t="shared" si="50"/>
        <v>0</v>
      </c>
      <c r="GR12" s="17">
        <f t="shared" si="51"/>
        <v>0</v>
      </c>
      <c r="GS12" s="17">
        <f t="shared" si="52"/>
        <v>0</v>
      </c>
      <c r="GT12" s="17">
        <f t="shared" si="116"/>
        <v>1</v>
      </c>
      <c r="GU12" s="101">
        <f t="shared" si="117"/>
        <v>43243</v>
      </c>
      <c r="GV12" s="17" t="str">
        <f t="shared" si="118"/>
        <v>SELESAI</v>
      </c>
      <c r="GW12" s="17">
        <f t="shared" si="119"/>
        <v>0</v>
      </c>
      <c r="GX12" s="66" t="str">
        <f t="shared" si="120"/>
        <v>SELESAI</v>
      </c>
      <c r="GY12" s="66">
        <f t="shared" si="121"/>
        <v>0</v>
      </c>
      <c r="GZ12" s="102" t="str">
        <f t="shared" si="122"/>
        <v>SELESAI</v>
      </c>
      <c r="HA12" s="83"/>
      <c r="HB12" s="83"/>
      <c r="HC12" s="17">
        <f t="shared" si="53"/>
        <v>0</v>
      </c>
      <c r="HD12" s="17">
        <f t="shared" si="54"/>
        <v>0</v>
      </c>
      <c r="HE12" s="17">
        <f t="shared" si="123"/>
        <v>0</v>
      </c>
      <c r="HF12" s="17">
        <f t="shared" si="124"/>
        <v>0</v>
      </c>
      <c r="HG12" s="17">
        <f t="shared" si="125"/>
        <v>0</v>
      </c>
      <c r="HH12" s="101" t="str">
        <f t="shared" si="55"/>
        <v>TIDAK KONSINYASI</v>
      </c>
      <c r="HI12" s="101" t="str">
        <f t="shared" si="126"/>
        <v>SELESAI</v>
      </c>
      <c r="HJ12" s="27"/>
      <c r="HK12" s="101">
        <f t="shared" si="56"/>
        <v>0</v>
      </c>
      <c r="HL12" s="83"/>
      <c r="HM12" s="83"/>
      <c r="HN12" s="83"/>
      <c r="HO12" s="83"/>
      <c r="HP12" s="102">
        <f t="shared" si="127"/>
        <v>0</v>
      </c>
      <c r="HQ12" s="66">
        <f t="shared" si="128"/>
        <v>0</v>
      </c>
      <c r="HR12" s="66">
        <f t="shared" si="57"/>
        <v>0</v>
      </c>
      <c r="HS12" s="102">
        <f t="shared" si="129"/>
        <v>0</v>
      </c>
      <c r="HT12" s="66">
        <f t="shared" si="130"/>
        <v>0</v>
      </c>
      <c r="HU12" s="66">
        <f t="shared" si="58"/>
        <v>0</v>
      </c>
      <c r="HV12" s="102">
        <f t="shared" si="131"/>
        <v>0</v>
      </c>
      <c r="HW12" s="66">
        <f t="shared" si="59"/>
        <v>0</v>
      </c>
      <c r="HX12" s="66">
        <f t="shared" si="60"/>
        <v>0</v>
      </c>
      <c r="HY12" s="102">
        <f t="shared" si="61"/>
        <v>0</v>
      </c>
      <c r="HZ12" s="66">
        <f t="shared" si="132"/>
        <v>0</v>
      </c>
      <c r="IA12" s="66">
        <f t="shared" si="62"/>
        <v>0</v>
      </c>
      <c r="IB12" s="102">
        <f t="shared" si="133"/>
        <v>0</v>
      </c>
      <c r="IC12" s="66">
        <f t="shared" si="63"/>
        <v>0</v>
      </c>
      <c r="ID12" s="66">
        <f t="shared" si="64"/>
        <v>0</v>
      </c>
      <c r="IE12" s="102">
        <f t="shared" si="65"/>
        <v>0</v>
      </c>
      <c r="IF12" s="66">
        <f t="shared" si="66"/>
        <v>0</v>
      </c>
      <c r="IG12" s="66">
        <f t="shared" si="67"/>
        <v>0</v>
      </c>
      <c r="IH12" s="102">
        <f t="shared" si="134"/>
        <v>0</v>
      </c>
      <c r="II12" s="66">
        <f t="shared" si="135"/>
        <v>0</v>
      </c>
      <c r="IJ12" s="66">
        <f t="shared" si="68"/>
        <v>0</v>
      </c>
      <c r="IK12" s="102">
        <f t="shared" si="69"/>
        <v>0</v>
      </c>
      <c r="IL12" s="66">
        <f t="shared" si="70"/>
        <v>0</v>
      </c>
      <c r="IM12" s="66">
        <f t="shared" si="71"/>
        <v>0</v>
      </c>
      <c r="IN12" s="83"/>
      <c r="IO12" s="102">
        <f t="shared" si="72"/>
        <v>0</v>
      </c>
      <c r="IP12" s="66">
        <f t="shared" si="73"/>
        <v>0</v>
      </c>
      <c r="IQ12" s="66">
        <f t="shared" si="74"/>
        <v>0</v>
      </c>
      <c r="IR12" s="83"/>
      <c r="IS12" s="102"/>
      <c r="IT12" s="66">
        <f t="shared" si="75"/>
        <v>1</v>
      </c>
      <c r="IU12" s="66">
        <f t="shared" si="75"/>
        <v>60</v>
      </c>
      <c r="IV12" s="83"/>
      <c r="IW12" s="102"/>
      <c r="IX12" s="66">
        <f t="shared" si="76"/>
        <v>0</v>
      </c>
      <c r="IY12" s="66">
        <f t="shared" si="76"/>
        <v>0</v>
      </c>
      <c r="IZ12" s="83"/>
      <c r="JA12" s="102"/>
      <c r="JB12" s="66">
        <f t="shared" si="77"/>
        <v>0</v>
      </c>
      <c r="JC12" s="66">
        <f t="shared" si="78"/>
        <v>0</v>
      </c>
      <c r="JD12" s="83"/>
      <c r="JE12" s="102"/>
      <c r="JF12" s="66">
        <f t="shared" si="136"/>
        <v>1</v>
      </c>
      <c r="JG12" s="66">
        <f t="shared" si="79"/>
        <v>60</v>
      </c>
      <c r="JH12" s="83"/>
      <c r="JI12" s="102"/>
      <c r="JJ12" s="66">
        <f t="shared" si="80"/>
        <v>0</v>
      </c>
      <c r="JK12" s="66">
        <f t="shared" si="80"/>
        <v>0</v>
      </c>
      <c r="JM12" s="102">
        <f t="shared" si="137"/>
        <v>0</v>
      </c>
      <c r="JO12" s="29">
        <f t="shared" si="81"/>
        <v>0</v>
      </c>
      <c r="JP12" s="122">
        <f t="shared" si="82"/>
        <v>0</v>
      </c>
      <c r="JQ12" s="122">
        <f t="shared" si="83"/>
        <v>0</v>
      </c>
      <c r="JR12" s="122">
        <f t="shared" si="83"/>
        <v>0</v>
      </c>
      <c r="JS12" s="122">
        <f t="shared" si="83"/>
        <v>0</v>
      </c>
      <c r="JT12" s="122">
        <f t="shared" si="83"/>
        <v>0</v>
      </c>
      <c r="JU12" s="122">
        <f t="shared" si="83"/>
        <v>0</v>
      </c>
      <c r="JV12" s="122">
        <f t="shared" si="83"/>
        <v>0</v>
      </c>
      <c r="JW12" s="122">
        <f t="shared" si="83"/>
        <v>0</v>
      </c>
      <c r="JX12" s="122">
        <f t="shared" si="83"/>
        <v>0</v>
      </c>
      <c r="JY12" s="122">
        <f t="shared" si="83"/>
        <v>0</v>
      </c>
      <c r="JZ12" s="122">
        <f t="shared" si="83"/>
        <v>0</v>
      </c>
      <c r="KA12" s="122">
        <f t="shared" si="83"/>
        <v>0</v>
      </c>
      <c r="KB12" s="122">
        <f t="shared" si="83"/>
        <v>0</v>
      </c>
      <c r="KD12" s="122">
        <f t="shared" si="138"/>
        <v>0</v>
      </c>
      <c r="KE12" s="122">
        <f t="shared" si="85"/>
        <v>0</v>
      </c>
      <c r="KF12" s="122">
        <f t="shared" si="86"/>
        <v>0</v>
      </c>
      <c r="KG12" s="122">
        <f t="shared" si="86"/>
        <v>0</v>
      </c>
      <c r="KH12" s="122">
        <f t="shared" si="86"/>
        <v>0</v>
      </c>
      <c r="KI12" s="122">
        <f t="shared" si="86"/>
        <v>0</v>
      </c>
      <c r="KJ12" s="122">
        <f t="shared" si="86"/>
        <v>0</v>
      </c>
      <c r="KK12" s="122">
        <f t="shared" si="86"/>
        <v>0</v>
      </c>
      <c r="KL12" s="122">
        <f t="shared" si="86"/>
        <v>0</v>
      </c>
      <c r="KM12" s="122">
        <f t="shared" si="86"/>
        <v>0</v>
      </c>
      <c r="KN12" s="123">
        <f t="shared" si="86"/>
        <v>0</v>
      </c>
      <c r="KO12" s="123">
        <f t="shared" si="86"/>
        <v>0</v>
      </c>
      <c r="KP12" s="123">
        <f t="shared" si="86"/>
        <v>0</v>
      </c>
      <c r="KQ12" s="123">
        <f t="shared" si="86"/>
        <v>0</v>
      </c>
      <c r="KR12" s="123">
        <f t="shared" si="86"/>
        <v>0</v>
      </c>
      <c r="KT12">
        <f t="shared" si="87"/>
        <v>0</v>
      </c>
      <c r="KU12" s="123"/>
      <c r="KV12" s="123"/>
      <c r="KW12" s="123"/>
      <c r="KX12" s="123"/>
      <c r="KY12" s="123"/>
      <c r="KZ12" s="123"/>
      <c r="LA12" s="123"/>
      <c r="LB12" s="123"/>
      <c r="LC12" s="123"/>
      <c r="LD12" s="123"/>
      <c r="LE12" s="123"/>
      <c r="LF12" s="123"/>
      <c r="LG12" s="123"/>
      <c r="LH12" s="123"/>
      <c r="LI12" s="123"/>
      <c r="LJ12" s="123"/>
      <c r="LK12" s="123"/>
      <c r="LL12" s="123"/>
      <c r="LM12" s="123"/>
      <c r="LN12" s="123"/>
      <c r="LO12" s="123"/>
      <c r="LP12" s="123"/>
      <c r="LQ12" s="123"/>
      <c r="LR12" s="123"/>
      <c r="LS12" s="123"/>
      <c r="LT12" s="123"/>
      <c r="LU12" s="123"/>
      <c r="LV12" s="123"/>
      <c r="LW12" s="123"/>
      <c r="LX12" s="123"/>
      <c r="LY12" s="123"/>
      <c r="LZ12" s="123"/>
      <c r="MA12" s="123"/>
      <c r="MB12" s="123"/>
      <c r="MC12" s="123"/>
      <c r="MD12" s="123"/>
      <c r="ME12" s="123"/>
      <c r="MF12" s="123"/>
      <c r="MG12" s="123"/>
      <c r="MH12" s="123"/>
      <c r="MI12" s="123"/>
      <c r="MJ12" s="123"/>
      <c r="MK12" s="123"/>
      <c r="ML12" s="123"/>
      <c r="MM12" s="123"/>
      <c r="MN12" s="123"/>
      <c r="MO12" s="123"/>
      <c r="MP12" s="123"/>
      <c r="MQ12" s="123"/>
      <c r="MR12" s="123"/>
      <c r="MS12" s="123"/>
      <c r="MT12" s="123"/>
      <c r="MU12" s="123"/>
      <c r="MV12" s="123"/>
      <c r="MW12" s="123"/>
      <c r="MX12" s="123"/>
      <c r="MY12" s="123"/>
      <c r="MZ12" s="123"/>
      <c r="NA12" s="123"/>
      <c r="NB12" s="123"/>
      <c r="NC12" s="123"/>
      <c r="ND12" s="123"/>
      <c r="NE12" s="123"/>
      <c r="NF12" s="123"/>
      <c r="NG12" s="123"/>
      <c r="NH12" s="123"/>
      <c r="NI12" s="123"/>
      <c r="NJ12" s="123"/>
      <c r="NK12" s="123"/>
      <c r="NM12">
        <f t="shared" si="139"/>
        <v>0</v>
      </c>
      <c r="NN12">
        <f t="shared" si="140"/>
        <v>0</v>
      </c>
      <c r="NO12">
        <f t="shared" si="141"/>
        <v>0</v>
      </c>
      <c r="NP12">
        <f t="shared" si="142"/>
        <v>0</v>
      </c>
      <c r="NQ12">
        <f t="shared" si="143"/>
        <v>0</v>
      </c>
      <c r="NR12">
        <f t="shared" si="144"/>
        <v>0</v>
      </c>
      <c r="NS12">
        <f t="shared" si="145"/>
        <v>0</v>
      </c>
      <c r="NT12">
        <f t="shared" si="146"/>
        <v>0</v>
      </c>
      <c r="NU12">
        <f t="shared" si="147"/>
        <v>0</v>
      </c>
      <c r="NY12" s="29">
        <f t="shared" si="89"/>
        <v>1</v>
      </c>
      <c r="NZ12" s="152">
        <v>8240000</v>
      </c>
      <c r="OE12" s="155">
        <f t="shared" si="90"/>
        <v>0</v>
      </c>
      <c r="OF12" s="155">
        <f t="shared" si="91"/>
        <v>0</v>
      </c>
      <c r="OG12" s="155">
        <f t="shared" si="92"/>
        <v>0</v>
      </c>
      <c r="OH12" s="155">
        <f t="shared" si="148"/>
        <v>0</v>
      </c>
      <c r="OI12" s="155">
        <f t="shared" si="93"/>
        <v>0</v>
      </c>
      <c r="OJ12" s="67">
        <f t="shared" si="149"/>
        <v>0</v>
      </c>
      <c r="OK12" s="67">
        <f t="shared" si="150"/>
        <v>0</v>
      </c>
      <c r="OL12" s="67">
        <f t="shared" si="151"/>
        <v>0</v>
      </c>
      <c r="OM12" s="67">
        <f t="shared" si="152"/>
        <v>0</v>
      </c>
      <c r="OO12" s="155">
        <f t="shared" si="94"/>
        <v>0</v>
      </c>
      <c r="OP12" s="155">
        <f t="shared" si="95"/>
        <v>0</v>
      </c>
      <c r="OQ12" s="155">
        <f t="shared" si="153"/>
        <v>0</v>
      </c>
      <c r="OR12" s="155">
        <f t="shared" si="154"/>
        <v>0</v>
      </c>
      <c r="OS12" s="155">
        <f t="shared" si="155"/>
        <v>0</v>
      </c>
      <c r="OT12" s="67">
        <f t="shared" si="156"/>
        <v>0</v>
      </c>
      <c r="OU12" s="67">
        <f t="shared" si="157"/>
        <v>0</v>
      </c>
      <c r="OV12" s="67">
        <f t="shared" si="158"/>
        <v>0</v>
      </c>
      <c r="OW12" s="67">
        <f t="shared" si="159"/>
        <v>0</v>
      </c>
      <c r="PA12" s="166"/>
      <c r="PB12" s="166"/>
      <c r="PC12" s="166"/>
      <c r="PD12" s="210">
        <f t="shared" si="96"/>
        <v>0</v>
      </c>
      <c r="PE12" s="210"/>
      <c r="PF12" s="210">
        <f t="shared" si="97"/>
        <v>0</v>
      </c>
      <c r="PG12" s="210">
        <f t="shared" si="98"/>
        <v>0</v>
      </c>
      <c r="PH12" s="210">
        <f t="shared" si="98"/>
        <v>0</v>
      </c>
      <c r="PI12" s="210">
        <f t="shared" si="98"/>
        <v>0</v>
      </c>
      <c r="PJ12" s="210">
        <f t="shared" si="98"/>
        <v>0</v>
      </c>
      <c r="PK12" s="210">
        <f t="shared" si="98"/>
        <v>0</v>
      </c>
      <c r="PL12" s="210">
        <f t="shared" si="98"/>
        <v>0</v>
      </c>
      <c r="PO12" s="172">
        <f t="shared" si="160"/>
        <v>0</v>
      </c>
      <c r="PP12" s="172">
        <f t="shared" si="161"/>
        <v>0</v>
      </c>
      <c r="PQ12" s="172">
        <f t="shared" si="162"/>
        <v>0</v>
      </c>
    </row>
    <row r="13" spans="1:433" ht="16" x14ac:dyDescent="0.2">
      <c r="A13" s="19">
        <f t="shared" si="163"/>
        <v>5</v>
      </c>
      <c r="B13" s="186" t="s">
        <v>169</v>
      </c>
      <c r="C13" s="138">
        <v>6</v>
      </c>
      <c r="D13" s="20">
        <v>1</v>
      </c>
      <c r="E13" s="188">
        <v>220</v>
      </c>
      <c r="F13" s="20">
        <v>1</v>
      </c>
      <c r="G13" s="20">
        <f t="shared" si="99"/>
        <v>220</v>
      </c>
      <c r="H13" s="137">
        <f t="shared" si="164"/>
        <v>1</v>
      </c>
      <c r="I13" s="137">
        <f t="shared" si="165"/>
        <v>1</v>
      </c>
      <c r="J13" s="20">
        <v>1</v>
      </c>
      <c r="K13" s="20">
        <f t="shared" si="166"/>
        <v>220</v>
      </c>
      <c r="L13" s="137">
        <f t="shared" si="167"/>
        <v>1</v>
      </c>
      <c r="M13" s="137">
        <f t="shared" si="168"/>
        <v>1</v>
      </c>
      <c r="N13" s="20">
        <v>1</v>
      </c>
      <c r="O13" s="20">
        <f t="shared" si="169"/>
        <v>220</v>
      </c>
      <c r="P13" s="137">
        <f t="shared" si="170"/>
        <v>1</v>
      </c>
      <c r="Q13" s="137">
        <f t="shared" si="171"/>
        <v>1</v>
      </c>
      <c r="R13" s="20">
        <v>1</v>
      </c>
      <c r="S13" s="20">
        <f t="shared" si="172"/>
        <v>220</v>
      </c>
      <c r="T13" s="137">
        <f t="shared" si="173"/>
        <v>1</v>
      </c>
      <c r="U13" s="137">
        <f t="shared" si="174"/>
        <v>1</v>
      </c>
      <c r="V13" s="20">
        <v>1</v>
      </c>
      <c r="W13" s="20">
        <f t="shared" si="175"/>
        <v>220</v>
      </c>
      <c r="X13" s="137">
        <f t="shared" si="176"/>
        <v>1</v>
      </c>
      <c r="Y13" s="137">
        <f t="shared" si="177"/>
        <v>1</v>
      </c>
      <c r="Z13" s="224">
        <f>(1411795000+1686699000)/1000000000</f>
        <v>3.0984940000000001</v>
      </c>
      <c r="AA13" s="224"/>
      <c r="AB13" s="17">
        <f t="shared" si="100"/>
        <v>0</v>
      </c>
      <c r="AC13" s="18">
        <f t="shared" si="101"/>
        <v>0</v>
      </c>
      <c r="AD13" s="18">
        <f t="shared" si="102"/>
        <v>0</v>
      </c>
      <c r="AE13" s="38"/>
      <c r="AF13" s="31">
        <f t="shared" si="178"/>
        <v>0</v>
      </c>
      <c r="AG13" s="31"/>
      <c r="AH13" s="31"/>
      <c r="AI13" s="17">
        <v>1</v>
      </c>
      <c r="AJ13" s="17">
        <f>IF(AI13=D13,E13,0)</f>
        <v>220</v>
      </c>
      <c r="AK13" s="17" t="s">
        <v>276</v>
      </c>
      <c r="AL13" s="17">
        <v>0</v>
      </c>
      <c r="AM13" s="17">
        <v>0</v>
      </c>
      <c r="AN13" s="139"/>
      <c r="AO13" s="17">
        <f t="shared" si="179"/>
        <v>1</v>
      </c>
      <c r="AP13" s="17">
        <f t="shared" si="180"/>
        <v>220</v>
      </c>
      <c r="AQ13" s="17">
        <f t="shared" si="181"/>
        <v>1</v>
      </c>
      <c r="AR13" s="17">
        <f t="shared" si="182"/>
        <v>220</v>
      </c>
      <c r="AS13" s="17">
        <f t="shared" si="183"/>
        <v>1</v>
      </c>
      <c r="AT13" s="17">
        <f t="shared" si="184"/>
        <v>220</v>
      </c>
      <c r="AU13" s="17">
        <f t="shared" si="185"/>
        <v>1</v>
      </c>
      <c r="AV13" s="17">
        <f t="shared" si="186"/>
        <v>220</v>
      </c>
      <c r="AW13" s="17">
        <f t="shared" si="187"/>
        <v>1</v>
      </c>
      <c r="AX13" s="17">
        <f t="shared" si="188"/>
        <v>220</v>
      </c>
      <c r="AY13" s="17">
        <f t="shared" si="189"/>
        <v>0</v>
      </c>
      <c r="AZ13" s="17">
        <f t="shared" si="189"/>
        <v>0</v>
      </c>
      <c r="BA13" s="17">
        <f t="shared" si="105"/>
        <v>3.0984940000000001</v>
      </c>
      <c r="BB13" s="20">
        <f t="shared" si="106"/>
        <v>0</v>
      </c>
      <c r="BE13" s="20">
        <f t="shared" si="29"/>
        <v>0</v>
      </c>
      <c r="BF13" s="20">
        <f t="shared" si="30"/>
        <v>0</v>
      </c>
      <c r="BG13" s="20">
        <f t="shared" si="31"/>
        <v>0</v>
      </c>
      <c r="BH13" s="20">
        <f t="shared" si="32"/>
        <v>0</v>
      </c>
      <c r="BI13" s="20">
        <f t="shared" si="33"/>
        <v>0</v>
      </c>
      <c r="BJ13" s="20">
        <f t="shared" si="34"/>
        <v>0</v>
      </c>
      <c r="BK13" s="20">
        <f t="shared" si="190"/>
        <v>0</v>
      </c>
      <c r="BN13" s="139">
        <v>199</v>
      </c>
      <c r="BO13" s="139"/>
      <c r="BP13" s="139">
        <v>1</v>
      </c>
      <c r="BQ13" s="139"/>
      <c r="BR13" s="139"/>
      <c r="BS13" s="139"/>
      <c r="BT13" s="139"/>
      <c r="BU13" s="139"/>
      <c r="BV13" s="139"/>
      <c r="BW13" s="139"/>
      <c r="BX13" s="139"/>
      <c r="BY13" s="139"/>
      <c r="BZ13" s="139"/>
      <c r="CB13" s="139"/>
      <c r="CD13" s="139">
        <f t="shared" si="191"/>
        <v>199</v>
      </c>
      <c r="CE13" s="139">
        <f t="shared" si="192"/>
        <v>0</v>
      </c>
      <c r="CF13" s="139">
        <f t="shared" si="193"/>
        <v>199</v>
      </c>
      <c r="CG13" s="139">
        <f t="shared" si="194"/>
        <v>0</v>
      </c>
      <c r="CH13" s="139">
        <f t="shared" si="195"/>
        <v>0</v>
      </c>
      <c r="CI13" s="139">
        <f t="shared" si="196"/>
        <v>0</v>
      </c>
      <c r="CJ13" s="139">
        <f t="shared" si="197"/>
        <v>0</v>
      </c>
      <c r="CK13" s="139">
        <f t="shared" si="198"/>
        <v>0</v>
      </c>
      <c r="CL13" s="139">
        <f t="shared" si="199"/>
        <v>0</v>
      </c>
      <c r="CM13" s="139">
        <f t="shared" si="200"/>
        <v>0</v>
      </c>
      <c r="CN13" s="139">
        <f t="shared" si="201"/>
        <v>0</v>
      </c>
      <c r="CO13" s="139">
        <f t="shared" si="202"/>
        <v>0</v>
      </c>
      <c r="CP13" s="139">
        <f t="shared" si="203"/>
        <v>0</v>
      </c>
      <c r="DV13" s="139">
        <f t="shared" si="37"/>
        <v>0</v>
      </c>
      <c r="DW13" s="139">
        <f t="shared" si="38"/>
        <v>0</v>
      </c>
      <c r="DX13" s="139">
        <f t="shared" si="39"/>
        <v>0</v>
      </c>
      <c r="DY13" s="139">
        <f t="shared" si="40"/>
        <v>0</v>
      </c>
      <c r="DZ13" s="139">
        <f t="shared" si="41"/>
        <v>0</v>
      </c>
      <c r="EA13" s="139">
        <f t="shared" si="42"/>
        <v>0</v>
      </c>
      <c r="EB13" s="139">
        <f t="shared" si="110"/>
        <v>0</v>
      </c>
      <c r="ED13" s="46" t="s">
        <v>300</v>
      </c>
      <c r="EE13" s="46" t="s">
        <v>373</v>
      </c>
      <c r="EF13" s="56"/>
      <c r="EG13" s="57">
        <f t="shared" si="111"/>
        <v>0</v>
      </c>
      <c r="EH13" s="57">
        <f t="shared" si="112"/>
        <v>0</v>
      </c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X13" s="80">
        <v>1</v>
      </c>
      <c r="FY13" s="17">
        <f t="shared" si="113"/>
        <v>199</v>
      </c>
      <c r="FZ13" s="17">
        <f t="shared" si="44"/>
        <v>0</v>
      </c>
      <c r="GA13" s="17">
        <f t="shared" si="44"/>
        <v>199</v>
      </c>
      <c r="GB13" s="17">
        <f t="shared" si="44"/>
        <v>0</v>
      </c>
      <c r="GC13" s="17">
        <f t="shared" si="45"/>
        <v>0</v>
      </c>
      <c r="GD13" s="17">
        <f t="shared" si="46"/>
        <v>0</v>
      </c>
      <c r="GE13" s="17">
        <f t="shared" si="47"/>
        <v>0</v>
      </c>
      <c r="GF13" s="67"/>
      <c r="GG13" s="17">
        <v>0</v>
      </c>
      <c r="GH13" s="17">
        <v>0</v>
      </c>
      <c r="GI13" s="67"/>
      <c r="GJ13" s="62">
        <f t="shared" si="114"/>
        <v>0</v>
      </c>
      <c r="GK13" s="62">
        <f t="shared" si="115"/>
        <v>0</v>
      </c>
      <c r="GO13" s="17">
        <f t="shared" si="48"/>
        <v>0</v>
      </c>
      <c r="GP13" s="17">
        <f t="shared" si="49"/>
        <v>0</v>
      </c>
      <c r="GQ13" s="17">
        <f t="shared" si="50"/>
        <v>0</v>
      </c>
      <c r="GR13" s="17">
        <f t="shared" si="51"/>
        <v>0</v>
      </c>
      <c r="GS13" s="17">
        <f t="shared" si="52"/>
        <v>0</v>
      </c>
      <c r="GT13" s="17">
        <f t="shared" si="116"/>
        <v>1</v>
      </c>
      <c r="GU13" s="101">
        <f t="shared" si="117"/>
        <v>43243</v>
      </c>
      <c r="GV13" s="17" t="str">
        <f t="shared" si="118"/>
        <v>SELESAI</v>
      </c>
      <c r="GW13" s="17">
        <f t="shared" si="119"/>
        <v>0</v>
      </c>
      <c r="GX13" s="66" t="str">
        <f t="shared" si="120"/>
        <v>SELESAI</v>
      </c>
      <c r="GY13" s="66">
        <f t="shared" si="121"/>
        <v>0</v>
      </c>
      <c r="GZ13" s="102" t="str">
        <f t="shared" si="122"/>
        <v>SELESAI</v>
      </c>
      <c r="HA13" s="83"/>
      <c r="HB13" s="83"/>
      <c r="HC13" s="17">
        <f t="shared" si="53"/>
        <v>0</v>
      </c>
      <c r="HD13" s="17">
        <f t="shared" si="54"/>
        <v>0</v>
      </c>
      <c r="HE13" s="17">
        <f t="shared" si="123"/>
        <v>0</v>
      </c>
      <c r="HF13" s="17">
        <f t="shared" si="124"/>
        <v>0</v>
      </c>
      <c r="HG13" s="17">
        <f t="shared" si="125"/>
        <v>0</v>
      </c>
      <c r="HH13" s="101" t="str">
        <f t="shared" si="55"/>
        <v>TIDAK KONSINYASI</v>
      </c>
      <c r="HI13" s="101" t="str">
        <f t="shared" si="126"/>
        <v>SELESAI</v>
      </c>
      <c r="HJ13" s="27"/>
      <c r="HK13" s="101">
        <f t="shared" si="56"/>
        <v>0</v>
      </c>
      <c r="HL13" s="83"/>
      <c r="HM13" s="83"/>
      <c r="HN13" s="83"/>
      <c r="HO13" s="83"/>
      <c r="HP13" s="102">
        <f t="shared" si="127"/>
        <v>0</v>
      </c>
      <c r="HQ13" s="66">
        <f t="shared" si="128"/>
        <v>0</v>
      </c>
      <c r="HR13" s="66">
        <f t="shared" si="57"/>
        <v>0</v>
      </c>
      <c r="HS13" s="102">
        <f t="shared" si="129"/>
        <v>0</v>
      </c>
      <c r="HT13" s="66">
        <f t="shared" si="130"/>
        <v>0</v>
      </c>
      <c r="HU13" s="66">
        <f t="shared" si="58"/>
        <v>0</v>
      </c>
      <c r="HV13" s="102">
        <f t="shared" si="131"/>
        <v>0</v>
      </c>
      <c r="HW13" s="66">
        <f t="shared" si="59"/>
        <v>0</v>
      </c>
      <c r="HX13" s="66">
        <f t="shared" si="60"/>
        <v>0</v>
      </c>
      <c r="HY13" s="102">
        <f t="shared" si="61"/>
        <v>0</v>
      </c>
      <c r="HZ13" s="66">
        <f t="shared" si="132"/>
        <v>0</v>
      </c>
      <c r="IA13" s="66">
        <f t="shared" si="62"/>
        <v>0</v>
      </c>
      <c r="IB13" s="102">
        <f t="shared" si="133"/>
        <v>0</v>
      </c>
      <c r="IC13" s="66">
        <f t="shared" si="63"/>
        <v>0</v>
      </c>
      <c r="ID13" s="66">
        <f t="shared" si="64"/>
        <v>0</v>
      </c>
      <c r="IE13" s="102">
        <f t="shared" si="65"/>
        <v>0</v>
      </c>
      <c r="IF13" s="66">
        <f t="shared" si="66"/>
        <v>0</v>
      </c>
      <c r="IG13" s="66">
        <f t="shared" si="67"/>
        <v>0</v>
      </c>
      <c r="IH13" s="102">
        <f t="shared" si="134"/>
        <v>0</v>
      </c>
      <c r="II13" s="66">
        <f t="shared" si="135"/>
        <v>0</v>
      </c>
      <c r="IJ13" s="66">
        <f t="shared" si="68"/>
        <v>0</v>
      </c>
      <c r="IK13" s="102">
        <f t="shared" si="69"/>
        <v>0</v>
      </c>
      <c r="IL13" s="66">
        <f t="shared" si="70"/>
        <v>0</v>
      </c>
      <c r="IM13" s="66">
        <f t="shared" si="71"/>
        <v>0</v>
      </c>
      <c r="IN13" s="83"/>
      <c r="IO13" s="102">
        <f t="shared" si="72"/>
        <v>0</v>
      </c>
      <c r="IP13" s="66">
        <f t="shared" si="73"/>
        <v>0</v>
      </c>
      <c r="IQ13" s="66">
        <f t="shared" si="74"/>
        <v>0</v>
      </c>
      <c r="IR13" s="83"/>
      <c r="IS13" s="102"/>
      <c r="IT13" s="66">
        <f t="shared" si="75"/>
        <v>1</v>
      </c>
      <c r="IU13" s="66">
        <f t="shared" si="75"/>
        <v>220</v>
      </c>
      <c r="IV13" s="83"/>
      <c r="IW13" s="102"/>
      <c r="IX13" s="66">
        <f t="shared" si="76"/>
        <v>0</v>
      </c>
      <c r="IY13" s="66">
        <f t="shared" si="76"/>
        <v>0</v>
      </c>
      <c r="IZ13" s="83"/>
      <c r="JA13" s="102"/>
      <c r="JB13" s="66">
        <f t="shared" si="77"/>
        <v>0</v>
      </c>
      <c r="JC13" s="66">
        <f t="shared" si="78"/>
        <v>0</v>
      </c>
      <c r="JD13" s="83"/>
      <c r="JE13" s="102"/>
      <c r="JF13" s="66">
        <f t="shared" si="136"/>
        <v>1</v>
      </c>
      <c r="JG13" s="66">
        <f t="shared" si="79"/>
        <v>220</v>
      </c>
      <c r="JH13" s="83"/>
      <c r="JI13" s="102"/>
      <c r="JJ13" s="66">
        <f t="shared" si="80"/>
        <v>0</v>
      </c>
      <c r="JK13" s="66">
        <f t="shared" si="80"/>
        <v>0</v>
      </c>
      <c r="JM13" s="102">
        <f t="shared" si="137"/>
        <v>0</v>
      </c>
      <c r="JO13" s="29">
        <f t="shared" si="81"/>
        <v>1</v>
      </c>
      <c r="JP13" s="122">
        <f t="shared" si="82"/>
        <v>199</v>
      </c>
      <c r="JQ13" s="122">
        <f t="shared" si="83"/>
        <v>0</v>
      </c>
      <c r="JR13" s="122">
        <f t="shared" si="83"/>
        <v>1</v>
      </c>
      <c r="JS13" s="122">
        <f t="shared" si="83"/>
        <v>0</v>
      </c>
      <c r="JT13" s="122">
        <f t="shared" si="83"/>
        <v>0</v>
      </c>
      <c r="JU13" s="122">
        <f t="shared" si="83"/>
        <v>0</v>
      </c>
      <c r="JV13" s="122">
        <f t="shared" si="83"/>
        <v>0</v>
      </c>
      <c r="JW13" s="122">
        <f t="shared" si="83"/>
        <v>0</v>
      </c>
      <c r="JX13" s="122">
        <f t="shared" si="83"/>
        <v>0</v>
      </c>
      <c r="JY13" s="122">
        <f t="shared" si="83"/>
        <v>0</v>
      </c>
      <c r="JZ13" s="122">
        <f t="shared" si="83"/>
        <v>0</v>
      </c>
      <c r="KA13" s="122">
        <f t="shared" si="83"/>
        <v>0</v>
      </c>
      <c r="KB13" s="122">
        <f t="shared" si="83"/>
        <v>0</v>
      </c>
      <c r="KD13" s="122">
        <f t="shared" si="138"/>
        <v>1</v>
      </c>
      <c r="KE13" s="122">
        <f t="shared" si="85"/>
        <v>199</v>
      </c>
      <c r="KF13" s="122">
        <f t="shared" si="86"/>
        <v>199</v>
      </c>
      <c r="KG13" s="122">
        <f t="shared" si="86"/>
        <v>0</v>
      </c>
      <c r="KH13" s="122">
        <f t="shared" si="86"/>
        <v>199</v>
      </c>
      <c r="KI13" s="122">
        <f t="shared" si="86"/>
        <v>0</v>
      </c>
      <c r="KJ13" s="122">
        <f t="shared" si="86"/>
        <v>0</v>
      </c>
      <c r="KK13" s="122">
        <f t="shared" si="86"/>
        <v>0</v>
      </c>
      <c r="KL13" s="122">
        <f t="shared" si="86"/>
        <v>0</v>
      </c>
      <c r="KM13" s="122">
        <f t="shared" si="86"/>
        <v>0</v>
      </c>
      <c r="KN13" s="123">
        <f t="shared" si="86"/>
        <v>0</v>
      </c>
      <c r="KO13" s="123">
        <f t="shared" si="86"/>
        <v>0</v>
      </c>
      <c r="KP13" s="123">
        <f t="shared" si="86"/>
        <v>0</v>
      </c>
      <c r="KQ13" s="123">
        <f t="shared" si="86"/>
        <v>0</v>
      </c>
      <c r="KR13" s="123">
        <f t="shared" si="86"/>
        <v>0</v>
      </c>
      <c r="KT13">
        <f t="shared" si="87"/>
        <v>0</v>
      </c>
      <c r="KU13" s="123"/>
      <c r="KV13" s="123"/>
      <c r="KW13" s="123"/>
      <c r="KX13" s="123"/>
      <c r="KY13" s="123"/>
      <c r="KZ13" s="123"/>
      <c r="LA13" s="123"/>
      <c r="LB13" s="123"/>
      <c r="LC13" s="123"/>
      <c r="LD13" s="123"/>
      <c r="LE13" s="123"/>
      <c r="LF13" s="123"/>
      <c r="LG13" s="123"/>
      <c r="LH13" s="123"/>
      <c r="LI13" s="123"/>
      <c r="LJ13" s="123"/>
      <c r="LK13" s="123"/>
      <c r="LL13" s="123"/>
      <c r="LM13" s="123"/>
      <c r="LN13" s="123"/>
      <c r="LO13" s="123"/>
      <c r="LP13" s="123"/>
      <c r="LQ13" s="123"/>
      <c r="LR13" s="123"/>
      <c r="LS13" s="123"/>
      <c r="LT13" s="123"/>
      <c r="LU13" s="123"/>
      <c r="LV13" s="123"/>
      <c r="LW13" s="123"/>
      <c r="LX13" s="123"/>
      <c r="LY13" s="123"/>
      <c r="LZ13" s="123"/>
      <c r="MA13" s="123"/>
      <c r="MB13" s="123"/>
      <c r="MC13" s="123"/>
      <c r="MD13" s="123"/>
      <c r="ME13" s="123"/>
      <c r="MF13" s="123"/>
      <c r="MG13" s="123"/>
      <c r="MH13" s="123"/>
      <c r="MI13" s="123"/>
      <c r="MJ13" s="123"/>
      <c r="MK13" s="123"/>
      <c r="ML13" s="123"/>
      <c r="MM13" s="123"/>
      <c r="MN13" s="123"/>
      <c r="MO13" s="123"/>
      <c r="MP13" s="123"/>
      <c r="MQ13" s="123"/>
      <c r="MR13" s="123"/>
      <c r="MS13" s="123"/>
      <c r="MT13" s="123"/>
      <c r="MU13" s="123"/>
      <c r="MV13" s="123"/>
      <c r="MW13" s="123"/>
      <c r="MX13" s="123"/>
      <c r="MY13" s="123"/>
      <c r="MZ13" s="123"/>
      <c r="NA13" s="123"/>
      <c r="NB13" s="123"/>
      <c r="NC13" s="123"/>
      <c r="ND13" s="123"/>
      <c r="NE13" s="123"/>
      <c r="NF13" s="123"/>
      <c r="NG13" s="123"/>
      <c r="NH13" s="123"/>
      <c r="NI13" s="123"/>
      <c r="NJ13" s="123"/>
      <c r="NK13" s="123"/>
      <c r="NM13">
        <f t="shared" si="139"/>
        <v>0</v>
      </c>
      <c r="NN13">
        <f t="shared" si="140"/>
        <v>0</v>
      </c>
      <c r="NO13">
        <f t="shared" si="141"/>
        <v>0</v>
      </c>
      <c r="NP13">
        <f t="shared" si="142"/>
        <v>0</v>
      </c>
      <c r="NQ13">
        <f t="shared" si="143"/>
        <v>0</v>
      </c>
      <c r="NR13">
        <f t="shared" si="144"/>
        <v>0</v>
      </c>
      <c r="NS13">
        <f t="shared" si="145"/>
        <v>0</v>
      </c>
      <c r="NT13">
        <f t="shared" si="146"/>
        <v>0</v>
      </c>
      <c r="NU13">
        <f t="shared" si="147"/>
        <v>0</v>
      </c>
      <c r="NY13" s="29">
        <f t="shared" si="89"/>
        <v>1</v>
      </c>
      <c r="NZ13" s="152">
        <v>8240000</v>
      </c>
      <c r="OE13" s="155">
        <f t="shared" si="90"/>
        <v>0</v>
      </c>
      <c r="OF13" s="155">
        <f t="shared" si="91"/>
        <v>0</v>
      </c>
      <c r="OG13" s="155">
        <f t="shared" si="92"/>
        <v>0</v>
      </c>
      <c r="OH13" s="155">
        <f t="shared" si="148"/>
        <v>0</v>
      </c>
      <c r="OI13" s="155">
        <f t="shared" si="93"/>
        <v>0</v>
      </c>
      <c r="OJ13" s="67">
        <f t="shared" si="149"/>
        <v>0</v>
      </c>
      <c r="OK13" s="67">
        <f t="shared" si="150"/>
        <v>0</v>
      </c>
      <c r="OL13" s="67">
        <f t="shared" si="151"/>
        <v>0</v>
      </c>
      <c r="OM13" s="67">
        <f t="shared" si="152"/>
        <v>0</v>
      </c>
      <c r="OO13" s="155">
        <f t="shared" si="94"/>
        <v>0</v>
      </c>
      <c r="OP13" s="155">
        <f t="shared" si="95"/>
        <v>0</v>
      </c>
      <c r="OQ13" s="155">
        <f t="shared" si="153"/>
        <v>0</v>
      </c>
      <c r="OR13" s="155">
        <f t="shared" si="154"/>
        <v>0</v>
      </c>
      <c r="OS13" s="155">
        <f t="shared" si="155"/>
        <v>0</v>
      </c>
      <c r="OT13" s="67">
        <f t="shared" si="156"/>
        <v>0</v>
      </c>
      <c r="OU13" s="67">
        <f t="shared" si="157"/>
        <v>0</v>
      </c>
      <c r="OV13" s="67">
        <f t="shared" si="158"/>
        <v>0</v>
      </c>
      <c r="OW13" s="67">
        <f t="shared" si="159"/>
        <v>0</v>
      </c>
      <c r="PA13" s="166"/>
      <c r="PB13" s="166"/>
      <c r="PC13" s="166"/>
      <c r="PD13" s="210">
        <f t="shared" si="96"/>
        <v>0</v>
      </c>
      <c r="PE13" s="210"/>
      <c r="PF13" s="210">
        <f t="shared" si="97"/>
        <v>0</v>
      </c>
      <c r="PG13" s="210">
        <f t="shared" si="98"/>
        <v>0</v>
      </c>
      <c r="PH13" s="210">
        <f t="shared" si="98"/>
        <v>0</v>
      </c>
      <c r="PI13" s="210">
        <f t="shared" si="98"/>
        <v>0</v>
      </c>
      <c r="PJ13" s="210">
        <f t="shared" si="98"/>
        <v>0</v>
      </c>
      <c r="PK13" s="210">
        <f t="shared" si="98"/>
        <v>0</v>
      </c>
      <c r="PL13" s="210">
        <f t="shared" si="98"/>
        <v>0</v>
      </c>
      <c r="PO13" s="172">
        <f t="shared" si="160"/>
        <v>0</v>
      </c>
      <c r="PP13" s="172">
        <f t="shared" si="161"/>
        <v>0</v>
      </c>
      <c r="PQ13" s="172">
        <f t="shared" si="162"/>
        <v>0</v>
      </c>
    </row>
    <row r="14" spans="1:433" ht="16" x14ac:dyDescent="0.2">
      <c r="A14" s="19">
        <f t="shared" si="163"/>
        <v>6</v>
      </c>
      <c r="B14" s="186" t="s">
        <v>170</v>
      </c>
      <c r="C14" s="138">
        <v>7</v>
      </c>
      <c r="D14" s="20">
        <v>1</v>
      </c>
      <c r="E14" s="188">
        <v>305</v>
      </c>
      <c r="F14" s="20">
        <v>1</v>
      </c>
      <c r="G14" s="20">
        <f t="shared" si="99"/>
        <v>305</v>
      </c>
      <c r="H14" s="137">
        <f t="shared" si="164"/>
        <v>1</v>
      </c>
      <c r="I14" s="137">
        <f t="shared" si="165"/>
        <v>1</v>
      </c>
      <c r="J14" s="20">
        <v>1</v>
      </c>
      <c r="K14" s="20">
        <f t="shared" si="166"/>
        <v>305</v>
      </c>
      <c r="L14" s="137">
        <f t="shared" si="167"/>
        <v>1</v>
      </c>
      <c r="M14" s="137">
        <f t="shared" si="168"/>
        <v>1</v>
      </c>
      <c r="N14" s="20">
        <v>1</v>
      </c>
      <c r="O14" s="20">
        <f t="shared" si="169"/>
        <v>305</v>
      </c>
      <c r="P14" s="137">
        <f t="shared" si="170"/>
        <v>1</v>
      </c>
      <c r="Q14" s="137">
        <f t="shared" si="171"/>
        <v>1</v>
      </c>
      <c r="R14" s="20">
        <v>1</v>
      </c>
      <c r="S14" s="20">
        <f t="shared" si="172"/>
        <v>305</v>
      </c>
      <c r="T14" s="137">
        <f t="shared" si="173"/>
        <v>1</v>
      </c>
      <c r="U14" s="137">
        <f t="shared" si="174"/>
        <v>1</v>
      </c>
      <c r="V14" s="20">
        <v>1</v>
      </c>
      <c r="W14" s="20">
        <f t="shared" si="175"/>
        <v>305</v>
      </c>
      <c r="X14" s="137">
        <f t="shared" si="176"/>
        <v>1</v>
      </c>
      <c r="Y14" s="137">
        <f t="shared" si="177"/>
        <v>1</v>
      </c>
      <c r="Z14" s="224">
        <f>(931861000+2534286000)/1000000000</f>
        <v>3.4661469999999999</v>
      </c>
      <c r="AA14" s="224"/>
      <c r="AB14" s="17">
        <f>IF(AA14=D14,E14,0)</f>
        <v>0</v>
      </c>
      <c r="AC14" s="18">
        <f>AA14/$D14</f>
        <v>0</v>
      </c>
      <c r="AD14" s="18">
        <f>AB14/$E14</f>
        <v>0</v>
      </c>
      <c r="AE14" s="38"/>
      <c r="AF14" s="31">
        <f t="shared" si="178"/>
        <v>0</v>
      </c>
      <c r="AG14" s="31"/>
      <c r="AH14" s="31"/>
      <c r="AI14" s="17">
        <v>1</v>
      </c>
      <c r="AJ14" s="17">
        <f>IF(AI14=D14,E14,0)</f>
        <v>305</v>
      </c>
      <c r="AK14" s="17" t="s">
        <v>276</v>
      </c>
      <c r="AL14" s="17">
        <v>0</v>
      </c>
      <c r="AM14" s="17">
        <v>0</v>
      </c>
      <c r="AN14" s="139"/>
      <c r="AO14" s="17">
        <f t="shared" si="179"/>
        <v>1</v>
      </c>
      <c r="AP14" s="17">
        <f t="shared" si="180"/>
        <v>305</v>
      </c>
      <c r="AQ14" s="17">
        <f t="shared" si="181"/>
        <v>1</v>
      </c>
      <c r="AR14" s="17">
        <f t="shared" si="182"/>
        <v>305</v>
      </c>
      <c r="AS14" s="17">
        <f t="shared" si="183"/>
        <v>1</v>
      </c>
      <c r="AT14" s="17">
        <f t="shared" si="184"/>
        <v>305</v>
      </c>
      <c r="AU14" s="17">
        <f t="shared" si="185"/>
        <v>1</v>
      </c>
      <c r="AV14" s="17">
        <f t="shared" si="186"/>
        <v>305</v>
      </c>
      <c r="AW14" s="17">
        <f t="shared" si="187"/>
        <v>1</v>
      </c>
      <c r="AX14" s="17">
        <f t="shared" si="188"/>
        <v>305</v>
      </c>
      <c r="AY14" s="17">
        <f t="shared" ref="AY14" si="204">AU14-AW14</f>
        <v>0</v>
      </c>
      <c r="AZ14" s="17">
        <f t="shared" ref="AZ14" si="205">AV14-AX14</f>
        <v>0</v>
      </c>
      <c r="BA14" s="17">
        <f>IF(AW14=1,Z14,0)</f>
        <v>3.4661469999999999</v>
      </c>
      <c r="BB14" s="20">
        <f>IF(AN14=1,G14,0)</f>
        <v>0</v>
      </c>
      <c r="BE14" s="20">
        <f>IF(AF14=1,S14,0)</f>
        <v>0</v>
      </c>
      <c r="BF14" s="20">
        <f>IF(AG14="A",S14,0)</f>
        <v>0</v>
      </c>
      <c r="BG14" s="20">
        <f>IF(AG14="B",S14,0)</f>
        <v>0</v>
      </c>
      <c r="BH14" s="20">
        <f>IF(AG14="C",S14,0)</f>
        <v>0</v>
      </c>
      <c r="BI14" s="20">
        <f>IF(AG14="D",S14,0)</f>
        <v>0</v>
      </c>
      <c r="BJ14" s="20">
        <f>IF(AG14="E",S14,0)</f>
        <v>0</v>
      </c>
      <c r="BK14" s="20">
        <f t="shared" si="190"/>
        <v>0</v>
      </c>
      <c r="BN14" s="139">
        <v>299</v>
      </c>
      <c r="BO14" s="139"/>
      <c r="BP14" s="139">
        <v>1</v>
      </c>
      <c r="BQ14" s="139"/>
      <c r="BR14" s="139"/>
      <c r="BS14" s="139"/>
      <c r="BT14" s="139"/>
      <c r="BU14" s="139"/>
      <c r="BV14" s="139"/>
      <c r="BW14" s="139"/>
      <c r="BX14" s="139"/>
      <c r="BY14" s="139"/>
      <c r="BZ14" s="139"/>
      <c r="CB14" s="139"/>
      <c r="CD14" s="139">
        <f>BN14</f>
        <v>299</v>
      </c>
      <c r="CE14" s="139">
        <f t="shared" ref="CE14:CP28" si="206">IF(BO14=1,$CD14,0)</f>
        <v>0</v>
      </c>
      <c r="CF14" s="139">
        <f t="shared" si="206"/>
        <v>299</v>
      </c>
      <c r="CG14" s="139">
        <f t="shared" si="206"/>
        <v>0</v>
      </c>
      <c r="CH14" s="139">
        <f t="shared" si="206"/>
        <v>0</v>
      </c>
      <c r="CI14" s="139">
        <f t="shared" si="206"/>
        <v>0</v>
      </c>
      <c r="CJ14" s="139">
        <f t="shared" si="206"/>
        <v>0</v>
      </c>
      <c r="CK14" s="139">
        <f t="shared" si="206"/>
        <v>0</v>
      </c>
      <c r="CL14" s="139">
        <f t="shared" si="206"/>
        <v>0</v>
      </c>
      <c r="CM14" s="139">
        <f t="shared" si="206"/>
        <v>0</v>
      </c>
      <c r="CN14" s="139">
        <f t="shared" si="206"/>
        <v>0</v>
      </c>
      <c r="CO14" s="139">
        <f t="shared" si="206"/>
        <v>0</v>
      </c>
      <c r="CP14" s="139">
        <f t="shared" si="206"/>
        <v>0</v>
      </c>
      <c r="DV14" s="139">
        <f>IF(CB14=1,G14,0)</f>
        <v>0</v>
      </c>
      <c r="DW14" s="139">
        <f>IF(CC14="A",G14,0)</f>
        <v>0</v>
      </c>
      <c r="DX14" s="139">
        <f>IF(CC14="B",G14,0)</f>
        <v>0</v>
      </c>
      <c r="DY14" s="139">
        <f>IF(CC14="C",G14,0)</f>
        <v>0</v>
      </c>
      <c r="DZ14" s="139">
        <f>IF(CC14="D",G14,0)</f>
        <v>0</v>
      </c>
      <c r="EA14" s="139">
        <f>IF(CC14="E",G14,0)</f>
        <v>0</v>
      </c>
      <c r="EB14" s="139">
        <f>SUM(DW14:EA14)</f>
        <v>0</v>
      </c>
      <c r="ED14" s="46" t="s">
        <v>301</v>
      </c>
      <c r="EE14" s="46" t="s">
        <v>374</v>
      </c>
      <c r="EF14" s="56"/>
      <c r="EG14" s="57">
        <f>IF(AG14="C","C",IF(AG14="D","D",0))</f>
        <v>0</v>
      </c>
      <c r="EH14" s="57">
        <f>CC14</f>
        <v>0</v>
      </c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X14" s="80">
        <v>1</v>
      </c>
      <c r="FY14" s="17">
        <f>SUM(FZ14:GE14)</f>
        <v>299</v>
      </c>
      <c r="FZ14" s="17">
        <f t="shared" si="44"/>
        <v>0</v>
      </c>
      <c r="GA14" s="17">
        <f t="shared" si="44"/>
        <v>299</v>
      </c>
      <c r="GB14" s="17">
        <f t="shared" si="44"/>
        <v>0</v>
      </c>
      <c r="GC14" s="17">
        <f t="shared" si="45"/>
        <v>0</v>
      </c>
      <c r="GD14" s="17">
        <f t="shared" si="46"/>
        <v>0</v>
      </c>
      <c r="GE14" s="17">
        <f t="shared" si="47"/>
        <v>0</v>
      </c>
      <c r="GF14" s="67"/>
      <c r="GG14" s="17">
        <v>0</v>
      </c>
      <c r="GH14" s="17">
        <v>0</v>
      </c>
      <c r="GI14" s="67"/>
      <c r="GJ14" s="62">
        <f>FY14*GG14/1000000000</f>
        <v>0</v>
      </c>
      <c r="GK14" s="62">
        <f>FY14*GH14/1000000000</f>
        <v>0</v>
      </c>
      <c r="GO14" s="17">
        <f t="shared" si="48"/>
        <v>0</v>
      </c>
      <c r="GP14" s="17">
        <f t="shared" si="49"/>
        <v>0</v>
      </c>
      <c r="GQ14" s="17">
        <f t="shared" si="50"/>
        <v>0</v>
      </c>
      <c r="GR14" s="17">
        <f t="shared" si="51"/>
        <v>0</v>
      </c>
      <c r="GS14" s="17">
        <f t="shared" si="52"/>
        <v>0</v>
      </c>
      <c r="GT14" s="17">
        <f>IF(SUM(GO14:GS14)=0,1,0)</f>
        <v>1</v>
      </c>
      <c r="GU14" s="101">
        <f t="shared" si="117"/>
        <v>43243</v>
      </c>
      <c r="GV14" s="17" t="str">
        <f>IF(GO14&gt;0,$GO$6,IF(GP14&gt;0,$GP$6,IF(GQ14&gt;0,$GQ$6,IF(GR14&gt;0,$GR$6,IF(GS14&gt;0,$GS$6,IF(GT14&gt;0,$GT$6,0))))))</f>
        <v>SELESAI</v>
      </c>
      <c r="GW14" s="17">
        <f>IF(GV14=$GO$6,GO14,IF(GV14=$GP$6,GP14,IF(GV14=$GQ$6,GQ14,IF(GV14=$GR$6,GR14,IF(GV14=$GS$6,GS14,0)))))</f>
        <v>0</v>
      </c>
      <c r="GX14" s="66" t="str">
        <f>GV14</f>
        <v>SELESAI</v>
      </c>
      <c r="GY14" s="66">
        <f>IF(GX14="DNP",SUM($GY$4:$GY$8),IF(GX14="Survey KJPP",SUM($GY$5:$GY$8),IF(GX14="Hasil Valuasi",SUM($GY$6:$GY$8),IF(GX14="Musyawarah",SUM($GY$7:$GY$8),IF(GX14="UGR",$GY$8,0)))))</f>
        <v>0</v>
      </c>
      <c r="GZ14" s="102" t="str">
        <f>IF(GW14=0,"SELESAI",GU14+GY14)</f>
        <v>SELESAI</v>
      </c>
      <c r="HA14" s="83"/>
      <c r="HB14" s="83"/>
      <c r="HC14" s="17">
        <f t="shared" si="53"/>
        <v>0</v>
      </c>
      <c r="HD14" s="17">
        <f t="shared" si="54"/>
        <v>0</v>
      </c>
      <c r="HE14" s="17">
        <f>HC14+HD14</f>
        <v>0</v>
      </c>
      <c r="HF14" s="17">
        <f>FQ14</f>
        <v>0</v>
      </c>
      <c r="HG14" s="17">
        <f>HE14-HF14</f>
        <v>0</v>
      </c>
      <c r="HH14" s="101" t="str">
        <f>IF(HG14=1,GU14+$HH$8,"TIDAK KONSINYASI")</f>
        <v>TIDAK KONSINYASI</v>
      </c>
      <c r="HI14" s="101" t="str">
        <f>IF(GW14=0,"SELESAI",GZ14+$HI$8)</f>
        <v>SELESAI</v>
      </c>
      <c r="HJ14" s="27"/>
      <c r="HK14" s="101">
        <f>MAX(GZ14,HH14,HI14)</f>
        <v>0</v>
      </c>
      <c r="HL14" s="83"/>
      <c r="HM14" s="83"/>
      <c r="HN14" s="83"/>
      <c r="HO14" s="83"/>
      <c r="HP14" s="102">
        <f>IF(HQ14=1,GZ14,0)</f>
        <v>0</v>
      </c>
      <c r="HQ14" s="66">
        <f>IF(IX14=0,IF(HT14=0,IF(IP14=0,IF(GV14="UGR",GS14,0),0),0),0)</f>
        <v>0</v>
      </c>
      <c r="HR14" s="66">
        <f t="shared" si="57"/>
        <v>0</v>
      </c>
      <c r="HS14" s="102">
        <f>IF(HT14=1,HH14,0)</f>
        <v>0</v>
      </c>
      <c r="HT14" s="66">
        <f>HG14</f>
        <v>0</v>
      </c>
      <c r="HU14" s="66">
        <f t="shared" si="58"/>
        <v>0</v>
      </c>
      <c r="HV14" s="102">
        <f>IF(HW14=1,GZ14,0)</f>
        <v>0</v>
      </c>
      <c r="HW14" s="66">
        <f>IF(JB14=0,IF(IX14=0,IF(HT14=0,IF(GV14="MUSYAWARAH",GR14,0),0),0),0)</f>
        <v>0</v>
      </c>
      <c r="HX14" s="66">
        <f t="shared" si="60"/>
        <v>0</v>
      </c>
      <c r="HY14" s="102">
        <f>IF(HZ14=1,HV14+$HI$8,0)</f>
        <v>0</v>
      </c>
      <c r="HZ14" s="66">
        <f>HW14</f>
        <v>0</v>
      </c>
      <c r="IA14" s="66">
        <f t="shared" si="62"/>
        <v>0</v>
      </c>
      <c r="IB14" s="102">
        <f>IF(IC14=1,$GU$3+SUM($GY$6:$GY$8),0)</f>
        <v>0</v>
      </c>
      <c r="IC14" s="66">
        <f>IF(GV14="Hasil Valuasi",GQ14,0)</f>
        <v>0</v>
      </c>
      <c r="ID14" s="66">
        <f t="shared" si="64"/>
        <v>0</v>
      </c>
      <c r="IE14" s="102">
        <f>IF(IF14=1,IB14+$HI$8,0)</f>
        <v>0</v>
      </c>
      <c r="IF14" s="66">
        <f>IC14</f>
        <v>0</v>
      </c>
      <c r="IG14" s="66">
        <f t="shared" si="67"/>
        <v>0</v>
      </c>
      <c r="IH14" s="102">
        <f>IF(II14=1,$GU$3+SUM($GY$5:$GY$8),0)</f>
        <v>0</v>
      </c>
      <c r="II14" s="66">
        <f>IF(GV14="Survey KJPP",GP14,0)</f>
        <v>0</v>
      </c>
      <c r="IJ14" s="66">
        <f t="shared" si="68"/>
        <v>0</v>
      </c>
      <c r="IK14" s="102">
        <f>IF(IL14=1,IH14+$HI$8,0)</f>
        <v>0</v>
      </c>
      <c r="IL14" s="66">
        <f>II14</f>
        <v>0</v>
      </c>
      <c r="IM14" s="66">
        <f t="shared" si="71"/>
        <v>0</v>
      </c>
      <c r="IN14" s="83"/>
      <c r="IO14" s="102">
        <f>IF(IP14=1,+$GU$3+$HH$8,0)</f>
        <v>0</v>
      </c>
      <c r="IP14" s="66">
        <f t="shared" si="73"/>
        <v>0</v>
      </c>
      <c r="IQ14" s="66">
        <f t="shared" si="74"/>
        <v>0</v>
      </c>
      <c r="IR14" s="83"/>
      <c r="IS14" s="102"/>
      <c r="IT14" s="66">
        <f t="shared" si="75"/>
        <v>1</v>
      </c>
      <c r="IU14" s="66">
        <f t="shared" si="75"/>
        <v>305</v>
      </c>
      <c r="IV14" s="83"/>
      <c r="IW14" s="102"/>
      <c r="IX14" s="66">
        <f t="shared" si="76"/>
        <v>0</v>
      </c>
      <c r="IY14" s="66">
        <f t="shared" si="76"/>
        <v>0</v>
      </c>
      <c r="IZ14" s="83"/>
      <c r="JA14" s="102"/>
      <c r="JB14" s="66">
        <f t="shared" si="77"/>
        <v>0</v>
      </c>
      <c r="JC14" s="66">
        <f t="shared" si="78"/>
        <v>0</v>
      </c>
      <c r="JD14" s="83"/>
      <c r="JE14" s="102"/>
      <c r="JF14" s="66">
        <f t="shared" ref="JF14:JG28" si="207">IT14+HQ14+HT14+HZ14+IF14+IL14+IP14+IX14+JB14</f>
        <v>1</v>
      </c>
      <c r="JG14" s="66">
        <f t="shared" si="207"/>
        <v>305</v>
      </c>
      <c r="JH14" s="83"/>
      <c r="JI14" s="102"/>
      <c r="JJ14" s="66">
        <f t="shared" si="80"/>
        <v>0</v>
      </c>
      <c r="JK14" s="66">
        <f t="shared" si="80"/>
        <v>0</v>
      </c>
      <c r="JM14" s="102">
        <f>MAX(IW14,IS14,IO14,IK14,IE14,HY14,HS14,HP14)</f>
        <v>0</v>
      </c>
      <c r="JO14" s="29">
        <f>SUM(JQ14:KB14)</f>
        <v>1</v>
      </c>
      <c r="JP14" s="122">
        <f t="shared" si="82"/>
        <v>299</v>
      </c>
      <c r="JQ14" s="122">
        <f t="shared" si="83"/>
        <v>0</v>
      </c>
      <c r="JR14" s="122">
        <f t="shared" si="83"/>
        <v>1</v>
      </c>
      <c r="JS14" s="122">
        <f t="shared" si="83"/>
        <v>0</v>
      </c>
      <c r="JT14" s="122">
        <f t="shared" si="83"/>
        <v>0</v>
      </c>
      <c r="JU14" s="122">
        <f t="shared" si="83"/>
        <v>0</v>
      </c>
      <c r="JV14" s="122">
        <f t="shared" si="83"/>
        <v>0</v>
      </c>
      <c r="JW14" s="122">
        <f t="shared" si="83"/>
        <v>0</v>
      </c>
      <c r="JX14" s="122">
        <f t="shared" si="83"/>
        <v>0</v>
      </c>
      <c r="JY14" s="122">
        <f t="shared" si="83"/>
        <v>0</v>
      </c>
      <c r="JZ14" s="122">
        <f t="shared" si="83"/>
        <v>0</v>
      </c>
      <c r="KA14" s="122">
        <f t="shared" si="83"/>
        <v>0</v>
      </c>
      <c r="KB14" s="122">
        <f t="shared" si="83"/>
        <v>0</v>
      </c>
      <c r="KD14" s="122">
        <f t="shared" si="138"/>
        <v>1</v>
      </c>
      <c r="KE14" s="122">
        <f t="shared" si="85"/>
        <v>299</v>
      </c>
      <c r="KF14" s="122">
        <f t="shared" si="86"/>
        <v>299</v>
      </c>
      <c r="KG14" s="122">
        <f t="shared" si="86"/>
        <v>0</v>
      </c>
      <c r="KH14" s="122">
        <f t="shared" si="86"/>
        <v>299</v>
      </c>
      <c r="KI14" s="122">
        <f t="shared" si="86"/>
        <v>0</v>
      </c>
      <c r="KJ14" s="122">
        <f t="shared" si="86"/>
        <v>0</v>
      </c>
      <c r="KK14" s="122">
        <f t="shared" si="86"/>
        <v>0</v>
      </c>
      <c r="KL14" s="122">
        <f t="shared" si="86"/>
        <v>0</v>
      </c>
      <c r="KM14" s="122">
        <f t="shared" si="86"/>
        <v>0</v>
      </c>
      <c r="KN14" s="123">
        <f t="shared" si="86"/>
        <v>0</v>
      </c>
      <c r="KO14" s="123">
        <f t="shared" si="86"/>
        <v>0</v>
      </c>
      <c r="KP14" s="123">
        <f t="shared" si="86"/>
        <v>0</v>
      </c>
      <c r="KQ14" s="123">
        <f t="shared" si="86"/>
        <v>0</v>
      </c>
      <c r="KR14" s="123">
        <f t="shared" si="86"/>
        <v>0</v>
      </c>
      <c r="KT14">
        <f t="shared" si="87"/>
        <v>0</v>
      </c>
      <c r="KU14" s="123"/>
      <c r="KV14" s="123"/>
      <c r="KW14" s="123"/>
      <c r="KX14" s="123"/>
      <c r="KY14" s="123"/>
      <c r="KZ14" s="123"/>
      <c r="LA14" s="123"/>
      <c r="LB14" s="123"/>
      <c r="LC14" s="123"/>
      <c r="LD14" s="123"/>
      <c r="LE14" s="123"/>
      <c r="LF14" s="123"/>
      <c r="LG14" s="123"/>
      <c r="LH14" s="123"/>
      <c r="LI14" s="123"/>
      <c r="LJ14" s="123"/>
      <c r="LK14" s="123"/>
      <c r="LL14" s="123"/>
      <c r="LM14" s="123"/>
      <c r="LN14" s="123"/>
      <c r="LO14" s="123"/>
      <c r="LP14" s="123"/>
      <c r="LQ14" s="123"/>
      <c r="LR14" s="123"/>
      <c r="LS14" s="123"/>
      <c r="LT14" s="123"/>
      <c r="LU14" s="123"/>
      <c r="LV14" s="123"/>
      <c r="LW14" s="123"/>
      <c r="LX14" s="123"/>
      <c r="LY14" s="123"/>
      <c r="LZ14" s="123"/>
      <c r="MA14" s="123"/>
      <c r="MB14" s="123"/>
      <c r="MC14" s="123"/>
      <c r="MD14" s="123"/>
      <c r="ME14" s="123"/>
      <c r="MF14" s="123"/>
      <c r="MG14" s="123"/>
      <c r="MH14" s="123"/>
      <c r="MI14" s="123"/>
      <c r="MJ14" s="123"/>
      <c r="MK14" s="123"/>
      <c r="ML14" s="123"/>
      <c r="MM14" s="123"/>
      <c r="MN14" s="123"/>
      <c r="MO14" s="123"/>
      <c r="MP14" s="123"/>
      <c r="MQ14" s="123"/>
      <c r="MR14" s="123"/>
      <c r="MS14" s="123"/>
      <c r="MT14" s="123"/>
      <c r="MU14" s="123"/>
      <c r="MV14" s="123"/>
      <c r="MW14" s="123"/>
      <c r="MX14" s="123"/>
      <c r="MY14" s="123"/>
      <c r="MZ14" s="123"/>
      <c r="NA14" s="123"/>
      <c r="NB14" s="123"/>
      <c r="NC14" s="123"/>
      <c r="ND14" s="123"/>
      <c r="NE14" s="123"/>
      <c r="NF14" s="123"/>
      <c r="NG14" s="123"/>
      <c r="NH14" s="123"/>
      <c r="NI14" s="123"/>
      <c r="NJ14" s="123"/>
      <c r="NK14" s="123"/>
      <c r="NM14">
        <f>IF(KS14=1,1,0)</f>
        <v>0</v>
      </c>
      <c r="NN14">
        <f>IF(KS14=2,1,0)</f>
        <v>0</v>
      </c>
      <c r="NO14">
        <f>IF(KS14=3,1,0)</f>
        <v>0</v>
      </c>
      <c r="NP14">
        <f>IF(KS14=4,1,0)</f>
        <v>0</v>
      </c>
      <c r="NQ14">
        <f>IF(KS14=5,1,0)</f>
        <v>0</v>
      </c>
      <c r="NR14">
        <f>IF(KS14=6,1,0)</f>
        <v>0</v>
      </c>
      <c r="NS14">
        <f>IF(KS14=7,1,0)</f>
        <v>0</v>
      </c>
      <c r="NT14">
        <f>SUM(NM14:NS14)</f>
        <v>0</v>
      </c>
      <c r="NU14">
        <f>NT14-KT14</f>
        <v>0</v>
      </c>
      <c r="NY14" s="29">
        <f t="shared" si="89"/>
        <v>1</v>
      </c>
      <c r="NZ14" s="152">
        <v>8240000</v>
      </c>
      <c r="OE14" s="155">
        <f t="shared" si="90"/>
        <v>0</v>
      </c>
      <c r="OF14" s="155">
        <f t="shared" si="91"/>
        <v>0</v>
      </c>
      <c r="OG14" s="155">
        <f t="shared" si="92"/>
        <v>0</v>
      </c>
      <c r="OH14" s="155">
        <f t="shared" si="148"/>
        <v>0</v>
      </c>
      <c r="OI14" s="155">
        <f t="shared" si="93"/>
        <v>0</v>
      </c>
      <c r="OJ14" s="67">
        <f t="shared" si="149"/>
        <v>0</v>
      </c>
      <c r="OK14" s="67">
        <f t="shared" si="150"/>
        <v>0</v>
      </c>
      <c r="OL14" s="67">
        <f t="shared" si="151"/>
        <v>0</v>
      </c>
      <c r="OM14" s="67">
        <f t="shared" si="152"/>
        <v>0</v>
      </c>
      <c r="OO14" s="155">
        <f t="shared" si="94"/>
        <v>0</v>
      </c>
      <c r="OP14" s="155">
        <f t="shared" si="95"/>
        <v>0</v>
      </c>
      <c r="OQ14" s="155">
        <f t="shared" si="153"/>
        <v>0</v>
      </c>
      <c r="OR14" s="155">
        <f t="shared" si="154"/>
        <v>0</v>
      </c>
      <c r="OS14" s="155">
        <f t="shared" si="155"/>
        <v>0</v>
      </c>
      <c r="OT14" s="67">
        <f t="shared" si="156"/>
        <v>0</v>
      </c>
      <c r="OU14" s="67">
        <f t="shared" si="157"/>
        <v>0</v>
      </c>
      <c r="OV14" s="67">
        <f t="shared" si="158"/>
        <v>0</v>
      </c>
      <c r="OW14" s="67">
        <f t="shared" si="159"/>
        <v>0</v>
      </c>
      <c r="PA14" s="166"/>
      <c r="PB14" s="166"/>
      <c r="PC14" s="166"/>
      <c r="PD14" s="210">
        <f t="shared" si="96"/>
        <v>0</v>
      </c>
      <c r="PE14" s="210"/>
      <c r="PF14" s="210">
        <f t="shared" si="97"/>
        <v>0</v>
      </c>
      <c r="PG14" s="210">
        <f t="shared" si="98"/>
        <v>0</v>
      </c>
      <c r="PH14" s="210">
        <f t="shared" si="98"/>
        <v>0</v>
      </c>
      <c r="PI14" s="210">
        <f t="shared" si="98"/>
        <v>0</v>
      </c>
      <c r="PJ14" s="210">
        <f t="shared" si="98"/>
        <v>0</v>
      </c>
      <c r="PK14" s="210">
        <f t="shared" si="98"/>
        <v>0</v>
      </c>
      <c r="PL14" s="210">
        <f t="shared" si="98"/>
        <v>0</v>
      </c>
      <c r="PO14" s="172">
        <f t="shared" si="160"/>
        <v>0</v>
      </c>
      <c r="PP14" s="172">
        <f t="shared" si="161"/>
        <v>0</v>
      </c>
      <c r="PQ14" s="172">
        <f t="shared" si="162"/>
        <v>0</v>
      </c>
    </row>
    <row r="15" spans="1:433" ht="16" x14ac:dyDescent="0.2">
      <c r="A15" s="19">
        <f t="shared" si="163"/>
        <v>7</v>
      </c>
      <c r="B15" s="269" t="s">
        <v>659</v>
      </c>
      <c r="C15" s="186">
        <v>1</v>
      </c>
      <c r="D15" s="188">
        <v>1</v>
      </c>
      <c r="E15" s="188">
        <v>1280</v>
      </c>
      <c r="F15" s="188">
        <v>1</v>
      </c>
      <c r="G15" s="188">
        <f t="shared" ref="G15" si="208">E15</f>
        <v>1280</v>
      </c>
      <c r="H15" s="214">
        <f t="shared" si="164"/>
        <v>1</v>
      </c>
      <c r="I15" s="214">
        <f t="shared" si="165"/>
        <v>1</v>
      </c>
      <c r="J15" s="165">
        <v>1</v>
      </c>
      <c r="K15" s="188">
        <f t="shared" si="166"/>
        <v>1280</v>
      </c>
      <c r="L15" s="214">
        <f t="shared" si="167"/>
        <v>1</v>
      </c>
      <c r="M15" s="214">
        <f t="shared" si="168"/>
        <v>1</v>
      </c>
      <c r="N15" s="165">
        <v>1</v>
      </c>
      <c r="O15" s="20">
        <f t="shared" si="169"/>
        <v>1280</v>
      </c>
      <c r="P15" s="137">
        <f t="shared" si="170"/>
        <v>1</v>
      </c>
      <c r="Q15" s="137">
        <f t="shared" si="171"/>
        <v>1</v>
      </c>
      <c r="R15" s="20"/>
      <c r="S15" s="20">
        <f t="shared" si="172"/>
        <v>0</v>
      </c>
      <c r="T15" s="137">
        <f t="shared" si="173"/>
        <v>0</v>
      </c>
      <c r="U15" s="137">
        <f t="shared" si="174"/>
        <v>0</v>
      </c>
      <c r="V15" s="20"/>
      <c r="W15" s="20">
        <f t="shared" si="175"/>
        <v>0</v>
      </c>
      <c r="X15" s="137">
        <f t="shared" si="176"/>
        <v>0</v>
      </c>
      <c r="Y15" s="137">
        <f t="shared" si="177"/>
        <v>0</v>
      </c>
      <c r="Z15" s="224"/>
      <c r="AA15" s="224"/>
      <c r="AB15" s="17">
        <f>IF(AA15=D15,E15,0)</f>
        <v>0</v>
      </c>
      <c r="AC15" s="18">
        <f>AA15/$D15</f>
        <v>0</v>
      </c>
      <c r="AD15" s="18">
        <f>AB15/$E15</f>
        <v>0</v>
      </c>
      <c r="AE15" s="38"/>
      <c r="AF15" s="31">
        <f t="shared" si="178"/>
        <v>0</v>
      </c>
      <c r="AG15" s="31"/>
      <c r="AH15" s="31"/>
      <c r="AI15" s="17"/>
      <c r="AJ15" s="17"/>
      <c r="AK15" s="17"/>
      <c r="AL15" s="17"/>
      <c r="AM15" s="17"/>
      <c r="AN15" s="139">
        <v>1</v>
      </c>
      <c r="AO15" s="17">
        <f t="shared" si="179"/>
        <v>0</v>
      </c>
      <c r="AP15" s="17">
        <f t="shared" si="180"/>
        <v>0</v>
      </c>
      <c r="AQ15" s="17">
        <f t="shared" si="181"/>
        <v>0</v>
      </c>
      <c r="AR15" s="17">
        <f t="shared" si="182"/>
        <v>0</v>
      </c>
      <c r="AS15" s="17">
        <f t="shared" si="183"/>
        <v>0</v>
      </c>
      <c r="AT15" s="17">
        <f t="shared" si="184"/>
        <v>0</v>
      </c>
      <c r="AU15" s="17">
        <f t="shared" si="185"/>
        <v>0</v>
      </c>
      <c r="AV15" s="17">
        <f t="shared" si="186"/>
        <v>0</v>
      </c>
      <c r="AW15" s="17">
        <f t="shared" si="187"/>
        <v>0</v>
      </c>
      <c r="AX15" s="17">
        <f t="shared" si="188"/>
        <v>0</v>
      </c>
      <c r="AY15" s="17">
        <f t="shared" ref="AY15:AY28" si="209">AU15-AW15</f>
        <v>0</v>
      </c>
      <c r="AZ15" s="17">
        <f t="shared" ref="AZ15:AZ28" si="210">AV15-AX15</f>
        <v>0</v>
      </c>
      <c r="BA15" s="17">
        <f>IF(AW15=1,Z15,0)</f>
        <v>0</v>
      </c>
      <c r="BB15" s="20">
        <f>IF(AN15=1,E15,0)</f>
        <v>1280</v>
      </c>
      <c r="BE15" s="20">
        <f>IF(AF15=1,S15,0)</f>
        <v>0</v>
      </c>
      <c r="BF15" s="20">
        <f>IF(AG15="A",S15,0)</f>
        <v>0</v>
      </c>
      <c r="BG15" s="20">
        <f>IF(AG15="B",S15,0)</f>
        <v>0</v>
      </c>
      <c r="BH15" s="20">
        <f>IF(AG15="C",S15,0)</f>
        <v>0</v>
      </c>
      <c r="BI15" s="20">
        <f>IF(AG15="D",S15,0)</f>
        <v>0</v>
      </c>
      <c r="BJ15" s="20">
        <f>IF(AG15="E",S15,0)</f>
        <v>0</v>
      </c>
      <c r="BK15" s="20">
        <f t="shared" si="190"/>
        <v>0</v>
      </c>
      <c r="BN15" s="139"/>
      <c r="BO15" s="139"/>
      <c r="BP15" s="139"/>
      <c r="BQ15" s="139"/>
      <c r="BR15" s="139"/>
      <c r="BS15" s="139"/>
      <c r="BT15" s="139"/>
      <c r="BU15" s="139"/>
      <c r="BV15" s="139"/>
      <c r="BW15" s="139"/>
      <c r="BX15" s="139"/>
      <c r="BY15" s="139"/>
      <c r="BZ15" s="139"/>
      <c r="CB15" s="139"/>
      <c r="CD15" s="139">
        <f>BN15</f>
        <v>0</v>
      </c>
      <c r="CE15" s="139">
        <f t="shared" si="206"/>
        <v>0</v>
      </c>
      <c r="CF15" s="139">
        <f t="shared" si="206"/>
        <v>0</v>
      </c>
      <c r="CG15" s="139">
        <f t="shared" si="206"/>
        <v>0</v>
      </c>
      <c r="CH15" s="139">
        <f t="shared" si="206"/>
        <v>0</v>
      </c>
      <c r="CI15" s="139">
        <f t="shared" si="206"/>
        <v>0</v>
      </c>
      <c r="CJ15" s="139">
        <f t="shared" si="206"/>
        <v>0</v>
      </c>
      <c r="CK15" s="139">
        <f t="shared" si="206"/>
        <v>0</v>
      </c>
      <c r="CL15" s="139">
        <f t="shared" si="206"/>
        <v>0</v>
      </c>
      <c r="CM15" s="139">
        <f t="shared" si="206"/>
        <v>0</v>
      </c>
      <c r="CN15" s="139">
        <f t="shared" si="206"/>
        <v>0</v>
      </c>
      <c r="CO15" s="139">
        <f t="shared" si="206"/>
        <v>0</v>
      </c>
      <c r="CP15" s="139">
        <f t="shared" si="206"/>
        <v>0</v>
      </c>
      <c r="DV15" s="139">
        <f>IF(CB15=1,G15,0)</f>
        <v>0</v>
      </c>
      <c r="DW15" s="139">
        <f>IF(CC15="A",G15,0)</f>
        <v>0</v>
      </c>
      <c r="DX15" s="139">
        <f>IF(CC15="B",G15,0)</f>
        <v>0</v>
      </c>
      <c r="DY15" s="139">
        <f>IF(CC15="C",G15,0)</f>
        <v>0</v>
      </c>
      <c r="DZ15" s="139">
        <f>IF(CC15="D",G15,0)</f>
        <v>0</v>
      </c>
      <c r="EA15" s="139">
        <f>IF(CC15="E",G15,0)</f>
        <v>0</v>
      </c>
      <c r="EB15" s="139">
        <f>SUM(DW15:EA15)</f>
        <v>0</v>
      </c>
      <c r="ED15" s="46" t="s">
        <v>301</v>
      </c>
      <c r="EE15" s="46" t="s">
        <v>374</v>
      </c>
      <c r="EF15" s="56"/>
      <c r="EG15" s="57">
        <f>IF(AG15="C","C",IF(AG15="D","D",0))</f>
        <v>0</v>
      </c>
      <c r="EH15" s="57">
        <f>CC15</f>
        <v>0</v>
      </c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X15" s="80"/>
      <c r="FY15" s="17">
        <f>SUM(FZ15:GE15)</f>
        <v>0</v>
      </c>
      <c r="FZ15" s="17">
        <f t="shared" si="44"/>
        <v>0</v>
      </c>
      <c r="GA15" s="17">
        <f t="shared" si="44"/>
        <v>0</v>
      </c>
      <c r="GB15" s="17">
        <f t="shared" si="44"/>
        <v>0</v>
      </c>
      <c r="GC15" s="17">
        <f t="shared" si="45"/>
        <v>0</v>
      </c>
      <c r="GD15" s="17">
        <f t="shared" si="46"/>
        <v>0</v>
      </c>
      <c r="GE15" s="17">
        <f t="shared" si="47"/>
        <v>0</v>
      </c>
      <c r="GF15" s="67"/>
      <c r="GG15" s="17">
        <v>0</v>
      </c>
      <c r="GH15" s="17">
        <v>0</v>
      </c>
      <c r="GI15" s="67"/>
      <c r="GJ15" s="62">
        <f>FY15*GG15/1000000000</f>
        <v>0</v>
      </c>
      <c r="GK15" s="62">
        <f>FY15*GH15/1000000000</f>
        <v>0</v>
      </c>
      <c r="GO15" s="17">
        <f t="shared" si="48"/>
        <v>0</v>
      </c>
      <c r="GP15" s="17">
        <f t="shared" si="49"/>
        <v>0</v>
      </c>
      <c r="GQ15" s="17">
        <f t="shared" si="50"/>
        <v>0</v>
      </c>
      <c r="GR15" s="17">
        <f t="shared" si="51"/>
        <v>1</v>
      </c>
      <c r="GS15" s="17">
        <f t="shared" si="52"/>
        <v>1</v>
      </c>
      <c r="GT15" s="17">
        <f>IF(SUM(GO15:GS15)=0,1,0)</f>
        <v>0</v>
      </c>
      <c r="GU15" s="101">
        <f t="shared" si="117"/>
        <v>43243</v>
      </c>
      <c r="GV15" s="17" t="str">
        <f>IF(GO15&gt;0,$GO$6,IF(GP15&gt;0,$GP$6,IF(GQ15&gt;0,$GQ$6,IF(GR15&gt;0,$GR$6,IF(GS15&gt;0,$GS$6,IF(GT15&gt;0,$GT$6,0))))))</f>
        <v>Musyawarah</v>
      </c>
      <c r="GW15" s="17">
        <f>IF(GV15=$GO$6,GO15,IF(GV15=$GP$6,GP15,IF(GV15=$GQ$6,GQ15,IF(GV15=$GR$6,GR15,IF(GV15=$GS$6,GS15,0)))))</f>
        <v>1</v>
      </c>
      <c r="GX15" s="66" t="str">
        <f>GV15</f>
        <v>Musyawarah</v>
      </c>
      <c r="GY15" s="66">
        <f>IF(GX15="DNP",SUM($GY$4:$GY$8),IF(GX15="Survey KJPP",SUM($GY$5:$GY$8),IF(GX15="Hasil Valuasi",SUM($GY$6:$GY$8),IF(GX15="Musyawarah",SUM($GY$7:$GY$8),IF(GX15="UGR",$GY$8,0)))))</f>
        <v>24</v>
      </c>
      <c r="GZ15" s="102">
        <f>IF(GW15=0,"SELESAI",GU15+GY15)</f>
        <v>43267</v>
      </c>
      <c r="HA15" s="83"/>
      <c r="HB15" s="83"/>
      <c r="HC15" s="17">
        <f t="shared" si="53"/>
        <v>0</v>
      </c>
      <c r="HD15" s="17">
        <f t="shared" si="54"/>
        <v>0</v>
      </c>
      <c r="HE15" s="17">
        <f>HC15+HD15</f>
        <v>0</v>
      </c>
      <c r="HF15" s="17">
        <f>FQ15</f>
        <v>0</v>
      </c>
      <c r="HG15" s="17">
        <f>HE15-HF15</f>
        <v>0</v>
      </c>
      <c r="HH15" s="101" t="str">
        <f>IF(HG15=1,GU15+$HH$8,"TIDAK KONSINYASI")</f>
        <v>TIDAK KONSINYASI</v>
      </c>
      <c r="HI15" s="101">
        <f>IF(GW15=0,"SELESAI",GZ15+$HI$8)</f>
        <v>43312</v>
      </c>
      <c r="HJ15" s="27"/>
      <c r="HK15" s="101">
        <f>MAX(GZ15,HH15,HI15)</f>
        <v>43312</v>
      </c>
      <c r="HL15" s="83"/>
      <c r="HM15" s="83"/>
      <c r="HN15" s="83"/>
      <c r="HO15" s="83"/>
      <c r="HP15" s="102">
        <f>IF(HQ15=1,GZ15,0)</f>
        <v>0</v>
      </c>
      <c r="HQ15" s="66">
        <f>IF(IX15=0,IF(HT15=0,IF(IP15=0,IF(GV15="UGR",GS15,0),0),0),0)</f>
        <v>0</v>
      </c>
      <c r="HR15" s="66">
        <f t="shared" si="57"/>
        <v>0</v>
      </c>
      <c r="HS15" s="102">
        <f>IF(HT15=1,HH15,0)</f>
        <v>0</v>
      </c>
      <c r="HT15" s="66">
        <f>HG15</f>
        <v>0</v>
      </c>
      <c r="HU15" s="66">
        <f t="shared" si="58"/>
        <v>0</v>
      </c>
      <c r="HV15" s="102">
        <f>IF(HW15=1,GZ15,0)</f>
        <v>0</v>
      </c>
      <c r="HW15" s="66">
        <f>IF(JB15=0,IF(IX15=0,IF(HT15=0,IF(GV15="MUSYAWARAH",GR15,0),0),0),0)</f>
        <v>0</v>
      </c>
      <c r="HX15" s="66">
        <f t="shared" si="60"/>
        <v>0</v>
      </c>
      <c r="HY15" s="102">
        <f>IF(HZ15=1,HV15+$HI$8,0)</f>
        <v>0</v>
      </c>
      <c r="HZ15" s="66">
        <f>HW15</f>
        <v>0</v>
      </c>
      <c r="IA15" s="66">
        <f t="shared" si="62"/>
        <v>0</v>
      </c>
      <c r="IB15" s="102">
        <f>IF(IC15=1,$GU$3+SUM($GY$6:$GY$8),0)</f>
        <v>0</v>
      </c>
      <c r="IC15" s="66">
        <f>IF(GV15="Hasil Valuasi",GQ15,0)</f>
        <v>0</v>
      </c>
      <c r="ID15" s="66">
        <f t="shared" si="64"/>
        <v>0</v>
      </c>
      <c r="IE15" s="102">
        <f>IF(IF15=1,IB15+$HI$8,0)</f>
        <v>0</v>
      </c>
      <c r="IF15" s="66">
        <f>IC15</f>
        <v>0</v>
      </c>
      <c r="IG15" s="66">
        <f t="shared" si="67"/>
        <v>0</v>
      </c>
      <c r="IH15" s="102">
        <f>IF(II15=1,$GU$3+SUM($GY$5:$GY$8),0)</f>
        <v>0</v>
      </c>
      <c r="II15" s="66">
        <f>IF(GV15="Survey KJPP",GP15,0)</f>
        <v>0</v>
      </c>
      <c r="IJ15" s="66">
        <f t="shared" si="68"/>
        <v>0</v>
      </c>
      <c r="IK15" s="102">
        <f>IF(IL15=1,IH15+$HI$8,0)</f>
        <v>0</v>
      </c>
      <c r="IL15" s="66">
        <f>II15</f>
        <v>0</v>
      </c>
      <c r="IM15" s="66">
        <f t="shared" si="71"/>
        <v>0</v>
      </c>
      <c r="IN15" s="83"/>
      <c r="IO15" s="102">
        <f>IF(IP15=1,+$GU$3+$HH$8,0)</f>
        <v>0</v>
      </c>
      <c r="IP15" s="66">
        <f t="shared" si="73"/>
        <v>0</v>
      </c>
      <c r="IQ15" s="66">
        <f t="shared" si="74"/>
        <v>0</v>
      </c>
      <c r="IR15" s="83"/>
      <c r="IS15" s="102"/>
      <c r="IT15" s="66">
        <f t="shared" si="75"/>
        <v>0</v>
      </c>
      <c r="IU15" s="66">
        <f t="shared" si="75"/>
        <v>0</v>
      </c>
      <c r="IV15" s="83"/>
      <c r="IW15" s="102"/>
      <c r="IX15" s="66">
        <f t="shared" si="76"/>
        <v>0</v>
      </c>
      <c r="IY15" s="66">
        <f t="shared" si="76"/>
        <v>0</v>
      </c>
      <c r="IZ15" s="83"/>
      <c r="JA15" s="102"/>
      <c r="JB15" s="66">
        <f t="shared" si="77"/>
        <v>1</v>
      </c>
      <c r="JC15" s="66">
        <f t="shared" si="78"/>
        <v>1280</v>
      </c>
      <c r="JD15" s="83"/>
      <c r="JE15" s="102"/>
      <c r="JF15" s="66">
        <f t="shared" si="207"/>
        <v>1</v>
      </c>
      <c r="JG15" s="66">
        <f t="shared" si="207"/>
        <v>1280</v>
      </c>
      <c r="JH15" s="83"/>
      <c r="JI15" s="102"/>
      <c r="JJ15" s="66">
        <f t="shared" si="80"/>
        <v>0</v>
      </c>
      <c r="JK15" s="66">
        <f t="shared" si="80"/>
        <v>0</v>
      </c>
      <c r="JM15" s="102">
        <f>MAX(IW15,IS15,IO15,IK15,IE15,HY15,HS15,HP15)</f>
        <v>0</v>
      </c>
      <c r="JO15" s="29">
        <f>SUM(JQ15:KB15)</f>
        <v>0</v>
      </c>
      <c r="JP15" s="122">
        <f t="shared" si="82"/>
        <v>0</v>
      </c>
      <c r="JQ15" s="122">
        <f t="shared" si="83"/>
        <v>0</v>
      </c>
      <c r="JR15" s="122">
        <f t="shared" si="83"/>
        <v>0</v>
      </c>
      <c r="JS15" s="122">
        <f t="shared" si="83"/>
        <v>0</v>
      </c>
      <c r="JT15" s="122">
        <f t="shared" si="83"/>
        <v>0</v>
      </c>
      <c r="JU15" s="122">
        <f t="shared" si="83"/>
        <v>0</v>
      </c>
      <c r="JV15" s="122">
        <f t="shared" si="83"/>
        <v>0</v>
      </c>
      <c r="JW15" s="122">
        <f t="shared" si="83"/>
        <v>0</v>
      </c>
      <c r="JX15" s="122">
        <f t="shared" si="83"/>
        <v>0</v>
      </c>
      <c r="JY15" s="122">
        <f t="shared" si="83"/>
        <v>0</v>
      </c>
      <c r="JZ15" s="122">
        <f t="shared" si="83"/>
        <v>0</v>
      </c>
      <c r="KA15" s="122">
        <f t="shared" si="83"/>
        <v>0</v>
      </c>
      <c r="KB15" s="122">
        <f t="shared" si="83"/>
        <v>0</v>
      </c>
      <c r="KD15" s="122">
        <f t="shared" si="138"/>
        <v>0</v>
      </c>
      <c r="KE15" s="122">
        <f t="shared" si="85"/>
        <v>0</v>
      </c>
      <c r="KF15" s="122">
        <f t="shared" si="86"/>
        <v>0</v>
      </c>
      <c r="KG15" s="122">
        <f t="shared" si="86"/>
        <v>0</v>
      </c>
      <c r="KH15" s="122">
        <f t="shared" si="86"/>
        <v>0</v>
      </c>
      <c r="KI15" s="122">
        <f t="shared" si="86"/>
        <v>0</v>
      </c>
      <c r="KJ15" s="122">
        <f t="shared" si="86"/>
        <v>0</v>
      </c>
      <c r="KK15" s="122">
        <f t="shared" si="86"/>
        <v>0</v>
      </c>
      <c r="KL15" s="122">
        <f t="shared" si="86"/>
        <v>0</v>
      </c>
      <c r="KM15" s="122">
        <f t="shared" si="86"/>
        <v>0</v>
      </c>
      <c r="KN15" s="123">
        <f t="shared" si="86"/>
        <v>0</v>
      </c>
      <c r="KO15" s="123">
        <f t="shared" si="86"/>
        <v>0</v>
      </c>
      <c r="KP15" s="123">
        <f t="shared" si="86"/>
        <v>0</v>
      </c>
      <c r="KQ15" s="123">
        <f t="shared" si="86"/>
        <v>0</v>
      </c>
      <c r="KR15" s="123">
        <f t="shared" si="86"/>
        <v>0</v>
      </c>
      <c r="KS15">
        <v>2</v>
      </c>
      <c r="KT15">
        <f t="shared" si="87"/>
        <v>1</v>
      </c>
      <c r="KU15" s="123"/>
      <c r="KV15" s="123"/>
      <c r="KW15" s="123"/>
      <c r="KX15" s="123"/>
      <c r="KY15" s="123"/>
      <c r="KZ15" s="123"/>
      <c r="LA15" s="123"/>
      <c r="LB15" s="123"/>
      <c r="LC15" s="123"/>
      <c r="LD15" s="123"/>
      <c r="LE15" s="123"/>
      <c r="LF15" s="123"/>
      <c r="LG15" s="123"/>
      <c r="LH15" s="123"/>
      <c r="LI15" s="123"/>
      <c r="LJ15" s="123"/>
      <c r="LK15" s="123"/>
      <c r="LL15" s="123"/>
      <c r="LM15" s="123">
        <v>1</v>
      </c>
      <c r="LN15" s="123">
        <v>1</v>
      </c>
      <c r="LO15" s="123"/>
      <c r="LP15" s="123"/>
      <c r="LQ15" s="123"/>
      <c r="LR15" s="123"/>
      <c r="LS15" s="123"/>
      <c r="LT15" s="123"/>
      <c r="LU15" s="123"/>
      <c r="LV15" s="123"/>
      <c r="LW15" s="123"/>
      <c r="LX15" s="123"/>
      <c r="LY15" s="123"/>
      <c r="LZ15" s="123"/>
      <c r="MA15" s="123"/>
      <c r="MB15" s="123"/>
      <c r="MC15" s="123"/>
      <c r="MD15" s="123"/>
      <c r="ME15" s="123"/>
      <c r="MF15" s="123"/>
      <c r="MG15" s="123"/>
      <c r="MH15" s="123"/>
      <c r="MI15" s="123"/>
      <c r="MJ15" s="123"/>
      <c r="MK15" s="123"/>
      <c r="ML15" s="123"/>
      <c r="MM15" s="123"/>
      <c r="MN15" s="123"/>
      <c r="MO15" s="123"/>
      <c r="MP15" s="123"/>
      <c r="MQ15" s="123"/>
      <c r="MR15" s="123"/>
      <c r="MS15" s="123"/>
      <c r="MT15" s="123"/>
      <c r="MU15" s="123"/>
      <c r="MV15" s="123"/>
      <c r="MW15" s="123"/>
      <c r="MX15" s="123"/>
      <c r="MY15" s="123"/>
      <c r="MZ15" s="123"/>
      <c r="NA15" s="123"/>
      <c r="NB15" s="123"/>
      <c r="NC15" s="123"/>
      <c r="ND15" s="123"/>
      <c r="NE15" s="123"/>
      <c r="NF15" s="123"/>
      <c r="NG15" s="123"/>
      <c r="NH15" s="123"/>
      <c r="NI15" s="123"/>
      <c r="NJ15" s="123"/>
      <c r="NK15" s="123"/>
      <c r="NM15">
        <f>IF(KS15=1,1,0)</f>
        <v>0</v>
      </c>
      <c r="NN15">
        <f>IF(KS15=2,1,0)</f>
        <v>1</v>
      </c>
      <c r="NO15">
        <f>IF(KS15=3,1,0)</f>
        <v>0</v>
      </c>
      <c r="NP15">
        <f>IF(KS15=4,1,0)</f>
        <v>0</v>
      </c>
      <c r="NQ15">
        <f>IF(KS15=5,1,0)</f>
        <v>0</v>
      </c>
      <c r="NR15">
        <f>IF(KS15=6,1,0)</f>
        <v>0</v>
      </c>
      <c r="NS15">
        <f>IF(KS15=7,1,0)</f>
        <v>0</v>
      </c>
      <c r="NT15">
        <f>SUM(NM15:NS15)</f>
        <v>1</v>
      </c>
      <c r="NU15">
        <f>NT15-KT15</f>
        <v>0</v>
      </c>
      <c r="NY15" s="29"/>
      <c r="NZ15" s="152"/>
      <c r="OE15" s="155">
        <f t="shared" si="90"/>
        <v>0</v>
      </c>
      <c r="OF15" s="155">
        <f t="shared" si="91"/>
        <v>0</v>
      </c>
      <c r="OG15" s="155"/>
      <c r="OH15" s="155"/>
      <c r="OI15" s="155"/>
      <c r="OJ15" s="67"/>
      <c r="OK15" s="67"/>
      <c r="OL15" s="67"/>
      <c r="OM15" s="67"/>
      <c r="OO15" s="155"/>
      <c r="OP15" s="155"/>
      <c r="OQ15" s="155"/>
      <c r="OR15" s="155"/>
      <c r="OS15" s="155"/>
      <c r="OT15" s="67"/>
      <c r="OU15" s="67"/>
      <c r="OV15" s="67"/>
      <c r="OW15" s="67"/>
      <c r="PA15" s="166"/>
      <c r="PB15" s="166">
        <v>1</v>
      </c>
      <c r="PC15" s="166"/>
      <c r="PD15" s="210">
        <f t="shared" si="96"/>
        <v>1</v>
      </c>
      <c r="PE15" s="166">
        <v>1</v>
      </c>
      <c r="PF15" s="210">
        <f t="shared" si="97"/>
        <v>0</v>
      </c>
      <c r="PG15" s="210">
        <f t="shared" si="98"/>
        <v>0</v>
      </c>
      <c r="PH15" s="210">
        <f t="shared" si="98"/>
        <v>1280</v>
      </c>
      <c r="PI15" s="210">
        <f t="shared" si="98"/>
        <v>0</v>
      </c>
      <c r="PJ15" s="210">
        <f t="shared" si="98"/>
        <v>1280</v>
      </c>
      <c r="PK15" s="210">
        <f t="shared" si="98"/>
        <v>1280</v>
      </c>
      <c r="PL15" s="210">
        <f t="shared" si="98"/>
        <v>0</v>
      </c>
      <c r="PO15" s="172">
        <f t="shared" si="160"/>
        <v>0</v>
      </c>
      <c r="PP15" s="172">
        <f t="shared" si="161"/>
        <v>0</v>
      </c>
      <c r="PQ15" s="172">
        <f t="shared" si="162"/>
        <v>0</v>
      </c>
    </row>
    <row r="16" spans="1:433" ht="16" x14ac:dyDescent="0.2">
      <c r="A16" s="19">
        <f t="shared" si="163"/>
        <v>8</v>
      </c>
      <c r="B16" s="269" t="s">
        <v>680</v>
      </c>
      <c r="C16" s="186">
        <v>2</v>
      </c>
      <c r="D16" s="188">
        <v>1</v>
      </c>
      <c r="E16" s="188">
        <v>360</v>
      </c>
      <c r="F16" s="188">
        <v>1</v>
      </c>
      <c r="G16" s="188">
        <f t="shared" ref="G16" si="211">E16</f>
        <v>360</v>
      </c>
      <c r="H16" s="214">
        <f t="shared" ref="H16:H27" si="212">F16/$D16</f>
        <v>1</v>
      </c>
      <c r="I16" s="214">
        <f t="shared" ref="I16:I27" si="213">G16/$E16</f>
        <v>1</v>
      </c>
      <c r="J16" s="188">
        <v>1</v>
      </c>
      <c r="K16" s="188">
        <f t="shared" ref="K16:K27" si="214">IF(J16=D16,E16,0)</f>
        <v>360</v>
      </c>
      <c r="L16" s="214">
        <f t="shared" ref="L16:L27" si="215">J16/$D16</f>
        <v>1</v>
      </c>
      <c r="M16" s="214">
        <f t="shared" ref="M16:M27" si="216">K16/$E16</f>
        <v>1</v>
      </c>
      <c r="N16" s="188">
        <v>1</v>
      </c>
      <c r="O16" s="20">
        <f t="shared" ref="O16:O27" si="217">IF(N16=D16,E16,0)</f>
        <v>360</v>
      </c>
      <c r="P16" s="137">
        <f t="shared" ref="P16:P27" si="218">N16/$D16</f>
        <v>1</v>
      </c>
      <c r="Q16" s="137">
        <f t="shared" ref="Q16:Q27" si="219">O16/$E16</f>
        <v>1</v>
      </c>
      <c r="R16" s="20"/>
      <c r="S16" s="20">
        <f t="shared" ref="S16:S27" si="220">IF(R16=D16,E16,0)</f>
        <v>0</v>
      </c>
      <c r="T16" s="137">
        <f t="shared" ref="T16:T27" si="221">R16/$D16</f>
        <v>0</v>
      </c>
      <c r="U16" s="137">
        <f t="shared" ref="U16:U27" si="222">S16/$E16</f>
        <v>0</v>
      </c>
      <c r="V16" s="20"/>
      <c r="W16" s="20">
        <f t="shared" ref="W16:W27" si="223">IF(V16=D16,E16,0)</f>
        <v>0</v>
      </c>
      <c r="X16" s="137">
        <f t="shared" ref="X16:X27" si="224">V16/$D16</f>
        <v>0</v>
      </c>
      <c r="Y16" s="137">
        <f t="shared" ref="Y16:Y27" si="225">W16/$E16</f>
        <v>0</v>
      </c>
      <c r="Z16" s="224"/>
      <c r="AA16" s="224"/>
      <c r="AB16" s="17">
        <f t="shared" ref="AB16:AB27" si="226">IF(AA16=D16,E16,0)</f>
        <v>0</v>
      </c>
      <c r="AC16" s="18">
        <f t="shared" ref="AC16:AC27" si="227">AA16/$D16</f>
        <v>0</v>
      </c>
      <c r="AD16" s="18">
        <f t="shared" ref="AD16:AD27" si="228">AB16/$E16</f>
        <v>0</v>
      </c>
      <c r="AE16" s="38"/>
      <c r="AF16" s="31">
        <f t="shared" ref="AF16:AF27" si="229">R16-V16</f>
        <v>0</v>
      </c>
      <c r="AG16" s="31"/>
      <c r="AH16" s="31"/>
      <c r="AI16" s="17"/>
      <c r="AJ16" s="17"/>
      <c r="AK16" s="17"/>
      <c r="AL16" s="17"/>
      <c r="AM16" s="17"/>
      <c r="AN16" s="139">
        <v>1</v>
      </c>
      <c r="AO16" s="17">
        <f t="shared" ref="AO16:AO27" si="230">IF(AI16=1,D16,0)</f>
        <v>0</v>
      </c>
      <c r="AP16" s="17">
        <f t="shared" ref="AP16:AP27" si="231">IF(AO16=D16,E16,0)</f>
        <v>0</v>
      </c>
      <c r="AQ16" s="17">
        <f t="shared" ref="AQ16:AQ27" si="232">IF(AI16=1,N16,0)</f>
        <v>0</v>
      </c>
      <c r="AR16" s="17">
        <f t="shared" ref="AR16:AR27" si="233">IF(AQ16=1,O16,0)</f>
        <v>0</v>
      </c>
      <c r="AS16" s="17">
        <f t="shared" ref="AS16:AS27" si="234">IF(AI16=1,J16,0)</f>
        <v>0</v>
      </c>
      <c r="AT16" s="17">
        <f t="shared" ref="AT16:AT27" si="235">IF(AS16=1,K16,0)</f>
        <v>0</v>
      </c>
      <c r="AU16" s="17">
        <f t="shared" ref="AU16:AU27" si="236">IF(AI16=1,R16,0)</f>
        <v>0</v>
      </c>
      <c r="AV16" s="17">
        <f t="shared" ref="AV16:AV27" si="237">IF(AU16=1,S16,0)</f>
        <v>0</v>
      </c>
      <c r="AW16" s="17">
        <f t="shared" ref="AW16:AW27" si="238">IF(AI16=1,V16,0)</f>
        <v>0</v>
      </c>
      <c r="AX16" s="17">
        <f t="shared" ref="AX16:AX27" si="239">IF(AW16=1,W16,0)</f>
        <v>0</v>
      </c>
      <c r="AY16" s="17">
        <f t="shared" ref="AY16:AY27" si="240">AU16-AW16</f>
        <v>0</v>
      </c>
      <c r="AZ16" s="17">
        <f t="shared" ref="AZ16:AZ27" si="241">AV16-AX16</f>
        <v>0</v>
      </c>
      <c r="BA16" s="17">
        <f t="shared" ref="BA16:BA27" si="242">IF(AW16=1,Z16,0)</f>
        <v>0</v>
      </c>
      <c r="BB16" s="20">
        <f t="shared" ref="BB16:BB27" si="243">IF(AN16=1,E16,0)</f>
        <v>360</v>
      </c>
      <c r="BE16" s="20">
        <f t="shared" ref="BE16:BE27" si="244">IF(AF16=1,S16,0)</f>
        <v>0</v>
      </c>
      <c r="BF16" s="20">
        <f t="shared" ref="BF16:BF27" si="245">IF(AG16="A",S16,0)</f>
        <v>0</v>
      </c>
      <c r="BG16" s="20">
        <f t="shared" ref="BG16:BG27" si="246">IF(AG16="B",S16,0)</f>
        <v>0</v>
      </c>
      <c r="BH16" s="20">
        <f t="shared" ref="BH16:BH27" si="247">IF(AG16="C",S16,0)</f>
        <v>0</v>
      </c>
      <c r="BI16" s="20">
        <f t="shared" ref="BI16:BI27" si="248">IF(AG16="D",S16,0)</f>
        <v>0</v>
      </c>
      <c r="BJ16" s="20">
        <f t="shared" ref="BJ16:BJ27" si="249">IF(AG16="E",S16,0)</f>
        <v>0</v>
      </c>
      <c r="BK16" s="20">
        <f t="shared" ref="BK16:BK27" si="250">SUM(BF16:BJ16)</f>
        <v>0</v>
      </c>
      <c r="BN16" s="139"/>
      <c r="BO16" s="139"/>
      <c r="BP16" s="139"/>
      <c r="BQ16" s="139"/>
      <c r="BR16" s="139"/>
      <c r="BS16" s="139"/>
      <c r="BT16" s="139"/>
      <c r="BU16" s="139"/>
      <c r="BV16" s="139"/>
      <c r="BW16" s="139"/>
      <c r="BX16" s="139"/>
      <c r="BY16" s="139"/>
      <c r="BZ16" s="139"/>
      <c r="CB16" s="139"/>
      <c r="CD16" s="139">
        <f t="shared" ref="CD16:CD27" si="251">BN16</f>
        <v>0</v>
      </c>
      <c r="CE16" s="139">
        <f t="shared" ref="CE16:CE27" si="252">IF(BO16=1,$CD16,0)</f>
        <v>0</v>
      </c>
      <c r="CF16" s="139">
        <f t="shared" ref="CF16:CF27" si="253">IF(BP16=1,$CD16,0)</f>
        <v>0</v>
      </c>
      <c r="CG16" s="139">
        <f t="shared" ref="CG16:CG27" si="254">IF(BQ16=1,$CD16,0)</f>
        <v>0</v>
      </c>
      <c r="CH16" s="139">
        <f t="shared" ref="CH16:CH27" si="255">IF(BR16=1,$CD16,0)</f>
        <v>0</v>
      </c>
      <c r="CI16" s="139">
        <f t="shared" ref="CI16:CI27" si="256">IF(BS16=1,$CD16,0)</f>
        <v>0</v>
      </c>
      <c r="CJ16" s="139">
        <f t="shared" ref="CJ16:CJ27" si="257">IF(BT16=1,$CD16,0)</f>
        <v>0</v>
      </c>
      <c r="CK16" s="139">
        <f t="shared" ref="CK16:CK27" si="258">IF(BU16=1,$CD16,0)</f>
        <v>0</v>
      </c>
      <c r="CL16" s="139">
        <f t="shared" ref="CL16:CL27" si="259">IF(BV16=1,$CD16,0)</f>
        <v>0</v>
      </c>
      <c r="CM16" s="139">
        <f t="shared" ref="CM16:CM27" si="260">IF(BW16=1,$CD16,0)</f>
        <v>0</v>
      </c>
      <c r="CN16" s="139">
        <f t="shared" ref="CN16:CN27" si="261">IF(BX16=1,$CD16,0)</f>
        <v>0</v>
      </c>
      <c r="CO16" s="139">
        <f t="shared" ref="CO16:CO27" si="262">IF(BY16=1,$CD16,0)</f>
        <v>0</v>
      </c>
      <c r="CP16" s="139">
        <f t="shared" ref="CP16:CP27" si="263">IF(BZ16=1,$CD16,0)</f>
        <v>0</v>
      </c>
      <c r="DV16" s="139">
        <f t="shared" ref="DV16:DV27" si="264">IF(CB16=1,G16,0)</f>
        <v>0</v>
      </c>
      <c r="DW16" s="139">
        <f t="shared" ref="DW16:DW27" si="265">IF(CC16="A",G16,0)</f>
        <v>0</v>
      </c>
      <c r="DX16" s="139">
        <f t="shared" ref="DX16:DX27" si="266">IF(CC16="B",G16,0)</f>
        <v>0</v>
      </c>
      <c r="DY16" s="139">
        <f t="shared" ref="DY16:DY27" si="267">IF(CC16="C",G16,0)</f>
        <v>0</v>
      </c>
      <c r="DZ16" s="139">
        <f t="shared" ref="DZ16:DZ27" si="268">IF(CC16="D",G16,0)</f>
        <v>0</v>
      </c>
      <c r="EA16" s="139">
        <f t="shared" ref="EA16:EA27" si="269">IF(CC16="E",G16,0)</f>
        <v>0</v>
      </c>
      <c r="EB16" s="139">
        <f t="shared" ref="EB16:EB27" si="270">SUM(DW16:EA16)</f>
        <v>0</v>
      </c>
      <c r="ED16" s="46" t="s">
        <v>301</v>
      </c>
      <c r="EE16" s="46" t="s">
        <v>374</v>
      </c>
      <c r="EF16" s="56"/>
      <c r="EG16" s="57">
        <f t="shared" ref="EG16:EG27" si="271">IF(AG16="C","C",IF(AG16="D","D",0))</f>
        <v>0</v>
      </c>
      <c r="EH16" s="57">
        <f t="shared" ref="EH16:EH27" si="272">CC16</f>
        <v>0</v>
      </c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X16" s="80"/>
      <c r="FY16" s="17">
        <f t="shared" ref="FY16:FY27" si="273">SUM(FZ16:GE16)</f>
        <v>0</v>
      </c>
      <c r="FZ16" s="17">
        <f t="shared" ref="FZ16:FZ27" si="274">DI16+CE16</f>
        <v>0</v>
      </c>
      <c r="GA16" s="17">
        <f t="shared" ref="GA16:GA27" si="275">DJ16+CF16</f>
        <v>0</v>
      </c>
      <c r="GB16" s="17">
        <f t="shared" ref="GB16:GB27" si="276">DK16+CG16</f>
        <v>0</v>
      </c>
      <c r="GC16" s="17">
        <f t="shared" ref="GC16:GC27" si="277">DM16+CI16</f>
        <v>0</v>
      </c>
      <c r="GD16" s="17">
        <f t="shared" ref="GD16:GD27" si="278">DO16+CK16</f>
        <v>0</v>
      </c>
      <c r="GE16" s="17">
        <f t="shared" ref="GE16:GE27" si="279">DT16+CP16</f>
        <v>0</v>
      </c>
      <c r="GF16" s="67"/>
      <c r="GG16" s="17">
        <v>0</v>
      </c>
      <c r="GH16" s="17">
        <v>0</v>
      </c>
      <c r="GI16" s="67"/>
      <c r="GJ16" s="62">
        <f t="shared" ref="GJ16:GJ27" si="280">FY16*GG16/1000000000</f>
        <v>0</v>
      </c>
      <c r="GK16" s="62">
        <f t="shared" ref="GK16:GK27" si="281">FY16*GH16/1000000000</f>
        <v>0</v>
      </c>
      <c r="GO16" s="17">
        <f t="shared" ref="GO16:GO27" si="282">D16-F16</f>
        <v>0</v>
      </c>
      <c r="GP16" s="17">
        <f t="shared" ref="GP16:GP27" si="283">D16-J16</f>
        <v>0</v>
      </c>
      <c r="GQ16" s="17">
        <f t="shared" ref="GQ16:GQ27" si="284">D16-N16</f>
        <v>0</v>
      </c>
      <c r="GR16" s="17">
        <f t="shared" ref="GR16:GR27" si="285">D16-R16</f>
        <v>1</v>
      </c>
      <c r="GS16" s="17">
        <f t="shared" ref="GS16:GS27" si="286">D16-V16</f>
        <v>1</v>
      </c>
      <c r="GT16" s="17">
        <f t="shared" ref="GT16:GT27" si="287">IF(SUM(GO16:GS16)=0,1,0)</f>
        <v>0</v>
      </c>
      <c r="GU16" s="101">
        <f t="shared" si="117"/>
        <v>43243</v>
      </c>
      <c r="GV16" s="17" t="str">
        <f t="shared" ref="GV16:GV27" si="288">IF(GO16&gt;0,$GO$6,IF(GP16&gt;0,$GP$6,IF(GQ16&gt;0,$GQ$6,IF(GR16&gt;0,$GR$6,IF(GS16&gt;0,$GS$6,IF(GT16&gt;0,$GT$6,0))))))</f>
        <v>Musyawarah</v>
      </c>
      <c r="GW16" s="17">
        <f t="shared" ref="GW16:GW27" si="289">IF(GV16=$GO$6,GO16,IF(GV16=$GP$6,GP16,IF(GV16=$GQ$6,GQ16,IF(GV16=$GR$6,GR16,IF(GV16=$GS$6,GS16,0)))))</f>
        <v>1</v>
      </c>
      <c r="GX16" s="66" t="str">
        <f t="shared" ref="GX16:GX27" si="290">GV16</f>
        <v>Musyawarah</v>
      </c>
      <c r="GY16" s="66">
        <f t="shared" ref="GY16:GY27" si="291">IF(GX16="DNP",SUM($GY$4:$GY$8),IF(GX16="Survey KJPP",SUM($GY$5:$GY$8),IF(GX16="Hasil Valuasi",SUM($GY$6:$GY$8),IF(GX16="Musyawarah",SUM($GY$7:$GY$8),IF(GX16="UGR",$GY$8,0)))))</f>
        <v>24</v>
      </c>
      <c r="GZ16" s="102">
        <f t="shared" ref="GZ16:GZ27" si="292">IF(GW16=0,"SELESAI",GU16+GY16)</f>
        <v>43267</v>
      </c>
      <c r="HA16" s="83"/>
      <c r="HB16" s="83"/>
      <c r="HC16" s="17">
        <f t="shared" ref="HC16:HC27" si="293">IF(BH16&gt;0,1,IF(BI16&gt;0,1,0))</f>
        <v>0</v>
      </c>
      <c r="HD16" s="17">
        <f t="shared" ref="HD16:HD27" si="294">IF(CB16&gt;0,1,0)</f>
        <v>0</v>
      </c>
      <c r="HE16" s="17">
        <f t="shared" ref="HE16:HE27" si="295">HC16+HD16</f>
        <v>0</v>
      </c>
      <c r="HF16" s="17">
        <f t="shared" ref="HF16:HF27" si="296">FQ16</f>
        <v>0</v>
      </c>
      <c r="HG16" s="17">
        <f t="shared" ref="HG16:HG27" si="297">HE16-HF16</f>
        <v>0</v>
      </c>
      <c r="HH16" s="101" t="str">
        <f t="shared" ref="HH16:HH27" si="298">IF(HG16=1,GU16+$HH$8,"TIDAK KONSINYASI")</f>
        <v>TIDAK KONSINYASI</v>
      </c>
      <c r="HI16" s="101">
        <f t="shared" ref="HI16:HI27" si="299">IF(GW16=0,"SELESAI",GZ16+$HI$8)</f>
        <v>43312</v>
      </c>
      <c r="HJ16" s="27"/>
      <c r="HK16" s="101">
        <f t="shared" ref="HK16:HK27" si="300">MAX(GZ16,HH16,HI16)</f>
        <v>43312</v>
      </c>
      <c r="HL16" s="83"/>
      <c r="HM16" s="83"/>
      <c r="HN16" s="83"/>
      <c r="HO16" s="83"/>
      <c r="HP16" s="102">
        <f t="shared" ref="HP16:HP27" si="301">IF(HQ16=1,GZ16,0)</f>
        <v>0</v>
      </c>
      <c r="HQ16" s="66">
        <f t="shared" ref="HQ16:HQ27" si="302">IF(IX16=0,IF(HT16=0,IF(IP16=0,IF(GV16="UGR",GS16,0),0),0),0)</f>
        <v>0</v>
      </c>
      <c r="HR16" s="66">
        <f t="shared" ref="HR16:HR27" si="303">IF(HQ16=1,E16,0)</f>
        <v>0</v>
      </c>
      <c r="HS16" s="102">
        <f t="shared" ref="HS16:HS27" si="304">IF(HT16=1,HH16,0)</f>
        <v>0</v>
      </c>
      <c r="HT16" s="66">
        <f t="shared" ref="HT16:HT27" si="305">HG16</f>
        <v>0</v>
      </c>
      <c r="HU16" s="66">
        <f t="shared" ref="HU16:HU27" si="306">IF(HT16=1,E16,0)</f>
        <v>0</v>
      </c>
      <c r="HV16" s="102">
        <f t="shared" ref="HV16:HV27" si="307">IF(HW16=1,GZ16,0)</f>
        <v>0</v>
      </c>
      <c r="HW16" s="66">
        <f t="shared" ref="HW16:HW27" si="308">IF(JB16=0,IF(IX16=0,IF(HT16=0,IF(GV16="MUSYAWARAH",GR16,0),0),0),0)</f>
        <v>0</v>
      </c>
      <c r="HX16" s="66">
        <f t="shared" ref="HX16:HX27" si="309">IF(HW16=1,E16,0)</f>
        <v>0</v>
      </c>
      <c r="HY16" s="102">
        <f t="shared" ref="HY16:HY27" si="310">IF(HZ16=1,HV16+$HI$8,0)</f>
        <v>0</v>
      </c>
      <c r="HZ16" s="66">
        <f t="shared" ref="HZ16:HZ27" si="311">HW16</f>
        <v>0</v>
      </c>
      <c r="IA16" s="66">
        <f t="shared" ref="IA16:IA27" si="312">IF(HZ16=1,E16,0)</f>
        <v>0</v>
      </c>
      <c r="IB16" s="102">
        <f t="shared" ref="IB16:IB27" si="313">IF(IC16=1,$GU$3+SUM($GY$6:$GY$8),0)</f>
        <v>0</v>
      </c>
      <c r="IC16" s="66">
        <f t="shared" ref="IC16:IC27" si="314">IF(GV16="Hasil Valuasi",GQ16,0)</f>
        <v>0</v>
      </c>
      <c r="ID16" s="66">
        <f t="shared" ref="ID16:ID27" si="315">IF(IC16=1,E16,0)</f>
        <v>0</v>
      </c>
      <c r="IE16" s="102">
        <f t="shared" ref="IE16:IE27" si="316">IF(IF16=1,IB16+$HI$8,0)</f>
        <v>0</v>
      </c>
      <c r="IF16" s="66">
        <f t="shared" ref="IF16:IF27" si="317">IC16</f>
        <v>0</v>
      </c>
      <c r="IG16" s="66">
        <f t="shared" ref="IG16:IG27" si="318">IF(IF16=1,E16,0)</f>
        <v>0</v>
      </c>
      <c r="IH16" s="102">
        <f t="shared" ref="IH16:IH27" si="319">IF(II16=1,$GU$3+SUM($GY$5:$GY$8),0)</f>
        <v>0</v>
      </c>
      <c r="II16" s="66">
        <f t="shared" ref="II16:II27" si="320">IF(GV16="Survey KJPP",GP16,0)</f>
        <v>0</v>
      </c>
      <c r="IJ16" s="66">
        <f t="shared" ref="IJ16:IJ27" si="321">IF(II16=1,E16,0)</f>
        <v>0</v>
      </c>
      <c r="IK16" s="102">
        <f t="shared" ref="IK16:IK27" si="322">IF(IL16=1,IH16+$HI$8,0)</f>
        <v>0</v>
      </c>
      <c r="IL16" s="66">
        <f t="shared" ref="IL16:IL27" si="323">II16</f>
        <v>0</v>
      </c>
      <c r="IM16" s="66">
        <f t="shared" ref="IM16:IM27" si="324">IF(IL16=1,E16,0)</f>
        <v>0</v>
      </c>
      <c r="IN16" s="83"/>
      <c r="IO16" s="102">
        <f t="shared" ref="IO16:IO27" si="325">IF(IP16=1,+$GU$3+$HH$8,0)</f>
        <v>0</v>
      </c>
      <c r="IP16" s="66">
        <f t="shared" ref="IP16:IP27" si="326">IF(BG16&gt;0,1,0)</f>
        <v>0</v>
      </c>
      <c r="IQ16" s="66">
        <f t="shared" ref="IQ16:IQ27" si="327">IF(IP16=1,E16,0)</f>
        <v>0</v>
      </c>
      <c r="IR16" s="83"/>
      <c r="IS16" s="102"/>
      <c r="IT16" s="66">
        <f t="shared" ref="IT16:IT27" si="328">V16</f>
        <v>0</v>
      </c>
      <c r="IU16" s="66">
        <f t="shared" ref="IU16:IU27" si="329">W16</f>
        <v>0</v>
      </c>
      <c r="IV16" s="83"/>
      <c r="IW16" s="102"/>
      <c r="IX16" s="66">
        <f t="shared" ref="IX16:IX27" si="330">AA16</f>
        <v>0</v>
      </c>
      <c r="IY16" s="66">
        <f t="shared" ref="IY16:IY27" si="331">AB16</f>
        <v>0</v>
      </c>
      <c r="IZ16" s="83"/>
      <c r="JA16" s="102"/>
      <c r="JB16" s="66">
        <f t="shared" ref="JB16:JB27" si="332">AN16</f>
        <v>1</v>
      </c>
      <c r="JC16" s="66">
        <f t="shared" ref="JC16:JC27" si="333">BB16</f>
        <v>360</v>
      </c>
      <c r="JD16" s="83"/>
      <c r="JE16" s="102"/>
      <c r="JF16" s="66">
        <f t="shared" ref="JF16:JF27" si="334">IT16+HQ16+HT16+HZ16+IF16+IL16+IP16+IX16+JB16</f>
        <v>1</v>
      </c>
      <c r="JG16" s="66">
        <f t="shared" ref="JG16:JG27" si="335">IU16+HR16+HU16+IA16+IG16+IM16+IQ16+IY16+JC16</f>
        <v>360</v>
      </c>
      <c r="JH16" s="83"/>
      <c r="JI16" s="102"/>
      <c r="JJ16" s="66">
        <f t="shared" ref="JJ16:JJ27" si="336">JF16-D16</f>
        <v>0</v>
      </c>
      <c r="JK16" s="66">
        <f t="shared" ref="JK16:JK27" si="337">JG16-E16</f>
        <v>0</v>
      </c>
      <c r="JM16" s="102">
        <f t="shared" ref="JM16:JM27" si="338">MAX(IW16,IS16,IO16,IK16,IE16,HY16,HS16,HP16)</f>
        <v>0</v>
      </c>
      <c r="JO16" s="29">
        <f t="shared" ref="JO16:JO27" si="339">SUM(JQ16:KB16)</f>
        <v>0</v>
      </c>
      <c r="JP16" s="122">
        <f t="shared" ref="JP16:JP27" si="340">BN16+CR16</f>
        <v>0</v>
      </c>
      <c r="JQ16" s="122">
        <f t="shared" ref="JQ16:JQ27" si="341">IF(BO16+CS16=2,1,IF(BO16+CS16=1,1,0))</f>
        <v>0</v>
      </c>
      <c r="JR16" s="122">
        <f t="shared" ref="JR16:JR27" si="342">IF(BP16+CT16=2,1,IF(BP16+CT16=1,1,0))</f>
        <v>0</v>
      </c>
      <c r="JS16" s="122">
        <f t="shared" ref="JS16:JS27" si="343">IF(BQ16+CU16=2,1,IF(BQ16+CU16=1,1,0))</f>
        <v>0</v>
      </c>
      <c r="JT16" s="122">
        <f t="shared" ref="JT16:JT27" si="344">IF(BR16+CV16=2,1,IF(BR16+CV16=1,1,0))</f>
        <v>0</v>
      </c>
      <c r="JU16" s="122">
        <f t="shared" ref="JU16:JU27" si="345">IF(BS16+CW16=2,1,IF(BS16+CW16=1,1,0))</f>
        <v>0</v>
      </c>
      <c r="JV16" s="122">
        <f t="shared" ref="JV16:JV27" si="346">IF(BT16+CX16=2,1,IF(BT16+CX16=1,1,0))</f>
        <v>0</v>
      </c>
      <c r="JW16" s="122">
        <f t="shared" ref="JW16:JW27" si="347">IF(BU16+CY16=2,1,IF(BU16+CY16=1,1,0))</f>
        <v>0</v>
      </c>
      <c r="JX16" s="122">
        <f t="shared" ref="JX16:JX27" si="348">IF(BV16+CZ16=2,1,IF(BV16+CZ16=1,1,0))</f>
        <v>0</v>
      </c>
      <c r="JY16" s="122">
        <f t="shared" ref="JY16:JY27" si="349">IF(BW16+DA16=2,1,IF(BW16+DA16=1,1,0))</f>
        <v>0</v>
      </c>
      <c r="JZ16" s="122">
        <f t="shared" ref="JZ16:JZ27" si="350">IF(BX16+DB16=2,1,IF(BX16+DB16=1,1,0))</f>
        <v>0</v>
      </c>
      <c r="KA16" s="122">
        <f t="shared" ref="KA16:KA27" si="351">IF(BY16+DC16=2,1,IF(BY16+DC16=1,1,0))</f>
        <v>0</v>
      </c>
      <c r="KB16" s="122">
        <f t="shared" ref="KB16:KB27" si="352">IF(BZ16+DD16=2,1,IF(BZ16+DD16=1,1,0))</f>
        <v>0</v>
      </c>
      <c r="KD16" s="122">
        <f t="shared" ref="KD16:KD27" si="353">IF(IF(SUM(GA16:GE16)&gt;100,1,0)+IF(FX16=1,1,0)=2,1,0)</f>
        <v>0</v>
      </c>
      <c r="KE16" s="122">
        <f t="shared" ref="KE16:KE27" si="354">IF(KD16=1,KF16,0)</f>
        <v>0</v>
      </c>
      <c r="KF16" s="122">
        <f t="shared" ref="KF16:KF27" si="355">CD16+DH16</f>
        <v>0</v>
      </c>
      <c r="KG16" s="122">
        <f t="shared" ref="KG16:KG27" si="356">CE16+DI16</f>
        <v>0</v>
      </c>
      <c r="KH16" s="122">
        <f t="shared" ref="KH16:KH27" si="357">CF16+DJ16</f>
        <v>0</v>
      </c>
      <c r="KI16" s="122">
        <f t="shared" ref="KI16:KI27" si="358">CG16+DK16</f>
        <v>0</v>
      </c>
      <c r="KJ16" s="122">
        <f t="shared" ref="KJ16:KJ27" si="359">CH16+DL16</f>
        <v>0</v>
      </c>
      <c r="KK16" s="122">
        <f t="shared" ref="KK16:KK27" si="360">CI16+DM16</f>
        <v>0</v>
      </c>
      <c r="KL16" s="122">
        <f t="shared" ref="KL16:KL27" si="361">CJ16+DN16</f>
        <v>0</v>
      </c>
      <c r="KM16" s="122">
        <f t="shared" ref="KM16:KM27" si="362">CK16+DO16</f>
        <v>0</v>
      </c>
      <c r="KN16" s="123">
        <f t="shared" ref="KN16:KN27" si="363">CL16+DP16</f>
        <v>0</v>
      </c>
      <c r="KO16" s="123">
        <f t="shared" ref="KO16:KO27" si="364">CM16+DQ16</f>
        <v>0</v>
      </c>
      <c r="KP16" s="123">
        <f t="shared" ref="KP16:KP27" si="365">CN16+DR16</f>
        <v>0</v>
      </c>
      <c r="KQ16" s="123">
        <f t="shared" ref="KQ16:KQ27" si="366">CO16+DS16</f>
        <v>0</v>
      </c>
      <c r="KR16" s="123">
        <f t="shared" ref="KR16:KR27" si="367">CP16+DT16</f>
        <v>0</v>
      </c>
      <c r="KS16">
        <v>7</v>
      </c>
      <c r="KT16">
        <f t="shared" ref="KT16:KT27" si="368">AN16</f>
        <v>1</v>
      </c>
      <c r="KU16" s="123"/>
      <c r="KV16" s="123"/>
      <c r="KW16" s="123"/>
      <c r="KX16" s="123"/>
      <c r="KY16" s="123"/>
      <c r="KZ16" s="123"/>
      <c r="LA16" s="123"/>
      <c r="LB16" s="123"/>
      <c r="LC16" s="123"/>
      <c r="LD16" s="123"/>
      <c r="LE16" s="123"/>
      <c r="LF16" s="123"/>
      <c r="LG16" s="123"/>
      <c r="LH16" s="123"/>
      <c r="LI16" s="123"/>
      <c r="LJ16" s="123"/>
      <c r="LK16" s="123"/>
      <c r="LL16" s="123"/>
      <c r="LM16" s="123">
        <v>1</v>
      </c>
      <c r="LN16" s="123">
        <v>1</v>
      </c>
      <c r="LO16" s="123"/>
      <c r="LP16" s="123"/>
      <c r="LQ16" s="123"/>
      <c r="LR16" s="123"/>
      <c r="LS16" s="123"/>
      <c r="LT16" s="123"/>
      <c r="LU16" s="123"/>
      <c r="LV16" s="123"/>
      <c r="LW16" s="123"/>
      <c r="LX16" s="123"/>
      <c r="LY16" s="123"/>
      <c r="LZ16" s="123"/>
      <c r="MA16" s="123"/>
      <c r="MB16" s="123"/>
      <c r="MC16" s="123"/>
      <c r="MD16" s="123"/>
      <c r="ME16" s="123"/>
      <c r="MF16" s="123"/>
      <c r="MG16" s="123"/>
      <c r="MH16" s="123"/>
      <c r="MI16" s="123"/>
      <c r="MJ16" s="123"/>
      <c r="MK16" s="123"/>
      <c r="ML16" s="123"/>
      <c r="MM16" s="123"/>
      <c r="MN16" s="123"/>
      <c r="MO16" s="123"/>
      <c r="MP16" s="123"/>
      <c r="MQ16" s="123"/>
      <c r="MR16" s="123"/>
      <c r="MS16" s="123"/>
      <c r="MT16" s="123"/>
      <c r="MU16" s="123"/>
      <c r="MV16" s="123"/>
      <c r="MW16" s="123"/>
      <c r="MX16" s="123"/>
      <c r="MY16" s="123"/>
      <c r="MZ16" s="123"/>
      <c r="NA16" s="123"/>
      <c r="NB16" s="123"/>
      <c r="NC16" s="123"/>
      <c r="ND16" s="123"/>
      <c r="NE16" s="123"/>
      <c r="NF16" s="123"/>
      <c r="NG16" s="123"/>
      <c r="NH16" s="123"/>
      <c r="NI16" s="123"/>
      <c r="NJ16" s="123"/>
      <c r="NK16" s="123"/>
      <c r="NM16">
        <f t="shared" ref="NM16:NM27" si="369">IF(KS16=1,1,0)</f>
        <v>0</v>
      </c>
      <c r="NN16">
        <f t="shared" ref="NN16:NN27" si="370">IF(KS16=2,1,0)</f>
        <v>0</v>
      </c>
      <c r="NO16">
        <f t="shared" ref="NO16:NO27" si="371">IF(KS16=3,1,0)</f>
        <v>0</v>
      </c>
      <c r="NP16">
        <f t="shared" ref="NP16:NP27" si="372">IF(KS16=4,1,0)</f>
        <v>0</v>
      </c>
      <c r="NQ16">
        <f t="shared" ref="NQ16:NQ27" si="373">IF(KS16=5,1,0)</f>
        <v>0</v>
      </c>
      <c r="NR16">
        <f t="shared" ref="NR16:NR27" si="374">IF(KS16=6,1,0)</f>
        <v>0</v>
      </c>
      <c r="NS16">
        <f t="shared" ref="NS16:NS27" si="375">IF(KS16=7,1,0)</f>
        <v>1</v>
      </c>
      <c r="NT16">
        <f t="shared" ref="NT16:NT27" si="376">SUM(NM16:NS16)</f>
        <v>1</v>
      </c>
      <c r="NU16">
        <f t="shared" ref="NU16:NU27" si="377">NT16-KT16</f>
        <v>0</v>
      </c>
      <c r="NY16" s="29"/>
      <c r="NZ16" s="152"/>
      <c r="OE16" s="155"/>
      <c r="OF16" s="155"/>
      <c r="OG16" s="155"/>
      <c r="OH16" s="155"/>
      <c r="OI16" s="155"/>
      <c r="OJ16" s="67"/>
      <c r="OK16" s="67"/>
      <c r="OL16" s="67"/>
      <c r="OM16" s="67"/>
      <c r="OO16" s="155"/>
      <c r="OP16" s="155"/>
      <c r="OQ16" s="155"/>
      <c r="OR16" s="155"/>
      <c r="OS16" s="155"/>
      <c r="OT16" s="67"/>
      <c r="OU16" s="67"/>
      <c r="OV16" s="67"/>
      <c r="OW16" s="67"/>
      <c r="PA16" s="166"/>
      <c r="PB16" s="166">
        <v>1</v>
      </c>
      <c r="PC16" s="166"/>
      <c r="PD16" s="210">
        <f t="shared" si="96"/>
        <v>1</v>
      </c>
      <c r="PE16" s="166">
        <v>1</v>
      </c>
      <c r="PF16" s="210">
        <f t="shared" si="97"/>
        <v>0</v>
      </c>
      <c r="PG16" s="210">
        <f t="shared" si="98"/>
        <v>0</v>
      </c>
      <c r="PH16" s="210">
        <f t="shared" si="98"/>
        <v>360</v>
      </c>
      <c r="PI16" s="210">
        <f t="shared" si="98"/>
        <v>0</v>
      </c>
      <c r="PJ16" s="210">
        <f t="shared" si="98"/>
        <v>360</v>
      </c>
      <c r="PK16" s="210">
        <f t="shared" si="98"/>
        <v>360</v>
      </c>
      <c r="PL16" s="210">
        <f t="shared" si="98"/>
        <v>0</v>
      </c>
      <c r="PO16" s="172">
        <f t="shared" ref="PO16:PO27" si="378">IF(FC16=1,AB16,0)</f>
        <v>0</v>
      </c>
      <c r="PP16" s="172">
        <f t="shared" ref="PP16:PP27" si="379">IF(FF16=1,AB16,0)</f>
        <v>0</v>
      </c>
      <c r="PQ16" s="172">
        <f t="shared" ref="PQ16:PQ27" si="380">AB16-(PO16+PP16)</f>
        <v>0</v>
      </c>
    </row>
    <row r="17" spans="1:433" ht="16" x14ac:dyDescent="0.2">
      <c r="A17" s="19">
        <f t="shared" si="163"/>
        <v>9</v>
      </c>
      <c r="B17" s="269" t="s">
        <v>681</v>
      </c>
      <c r="C17" s="186">
        <v>3</v>
      </c>
      <c r="D17" s="188">
        <v>1</v>
      </c>
      <c r="E17" s="188">
        <v>634</v>
      </c>
      <c r="F17" s="188">
        <v>1</v>
      </c>
      <c r="G17" s="188">
        <f t="shared" ref="G17" si="381">E17</f>
        <v>634</v>
      </c>
      <c r="H17" s="214">
        <f t="shared" si="212"/>
        <v>1</v>
      </c>
      <c r="I17" s="214">
        <f t="shared" si="213"/>
        <v>1</v>
      </c>
      <c r="J17" s="188">
        <v>1</v>
      </c>
      <c r="K17" s="188">
        <f t="shared" si="214"/>
        <v>634</v>
      </c>
      <c r="L17" s="214">
        <f t="shared" si="215"/>
        <v>1</v>
      </c>
      <c r="M17" s="214">
        <f t="shared" si="216"/>
        <v>1</v>
      </c>
      <c r="N17" s="188">
        <v>1</v>
      </c>
      <c r="O17" s="20">
        <f t="shared" si="217"/>
        <v>634</v>
      </c>
      <c r="P17" s="137">
        <f t="shared" si="218"/>
        <v>1</v>
      </c>
      <c r="Q17" s="137">
        <f t="shared" si="219"/>
        <v>1</v>
      </c>
      <c r="R17" s="20"/>
      <c r="S17" s="20">
        <f t="shared" si="220"/>
        <v>0</v>
      </c>
      <c r="T17" s="137">
        <f t="shared" si="221"/>
        <v>0</v>
      </c>
      <c r="U17" s="137">
        <f t="shared" si="222"/>
        <v>0</v>
      </c>
      <c r="V17" s="20"/>
      <c r="W17" s="20">
        <f t="shared" si="223"/>
        <v>0</v>
      </c>
      <c r="X17" s="137">
        <f t="shared" si="224"/>
        <v>0</v>
      </c>
      <c r="Y17" s="137">
        <f t="shared" si="225"/>
        <v>0</v>
      </c>
      <c r="Z17" s="224"/>
      <c r="AA17" s="224"/>
      <c r="AB17" s="17">
        <f t="shared" si="226"/>
        <v>0</v>
      </c>
      <c r="AC17" s="18">
        <f t="shared" si="227"/>
        <v>0</v>
      </c>
      <c r="AD17" s="18">
        <f t="shared" si="228"/>
        <v>0</v>
      </c>
      <c r="AE17" s="38"/>
      <c r="AF17" s="31">
        <f t="shared" si="229"/>
        <v>0</v>
      </c>
      <c r="AG17" s="31"/>
      <c r="AH17" s="31"/>
      <c r="AI17" s="17"/>
      <c r="AJ17" s="17"/>
      <c r="AK17" s="17"/>
      <c r="AL17" s="17"/>
      <c r="AM17" s="17"/>
      <c r="AN17" s="139">
        <v>1</v>
      </c>
      <c r="AO17" s="17">
        <f t="shared" si="230"/>
        <v>0</v>
      </c>
      <c r="AP17" s="17">
        <f t="shared" si="231"/>
        <v>0</v>
      </c>
      <c r="AQ17" s="17">
        <f t="shared" si="232"/>
        <v>0</v>
      </c>
      <c r="AR17" s="17">
        <f t="shared" si="233"/>
        <v>0</v>
      </c>
      <c r="AS17" s="17">
        <f t="shared" si="234"/>
        <v>0</v>
      </c>
      <c r="AT17" s="17">
        <f t="shared" si="235"/>
        <v>0</v>
      </c>
      <c r="AU17" s="17">
        <f t="shared" si="236"/>
        <v>0</v>
      </c>
      <c r="AV17" s="17">
        <f t="shared" si="237"/>
        <v>0</v>
      </c>
      <c r="AW17" s="17">
        <f t="shared" si="238"/>
        <v>0</v>
      </c>
      <c r="AX17" s="17">
        <f t="shared" si="239"/>
        <v>0</v>
      </c>
      <c r="AY17" s="17">
        <f t="shared" si="240"/>
        <v>0</v>
      </c>
      <c r="AZ17" s="17">
        <f t="shared" si="241"/>
        <v>0</v>
      </c>
      <c r="BA17" s="17">
        <f t="shared" si="242"/>
        <v>0</v>
      </c>
      <c r="BB17" s="20">
        <f t="shared" si="243"/>
        <v>634</v>
      </c>
      <c r="BE17" s="20">
        <f t="shared" si="244"/>
        <v>0</v>
      </c>
      <c r="BF17" s="20">
        <f t="shared" si="245"/>
        <v>0</v>
      </c>
      <c r="BG17" s="20">
        <f t="shared" si="246"/>
        <v>0</v>
      </c>
      <c r="BH17" s="20">
        <f t="shared" si="247"/>
        <v>0</v>
      </c>
      <c r="BI17" s="20">
        <f t="shared" si="248"/>
        <v>0</v>
      </c>
      <c r="BJ17" s="20">
        <f t="shared" si="249"/>
        <v>0</v>
      </c>
      <c r="BK17" s="20">
        <f t="shared" si="250"/>
        <v>0</v>
      </c>
      <c r="BN17" s="139"/>
      <c r="BO17" s="139"/>
      <c r="BP17" s="139"/>
      <c r="BQ17" s="139"/>
      <c r="BR17" s="139"/>
      <c r="BS17" s="139"/>
      <c r="BT17" s="139"/>
      <c r="BU17" s="139"/>
      <c r="BV17" s="139"/>
      <c r="BW17" s="139"/>
      <c r="BX17" s="139"/>
      <c r="BY17" s="139"/>
      <c r="BZ17" s="139"/>
      <c r="CB17" s="139"/>
      <c r="CD17" s="139">
        <f t="shared" si="251"/>
        <v>0</v>
      </c>
      <c r="CE17" s="139">
        <f t="shared" si="252"/>
        <v>0</v>
      </c>
      <c r="CF17" s="139">
        <f t="shared" si="253"/>
        <v>0</v>
      </c>
      <c r="CG17" s="139">
        <f t="shared" si="254"/>
        <v>0</v>
      </c>
      <c r="CH17" s="139">
        <f t="shared" si="255"/>
        <v>0</v>
      </c>
      <c r="CI17" s="139">
        <f t="shared" si="256"/>
        <v>0</v>
      </c>
      <c r="CJ17" s="139">
        <f t="shared" si="257"/>
        <v>0</v>
      </c>
      <c r="CK17" s="139">
        <f t="shared" si="258"/>
        <v>0</v>
      </c>
      <c r="CL17" s="139">
        <f t="shared" si="259"/>
        <v>0</v>
      </c>
      <c r="CM17" s="139">
        <f t="shared" si="260"/>
        <v>0</v>
      </c>
      <c r="CN17" s="139">
        <f t="shared" si="261"/>
        <v>0</v>
      </c>
      <c r="CO17" s="139">
        <f t="shared" si="262"/>
        <v>0</v>
      </c>
      <c r="CP17" s="139">
        <f t="shared" si="263"/>
        <v>0</v>
      </c>
      <c r="DV17" s="139">
        <f t="shared" si="264"/>
        <v>0</v>
      </c>
      <c r="DW17" s="139">
        <f t="shared" si="265"/>
        <v>0</v>
      </c>
      <c r="DX17" s="139">
        <f t="shared" si="266"/>
        <v>0</v>
      </c>
      <c r="DY17" s="139">
        <f t="shared" si="267"/>
        <v>0</v>
      </c>
      <c r="DZ17" s="139">
        <f t="shared" si="268"/>
        <v>0</v>
      </c>
      <c r="EA17" s="139">
        <f t="shared" si="269"/>
        <v>0</v>
      </c>
      <c r="EB17" s="139">
        <f t="shared" si="270"/>
        <v>0</v>
      </c>
      <c r="ED17" s="46" t="s">
        <v>301</v>
      </c>
      <c r="EE17" s="46" t="s">
        <v>374</v>
      </c>
      <c r="EF17" s="56"/>
      <c r="EG17" s="57">
        <f t="shared" si="271"/>
        <v>0</v>
      </c>
      <c r="EH17" s="57">
        <f t="shared" si="272"/>
        <v>0</v>
      </c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X17" s="80"/>
      <c r="FY17" s="17">
        <f t="shared" si="273"/>
        <v>0</v>
      </c>
      <c r="FZ17" s="17">
        <f t="shared" si="274"/>
        <v>0</v>
      </c>
      <c r="GA17" s="17">
        <f t="shared" si="275"/>
        <v>0</v>
      </c>
      <c r="GB17" s="17">
        <f t="shared" si="276"/>
        <v>0</v>
      </c>
      <c r="GC17" s="17">
        <f t="shared" si="277"/>
        <v>0</v>
      </c>
      <c r="GD17" s="17">
        <f t="shared" si="278"/>
        <v>0</v>
      </c>
      <c r="GE17" s="17">
        <f t="shared" si="279"/>
        <v>0</v>
      </c>
      <c r="GF17" s="67"/>
      <c r="GG17" s="17">
        <v>0</v>
      </c>
      <c r="GH17" s="17">
        <v>0</v>
      </c>
      <c r="GI17" s="67"/>
      <c r="GJ17" s="62">
        <f t="shared" si="280"/>
        <v>0</v>
      </c>
      <c r="GK17" s="62">
        <f t="shared" si="281"/>
        <v>0</v>
      </c>
      <c r="GO17" s="17">
        <f t="shared" si="282"/>
        <v>0</v>
      </c>
      <c r="GP17" s="17">
        <f t="shared" si="283"/>
        <v>0</v>
      </c>
      <c r="GQ17" s="17">
        <f t="shared" si="284"/>
        <v>0</v>
      </c>
      <c r="GR17" s="17">
        <f t="shared" si="285"/>
        <v>1</v>
      </c>
      <c r="GS17" s="17">
        <f t="shared" si="286"/>
        <v>1</v>
      </c>
      <c r="GT17" s="17">
        <f t="shared" si="287"/>
        <v>0</v>
      </c>
      <c r="GU17" s="101">
        <f t="shared" si="117"/>
        <v>43243</v>
      </c>
      <c r="GV17" s="17" t="str">
        <f t="shared" si="288"/>
        <v>Musyawarah</v>
      </c>
      <c r="GW17" s="17">
        <f t="shared" si="289"/>
        <v>1</v>
      </c>
      <c r="GX17" s="66" t="str">
        <f t="shared" si="290"/>
        <v>Musyawarah</v>
      </c>
      <c r="GY17" s="66">
        <f t="shared" si="291"/>
        <v>24</v>
      </c>
      <c r="GZ17" s="102">
        <f t="shared" si="292"/>
        <v>43267</v>
      </c>
      <c r="HA17" s="83"/>
      <c r="HB17" s="83"/>
      <c r="HC17" s="17">
        <f t="shared" si="293"/>
        <v>0</v>
      </c>
      <c r="HD17" s="17">
        <f t="shared" si="294"/>
        <v>0</v>
      </c>
      <c r="HE17" s="17">
        <f t="shared" si="295"/>
        <v>0</v>
      </c>
      <c r="HF17" s="17">
        <f t="shared" si="296"/>
        <v>0</v>
      </c>
      <c r="HG17" s="17">
        <f t="shared" si="297"/>
        <v>0</v>
      </c>
      <c r="HH17" s="101" t="str">
        <f t="shared" si="298"/>
        <v>TIDAK KONSINYASI</v>
      </c>
      <c r="HI17" s="101">
        <f t="shared" si="299"/>
        <v>43312</v>
      </c>
      <c r="HJ17" s="27"/>
      <c r="HK17" s="101">
        <f t="shared" si="300"/>
        <v>43312</v>
      </c>
      <c r="HL17" s="83"/>
      <c r="HM17" s="83"/>
      <c r="HN17" s="83"/>
      <c r="HO17" s="83"/>
      <c r="HP17" s="102">
        <f t="shared" si="301"/>
        <v>0</v>
      </c>
      <c r="HQ17" s="66">
        <f t="shared" si="302"/>
        <v>0</v>
      </c>
      <c r="HR17" s="66">
        <f t="shared" si="303"/>
        <v>0</v>
      </c>
      <c r="HS17" s="102">
        <f t="shared" si="304"/>
        <v>0</v>
      </c>
      <c r="HT17" s="66">
        <f t="shared" si="305"/>
        <v>0</v>
      </c>
      <c r="HU17" s="66">
        <f t="shared" si="306"/>
        <v>0</v>
      </c>
      <c r="HV17" s="102">
        <f t="shared" si="307"/>
        <v>0</v>
      </c>
      <c r="HW17" s="66">
        <f t="shared" si="308"/>
        <v>0</v>
      </c>
      <c r="HX17" s="66">
        <f t="shared" si="309"/>
        <v>0</v>
      </c>
      <c r="HY17" s="102">
        <f t="shared" si="310"/>
        <v>0</v>
      </c>
      <c r="HZ17" s="66">
        <f t="shared" si="311"/>
        <v>0</v>
      </c>
      <c r="IA17" s="66">
        <f t="shared" si="312"/>
        <v>0</v>
      </c>
      <c r="IB17" s="102">
        <f t="shared" si="313"/>
        <v>0</v>
      </c>
      <c r="IC17" s="66">
        <f t="shared" si="314"/>
        <v>0</v>
      </c>
      <c r="ID17" s="66">
        <f t="shared" si="315"/>
        <v>0</v>
      </c>
      <c r="IE17" s="102">
        <f t="shared" si="316"/>
        <v>0</v>
      </c>
      <c r="IF17" s="66">
        <f t="shared" si="317"/>
        <v>0</v>
      </c>
      <c r="IG17" s="66">
        <f t="shared" si="318"/>
        <v>0</v>
      </c>
      <c r="IH17" s="102">
        <f t="shared" si="319"/>
        <v>0</v>
      </c>
      <c r="II17" s="66">
        <f t="shared" si="320"/>
        <v>0</v>
      </c>
      <c r="IJ17" s="66">
        <f t="shared" si="321"/>
        <v>0</v>
      </c>
      <c r="IK17" s="102">
        <f t="shared" si="322"/>
        <v>0</v>
      </c>
      <c r="IL17" s="66">
        <f t="shared" si="323"/>
        <v>0</v>
      </c>
      <c r="IM17" s="66">
        <f t="shared" si="324"/>
        <v>0</v>
      </c>
      <c r="IN17" s="83"/>
      <c r="IO17" s="102">
        <f t="shared" si="325"/>
        <v>0</v>
      </c>
      <c r="IP17" s="66">
        <f t="shared" si="326"/>
        <v>0</v>
      </c>
      <c r="IQ17" s="66">
        <f t="shared" si="327"/>
        <v>0</v>
      </c>
      <c r="IR17" s="83"/>
      <c r="IS17" s="102"/>
      <c r="IT17" s="66">
        <f t="shared" si="328"/>
        <v>0</v>
      </c>
      <c r="IU17" s="66">
        <f t="shared" si="329"/>
        <v>0</v>
      </c>
      <c r="IV17" s="83"/>
      <c r="IW17" s="102"/>
      <c r="IX17" s="66">
        <f t="shared" si="330"/>
        <v>0</v>
      </c>
      <c r="IY17" s="66">
        <f t="shared" si="331"/>
        <v>0</v>
      </c>
      <c r="IZ17" s="83"/>
      <c r="JA17" s="102"/>
      <c r="JB17" s="66">
        <f t="shared" si="332"/>
        <v>1</v>
      </c>
      <c r="JC17" s="66">
        <f t="shared" si="333"/>
        <v>634</v>
      </c>
      <c r="JD17" s="83"/>
      <c r="JE17" s="102"/>
      <c r="JF17" s="66">
        <f t="shared" si="334"/>
        <v>1</v>
      </c>
      <c r="JG17" s="66">
        <f t="shared" si="335"/>
        <v>634</v>
      </c>
      <c r="JH17" s="83"/>
      <c r="JI17" s="102"/>
      <c r="JJ17" s="66">
        <f t="shared" si="336"/>
        <v>0</v>
      </c>
      <c r="JK17" s="66">
        <f t="shared" si="337"/>
        <v>0</v>
      </c>
      <c r="JM17" s="102">
        <f t="shared" si="338"/>
        <v>0</v>
      </c>
      <c r="JO17" s="29">
        <f t="shared" si="339"/>
        <v>0</v>
      </c>
      <c r="JP17" s="122">
        <f t="shared" si="340"/>
        <v>0</v>
      </c>
      <c r="JQ17" s="122">
        <f t="shared" si="341"/>
        <v>0</v>
      </c>
      <c r="JR17" s="122">
        <f t="shared" si="342"/>
        <v>0</v>
      </c>
      <c r="JS17" s="122">
        <f t="shared" si="343"/>
        <v>0</v>
      </c>
      <c r="JT17" s="122">
        <f t="shared" si="344"/>
        <v>0</v>
      </c>
      <c r="JU17" s="122">
        <f t="shared" si="345"/>
        <v>0</v>
      </c>
      <c r="JV17" s="122">
        <f t="shared" si="346"/>
        <v>0</v>
      </c>
      <c r="JW17" s="122">
        <f t="shared" si="347"/>
        <v>0</v>
      </c>
      <c r="JX17" s="122">
        <f t="shared" si="348"/>
        <v>0</v>
      </c>
      <c r="JY17" s="122">
        <f t="shared" si="349"/>
        <v>0</v>
      </c>
      <c r="JZ17" s="122">
        <f t="shared" si="350"/>
        <v>0</v>
      </c>
      <c r="KA17" s="122">
        <f t="shared" si="351"/>
        <v>0</v>
      </c>
      <c r="KB17" s="122">
        <f t="shared" si="352"/>
        <v>0</v>
      </c>
      <c r="KD17" s="122">
        <f t="shared" si="353"/>
        <v>0</v>
      </c>
      <c r="KE17" s="122">
        <f t="shared" si="354"/>
        <v>0</v>
      </c>
      <c r="KF17" s="122">
        <f t="shared" si="355"/>
        <v>0</v>
      </c>
      <c r="KG17" s="122">
        <f t="shared" si="356"/>
        <v>0</v>
      </c>
      <c r="KH17" s="122">
        <f t="shared" si="357"/>
        <v>0</v>
      </c>
      <c r="KI17" s="122">
        <f t="shared" si="358"/>
        <v>0</v>
      </c>
      <c r="KJ17" s="122">
        <f t="shared" si="359"/>
        <v>0</v>
      </c>
      <c r="KK17" s="122">
        <f t="shared" si="360"/>
        <v>0</v>
      </c>
      <c r="KL17" s="122">
        <f t="shared" si="361"/>
        <v>0</v>
      </c>
      <c r="KM17" s="122">
        <f t="shared" si="362"/>
        <v>0</v>
      </c>
      <c r="KN17" s="123">
        <f t="shared" si="363"/>
        <v>0</v>
      </c>
      <c r="KO17" s="123">
        <f t="shared" si="364"/>
        <v>0</v>
      </c>
      <c r="KP17" s="123">
        <f t="shared" si="365"/>
        <v>0</v>
      </c>
      <c r="KQ17" s="123">
        <f t="shared" si="366"/>
        <v>0</v>
      </c>
      <c r="KR17" s="123">
        <f t="shared" si="367"/>
        <v>0</v>
      </c>
      <c r="KS17">
        <v>7</v>
      </c>
      <c r="KT17">
        <f t="shared" si="368"/>
        <v>1</v>
      </c>
      <c r="KU17" s="123"/>
      <c r="KV17" s="123"/>
      <c r="KW17" s="123"/>
      <c r="KX17" s="123"/>
      <c r="KY17" s="123"/>
      <c r="KZ17" s="123"/>
      <c r="LA17" s="123"/>
      <c r="LB17" s="123"/>
      <c r="LC17" s="123"/>
      <c r="LD17" s="123"/>
      <c r="LE17" s="123"/>
      <c r="LF17" s="123"/>
      <c r="LG17" s="123"/>
      <c r="LH17" s="123"/>
      <c r="LI17" s="123"/>
      <c r="LJ17" s="123"/>
      <c r="LK17" s="123"/>
      <c r="LL17" s="123"/>
      <c r="LM17" s="123">
        <v>1</v>
      </c>
      <c r="LN17" s="123">
        <v>1</v>
      </c>
      <c r="LO17" s="123"/>
      <c r="LP17" s="123"/>
      <c r="LQ17" s="123"/>
      <c r="LR17" s="123"/>
      <c r="LS17" s="123"/>
      <c r="LT17" s="123"/>
      <c r="LU17" s="123"/>
      <c r="LV17" s="123"/>
      <c r="LW17" s="123"/>
      <c r="LX17" s="123"/>
      <c r="LY17" s="123"/>
      <c r="LZ17" s="123"/>
      <c r="MA17" s="123"/>
      <c r="MB17" s="123"/>
      <c r="MC17" s="123"/>
      <c r="MD17" s="123"/>
      <c r="ME17" s="123"/>
      <c r="MF17" s="123"/>
      <c r="MG17" s="123"/>
      <c r="MH17" s="123"/>
      <c r="MI17" s="123"/>
      <c r="MJ17" s="123"/>
      <c r="MK17" s="123"/>
      <c r="ML17" s="123"/>
      <c r="MM17" s="123"/>
      <c r="MN17" s="123"/>
      <c r="MO17" s="123"/>
      <c r="MP17" s="123"/>
      <c r="MQ17" s="123"/>
      <c r="MR17" s="123"/>
      <c r="MS17" s="123"/>
      <c r="MT17" s="123"/>
      <c r="MU17" s="123"/>
      <c r="MV17" s="123"/>
      <c r="MW17" s="123"/>
      <c r="MX17" s="123"/>
      <c r="MY17" s="123"/>
      <c r="MZ17" s="123"/>
      <c r="NA17" s="123"/>
      <c r="NB17" s="123"/>
      <c r="NC17" s="123"/>
      <c r="ND17" s="123"/>
      <c r="NE17" s="123"/>
      <c r="NF17" s="123"/>
      <c r="NG17" s="123"/>
      <c r="NH17" s="123"/>
      <c r="NI17" s="123"/>
      <c r="NJ17" s="123"/>
      <c r="NK17" s="123"/>
      <c r="NM17">
        <f t="shared" si="369"/>
        <v>0</v>
      </c>
      <c r="NN17">
        <f t="shared" si="370"/>
        <v>0</v>
      </c>
      <c r="NO17">
        <f t="shared" si="371"/>
        <v>0</v>
      </c>
      <c r="NP17">
        <f t="shared" si="372"/>
        <v>0</v>
      </c>
      <c r="NQ17">
        <f t="shared" si="373"/>
        <v>0</v>
      </c>
      <c r="NR17">
        <f t="shared" si="374"/>
        <v>0</v>
      </c>
      <c r="NS17">
        <f t="shared" si="375"/>
        <v>1</v>
      </c>
      <c r="NT17">
        <f t="shared" si="376"/>
        <v>1</v>
      </c>
      <c r="NU17">
        <f t="shared" si="377"/>
        <v>0</v>
      </c>
      <c r="NY17" s="29"/>
      <c r="NZ17" s="152"/>
      <c r="OE17" s="155"/>
      <c r="OF17" s="155"/>
      <c r="OG17" s="155"/>
      <c r="OH17" s="155"/>
      <c r="OI17" s="155"/>
      <c r="OJ17" s="67"/>
      <c r="OK17" s="67"/>
      <c r="OL17" s="67"/>
      <c r="OM17" s="67"/>
      <c r="OO17" s="155"/>
      <c r="OP17" s="155"/>
      <c r="OQ17" s="155"/>
      <c r="OR17" s="155"/>
      <c r="OS17" s="155"/>
      <c r="OT17" s="67"/>
      <c r="OU17" s="67"/>
      <c r="OV17" s="67"/>
      <c r="OW17" s="67"/>
      <c r="PA17" s="166"/>
      <c r="PB17" s="166">
        <v>1</v>
      </c>
      <c r="PC17" s="166"/>
      <c r="PD17" s="210">
        <f t="shared" si="96"/>
        <v>1</v>
      </c>
      <c r="PE17" s="166">
        <v>1</v>
      </c>
      <c r="PF17" s="210">
        <f t="shared" si="97"/>
        <v>0</v>
      </c>
      <c r="PG17" s="210">
        <f t="shared" si="98"/>
        <v>0</v>
      </c>
      <c r="PH17" s="210">
        <f t="shared" si="98"/>
        <v>634</v>
      </c>
      <c r="PI17" s="210">
        <f t="shared" si="98"/>
        <v>0</v>
      </c>
      <c r="PJ17" s="210">
        <f t="shared" si="98"/>
        <v>634</v>
      </c>
      <c r="PK17" s="210">
        <f t="shared" si="98"/>
        <v>634</v>
      </c>
      <c r="PL17" s="210">
        <f t="shared" si="98"/>
        <v>0</v>
      </c>
      <c r="PO17" s="172">
        <f t="shared" si="378"/>
        <v>0</v>
      </c>
      <c r="PP17" s="172">
        <f t="shared" si="379"/>
        <v>0</v>
      </c>
      <c r="PQ17" s="172">
        <f t="shared" si="380"/>
        <v>0</v>
      </c>
    </row>
    <row r="18" spans="1:433" ht="16" x14ac:dyDescent="0.2">
      <c r="A18" s="19">
        <f t="shared" si="163"/>
        <v>10</v>
      </c>
      <c r="B18" s="269" t="s">
        <v>682</v>
      </c>
      <c r="C18" s="186">
        <v>4</v>
      </c>
      <c r="D18" s="188">
        <v>1</v>
      </c>
      <c r="E18" s="188">
        <v>8</v>
      </c>
      <c r="F18" s="188">
        <v>1</v>
      </c>
      <c r="G18" s="188">
        <f t="shared" ref="G18" si="382">E18</f>
        <v>8</v>
      </c>
      <c r="H18" s="214">
        <f t="shared" ref="H18:H22" si="383">F18/$D18</f>
        <v>1</v>
      </c>
      <c r="I18" s="214">
        <f t="shared" ref="I18:I22" si="384">G18/$E18</f>
        <v>1</v>
      </c>
      <c r="J18" s="188">
        <v>1</v>
      </c>
      <c r="K18" s="188">
        <f t="shared" ref="K18:K22" si="385">IF(J18=D18,E18,0)</f>
        <v>8</v>
      </c>
      <c r="L18" s="214">
        <f t="shared" ref="L18:L22" si="386">J18/$D18</f>
        <v>1</v>
      </c>
      <c r="M18" s="214">
        <f t="shared" ref="M18:M22" si="387">K18/$E18</f>
        <v>1</v>
      </c>
      <c r="N18" s="188">
        <v>1</v>
      </c>
      <c r="O18" s="20">
        <f t="shared" ref="O18:O22" si="388">IF(N18=D18,E18,0)</f>
        <v>8</v>
      </c>
      <c r="P18" s="137">
        <f t="shared" ref="P18:P22" si="389">N18/$D18</f>
        <v>1</v>
      </c>
      <c r="Q18" s="137">
        <f t="shared" ref="Q18:Q22" si="390">O18/$E18</f>
        <v>1</v>
      </c>
      <c r="R18" s="20"/>
      <c r="S18" s="20">
        <f t="shared" ref="S18:S22" si="391">IF(R18=D18,E18,0)</f>
        <v>0</v>
      </c>
      <c r="T18" s="137">
        <f t="shared" ref="T18:T22" si="392">R18/$D18</f>
        <v>0</v>
      </c>
      <c r="U18" s="137">
        <f t="shared" ref="U18:U22" si="393">S18/$E18</f>
        <v>0</v>
      </c>
      <c r="V18" s="20"/>
      <c r="W18" s="20">
        <f t="shared" ref="W18:W22" si="394">IF(V18=D18,E18,0)</f>
        <v>0</v>
      </c>
      <c r="X18" s="137">
        <f t="shared" ref="X18:X22" si="395">V18/$D18</f>
        <v>0</v>
      </c>
      <c r="Y18" s="137">
        <f t="shared" ref="Y18:Y22" si="396">W18/$E18</f>
        <v>0</v>
      </c>
      <c r="Z18" s="38"/>
      <c r="AA18" s="38"/>
      <c r="AB18" s="17">
        <f t="shared" ref="AB18:AB22" si="397">IF(AA18=D18,E18,0)</f>
        <v>0</v>
      </c>
      <c r="AC18" s="18">
        <f t="shared" ref="AC18:AC22" si="398">AA18/$D18</f>
        <v>0</v>
      </c>
      <c r="AD18" s="18">
        <f t="shared" ref="AD18:AD22" si="399">AB18/$E18</f>
        <v>0</v>
      </c>
      <c r="AE18" s="38"/>
      <c r="AF18" s="31">
        <f t="shared" ref="AF18:AF22" si="400">R18-V18</f>
        <v>0</v>
      </c>
      <c r="AG18" s="31"/>
      <c r="AH18" s="31"/>
      <c r="AI18" s="17"/>
      <c r="AJ18" s="17"/>
      <c r="AK18" s="17"/>
      <c r="AL18" s="17"/>
      <c r="AM18" s="17"/>
      <c r="AN18" s="139">
        <v>1</v>
      </c>
      <c r="AO18" s="17">
        <f t="shared" ref="AO18:AO22" si="401">IF(AI18=1,D18,0)</f>
        <v>0</v>
      </c>
      <c r="AP18" s="17">
        <f t="shared" ref="AP18:AP22" si="402">IF(AO18=D18,E18,0)</f>
        <v>0</v>
      </c>
      <c r="AQ18" s="17">
        <f t="shared" ref="AQ18:AQ22" si="403">IF(AI18=1,N18,0)</f>
        <v>0</v>
      </c>
      <c r="AR18" s="17">
        <f t="shared" ref="AR18:AR22" si="404">IF(AQ18=1,O18,0)</f>
        <v>0</v>
      </c>
      <c r="AS18" s="17">
        <f t="shared" ref="AS18:AS22" si="405">IF(AI18=1,J18,0)</f>
        <v>0</v>
      </c>
      <c r="AT18" s="17">
        <f t="shared" ref="AT18:AT22" si="406">IF(AS18=1,K18,0)</f>
        <v>0</v>
      </c>
      <c r="AU18" s="17">
        <f t="shared" ref="AU18:AU22" si="407">IF(AI18=1,R18,0)</f>
        <v>0</v>
      </c>
      <c r="AV18" s="17">
        <f t="shared" ref="AV18:AV22" si="408">IF(AU18=1,S18,0)</f>
        <v>0</v>
      </c>
      <c r="AW18" s="17">
        <f t="shared" ref="AW18:AW22" si="409">IF(AI18=1,V18,0)</f>
        <v>0</v>
      </c>
      <c r="AX18" s="17">
        <f t="shared" ref="AX18:AX22" si="410">IF(AW18=1,W18,0)</f>
        <v>0</v>
      </c>
      <c r="AY18" s="17">
        <f t="shared" ref="AY18:AY22" si="411">AU18-AW18</f>
        <v>0</v>
      </c>
      <c r="AZ18" s="17">
        <f t="shared" ref="AZ18:AZ22" si="412">AV18-AX18</f>
        <v>0</v>
      </c>
      <c r="BA18" s="17">
        <f t="shared" ref="BA18:BA22" si="413">IF(AW18=1,Z18,0)</f>
        <v>0</v>
      </c>
      <c r="BB18" s="20">
        <f t="shared" ref="BB18:BB22" si="414">IF(AN18=1,E18,0)</f>
        <v>8</v>
      </c>
      <c r="BE18" s="20">
        <f t="shared" ref="BE18:BE22" si="415">IF(AF18=1,S18,0)</f>
        <v>0</v>
      </c>
      <c r="BF18" s="20">
        <f t="shared" ref="BF18:BF22" si="416">IF(AG18="A",S18,0)</f>
        <v>0</v>
      </c>
      <c r="BG18" s="20">
        <f t="shared" ref="BG18:BG22" si="417">IF(AG18="B",S18,0)</f>
        <v>0</v>
      </c>
      <c r="BH18" s="20">
        <f t="shared" ref="BH18:BH22" si="418">IF(AG18="C",S18,0)</f>
        <v>0</v>
      </c>
      <c r="BI18" s="20">
        <f t="shared" ref="BI18:BI22" si="419">IF(AG18="D",S18,0)</f>
        <v>0</v>
      </c>
      <c r="BJ18" s="20">
        <f t="shared" ref="BJ18:BJ22" si="420">IF(AG18="E",S18,0)</f>
        <v>0</v>
      </c>
      <c r="BK18" s="20">
        <f t="shared" ref="BK18:BK22" si="421">SUM(BF18:BJ18)</f>
        <v>0</v>
      </c>
      <c r="BN18" s="139"/>
      <c r="BO18" s="139"/>
      <c r="BP18" s="139"/>
      <c r="BQ18" s="139"/>
      <c r="BR18" s="139"/>
      <c r="BS18" s="139"/>
      <c r="BT18" s="139"/>
      <c r="BU18" s="139"/>
      <c r="BV18" s="139"/>
      <c r="BW18" s="139"/>
      <c r="BX18" s="139"/>
      <c r="BY18" s="139"/>
      <c r="BZ18" s="139"/>
      <c r="CB18" s="139"/>
      <c r="CD18" s="139">
        <f t="shared" ref="CD18:CD22" si="422">BN18</f>
        <v>0</v>
      </c>
      <c r="CE18" s="139">
        <f t="shared" ref="CE18:CE22" si="423">IF(BO18=1,$CD18,0)</f>
        <v>0</v>
      </c>
      <c r="CF18" s="139">
        <f t="shared" ref="CF18:CF22" si="424">IF(BP18=1,$CD18,0)</f>
        <v>0</v>
      </c>
      <c r="CG18" s="139">
        <f t="shared" ref="CG18:CG22" si="425">IF(BQ18=1,$CD18,0)</f>
        <v>0</v>
      </c>
      <c r="CH18" s="139">
        <f t="shared" ref="CH18:CH22" si="426">IF(BR18=1,$CD18,0)</f>
        <v>0</v>
      </c>
      <c r="CI18" s="139">
        <f t="shared" ref="CI18:CI22" si="427">IF(BS18=1,$CD18,0)</f>
        <v>0</v>
      </c>
      <c r="CJ18" s="139">
        <f t="shared" ref="CJ18:CJ22" si="428">IF(BT18=1,$CD18,0)</f>
        <v>0</v>
      </c>
      <c r="CK18" s="139">
        <f t="shared" ref="CK18:CK22" si="429">IF(BU18=1,$CD18,0)</f>
        <v>0</v>
      </c>
      <c r="CL18" s="139">
        <f t="shared" ref="CL18:CL22" si="430">IF(BV18=1,$CD18,0)</f>
        <v>0</v>
      </c>
      <c r="CM18" s="139">
        <f t="shared" ref="CM18:CM22" si="431">IF(BW18=1,$CD18,0)</f>
        <v>0</v>
      </c>
      <c r="CN18" s="139">
        <f t="shared" ref="CN18:CN22" si="432">IF(BX18=1,$CD18,0)</f>
        <v>0</v>
      </c>
      <c r="CO18" s="139">
        <f t="shared" ref="CO18:CO22" si="433">IF(BY18=1,$CD18,0)</f>
        <v>0</v>
      </c>
      <c r="CP18" s="139">
        <f t="shared" ref="CP18:CP22" si="434">IF(BZ18=1,$CD18,0)</f>
        <v>0</v>
      </c>
      <c r="DV18" s="139">
        <f t="shared" ref="DV18:DV22" si="435">IF(CB18=1,G18,0)</f>
        <v>0</v>
      </c>
      <c r="DW18" s="139">
        <f t="shared" ref="DW18:DW22" si="436">IF(CC18="A",G18,0)</f>
        <v>0</v>
      </c>
      <c r="DX18" s="139">
        <f t="shared" ref="DX18:DX22" si="437">IF(CC18="B",G18,0)</f>
        <v>0</v>
      </c>
      <c r="DY18" s="139">
        <f t="shared" ref="DY18:DY22" si="438">IF(CC18="C",G18,0)</f>
        <v>0</v>
      </c>
      <c r="DZ18" s="139">
        <f t="shared" ref="DZ18:DZ22" si="439">IF(CC18="D",G18,0)</f>
        <v>0</v>
      </c>
      <c r="EA18" s="139">
        <f t="shared" ref="EA18:EA22" si="440">IF(CC18="E",G18,0)</f>
        <v>0</v>
      </c>
      <c r="EB18" s="139">
        <f t="shared" ref="EB18:EB22" si="441">SUM(DW18:EA18)</f>
        <v>0</v>
      </c>
      <c r="ED18" s="46" t="s">
        <v>301</v>
      </c>
      <c r="EE18" s="46" t="s">
        <v>374</v>
      </c>
      <c r="EF18" s="56"/>
      <c r="EG18" s="57">
        <f t="shared" ref="EG18:EG22" si="442">IF(AG18="C","C",IF(AG18="D","D",0))</f>
        <v>0</v>
      </c>
      <c r="EH18" s="57">
        <f t="shared" ref="EH18:EH22" si="443">CC18</f>
        <v>0</v>
      </c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X18" s="80"/>
      <c r="FY18" s="17">
        <f t="shared" ref="FY18:FY22" si="444">SUM(FZ18:GE18)</f>
        <v>0</v>
      </c>
      <c r="FZ18" s="17">
        <f t="shared" ref="FZ18:FZ22" si="445">DI18+CE18</f>
        <v>0</v>
      </c>
      <c r="GA18" s="17">
        <f t="shared" ref="GA18:GA22" si="446">DJ18+CF18</f>
        <v>0</v>
      </c>
      <c r="GB18" s="17">
        <f t="shared" ref="GB18:GB22" si="447">DK18+CG18</f>
        <v>0</v>
      </c>
      <c r="GC18" s="17">
        <f t="shared" ref="GC18:GC22" si="448">DM18+CI18</f>
        <v>0</v>
      </c>
      <c r="GD18" s="17">
        <f t="shared" ref="GD18:GD22" si="449">DO18+CK18</f>
        <v>0</v>
      </c>
      <c r="GE18" s="17">
        <f t="shared" ref="GE18:GE22" si="450">DT18+CP18</f>
        <v>0</v>
      </c>
      <c r="GF18" s="67"/>
      <c r="GG18" s="17">
        <v>0</v>
      </c>
      <c r="GH18" s="17">
        <v>0</v>
      </c>
      <c r="GI18" s="67"/>
      <c r="GJ18" s="62">
        <f t="shared" ref="GJ18:GJ22" si="451">FY18*GG18/1000000000</f>
        <v>0</v>
      </c>
      <c r="GK18" s="62">
        <f t="shared" ref="GK18:GK22" si="452">FY18*GH18/1000000000</f>
        <v>0</v>
      </c>
      <c r="GO18" s="17">
        <f t="shared" ref="GO18:GO22" si="453">D18-F18</f>
        <v>0</v>
      </c>
      <c r="GP18" s="17">
        <f t="shared" ref="GP18:GP22" si="454">D18-J18</f>
        <v>0</v>
      </c>
      <c r="GQ18" s="17">
        <f t="shared" ref="GQ18:GQ22" si="455">D18-N18</f>
        <v>0</v>
      </c>
      <c r="GR18" s="17">
        <f t="shared" ref="GR18:GR22" si="456">D18-R18</f>
        <v>1</v>
      </c>
      <c r="GS18" s="17">
        <f t="shared" ref="GS18:GS22" si="457">D18-V18</f>
        <v>1</v>
      </c>
      <c r="GT18" s="17">
        <f t="shared" ref="GT18:GT22" si="458">IF(SUM(GO18:GS18)=0,1,0)</f>
        <v>0</v>
      </c>
      <c r="GU18" s="101">
        <f t="shared" si="117"/>
        <v>43243</v>
      </c>
      <c r="GV18" s="17" t="str">
        <f t="shared" ref="GV18:GV22" si="459">IF(GO18&gt;0,$GO$6,IF(GP18&gt;0,$GP$6,IF(GQ18&gt;0,$GQ$6,IF(GR18&gt;0,$GR$6,IF(GS18&gt;0,$GS$6,IF(GT18&gt;0,$GT$6,0))))))</f>
        <v>Musyawarah</v>
      </c>
      <c r="GW18" s="17">
        <f t="shared" ref="GW18:GW22" si="460">IF(GV18=$GO$6,GO18,IF(GV18=$GP$6,GP18,IF(GV18=$GQ$6,GQ18,IF(GV18=$GR$6,GR18,IF(GV18=$GS$6,GS18,0)))))</f>
        <v>1</v>
      </c>
      <c r="GX18" s="66" t="str">
        <f t="shared" ref="GX18:GX22" si="461">GV18</f>
        <v>Musyawarah</v>
      </c>
      <c r="GY18" s="66">
        <f t="shared" ref="GY18:GY22" si="462">IF(GX18="DNP",SUM($GY$4:$GY$8),IF(GX18="Survey KJPP",SUM($GY$5:$GY$8),IF(GX18="Hasil Valuasi",SUM($GY$6:$GY$8),IF(GX18="Musyawarah",SUM($GY$7:$GY$8),IF(GX18="UGR",$GY$8,0)))))</f>
        <v>24</v>
      </c>
      <c r="GZ18" s="102">
        <f t="shared" ref="GZ18:GZ22" si="463">IF(GW18=0,"SELESAI",GU18+GY18)</f>
        <v>43267</v>
      </c>
      <c r="HA18" s="83"/>
      <c r="HB18" s="83"/>
      <c r="HC18" s="17">
        <f t="shared" ref="HC18:HC22" si="464">IF(BH18&gt;0,1,IF(BI18&gt;0,1,0))</f>
        <v>0</v>
      </c>
      <c r="HD18" s="17">
        <f t="shared" ref="HD18:HD22" si="465">IF(CB18&gt;0,1,0)</f>
        <v>0</v>
      </c>
      <c r="HE18" s="17">
        <f t="shared" ref="HE18:HE22" si="466">HC18+HD18</f>
        <v>0</v>
      </c>
      <c r="HF18" s="17">
        <f t="shared" ref="HF18:HF22" si="467">FQ18</f>
        <v>0</v>
      </c>
      <c r="HG18" s="17">
        <f t="shared" ref="HG18:HG22" si="468">HE18-HF18</f>
        <v>0</v>
      </c>
      <c r="HH18" s="101" t="str">
        <f t="shared" ref="HH18:HH22" si="469">IF(HG18=1,GU18+$HH$8,"TIDAK KONSINYASI")</f>
        <v>TIDAK KONSINYASI</v>
      </c>
      <c r="HI18" s="101">
        <f t="shared" ref="HI18:HI22" si="470">IF(GW18=0,"SELESAI",GZ18+$HI$8)</f>
        <v>43312</v>
      </c>
      <c r="HJ18" s="27"/>
      <c r="HK18" s="101">
        <f t="shared" ref="HK18:HK22" si="471">MAX(GZ18,HH18,HI18)</f>
        <v>43312</v>
      </c>
      <c r="HL18" s="83"/>
      <c r="HM18" s="83"/>
      <c r="HN18" s="83"/>
      <c r="HO18" s="83"/>
      <c r="HP18" s="102">
        <f t="shared" ref="HP18:HP22" si="472">IF(HQ18=1,GZ18,0)</f>
        <v>0</v>
      </c>
      <c r="HQ18" s="66">
        <f t="shared" ref="HQ18:HQ22" si="473">IF(IX18=0,IF(HT18=0,IF(IP18=0,IF(GV18="UGR",GS18,0),0),0),0)</f>
        <v>0</v>
      </c>
      <c r="HR18" s="66">
        <f t="shared" ref="HR18:HR22" si="474">IF(HQ18=1,E18,0)</f>
        <v>0</v>
      </c>
      <c r="HS18" s="102">
        <f t="shared" ref="HS18:HS22" si="475">IF(HT18=1,HH18,0)</f>
        <v>0</v>
      </c>
      <c r="HT18" s="66">
        <f t="shared" ref="HT18:HT22" si="476">HG18</f>
        <v>0</v>
      </c>
      <c r="HU18" s="66">
        <f t="shared" ref="HU18:HU22" si="477">IF(HT18=1,E18,0)</f>
        <v>0</v>
      </c>
      <c r="HV18" s="102">
        <f t="shared" ref="HV18:HV22" si="478">IF(HW18=1,GZ18,0)</f>
        <v>0</v>
      </c>
      <c r="HW18" s="66">
        <f t="shared" ref="HW18:HW22" si="479">IF(JB18=0,IF(IX18=0,IF(HT18=0,IF(GV18="MUSYAWARAH",GR18,0),0),0),0)</f>
        <v>0</v>
      </c>
      <c r="HX18" s="66">
        <f t="shared" ref="HX18:HX22" si="480">IF(HW18=1,E18,0)</f>
        <v>0</v>
      </c>
      <c r="HY18" s="102">
        <f t="shared" ref="HY18:HY22" si="481">IF(HZ18=1,HV18+$HI$8,0)</f>
        <v>0</v>
      </c>
      <c r="HZ18" s="66">
        <f t="shared" ref="HZ18:HZ22" si="482">HW18</f>
        <v>0</v>
      </c>
      <c r="IA18" s="66">
        <f t="shared" ref="IA18:IA22" si="483">IF(HZ18=1,E18,0)</f>
        <v>0</v>
      </c>
      <c r="IB18" s="102">
        <f t="shared" ref="IB18:IB22" si="484">IF(IC18=1,$GU$3+SUM($GY$6:$GY$8),0)</f>
        <v>0</v>
      </c>
      <c r="IC18" s="66">
        <f t="shared" ref="IC18:IC22" si="485">IF(GV18="Hasil Valuasi",GQ18,0)</f>
        <v>0</v>
      </c>
      <c r="ID18" s="66">
        <f t="shared" ref="ID18:ID22" si="486">IF(IC18=1,E18,0)</f>
        <v>0</v>
      </c>
      <c r="IE18" s="102">
        <f t="shared" ref="IE18:IE22" si="487">IF(IF18=1,IB18+$HI$8,0)</f>
        <v>0</v>
      </c>
      <c r="IF18" s="66">
        <f t="shared" ref="IF18:IF22" si="488">IC18</f>
        <v>0</v>
      </c>
      <c r="IG18" s="66">
        <f t="shared" ref="IG18:IG22" si="489">IF(IF18=1,E18,0)</f>
        <v>0</v>
      </c>
      <c r="IH18" s="102">
        <f t="shared" ref="IH18:IH22" si="490">IF(II18=1,$GU$3+SUM($GY$5:$GY$8),0)</f>
        <v>0</v>
      </c>
      <c r="II18" s="66">
        <f t="shared" ref="II18:II22" si="491">IF(GV18="Survey KJPP",GP18,0)</f>
        <v>0</v>
      </c>
      <c r="IJ18" s="66">
        <f t="shared" ref="IJ18:IJ22" si="492">IF(II18=1,E18,0)</f>
        <v>0</v>
      </c>
      <c r="IK18" s="102">
        <f t="shared" ref="IK18:IK22" si="493">IF(IL18=1,IH18+$HI$8,0)</f>
        <v>0</v>
      </c>
      <c r="IL18" s="66">
        <f t="shared" ref="IL18:IL22" si="494">II18</f>
        <v>0</v>
      </c>
      <c r="IM18" s="66">
        <f t="shared" ref="IM18:IM22" si="495">IF(IL18=1,E18,0)</f>
        <v>0</v>
      </c>
      <c r="IN18" s="83"/>
      <c r="IO18" s="102">
        <f t="shared" ref="IO18:IO22" si="496">IF(IP18=1,+$GU$3+$HH$8,0)</f>
        <v>0</v>
      </c>
      <c r="IP18" s="66">
        <f t="shared" ref="IP18:IP22" si="497">IF(BG18&gt;0,1,0)</f>
        <v>0</v>
      </c>
      <c r="IQ18" s="66">
        <f t="shared" ref="IQ18:IQ22" si="498">IF(IP18=1,E18,0)</f>
        <v>0</v>
      </c>
      <c r="IR18" s="83"/>
      <c r="IS18" s="102"/>
      <c r="IT18" s="66">
        <f t="shared" ref="IT18:IT22" si="499">V18</f>
        <v>0</v>
      </c>
      <c r="IU18" s="66">
        <f t="shared" ref="IU18:IU22" si="500">W18</f>
        <v>0</v>
      </c>
      <c r="IV18" s="83"/>
      <c r="IW18" s="102"/>
      <c r="IX18" s="66">
        <f t="shared" ref="IX18:IX22" si="501">AA18</f>
        <v>0</v>
      </c>
      <c r="IY18" s="66">
        <f t="shared" ref="IY18:IY22" si="502">AB18</f>
        <v>0</v>
      </c>
      <c r="IZ18" s="83"/>
      <c r="JA18" s="102"/>
      <c r="JB18" s="66">
        <f t="shared" ref="JB18:JB22" si="503">AN18</f>
        <v>1</v>
      </c>
      <c r="JC18" s="66">
        <f t="shared" ref="JC18:JC22" si="504">BB18</f>
        <v>8</v>
      </c>
      <c r="JD18" s="83"/>
      <c r="JE18" s="102"/>
      <c r="JF18" s="66">
        <f t="shared" ref="JF18:JF22" si="505">IT18+HQ18+HT18+HZ18+IF18+IL18+IP18+IX18+JB18</f>
        <v>1</v>
      </c>
      <c r="JG18" s="66">
        <f t="shared" ref="JG18:JG22" si="506">IU18+HR18+HU18+IA18+IG18+IM18+IQ18+IY18+JC18</f>
        <v>8</v>
      </c>
      <c r="JH18" s="83"/>
      <c r="JI18" s="102"/>
      <c r="JJ18" s="66">
        <f t="shared" ref="JJ18:JJ22" si="507">JF18-D18</f>
        <v>0</v>
      </c>
      <c r="JK18" s="66">
        <f t="shared" ref="JK18:JK22" si="508">JG18-E18</f>
        <v>0</v>
      </c>
      <c r="JM18" s="102">
        <f t="shared" ref="JM18:JM22" si="509">MAX(IW18,IS18,IO18,IK18,IE18,HY18,HS18,HP18)</f>
        <v>0</v>
      </c>
      <c r="JO18" s="29">
        <f t="shared" ref="JO18:JO22" si="510">SUM(JQ18:KB18)</f>
        <v>0</v>
      </c>
      <c r="JP18" s="122">
        <f t="shared" ref="JP18:JP22" si="511">BN18+CR18</f>
        <v>0</v>
      </c>
      <c r="JQ18" s="122">
        <f t="shared" ref="JQ18:JQ22" si="512">IF(BO18+CS18=2,1,IF(BO18+CS18=1,1,0))</f>
        <v>0</v>
      </c>
      <c r="JR18" s="122">
        <f t="shared" ref="JR18:JR22" si="513">IF(BP18+CT18=2,1,IF(BP18+CT18=1,1,0))</f>
        <v>0</v>
      </c>
      <c r="JS18" s="122">
        <f t="shared" ref="JS18:JS22" si="514">IF(BQ18+CU18=2,1,IF(BQ18+CU18=1,1,0))</f>
        <v>0</v>
      </c>
      <c r="JT18" s="122">
        <f t="shared" ref="JT18:JT22" si="515">IF(BR18+CV18=2,1,IF(BR18+CV18=1,1,0))</f>
        <v>0</v>
      </c>
      <c r="JU18" s="122">
        <f t="shared" ref="JU18:JU22" si="516">IF(BS18+CW18=2,1,IF(BS18+CW18=1,1,0))</f>
        <v>0</v>
      </c>
      <c r="JV18" s="122">
        <f t="shared" ref="JV18:JV22" si="517">IF(BT18+CX18=2,1,IF(BT18+CX18=1,1,0))</f>
        <v>0</v>
      </c>
      <c r="JW18" s="122">
        <f t="shared" ref="JW18:JW22" si="518">IF(BU18+CY18=2,1,IF(BU18+CY18=1,1,0))</f>
        <v>0</v>
      </c>
      <c r="JX18" s="122">
        <f t="shared" ref="JX18:JX22" si="519">IF(BV18+CZ18=2,1,IF(BV18+CZ18=1,1,0))</f>
        <v>0</v>
      </c>
      <c r="JY18" s="122">
        <f t="shared" ref="JY18:JY22" si="520">IF(BW18+DA18=2,1,IF(BW18+DA18=1,1,0))</f>
        <v>0</v>
      </c>
      <c r="JZ18" s="122">
        <f t="shared" ref="JZ18:JZ22" si="521">IF(BX18+DB18=2,1,IF(BX18+DB18=1,1,0))</f>
        <v>0</v>
      </c>
      <c r="KA18" s="122">
        <f t="shared" ref="KA18:KA22" si="522">IF(BY18+DC18=2,1,IF(BY18+DC18=1,1,0))</f>
        <v>0</v>
      </c>
      <c r="KB18" s="122">
        <f t="shared" ref="KB18:KB22" si="523">IF(BZ18+DD18=2,1,IF(BZ18+DD18=1,1,0))</f>
        <v>0</v>
      </c>
      <c r="KD18" s="122">
        <f t="shared" ref="KD18:KD22" si="524">IF(IF(SUM(GA18:GE18)&gt;100,1,0)+IF(FX18=1,1,0)=2,1,0)</f>
        <v>0</v>
      </c>
      <c r="KE18" s="122">
        <f t="shared" ref="KE18:KE22" si="525">IF(KD18=1,KF18,0)</f>
        <v>0</v>
      </c>
      <c r="KF18" s="122">
        <f t="shared" ref="KF18:KF22" si="526">CD18+DH18</f>
        <v>0</v>
      </c>
      <c r="KG18" s="122">
        <f t="shared" ref="KG18:KG22" si="527">CE18+DI18</f>
        <v>0</v>
      </c>
      <c r="KH18" s="122">
        <f t="shared" ref="KH18:KH22" si="528">CF18+DJ18</f>
        <v>0</v>
      </c>
      <c r="KI18" s="122">
        <f t="shared" ref="KI18:KI22" si="529">CG18+DK18</f>
        <v>0</v>
      </c>
      <c r="KJ18" s="122">
        <f t="shared" ref="KJ18:KJ22" si="530">CH18+DL18</f>
        <v>0</v>
      </c>
      <c r="KK18" s="122">
        <f t="shared" ref="KK18:KK22" si="531">CI18+DM18</f>
        <v>0</v>
      </c>
      <c r="KL18" s="122">
        <f t="shared" ref="KL18:KL22" si="532">CJ18+DN18</f>
        <v>0</v>
      </c>
      <c r="KM18" s="122">
        <f t="shared" ref="KM18:KM22" si="533">CK18+DO18</f>
        <v>0</v>
      </c>
      <c r="KN18" s="123">
        <f t="shared" ref="KN18:KN22" si="534">CL18+DP18</f>
        <v>0</v>
      </c>
      <c r="KO18" s="123">
        <f t="shared" ref="KO18:KO22" si="535">CM18+DQ18</f>
        <v>0</v>
      </c>
      <c r="KP18" s="123">
        <f t="shared" ref="KP18:KP22" si="536">CN18+DR18</f>
        <v>0</v>
      </c>
      <c r="KQ18" s="123">
        <f t="shared" ref="KQ18:KQ22" si="537">CO18+DS18</f>
        <v>0</v>
      </c>
      <c r="KR18" s="123">
        <f t="shared" ref="KR18:KR22" si="538">CP18+DT18</f>
        <v>0</v>
      </c>
      <c r="KS18">
        <v>7</v>
      </c>
      <c r="KT18">
        <f t="shared" ref="KT18:KT22" si="539">AN18</f>
        <v>1</v>
      </c>
      <c r="KU18" s="123"/>
      <c r="KV18" s="123"/>
      <c r="KW18" s="123"/>
      <c r="KX18" s="123"/>
      <c r="KY18" s="123"/>
      <c r="KZ18" s="123"/>
      <c r="LA18" s="123"/>
      <c r="LB18" s="123"/>
      <c r="LC18" s="123"/>
      <c r="LD18" s="123"/>
      <c r="LE18" s="123"/>
      <c r="LF18" s="123"/>
      <c r="LG18" s="123"/>
      <c r="LH18" s="123"/>
      <c r="LI18" s="123"/>
      <c r="LJ18" s="123"/>
      <c r="LK18" s="123"/>
      <c r="LL18" s="123"/>
      <c r="LM18" s="123"/>
      <c r="LN18" s="123"/>
      <c r="LO18" s="123"/>
      <c r="LP18" s="123"/>
      <c r="LQ18" s="123"/>
      <c r="LR18" s="123"/>
      <c r="LS18" s="123"/>
      <c r="LT18" s="123"/>
      <c r="LU18" s="123"/>
      <c r="LV18" s="123"/>
      <c r="LW18" s="123"/>
      <c r="LX18" s="123"/>
      <c r="LY18" s="123"/>
      <c r="LZ18" s="123"/>
      <c r="MA18" s="123"/>
      <c r="MB18" s="123"/>
      <c r="MC18" s="123"/>
      <c r="MD18" s="123"/>
      <c r="ME18" s="123"/>
      <c r="MF18" s="123"/>
      <c r="MG18" s="123"/>
      <c r="MH18" s="123"/>
      <c r="MI18" s="123"/>
      <c r="MJ18" s="123"/>
      <c r="MK18" s="123"/>
      <c r="ML18" s="123"/>
      <c r="MM18" s="123"/>
      <c r="MN18" s="123"/>
      <c r="MO18" s="123"/>
      <c r="MP18" s="123"/>
      <c r="MQ18" s="123"/>
      <c r="MR18" s="123"/>
      <c r="MS18" s="123"/>
      <c r="MT18" s="123"/>
      <c r="MU18" s="123"/>
      <c r="MV18" s="123"/>
      <c r="MW18" s="123"/>
      <c r="MX18" s="123"/>
      <c r="MY18" s="123"/>
      <c r="MZ18" s="123"/>
      <c r="NA18" s="123"/>
      <c r="NB18" s="123"/>
      <c r="NC18" s="123"/>
      <c r="ND18" s="123"/>
      <c r="NE18" s="123"/>
      <c r="NF18" s="123"/>
      <c r="NG18" s="123"/>
      <c r="NH18" s="123"/>
      <c r="NI18" s="123"/>
      <c r="NJ18" s="123"/>
      <c r="NK18" s="123"/>
      <c r="NM18">
        <f t="shared" ref="NM18:NM22" si="540">IF(KS18=1,1,0)</f>
        <v>0</v>
      </c>
      <c r="NN18">
        <f t="shared" ref="NN18:NN22" si="541">IF(KS18=2,1,0)</f>
        <v>0</v>
      </c>
      <c r="NO18">
        <f t="shared" ref="NO18:NO22" si="542">IF(KS18=3,1,0)</f>
        <v>0</v>
      </c>
      <c r="NP18">
        <f t="shared" ref="NP18:NP22" si="543">IF(KS18=4,1,0)</f>
        <v>0</v>
      </c>
      <c r="NQ18">
        <f t="shared" ref="NQ18:NQ22" si="544">IF(KS18=5,1,0)</f>
        <v>0</v>
      </c>
      <c r="NR18">
        <f t="shared" ref="NR18:NR22" si="545">IF(KS18=6,1,0)</f>
        <v>0</v>
      </c>
      <c r="NS18">
        <f t="shared" ref="NS18:NS22" si="546">IF(KS18=7,1,0)</f>
        <v>1</v>
      </c>
      <c r="NT18">
        <f t="shared" ref="NT18:NT22" si="547">SUM(NM18:NS18)</f>
        <v>1</v>
      </c>
      <c r="NU18">
        <f t="shared" ref="NU18:NU22" si="548">NT18-KT18</f>
        <v>0</v>
      </c>
      <c r="NY18" s="29"/>
      <c r="NZ18" s="152"/>
      <c r="OE18" s="155"/>
      <c r="OF18" s="155"/>
      <c r="OG18" s="155"/>
      <c r="OH18" s="155"/>
      <c r="OI18" s="155"/>
      <c r="OJ18" s="67"/>
      <c r="OK18" s="67"/>
      <c r="OL18" s="67"/>
      <c r="OM18" s="67"/>
      <c r="OO18" s="155"/>
      <c r="OP18" s="155"/>
      <c r="OQ18" s="155"/>
      <c r="OR18" s="155"/>
      <c r="OS18" s="155"/>
      <c r="OT18" s="67"/>
      <c r="OU18" s="67"/>
      <c r="OV18" s="67"/>
      <c r="OW18" s="67"/>
      <c r="PA18" s="166"/>
      <c r="PB18" s="166">
        <v>1</v>
      </c>
      <c r="PC18" s="166"/>
      <c r="PD18" s="210">
        <f t="shared" si="96"/>
        <v>1</v>
      </c>
      <c r="PE18" s="166">
        <v>1</v>
      </c>
      <c r="PF18" s="210">
        <f t="shared" si="97"/>
        <v>0</v>
      </c>
      <c r="PG18" s="210">
        <f t="shared" si="98"/>
        <v>0</v>
      </c>
      <c r="PH18" s="210">
        <f t="shared" si="98"/>
        <v>8</v>
      </c>
      <c r="PI18" s="210">
        <f t="shared" si="98"/>
        <v>0</v>
      </c>
      <c r="PJ18" s="210">
        <f t="shared" si="98"/>
        <v>8</v>
      </c>
      <c r="PK18" s="210">
        <f t="shared" si="98"/>
        <v>8</v>
      </c>
      <c r="PL18" s="210">
        <f t="shared" si="98"/>
        <v>0</v>
      </c>
      <c r="PO18" s="172">
        <f t="shared" ref="PO18:PO22" si="549">IF(FC18=1,AB18,0)</f>
        <v>0</v>
      </c>
      <c r="PP18" s="172">
        <f t="shared" ref="PP18:PP22" si="550">IF(FF18=1,AB18,0)</f>
        <v>0</v>
      </c>
      <c r="PQ18" s="172">
        <f t="shared" ref="PQ18:PQ22" si="551">AB18-(PO18+PP18)</f>
        <v>0</v>
      </c>
    </row>
    <row r="19" spans="1:433" ht="16" x14ac:dyDescent="0.2">
      <c r="A19" s="19">
        <f t="shared" si="163"/>
        <v>11</v>
      </c>
      <c r="B19" s="269" t="s">
        <v>680</v>
      </c>
      <c r="C19" s="186">
        <v>5</v>
      </c>
      <c r="D19" s="188">
        <v>1</v>
      </c>
      <c r="E19" s="188">
        <v>33</v>
      </c>
      <c r="F19" s="188">
        <v>1</v>
      </c>
      <c r="G19" s="188">
        <f t="shared" ref="G19" si="552">E19</f>
        <v>33</v>
      </c>
      <c r="H19" s="214">
        <f t="shared" si="383"/>
        <v>1</v>
      </c>
      <c r="I19" s="214">
        <f t="shared" si="384"/>
        <v>1</v>
      </c>
      <c r="J19" s="188">
        <v>1</v>
      </c>
      <c r="K19" s="188">
        <f t="shared" si="385"/>
        <v>33</v>
      </c>
      <c r="L19" s="214">
        <f t="shared" si="386"/>
        <v>1</v>
      </c>
      <c r="M19" s="214">
        <f t="shared" si="387"/>
        <v>1</v>
      </c>
      <c r="N19" s="188">
        <v>1</v>
      </c>
      <c r="O19" s="20">
        <f t="shared" si="388"/>
        <v>33</v>
      </c>
      <c r="P19" s="137">
        <f t="shared" si="389"/>
        <v>1</v>
      </c>
      <c r="Q19" s="137">
        <f t="shared" si="390"/>
        <v>1</v>
      </c>
      <c r="R19" s="20"/>
      <c r="S19" s="20">
        <f t="shared" si="391"/>
        <v>0</v>
      </c>
      <c r="T19" s="137">
        <f t="shared" si="392"/>
        <v>0</v>
      </c>
      <c r="U19" s="137">
        <f t="shared" si="393"/>
        <v>0</v>
      </c>
      <c r="V19" s="20"/>
      <c r="W19" s="20">
        <f t="shared" si="394"/>
        <v>0</v>
      </c>
      <c r="X19" s="137">
        <f t="shared" si="395"/>
        <v>0</v>
      </c>
      <c r="Y19" s="137">
        <f t="shared" si="396"/>
        <v>0</v>
      </c>
      <c r="Z19" s="38"/>
      <c r="AA19" s="38"/>
      <c r="AB19" s="17">
        <f t="shared" si="397"/>
        <v>0</v>
      </c>
      <c r="AC19" s="18">
        <f t="shared" si="398"/>
        <v>0</v>
      </c>
      <c r="AD19" s="18">
        <f t="shared" si="399"/>
        <v>0</v>
      </c>
      <c r="AE19" s="38"/>
      <c r="AF19" s="31">
        <f t="shared" si="400"/>
        <v>0</v>
      </c>
      <c r="AG19" s="31"/>
      <c r="AH19" s="31"/>
      <c r="AI19" s="17"/>
      <c r="AJ19" s="17"/>
      <c r="AK19" s="17"/>
      <c r="AL19" s="17"/>
      <c r="AM19" s="17"/>
      <c r="AN19" s="139">
        <v>1</v>
      </c>
      <c r="AO19" s="17">
        <f t="shared" si="401"/>
        <v>0</v>
      </c>
      <c r="AP19" s="17">
        <f t="shared" si="402"/>
        <v>0</v>
      </c>
      <c r="AQ19" s="17">
        <f t="shared" si="403"/>
        <v>0</v>
      </c>
      <c r="AR19" s="17">
        <f t="shared" si="404"/>
        <v>0</v>
      </c>
      <c r="AS19" s="17">
        <f t="shared" si="405"/>
        <v>0</v>
      </c>
      <c r="AT19" s="17">
        <f t="shared" si="406"/>
        <v>0</v>
      </c>
      <c r="AU19" s="17">
        <f t="shared" si="407"/>
        <v>0</v>
      </c>
      <c r="AV19" s="17">
        <f t="shared" si="408"/>
        <v>0</v>
      </c>
      <c r="AW19" s="17">
        <f t="shared" si="409"/>
        <v>0</v>
      </c>
      <c r="AX19" s="17">
        <f t="shared" si="410"/>
        <v>0</v>
      </c>
      <c r="AY19" s="17">
        <f t="shared" si="411"/>
        <v>0</v>
      </c>
      <c r="AZ19" s="17">
        <f t="shared" si="412"/>
        <v>0</v>
      </c>
      <c r="BA19" s="17">
        <f t="shared" si="413"/>
        <v>0</v>
      </c>
      <c r="BB19" s="20">
        <f t="shared" si="414"/>
        <v>33</v>
      </c>
      <c r="BE19" s="20">
        <f t="shared" si="415"/>
        <v>0</v>
      </c>
      <c r="BF19" s="20">
        <f t="shared" si="416"/>
        <v>0</v>
      </c>
      <c r="BG19" s="20">
        <f t="shared" si="417"/>
        <v>0</v>
      </c>
      <c r="BH19" s="20">
        <f t="shared" si="418"/>
        <v>0</v>
      </c>
      <c r="BI19" s="20">
        <f t="shared" si="419"/>
        <v>0</v>
      </c>
      <c r="BJ19" s="20">
        <f t="shared" si="420"/>
        <v>0</v>
      </c>
      <c r="BK19" s="20">
        <f t="shared" si="421"/>
        <v>0</v>
      </c>
      <c r="BN19" s="139"/>
      <c r="BO19" s="139"/>
      <c r="BP19" s="139"/>
      <c r="BQ19" s="139"/>
      <c r="BR19" s="139"/>
      <c r="BS19" s="139"/>
      <c r="BT19" s="139"/>
      <c r="BU19" s="139"/>
      <c r="BV19" s="139"/>
      <c r="BW19" s="139"/>
      <c r="BX19" s="139"/>
      <c r="BY19" s="139"/>
      <c r="BZ19" s="139"/>
      <c r="CB19" s="139"/>
      <c r="CD19" s="139">
        <f t="shared" si="422"/>
        <v>0</v>
      </c>
      <c r="CE19" s="139">
        <f t="shared" si="423"/>
        <v>0</v>
      </c>
      <c r="CF19" s="139">
        <f t="shared" si="424"/>
        <v>0</v>
      </c>
      <c r="CG19" s="139">
        <f t="shared" si="425"/>
        <v>0</v>
      </c>
      <c r="CH19" s="139">
        <f t="shared" si="426"/>
        <v>0</v>
      </c>
      <c r="CI19" s="139">
        <f t="shared" si="427"/>
        <v>0</v>
      </c>
      <c r="CJ19" s="139">
        <f t="shared" si="428"/>
        <v>0</v>
      </c>
      <c r="CK19" s="139">
        <f t="shared" si="429"/>
        <v>0</v>
      </c>
      <c r="CL19" s="139">
        <f t="shared" si="430"/>
        <v>0</v>
      </c>
      <c r="CM19" s="139">
        <f t="shared" si="431"/>
        <v>0</v>
      </c>
      <c r="CN19" s="139">
        <f t="shared" si="432"/>
        <v>0</v>
      </c>
      <c r="CO19" s="139">
        <f t="shared" si="433"/>
        <v>0</v>
      </c>
      <c r="CP19" s="139">
        <f t="shared" si="434"/>
        <v>0</v>
      </c>
      <c r="DV19" s="139">
        <f t="shared" si="435"/>
        <v>0</v>
      </c>
      <c r="DW19" s="139">
        <f t="shared" si="436"/>
        <v>0</v>
      </c>
      <c r="DX19" s="139">
        <f t="shared" si="437"/>
        <v>0</v>
      </c>
      <c r="DY19" s="139">
        <f t="shared" si="438"/>
        <v>0</v>
      </c>
      <c r="DZ19" s="139">
        <f t="shared" si="439"/>
        <v>0</v>
      </c>
      <c r="EA19" s="139">
        <f t="shared" si="440"/>
        <v>0</v>
      </c>
      <c r="EB19" s="139">
        <f t="shared" si="441"/>
        <v>0</v>
      </c>
      <c r="ED19" s="46" t="s">
        <v>301</v>
      </c>
      <c r="EE19" s="46" t="s">
        <v>374</v>
      </c>
      <c r="EF19" s="56"/>
      <c r="EG19" s="57">
        <f t="shared" si="442"/>
        <v>0</v>
      </c>
      <c r="EH19" s="57">
        <f t="shared" si="443"/>
        <v>0</v>
      </c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X19" s="80"/>
      <c r="FY19" s="17">
        <f t="shared" si="444"/>
        <v>0</v>
      </c>
      <c r="FZ19" s="17">
        <f t="shared" si="445"/>
        <v>0</v>
      </c>
      <c r="GA19" s="17">
        <f t="shared" si="446"/>
        <v>0</v>
      </c>
      <c r="GB19" s="17">
        <f t="shared" si="447"/>
        <v>0</v>
      </c>
      <c r="GC19" s="17">
        <f t="shared" si="448"/>
        <v>0</v>
      </c>
      <c r="GD19" s="17">
        <f t="shared" si="449"/>
        <v>0</v>
      </c>
      <c r="GE19" s="17">
        <f t="shared" si="450"/>
        <v>0</v>
      </c>
      <c r="GF19" s="67"/>
      <c r="GG19" s="17">
        <v>0</v>
      </c>
      <c r="GH19" s="17">
        <v>0</v>
      </c>
      <c r="GI19" s="67"/>
      <c r="GJ19" s="62">
        <f t="shared" si="451"/>
        <v>0</v>
      </c>
      <c r="GK19" s="62">
        <f t="shared" si="452"/>
        <v>0</v>
      </c>
      <c r="GO19" s="17">
        <f t="shared" si="453"/>
        <v>0</v>
      </c>
      <c r="GP19" s="17">
        <f t="shared" si="454"/>
        <v>0</v>
      </c>
      <c r="GQ19" s="17">
        <f t="shared" si="455"/>
        <v>0</v>
      </c>
      <c r="GR19" s="17">
        <f t="shared" si="456"/>
        <v>1</v>
      </c>
      <c r="GS19" s="17">
        <f t="shared" si="457"/>
        <v>1</v>
      </c>
      <c r="GT19" s="17">
        <f t="shared" si="458"/>
        <v>0</v>
      </c>
      <c r="GU19" s="101">
        <f t="shared" si="117"/>
        <v>43243</v>
      </c>
      <c r="GV19" s="17" t="str">
        <f t="shared" si="459"/>
        <v>Musyawarah</v>
      </c>
      <c r="GW19" s="17">
        <f t="shared" si="460"/>
        <v>1</v>
      </c>
      <c r="GX19" s="66" t="str">
        <f t="shared" si="461"/>
        <v>Musyawarah</v>
      </c>
      <c r="GY19" s="66">
        <f t="shared" si="462"/>
        <v>24</v>
      </c>
      <c r="GZ19" s="102">
        <f t="shared" si="463"/>
        <v>43267</v>
      </c>
      <c r="HA19" s="83"/>
      <c r="HB19" s="83"/>
      <c r="HC19" s="17">
        <f t="shared" si="464"/>
        <v>0</v>
      </c>
      <c r="HD19" s="17">
        <f t="shared" si="465"/>
        <v>0</v>
      </c>
      <c r="HE19" s="17">
        <f t="shared" si="466"/>
        <v>0</v>
      </c>
      <c r="HF19" s="17">
        <f t="shared" si="467"/>
        <v>0</v>
      </c>
      <c r="HG19" s="17">
        <f t="shared" si="468"/>
        <v>0</v>
      </c>
      <c r="HH19" s="101" t="str">
        <f t="shared" si="469"/>
        <v>TIDAK KONSINYASI</v>
      </c>
      <c r="HI19" s="101">
        <f t="shared" si="470"/>
        <v>43312</v>
      </c>
      <c r="HJ19" s="27"/>
      <c r="HK19" s="101">
        <f t="shared" si="471"/>
        <v>43312</v>
      </c>
      <c r="HL19" s="83"/>
      <c r="HM19" s="83"/>
      <c r="HN19" s="83"/>
      <c r="HO19" s="83"/>
      <c r="HP19" s="102">
        <f t="shared" si="472"/>
        <v>0</v>
      </c>
      <c r="HQ19" s="66">
        <f t="shared" si="473"/>
        <v>0</v>
      </c>
      <c r="HR19" s="66">
        <f t="shared" si="474"/>
        <v>0</v>
      </c>
      <c r="HS19" s="102">
        <f t="shared" si="475"/>
        <v>0</v>
      </c>
      <c r="HT19" s="66">
        <f t="shared" si="476"/>
        <v>0</v>
      </c>
      <c r="HU19" s="66">
        <f t="shared" si="477"/>
        <v>0</v>
      </c>
      <c r="HV19" s="102">
        <f t="shared" si="478"/>
        <v>0</v>
      </c>
      <c r="HW19" s="66">
        <f t="shared" si="479"/>
        <v>0</v>
      </c>
      <c r="HX19" s="66">
        <f t="shared" si="480"/>
        <v>0</v>
      </c>
      <c r="HY19" s="102">
        <f t="shared" si="481"/>
        <v>0</v>
      </c>
      <c r="HZ19" s="66">
        <f t="shared" si="482"/>
        <v>0</v>
      </c>
      <c r="IA19" s="66">
        <f t="shared" si="483"/>
        <v>0</v>
      </c>
      <c r="IB19" s="102">
        <f t="shared" si="484"/>
        <v>0</v>
      </c>
      <c r="IC19" s="66">
        <f t="shared" si="485"/>
        <v>0</v>
      </c>
      <c r="ID19" s="66">
        <f t="shared" si="486"/>
        <v>0</v>
      </c>
      <c r="IE19" s="102">
        <f t="shared" si="487"/>
        <v>0</v>
      </c>
      <c r="IF19" s="66">
        <f t="shared" si="488"/>
        <v>0</v>
      </c>
      <c r="IG19" s="66">
        <f t="shared" si="489"/>
        <v>0</v>
      </c>
      <c r="IH19" s="102">
        <f t="shared" si="490"/>
        <v>0</v>
      </c>
      <c r="II19" s="66">
        <f t="shared" si="491"/>
        <v>0</v>
      </c>
      <c r="IJ19" s="66">
        <f t="shared" si="492"/>
        <v>0</v>
      </c>
      <c r="IK19" s="102">
        <f t="shared" si="493"/>
        <v>0</v>
      </c>
      <c r="IL19" s="66">
        <f t="shared" si="494"/>
        <v>0</v>
      </c>
      <c r="IM19" s="66">
        <f t="shared" si="495"/>
        <v>0</v>
      </c>
      <c r="IN19" s="83"/>
      <c r="IO19" s="102">
        <f t="shared" si="496"/>
        <v>0</v>
      </c>
      <c r="IP19" s="66">
        <f t="shared" si="497"/>
        <v>0</v>
      </c>
      <c r="IQ19" s="66">
        <f t="shared" si="498"/>
        <v>0</v>
      </c>
      <c r="IR19" s="83"/>
      <c r="IS19" s="102"/>
      <c r="IT19" s="66">
        <f t="shared" si="499"/>
        <v>0</v>
      </c>
      <c r="IU19" s="66">
        <f t="shared" si="500"/>
        <v>0</v>
      </c>
      <c r="IV19" s="83"/>
      <c r="IW19" s="102"/>
      <c r="IX19" s="66">
        <f t="shared" si="501"/>
        <v>0</v>
      </c>
      <c r="IY19" s="66">
        <f t="shared" si="502"/>
        <v>0</v>
      </c>
      <c r="IZ19" s="83"/>
      <c r="JA19" s="102"/>
      <c r="JB19" s="66">
        <f t="shared" si="503"/>
        <v>1</v>
      </c>
      <c r="JC19" s="66">
        <f t="shared" si="504"/>
        <v>33</v>
      </c>
      <c r="JD19" s="83"/>
      <c r="JE19" s="102"/>
      <c r="JF19" s="66">
        <f t="shared" si="505"/>
        <v>1</v>
      </c>
      <c r="JG19" s="66">
        <f t="shared" si="506"/>
        <v>33</v>
      </c>
      <c r="JH19" s="83"/>
      <c r="JI19" s="102"/>
      <c r="JJ19" s="66">
        <f t="shared" si="507"/>
        <v>0</v>
      </c>
      <c r="JK19" s="66">
        <f t="shared" si="508"/>
        <v>0</v>
      </c>
      <c r="JM19" s="102">
        <f t="shared" si="509"/>
        <v>0</v>
      </c>
      <c r="JO19" s="29">
        <f t="shared" si="510"/>
        <v>0</v>
      </c>
      <c r="JP19" s="122">
        <f t="shared" si="511"/>
        <v>0</v>
      </c>
      <c r="JQ19" s="122">
        <f t="shared" si="512"/>
        <v>0</v>
      </c>
      <c r="JR19" s="122">
        <f t="shared" si="513"/>
        <v>0</v>
      </c>
      <c r="JS19" s="122">
        <f t="shared" si="514"/>
        <v>0</v>
      </c>
      <c r="JT19" s="122">
        <f t="shared" si="515"/>
        <v>0</v>
      </c>
      <c r="JU19" s="122">
        <f t="shared" si="516"/>
        <v>0</v>
      </c>
      <c r="JV19" s="122">
        <f t="shared" si="517"/>
        <v>0</v>
      </c>
      <c r="JW19" s="122">
        <f t="shared" si="518"/>
        <v>0</v>
      </c>
      <c r="JX19" s="122">
        <f t="shared" si="519"/>
        <v>0</v>
      </c>
      <c r="JY19" s="122">
        <f t="shared" si="520"/>
        <v>0</v>
      </c>
      <c r="JZ19" s="122">
        <f t="shared" si="521"/>
        <v>0</v>
      </c>
      <c r="KA19" s="122">
        <f t="shared" si="522"/>
        <v>0</v>
      </c>
      <c r="KB19" s="122">
        <f t="shared" si="523"/>
        <v>0</v>
      </c>
      <c r="KD19" s="122">
        <f t="shared" si="524"/>
        <v>0</v>
      </c>
      <c r="KE19" s="122">
        <f t="shared" si="525"/>
        <v>0</v>
      </c>
      <c r="KF19" s="122">
        <f t="shared" si="526"/>
        <v>0</v>
      </c>
      <c r="KG19" s="122">
        <f t="shared" si="527"/>
        <v>0</v>
      </c>
      <c r="KH19" s="122">
        <f t="shared" si="528"/>
        <v>0</v>
      </c>
      <c r="KI19" s="122">
        <f t="shared" si="529"/>
        <v>0</v>
      </c>
      <c r="KJ19" s="122">
        <f t="shared" si="530"/>
        <v>0</v>
      </c>
      <c r="KK19" s="122">
        <f t="shared" si="531"/>
        <v>0</v>
      </c>
      <c r="KL19" s="122">
        <f t="shared" si="532"/>
        <v>0</v>
      </c>
      <c r="KM19" s="122">
        <f t="shared" si="533"/>
        <v>0</v>
      </c>
      <c r="KN19" s="123">
        <f t="shared" si="534"/>
        <v>0</v>
      </c>
      <c r="KO19" s="123">
        <f t="shared" si="535"/>
        <v>0</v>
      </c>
      <c r="KP19" s="123">
        <f t="shared" si="536"/>
        <v>0</v>
      </c>
      <c r="KQ19" s="123">
        <f t="shared" si="537"/>
        <v>0</v>
      </c>
      <c r="KR19" s="123">
        <f t="shared" si="538"/>
        <v>0</v>
      </c>
      <c r="KS19">
        <v>7</v>
      </c>
      <c r="KT19">
        <f t="shared" si="539"/>
        <v>1</v>
      </c>
      <c r="KU19" s="123"/>
      <c r="KV19" s="123"/>
      <c r="KW19" s="123"/>
      <c r="KX19" s="123"/>
      <c r="KY19" s="123"/>
      <c r="KZ19" s="123"/>
      <c r="LA19" s="123"/>
      <c r="LB19" s="123"/>
      <c r="LC19" s="123"/>
      <c r="LD19" s="123"/>
      <c r="LE19" s="123"/>
      <c r="LF19" s="123"/>
      <c r="LG19" s="123"/>
      <c r="LH19" s="123"/>
      <c r="LI19" s="123"/>
      <c r="LJ19" s="123"/>
      <c r="LK19" s="123"/>
      <c r="LL19" s="123"/>
      <c r="LM19" s="123"/>
      <c r="LN19" s="123"/>
      <c r="LO19" s="123"/>
      <c r="LP19" s="123"/>
      <c r="LQ19" s="123"/>
      <c r="LR19" s="123"/>
      <c r="LS19" s="123"/>
      <c r="LT19" s="123"/>
      <c r="LU19" s="123"/>
      <c r="LV19" s="123"/>
      <c r="LW19" s="123"/>
      <c r="LX19" s="123"/>
      <c r="LY19" s="123"/>
      <c r="LZ19" s="123"/>
      <c r="MA19" s="123"/>
      <c r="MB19" s="123"/>
      <c r="MC19" s="123"/>
      <c r="MD19" s="123"/>
      <c r="ME19" s="123"/>
      <c r="MF19" s="123"/>
      <c r="MG19" s="123"/>
      <c r="MH19" s="123"/>
      <c r="MI19" s="123"/>
      <c r="MJ19" s="123"/>
      <c r="MK19" s="123"/>
      <c r="ML19" s="123"/>
      <c r="MM19" s="123"/>
      <c r="MN19" s="123"/>
      <c r="MO19" s="123"/>
      <c r="MP19" s="123"/>
      <c r="MQ19" s="123"/>
      <c r="MR19" s="123"/>
      <c r="MS19" s="123"/>
      <c r="MT19" s="123"/>
      <c r="MU19" s="123"/>
      <c r="MV19" s="123"/>
      <c r="MW19" s="123"/>
      <c r="MX19" s="123"/>
      <c r="MY19" s="123"/>
      <c r="MZ19" s="123"/>
      <c r="NA19" s="123"/>
      <c r="NB19" s="123"/>
      <c r="NC19" s="123"/>
      <c r="ND19" s="123"/>
      <c r="NE19" s="123"/>
      <c r="NF19" s="123"/>
      <c r="NG19" s="123"/>
      <c r="NH19" s="123"/>
      <c r="NI19" s="123"/>
      <c r="NJ19" s="123"/>
      <c r="NK19" s="123"/>
      <c r="NM19">
        <f t="shared" si="540"/>
        <v>0</v>
      </c>
      <c r="NN19">
        <f t="shared" si="541"/>
        <v>0</v>
      </c>
      <c r="NO19">
        <f t="shared" si="542"/>
        <v>0</v>
      </c>
      <c r="NP19">
        <f t="shared" si="543"/>
        <v>0</v>
      </c>
      <c r="NQ19">
        <f t="shared" si="544"/>
        <v>0</v>
      </c>
      <c r="NR19">
        <f t="shared" si="545"/>
        <v>0</v>
      </c>
      <c r="NS19">
        <f t="shared" si="546"/>
        <v>1</v>
      </c>
      <c r="NT19">
        <f t="shared" si="547"/>
        <v>1</v>
      </c>
      <c r="NU19">
        <f t="shared" si="548"/>
        <v>0</v>
      </c>
      <c r="NY19" s="29"/>
      <c r="NZ19" s="152"/>
      <c r="OE19" s="155"/>
      <c r="OF19" s="155"/>
      <c r="OG19" s="155"/>
      <c r="OH19" s="155"/>
      <c r="OI19" s="155"/>
      <c r="OJ19" s="67"/>
      <c r="OK19" s="67"/>
      <c r="OL19" s="67"/>
      <c r="OM19" s="67"/>
      <c r="OO19" s="155"/>
      <c r="OP19" s="155"/>
      <c r="OQ19" s="155"/>
      <c r="OR19" s="155"/>
      <c r="OS19" s="155"/>
      <c r="OT19" s="67"/>
      <c r="OU19" s="67"/>
      <c r="OV19" s="67"/>
      <c r="OW19" s="67"/>
      <c r="PA19" s="166"/>
      <c r="PB19" s="166">
        <v>1</v>
      </c>
      <c r="PC19" s="166"/>
      <c r="PD19" s="210">
        <f t="shared" si="96"/>
        <v>1</v>
      </c>
      <c r="PE19" s="166">
        <v>1</v>
      </c>
      <c r="PF19" s="210">
        <f t="shared" si="97"/>
        <v>0</v>
      </c>
      <c r="PG19" s="210">
        <f t="shared" si="98"/>
        <v>0</v>
      </c>
      <c r="PH19" s="210">
        <f t="shared" si="98"/>
        <v>33</v>
      </c>
      <c r="PI19" s="210">
        <f t="shared" si="98"/>
        <v>0</v>
      </c>
      <c r="PJ19" s="210">
        <f t="shared" si="98"/>
        <v>33</v>
      </c>
      <c r="PK19" s="210">
        <f t="shared" si="98"/>
        <v>33</v>
      </c>
      <c r="PL19" s="210">
        <f t="shared" si="98"/>
        <v>0</v>
      </c>
      <c r="PO19" s="172">
        <f t="shared" si="549"/>
        <v>0</v>
      </c>
      <c r="PP19" s="172">
        <f t="shared" si="550"/>
        <v>0</v>
      </c>
      <c r="PQ19" s="172">
        <f t="shared" si="551"/>
        <v>0</v>
      </c>
    </row>
    <row r="20" spans="1:433" ht="16" x14ac:dyDescent="0.2">
      <c r="A20" s="19">
        <f t="shared" si="163"/>
        <v>12</v>
      </c>
      <c r="B20" s="269" t="s">
        <v>682</v>
      </c>
      <c r="C20" s="186">
        <v>6</v>
      </c>
      <c r="D20" s="188">
        <v>1</v>
      </c>
      <c r="E20" s="188">
        <v>17</v>
      </c>
      <c r="F20" s="188">
        <v>1</v>
      </c>
      <c r="G20" s="188">
        <f t="shared" ref="G20" si="553">E20</f>
        <v>17</v>
      </c>
      <c r="H20" s="214">
        <f t="shared" si="383"/>
        <v>1</v>
      </c>
      <c r="I20" s="214">
        <f t="shared" si="384"/>
        <v>1</v>
      </c>
      <c r="J20" s="188">
        <v>1</v>
      </c>
      <c r="K20" s="188">
        <f t="shared" si="385"/>
        <v>17</v>
      </c>
      <c r="L20" s="214">
        <f t="shared" si="386"/>
        <v>1</v>
      </c>
      <c r="M20" s="214">
        <f t="shared" si="387"/>
        <v>1</v>
      </c>
      <c r="N20" s="188">
        <v>1</v>
      </c>
      <c r="O20" s="20">
        <f t="shared" si="388"/>
        <v>17</v>
      </c>
      <c r="P20" s="137">
        <f t="shared" si="389"/>
        <v>1</v>
      </c>
      <c r="Q20" s="137">
        <f t="shared" si="390"/>
        <v>1</v>
      </c>
      <c r="R20" s="20"/>
      <c r="S20" s="20">
        <f t="shared" si="391"/>
        <v>0</v>
      </c>
      <c r="T20" s="137">
        <f t="shared" si="392"/>
        <v>0</v>
      </c>
      <c r="U20" s="137">
        <f t="shared" si="393"/>
        <v>0</v>
      </c>
      <c r="V20" s="20"/>
      <c r="W20" s="20">
        <f t="shared" si="394"/>
        <v>0</v>
      </c>
      <c r="X20" s="137">
        <f t="shared" si="395"/>
        <v>0</v>
      </c>
      <c r="Y20" s="137">
        <f t="shared" si="396"/>
        <v>0</v>
      </c>
      <c r="Z20" s="38"/>
      <c r="AA20" s="38"/>
      <c r="AB20" s="17">
        <f t="shared" si="397"/>
        <v>0</v>
      </c>
      <c r="AC20" s="18">
        <f t="shared" si="398"/>
        <v>0</v>
      </c>
      <c r="AD20" s="18">
        <f t="shared" si="399"/>
        <v>0</v>
      </c>
      <c r="AE20" s="38"/>
      <c r="AF20" s="31">
        <f t="shared" si="400"/>
        <v>0</v>
      </c>
      <c r="AG20" s="31"/>
      <c r="AH20" s="31"/>
      <c r="AI20" s="17"/>
      <c r="AJ20" s="17"/>
      <c r="AK20" s="17"/>
      <c r="AL20" s="17"/>
      <c r="AM20" s="17"/>
      <c r="AN20" s="139">
        <v>1</v>
      </c>
      <c r="AO20" s="17">
        <f t="shared" si="401"/>
        <v>0</v>
      </c>
      <c r="AP20" s="17">
        <f t="shared" si="402"/>
        <v>0</v>
      </c>
      <c r="AQ20" s="17">
        <f t="shared" si="403"/>
        <v>0</v>
      </c>
      <c r="AR20" s="17">
        <f t="shared" si="404"/>
        <v>0</v>
      </c>
      <c r="AS20" s="17">
        <f t="shared" si="405"/>
        <v>0</v>
      </c>
      <c r="AT20" s="17">
        <f t="shared" si="406"/>
        <v>0</v>
      </c>
      <c r="AU20" s="17">
        <f t="shared" si="407"/>
        <v>0</v>
      </c>
      <c r="AV20" s="17">
        <f t="shared" si="408"/>
        <v>0</v>
      </c>
      <c r="AW20" s="17">
        <f t="shared" si="409"/>
        <v>0</v>
      </c>
      <c r="AX20" s="17">
        <f t="shared" si="410"/>
        <v>0</v>
      </c>
      <c r="AY20" s="17">
        <f t="shared" si="411"/>
        <v>0</v>
      </c>
      <c r="AZ20" s="17">
        <f t="shared" si="412"/>
        <v>0</v>
      </c>
      <c r="BA20" s="17">
        <f t="shared" si="413"/>
        <v>0</v>
      </c>
      <c r="BB20" s="20">
        <f t="shared" si="414"/>
        <v>17</v>
      </c>
      <c r="BE20" s="20">
        <f t="shared" si="415"/>
        <v>0</v>
      </c>
      <c r="BF20" s="20">
        <f t="shared" si="416"/>
        <v>0</v>
      </c>
      <c r="BG20" s="20">
        <f t="shared" si="417"/>
        <v>0</v>
      </c>
      <c r="BH20" s="20">
        <f t="shared" si="418"/>
        <v>0</v>
      </c>
      <c r="BI20" s="20">
        <f t="shared" si="419"/>
        <v>0</v>
      </c>
      <c r="BJ20" s="20">
        <f t="shared" si="420"/>
        <v>0</v>
      </c>
      <c r="BK20" s="20">
        <f t="shared" si="421"/>
        <v>0</v>
      </c>
      <c r="BN20" s="139"/>
      <c r="BO20" s="139"/>
      <c r="BP20" s="139"/>
      <c r="BQ20" s="139"/>
      <c r="BR20" s="139"/>
      <c r="BS20" s="139"/>
      <c r="BT20" s="139"/>
      <c r="BU20" s="139"/>
      <c r="BV20" s="139"/>
      <c r="BW20" s="139"/>
      <c r="BX20" s="139"/>
      <c r="BY20" s="139"/>
      <c r="BZ20" s="139"/>
      <c r="CB20" s="139"/>
      <c r="CD20" s="139">
        <f t="shared" si="422"/>
        <v>0</v>
      </c>
      <c r="CE20" s="139">
        <f t="shared" si="423"/>
        <v>0</v>
      </c>
      <c r="CF20" s="139">
        <f t="shared" si="424"/>
        <v>0</v>
      </c>
      <c r="CG20" s="139">
        <f t="shared" si="425"/>
        <v>0</v>
      </c>
      <c r="CH20" s="139">
        <f t="shared" si="426"/>
        <v>0</v>
      </c>
      <c r="CI20" s="139">
        <f t="shared" si="427"/>
        <v>0</v>
      </c>
      <c r="CJ20" s="139">
        <f t="shared" si="428"/>
        <v>0</v>
      </c>
      <c r="CK20" s="139">
        <f t="shared" si="429"/>
        <v>0</v>
      </c>
      <c r="CL20" s="139">
        <f t="shared" si="430"/>
        <v>0</v>
      </c>
      <c r="CM20" s="139">
        <f t="shared" si="431"/>
        <v>0</v>
      </c>
      <c r="CN20" s="139">
        <f t="shared" si="432"/>
        <v>0</v>
      </c>
      <c r="CO20" s="139">
        <f t="shared" si="433"/>
        <v>0</v>
      </c>
      <c r="CP20" s="139">
        <f t="shared" si="434"/>
        <v>0</v>
      </c>
      <c r="DV20" s="139">
        <f t="shared" si="435"/>
        <v>0</v>
      </c>
      <c r="DW20" s="139">
        <f t="shared" si="436"/>
        <v>0</v>
      </c>
      <c r="DX20" s="139">
        <f t="shared" si="437"/>
        <v>0</v>
      </c>
      <c r="DY20" s="139">
        <f t="shared" si="438"/>
        <v>0</v>
      </c>
      <c r="DZ20" s="139">
        <f t="shared" si="439"/>
        <v>0</v>
      </c>
      <c r="EA20" s="139">
        <f t="shared" si="440"/>
        <v>0</v>
      </c>
      <c r="EB20" s="139">
        <f t="shared" si="441"/>
        <v>0</v>
      </c>
      <c r="ED20" s="46" t="s">
        <v>301</v>
      </c>
      <c r="EE20" s="46" t="s">
        <v>374</v>
      </c>
      <c r="EF20" s="56"/>
      <c r="EG20" s="57">
        <f t="shared" si="442"/>
        <v>0</v>
      </c>
      <c r="EH20" s="57">
        <f t="shared" si="443"/>
        <v>0</v>
      </c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X20" s="80"/>
      <c r="FY20" s="17">
        <f t="shared" si="444"/>
        <v>0</v>
      </c>
      <c r="FZ20" s="17">
        <f t="shared" si="445"/>
        <v>0</v>
      </c>
      <c r="GA20" s="17">
        <f t="shared" si="446"/>
        <v>0</v>
      </c>
      <c r="GB20" s="17">
        <f t="shared" si="447"/>
        <v>0</v>
      </c>
      <c r="GC20" s="17">
        <f t="shared" si="448"/>
        <v>0</v>
      </c>
      <c r="GD20" s="17">
        <f t="shared" si="449"/>
        <v>0</v>
      </c>
      <c r="GE20" s="17">
        <f t="shared" si="450"/>
        <v>0</v>
      </c>
      <c r="GF20" s="67"/>
      <c r="GG20" s="17">
        <v>0</v>
      </c>
      <c r="GH20" s="17">
        <v>0</v>
      </c>
      <c r="GI20" s="67"/>
      <c r="GJ20" s="62">
        <f t="shared" si="451"/>
        <v>0</v>
      </c>
      <c r="GK20" s="62">
        <f t="shared" si="452"/>
        <v>0</v>
      </c>
      <c r="GO20" s="17">
        <f t="shared" si="453"/>
        <v>0</v>
      </c>
      <c r="GP20" s="17">
        <f t="shared" si="454"/>
        <v>0</v>
      </c>
      <c r="GQ20" s="17">
        <f t="shared" si="455"/>
        <v>0</v>
      </c>
      <c r="GR20" s="17">
        <f t="shared" si="456"/>
        <v>1</v>
      </c>
      <c r="GS20" s="17">
        <f t="shared" si="457"/>
        <v>1</v>
      </c>
      <c r="GT20" s="17">
        <f t="shared" si="458"/>
        <v>0</v>
      </c>
      <c r="GU20" s="101">
        <f t="shared" si="117"/>
        <v>43243</v>
      </c>
      <c r="GV20" s="17" t="str">
        <f t="shared" si="459"/>
        <v>Musyawarah</v>
      </c>
      <c r="GW20" s="17">
        <f t="shared" si="460"/>
        <v>1</v>
      </c>
      <c r="GX20" s="66" t="str">
        <f t="shared" si="461"/>
        <v>Musyawarah</v>
      </c>
      <c r="GY20" s="66">
        <f t="shared" si="462"/>
        <v>24</v>
      </c>
      <c r="GZ20" s="102">
        <f t="shared" si="463"/>
        <v>43267</v>
      </c>
      <c r="HA20" s="83"/>
      <c r="HB20" s="83"/>
      <c r="HC20" s="17">
        <f t="shared" si="464"/>
        <v>0</v>
      </c>
      <c r="HD20" s="17">
        <f t="shared" si="465"/>
        <v>0</v>
      </c>
      <c r="HE20" s="17">
        <f t="shared" si="466"/>
        <v>0</v>
      </c>
      <c r="HF20" s="17">
        <f t="shared" si="467"/>
        <v>0</v>
      </c>
      <c r="HG20" s="17">
        <f t="shared" si="468"/>
        <v>0</v>
      </c>
      <c r="HH20" s="101" t="str">
        <f t="shared" si="469"/>
        <v>TIDAK KONSINYASI</v>
      </c>
      <c r="HI20" s="101">
        <f t="shared" si="470"/>
        <v>43312</v>
      </c>
      <c r="HJ20" s="27"/>
      <c r="HK20" s="101">
        <f t="shared" si="471"/>
        <v>43312</v>
      </c>
      <c r="HL20" s="83"/>
      <c r="HM20" s="83"/>
      <c r="HN20" s="83"/>
      <c r="HO20" s="83"/>
      <c r="HP20" s="102">
        <f t="shared" si="472"/>
        <v>0</v>
      </c>
      <c r="HQ20" s="66">
        <f t="shared" si="473"/>
        <v>0</v>
      </c>
      <c r="HR20" s="66">
        <f t="shared" si="474"/>
        <v>0</v>
      </c>
      <c r="HS20" s="102">
        <f t="shared" si="475"/>
        <v>0</v>
      </c>
      <c r="HT20" s="66">
        <f t="shared" si="476"/>
        <v>0</v>
      </c>
      <c r="HU20" s="66">
        <f t="shared" si="477"/>
        <v>0</v>
      </c>
      <c r="HV20" s="102">
        <f t="shared" si="478"/>
        <v>0</v>
      </c>
      <c r="HW20" s="66">
        <f t="shared" si="479"/>
        <v>0</v>
      </c>
      <c r="HX20" s="66">
        <f t="shared" si="480"/>
        <v>0</v>
      </c>
      <c r="HY20" s="102">
        <f t="shared" si="481"/>
        <v>0</v>
      </c>
      <c r="HZ20" s="66">
        <f t="shared" si="482"/>
        <v>0</v>
      </c>
      <c r="IA20" s="66">
        <f t="shared" si="483"/>
        <v>0</v>
      </c>
      <c r="IB20" s="102">
        <f t="shared" si="484"/>
        <v>0</v>
      </c>
      <c r="IC20" s="66">
        <f t="shared" si="485"/>
        <v>0</v>
      </c>
      <c r="ID20" s="66">
        <f t="shared" si="486"/>
        <v>0</v>
      </c>
      <c r="IE20" s="102">
        <f t="shared" si="487"/>
        <v>0</v>
      </c>
      <c r="IF20" s="66">
        <f t="shared" si="488"/>
        <v>0</v>
      </c>
      <c r="IG20" s="66">
        <f t="shared" si="489"/>
        <v>0</v>
      </c>
      <c r="IH20" s="102">
        <f t="shared" si="490"/>
        <v>0</v>
      </c>
      <c r="II20" s="66">
        <f t="shared" si="491"/>
        <v>0</v>
      </c>
      <c r="IJ20" s="66">
        <f t="shared" si="492"/>
        <v>0</v>
      </c>
      <c r="IK20" s="102">
        <f t="shared" si="493"/>
        <v>0</v>
      </c>
      <c r="IL20" s="66">
        <f t="shared" si="494"/>
        <v>0</v>
      </c>
      <c r="IM20" s="66">
        <f t="shared" si="495"/>
        <v>0</v>
      </c>
      <c r="IN20" s="83"/>
      <c r="IO20" s="102">
        <f t="shared" si="496"/>
        <v>0</v>
      </c>
      <c r="IP20" s="66">
        <f t="shared" si="497"/>
        <v>0</v>
      </c>
      <c r="IQ20" s="66">
        <f t="shared" si="498"/>
        <v>0</v>
      </c>
      <c r="IR20" s="83"/>
      <c r="IS20" s="102"/>
      <c r="IT20" s="66">
        <f t="shared" si="499"/>
        <v>0</v>
      </c>
      <c r="IU20" s="66">
        <f t="shared" si="500"/>
        <v>0</v>
      </c>
      <c r="IV20" s="83"/>
      <c r="IW20" s="102"/>
      <c r="IX20" s="66">
        <f t="shared" si="501"/>
        <v>0</v>
      </c>
      <c r="IY20" s="66">
        <f t="shared" si="502"/>
        <v>0</v>
      </c>
      <c r="IZ20" s="83"/>
      <c r="JA20" s="102"/>
      <c r="JB20" s="66">
        <f t="shared" si="503"/>
        <v>1</v>
      </c>
      <c r="JC20" s="66">
        <f t="shared" si="504"/>
        <v>17</v>
      </c>
      <c r="JD20" s="83"/>
      <c r="JE20" s="102"/>
      <c r="JF20" s="66">
        <f t="shared" si="505"/>
        <v>1</v>
      </c>
      <c r="JG20" s="66">
        <f t="shared" si="506"/>
        <v>17</v>
      </c>
      <c r="JH20" s="83"/>
      <c r="JI20" s="102"/>
      <c r="JJ20" s="66">
        <f t="shared" si="507"/>
        <v>0</v>
      </c>
      <c r="JK20" s="66">
        <f t="shared" si="508"/>
        <v>0</v>
      </c>
      <c r="JM20" s="102">
        <f t="shared" si="509"/>
        <v>0</v>
      </c>
      <c r="JO20" s="29">
        <f t="shared" si="510"/>
        <v>0</v>
      </c>
      <c r="JP20" s="122">
        <f t="shared" si="511"/>
        <v>0</v>
      </c>
      <c r="JQ20" s="122">
        <f t="shared" si="512"/>
        <v>0</v>
      </c>
      <c r="JR20" s="122">
        <f t="shared" si="513"/>
        <v>0</v>
      </c>
      <c r="JS20" s="122">
        <f t="shared" si="514"/>
        <v>0</v>
      </c>
      <c r="JT20" s="122">
        <f t="shared" si="515"/>
        <v>0</v>
      </c>
      <c r="JU20" s="122">
        <f t="shared" si="516"/>
        <v>0</v>
      </c>
      <c r="JV20" s="122">
        <f t="shared" si="517"/>
        <v>0</v>
      </c>
      <c r="JW20" s="122">
        <f t="shared" si="518"/>
        <v>0</v>
      </c>
      <c r="JX20" s="122">
        <f t="shared" si="519"/>
        <v>0</v>
      </c>
      <c r="JY20" s="122">
        <f t="shared" si="520"/>
        <v>0</v>
      </c>
      <c r="JZ20" s="122">
        <f t="shared" si="521"/>
        <v>0</v>
      </c>
      <c r="KA20" s="122">
        <f t="shared" si="522"/>
        <v>0</v>
      </c>
      <c r="KB20" s="122">
        <f t="shared" si="523"/>
        <v>0</v>
      </c>
      <c r="KD20" s="122">
        <f t="shared" si="524"/>
        <v>0</v>
      </c>
      <c r="KE20" s="122">
        <f t="shared" si="525"/>
        <v>0</v>
      </c>
      <c r="KF20" s="122">
        <f t="shared" si="526"/>
        <v>0</v>
      </c>
      <c r="KG20" s="122">
        <f t="shared" si="527"/>
        <v>0</v>
      </c>
      <c r="KH20" s="122">
        <f t="shared" si="528"/>
        <v>0</v>
      </c>
      <c r="KI20" s="122">
        <f t="shared" si="529"/>
        <v>0</v>
      </c>
      <c r="KJ20" s="122">
        <f t="shared" si="530"/>
        <v>0</v>
      </c>
      <c r="KK20" s="122">
        <f t="shared" si="531"/>
        <v>0</v>
      </c>
      <c r="KL20" s="122">
        <f t="shared" si="532"/>
        <v>0</v>
      </c>
      <c r="KM20" s="122">
        <f t="shared" si="533"/>
        <v>0</v>
      </c>
      <c r="KN20" s="123">
        <f t="shared" si="534"/>
        <v>0</v>
      </c>
      <c r="KO20" s="123">
        <f t="shared" si="535"/>
        <v>0</v>
      </c>
      <c r="KP20" s="123">
        <f t="shared" si="536"/>
        <v>0</v>
      </c>
      <c r="KQ20" s="123">
        <f t="shared" si="537"/>
        <v>0</v>
      </c>
      <c r="KR20" s="123">
        <f t="shared" si="538"/>
        <v>0</v>
      </c>
      <c r="KS20">
        <v>7</v>
      </c>
      <c r="KT20">
        <f t="shared" si="539"/>
        <v>1</v>
      </c>
      <c r="KU20" s="123"/>
      <c r="KV20" s="123"/>
      <c r="KW20" s="123"/>
      <c r="KX20" s="123"/>
      <c r="KY20" s="123"/>
      <c r="KZ20" s="123"/>
      <c r="LA20" s="123"/>
      <c r="LB20" s="123"/>
      <c r="LC20" s="123"/>
      <c r="LD20" s="123"/>
      <c r="LE20" s="123"/>
      <c r="LF20" s="123"/>
      <c r="LG20" s="123"/>
      <c r="LH20" s="123"/>
      <c r="LI20" s="123"/>
      <c r="LJ20" s="123"/>
      <c r="LK20" s="123"/>
      <c r="LL20" s="123"/>
      <c r="LM20" s="123"/>
      <c r="LN20" s="123"/>
      <c r="LO20" s="123"/>
      <c r="LP20" s="123"/>
      <c r="LQ20" s="123"/>
      <c r="LR20" s="123"/>
      <c r="LS20" s="123"/>
      <c r="LT20" s="123"/>
      <c r="LU20" s="123"/>
      <c r="LV20" s="123"/>
      <c r="LW20" s="123"/>
      <c r="LX20" s="123"/>
      <c r="LY20" s="123"/>
      <c r="LZ20" s="123"/>
      <c r="MA20" s="123"/>
      <c r="MB20" s="123"/>
      <c r="MC20" s="123"/>
      <c r="MD20" s="123"/>
      <c r="ME20" s="123"/>
      <c r="MF20" s="123"/>
      <c r="MG20" s="123"/>
      <c r="MH20" s="123"/>
      <c r="MI20" s="123"/>
      <c r="MJ20" s="123"/>
      <c r="MK20" s="123"/>
      <c r="ML20" s="123"/>
      <c r="MM20" s="123"/>
      <c r="MN20" s="123"/>
      <c r="MO20" s="123"/>
      <c r="MP20" s="123"/>
      <c r="MQ20" s="123"/>
      <c r="MR20" s="123"/>
      <c r="MS20" s="123"/>
      <c r="MT20" s="123"/>
      <c r="MU20" s="123"/>
      <c r="MV20" s="123"/>
      <c r="MW20" s="123"/>
      <c r="MX20" s="123"/>
      <c r="MY20" s="123"/>
      <c r="MZ20" s="123"/>
      <c r="NA20" s="123"/>
      <c r="NB20" s="123"/>
      <c r="NC20" s="123"/>
      <c r="ND20" s="123"/>
      <c r="NE20" s="123"/>
      <c r="NF20" s="123"/>
      <c r="NG20" s="123"/>
      <c r="NH20" s="123"/>
      <c r="NI20" s="123"/>
      <c r="NJ20" s="123"/>
      <c r="NK20" s="123"/>
      <c r="NM20">
        <f t="shared" si="540"/>
        <v>0</v>
      </c>
      <c r="NN20">
        <f t="shared" si="541"/>
        <v>0</v>
      </c>
      <c r="NO20">
        <f t="shared" si="542"/>
        <v>0</v>
      </c>
      <c r="NP20">
        <f t="shared" si="543"/>
        <v>0</v>
      </c>
      <c r="NQ20">
        <f t="shared" si="544"/>
        <v>0</v>
      </c>
      <c r="NR20">
        <f t="shared" si="545"/>
        <v>0</v>
      </c>
      <c r="NS20">
        <f t="shared" si="546"/>
        <v>1</v>
      </c>
      <c r="NT20">
        <f t="shared" si="547"/>
        <v>1</v>
      </c>
      <c r="NU20">
        <f t="shared" si="548"/>
        <v>0</v>
      </c>
      <c r="NY20" s="29"/>
      <c r="NZ20" s="152"/>
      <c r="OE20" s="155"/>
      <c r="OF20" s="155"/>
      <c r="OG20" s="155"/>
      <c r="OH20" s="155"/>
      <c r="OI20" s="155"/>
      <c r="OJ20" s="67"/>
      <c r="OK20" s="67"/>
      <c r="OL20" s="67"/>
      <c r="OM20" s="67"/>
      <c r="OO20" s="155"/>
      <c r="OP20" s="155"/>
      <c r="OQ20" s="155"/>
      <c r="OR20" s="155"/>
      <c r="OS20" s="155"/>
      <c r="OT20" s="67"/>
      <c r="OU20" s="67"/>
      <c r="OV20" s="67"/>
      <c r="OW20" s="67"/>
      <c r="PA20" s="166"/>
      <c r="PB20" s="166">
        <v>1</v>
      </c>
      <c r="PC20" s="166"/>
      <c r="PD20" s="210">
        <f t="shared" si="96"/>
        <v>1</v>
      </c>
      <c r="PE20" s="166">
        <v>1</v>
      </c>
      <c r="PF20" s="210">
        <f t="shared" si="97"/>
        <v>0</v>
      </c>
      <c r="PG20" s="210">
        <f t="shared" si="98"/>
        <v>0</v>
      </c>
      <c r="PH20" s="210">
        <f t="shared" si="98"/>
        <v>17</v>
      </c>
      <c r="PI20" s="210">
        <f t="shared" si="98"/>
        <v>0</v>
      </c>
      <c r="PJ20" s="210">
        <f t="shared" si="98"/>
        <v>17</v>
      </c>
      <c r="PK20" s="210">
        <f t="shared" si="98"/>
        <v>17</v>
      </c>
      <c r="PL20" s="210">
        <f t="shared" si="98"/>
        <v>0</v>
      </c>
      <c r="PO20" s="172">
        <f t="shared" si="549"/>
        <v>0</v>
      </c>
      <c r="PP20" s="172">
        <f t="shared" si="550"/>
        <v>0</v>
      </c>
      <c r="PQ20" s="172">
        <f t="shared" si="551"/>
        <v>0</v>
      </c>
    </row>
    <row r="21" spans="1:433" ht="16" x14ac:dyDescent="0.2">
      <c r="A21" s="19">
        <f t="shared" si="163"/>
        <v>13</v>
      </c>
      <c r="B21" s="269" t="s">
        <v>680</v>
      </c>
      <c r="C21" s="186">
        <v>7</v>
      </c>
      <c r="D21" s="188">
        <v>1</v>
      </c>
      <c r="E21" s="188">
        <v>12</v>
      </c>
      <c r="F21" s="188">
        <v>1</v>
      </c>
      <c r="G21" s="188">
        <f t="shared" ref="G21" si="554">E21</f>
        <v>12</v>
      </c>
      <c r="H21" s="214">
        <f t="shared" si="383"/>
        <v>1</v>
      </c>
      <c r="I21" s="214">
        <f t="shared" si="384"/>
        <v>1</v>
      </c>
      <c r="J21" s="188">
        <v>1</v>
      </c>
      <c r="K21" s="188">
        <f t="shared" si="385"/>
        <v>12</v>
      </c>
      <c r="L21" s="214">
        <f t="shared" si="386"/>
        <v>1</v>
      </c>
      <c r="M21" s="214">
        <f t="shared" si="387"/>
        <v>1</v>
      </c>
      <c r="N21" s="188">
        <v>1</v>
      </c>
      <c r="O21" s="20">
        <f t="shared" si="388"/>
        <v>12</v>
      </c>
      <c r="P21" s="137">
        <f t="shared" si="389"/>
        <v>1</v>
      </c>
      <c r="Q21" s="137">
        <f t="shared" si="390"/>
        <v>1</v>
      </c>
      <c r="R21" s="20"/>
      <c r="S21" s="20">
        <f t="shared" si="391"/>
        <v>0</v>
      </c>
      <c r="T21" s="137">
        <f t="shared" si="392"/>
        <v>0</v>
      </c>
      <c r="U21" s="137">
        <f t="shared" si="393"/>
        <v>0</v>
      </c>
      <c r="V21" s="20"/>
      <c r="W21" s="20">
        <f t="shared" si="394"/>
        <v>0</v>
      </c>
      <c r="X21" s="137">
        <f t="shared" si="395"/>
        <v>0</v>
      </c>
      <c r="Y21" s="137">
        <f t="shared" si="396"/>
        <v>0</v>
      </c>
      <c r="Z21" s="38"/>
      <c r="AA21" s="38"/>
      <c r="AB21" s="17">
        <f t="shared" si="397"/>
        <v>0</v>
      </c>
      <c r="AC21" s="18">
        <f t="shared" si="398"/>
        <v>0</v>
      </c>
      <c r="AD21" s="18">
        <f t="shared" si="399"/>
        <v>0</v>
      </c>
      <c r="AE21" s="38"/>
      <c r="AF21" s="31">
        <f t="shared" si="400"/>
        <v>0</v>
      </c>
      <c r="AG21" s="31"/>
      <c r="AH21" s="31"/>
      <c r="AI21" s="17"/>
      <c r="AJ21" s="17"/>
      <c r="AK21" s="17"/>
      <c r="AL21" s="17"/>
      <c r="AM21" s="17"/>
      <c r="AN21" s="139">
        <v>1</v>
      </c>
      <c r="AO21" s="17">
        <f t="shared" si="401"/>
        <v>0</v>
      </c>
      <c r="AP21" s="17">
        <f t="shared" si="402"/>
        <v>0</v>
      </c>
      <c r="AQ21" s="17">
        <f t="shared" si="403"/>
        <v>0</v>
      </c>
      <c r="AR21" s="17">
        <f t="shared" si="404"/>
        <v>0</v>
      </c>
      <c r="AS21" s="17">
        <f t="shared" si="405"/>
        <v>0</v>
      </c>
      <c r="AT21" s="17">
        <f t="shared" si="406"/>
        <v>0</v>
      </c>
      <c r="AU21" s="17">
        <f t="shared" si="407"/>
        <v>0</v>
      </c>
      <c r="AV21" s="17">
        <f t="shared" si="408"/>
        <v>0</v>
      </c>
      <c r="AW21" s="17">
        <f t="shared" si="409"/>
        <v>0</v>
      </c>
      <c r="AX21" s="17">
        <f t="shared" si="410"/>
        <v>0</v>
      </c>
      <c r="AY21" s="17">
        <f t="shared" si="411"/>
        <v>0</v>
      </c>
      <c r="AZ21" s="17">
        <f t="shared" si="412"/>
        <v>0</v>
      </c>
      <c r="BA21" s="17">
        <f t="shared" si="413"/>
        <v>0</v>
      </c>
      <c r="BB21" s="20">
        <f t="shared" si="414"/>
        <v>12</v>
      </c>
      <c r="BE21" s="20">
        <f t="shared" si="415"/>
        <v>0</v>
      </c>
      <c r="BF21" s="20">
        <f t="shared" si="416"/>
        <v>0</v>
      </c>
      <c r="BG21" s="20">
        <f t="shared" si="417"/>
        <v>0</v>
      </c>
      <c r="BH21" s="20">
        <f t="shared" si="418"/>
        <v>0</v>
      </c>
      <c r="BI21" s="20">
        <f t="shared" si="419"/>
        <v>0</v>
      </c>
      <c r="BJ21" s="20">
        <f t="shared" si="420"/>
        <v>0</v>
      </c>
      <c r="BK21" s="20">
        <f t="shared" si="421"/>
        <v>0</v>
      </c>
      <c r="BN21" s="139"/>
      <c r="BO21" s="139"/>
      <c r="BP21" s="139"/>
      <c r="BQ21" s="139"/>
      <c r="BR21" s="139"/>
      <c r="BS21" s="139"/>
      <c r="BT21" s="139"/>
      <c r="BU21" s="139"/>
      <c r="BV21" s="139"/>
      <c r="BW21" s="139"/>
      <c r="BX21" s="139"/>
      <c r="BY21" s="139"/>
      <c r="BZ21" s="139"/>
      <c r="CB21" s="139"/>
      <c r="CD21" s="139">
        <f t="shared" si="422"/>
        <v>0</v>
      </c>
      <c r="CE21" s="139">
        <f t="shared" si="423"/>
        <v>0</v>
      </c>
      <c r="CF21" s="139">
        <f t="shared" si="424"/>
        <v>0</v>
      </c>
      <c r="CG21" s="139">
        <f t="shared" si="425"/>
        <v>0</v>
      </c>
      <c r="CH21" s="139">
        <f t="shared" si="426"/>
        <v>0</v>
      </c>
      <c r="CI21" s="139">
        <f t="shared" si="427"/>
        <v>0</v>
      </c>
      <c r="CJ21" s="139">
        <f t="shared" si="428"/>
        <v>0</v>
      </c>
      <c r="CK21" s="139">
        <f t="shared" si="429"/>
        <v>0</v>
      </c>
      <c r="CL21" s="139">
        <f t="shared" si="430"/>
        <v>0</v>
      </c>
      <c r="CM21" s="139">
        <f t="shared" si="431"/>
        <v>0</v>
      </c>
      <c r="CN21" s="139">
        <f t="shared" si="432"/>
        <v>0</v>
      </c>
      <c r="CO21" s="139">
        <f t="shared" si="433"/>
        <v>0</v>
      </c>
      <c r="CP21" s="139">
        <f t="shared" si="434"/>
        <v>0</v>
      </c>
      <c r="DV21" s="139">
        <f t="shared" si="435"/>
        <v>0</v>
      </c>
      <c r="DW21" s="139">
        <f t="shared" si="436"/>
        <v>0</v>
      </c>
      <c r="DX21" s="139">
        <f t="shared" si="437"/>
        <v>0</v>
      </c>
      <c r="DY21" s="139">
        <f t="shared" si="438"/>
        <v>0</v>
      </c>
      <c r="DZ21" s="139">
        <f t="shared" si="439"/>
        <v>0</v>
      </c>
      <c r="EA21" s="139">
        <f t="shared" si="440"/>
        <v>0</v>
      </c>
      <c r="EB21" s="139">
        <f t="shared" si="441"/>
        <v>0</v>
      </c>
      <c r="ED21" s="46" t="s">
        <v>301</v>
      </c>
      <c r="EE21" s="46" t="s">
        <v>374</v>
      </c>
      <c r="EF21" s="56"/>
      <c r="EG21" s="57">
        <f t="shared" si="442"/>
        <v>0</v>
      </c>
      <c r="EH21" s="57">
        <f t="shared" si="443"/>
        <v>0</v>
      </c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X21" s="80"/>
      <c r="FY21" s="17">
        <f t="shared" si="444"/>
        <v>0</v>
      </c>
      <c r="FZ21" s="17">
        <f t="shared" si="445"/>
        <v>0</v>
      </c>
      <c r="GA21" s="17">
        <f t="shared" si="446"/>
        <v>0</v>
      </c>
      <c r="GB21" s="17">
        <f t="shared" si="447"/>
        <v>0</v>
      </c>
      <c r="GC21" s="17">
        <f t="shared" si="448"/>
        <v>0</v>
      </c>
      <c r="GD21" s="17">
        <f t="shared" si="449"/>
        <v>0</v>
      </c>
      <c r="GE21" s="17">
        <f t="shared" si="450"/>
        <v>0</v>
      </c>
      <c r="GF21" s="67"/>
      <c r="GG21" s="17">
        <v>0</v>
      </c>
      <c r="GH21" s="17">
        <v>0</v>
      </c>
      <c r="GI21" s="67"/>
      <c r="GJ21" s="62">
        <f t="shared" si="451"/>
        <v>0</v>
      </c>
      <c r="GK21" s="62">
        <f t="shared" si="452"/>
        <v>0</v>
      </c>
      <c r="GO21" s="17">
        <f t="shared" si="453"/>
        <v>0</v>
      </c>
      <c r="GP21" s="17">
        <f t="shared" si="454"/>
        <v>0</v>
      </c>
      <c r="GQ21" s="17">
        <f t="shared" si="455"/>
        <v>0</v>
      </c>
      <c r="GR21" s="17">
        <f t="shared" si="456"/>
        <v>1</v>
      </c>
      <c r="GS21" s="17">
        <f t="shared" si="457"/>
        <v>1</v>
      </c>
      <c r="GT21" s="17">
        <f t="shared" si="458"/>
        <v>0</v>
      </c>
      <c r="GU21" s="101">
        <f t="shared" si="117"/>
        <v>43243</v>
      </c>
      <c r="GV21" s="17" t="str">
        <f t="shared" si="459"/>
        <v>Musyawarah</v>
      </c>
      <c r="GW21" s="17">
        <f t="shared" si="460"/>
        <v>1</v>
      </c>
      <c r="GX21" s="66" t="str">
        <f t="shared" si="461"/>
        <v>Musyawarah</v>
      </c>
      <c r="GY21" s="66">
        <f t="shared" si="462"/>
        <v>24</v>
      </c>
      <c r="GZ21" s="102">
        <f t="shared" si="463"/>
        <v>43267</v>
      </c>
      <c r="HA21" s="83"/>
      <c r="HB21" s="83"/>
      <c r="HC21" s="17">
        <f t="shared" si="464"/>
        <v>0</v>
      </c>
      <c r="HD21" s="17">
        <f t="shared" si="465"/>
        <v>0</v>
      </c>
      <c r="HE21" s="17">
        <f t="shared" si="466"/>
        <v>0</v>
      </c>
      <c r="HF21" s="17">
        <f t="shared" si="467"/>
        <v>0</v>
      </c>
      <c r="HG21" s="17">
        <f t="shared" si="468"/>
        <v>0</v>
      </c>
      <c r="HH21" s="101" t="str">
        <f t="shared" si="469"/>
        <v>TIDAK KONSINYASI</v>
      </c>
      <c r="HI21" s="101">
        <f t="shared" si="470"/>
        <v>43312</v>
      </c>
      <c r="HJ21" s="27"/>
      <c r="HK21" s="101">
        <f t="shared" si="471"/>
        <v>43312</v>
      </c>
      <c r="HL21" s="83"/>
      <c r="HM21" s="83"/>
      <c r="HN21" s="83"/>
      <c r="HO21" s="83"/>
      <c r="HP21" s="102">
        <f t="shared" si="472"/>
        <v>0</v>
      </c>
      <c r="HQ21" s="66">
        <f t="shared" si="473"/>
        <v>0</v>
      </c>
      <c r="HR21" s="66">
        <f t="shared" si="474"/>
        <v>0</v>
      </c>
      <c r="HS21" s="102">
        <f t="shared" si="475"/>
        <v>0</v>
      </c>
      <c r="HT21" s="66">
        <f t="shared" si="476"/>
        <v>0</v>
      </c>
      <c r="HU21" s="66">
        <f t="shared" si="477"/>
        <v>0</v>
      </c>
      <c r="HV21" s="102">
        <f t="shared" si="478"/>
        <v>0</v>
      </c>
      <c r="HW21" s="66">
        <f t="shared" si="479"/>
        <v>0</v>
      </c>
      <c r="HX21" s="66">
        <f t="shared" si="480"/>
        <v>0</v>
      </c>
      <c r="HY21" s="102">
        <f t="shared" si="481"/>
        <v>0</v>
      </c>
      <c r="HZ21" s="66">
        <f t="shared" si="482"/>
        <v>0</v>
      </c>
      <c r="IA21" s="66">
        <f t="shared" si="483"/>
        <v>0</v>
      </c>
      <c r="IB21" s="102">
        <f t="shared" si="484"/>
        <v>0</v>
      </c>
      <c r="IC21" s="66">
        <f t="shared" si="485"/>
        <v>0</v>
      </c>
      <c r="ID21" s="66">
        <f t="shared" si="486"/>
        <v>0</v>
      </c>
      <c r="IE21" s="102">
        <f t="shared" si="487"/>
        <v>0</v>
      </c>
      <c r="IF21" s="66">
        <f t="shared" si="488"/>
        <v>0</v>
      </c>
      <c r="IG21" s="66">
        <f t="shared" si="489"/>
        <v>0</v>
      </c>
      <c r="IH21" s="102">
        <f t="shared" si="490"/>
        <v>0</v>
      </c>
      <c r="II21" s="66">
        <f t="shared" si="491"/>
        <v>0</v>
      </c>
      <c r="IJ21" s="66">
        <f t="shared" si="492"/>
        <v>0</v>
      </c>
      <c r="IK21" s="102">
        <f t="shared" si="493"/>
        <v>0</v>
      </c>
      <c r="IL21" s="66">
        <f t="shared" si="494"/>
        <v>0</v>
      </c>
      <c r="IM21" s="66">
        <f t="shared" si="495"/>
        <v>0</v>
      </c>
      <c r="IN21" s="83"/>
      <c r="IO21" s="102">
        <f t="shared" si="496"/>
        <v>0</v>
      </c>
      <c r="IP21" s="66">
        <f t="shared" si="497"/>
        <v>0</v>
      </c>
      <c r="IQ21" s="66">
        <f t="shared" si="498"/>
        <v>0</v>
      </c>
      <c r="IR21" s="83"/>
      <c r="IS21" s="102"/>
      <c r="IT21" s="66">
        <f t="shared" si="499"/>
        <v>0</v>
      </c>
      <c r="IU21" s="66">
        <f t="shared" si="500"/>
        <v>0</v>
      </c>
      <c r="IV21" s="83"/>
      <c r="IW21" s="102"/>
      <c r="IX21" s="66">
        <f t="shared" si="501"/>
        <v>0</v>
      </c>
      <c r="IY21" s="66">
        <f t="shared" si="502"/>
        <v>0</v>
      </c>
      <c r="IZ21" s="83"/>
      <c r="JA21" s="102"/>
      <c r="JB21" s="66">
        <f t="shared" si="503"/>
        <v>1</v>
      </c>
      <c r="JC21" s="66">
        <f t="shared" si="504"/>
        <v>12</v>
      </c>
      <c r="JD21" s="83"/>
      <c r="JE21" s="102"/>
      <c r="JF21" s="66">
        <f t="shared" si="505"/>
        <v>1</v>
      </c>
      <c r="JG21" s="66">
        <f t="shared" si="506"/>
        <v>12</v>
      </c>
      <c r="JH21" s="83"/>
      <c r="JI21" s="102"/>
      <c r="JJ21" s="66">
        <f t="shared" si="507"/>
        <v>0</v>
      </c>
      <c r="JK21" s="66">
        <f t="shared" si="508"/>
        <v>0</v>
      </c>
      <c r="JM21" s="102">
        <f t="shared" si="509"/>
        <v>0</v>
      </c>
      <c r="JO21" s="29">
        <f t="shared" si="510"/>
        <v>0</v>
      </c>
      <c r="JP21" s="122">
        <f t="shared" si="511"/>
        <v>0</v>
      </c>
      <c r="JQ21" s="122">
        <f t="shared" si="512"/>
        <v>0</v>
      </c>
      <c r="JR21" s="122">
        <f t="shared" si="513"/>
        <v>0</v>
      </c>
      <c r="JS21" s="122">
        <f t="shared" si="514"/>
        <v>0</v>
      </c>
      <c r="JT21" s="122">
        <f t="shared" si="515"/>
        <v>0</v>
      </c>
      <c r="JU21" s="122">
        <f t="shared" si="516"/>
        <v>0</v>
      </c>
      <c r="JV21" s="122">
        <f t="shared" si="517"/>
        <v>0</v>
      </c>
      <c r="JW21" s="122">
        <f t="shared" si="518"/>
        <v>0</v>
      </c>
      <c r="JX21" s="122">
        <f t="shared" si="519"/>
        <v>0</v>
      </c>
      <c r="JY21" s="122">
        <f t="shared" si="520"/>
        <v>0</v>
      </c>
      <c r="JZ21" s="122">
        <f t="shared" si="521"/>
        <v>0</v>
      </c>
      <c r="KA21" s="122">
        <f t="shared" si="522"/>
        <v>0</v>
      </c>
      <c r="KB21" s="122">
        <f t="shared" si="523"/>
        <v>0</v>
      </c>
      <c r="KD21" s="122">
        <f t="shared" si="524"/>
        <v>0</v>
      </c>
      <c r="KE21" s="122">
        <f t="shared" si="525"/>
        <v>0</v>
      </c>
      <c r="KF21" s="122">
        <f t="shared" si="526"/>
        <v>0</v>
      </c>
      <c r="KG21" s="122">
        <f t="shared" si="527"/>
        <v>0</v>
      </c>
      <c r="KH21" s="122">
        <f t="shared" si="528"/>
        <v>0</v>
      </c>
      <c r="KI21" s="122">
        <f t="shared" si="529"/>
        <v>0</v>
      </c>
      <c r="KJ21" s="122">
        <f t="shared" si="530"/>
        <v>0</v>
      </c>
      <c r="KK21" s="122">
        <f t="shared" si="531"/>
        <v>0</v>
      </c>
      <c r="KL21" s="122">
        <f t="shared" si="532"/>
        <v>0</v>
      </c>
      <c r="KM21" s="122">
        <f t="shared" si="533"/>
        <v>0</v>
      </c>
      <c r="KN21" s="123">
        <f t="shared" si="534"/>
        <v>0</v>
      </c>
      <c r="KO21" s="123">
        <f t="shared" si="535"/>
        <v>0</v>
      </c>
      <c r="KP21" s="123">
        <f t="shared" si="536"/>
        <v>0</v>
      </c>
      <c r="KQ21" s="123">
        <f t="shared" si="537"/>
        <v>0</v>
      </c>
      <c r="KR21" s="123">
        <f t="shared" si="538"/>
        <v>0</v>
      </c>
      <c r="KS21">
        <v>7</v>
      </c>
      <c r="KT21">
        <f t="shared" si="539"/>
        <v>1</v>
      </c>
      <c r="KU21" s="123"/>
      <c r="KV21" s="123"/>
      <c r="KW21" s="123"/>
      <c r="KX21" s="123"/>
      <c r="KY21" s="123"/>
      <c r="KZ21" s="123"/>
      <c r="LA21" s="123"/>
      <c r="LB21" s="123"/>
      <c r="LC21" s="123"/>
      <c r="LD21" s="123"/>
      <c r="LE21" s="123"/>
      <c r="LF21" s="123"/>
      <c r="LG21" s="123"/>
      <c r="LH21" s="123"/>
      <c r="LI21" s="123"/>
      <c r="LJ21" s="123"/>
      <c r="LK21" s="123"/>
      <c r="LL21" s="123"/>
      <c r="LM21" s="123"/>
      <c r="LN21" s="123"/>
      <c r="LO21" s="123"/>
      <c r="LP21" s="123"/>
      <c r="LQ21" s="123"/>
      <c r="LR21" s="123"/>
      <c r="LS21" s="123"/>
      <c r="LT21" s="123"/>
      <c r="LU21" s="123"/>
      <c r="LV21" s="123"/>
      <c r="LW21" s="123"/>
      <c r="LX21" s="123"/>
      <c r="LY21" s="123"/>
      <c r="LZ21" s="123"/>
      <c r="MA21" s="123"/>
      <c r="MB21" s="123"/>
      <c r="MC21" s="123"/>
      <c r="MD21" s="123"/>
      <c r="ME21" s="123"/>
      <c r="MF21" s="123"/>
      <c r="MG21" s="123"/>
      <c r="MH21" s="123"/>
      <c r="MI21" s="123"/>
      <c r="MJ21" s="123"/>
      <c r="MK21" s="123"/>
      <c r="ML21" s="123"/>
      <c r="MM21" s="123"/>
      <c r="MN21" s="123"/>
      <c r="MO21" s="123"/>
      <c r="MP21" s="123"/>
      <c r="MQ21" s="123"/>
      <c r="MR21" s="123"/>
      <c r="MS21" s="123"/>
      <c r="MT21" s="123"/>
      <c r="MU21" s="123"/>
      <c r="MV21" s="123"/>
      <c r="MW21" s="123"/>
      <c r="MX21" s="123"/>
      <c r="MY21" s="123"/>
      <c r="MZ21" s="123"/>
      <c r="NA21" s="123"/>
      <c r="NB21" s="123"/>
      <c r="NC21" s="123"/>
      <c r="ND21" s="123"/>
      <c r="NE21" s="123"/>
      <c r="NF21" s="123"/>
      <c r="NG21" s="123"/>
      <c r="NH21" s="123"/>
      <c r="NI21" s="123"/>
      <c r="NJ21" s="123"/>
      <c r="NK21" s="123"/>
      <c r="NM21">
        <f t="shared" si="540"/>
        <v>0</v>
      </c>
      <c r="NN21">
        <f t="shared" si="541"/>
        <v>0</v>
      </c>
      <c r="NO21">
        <f t="shared" si="542"/>
        <v>0</v>
      </c>
      <c r="NP21">
        <f t="shared" si="543"/>
        <v>0</v>
      </c>
      <c r="NQ21">
        <f t="shared" si="544"/>
        <v>0</v>
      </c>
      <c r="NR21">
        <f t="shared" si="545"/>
        <v>0</v>
      </c>
      <c r="NS21">
        <f t="shared" si="546"/>
        <v>1</v>
      </c>
      <c r="NT21">
        <f t="shared" si="547"/>
        <v>1</v>
      </c>
      <c r="NU21">
        <f t="shared" si="548"/>
        <v>0</v>
      </c>
      <c r="NY21" s="29"/>
      <c r="NZ21" s="152"/>
      <c r="OE21" s="155"/>
      <c r="OF21" s="155"/>
      <c r="OG21" s="155"/>
      <c r="OH21" s="155"/>
      <c r="OI21" s="155"/>
      <c r="OJ21" s="67"/>
      <c r="OK21" s="67"/>
      <c r="OL21" s="67"/>
      <c r="OM21" s="67"/>
      <c r="OO21" s="155"/>
      <c r="OP21" s="155"/>
      <c r="OQ21" s="155"/>
      <c r="OR21" s="155"/>
      <c r="OS21" s="155"/>
      <c r="OT21" s="67"/>
      <c r="OU21" s="67"/>
      <c r="OV21" s="67"/>
      <c r="OW21" s="67"/>
      <c r="PA21" s="166"/>
      <c r="PB21" s="166">
        <v>1</v>
      </c>
      <c r="PC21" s="166"/>
      <c r="PD21" s="210">
        <f t="shared" si="96"/>
        <v>1</v>
      </c>
      <c r="PE21" s="166">
        <v>1</v>
      </c>
      <c r="PF21" s="210">
        <f t="shared" si="97"/>
        <v>0</v>
      </c>
      <c r="PG21" s="210">
        <f t="shared" si="98"/>
        <v>0</v>
      </c>
      <c r="PH21" s="210">
        <f t="shared" si="98"/>
        <v>12</v>
      </c>
      <c r="PI21" s="210">
        <f t="shared" si="98"/>
        <v>0</v>
      </c>
      <c r="PJ21" s="210">
        <f t="shared" si="98"/>
        <v>12</v>
      </c>
      <c r="PK21" s="210">
        <f t="shared" si="98"/>
        <v>12</v>
      </c>
      <c r="PL21" s="210">
        <f t="shared" si="98"/>
        <v>0</v>
      </c>
      <c r="PO21" s="172">
        <f t="shared" si="549"/>
        <v>0</v>
      </c>
      <c r="PP21" s="172">
        <f t="shared" si="550"/>
        <v>0</v>
      </c>
      <c r="PQ21" s="172">
        <f t="shared" si="551"/>
        <v>0</v>
      </c>
    </row>
    <row r="22" spans="1:433" ht="16" x14ac:dyDescent="0.2">
      <c r="A22" s="19">
        <f t="shared" si="163"/>
        <v>14</v>
      </c>
      <c r="B22" s="269" t="s">
        <v>682</v>
      </c>
      <c r="C22" s="186">
        <v>8</v>
      </c>
      <c r="D22" s="188">
        <v>1</v>
      </c>
      <c r="E22" s="188">
        <v>22</v>
      </c>
      <c r="F22" s="188">
        <v>1</v>
      </c>
      <c r="G22" s="188">
        <f t="shared" ref="G22" si="555">E22</f>
        <v>22</v>
      </c>
      <c r="H22" s="214">
        <f t="shared" si="383"/>
        <v>1</v>
      </c>
      <c r="I22" s="214">
        <f t="shared" si="384"/>
        <v>1</v>
      </c>
      <c r="J22" s="188">
        <v>1</v>
      </c>
      <c r="K22" s="188">
        <f t="shared" si="385"/>
        <v>22</v>
      </c>
      <c r="L22" s="214">
        <f t="shared" si="386"/>
        <v>1</v>
      </c>
      <c r="M22" s="214">
        <f t="shared" si="387"/>
        <v>1</v>
      </c>
      <c r="N22" s="188">
        <v>1</v>
      </c>
      <c r="O22" s="20">
        <f t="shared" si="388"/>
        <v>22</v>
      </c>
      <c r="P22" s="137">
        <f t="shared" si="389"/>
        <v>1</v>
      </c>
      <c r="Q22" s="137">
        <f t="shared" si="390"/>
        <v>1</v>
      </c>
      <c r="R22" s="20"/>
      <c r="S22" s="20">
        <f t="shared" si="391"/>
        <v>0</v>
      </c>
      <c r="T22" s="137">
        <f t="shared" si="392"/>
        <v>0</v>
      </c>
      <c r="U22" s="137">
        <f t="shared" si="393"/>
        <v>0</v>
      </c>
      <c r="V22" s="20"/>
      <c r="W22" s="20">
        <f t="shared" si="394"/>
        <v>0</v>
      </c>
      <c r="X22" s="137">
        <f t="shared" si="395"/>
        <v>0</v>
      </c>
      <c r="Y22" s="137">
        <f t="shared" si="396"/>
        <v>0</v>
      </c>
      <c r="Z22" s="38"/>
      <c r="AA22" s="38"/>
      <c r="AB22" s="17">
        <f t="shared" si="397"/>
        <v>0</v>
      </c>
      <c r="AC22" s="18">
        <f t="shared" si="398"/>
        <v>0</v>
      </c>
      <c r="AD22" s="18">
        <f t="shared" si="399"/>
        <v>0</v>
      </c>
      <c r="AE22" s="38"/>
      <c r="AF22" s="31">
        <f t="shared" si="400"/>
        <v>0</v>
      </c>
      <c r="AG22" s="31"/>
      <c r="AH22" s="31"/>
      <c r="AI22" s="17"/>
      <c r="AJ22" s="17"/>
      <c r="AK22" s="17"/>
      <c r="AL22" s="17"/>
      <c r="AM22" s="17"/>
      <c r="AN22" s="139">
        <v>1</v>
      </c>
      <c r="AO22" s="17">
        <f t="shared" si="401"/>
        <v>0</v>
      </c>
      <c r="AP22" s="17">
        <f t="shared" si="402"/>
        <v>0</v>
      </c>
      <c r="AQ22" s="17">
        <f t="shared" si="403"/>
        <v>0</v>
      </c>
      <c r="AR22" s="17">
        <f t="shared" si="404"/>
        <v>0</v>
      </c>
      <c r="AS22" s="17">
        <f t="shared" si="405"/>
        <v>0</v>
      </c>
      <c r="AT22" s="17">
        <f t="shared" si="406"/>
        <v>0</v>
      </c>
      <c r="AU22" s="17">
        <f t="shared" si="407"/>
        <v>0</v>
      </c>
      <c r="AV22" s="17">
        <f t="shared" si="408"/>
        <v>0</v>
      </c>
      <c r="AW22" s="17">
        <f t="shared" si="409"/>
        <v>0</v>
      </c>
      <c r="AX22" s="17">
        <f t="shared" si="410"/>
        <v>0</v>
      </c>
      <c r="AY22" s="17">
        <f t="shared" si="411"/>
        <v>0</v>
      </c>
      <c r="AZ22" s="17">
        <f t="shared" si="412"/>
        <v>0</v>
      </c>
      <c r="BA22" s="17">
        <f t="shared" si="413"/>
        <v>0</v>
      </c>
      <c r="BB22" s="20">
        <f t="shared" si="414"/>
        <v>22</v>
      </c>
      <c r="BE22" s="20">
        <f t="shared" si="415"/>
        <v>0</v>
      </c>
      <c r="BF22" s="20">
        <f t="shared" si="416"/>
        <v>0</v>
      </c>
      <c r="BG22" s="20">
        <f t="shared" si="417"/>
        <v>0</v>
      </c>
      <c r="BH22" s="20">
        <f t="shared" si="418"/>
        <v>0</v>
      </c>
      <c r="BI22" s="20">
        <f t="shared" si="419"/>
        <v>0</v>
      </c>
      <c r="BJ22" s="20">
        <f t="shared" si="420"/>
        <v>0</v>
      </c>
      <c r="BK22" s="20">
        <f t="shared" si="421"/>
        <v>0</v>
      </c>
      <c r="BN22" s="139"/>
      <c r="BO22" s="139"/>
      <c r="BP22" s="139"/>
      <c r="BQ22" s="139"/>
      <c r="BR22" s="139"/>
      <c r="BS22" s="139"/>
      <c r="BT22" s="139"/>
      <c r="BU22" s="139"/>
      <c r="BV22" s="139"/>
      <c r="BW22" s="139"/>
      <c r="BX22" s="139"/>
      <c r="BY22" s="139"/>
      <c r="BZ22" s="139"/>
      <c r="CB22" s="139"/>
      <c r="CD22" s="139">
        <f t="shared" si="422"/>
        <v>0</v>
      </c>
      <c r="CE22" s="139">
        <f t="shared" si="423"/>
        <v>0</v>
      </c>
      <c r="CF22" s="139">
        <f t="shared" si="424"/>
        <v>0</v>
      </c>
      <c r="CG22" s="139">
        <f t="shared" si="425"/>
        <v>0</v>
      </c>
      <c r="CH22" s="139">
        <f t="shared" si="426"/>
        <v>0</v>
      </c>
      <c r="CI22" s="139">
        <f t="shared" si="427"/>
        <v>0</v>
      </c>
      <c r="CJ22" s="139">
        <f t="shared" si="428"/>
        <v>0</v>
      </c>
      <c r="CK22" s="139">
        <f t="shared" si="429"/>
        <v>0</v>
      </c>
      <c r="CL22" s="139">
        <f t="shared" si="430"/>
        <v>0</v>
      </c>
      <c r="CM22" s="139">
        <f t="shared" si="431"/>
        <v>0</v>
      </c>
      <c r="CN22" s="139">
        <f t="shared" si="432"/>
        <v>0</v>
      </c>
      <c r="CO22" s="139">
        <f t="shared" si="433"/>
        <v>0</v>
      </c>
      <c r="CP22" s="139">
        <f t="shared" si="434"/>
        <v>0</v>
      </c>
      <c r="DV22" s="139">
        <f t="shared" si="435"/>
        <v>0</v>
      </c>
      <c r="DW22" s="139">
        <f t="shared" si="436"/>
        <v>0</v>
      </c>
      <c r="DX22" s="139">
        <f t="shared" si="437"/>
        <v>0</v>
      </c>
      <c r="DY22" s="139">
        <f t="shared" si="438"/>
        <v>0</v>
      </c>
      <c r="DZ22" s="139">
        <f t="shared" si="439"/>
        <v>0</v>
      </c>
      <c r="EA22" s="139">
        <f t="shared" si="440"/>
        <v>0</v>
      </c>
      <c r="EB22" s="139">
        <f t="shared" si="441"/>
        <v>0</v>
      </c>
      <c r="ED22" s="46" t="s">
        <v>301</v>
      </c>
      <c r="EE22" s="46" t="s">
        <v>374</v>
      </c>
      <c r="EF22" s="56"/>
      <c r="EG22" s="57">
        <f t="shared" si="442"/>
        <v>0</v>
      </c>
      <c r="EH22" s="57">
        <f t="shared" si="443"/>
        <v>0</v>
      </c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X22" s="80"/>
      <c r="FY22" s="17">
        <f t="shared" si="444"/>
        <v>0</v>
      </c>
      <c r="FZ22" s="17">
        <f t="shared" si="445"/>
        <v>0</v>
      </c>
      <c r="GA22" s="17">
        <f t="shared" si="446"/>
        <v>0</v>
      </c>
      <c r="GB22" s="17">
        <f t="shared" si="447"/>
        <v>0</v>
      </c>
      <c r="GC22" s="17">
        <f t="shared" si="448"/>
        <v>0</v>
      </c>
      <c r="GD22" s="17">
        <f t="shared" si="449"/>
        <v>0</v>
      </c>
      <c r="GE22" s="17">
        <f t="shared" si="450"/>
        <v>0</v>
      </c>
      <c r="GF22" s="67"/>
      <c r="GG22" s="17">
        <v>0</v>
      </c>
      <c r="GH22" s="17">
        <v>0</v>
      </c>
      <c r="GI22" s="67"/>
      <c r="GJ22" s="62">
        <f t="shared" si="451"/>
        <v>0</v>
      </c>
      <c r="GK22" s="62">
        <f t="shared" si="452"/>
        <v>0</v>
      </c>
      <c r="GO22" s="17">
        <f t="shared" si="453"/>
        <v>0</v>
      </c>
      <c r="GP22" s="17">
        <f t="shared" si="454"/>
        <v>0</v>
      </c>
      <c r="GQ22" s="17">
        <f t="shared" si="455"/>
        <v>0</v>
      </c>
      <c r="GR22" s="17">
        <f t="shared" si="456"/>
        <v>1</v>
      </c>
      <c r="GS22" s="17">
        <f t="shared" si="457"/>
        <v>1</v>
      </c>
      <c r="GT22" s="17">
        <f t="shared" si="458"/>
        <v>0</v>
      </c>
      <c r="GU22" s="101">
        <f t="shared" si="117"/>
        <v>43243</v>
      </c>
      <c r="GV22" s="17" t="str">
        <f t="shared" si="459"/>
        <v>Musyawarah</v>
      </c>
      <c r="GW22" s="17">
        <f t="shared" si="460"/>
        <v>1</v>
      </c>
      <c r="GX22" s="66" t="str">
        <f t="shared" si="461"/>
        <v>Musyawarah</v>
      </c>
      <c r="GY22" s="66">
        <f t="shared" si="462"/>
        <v>24</v>
      </c>
      <c r="GZ22" s="102">
        <f t="shared" si="463"/>
        <v>43267</v>
      </c>
      <c r="HA22" s="83"/>
      <c r="HB22" s="83"/>
      <c r="HC22" s="17">
        <f t="shared" si="464"/>
        <v>0</v>
      </c>
      <c r="HD22" s="17">
        <f t="shared" si="465"/>
        <v>0</v>
      </c>
      <c r="HE22" s="17">
        <f t="shared" si="466"/>
        <v>0</v>
      </c>
      <c r="HF22" s="17">
        <f t="shared" si="467"/>
        <v>0</v>
      </c>
      <c r="HG22" s="17">
        <f t="shared" si="468"/>
        <v>0</v>
      </c>
      <c r="HH22" s="101" t="str">
        <f t="shared" si="469"/>
        <v>TIDAK KONSINYASI</v>
      </c>
      <c r="HI22" s="101">
        <f t="shared" si="470"/>
        <v>43312</v>
      </c>
      <c r="HJ22" s="27"/>
      <c r="HK22" s="101">
        <f t="shared" si="471"/>
        <v>43312</v>
      </c>
      <c r="HL22" s="83"/>
      <c r="HM22" s="83"/>
      <c r="HN22" s="83"/>
      <c r="HO22" s="83"/>
      <c r="HP22" s="102">
        <f t="shared" si="472"/>
        <v>0</v>
      </c>
      <c r="HQ22" s="66">
        <f t="shared" si="473"/>
        <v>0</v>
      </c>
      <c r="HR22" s="66">
        <f t="shared" si="474"/>
        <v>0</v>
      </c>
      <c r="HS22" s="102">
        <f t="shared" si="475"/>
        <v>0</v>
      </c>
      <c r="HT22" s="66">
        <f t="shared" si="476"/>
        <v>0</v>
      </c>
      <c r="HU22" s="66">
        <f t="shared" si="477"/>
        <v>0</v>
      </c>
      <c r="HV22" s="102">
        <f t="shared" si="478"/>
        <v>0</v>
      </c>
      <c r="HW22" s="66">
        <f t="shared" si="479"/>
        <v>0</v>
      </c>
      <c r="HX22" s="66">
        <f t="shared" si="480"/>
        <v>0</v>
      </c>
      <c r="HY22" s="102">
        <f t="shared" si="481"/>
        <v>0</v>
      </c>
      <c r="HZ22" s="66">
        <f t="shared" si="482"/>
        <v>0</v>
      </c>
      <c r="IA22" s="66">
        <f t="shared" si="483"/>
        <v>0</v>
      </c>
      <c r="IB22" s="102">
        <f t="shared" si="484"/>
        <v>0</v>
      </c>
      <c r="IC22" s="66">
        <f t="shared" si="485"/>
        <v>0</v>
      </c>
      <c r="ID22" s="66">
        <f t="shared" si="486"/>
        <v>0</v>
      </c>
      <c r="IE22" s="102">
        <f t="shared" si="487"/>
        <v>0</v>
      </c>
      <c r="IF22" s="66">
        <f t="shared" si="488"/>
        <v>0</v>
      </c>
      <c r="IG22" s="66">
        <f t="shared" si="489"/>
        <v>0</v>
      </c>
      <c r="IH22" s="102">
        <f t="shared" si="490"/>
        <v>0</v>
      </c>
      <c r="II22" s="66">
        <f t="shared" si="491"/>
        <v>0</v>
      </c>
      <c r="IJ22" s="66">
        <f t="shared" si="492"/>
        <v>0</v>
      </c>
      <c r="IK22" s="102">
        <f t="shared" si="493"/>
        <v>0</v>
      </c>
      <c r="IL22" s="66">
        <f t="shared" si="494"/>
        <v>0</v>
      </c>
      <c r="IM22" s="66">
        <f t="shared" si="495"/>
        <v>0</v>
      </c>
      <c r="IN22" s="83"/>
      <c r="IO22" s="102">
        <f t="shared" si="496"/>
        <v>0</v>
      </c>
      <c r="IP22" s="66">
        <f t="shared" si="497"/>
        <v>0</v>
      </c>
      <c r="IQ22" s="66">
        <f t="shared" si="498"/>
        <v>0</v>
      </c>
      <c r="IR22" s="83"/>
      <c r="IS22" s="102"/>
      <c r="IT22" s="66">
        <f t="shared" si="499"/>
        <v>0</v>
      </c>
      <c r="IU22" s="66">
        <f t="shared" si="500"/>
        <v>0</v>
      </c>
      <c r="IV22" s="83"/>
      <c r="IW22" s="102"/>
      <c r="IX22" s="66">
        <f t="shared" si="501"/>
        <v>0</v>
      </c>
      <c r="IY22" s="66">
        <f t="shared" si="502"/>
        <v>0</v>
      </c>
      <c r="IZ22" s="83"/>
      <c r="JA22" s="102"/>
      <c r="JB22" s="66">
        <f t="shared" si="503"/>
        <v>1</v>
      </c>
      <c r="JC22" s="66">
        <f t="shared" si="504"/>
        <v>22</v>
      </c>
      <c r="JD22" s="83"/>
      <c r="JE22" s="102"/>
      <c r="JF22" s="66">
        <f t="shared" si="505"/>
        <v>1</v>
      </c>
      <c r="JG22" s="66">
        <f t="shared" si="506"/>
        <v>22</v>
      </c>
      <c r="JH22" s="83"/>
      <c r="JI22" s="102"/>
      <c r="JJ22" s="66">
        <f t="shared" si="507"/>
        <v>0</v>
      </c>
      <c r="JK22" s="66">
        <f t="shared" si="508"/>
        <v>0</v>
      </c>
      <c r="JM22" s="102">
        <f t="shared" si="509"/>
        <v>0</v>
      </c>
      <c r="JO22" s="29">
        <f t="shared" si="510"/>
        <v>0</v>
      </c>
      <c r="JP22" s="122">
        <f t="shared" si="511"/>
        <v>0</v>
      </c>
      <c r="JQ22" s="122">
        <f t="shared" si="512"/>
        <v>0</v>
      </c>
      <c r="JR22" s="122">
        <f t="shared" si="513"/>
        <v>0</v>
      </c>
      <c r="JS22" s="122">
        <f t="shared" si="514"/>
        <v>0</v>
      </c>
      <c r="JT22" s="122">
        <f t="shared" si="515"/>
        <v>0</v>
      </c>
      <c r="JU22" s="122">
        <f t="shared" si="516"/>
        <v>0</v>
      </c>
      <c r="JV22" s="122">
        <f t="shared" si="517"/>
        <v>0</v>
      </c>
      <c r="JW22" s="122">
        <f t="shared" si="518"/>
        <v>0</v>
      </c>
      <c r="JX22" s="122">
        <f t="shared" si="519"/>
        <v>0</v>
      </c>
      <c r="JY22" s="122">
        <f t="shared" si="520"/>
        <v>0</v>
      </c>
      <c r="JZ22" s="122">
        <f t="shared" si="521"/>
        <v>0</v>
      </c>
      <c r="KA22" s="122">
        <f t="shared" si="522"/>
        <v>0</v>
      </c>
      <c r="KB22" s="122">
        <f t="shared" si="523"/>
        <v>0</v>
      </c>
      <c r="KD22" s="122">
        <f t="shared" si="524"/>
        <v>0</v>
      </c>
      <c r="KE22" s="122">
        <f t="shared" si="525"/>
        <v>0</v>
      </c>
      <c r="KF22" s="122">
        <f t="shared" si="526"/>
        <v>0</v>
      </c>
      <c r="KG22" s="122">
        <f t="shared" si="527"/>
        <v>0</v>
      </c>
      <c r="KH22" s="122">
        <f t="shared" si="528"/>
        <v>0</v>
      </c>
      <c r="KI22" s="122">
        <f t="shared" si="529"/>
        <v>0</v>
      </c>
      <c r="KJ22" s="122">
        <f t="shared" si="530"/>
        <v>0</v>
      </c>
      <c r="KK22" s="122">
        <f t="shared" si="531"/>
        <v>0</v>
      </c>
      <c r="KL22" s="122">
        <f t="shared" si="532"/>
        <v>0</v>
      </c>
      <c r="KM22" s="122">
        <f t="shared" si="533"/>
        <v>0</v>
      </c>
      <c r="KN22" s="123">
        <f t="shared" si="534"/>
        <v>0</v>
      </c>
      <c r="KO22" s="123">
        <f t="shared" si="535"/>
        <v>0</v>
      </c>
      <c r="KP22" s="123">
        <f t="shared" si="536"/>
        <v>0</v>
      </c>
      <c r="KQ22" s="123">
        <f t="shared" si="537"/>
        <v>0</v>
      </c>
      <c r="KR22" s="123">
        <f t="shared" si="538"/>
        <v>0</v>
      </c>
      <c r="KS22">
        <v>7</v>
      </c>
      <c r="KT22">
        <f t="shared" si="539"/>
        <v>1</v>
      </c>
      <c r="KU22" s="123"/>
      <c r="KV22" s="123"/>
      <c r="KW22" s="123"/>
      <c r="KX22" s="123"/>
      <c r="KY22" s="123"/>
      <c r="KZ22" s="123"/>
      <c r="LA22" s="123"/>
      <c r="LB22" s="123"/>
      <c r="LC22" s="123"/>
      <c r="LD22" s="123"/>
      <c r="LE22" s="123"/>
      <c r="LF22" s="123"/>
      <c r="LG22" s="123"/>
      <c r="LH22" s="123"/>
      <c r="LI22" s="123"/>
      <c r="LJ22" s="123"/>
      <c r="LK22" s="123"/>
      <c r="LL22" s="123"/>
      <c r="LM22" s="123"/>
      <c r="LN22" s="123"/>
      <c r="LO22" s="123"/>
      <c r="LP22" s="123"/>
      <c r="LQ22" s="123"/>
      <c r="LR22" s="123"/>
      <c r="LS22" s="123"/>
      <c r="LT22" s="123"/>
      <c r="LU22" s="123"/>
      <c r="LV22" s="123"/>
      <c r="LW22" s="123"/>
      <c r="LX22" s="123"/>
      <c r="LY22" s="123"/>
      <c r="LZ22" s="123"/>
      <c r="MA22" s="123"/>
      <c r="MB22" s="123"/>
      <c r="MC22" s="123"/>
      <c r="MD22" s="123"/>
      <c r="ME22" s="123"/>
      <c r="MF22" s="123"/>
      <c r="MG22" s="123"/>
      <c r="MH22" s="123"/>
      <c r="MI22" s="123"/>
      <c r="MJ22" s="123"/>
      <c r="MK22" s="123"/>
      <c r="ML22" s="123"/>
      <c r="MM22" s="123"/>
      <c r="MN22" s="123"/>
      <c r="MO22" s="123"/>
      <c r="MP22" s="123"/>
      <c r="MQ22" s="123"/>
      <c r="MR22" s="123"/>
      <c r="MS22" s="123"/>
      <c r="MT22" s="123"/>
      <c r="MU22" s="123"/>
      <c r="MV22" s="123"/>
      <c r="MW22" s="123"/>
      <c r="MX22" s="123"/>
      <c r="MY22" s="123"/>
      <c r="MZ22" s="123"/>
      <c r="NA22" s="123"/>
      <c r="NB22" s="123"/>
      <c r="NC22" s="123"/>
      <c r="ND22" s="123"/>
      <c r="NE22" s="123"/>
      <c r="NF22" s="123"/>
      <c r="NG22" s="123"/>
      <c r="NH22" s="123"/>
      <c r="NI22" s="123"/>
      <c r="NJ22" s="123"/>
      <c r="NK22" s="123"/>
      <c r="NM22">
        <f t="shared" si="540"/>
        <v>0</v>
      </c>
      <c r="NN22">
        <f t="shared" si="541"/>
        <v>0</v>
      </c>
      <c r="NO22">
        <f t="shared" si="542"/>
        <v>0</v>
      </c>
      <c r="NP22">
        <f t="shared" si="543"/>
        <v>0</v>
      </c>
      <c r="NQ22">
        <f t="shared" si="544"/>
        <v>0</v>
      </c>
      <c r="NR22">
        <f t="shared" si="545"/>
        <v>0</v>
      </c>
      <c r="NS22">
        <f t="shared" si="546"/>
        <v>1</v>
      </c>
      <c r="NT22">
        <f t="shared" si="547"/>
        <v>1</v>
      </c>
      <c r="NU22">
        <f t="shared" si="548"/>
        <v>0</v>
      </c>
      <c r="NY22" s="29"/>
      <c r="NZ22" s="152"/>
      <c r="OE22" s="155"/>
      <c r="OF22" s="155"/>
      <c r="OG22" s="155"/>
      <c r="OH22" s="155"/>
      <c r="OI22" s="155"/>
      <c r="OJ22" s="67"/>
      <c r="OK22" s="67"/>
      <c r="OL22" s="67"/>
      <c r="OM22" s="67"/>
      <c r="OO22" s="155"/>
      <c r="OP22" s="155"/>
      <c r="OQ22" s="155"/>
      <c r="OR22" s="155"/>
      <c r="OS22" s="155"/>
      <c r="OT22" s="67"/>
      <c r="OU22" s="67"/>
      <c r="OV22" s="67"/>
      <c r="OW22" s="67"/>
      <c r="PA22" s="166"/>
      <c r="PB22" s="166">
        <v>1</v>
      </c>
      <c r="PC22" s="166"/>
      <c r="PD22" s="210">
        <f t="shared" si="96"/>
        <v>1</v>
      </c>
      <c r="PE22" s="166">
        <v>1</v>
      </c>
      <c r="PF22" s="210">
        <f t="shared" si="97"/>
        <v>0</v>
      </c>
      <c r="PG22" s="210">
        <f t="shared" si="98"/>
        <v>0</v>
      </c>
      <c r="PH22" s="210">
        <f t="shared" si="98"/>
        <v>22</v>
      </c>
      <c r="PI22" s="210">
        <f t="shared" si="98"/>
        <v>0</v>
      </c>
      <c r="PJ22" s="210">
        <f t="shared" si="98"/>
        <v>22</v>
      </c>
      <c r="PK22" s="210">
        <f t="shared" si="98"/>
        <v>22</v>
      </c>
      <c r="PL22" s="210">
        <f t="shared" si="98"/>
        <v>0</v>
      </c>
      <c r="PO22" s="172">
        <f t="shared" si="549"/>
        <v>0</v>
      </c>
      <c r="PP22" s="172">
        <f t="shared" si="550"/>
        <v>0</v>
      </c>
      <c r="PQ22" s="172">
        <f t="shared" si="551"/>
        <v>0</v>
      </c>
    </row>
    <row r="23" spans="1:433" ht="16" x14ac:dyDescent="0.2">
      <c r="A23" s="19">
        <f t="shared" si="163"/>
        <v>15</v>
      </c>
      <c r="B23" s="269" t="s">
        <v>683</v>
      </c>
      <c r="C23" s="186">
        <v>9</v>
      </c>
      <c r="D23" s="188">
        <v>1</v>
      </c>
      <c r="E23" s="188">
        <v>89</v>
      </c>
      <c r="F23" s="188">
        <v>1</v>
      </c>
      <c r="G23" s="188">
        <f t="shared" ref="G23" si="556">E23</f>
        <v>89</v>
      </c>
      <c r="H23" s="214">
        <f t="shared" si="212"/>
        <v>1</v>
      </c>
      <c r="I23" s="214">
        <f t="shared" si="213"/>
        <v>1</v>
      </c>
      <c r="J23" s="188">
        <v>1</v>
      </c>
      <c r="K23" s="188">
        <f t="shared" si="214"/>
        <v>89</v>
      </c>
      <c r="L23" s="214">
        <f t="shared" si="215"/>
        <v>1</v>
      </c>
      <c r="M23" s="214">
        <f t="shared" si="216"/>
        <v>1</v>
      </c>
      <c r="N23" s="188">
        <v>1</v>
      </c>
      <c r="O23" s="20">
        <f t="shared" si="217"/>
        <v>89</v>
      </c>
      <c r="P23" s="137">
        <f t="shared" si="218"/>
        <v>1</v>
      </c>
      <c r="Q23" s="137">
        <f t="shared" si="219"/>
        <v>1</v>
      </c>
      <c r="R23" s="20"/>
      <c r="S23" s="20">
        <f t="shared" si="220"/>
        <v>0</v>
      </c>
      <c r="T23" s="137">
        <f t="shared" si="221"/>
        <v>0</v>
      </c>
      <c r="U23" s="137">
        <f t="shared" si="222"/>
        <v>0</v>
      </c>
      <c r="V23" s="20"/>
      <c r="W23" s="20">
        <f t="shared" si="223"/>
        <v>0</v>
      </c>
      <c r="X23" s="137">
        <f t="shared" si="224"/>
        <v>0</v>
      </c>
      <c r="Y23" s="137">
        <f t="shared" si="225"/>
        <v>0</v>
      </c>
      <c r="Z23" s="38"/>
      <c r="AA23" s="38"/>
      <c r="AB23" s="17">
        <f t="shared" si="226"/>
        <v>0</v>
      </c>
      <c r="AC23" s="18">
        <f t="shared" si="227"/>
        <v>0</v>
      </c>
      <c r="AD23" s="18">
        <f t="shared" si="228"/>
        <v>0</v>
      </c>
      <c r="AE23" s="38"/>
      <c r="AF23" s="31">
        <f t="shared" si="229"/>
        <v>0</v>
      </c>
      <c r="AG23" s="31"/>
      <c r="AH23" s="31"/>
      <c r="AI23" s="17"/>
      <c r="AJ23" s="17"/>
      <c r="AK23" s="17"/>
      <c r="AL23" s="17"/>
      <c r="AM23" s="17"/>
      <c r="AN23" s="139">
        <v>1</v>
      </c>
      <c r="AO23" s="17">
        <f t="shared" si="230"/>
        <v>0</v>
      </c>
      <c r="AP23" s="17">
        <f t="shared" si="231"/>
        <v>0</v>
      </c>
      <c r="AQ23" s="17">
        <f t="shared" si="232"/>
        <v>0</v>
      </c>
      <c r="AR23" s="17">
        <f t="shared" si="233"/>
        <v>0</v>
      </c>
      <c r="AS23" s="17">
        <f t="shared" si="234"/>
        <v>0</v>
      </c>
      <c r="AT23" s="17">
        <f t="shared" si="235"/>
        <v>0</v>
      </c>
      <c r="AU23" s="17">
        <f t="shared" si="236"/>
        <v>0</v>
      </c>
      <c r="AV23" s="17">
        <f t="shared" si="237"/>
        <v>0</v>
      </c>
      <c r="AW23" s="17">
        <f t="shared" si="238"/>
        <v>0</v>
      </c>
      <c r="AX23" s="17">
        <f t="shared" si="239"/>
        <v>0</v>
      </c>
      <c r="AY23" s="17">
        <f t="shared" si="240"/>
        <v>0</v>
      </c>
      <c r="AZ23" s="17">
        <f t="shared" si="241"/>
        <v>0</v>
      </c>
      <c r="BA23" s="17">
        <f t="shared" si="242"/>
        <v>0</v>
      </c>
      <c r="BB23" s="20">
        <f t="shared" si="243"/>
        <v>89</v>
      </c>
      <c r="BE23" s="20">
        <f t="shared" si="244"/>
        <v>0</v>
      </c>
      <c r="BF23" s="20">
        <f t="shared" si="245"/>
        <v>0</v>
      </c>
      <c r="BG23" s="20">
        <f t="shared" si="246"/>
        <v>0</v>
      </c>
      <c r="BH23" s="20">
        <f t="shared" si="247"/>
        <v>0</v>
      </c>
      <c r="BI23" s="20">
        <f t="shared" si="248"/>
        <v>0</v>
      </c>
      <c r="BJ23" s="20">
        <f t="shared" si="249"/>
        <v>0</v>
      </c>
      <c r="BK23" s="20">
        <f t="shared" si="250"/>
        <v>0</v>
      </c>
      <c r="BN23" s="139"/>
      <c r="BO23" s="139"/>
      <c r="BP23" s="139"/>
      <c r="BQ23" s="139"/>
      <c r="BR23" s="139"/>
      <c r="BS23" s="139"/>
      <c r="BT23" s="139"/>
      <c r="BU23" s="139"/>
      <c r="BV23" s="139"/>
      <c r="BW23" s="139"/>
      <c r="BX23" s="139"/>
      <c r="BY23" s="139"/>
      <c r="BZ23" s="139"/>
      <c r="CB23" s="139"/>
      <c r="CD23" s="139">
        <f t="shared" si="251"/>
        <v>0</v>
      </c>
      <c r="CE23" s="139">
        <f t="shared" si="252"/>
        <v>0</v>
      </c>
      <c r="CF23" s="139">
        <f t="shared" si="253"/>
        <v>0</v>
      </c>
      <c r="CG23" s="139">
        <f t="shared" si="254"/>
        <v>0</v>
      </c>
      <c r="CH23" s="139">
        <f t="shared" si="255"/>
        <v>0</v>
      </c>
      <c r="CI23" s="139">
        <f t="shared" si="256"/>
        <v>0</v>
      </c>
      <c r="CJ23" s="139">
        <f t="shared" si="257"/>
        <v>0</v>
      </c>
      <c r="CK23" s="139">
        <f t="shared" si="258"/>
        <v>0</v>
      </c>
      <c r="CL23" s="139">
        <f t="shared" si="259"/>
        <v>0</v>
      </c>
      <c r="CM23" s="139">
        <f t="shared" si="260"/>
        <v>0</v>
      </c>
      <c r="CN23" s="139">
        <f t="shared" si="261"/>
        <v>0</v>
      </c>
      <c r="CO23" s="139">
        <f t="shared" si="262"/>
        <v>0</v>
      </c>
      <c r="CP23" s="139">
        <f t="shared" si="263"/>
        <v>0</v>
      </c>
      <c r="DV23" s="139">
        <f t="shared" si="264"/>
        <v>0</v>
      </c>
      <c r="DW23" s="139">
        <f t="shared" si="265"/>
        <v>0</v>
      </c>
      <c r="DX23" s="139">
        <f t="shared" si="266"/>
        <v>0</v>
      </c>
      <c r="DY23" s="139">
        <f t="shared" si="267"/>
        <v>0</v>
      </c>
      <c r="DZ23" s="139">
        <f t="shared" si="268"/>
        <v>0</v>
      </c>
      <c r="EA23" s="139">
        <f t="shared" si="269"/>
        <v>0</v>
      </c>
      <c r="EB23" s="139">
        <f t="shared" si="270"/>
        <v>0</v>
      </c>
      <c r="ED23" s="46" t="s">
        <v>301</v>
      </c>
      <c r="EE23" s="46" t="s">
        <v>374</v>
      </c>
      <c r="EF23" s="56"/>
      <c r="EG23" s="57">
        <f t="shared" si="271"/>
        <v>0</v>
      </c>
      <c r="EH23" s="57">
        <f t="shared" si="272"/>
        <v>0</v>
      </c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X23" s="80"/>
      <c r="FY23" s="17">
        <f t="shared" si="273"/>
        <v>0</v>
      </c>
      <c r="FZ23" s="17">
        <f t="shared" si="274"/>
        <v>0</v>
      </c>
      <c r="GA23" s="17">
        <f t="shared" si="275"/>
        <v>0</v>
      </c>
      <c r="GB23" s="17">
        <f t="shared" si="276"/>
        <v>0</v>
      </c>
      <c r="GC23" s="17">
        <f t="shared" si="277"/>
        <v>0</v>
      </c>
      <c r="GD23" s="17">
        <f t="shared" si="278"/>
        <v>0</v>
      </c>
      <c r="GE23" s="17">
        <f t="shared" si="279"/>
        <v>0</v>
      </c>
      <c r="GF23" s="67"/>
      <c r="GG23" s="17">
        <v>0</v>
      </c>
      <c r="GH23" s="17">
        <v>0</v>
      </c>
      <c r="GI23" s="67"/>
      <c r="GJ23" s="62">
        <f t="shared" si="280"/>
        <v>0</v>
      </c>
      <c r="GK23" s="62">
        <f t="shared" si="281"/>
        <v>0</v>
      </c>
      <c r="GO23" s="17">
        <f t="shared" si="282"/>
        <v>0</v>
      </c>
      <c r="GP23" s="17">
        <f t="shared" si="283"/>
        <v>0</v>
      </c>
      <c r="GQ23" s="17">
        <f t="shared" si="284"/>
        <v>0</v>
      </c>
      <c r="GR23" s="17">
        <f t="shared" si="285"/>
        <v>1</v>
      </c>
      <c r="GS23" s="17">
        <f t="shared" si="286"/>
        <v>1</v>
      </c>
      <c r="GT23" s="17">
        <f t="shared" si="287"/>
        <v>0</v>
      </c>
      <c r="GU23" s="101">
        <f t="shared" si="117"/>
        <v>43243</v>
      </c>
      <c r="GV23" s="17" t="str">
        <f t="shared" si="288"/>
        <v>Musyawarah</v>
      </c>
      <c r="GW23" s="17">
        <f t="shared" si="289"/>
        <v>1</v>
      </c>
      <c r="GX23" s="66" t="str">
        <f t="shared" si="290"/>
        <v>Musyawarah</v>
      </c>
      <c r="GY23" s="66">
        <f t="shared" si="291"/>
        <v>24</v>
      </c>
      <c r="GZ23" s="102">
        <f t="shared" si="292"/>
        <v>43267</v>
      </c>
      <c r="HA23" s="83"/>
      <c r="HB23" s="83"/>
      <c r="HC23" s="17">
        <f t="shared" si="293"/>
        <v>0</v>
      </c>
      <c r="HD23" s="17">
        <f t="shared" si="294"/>
        <v>0</v>
      </c>
      <c r="HE23" s="17">
        <f t="shared" si="295"/>
        <v>0</v>
      </c>
      <c r="HF23" s="17">
        <f t="shared" si="296"/>
        <v>0</v>
      </c>
      <c r="HG23" s="17">
        <f t="shared" si="297"/>
        <v>0</v>
      </c>
      <c r="HH23" s="101" t="str">
        <f t="shared" si="298"/>
        <v>TIDAK KONSINYASI</v>
      </c>
      <c r="HI23" s="101">
        <f t="shared" si="299"/>
        <v>43312</v>
      </c>
      <c r="HJ23" s="27"/>
      <c r="HK23" s="101">
        <f t="shared" si="300"/>
        <v>43312</v>
      </c>
      <c r="HL23" s="83"/>
      <c r="HM23" s="83"/>
      <c r="HN23" s="83"/>
      <c r="HO23" s="83"/>
      <c r="HP23" s="102">
        <f t="shared" si="301"/>
        <v>0</v>
      </c>
      <c r="HQ23" s="66">
        <f t="shared" si="302"/>
        <v>0</v>
      </c>
      <c r="HR23" s="66">
        <f t="shared" si="303"/>
        <v>0</v>
      </c>
      <c r="HS23" s="102">
        <f t="shared" si="304"/>
        <v>0</v>
      </c>
      <c r="HT23" s="66">
        <f t="shared" si="305"/>
        <v>0</v>
      </c>
      <c r="HU23" s="66">
        <f t="shared" si="306"/>
        <v>0</v>
      </c>
      <c r="HV23" s="102">
        <f t="shared" si="307"/>
        <v>0</v>
      </c>
      <c r="HW23" s="66">
        <f t="shared" si="308"/>
        <v>0</v>
      </c>
      <c r="HX23" s="66">
        <f t="shared" si="309"/>
        <v>0</v>
      </c>
      <c r="HY23" s="102">
        <f t="shared" si="310"/>
        <v>0</v>
      </c>
      <c r="HZ23" s="66">
        <f t="shared" si="311"/>
        <v>0</v>
      </c>
      <c r="IA23" s="66">
        <f t="shared" si="312"/>
        <v>0</v>
      </c>
      <c r="IB23" s="102">
        <f t="shared" si="313"/>
        <v>0</v>
      </c>
      <c r="IC23" s="66">
        <f t="shared" si="314"/>
        <v>0</v>
      </c>
      <c r="ID23" s="66">
        <f t="shared" si="315"/>
        <v>0</v>
      </c>
      <c r="IE23" s="102">
        <f t="shared" si="316"/>
        <v>0</v>
      </c>
      <c r="IF23" s="66">
        <f t="shared" si="317"/>
        <v>0</v>
      </c>
      <c r="IG23" s="66">
        <f t="shared" si="318"/>
        <v>0</v>
      </c>
      <c r="IH23" s="102">
        <f t="shared" si="319"/>
        <v>0</v>
      </c>
      <c r="II23" s="66">
        <f t="shared" si="320"/>
        <v>0</v>
      </c>
      <c r="IJ23" s="66">
        <f t="shared" si="321"/>
        <v>0</v>
      </c>
      <c r="IK23" s="102">
        <f t="shared" si="322"/>
        <v>0</v>
      </c>
      <c r="IL23" s="66">
        <f t="shared" si="323"/>
        <v>0</v>
      </c>
      <c r="IM23" s="66">
        <f t="shared" si="324"/>
        <v>0</v>
      </c>
      <c r="IN23" s="83"/>
      <c r="IO23" s="102">
        <f t="shared" si="325"/>
        <v>0</v>
      </c>
      <c r="IP23" s="66">
        <f t="shared" si="326"/>
        <v>0</v>
      </c>
      <c r="IQ23" s="66">
        <f t="shared" si="327"/>
        <v>0</v>
      </c>
      <c r="IR23" s="83"/>
      <c r="IS23" s="102"/>
      <c r="IT23" s="66">
        <f t="shared" si="328"/>
        <v>0</v>
      </c>
      <c r="IU23" s="66">
        <f t="shared" si="329"/>
        <v>0</v>
      </c>
      <c r="IV23" s="83"/>
      <c r="IW23" s="102"/>
      <c r="IX23" s="66">
        <f t="shared" si="330"/>
        <v>0</v>
      </c>
      <c r="IY23" s="66">
        <f t="shared" si="331"/>
        <v>0</v>
      </c>
      <c r="IZ23" s="83"/>
      <c r="JA23" s="102"/>
      <c r="JB23" s="66">
        <f t="shared" si="332"/>
        <v>1</v>
      </c>
      <c r="JC23" s="66">
        <f t="shared" si="333"/>
        <v>89</v>
      </c>
      <c r="JD23" s="83"/>
      <c r="JE23" s="102"/>
      <c r="JF23" s="66">
        <f t="shared" si="334"/>
        <v>1</v>
      </c>
      <c r="JG23" s="66">
        <f t="shared" si="335"/>
        <v>89</v>
      </c>
      <c r="JH23" s="83"/>
      <c r="JI23" s="102"/>
      <c r="JJ23" s="66">
        <f t="shared" si="336"/>
        <v>0</v>
      </c>
      <c r="JK23" s="66">
        <f t="shared" si="337"/>
        <v>0</v>
      </c>
      <c r="JM23" s="102">
        <f t="shared" si="338"/>
        <v>0</v>
      </c>
      <c r="JO23" s="29">
        <f t="shared" si="339"/>
        <v>0</v>
      </c>
      <c r="JP23" s="122">
        <f t="shared" si="340"/>
        <v>0</v>
      </c>
      <c r="JQ23" s="122">
        <f t="shared" si="341"/>
        <v>0</v>
      </c>
      <c r="JR23" s="122">
        <f t="shared" si="342"/>
        <v>0</v>
      </c>
      <c r="JS23" s="122">
        <f t="shared" si="343"/>
        <v>0</v>
      </c>
      <c r="JT23" s="122">
        <f t="shared" si="344"/>
        <v>0</v>
      </c>
      <c r="JU23" s="122">
        <f t="shared" si="345"/>
        <v>0</v>
      </c>
      <c r="JV23" s="122">
        <f t="shared" si="346"/>
        <v>0</v>
      </c>
      <c r="JW23" s="122">
        <f t="shared" si="347"/>
        <v>0</v>
      </c>
      <c r="JX23" s="122">
        <f t="shared" si="348"/>
        <v>0</v>
      </c>
      <c r="JY23" s="122">
        <f t="shared" si="349"/>
        <v>0</v>
      </c>
      <c r="JZ23" s="122">
        <f t="shared" si="350"/>
        <v>0</v>
      </c>
      <c r="KA23" s="122">
        <f t="shared" si="351"/>
        <v>0</v>
      </c>
      <c r="KB23" s="122">
        <f t="shared" si="352"/>
        <v>0</v>
      </c>
      <c r="KD23" s="122">
        <f t="shared" si="353"/>
        <v>0</v>
      </c>
      <c r="KE23" s="122">
        <f t="shared" si="354"/>
        <v>0</v>
      </c>
      <c r="KF23" s="122">
        <f t="shared" si="355"/>
        <v>0</v>
      </c>
      <c r="KG23" s="122">
        <f t="shared" si="356"/>
        <v>0</v>
      </c>
      <c r="KH23" s="122">
        <f t="shared" si="357"/>
        <v>0</v>
      </c>
      <c r="KI23" s="122">
        <f t="shared" si="358"/>
        <v>0</v>
      </c>
      <c r="KJ23" s="122">
        <f t="shared" si="359"/>
        <v>0</v>
      </c>
      <c r="KK23" s="122">
        <f t="shared" si="360"/>
        <v>0</v>
      </c>
      <c r="KL23" s="122">
        <f t="shared" si="361"/>
        <v>0</v>
      </c>
      <c r="KM23" s="122">
        <f t="shared" si="362"/>
        <v>0</v>
      </c>
      <c r="KN23" s="123">
        <f t="shared" si="363"/>
        <v>0</v>
      </c>
      <c r="KO23" s="123">
        <f t="shared" si="364"/>
        <v>0</v>
      </c>
      <c r="KP23" s="123">
        <f t="shared" si="365"/>
        <v>0</v>
      </c>
      <c r="KQ23" s="123">
        <f t="shared" si="366"/>
        <v>0</v>
      </c>
      <c r="KR23" s="123">
        <f t="shared" si="367"/>
        <v>0</v>
      </c>
      <c r="KS23">
        <v>7</v>
      </c>
      <c r="KT23">
        <f t="shared" si="368"/>
        <v>1</v>
      </c>
      <c r="KU23" s="123"/>
      <c r="KV23" s="123"/>
      <c r="KW23" s="123"/>
      <c r="KX23" s="123"/>
      <c r="KY23" s="123"/>
      <c r="KZ23" s="123"/>
      <c r="LA23" s="123"/>
      <c r="LB23" s="123"/>
      <c r="LC23" s="123"/>
      <c r="LD23" s="123"/>
      <c r="LE23" s="123"/>
      <c r="LF23" s="123"/>
      <c r="LG23" s="123"/>
      <c r="LH23" s="123"/>
      <c r="LI23" s="123"/>
      <c r="LJ23" s="123"/>
      <c r="LK23" s="123"/>
      <c r="LL23" s="123"/>
      <c r="LM23" s="123"/>
      <c r="LN23" s="123"/>
      <c r="LO23" s="123"/>
      <c r="LP23" s="123"/>
      <c r="LQ23" s="123"/>
      <c r="LR23" s="123"/>
      <c r="LS23" s="123"/>
      <c r="LT23" s="123"/>
      <c r="LU23" s="123"/>
      <c r="LV23" s="123"/>
      <c r="LW23" s="123"/>
      <c r="LX23" s="123"/>
      <c r="LY23" s="123"/>
      <c r="LZ23" s="123"/>
      <c r="MA23" s="123"/>
      <c r="MB23" s="123"/>
      <c r="MC23" s="123"/>
      <c r="MD23" s="123"/>
      <c r="ME23" s="123"/>
      <c r="MF23" s="123"/>
      <c r="MG23" s="123"/>
      <c r="MH23" s="123"/>
      <c r="MI23" s="123"/>
      <c r="MJ23" s="123"/>
      <c r="MK23" s="123"/>
      <c r="ML23" s="123"/>
      <c r="MM23" s="123"/>
      <c r="MN23" s="123"/>
      <c r="MO23" s="123"/>
      <c r="MP23" s="123"/>
      <c r="MQ23" s="123"/>
      <c r="MR23" s="123"/>
      <c r="MS23" s="123"/>
      <c r="MT23" s="123"/>
      <c r="MU23" s="123"/>
      <c r="MV23" s="123"/>
      <c r="MW23" s="123"/>
      <c r="MX23" s="123"/>
      <c r="MY23" s="123"/>
      <c r="MZ23" s="123"/>
      <c r="NA23" s="123"/>
      <c r="NB23" s="123"/>
      <c r="NC23" s="123"/>
      <c r="ND23" s="123"/>
      <c r="NE23" s="123"/>
      <c r="NF23" s="123"/>
      <c r="NG23" s="123"/>
      <c r="NH23" s="123"/>
      <c r="NI23" s="123"/>
      <c r="NJ23" s="123"/>
      <c r="NK23" s="123"/>
      <c r="NM23">
        <f t="shared" si="369"/>
        <v>0</v>
      </c>
      <c r="NN23">
        <f t="shared" si="370"/>
        <v>0</v>
      </c>
      <c r="NO23">
        <f t="shared" si="371"/>
        <v>0</v>
      </c>
      <c r="NP23">
        <f t="shared" si="372"/>
        <v>0</v>
      </c>
      <c r="NQ23">
        <f t="shared" si="373"/>
        <v>0</v>
      </c>
      <c r="NR23">
        <f t="shared" si="374"/>
        <v>0</v>
      </c>
      <c r="NS23">
        <f t="shared" si="375"/>
        <v>1</v>
      </c>
      <c r="NT23">
        <f t="shared" si="376"/>
        <v>1</v>
      </c>
      <c r="NU23">
        <f t="shared" si="377"/>
        <v>0</v>
      </c>
      <c r="NY23" s="29"/>
      <c r="NZ23" s="152"/>
      <c r="OE23" s="155"/>
      <c r="OF23" s="155"/>
      <c r="OG23" s="155"/>
      <c r="OH23" s="155"/>
      <c r="OI23" s="155"/>
      <c r="OJ23" s="67"/>
      <c r="OK23" s="67"/>
      <c r="OL23" s="67"/>
      <c r="OM23" s="67"/>
      <c r="OO23" s="155"/>
      <c r="OP23" s="155"/>
      <c r="OQ23" s="155"/>
      <c r="OR23" s="155"/>
      <c r="OS23" s="155"/>
      <c r="OT23" s="67"/>
      <c r="OU23" s="67"/>
      <c r="OV23" s="67"/>
      <c r="OW23" s="67"/>
      <c r="PA23" s="166">
        <v>1</v>
      </c>
      <c r="PB23" s="166"/>
      <c r="PC23" s="166"/>
      <c r="PD23" s="210">
        <f t="shared" si="96"/>
        <v>0</v>
      </c>
      <c r="PE23" s="166"/>
      <c r="PF23" s="210">
        <f t="shared" si="97"/>
        <v>0</v>
      </c>
      <c r="PG23" s="210">
        <f t="shared" si="98"/>
        <v>89</v>
      </c>
      <c r="PH23" s="210">
        <f t="shared" si="98"/>
        <v>0</v>
      </c>
      <c r="PI23" s="210">
        <f t="shared" si="98"/>
        <v>0</v>
      </c>
      <c r="PJ23" s="210">
        <f t="shared" si="98"/>
        <v>0</v>
      </c>
      <c r="PK23" s="210">
        <f t="shared" si="98"/>
        <v>0</v>
      </c>
      <c r="PL23" s="210">
        <f t="shared" si="98"/>
        <v>0</v>
      </c>
      <c r="PO23" s="172">
        <f t="shared" si="378"/>
        <v>0</v>
      </c>
      <c r="PP23" s="172">
        <f t="shared" si="379"/>
        <v>0</v>
      </c>
      <c r="PQ23" s="172">
        <f t="shared" si="380"/>
        <v>0</v>
      </c>
    </row>
    <row r="24" spans="1:433" ht="16" x14ac:dyDescent="0.2">
      <c r="A24" s="19">
        <f t="shared" si="163"/>
        <v>16</v>
      </c>
      <c r="B24" s="269" t="s">
        <v>684</v>
      </c>
      <c r="C24" s="186">
        <v>10</v>
      </c>
      <c r="D24" s="188">
        <v>1</v>
      </c>
      <c r="E24" s="188">
        <v>1536</v>
      </c>
      <c r="F24" s="188">
        <v>1</v>
      </c>
      <c r="G24" s="188">
        <f t="shared" ref="G24" si="557">E24</f>
        <v>1536</v>
      </c>
      <c r="H24" s="214">
        <f t="shared" si="212"/>
        <v>1</v>
      </c>
      <c r="I24" s="214">
        <f t="shared" si="213"/>
        <v>1</v>
      </c>
      <c r="J24" s="165">
        <v>1</v>
      </c>
      <c r="K24" s="188">
        <f t="shared" si="214"/>
        <v>1536</v>
      </c>
      <c r="L24" s="214">
        <f t="shared" si="215"/>
        <v>1</v>
      </c>
      <c r="M24" s="214">
        <f t="shared" si="216"/>
        <v>1</v>
      </c>
      <c r="N24" s="165">
        <v>1</v>
      </c>
      <c r="O24" s="20">
        <f t="shared" si="217"/>
        <v>1536</v>
      </c>
      <c r="P24" s="137">
        <f t="shared" si="218"/>
        <v>1</v>
      </c>
      <c r="Q24" s="137">
        <f t="shared" si="219"/>
        <v>1</v>
      </c>
      <c r="R24" s="20"/>
      <c r="S24" s="20">
        <f t="shared" si="220"/>
        <v>0</v>
      </c>
      <c r="T24" s="137">
        <f t="shared" si="221"/>
        <v>0</v>
      </c>
      <c r="U24" s="137">
        <f t="shared" si="222"/>
        <v>0</v>
      </c>
      <c r="V24" s="20"/>
      <c r="W24" s="20">
        <f t="shared" si="223"/>
        <v>0</v>
      </c>
      <c r="X24" s="137">
        <f t="shared" si="224"/>
        <v>0</v>
      </c>
      <c r="Y24" s="137">
        <f t="shared" si="225"/>
        <v>0</v>
      </c>
      <c r="Z24" s="38"/>
      <c r="AA24" s="38"/>
      <c r="AB24" s="17">
        <f t="shared" si="226"/>
        <v>0</v>
      </c>
      <c r="AC24" s="18">
        <f t="shared" si="227"/>
        <v>0</v>
      </c>
      <c r="AD24" s="18">
        <f t="shared" si="228"/>
        <v>0</v>
      </c>
      <c r="AE24" s="38"/>
      <c r="AF24" s="31">
        <f t="shared" si="229"/>
        <v>0</v>
      </c>
      <c r="AG24" s="31"/>
      <c r="AH24" s="31"/>
      <c r="AI24" s="17"/>
      <c r="AJ24" s="17"/>
      <c r="AK24" s="17"/>
      <c r="AL24" s="17"/>
      <c r="AM24" s="17"/>
      <c r="AN24" s="139">
        <v>1</v>
      </c>
      <c r="AO24" s="17">
        <f t="shared" si="230"/>
        <v>0</v>
      </c>
      <c r="AP24" s="17">
        <f t="shared" si="231"/>
        <v>0</v>
      </c>
      <c r="AQ24" s="17">
        <f t="shared" si="232"/>
        <v>0</v>
      </c>
      <c r="AR24" s="17">
        <f t="shared" si="233"/>
        <v>0</v>
      </c>
      <c r="AS24" s="17">
        <f t="shared" si="234"/>
        <v>0</v>
      </c>
      <c r="AT24" s="17">
        <f t="shared" si="235"/>
        <v>0</v>
      </c>
      <c r="AU24" s="17">
        <f t="shared" si="236"/>
        <v>0</v>
      </c>
      <c r="AV24" s="17">
        <f t="shared" si="237"/>
        <v>0</v>
      </c>
      <c r="AW24" s="17">
        <f t="shared" si="238"/>
        <v>0</v>
      </c>
      <c r="AX24" s="17">
        <f t="shared" si="239"/>
        <v>0</v>
      </c>
      <c r="AY24" s="17">
        <f t="shared" si="240"/>
        <v>0</v>
      </c>
      <c r="AZ24" s="17">
        <f t="shared" si="241"/>
        <v>0</v>
      </c>
      <c r="BA24" s="17">
        <f t="shared" si="242"/>
        <v>0</v>
      </c>
      <c r="BB24" s="20">
        <f t="shared" si="243"/>
        <v>1536</v>
      </c>
      <c r="BE24" s="20">
        <f t="shared" si="244"/>
        <v>0</v>
      </c>
      <c r="BF24" s="20">
        <f t="shared" si="245"/>
        <v>0</v>
      </c>
      <c r="BG24" s="20">
        <f t="shared" si="246"/>
        <v>0</v>
      </c>
      <c r="BH24" s="20">
        <f t="shared" si="247"/>
        <v>0</v>
      </c>
      <c r="BI24" s="20">
        <f t="shared" si="248"/>
        <v>0</v>
      </c>
      <c r="BJ24" s="20">
        <f t="shared" si="249"/>
        <v>0</v>
      </c>
      <c r="BK24" s="20">
        <f t="shared" si="250"/>
        <v>0</v>
      </c>
      <c r="BN24" s="139"/>
      <c r="BO24" s="139"/>
      <c r="BP24" s="139"/>
      <c r="BQ24" s="139"/>
      <c r="BR24" s="139"/>
      <c r="BS24" s="139"/>
      <c r="BT24" s="139"/>
      <c r="BU24" s="139"/>
      <c r="BV24" s="139"/>
      <c r="BW24" s="139"/>
      <c r="BX24" s="139"/>
      <c r="BY24" s="139"/>
      <c r="BZ24" s="139"/>
      <c r="CB24" s="139"/>
      <c r="CD24" s="139">
        <f t="shared" si="251"/>
        <v>0</v>
      </c>
      <c r="CE24" s="139">
        <f t="shared" si="252"/>
        <v>0</v>
      </c>
      <c r="CF24" s="139">
        <f t="shared" si="253"/>
        <v>0</v>
      </c>
      <c r="CG24" s="139">
        <f t="shared" si="254"/>
        <v>0</v>
      </c>
      <c r="CH24" s="139">
        <f t="shared" si="255"/>
        <v>0</v>
      </c>
      <c r="CI24" s="139">
        <f t="shared" si="256"/>
        <v>0</v>
      </c>
      <c r="CJ24" s="139">
        <f t="shared" si="257"/>
        <v>0</v>
      </c>
      <c r="CK24" s="139">
        <f t="shared" si="258"/>
        <v>0</v>
      </c>
      <c r="CL24" s="139">
        <f t="shared" si="259"/>
        <v>0</v>
      </c>
      <c r="CM24" s="139">
        <f t="shared" si="260"/>
        <v>0</v>
      </c>
      <c r="CN24" s="139">
        <f t="shared" si="261"/>
        <v>0</v>
      </c>
      <c r="CO24" s="139">
        <f t="shared" si="262"/>
        <v>0</v>
      </c>
      <c r="CP24" s="139">
        <f t="shared" si="263"/>
        <v>0</v>
      </c>
      <c r="DV24" s="139">
        <f t="shared" si="264"/>
        <v>0</v>
      </c>
      <c r="DW24" s="139">
        <f t="shared" si="265"/>
        <v>0</v>
      </c>
      <c r="DX24" s="139">
        <f t="shared" si="266"/>
        <v>0</v>
      </c>
      <c r="DY24" s="139">
        <f t="shared" si="267"/>
        <v>0</v>
      </c>
      <c r="DZ24" s="139">
        <f t="shared" si="268"/>
        <v>0</v>
      </c>
      <c r="EA24" s="139">
        <f t="shared" si="269"/>
        <v>0</v>
      </c>
      <c r="EB24" s="139">
        <f t="shared" si="270"/>
        <v>0</v>
      </c>
      <c r="ED24" s="46" t="s">
        <v>301</v>
      </c>
      <c r="EE24" s="46" t="s">
        <v>374</v>
      </c>
      <c r="EF24" s="56"/>
      <c r="EG24" s="57">
        <f t="shared" si="271"/>
        <v>0</v>
      </c>
      <c r="EH24" s="57">
        <f t="shared" si="272"/>
        <v>0</v>
      </c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X24" s="80"/>
      <c r="FY24" s="17">
        <f t="shared" si="273"/>
        <v>0</v>
      </c>
      <c r="FZ24" s="17">
        <f t="shared" si="274"/>
        <v>0</v>
      </c>
      <c r="GA24" s="17">
        <f t="shared" si="275"/>
        <v>0</v>
      </c>
      <c r="GB24" s="17">
        <f t="shared" si="276"/>
        <v>0</v>
      </c>
      <c r="GC24" s="17">
        <f t="shared" si="277"/>
        <v>0</v>
      </c>
      <c r="GD24" s="17">
        <f t="shared" si="278"/>
        <v>0</v>
      </c>
      <c r="GE24" s="17">
        <f t="shared" si="279"/>
        <v>0</v>
      </c>
      <c r="GF24" s="67"/>
      <c r="GG24" s="17">
        <v>0</v>
      </c>
      <c r="GH24" s="17">
        <v>0</v>
      </c>
      <c r="GI24" s="67"/>
      <c r="GJ24" s="62">
        <f t="shared" si="280"/>
        <v>0</v>
      </c>
      <c r="GK24" s="62">
        <f t="shared" si="281"/>
        <v>0</v>
      </c>
      <c r="GO24" s="17">
        <f t="shared" si="282"/>
        <v>0</v>
      </c>
      <c r="GP24" s="17">
        <f t="shared" si="283"/>
        <v>0</v>
      </c>
      <c r="GQ24" s="17">
        <f t="shared" si="284"/>
        <v>0</v>
      </c>
      <c r="GR24" s="17">
        <f t="shared" si="285"/>
        <v>1</v>
      </c>
      <c r="GS24" s="17">
        <f t="shared" si="286"/>
        <v>1</v>
      </c>
      <c r="GT24" s="17">
        <f t="shared" si="287"/>
        <v>0</v>
      </c>
      <c r="GU24" s="101">
        <f t="shared" si="117"/>
        <v>43243</v>
      </c>
      <c r="GV24" s="17" t="str">
        <f t="shared" si="288"/>
        <v>Musyawarah</v>
      </c>
      <c r="GW24" s="17">
        <f t="shared" si="289"/>
        <v>1</v>
      </c>
      <c r="GX24" s="66" t="str">
        <f t="shared" si="290"/>
        <v>Musyawarah</v>
      </c>
      <c r="GY24" s="66">
        <f t="shared" si="291"/>
        <v>24</v>
      </c>
      <c r="GZ24" s="102">
        <f t="shared" si="292"/>
        <v>43267</v>
      </c>
      <c r="HA24" s="83"/>
      <c r="HB24" s="83"/>
      <c r="HC24" s="17">
        <f t="shared" si="293"/>
        <v>0</v>
      </c>
      <c r="HD24" s="17">
        <f t="shared" si="294"/>
        <v>0</v>
      </c>
      <c r="HE24" s="17">
        <f t="shared" si="295"/>
        <v>0</v>
      </c>
      <c r="HF24" s="17">
        <f t="shared" si="296"/>
        <v>0</v>
      </c>
      <c r="HG24" s="17">
        <f t="shared" si="297"/>
        <v>0</v>
      </c>
      <c r="HH24" s="101" t="str">
        <f t="shared" si="298"/>
        <v>TIDAK KONSINYASI</v>
      </c>
      <c r="HI24" s="101">
        <f t="shared" si="299"/>
        <v>43312</v>
      </c>
      <c r="HJ24" s="27"/>
      <c r="HK24" s="101">
        <f t="shared" si="300"/>
        <v>43312</v>
      </c>
      <c r="HL24" s="83"/>
      <c r="HM24" s="83"/>
      <c r="HN24" s="83"/>
      <c r="HO24" s="83"/>
      <c r="HP24" s="102">
        <f t="shared" si="301"/>
        <v>0</v>
      </c>
      <c r="HQ24" s="66">
        <f t="shared" si="302"/>
        <v>0</v>
      </c>
      <c r="HR24" s="66">
        <f t="shared" si="303"/>
        <v>0</v>
      </c>
      <c r="HS24" s="102">
        <f t="shared" si="304"/>
        <v>0</v>
      </c>
      <c r="HT24" s="66">
        <f t="shared" si="305"/>
        <v>0</v>
      </c>
      <c r="HU24" s="66">
        <f t="shared" si="306"/>
        <v>0</v>
      </c>
      <c r="HV24" s="102">
        <f t="shared" si="307"/>
        <v>0</v>
      </c>
      <c r="HW24" s="66">
        <f t="shared" si="308"/>
        <v>0</v>
      </c>
      <c r="HX24" s="66">
        <f t="shared" si="309"/>
        <v>0</v>
      </c>
      <c r="HY24" s="102">
        <f t="shared" si="310"/>
        <v>0</v>
      </c>
      <c r="HZ24" s="66">
        <f t="shared" si="311"/>
        <v>0</v>
      </c>
      <c r="IA24" s="66">
        <f t="shared" si="312"/>
        <v>0</v>
      </c>
      <c r="IB24" s="102">
        <f t="shared" si="313"/>
        <v>0</v>
      </c>
      <c r="IC24" s="66">
        <f t="shared" si="314"/>
        <v>0</v>
      </c>
      <c r="ID24" s="66">
        <f t="shared" si="315"/>
        <v>0</v>
      </c>
      <c r="IE24" s="102">
        <f t="shared" si="316"/>
        <v>0</v>
      </c>
      <c r="IF24" s="66">
        <f t="shared" si="317"/>
        <v>0</v>
      </c>
      <c r="IG24" s="66">
        <f t="shared" si="318"/>
        <v>0</v>
      </c>
      <c r="IH24" s="102">
        <f t="shared" si="319"/>
        <v>0</v>
      </c>
      <c r="II24" s="66">
        <f t="shared" si="320"/>
        <v>0</v>
      </c>
      <c r="IJ24" s="66">
        <f t="shared" si="321"/>
        <v>0</v>
      </c>
      <c r="IK24" s="102">
        <f t="shared" si="322"/>
        <v>0</v>
      </c>
      <c r="IL24" s="66">
        <f t="shared" si="323"/>
        <v>0</v>
      </c>
      <c r="IM24" s="66">
        <f t="shared" si="324"/>
        <v>0</v>
      </c>
      <c r="IN24" s="83"/>
      <c r="IO24" s="102">
        <f t="shared" si="325"/>
        <v>0</v>
      </c>
      <c r="IP24" s="66">
        <f t="shared" si="326"/>
        <v>0</v>
      </c>
      <c r="IQ24" s="66">
        <f t="shared" si="327"/>
        <v>0</v>
      </c>
      <c r="IR24" s="83"/>
      <c r="IS24" s="102"/>
      <c r="IT24" s="66">
        <f t="shared" si="328"/>
        <v>0</v>
      </c>
      <c r="IU24" s="66">
        <f t="shared" si="329"/>
        <v>0</v>
      </c>
      <c r="IV24" s="83"/>
      <c r="IW24" s="102"/>
      <c r="IX24" s="66">
        <f t="shared" si="330"/>
        <v>0</v>
      </c>
      <c r="IY24" s="66">
        <f t="shared" si="331"/>
        <v>0</v>
      </c>
      <c r="IZ24" s="83"/>
      <c r="JA24" s="102"/>
      <c r="JB24" s="66">
        <f t="shared" si="332"/>
        <v>1</v>
      </c>
      <c r="JC24" s="66">
        <f t="shared" si="333"/>
        <v>1536</v>
      </c>
      <c r="JD24" s="83"/>
      <c r="JE24" s="102"/>
      <c r="JF24" s="66">
        <f t="shared" si="334"/>
        <v>1</v>
      </c>
      <c r="JG24" s="66">
        <f t="shared" si="335"/>
        <v>1536</v>
      </c>
      <c r="JH24" s="83"/>
      <c r="JI24" s="102"/>
      <c r="JJ24" s="66">
        <f t="shared" si="336"/>
        <v>0</v>
      </c>
      <c r="JK24" s="66">
        <f t="shared" si="337"/>
        <v>0</v>
      </c>
      <c r="JM24" s="102">
        <f t="shared" si="338"/>
        <v>0</v>
      </c>
      <c r="JO24" s="29">
        <f t="shared" si="339"/>
        <v>0</v>
      </c>
      <c r="JP24" s="122">
        <f t="shared" si="340"/>
        <v>0</v>
      </c>
      <c r="JQ24" s="122">
        <f t="shared" si="341"/>
        <v>0</v>
      </c>
      <c r="JR24" s="122">
        <f t="shared" si="342"/>
        <v>0</v>
      </c>
      <c r="JS24" s="122">
        <f t="shared" si="343"/>
        <v>0</v>
      </c>
      <c r="JT24" s="122">
        <f t="shared" si="344"/>
        <v>0</v>
      </c>
      <c r="JU24" s="122">
        <f t="shared" si="345"/>
        <v>0</v>
      </c>
      <c r="JV24" s="122">
        <f t="shared" si="346"/>
        <v>0</v>
      </c>
      <c r="JW24" s="122">
        <f t="shared" si="347"/>
        <v>0</v>
      </c>
      <c r="JX24" s="122">
        <f t="shared" si="348"/>
        <v>0</v>
      </c>
      <c r="JY24" s="122">
        <f t="shared" si="349"/>
        <v>0</v>
      </c>
      <c r="JZ24" s="122">
        <f t="shared" si="350"/>
        <v>0</v>
      </c>
      <c r="KA24" s="122">
        <f t="shared" si="351"/>
        <v>0</v>
      </c>
      <c r="KB24" s="122">
        <f t="shared" si="352"/>
        <v>0</v>
      </c>
      <c r="KD24" s="122">
        <f t="shared" si="353"/>
        <v>0</v>
      </c>
      <c r="KE24" s="122">
        <f t="shared" si="354"/>
        <v>0</v>
      </c>
      <c r="KF24" s="122">
        <f t="shared" si="355"/>
        <v>0</v>
      </c>
      <c r="KG24" s="122">
        <f t="shared" si="356"/>
        <v>0</v>
      </c>
      <c r="KH24" s="122">
        <f t="shared" si="357"/>
        <v>0</v>
      </c>
      <c r="KI24" s="122">
        <f t="shared" si="358"/>
        <v>0</v>
      </c>
      <c r="KJ24" s="122">
        <f t="shared" si="359"/>
        <v>0</v>
      </c>
      <c r="KK24" s="122">
        <f t="shared" si="360"/>
        <v>0</v>
      </c>
      <c r="KL24" s="122">
        <f t="shared" si="361"/>
        <v>0</v>
      </c>
      <c r="KM24" s="122">
        <f t="shared" si="362"/>
        <v>0</v>
      </c>
      <c r="KN24" s="123">
        <f t="shared" si="363"/>
        <v>0</v>
      </c>
      <c r="KO24" s="123">
        <f t="shared" si="364"/>
        <v>0</v>
      </c>
      <c r="KP24" s="123">
        <f t="shared" si="365"/>
        <v>0</v>
      </c>
      <c r="KQ24" s="123">
        <f t="shared" si="366"/>
        <v>0</v>
      </c>
      <c r="KR24" s="123">
        <f t="shared" si="367"/>
        <v>0</v>
      </c>
      <c r="KS24">
        <v>7</v>
      </c>
      <c r="KT24">
        <f t="shared" si="368"/>
        <v>1</v>
      </c>
      <c r="KU24" s="123"/>
      <c r="KV24" s="123"/>
      <c r="KW24" s="123"/>
      <c r="KX24" s="123"/>
      <c r="KY24" s="123"/>
      <c r="KZ24" s="123"/>
      <c r="LA24" s="123"/>
      <c r="LB24" s="123"/>
      <c r="LC24" s="123"/>
      <c r="LD24" s="123"/>
      <c r="LE24" s="123"/>
      <c r="LF24" s="123"/>
      <c r="LG24" s="123"/>
      <c r="LH24" s="123"/>
      <c r="LI24" s="123"/>
      <c r="LJ24" s="123"/>
      <c r="LK24" s="123"/>
      <c r="LL24" s="123"/>
      <c r="LM24" s="123"/>
      <c r="LN24" s="123"/>
      <c r="LO24" s="123"/>
      <c r="LP24" s="123"/>
      <c r="LQ24" s="123"/>
      <c r="LR24" s="123"/>
      <c r="LS24" s="123"/>
      <c r="LT24" s="123"/>
      <c r="LU24" s="123"/>
      <c r="LV24" s="123"/>
      <c r="LW24" s="123"/>
      <c r="LX24" s="123"/>
      <c r="LY24" s="123"/>
      <c r="LZ24" s="123"/>
      <c r="MA24" s="123"/>
      <c r="MB24" s="123"/>
      <c r="MC24" s="123"/>
      <c r="MD24" s="123"/>
      <c r="ME24" s="123"/>
      <c r="MF24" s="123"/>
      <c r="MG24" s="123"/>
      <c r="MH24" s="123"/>
      <c r="MI24" s="123"/>
      <c r="MJ24" s="123"/>
      <c r="MK24" s="123"/>
      <c r="ML24" s="123"/>
      <c r="MM24" s="123"/>
      <c r="MN24" s="123"/>
      <c r="MO24" s="123"/>
      <c r="MP24" s="123"/>
      <c r="MQ24" s="123"/>
      <c r="MR24" s="123"/>
      <c r="MS24" s="123"/>
      <c r="MT24" s="123"/>
      <c r="MU24" s="123"/>
      <c r="MV24" s="123"/>
      <c r="MW24" s="123"/>
      <c r="MX24" s="123"/>
      <c r="MY24" s="123"/>
      <c r="MZ24" s="123"/>
      <c r="NA24" s="123"/>
      <c r="NB24" s="123"/>
      <c r="NC24" s="123"/>
      <c r="ND24" s="123"/>
      <c r="NE24" s="123"/>
      <c r="NF24" s="123"/>
      <c r="NG24" s="123"/>
      <c r="NH24" s="123"/>
      <c r="NI24" s="123"/>
      <c r="NJ24" s="123"/>
      <c r="NK24" s="123"/>
      <c r="NM24">
        <f t="shared" si="369"/>
        <v>0</v>
      </c>
      <c r="NN24">
        <f t="shared" si="370"/>
        <v>0</v>
      </c>
      <c r="NO24">
        <f t="shared" si="371"/>
        <v>0</v>
      </c>
      <c r="NP24">
        <f t="shared" si="372"/>
        <v>0</v>
      </c>
      <c r="NQ24">
        <f t="shared" si="373"/>
        <v>0</v>
      </c>
      <c r="NR24">
        <f t="shared" si="374"/>
        <v>0</v>
      </c>
      <c r="NS24">
        <f t="shared" si="375"/>
        <v>1</v>
      </c>
      <c r="NT24">
        <f t="shared" si="376"/>
        <v>1</v>
      </c>
      <c r="NU24">
        <f t="shared" si="377"/>
        <v>0</v>
      </c>
      <c r="NY24" s="29"/>
      <c r="NZ24" s="152"/>
      <c r="OE24" s="155"/>
      <c r="OF24" s="155"/>
      <c r="OG24" s="155"/>
      <c r="OH24" s="155"/>
      <c r="OI24" s="155"/>
      <c r="OJ24" s="67"/>
      <c r="OK24" s="67"/>
      <c r="OL24" s="67"/>
      <c r="OM24" s="67"/>
      <c r="OO24" s="155"/>
      <c r="OP24" s="155"/>
      <c r="OQ24" s="155"/>
      <c r="OR24" s="155"/>
      <c r="OS24" s="155"/>
      <c r="OT24" s="67"/>
      <c r="OU24" s="67"/>
      <c r="OV24" s="67"/>
      <c r="OW24" s="67"/>
      <c r="PA24" s="166"/>
      <c r="PB24" s="166">
        <v>1</v>
      </c>
      <c r="PC24" s="166"/>
      <c r="PD24" s="210">
        <f t="shared" si="96"/>
        <v>1</v>
      </c>
      <c r="PE24" s="166">
        <v>1</v>
      </c>
      <c r="PF24" s="210">
        <f t="shared" si="97"/>
        <v>0</v>
      </c>
      <c r="PG24" s="210">
        <f t="shared" si="98"/>
        <v>0</v>
      </c>
      <c r="PH24" s="210">
        <f t="shared" si="98"/>
        <v>1536</v>
      </c>
      <c r="PI24" s="210">
        <f t="shared" si="98"/>
        <v>0</v>
      </c>
      <c r="PJ24" s="210">
        <f t="shared" si="98"/>
        <v>1536</v>
      </c>
      <c r="PK24" s="210">
        <f t="shared" si="98"/>
        <v>1536</v>
      </c>
      <c r="PL24" s="210">
        <f t="shared" si="98"/>
        <v>0</v>
      </c>
      <c r="PO24" s="172">
        <f t="shared" si="378"/>
        <v>0</v>
      </c>
      <c r="PP24" s="172">
        <f t="shared" si="379"/>
        <v>0</v>
      </c>
      <c r="PQ24" s="172">
        <f t="shared" si="380"/>
        <v>0</v>
      </c>
    </row>
    <row r="25" spans="1:433" ht="16" x14ac:dyDescent="0.2">
      <c r="A25" s="19">
        <f t="shared" si="163"/>
        <v>17</v>
      </c>
      <c r="B25" s="269" t="s">
        <v>684</v>
      </c>
      <c r="C25" s="186">
        <v>11</v>
      </c>
      <c r="D25" s="188">
        <v>1</v>
      </c>
      <c r="E25" s="188">
        <v>221</v>
      </c>
      <c r="F25" s="188">
        <v>1</v>
      </c>
      <c r="G25" s="188">
        <f t="shared" ref="G25" si="558">E25</f>
        <v>221</v>
      </c>
      <c r="H25" s="214">
        <f t="shared" si="212"/>
        <v>1</v>
      </c>
      <c r="I25" s="214">
        <f t="shared" si="213"/>
        <v>1</v>
      </c>
      <c r="J25" s="188">
        <v>1</v>
      </c>
      <c r="K25" s="188">
        <f t="shared" si="214"/>
        <v>221</v>
      </c>
      <c r="L25" s="214">
        <f t="shared" si="215"/>
        <v>1</v>
      </c>
      <c r="M25" s="214">
        <f t="shared" si="216"/>
        <v>1</v>
      </c>
      <c r="N25" s="188">
        <v>1</v>
      </c>
      <c r="O25" s="20">
        <f t="shared" si="217"/>
        <v>221</v>
      </c>
      <c r="P25" s="137">
        <f t="shared" si="218"/>
        <v>1</v>
      </c>
      <c r="Q25" s="137">
        <f t="shared" si="219"/>
        <v>1</v>
      </c>
      <c r="R25" s="20"/>
      <c r="S25" s="20">
        <f t="shared" si="220"/>
        <v>0</v>
      </c>
      <c r="T25" s="137">
        <f t="shared" si="221"/>
        <v>0</v>
      </c>
      <c r="U25" s="137">
        <f t="shared" si="222"/>
        <v>0</v>
      </c>
      <c r="V25" s="20"/>
      <c r="W25" s="20">
        <f t="shared" si="223"/>
        <v>0</v>
      </c>
      <c r="X25" s="137">
        <f t="shared" si="224"/>
        <v>0</v>
      </c>
      <c r="Y25" s="137">
        <f t="shared" si="225"/>
        <v>0</v>
      </c>
      <c r="Z25" s="38"/>
      <c r="AA25" s="38"/>
      <c r="AB25" s="17">
        <f t="shared" si="226"/>
        <v>0</v>
      </c>
      <c r="AC25" s="18">
        <f t="shared" si="227"/>
        <v>0</v>
      </c>
      <c r="AD25" s="18">
        <f t="shared" si="228"/>
        <v>0</v>
      </c>
      <c r="AE25" s="38"/>
      <c r="AF25" s="31">
        <f t="shared" si="229"/>
        <v>0</v>
      </c>
      <c r="AG25" s="31"/>
      <c r="AH25" s="31"/>
      <c r="AI25" s="17"/>
      <c r="AJ25" s="17"/>
      <c r="AK25" s="17"/>
      <c r="AL25" s="17"/>
      <c r="AM25" s="17"/>
      <c r="AN25" s="139">
        <v>1</v>
      </c>
      <c r="AO25" s="17">
        <f t="shared" si="230"/>
        <v>0</v>
      </c>
      <c r="AP25" s="17">
        <f t="shared" si="231"/>
        <v>0</v>
      </c>
      <c r="AQ25" s="17">
        <f t="shared" si="232"/>
        <v>0</v>
      </c>
      <c r="AR25" s="17">
        <f t="shared" si="233"/>
        <v>0</v>
      </c>
      <c r="AS25" s="17">
        <f t="shared" si="234"/>
        <v>0</v>
      </c>
      <c r="AT25" s="17">
        <f t="shared" si="235"/>
        <v>0</v>
      </c>
      <c r="AU25" s="17">
        <f t="shared" si="236"/>
        <v>0</v>
      </c>
      <c r="AV25" s="17">
        <f t="shared" si="237"/>
        <v>0</v>
      </c>
      <c r="AW25" s="17">
        <f t="shared" si="238"/>
        <v>0</v>
      </c>
      <c r="AX25" s="17">
        <f t="shared" si="239"/>
        <v>0</v>
      </c>
      <c r="AY25" s="17">
        <f t="shared" si="240"/>
        <v>0</v>
      </c>
      <c r="AZ25" s="17">
        <f t="shared" si="241"/>
        <v>0</v>
      </c>
      <c r="BA25" s="17">
        <f t="shared" si="242"/>
        <v>0</v>
      </c>
      <c r="BB25" s="20">
        <f t="shared" si="243"/>
        <v>221</v>
      </c>
      <c r="BE25" s="20">
        <f t="shared" si="244"/>
        <v>0</v>
      </c>
      <c r="BF25" s="20">
        <f t="shared" si="245"/>
        <v>0</v>
      </c>
      <c r="BG25" s="20">
        <f t="shared" si="246"/>
        <v>0</v>
      </c>
      <c r="BH25" s="20">
        <f t="shared" si="247"/>
        <v>0</v>
      </c>
      <c r="BI25" s="20">
        <f t="shared" si="248"/>
        <v>0</v>
      </c>
      <c r="BJ25" s="20">
        <f t="shared" si="249"/>
        <v>0</v>
      </c>
      <c r="BK25" s="20">
        <f t="shared" si="250"/>
        <v>0</v>
      </c>
      <c r="BN25" s="139"/>
      <c r="BO25" s="139"/>
      <c r="BP25" s="139"/>
      <c r="BQ25" s="139"/>
      <c r="BR25" s="139"/>
      <c r="BS25" s="139"/>
      <c r="BT25" s="139"/>
      <c r="BU25" s="139"/>
      <c r="BV25" s="139"/>
      <c r="BW25" s="139"/>
      <c r="BX25" s="139"/>
      <c r="BY25" s="139"/>
      <c r="BZ25" s="139"/>
      <c r="CB25" s="139"/>
      <c r="CD25" s="139">
        <f t="shared" si="251"/>
        <v>0</v>
      </c>
      <c r="CE25" s="139">
        <f t="shared" si="252"/>
        <v>0</v>
      </c>
      <c r="CF25" s="139">
        <f t="shared" si="253"/>
        <v>0</v>
      </c>
      <c r="CG25" s="139">
        <f t="shared" si="254"/>
        <v>0</v>
      </c>
      <c r="CH25" s="139">
        <f t="shared" si="255"/>
        <v>0</v>
      </c>
      <c r="CI25" s="139">
        <f t="shared" si="256"/>
        <v>0</v>
      </c>
      <c r="CJ25" s="139">
        <f t="shared" si="257"/>
        <v>0</v>
      </c>
      <c r="CK25" s="139">
        <f t="shared" si="258"/>
        <v>0</v>
      </c>
      <c r="CL25" s="139">
        <f t="shared" si="259"/>
        <v>0</v>
      </c>
      <c r="CM25" s="139">
        <f t="shared" si="260"/>
        <v>0</v>
      </c>
      <c r="CN25" s="139">
        <f t="shared" si="261"/>
        <v>0</v>
      </c>
      <c r="CO25" s="139">
        <f t="shared" si="262"/>
        <v>0</v>
      </c>
      <c r="CP25" s="139">
        <f t="shared" si="263"/>
        <v>0</v>
      </c>
      <c r="DV25" s="139">
        <f t="shared" si="264"/>
        <v>0</v>
      </c>
      <c r="DW25" s="139">
        <f t="shared" si="265"/>
        <v>0</v>
      </c>
      <c r="DX25" s="139">
        <f t="shared" si="266"/>
        <v>0</v>
      </c>
      <c r="DY25" s="139">
        <f t="shared" si="267"/>
        <v>0</v>
      </c>
      <c r="DZ25" s="139">
        <f t="shared" si="268"/>
        <v>0</v>
      </c>
      <c r="EA25" s="139">
        <f t="shared" si="269"/>
        <v>0</v>
      </c>
      <c r="EB25" s="139">
        <f t="shared" si="270"/>
        <v>0</v>
      </c>
      <c r="ED25" s="46" t="s">
        <v>301</v>
      </c>
      <c r="EE25" s="46" t="s">
        <v>374</v>
      </c>
      <c r="EF25" s="56"/>
      <c r="EG25" s="57">
        <f t="shared" si="271"/>
        <v>0</v>
      </c>
      <c r="EH25" s="57">
        <f t="shared" si="272"/>
        <v>0</v>
      </c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X25" s="80"/>
      <c r="FY25" s="17">
        <f t="shared" si="273"/>
        <v>0</v>
      </c>
      <c r="FZ25" s="17">
        <f t="shared" si="274"/>
        <v>0</v>
      </c>
      <c r="GA25" s="17">
        <f t="shared" si="275"/>
        <v>0</v>
      </c>
      <c r="GB25" s="17">
        <f t="shared" si="276"/>
        <v>0</v>
      </c>
      <c r="GC25" s="17">
        <f t="shared" si="277"/>
        <v>0</v>
      </c>
      <c r="GD25" s="17">
        <f t="shared" si="278"/>
        <v>0</v>
      </c>
      <c r="GE25" s="17">
        <f t="shared" si="279"/>
        <v>0</v>
      </c>
      <c r="GF25" s="67"/>
      <c r="GG25" s="17">
        <v>0</v>
      </c>
      <c r="GH25" s="17">
        <v>0</v>
      </c>
      <c r="GI25" s="67"/>
      <c r="GJ25" s="62">
        <f t="shared" si="280"/>
        <v>0</v>
      </c>
      <c r="GK25" s="62">
        <f t="shared" si="281"/>
        <v>0</v>
      </c>
      <c r="GO25" s="17">
        <f t="shared" si="282"/>
        <v>0</v>
      </c>
      <c r="GP25" s="17">
        <f t="shared" si="283"/>
        <v>0</v>
      </c>
      <c r="GQ25" s="17">
        <f t="shared" si="284"/>
        <v>0</v>
      </c>
      <c r="GR25" s="17">
        <f t="shared" si="285"/>
        <v>1</v>
      </c>
      <c r="GS25" s="17">
        <f t="shared" si="286"/>
        <v>1</v>
      </c>
      <c r="GT25" s="17">
        <f t="shared" si="287"/>
        <v>0</v>
      </c>
      <c r="GU25" s="101">
        <f t="shared" si="117"/>
        <v>43243</v>
      </c>
      <c r="GV25" s="17" t="str">
        <f t="shared" si="288"/>
        <v>Musyawarah</v>
      </c>
      <c r="GW25" s="17">
        <f t="shared" si="289"/>
        <v>1</v>
      </c>
      <c r="GX25" s="66" t="str">
        <f t="shared" si="290"/>
        <v>Musyawarah</v>
      </c>
      <c r="GY25" s="66">
        <f t="shared" si="291"/>
        <v>24</v>
      </c>
      <c r="GZ25" s="102">
        <f t="shared" si="292"/>
        <v>43267</v>
      </c>
      <c r="HA25" s="83"/>
      <c r="HB25" s="83"/>
      <c r="HC25" s="17">
        <f t="shared" si="293"/>
        <v>0</v>
      </c>
      <c r="HD25" s="17">
        <f t="shared" si="294"/>
        <v>0</v>
      </c>
      <c r="HE25" s="17">
        <f t="shared" si="295"/>
        <v>0</v>
      </c>
      <c r="HF25" s="17">
        <f t="shared" si="296"/>
        <v>0</v>
      </c>
      <c r="HG25" s="17">
        <f t="shared" si="297"/>
        <v>0</v>
      </c>
      <c r="HH25" s="101" t="str">
        <f t="shared" si="298"/>
        <v>TIDAK KONSINYASI</v>
      </c>
      <c r="HI25" s="101">
        <f t="shared" si="299"/>
        <v>43312</v>
      </c>
      <c r="HJ25" s="27"/>
      <c r="HK25" s="101">
        <f t="shared" si="300"/>
        <v>43312</v>
      </c>
      <c r="HL25" s="83"/>
      <c r="HM25" s="83"/>
      <c r="HN25" s="83"/>
      <c r="HO25" s="83"/>
      <c r="HP25" s="102">
        <f t="shared" si="301"/>
        <v>0</v>
      </c>
      <c r="HQ25" s="66">
        <f t="shared" si="302"/>
        <v>0</v>
      </c>
      <c r="HR25" s="66">
        <f t="shared" si="303"/>
        <v>0</v>
      </c>
      <c r="HS25" s="102">
        <f t="shared" si="304"/>
        <v>0</v>
      </c>
      <c r="HT25" s="66">
        <f t="shared" si="305"/>
        <v>0</v>
      </c>
      <c r="HU25" s="66">
        <f t="shared" si="306"/>
        <v>0</v>
      </c>
      <c r="HV25" s="102">
        <f t="shared" si="307"/>
        <v>0</v>
      </c>
      <c r="HW25" s="66">
        <f t="shared" si="308"/>
        <v>0</v>
      </c>
      <c r="HX25" s="66">
        <f t="shared" si="309"/>
        <v>0</v>
      </c>
      <c r="HY25" s="102">
        <f t="shared" si="310"/>
        <v>0</v>
      </c>
      <c r="HZ25" s="66">
        <f t="shared" si="311"/>
        <v>0</v>
      </c>
      <c r="IA25" s="66">
        <f t="shared" si="312"/>
        <v>0</v>
      </c>
      <c r="IB25" s="102">
        <f t="shared" si="313"/>
        <v>0</v>
      </c>
      <c r="IC25" s="66">
        <f t="shared" si="314"/>
        <v>0</v>
      </c>
      <c r="ID25" s="66">
        <f t="shared" si="315"/>
        <v>0</v>
      </c>
      <c r="IE25" s="102">
        <f t="shared" si="316"/>
        <v>0</v>
      </c>
      <c r="IF25" s="66">
        <f t="shared" si="317"/>
        <v>0</v>
      </c>
      <c r="IG25" s="66">
        <f t="shared" si="318"/>
        <v>0</v>
      </c>
      <c r="IH25" s="102">
        <f t="shared" si="319"/>
        <v>0</v>
      </c>
      <c r="II25" s="66">
        <f t="shared" si="320"/>
        <v>0</v>
      </c>
      <c r="IJ25" s="66">
        <f t="shared" si="321"/>
        <v>0</v>
      </c>
      <c r="IK25" s="102">
        <f t="shared" si="322"/>
        <v>0</v>
      </c>
      <c r="IL25" s="66">
        <f t="shared" si="323"/>
        <v>0</v>
      </c>
      <c r="IM25" s="66">
        <f t="shared" si="324"/>
        <v>0</v>
      </c>
      <c r="IN25" s="83"/>
      <c r="IO25" s="102">
        <f t="shared" si="325"/>
        <v>0</v>
      </c>
      <c r="IP25" s="66">
        <f t="shared" si="326"/>
        <v>0</v>
      </c>
      <c r="IQ25" s="66">
        <f t="shared" si="327"/>
        <v>0</v>
      </c>
      <c r="IR25" s="83"/>
      <c r="IS25" s="102"/>
      <c r="IT25" s="66">
        <f t="shared" si="328"/>
        <v>0</v>
      </c>
      <c r="IU25" s="66">
        <f t="shared" si="329"/>
        <v>0</v>
      </c>
      <c r="IV25" s="83"/>
      <c r="IW25" s="102"/>
      <c r="IX25" s="66">
        <f t="shared" si="330"/>
        <v>0</v>
      </c>
      <c r="IY25" s="66">
        <f t="shared" si="331"/>
        <v>0</v>
      </c>
      <c r="IZ25" s="83"/>
      <c r="JA25" s="102"/>
      <c r="JB25" s="66">
        <f t="shared" si="332"/>
        <v>1</v>
      </c>
      <c r="JC25" s="66">
        <f t="shared" si="333"/>
        <v>221</v>
      </c>
      <c r="JD25" s="83"/>
      <c r="JE25" s="102"/>
      <c r="JF25" s="66">
        <f t="shared" si="334"/>
        <v>1</v>
      </c>
      <c r="JG25" s="66">
        <f t="shared" si="335"/>
        <v>221</v>
      </c>
      <c r="JH25" s="83"/>
      <c r="JI25" s="102"/>
      <c r="JJ25" s="66">
        <f t="shared" si="336"/>
        <v>0</v>
      </c>
      <c r="JK25" s="66">
        <f t="shared" si="337"/>
        <v>0</v>
      </c>
      <c r="JM25" s="102">
        <f t="shared" si="338"/>
        <v>0</v>
      </c>
      <c r="JO25" s="29">
        <f t="shared" si="339"/>
        <v>0</v>
      </c>
      <c r="JP25" s="122">
        <f t="shared" si="340"/>
        <v>0</v>
      </c>
      <c r="JQ25" s="122">
        <f t="shared" si="341"/>
        <v>0</v>
      </c>
      <c r="JR25" s="122">
        <f t="shared" si="342"/>
        <v>0</v>
      </c>
      <c r="JS25" s="122">
        <f t="shared" si="343"/>
        <v>0</v>
      </c>
      <c r="JT25" s="122">
        <f t="shared" si="344"/>
        <v>0</v>
      </c>
      <c r="JU25" s="122">
        <f t="shared" si="345"/>
        <v>0</v>
      </c>
      <c r="JV25" s="122">
        <f t="shared" si="346"/>
        <v>0</v>
      </c>
      <c r="JW25" s="122">
        <f t="shared" si="347"/>
        <v>0</v>
      </c>
      <c r="JX25" s="122">
        <f t="shared" si="348"/>
        <v>0</v>
      </c>
      <c r="JY25" s="122">
        <f t="shared" si="349"/>
        <v>0</v>
      </c>
      <c r="JZ25" s="122">
        <f t="shared" si="350"/>
        <v>0</v>
      </c>
      <c r="KA25" s="122">
        <f t="shared" si="351"/>
        <v>0</v>
      </c>
      <c r="KB25" s="122">
        <f t="shared" si="352"/>
        <v>0</v>
      </c>
      <c r="KD25" s="122">
        <f t="shared" si="353"/>
        <v>0</v>
      </c>
      <c r="KE25" s="122">
        <f t="shared" si="354"/>
        <v>0</v>
      </c>
      <c r="KF25" s="122">
        <f t="shared" si="355"/>
        <v>0</v>
      </c>
      <c r="KG25" s="122">
        <f t="shared" si="356"/>
        <v>0</v>
      </c>
      <c r="KH25" s="122">
        <f t="shared" si="357"/>
        <v>0</v>
      </c>
      <c r="KI25" s="122">
        <f t="shared" si="358"/>
        <v>0</v>
      </c>
      <c r="KJ25" s="122">
        <f t="shared" si="359"/>
        <v>0</v>
      </c>
      <c r="KK25" s="122">
        <f t="shared" si="360"/>
        <v>0</v>
      </c>
      <c r="KL25" s="122">
        <f t="shared" si="361"/>
        <v>0</v>
      </c>
      <c r="KM25" s="122">
        <f t="shared" si="362"/>
        <v>0</v>
      </c>
      <c r="KN25" s="123">
        <f t="shared" si="363"/>
        <v>0</v>
      </c>
      <c r="KO25" s="123">
        <f t="shared" si="364"/>
        <v>0</v>
      </c>
      <c r="KP25" s="123">
        <f t="shared" si="365"/>
        <v>0</v>
      </c>
      <c r="KQ25" s="123">
        <f t="shared" si="366"/>
        <v>0</v>
      </c>
      <c r="KR25" s="123">
        <f t="shared" si="367"/>
        <v>0</v>
      </c>
      <c r="KS25">
        <v>7</v>
      </c>
      <c r="KT25">
        <f t="shared" si="368"/>
        <v>1</v>
      </c>
      <c r="KU25" s="123"/>
      <c r="KV25" s="123"/>
      <c r="KW25" s="123"/>
      <c r="KX25" s="123"/>
      <c r="KY25" s="123"/>
      <c r="KZ25" s="123"/>
      <c r="LA25" s="123"/>
      <c r="LB25" s="123"/>
      <c r="LC25" s="123"/>
      <c r="LD25" s="123"/>
      <c r="LE25" s="123"/>
      <c r="LF25" s="123"/>
      <c r="LG25" s="123"/>
      <c r="LH25" s="123"/>
      <c r="LI25" s="123"/>
      <c r="LJ25" s="123"/>
      <c r="LK25" s="123"/>
      <c r="LL25" s="123"/>
      <c r="LM25" s="123"/>
      <c r="LN25" s="123"/>
      <c r="LO25" s="123"/>
      <c r="LP25" s="123"/>
      <c r="LQ25" s="123"/>
      <c r="LR25" s="123"/>
      <c r="LS25" s="123"/>
      <c r="LT25" s="123"/>
      <c r="LU25" s="123"/>
      <c r="LV25" s="123"/>
      <c r="LW25" s="123"/>
      <c r="LX25" s="123"/>
      <c r="LY25" s="123"/>
      <c r="LZ25" s="123"/>
      <c r="MA25" s="123"/>
      <c r="MB25" s="123"/>
      <c r="MC25" s="123"/>
      <c r="MD25" s="123"/>
      <c r="ME25" s="123"/>
      <c r="MF25" s="123"/>
      <c r="MG25" s="123"/>
      <c r="MH25" s="123"/>
      <c r="MI25" s="123"/>
      <c r="MJ25" s="123"/>
      <c r="MK25" s="123"/>
      <c r="ML25" s="123"/>
      <c r="MM25" s="123"/>
      <c r="MN25" s="123"/>
      <c r="MO25" s="123"/>
      <c r="MP25" s="123"/>
      <c r="MQ25" s="123"/>
      <c r="MR25" s="123"/>
      <c r="MS25" s="123"/>
      <c r="MT25" s="123"/>
      <c r="MU25" s="123"/>
      <c r="MV25" s="123"/>
      <c r="MW25" s="123"/>
      <c r="MX25" s="123"/>
      <c r="MY25" s="123"/>
      <c r="MZ25" s="123"/>
      <c r="NA25" s="123"/>
      <c r="NB25" s="123"/>
      <c r="NC25" s="123"/>
      <c r="ND25" s="123"/>
      <c r="NE25" s="123"/>
      <c r="NF25" s="123"/>
      <c r="NG25" s="123"/>
      <c r="NH25" s="123"/>
      <c r="NI25" s="123"/>
      <c r="NJ25" s="123"/>
      <c r="NK25" s="123"/>
      <c r="NM25">
        <f t="shared" si="369"/>
        <v>0</v>
      </c>
      <c r="NN25">
        <f t="shared" si="370"/>
        <v>0</v>
      </c>
      <c r="NO25">
        <f t="shared" si="371"/>
        <v>0</v>
      </c>
      <c r="NP25">
        <f t="shared" si="372"/>
        <v>0</v>
      </c>
      <c r="NQ25">
        <f t="shared" si="373"/>
        <v>0</v>
      </c>
      <c r="NR25">
        <f t="shared" si="374"/>
        <v>0</v>
      </c>
      <c r="NS25">
        <f t="shared" si="375"/>
        <v>1</v>
      </c>
      <c r="NT25">
        <f t="shared" si="376"/>
        <v>1</v>
      </c>
      <c r="NU25">
        <f t="shared" si="377"/>
        <v>0</v>
      </c>
      <c r="NY25" s="29"/>
      <c r="NZ25" s="152"/>
      <c r="OE25" s="155"/>
      <c r="OF25" s="155"/>
      <c r="OG25" s="155"/>
      <c r="OH25" s="155"/>
      <c r="OI25" s="155"/>
      <c r="OJ25" s="67"/>
      <c r="OK25" s="67"/>
      <c r="OL25" s="67"/>
      <c r="OM25" s="67"/>
      <c r="OO25" s="155"/>
      <c r="OP25" s="155"/>
      <c r="OQ25" s="155"/>
      <c r="OR25" s="155"/>
      <c r="OS25" s="155"/>
      <c r="OT25" s="67"/>
      <c r="OU25" s="67"/>
      <c r="OV25" s="67"/>
      <c r="OW25" s="67"/>
      <c r="PA25" s="166"/>
      <c r="PB25" s="166">
        <v>1</v>
      </c>
      <c r="PC25" s="166"/>
      <c r="PD25" s="210">
        <f t="shared" si="96"/>
        <v>1</v>
      </c>
      <c r="PE25" s="166">
        <v>1</v>
      </c>
      <c r="PF25" s="210">
        <f t="shared" si="97"/>
        <v>0</v>
      </c>
      <c r="PG25" s="210">
        <f t="shared" si="98"/>
        <v>0</v>
      </c>
      <c r="PH25" s="210">
        <f t="shared" si="98"/>
        <v>221</v>
      </c>
      <c r="PI25" s="210">
        <f t="shared" si="98"/>
        <v>0</v>
      </c>
      <c r="PJ25" s="210">
        <f t="shared" si="98"/>
        <v>221</v>
      </c>
      <c r="PK25" s="210">
        <f t="shared" si="98"/>
        <v>221</v>
      </c>
      <c r="PL25" s="210">
        <f t="shared" si="98"/>
        <v>0</v>
      </c>
      <c r="PO25" s="172">
        <f t="shared" si="378"/>
        <v>0</v>
      </c>
      <c r="PP25" s="172">
        <f t="shared" si="379"/>
        <v>0</v>
      </c>
      <c r="PQ25" s="172">
        <f t="shared" si="380"/>
        <v>0</v>
      </c>
    </row>
    <row r="26" spans="1:433" ht="16" x14ac:dyDescent="0.2">
      <c r="A26" s="19">
        <f t="shared" si="163"/>
        <v>18</v>
      </c>
      <c r="B26" s="269" t="s">
        <v>660</v>
      </c>
      <c r="C26" s="186">
        <v>12</v>
      </c>
      <c r="D26" s="188">
        <v>1</v>
      </c>
      <c r="E26" s="188">
        <v>4</v>
      </c>
      <c r="F26" s="188">
        <v>1</v>
      </c>
      <c r="G26" s="188">
        <f t="shared" ref="G26" si="559">E26</f>
        <v>4</v>
      </c>
      <c r="H26" s="214">
        <f t="shared" si="212"/>
        <v>1</v>
      </c>
      <c r="I26" s="214">
        <f t="shared" si="213"/>
        <v>1</v>
      </c>
      <c r="J26" s="188">
        <v>1</v>
      </c>
      <c r="K26" s="188">
        <f t="shared" si="214"/>
        <v>4</v>
      </c>
      <c r="L26" s="214">
        <f t="shared" si="215"/>
        <v>1</v>
      </c>
      <c r="M26" s="214">
        <f t="shared" si="216"/>
        <v>1</v>
      </c>
      <c r="N26" s="188">
        <v>1</v>
      </c>
      <c r="O26" s="20">
        <f t="shared" si="217"/>
        <v>4</v>
      </c>
      <c r="P26" s="137">
        <f t="shared" si="218"/>
        <v>1</v>
      </c>
      <c r="Q26" s="137">
        <f t="shared" si="219"/>
        <v>1</v>
      </c>
      <c r="R26" s="20"/>
      <c r="S26" s="20">
        <f t="shared" si="220"/>
        <v>0</v>
      </c>
      <c r="T26" s="137">
        <f t="shared" si="221"/>
        <v>0</v>
      </c>
      <c r="U26" s="137">
        <f t="shared" si="222"/>
        <v>0</v>
      </c>
      <c r="V26" s="20"/>
      <c r="W26" s="20">
        <f t="shared" si="223"/>
        <v>0</v>
      </c>
      <c r="X26" s="137">
        <f t="shared" si="224"/>
        <v>0</v>
      </c>
      <c r="Y26" s="137">
        <f t="shared" si="225"/>
        <v>0</v>
      </c>
      <c r="Z26" s="38"/>
      <c r="AA26" s="38"/>
      <c r="AB26" s="17">
        <f t="shared" si="226"/>
        <v>0</v>
      </c>
      <c r="AC26" s="18">
        <f t="shared" si="227"/>
        <v>0</v>
      </c>
      <c r="AD26" s="18">
        <f t="shared" si="228"/>
        <v>0</v>
      </c>
      <c r="AE26" s="38"/>
      <c r="AF26" s="31">
        <f t="shared" si="229"/>
        <v>0</v>
      </c>
      <c r="AG26" s="31"/>
      <c r="AH26" s="31"/>
      <c r="AI26" s="17"/>
      <c r="AJ26" s="17"/>
      <c r="AK26" s="17"/>
      <c r="AL26" s="17"/>
      <c r="AM26" s="17"/>
      <c r="AN26" s="139">
        <v>1</v>
      </c>
      <c r="AO26" s="17">
        <f t="shared" si="230"/>
        <v>0</v>
      </c>
      <c r="AP26" s="17">
        <f t="shared" si="231"/>
        <v>0</v>
      </c>
      <c r="AQ26" s="17">
        <f t="shared" si="232"/>
        <v>0</v>
      </c>
      <c r="AR26" s="17">
        <f t="shared" si="233"/>
        <v>0</v>
      </c>
      <c r="AS26" s="17">
        <f t="shared" si="234"/>
        <v>0</v>
      </c>
      <c r="AT26" s="17">
        <f t="shared" si="235"/>
        <v>0</v>
      </c>
      <c r="AU26" s="17">
        <f t="shared" si="236"/>
        <v>0</v>
      </c>
      <c r="AV26" s="17">
        <f t="shared" si="237"/>
        <v>0</v>
      </c>
      <c r="AW26" s="17">
        <f t="shared" si="238"/>
        <v>0</v>
      </c>
      <c r="AX26" s="17">
        <f t="shared" si="239"/>
        <v>0</v>
      </c>
      <c r="AY26" s="17">
        <f t="shared" si="240"/>
        <v>0</v>
      </c>
      <c r="AZ26" s="17">
        <f t="shared" si="241"/>
        <v>0</v>
      </c>
      <c r="BA26" s="17">
        <f t="shared" si="242"/>
        <v>0</v>
      </c>
      <c r="BB26" s="20">
        <f t="shared" si="243"/>
        <v>4</v>
      </c>
      <c r="BE26" s="20">
        <f t="shared" si="244"/>
        <v>0</v>
      </c>
      <c r="BF26" s="20">
        <f t="shared" si="245"/>
        <v>0</v>
      </c>
      <c r="BG26" s="20">
        <f t="shared" si="246"/>
        <v>0</v>
      </c>
      <c r="BH26" s="20">
        <f t="shared" si="247"/>
        <v>0</v>
      </c>
      <c r="BI26" s="20">
        <f t="shared" si="248"/>
        <v>0</v>
      </c>
      <c r="BJ26" s="20">
        <f t="shared" si="249"/>
        <v>0</v>
      </c>
      <c r="BK26" s="20">
        <f t="shared" si="250"/>
        <v>0</v>
      </c>
      <c r="BN26" s="139"/>
      <c r="BO26" s="139"/>
      <c r="BP26" s="139"/>
      <c r="BQ26" s="139"/>
      <c r="BR26" s="139"/>
      <c r="BS26" s="139"/>
      <c r="BT26" s="139"/>
      <c r="BU26" s="139"/>
      <c r="BV26" s="139"/>
      <c r="BW26" s="139"/>
      <c r="BX26" s="139"/>
      <c r="BY26" s="139"/>
      <c r="BZ26" s="139"/>
      <c r="CB26" s="139"/>
      <c r="CD26" s="139">
        <f t="shared" si="251"/>
        <v>0</v>
      </c>
      <c r="CE26" s="139">
        <f t="shared" si="252"/>
        <v>0</v>
      </c>
      <c r="CF26" s="139">
        <f t="shared" si="253"/>
        <v>0</v>
      </c>
      <c r="CG26" s="139">
        <f t="shared" si="254"/>
        <v>0</v>
      </c>
      <c r="CH26" s="139">
        <f t="shared" si="255"/>
        <v>0</v>
      </c>
      <c r="CI26" s="139">
        <f t="shared" si="256"/>
        <v>0</v>
      </c>
      <c r="CJ26" s="139">
        <f t="shared" si="257"/>
        <v>0</v>
      </c>
      <c r="CK26" s="139">
        <f t="shared" si="258"/>
        <v>0</v>
      </c>
      <c r="CL26" s="139">
        <f t="shared" si="259"/>
        <v>0</v>
      </c>
      <c r="CM26" s="139">
        <f t="shared" si="260"/>
        <v>0</v>
      </c>
      <c r="CN26" s="139">
        <f t="shared" si="261"/>
        <v>0</v>
      </c>
      <c r="CO26" s="139">
        <f t="shared" si="262"/>
        <v>0</v>
      </c>
      <c r="CP26" s="139">
        <f t="shared" si="263"/>
        <v>0</v>
      </c>
      <c r="DV26" s="139">
        <f t="shared" si="264"/>
        <v>0</v>
      </c>
      <c r="DW26" s="139">
        <f t="shared" si="265"/>
        <v>0</v>
      </c>
      <c r="DX26" s="139">
        <f t="shared" si="266"/>
        <v>0</v>
      </c>
      <c r="DY26" s="139">
        <f t="shared" si="267"/>
        <v>0</v>
      </c>
      <c r="DZ26" s="139">
        <f t="shared" si="268"/>
        <v>0</v>
      </c>
      <c r="EA26" s="139">
        <f t="shared" si="269"/>
        <v>0</v>
      </c>
      <c r="EB26" s="139">
        <f t="shared" si="270"/>
        <v>0</v>
      </c>
      <c r="ED26" s="46" t="s">
        <v>301</v>
      </c>
      <c r="EE26" s="46" t="s">
        <v>374</v>
      </c>
      <c r="EF26" s="56"/>
      <c r="EG26" s="57">
        <f t="shared" si="271"/>
        <v>0</v>
      </c>
      <c r="EH26" s="57">
        <f t="shared" si="272"/>
        <v>0</v>
      </c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X26" s="80"/>
      <c r="FY26" s="17">
        <f t="shared" si="273"/>
        <v>0</v>
      </c>
      <c r="FZ26" s="17">
        <f t="shared" si="274"/>
        <v>0</v>
      </c>
      <c r="GA26" s="17">
        <f t="shared" si="275"/>
        <v>0</v>
      </c>
      <c r="GB26" s="17">
        <f t="shared" si="276"/>
        <v>0</v>
      </c>
      <c r="GC26" s="17">
        <f t="shared" si="277"/>
        <v>0</v>
      </c>
      <c r="GD26" s="17">
        <f t="shared" si="278"/>
        <v>0</v>
      </c>
      <c r="GE26" s="17">
        <f t="shared" si="279"/>
        <v>0</v>
      </c>
      <c r="GF26" s="67"/>
      <c r="GG26" s="17">
        <v>0</v>
      </c>
      <c r="GH26" s="17">
        <v>0</v>
      </c>
      <c r="GI26" s="67"/>
      <c r="GJ26" s="62">
        <f t="shared" si="280"/>
        <v>0</v>
      </c>
      <c r="GK26" s="62">
        <f t="shared" si="281"/>
        <v>0</v>
      </c>
      <c r="GO26" s="17">
        <f t="shared" si="282"/>
        <v>0</v>
      </c>
      <c r="GP26" s="17">
        <f t="shared" si="283"/>
        <v>0</v>
      </c>
      <c r="GQ26" s="17">
        <f t="shared" si="284"/>
        <v>0</v>
      </c>
      <c r="GR26" s="17">
        <f t="shared" si="285"/>
        <v>1</v>
      </c>
      <c r="GS26" s="17">
        <f t="shared" si="286"/>
        <v>1</v>
      </c>
      <c r="GT26" s="17">
        <f t="shared" si="287"/>
        <v>0</v>
      </c>
      <c r="GU26" s="101">
        <f t="shared" si="117"/>
        <v>43243</v>
      </c>
      <c r="GV26" s="17" t="str">
        <f t="shared" si="288"/>
        <v>Musyawarah</v>
      </c>
      <c r="GW26" s="17">
        <f t="shared" si="289"/>
        <v>1</v>
      </c>
      <c r="GX26" s="66" t="str">
        <f t="shared" si="290"/>
        <v>Musyawarah</v>
      </c>
      <c r="GY26" s="66">
        <f t="shared" si="291"/>
        <v>24</v>
      </c>
      <c r="GZ26" s="102">
        <f t="shared" si="292"/>
        <v>43267</v>
      </c>
      <c r="HA26" s="83"/>
      <c r="HB26" s="83"/>
      <c r="HC26" s="17">
        <f t="shared" si="293"/>
        <v>0</v>
      </c>
      <c r="HD26" s="17">
        <f t="shared" si="294"/>
        <v>0</v>
      </c>
      <c r="HE26" s="17">
        <f t="shared" si="295"/>
        <v>0</v>
      </c>
      <c r="HF26" s="17">
        <f t="shared" si="296"/>
        <v>0</v>
      </c>
      <c r="HG26" s="17">
        <f t="shared" si="297"/>
        <v>0</v>
      </c>
      <c r="HH26" s="101" t="str">
        <f t="shared" si="298"/>
        <v>TIDAK KONSINYASI</v>
      </c>
      <c r="HI26" s="101">
        <f t="shared" si="299"/>
        <v>43312</v>
      </c>
      <c r="HJ26" s="27"/>
      <c r="HK26" s="101">
        <f t="shared" si="300"/>
        <v>43312</v>
      </c>
      <c r="HL26" s="83"/>
      <c r="HM26" s="83"/>
      <c r="HN26" s="83"/>
      <c r="HO26" s="83"/>
      <c r="HP26" s="102">
        <f t="shared" si="301"/>
        <v>0</v>
      </c>
      <c r="HQ26" s="66">
        <f t="shared" si="302"/>
        <v>0</v>
      </c>
      <c r="HR26" s="66">
        <f t="shared" si="303"/>
        <v>0</v>
      </c>
      <c r="HS26" s="102">
        <f t="shared" si="304"/>
        <v>0</v>
      </c>
      <c r="HT26" s="66">
        <f t="shared" si="305"/>
        <v>0</v>
      </c>
      <c r="HU26" s="66">
        <f t="shared" si="306"/>
        <v>0</v>
      </c>
      <c r="HV26" s="102">
        <f t="shared" si="307"/>
        <v>0</v>
      </c>
      <c r="HW26" s="66">
        <f t="shared" si="308"/>
        <v>0</v>
      </c>
      <c r="HX26" s="66">
        <f t="shared" si="309"/>
        <v>0</v>
      </c>
      <c r="HY26" s="102">
        <f t="shared" si="310"/>
        <v>0</v>
      </c>
      <c r="HZ26" s="66">
        <f t="shared" si="311"/>
        <v>0</v>
      </c>
      <c r="IA26" s="66">
        <f t="shared" si="312"/>
        <v>0</v>
      </c>
      <c r="IB26" s="102">
        <f t="shared" si="313"/>
        <v>0</v>
      </c>
      <c r="IC26" s="66">
        <f t="shared" si="314"/>
        <v>0</v>
      </c>
      <c r="ID26" s="66">
        <f t="shared" si="315"/>
        <v>0</v>
      </c>
      <c r="IE26" s="102">
        <f t="shared" si="316"/>
        <v>0</v>
      </c>
      <c r="IF26" s="66">
        <f t="shared" si="317"/>
        <v>0</v>
      </c>
      <c r="IG26" s="66">
        <f t="shared" si="318"/>
        <v>0</v>
      </c>
      <c r="IH26" s="102">
        <f t="shared" si="319"/>
        <v>0</v>
      </c>
      <c r="II26" s="66">
        <f t="shared" si="320"/>
        <v>0</v>
      </c>
      <c r="IJ26" s="66">
        <f t="shared" si="321"/>
        <v>0</v>
      </c>
      <c r="IK26" s="102">
        <f t="shared" si="322"/>
        <v>0</v>
      </c>
      <c r="IL26" s="66">
        <f t="shared" si="323"/>
        <v>0</v>
      </c>
      <c r="IM26" s="66">
        <f t="shared" si="324"/>
        <v>0</v>
      </c>
      <c r="IN26" s="83"/>
      <c r="IO26" s="102">
        <f t="shared" si="325"/>
        <v>0</v>
      </c>
      <c r="IP26" s="66">
        <f t="shared" si="326"/>
        <v>0</v>
      </c>
      <c r="IQ26" s="66">
        <f t="shared" si="327"/>
        <v>0</v>
      </c>
      <c r="IR26" s="83"/>
      <c r="IS26" s="102"/>
      <c r="IT26" s="66">
        <f t="shared" si="328"/>
        <v>0</v>
      </c>
      <c r="IU26" s="66">
        <f t="shared" si="329"/>
        <v>0</v>
      </c>
      <c r="IV26" s="83"/>
      <c r="IW26" s="102"/>
      <c r="IX26" s="66">
        <f t="shared" si="330"/>
        <v>0</v>
      </c>
      <c r="IY26" s="66">
        <f t="shared" si="331"/>
        <v>0</v>
      </c>
      <c r="IZ26" s="83"/>
      <c r="JA26" s="102"/>
      <c r="JB26" s="66">
        <f t="shared" si="332"/>
        <v>1</v>
      </c>
      <c r="JC26" s="66">
        <f t="shared" si="333"/>
        <v>4</v>
      </c>
      <c r="JD26" s="83"/>
      <c r="JE26" s="102"/>
      <c r="JF26" s="66">
        <f t="shared" si="334"/>
        <v>1</v>
      </c>
      <c r="JG26" s="66">
        <f t="shared" si="335"/>
        <v>4</v>
      </c>
      <c r="JH26" s="83"/>
      <c r="JI26" s="102"/>
      <c r="JJ26" s="66">
        <f t="shared" si="336"/>
        <v>0</v>
      </c>
      <c r="JK26" s="66">
        <f t="shared" si="337"/>
        <v>0</v>
      </c>
      <c r="JM26" s="102">
        <f t="shared" si="338"/>
        <v>0</v>
      </c>
      <c r="JO26" s="29">
        <f t="shared" si="339"/>
        <v>0</v>
      </c>
      <c r="JP26" s="122">
        <f t="shared" si="340"/>
        <v>0</v>
      </c>
      <c r="JQ26" s="122">
        <f t="shared" si="341"/>
        <v>0</v>
      </c>
      <c r="JR26" s="122">
        <f t="shared" si="342"/>
        <v>0</v>
      </c>
      <c r="JS26" s="122">
        <f t="shared" si="343"/>
        <v>0</v>
      </c>
      <c r="JT26" s="122">
        <f t="shared" si="344"/>
        <v>0</v>
      </c>
      <c r="JU26" s="122">
        <f t="shared" si="345"/>
        <v>0</v>
      </c>
      <c r="JV26" s="122">
        <f t="shared" si="346"/>
        <v>0</v>
      </c>
      <c r="JW26" s="122">
        <f t="shared" si="347"/>
        <v>0</v>
      </c>
      <c r="JX26" s="122">
        <f t="shared" si="348"/>
        <v>0</v>
      </c>
      <c r="JY26" s="122">
        <f t="shared" si="349"/>
        <v>0</v>
      </c>
      <c r="JZ26" s="122">
        <f t="shared" si="350"/>
        <v>0</v>
      </c>
      <c r="KA26" s="122">
        <f t="shared" si="351"/>
        <v>0</v>
      </c>
      <c r="KB26" s="122">
        <f t="shared" si="352"/>
        <v>0</v>
      </c>
      <c r="KD26" s="122">
        <f t="shared" si="353"/>
        <v>0</v>
      </c>
      <c r="KE26" s="122">
        <f t="shared" si="354"/>
        <v>0</v>
      </c>
      <c r="KF26" s="122">
        <f t="shared" si="355"/>
        <v>0</v>
      </c>
      <c r="KG26" s="122">
        <f t="shared" si="356"/>
        <v>0</v>
      </c>
      <c r="KH26" s="122">
        <f t="shared" si="357"/>
        <v>0</v>
      </c>
      <c r="KI26" s="122">
        <f t="shared" si="358"/>
        <v>0</v>
      </c>
      <c r="KJ26" s="122">
        <f t="shared" si="359"/>
        <v>0</v>
      </c>
      <c r="KK26" s="122">
        <f t="shared" si="360"/>
        <v>0</v>
      </c>
      <c r="KL26" s="122">
        <f t="shared" si="361"/>
        <v>0</v>
      </c>
      <c r="KM26" s="122">
        <f t="shared" si="362"/>
        <v>0</v>
      </c>
      <c r="KN26" s="123">
        <f t="shared" si="363"/>
        <v>0</v>
      </c>
      <c r="KO26" s="123">
        <f t="shared" si="364"/>
        <v>0</v>
      </c>
      <c r="KP26" s="123">
        <f t="shared" si="365"/>
        <v>0</v>
      </c>
      <c r="KQ26" s="123">
        <f t="shared" si="366"/>
        <v>0</v>
      </c>
      <c r="KR26" s="123">
        <f t="shared" si="367"/>
        <v>0</v>
      </c>
      <c r="KS26">
        <v>7</v>
      </c>
      <c r="KT26">
        <f t="shared" si="368"/>
        <v>1</v>
      </c>
      <c r="KU26" s="123"/>
      <c r="KV26" s="123"/>
      <c r="KW26" s="123"/>
      <c r="KX26" s="123"/>
      <c r="KY26" s="123"/>
      <c r="KZ26" s="123"/>
      <c r="LA26" s="123"/>
      <c r="LB26" s="123"/>
      <c r="LC26" s="123"/>
      <c r="LD26" s="123"/>
      <c r="LE26" s="123"/>
      <c r="LF26" s="123"/>
      <c r="LG26" s="123"/>
      <c r="LH26" s="123"/>
      <c r="LI26" s="123"/>
      <c r="LJ26" s="123"/>
      <c r="LK26" s="123"/>
      <c r="LL26" s="123"/>
      <c r="LM26" s="123"/>
      <c r="LN26" s="123"/>
      <c r="LO26" s="123"/>
      <c r="LP26" s="123"/>
      <c r="LQ26" s="123"/>
      <c r="LR26" s="123"/>
      <c r="LS26" s="123"/>
      <c r="LT26" s="123"/>
      <c r="LU26" s="123"/>
      <c r="LV26" s="123"/>
      <c r="LW26" s="123"/>
      <c r="LX26" s="123"/>
      <c r="LY26" s="123"/>
      <c r="LZ26" s="123"/>
      <c r="MA26" s="123"/>
      <c r="MB26" s="123"/>
      <c r="MC26" s="123"/>
      <c r="MD26" s="123"/>
      <c r="ME26" s="123"/>
      <c r="MF26" s="123"/>
      <c r="MG26" s="123"/>
      <c r="MH26" s="123"/>
      <c r="MI26" s="123"/>
      <c r="MJ26" s="123"/>
      <c r="MK26" s="123"/>
      <c r="ML26" s="123"/>
      <c r="MM26" s="123"/>
      <c r="MN26" s="123"/>
      <c r="MO26" s="123"/>
      <c r="MP26" s="123"/>
      <c r="MQ26" s="123"/>
      <c r="MR26" s="123"/>
      <c r="MS26" s="123"/>
      <c r="MT26" s="123"/>
      <c r="MU26" s="123"/>
      <c r="MV26" s="123"/>
      <c r="MW26" s="123"/>
      <c r="MX26" s="123"/>
      <c r="MY26" s="123"/>
      <c r="MZ26" s="123"/>
      <c r="NA26" s="123"/>
      <c r="NB26" s="123"/>
      <c r="NC26" s="123"/>
      <c r="ND26" s="123"/>
      <c r="NE26" s="123"/>
      <c r="NF26" s="123"/>
      <c r="NG26" s="123"/>
      <c r="NH26" s="123"/>
      <c r="NI26" s="123"/>
      <c r="NJ26" s="123"/>
      <c r="NK26" s="123"/>
      <c r="NM26">
        <f t="shared" si="369"/>
        <v>0</v>
      </c>
      <c r="NN26">
        <f t="shared" si="370"/>
        <v>0</v>
      </c>
      <c r="NO26">
        <f t="shared" si="371"/>
        <v>0</v>
      </c>
      <c r="NP26">
        <f t="shared" si="372"/>
        <v>0</v>
      </c>
      <c r="NQ26">
        <f t="shared" si="373"/>
        <v>0</v>
      </c>
      <c r="NR26">
        <f t="shared" si="374"/>
        <v>0</v>
      </c>
      <c r="NS26">
        <f t="shared" si="375"/>
        <v>1</v>
      </c>
      <c r="NT26">
        <f t="shared" si="376"/>
        <v>1</v>
      </c>
      <c r="NU26">
        <f t="shared" si="377"/>
        <v>0</v>
      </c>
      <c r="NY26" s="29"/>
      <c r="NZ26" s="152"/>
      <c r="OE26" s="155"/>
      <c r="OF26" s="155"/>
      <c r="OG26" s="155"/>
      <c r="OH26" s="155"/>
      <c r="OI26" s="155"/>
      <c r="OJ26" s="67"/>
      <c r="OK26" s="67"/>
      <c r="OL26" s="67"/>
      <c r="OM26" s="67"/>
      <c r="OO26" s="155"/>
      <c r="OP26" s="155"/>
      <c r="OQ26" s="155"/>
      <c r="OR26" s="155"/>
      <c r="OS26" s="155"/>
      <c r="OT26" s="67"/>
      <c r="OU26" s="67"/>
      <c r="OV26" s="67"/>
      <c r="OW26" s="67"/>
      <c r="PA26" s="166">
        <v>1</v>
      </c>
      <c r="PB26" s="166"/>
      <c r="PC26" s="166"/>
      <c r="PD26" s="210">
        <f t="shared" si="96"/>
        <v>0</v>
      </c>
      <c r="PE26" s="210"/>
      <c r="PF26" s="210">
        <f t="shared" si="97"/>
        <v>0</v>
      </c>
      <c r="PG26" s="210">
        <f t="shared" si="98"/>
        <v>4</v>
      </c>
      <c r="PH26" s="210">
        <f t="shared" si="98"/>
        <v>0</v>
      </c>
      <c r="PI26" s="210">
        <f t="shared" si="98"/>
        <v>0</v>
      </c>
      <c r="PJ26" s="210">
        <f t="shared" si="98"/>
        <v>0</v>
      </c>
      <c r="PK26" s="210">
        <f t="shared" si="98"/>
        <v>0</v>
      </c>
      <c r="PL26" s="210">
        <f t="shared" si="98"/>
        <v>0</v>
      </c>
      <c r="PO26" s="172">
        <f t="shared" si="378"/>
        <v>0</v>
      </c>
      <c r="PP26" s="172">
        <f t="shared" si="379"/>
        <v>0</v>
      </c>
      <c r="PQ26" s="172">
        <f t="shared" si="380"/>
        <v>0</v>
      </c>
    </row>
    <row r="27" spans="1:433" ht="16" x14ac:dyDescent="0.2">
      <c r="A27" s="19">
        <f t="shared" si="163"/>
        <v>19</v>
      </c>
      <c r="B27" s="269" t="s">
        <v>685</v>
      </c>
      <c r="C27" s="186">
        <v>13</v>
      </c>
      <c r="D27" s="188">
        <v>1</v>
      </c>
      <c r="E27" s="188">
        <v>10</v>
      </c>
      <c r="F27" s="188">
        <v>1</v>
      </c>
      <c r="G27" s="188">
        <f t="shared" ref="G27" si="560">E27</f>
        <v>10</v>
      </c>
      <c r="H27" s="214">
        <f t="shared" si="212"/>
        <v>1</v>
      </c>
      <c r="I27" s="214">
        <f t="shared" si="213"/>
        <v>1</v>
      </c>
      <c r="J27" s="188">
        <v>1</v>
      </c>
      <c r="K27" s="188">
        <f t="shared" si="214"/>
        <v>10</v>
      </c>
      <c r="L27" s="214">
        <f t="shared" si="215"/>
        <v>1</v>
      </c>
      <c r="M27" s="214">
        <f t="shared" si="216"/>
        <v>1</v>
      </c>
      <c r="N27" s="188">
        <v>1</v>
      </c>
      <c r="O27" s="20">
        <f t="shared" si="217"/>
        <v>10</v>
      </c>
      <c r="P27" s="137">
        <f t="shared" si="218"/>
        <v>1</v>
      </c>
      <c r="Q27" s="137">
        <f t="shared" si="219"/>
        <v>1</v>
      </c>
      <c r="R27" s="20"/>
      <c r="S27" s="20">
        <f t="shared" si="220"/>
        <v>0</v>
      </c>
      <c r="T27" s="137">
        <f t="shared" si="221"/>
        <v>0</v>
      </c>
      <c r="U27" s="137">
        <f t="shared" si="222"/>
        <v>0</v>
      </c>
      <c r="V27" s="20"/>
      <c r="W27" s="20">
        <f t="shared" si="223"/>
        <v>0</v>
      </c>
      <c r="X27" s="137">
        <f t="shared" si="224"/>
        <v>0</v>
      </c>
      <c r="Y27" s="137">
        <f t="shared" si="225"/>
        <v>0</v>
      </c>
      <c r="Z27" s="38"/>
      <c r="AA27" s="38"/>
      <c r="AB27" s="17">
        <f t="shared" si="226"/>
        <v>0</v>
      </c>
      <c r="AC27" s="18">
        <f t="shared" si="227"/>
        <v>0</v>
      </c>
      <c r="AD27" s="18">
        <f t="shared" si="228"/>
        <v>0</v>
      </c>
      <c r="AE27" s="38"/>
      <c r="AF27" s="31">
        <f t="shared" si="229"/>
        <v>0</v>
      </c>
      <c r="AG27" s="31"/>
      <c r="AH27" s="31"/>
      <c r="AI27" s="17"/>
      <c r="AJ27" s="17"/>
      <c r="AK27" s="17"/>
      <c r="AL27" s="17"/>
      <c r="AM27" s="17"/>
      <c r="AN27" s="139">
        <v>1</v>
      </c>
      <c r="AO27" s="17">
        <f t="shared" si="230"/>
        <v>0</v>
      </c>
      <c r="AP27" s="17">
        <f t="shared" si="231"/>
        <v>0</v>
      </c>
      <c r="AQ27" s="17">
        <f t="shared" si="232"/>
        <v>0</v>
      </c>
      <c r="AR27" s="17">
        <f t="shared" si="233"/>
        <v>0</v>
      </c>
      <c r="AS27" s="17">
        <f t="shared" si="234"/>
        <v>0</v>
      </c>
      <c r="AT27" s="17">
        <f t="shared" si="235"/>
        <v>0</v>
      </c>
      <c r="AU27" s="17">
        <f t="shared" si="236"/>
        <v>0</v>
      </c>
      <c r="AV27" s="17">
        <f t="shared" si="237"/>
        <v>0</v>
      </c>
      <c r="AW27" s="17">
        <f t="shared" si="238"/>
        <v>0</v>
      </c>
      <c r="AX27" s="17">
        <f t="shared" si="239"/>
        <v>0</v>
      </c>
      <c r="AY27" s="17">
        <f t="shared" si="240"/>
        <v>0</v>
      </c>
      <c r="AZ27" s="17">
        <f t="shared" si="241"/>
        <v>0</v>
      </c>
      <c r="BA27" s="17">
        <f t="shared" si="242"/>
        <v>0</v>
      </c>
      <c r="BB27" s="20">
        <f t="shared" si="243"/>
        <v>10</v>
      </c>
      <c r="BE27" s="20">
        <f t="shared" si="244"/>
        <v>0</v>
      </c>
      <c r="BF27" s="20">
        <f t="shared" si="245"/>
        <v>0</v>
      </c>
      <c r="BG27" s="20">
        <f t="shared" si="246"/>
        <v>0</v>
      </c>
      <c r="BH27" s="20">
        <f t="shared" si="247"/>
        <v>0</v>
      </c>
      <c r="BI27" s="20">
        <f t="shared" si="248"/>
        <v>0</v>
      </c>
      <c r="BJ27" s="20">
        <f t="shared" si="249"/>
        <v>0</v>
      </c>
      <c r="BK27" s="20">
        <f t="shared" si="250"/>
        <v>0</v>
      </c>
      <c r="BN27" s="139"/>
      <c r="BO27" s="139"/>
      <c r="BP27" s="139"/>
      <c r="BQ27" s="139"/>
      <c r="BR27" s="139"/>
      <c r="BS27" s="139"/>
      <c r="BT27" s="139"/>
      <c r="BU27" s="139"/>
      <c r="BV27" s="139"/>
      <c r="BW27" s="139"/>
      <c r="BX27" s="139"/>
      <c r="BY27" s="139"/>
      <c r="BZ27" s="139"/>
      <c r="CB27" s="139"/>
      <c r="CD27" s="139">
        <f t="shared" si="251"/>
        <v>0</v>
      </c>
      <c r="CE27" s="139">
        <f t="shared" si="252"/>
        <v>0</v>
      </c>
      <c r="CF27" s="139">
        <f t="shared" si="253"/>
        <v>0</v>
      </c>
      <c r="CG27" s="139">
        <f t="shared" si="254"/>
        <v>0</v>
      </c>
      <c r="CH27" s="139">
        <f t="shared" si="255"/>
        <v>0</v>
      </c>
      <c r="CI27" s="139">
        <f t="shared" si="256"/>
        <v>0</v>
      </c>
      <c r="CJ27" s="139">
        <f t="shared" si="257"/>
        <v>0</v>
      </c>
      <c r="CK27" s="139">
        <f t="shared" si="258"/>
        <v>0</v>
      </c>
      <c r="CL27" s="139">
        <f t="shared" si="259"/>
        <v>0</v>
      </c>
      <c r="CM27" s="139">
        <f t="shared" si="260"/>
        <v>0</v>
      </c>
      <c r="CN27" s="139">
        <f t="shared" si="261"/>
        <v>0</v>
      </c>
      <c r="CO27" s="139">
        <f t="shared" si="262"/>
        <v>0</v>
      </c>
      <c r="CP27" s="139">
        <f t="shared" si="263"/>
        <v>0</v>
      </c>
      <c r="DV27" s="139">
        <f t="shared" si="264"/>
        <v>0</v>
      </c>
      <c r="DW27" s="139">
        <f t="shared" si="265"/>
        <v>0</v>
      </c>
      <c r="DX27" s="139">
        <f t="shared" si="266"/>
        <v>0</v>
      </c>
      <c r="DY27" s="139">
        <f t="shared" si="267"/>
        <v>0</v>
      </c>
      <c r="DZ27" s="139">
        <f t="shared" si="268"/>
        <v>0</v>
      </c>
      <c r="EA27" s="139">
        <f t="shared" si="269"/>
        <v>0</v>
      </c>
      <c r="EB27" s="139">
        <f t="shared" si="270"/>
        <v>0</v>
      </c>
      <c r="ED27" s="46" t="s">
        <v>301</v>
      </c>
      <c r="EE27" s="46" t="s">
        <v>374</v>
      </c>
      <c r="EF27" s="56"/>
      <c r="EG27" s="57">
        <f t="shared" si="271"/>
        <v>0</v>
      </c>
      <c r="EH27" s="57">
        <f t="shared" si="272"/>
        <v>0</v>
      </c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X27" s="80"/>
      <c r="FY27" s="17">
        <f t="shared" si="273"/>
        <v>0</v>
      </c>
      <c r="FZ27" s="17">
        <f t="shared" si="274"/>
        <v>0</v>
      </c>
      <c r="GA27" s="17">
        <f t="shared" si="275"/>
        <v>0</v>
      </c>
      <c r="GB27" s="17">
        <f t="shared" si="276"/>
        <v>0</v>
      </c>
      <c r="GC27" s="17">
        <f t="shared" si="277"/>
        <v>0</v>
      </c>
      <c r="GD27" s="17">
        <f t="shared" si="278"/>
        <v>0</v>
      </c>
      <c r="GE27" s="17">
        <f t="shared" si="279"/>
        <v>0</v>
      </c>
      <c r="GF27" s="67"/>
      <c r="GG27" s="17">
        <v>0</v>
      </c>
      <c r="GH27" s="17">
        <v>0</v>
      </c>
      <c r="GI27" s="67"/>
      <c r="GJ27" s="62">
        <f t="shared" si="280"/>
        <v>0</v>
      </c>
      <c r="GK27" s="62">
        <f t="shared" si="281"/>
        <v>0</v>
      </c>
      <c r="GO27" s="17">
        <f t="shared" si="282"/>
        <v>0</v>
      </c>
      <c r="GP27" s="17">
        <f t="shared" si="283"/>
        <v>0</v>
      </c>
      <c r="GQ27" s="17">
        <f t="shared" si="284"/>
        <v>0</v>
      </c>
      <c r="GR27" s="17">
        <f t="shared" si="285"/>
        <v>1</v>
      </c>
      <c r="GS27" s="17">
        <f t="shared" si="286"/>
        <v>1</v>
      </c>
      <c r="GT27" s="17">
        <f t="shared" si="287"/>
        <v>0</v>
      </c>
      <c r="GU27" s="101">
        <f t="shared" si="117"/>
        <v>43243</v>
      </c>
      <c r="GV27" s="17" t="str">
        <f t="shared" si="288"/>
        <v>Musyawarah</v>
      </c>
      <c r="GW27" s="17">
        <f t="shared" si="289"/>
        <v>1</v>
      </c>
      <c r="GX27" s="66" t="str">
        <f t="shared" si="290"/>
        <v>Musyawarah</v>
      </c>
      <c r="GY27" s="66">
        <f t="shared" si="291"/>
        <v>24</v>
      </c>
      <c r="GZ27" s="102">
        <f t="shared" si="292"/>
        <v>43267</v>
      </c>
      <c r="HA27" s="83"/>
      <c r="HB27" s="83"/>
      <c r="HC27" s="17">
        <f t="shared" si="293"/>
        <v>0</v>
      </c>
      <c r="HD27" s="17">
        <f t="shared" si="294"/>
        <v>0</v>
      </c>
      <c r="HE27" s="17">
        <f t="shared" si="295"/>
        <v>0</v>
      </c>
      <c r="HF27" s="17">
        <f t="shared" si="296"/>
        <v>0</v>
      </c>
      <c r="HG27" s="17">
        <f t="shared" si="297"/>
        <v>0</v>
      </c>
      <c r="HH27" s="101" t="str">
        <f t="shared" si="298"/>
        <v>TIDAK KONSINYASI</v>
      </c>
      <c r="HI27" s="101">
        <f t="shared" si="299"/>
        <v>43312</v>
      </c>
      <c r="HJ27" s="27"/>
      <c r="HK27" s="101">
        <f t="shared" si="300"/>
        <v>43312</v>
      </c>
      <c r="HL27" s="83"/>
      <c r="HM27" s="83"/>
      <c r="HN27" s="83"/>
      <c r="HO27" s="83"/>
      <c r="HP27" s="102">
        <f t="shared" si="301"/>
        <v>0</v>
      </c>
      <c r="HQ27" s="66">
        <f t="shared" si="302"/>
        <v>0</v>
      </c>
      <c r="HR27" s="66">
        <f t="shared" si="303"/>
        <v>0</v>
      </c>
      <c r="HS27" s="102">
        <f t="shared" si="304"/>
        <v>0</v>
      </c>
      <c r="HT27" s="66">
        <f t="shared" si="305"/>
        <v>0</v>
      </c>
      <c r="HU27" s="66">
        <f t="shared" si="306"/>
        <v>0</v>
      </c>
      <c r="HV27" s="102">
        <f t="shared" si="307"/>
        <v>0</v>
      </c>
      <c r="HW27" s="66">
        <f t="shared" si="308"/>
        <v>0</v>
      </c>
      <c r="HX27" s="66">
        <f t="shared" si="309"/>
        <v>0</v>
      </c>
      <c r="HY27" s="102">
        <f t="shared" si="310"/>
        <v>0</v>
      </c>
      <c r="HZ27" s="66">
        <f t="shared" si="311"/>
        <v>0</v>
      </c>
      <c r="IA27" s="66">
        <f t="shared" si="312"/>
        <v>0</v>
      </c>
      <c r="IB27" s="102">
        <f t="shared" si="313"/>
        <v>0</v>
      </c>
      <c r="IC27" s="66">
        <f t="shared" si="314"/>
        <v>0</v>
      </c>
      <c r="ID27" s="66">
        <f t="shared" si="315"/>
        <v>0</v>
      </c>
      <c r="IE27" s="102">
        <f t="shared" si="316"/>
        <v>0</v>
      </c>
      <c r="IF27" s="66">
        <f t="shared" si="317"/>
        <v>0</v>
      </c>
      <c r="IG27" s="66">
        <f t="shared" si="318"/>
        <v>0</v>
      </c>
      <c r="IH27" s="102">
        <f t="shared" si="319"/>
        <v>0</v>
      </c>
      <c r="II27" s="66">
        <f t="shared" si="320"/>
        <v>0</v>
      </c>
      <c r="IJ27" s="66">
        <f t="shared" si="321"/>
        <v>0</v>
      </c>
      <c r="IK27" s="102">
        <f t="shared" si="322"/>
        <v>0</v>
      </c>
      <c r="IL27" s="66">
        <f t="shared" si="323"/>
        <v>0</v>
      </c>
      <c r="IM27" s="66">
        <f t="shared" si="324"/>
        <v>0</v>
      </c>
      <c r="IN27" s="83"/>
      <c r="IO27" s="102">
        <f t="shared" si="325"/>
        <v>0</v>
      </c>
      <c r="IP27" s="66">
        <f t="shared" si="326"/>
        <v>0</v>
      </c>
      <c r="IQ27" s="66">
        <f t="shared" si="327"/>
        <v>0</v>
      </c>
      <c r="IR27" s="83"/>
      <c r="IS27" s="102"/>
      <c r="IT27" s="66">
        <f t="shared" si="328"/>
        <v>0</v>
      </c>
      <c r="IU27" s="66">
        <f t="shared" si="329"/>
        <v>0</v>
      </c>
      <c r="IV27" s="83"/>
      <c r="IW27" s="102"/>
      <c r="IX27" s="66">
        <f t="shared" si="330"/>
        <v>0</v>
      </c>
      <c r="IY27" s="66">
        <f t="shared" si="331"/>
        <v>0</v>
      </c>
      <c r="IZ27" s="83"/>
      <c r="JA27" s="102"/>
      <c r="JB27" s="66">
        <f t="shared" si="332"/>
        <v>1</v>
      </c>
      <c r="JC27" s="66">
        <f t="shared" si="333"/>
        <v>10</v>
      </c>
      <c r="JD27" s="83"/>
      <c r="JE27" s="102"/>
      <c r="JF27" s="66">
        <f t="shared" si="334"/>
        <v>1</v>
      </c>
      <c r="JG27" s="66">
        <f t="shared" si="335"/>
        <v>10</v>
      </c>
      <c r="JH27" s="83"/>
      <c r="JI27" s="102"/>
      <c r="JJ27" s="66">
        <f t="shared" si="336"/>
        <v>0</v>
      </c>
      <c r="JK27" s="66">
        <f t="shared" si="337"/>
        <v>0</v>
      </c>
      <c r="JM27" s="102">
        <f t="shared" si="338"/>
        <v>0</v>
      </c>
      <c r="JO27" s="29">
        <f t="shared" si="339"/>
        <v>0</v>
      </c>
      <c r="JP27" s="122">
        <f t="shared" si="340"/>
        <v>0</v>
      </c>
      <c r="JQ27" s="122">
        <f t="shared" si="341"/>
        <v>0</v>
      </c>
      <c r="JR27" s="122">
        <f t="shared" si="342"/>
        <v>0</v>
      </c>
      <c r="JS27" s="122">
        <f t="shared" si="343"/>
        <v>0</v>
      </c>
      <c r="JT27" s="122">
        <f t="shared" si="344"/>
        <v>0</v>
      </c>
      <c r="JU27" s="122">
        <f t="shared" si="345"/>
        <v>0</v>
      </c>
      <c r="JV27" s="122">
        <f t="shared" si="346"/>
        <v>0</v>
      </c>
      <c r="JW27" s="122">
        <f t="shared" si="347"/>
        <v>0</v>
      </c>
      <c r="JX27" s="122">
        <f t="shared" si="348"/>
        <v>0</v>
      </c>
      <c r="JY27" s="122">
        <f t="shared" si="349"/>
        <v>0</v>
      </c>
      <c r="JZ27" s="122">
        <f t="shared" si="350"/>
        <v>0</v>
      </c>
      <c r="KA27" s="122">
        <f t="shared" si="351"/>
        <v>0</v>
      </c>
      <c r="KB27" s="122">
        <f t="shared" si="352"/>
        <v>0</v>
      </c>
      <c r="KD27" s="122">
        <f t="shared" si="353"/>
        <v>0</v>
      </c>
      <c r="KE27" s="122">
        <f t="shared" si="354"/>
        <v>0</v>
      </c>
      <c r="KF27" s="122">
        <f t="shared" si="355"/>
        <v>0</v>
      </c>
      <c r="KG27" s="122">
        <f t="shared" si="356"/>
        <v>0</v>
      </c>
      <c r="KH27" s="122">
        <f t="shared" si="357"/>
        <v>0</v>
      </c>
      <c r="KI27" s="122">
        <f t="shared" si="358"/>
        <v>0</v>
      </c>
      <c r="KJ27" s="122">
        <f t="shared" si="359"/>
        <v>0</v>
      </c>
      <c r="KK27" s="122">
        <f t="shared" si="360"/>
        <v>0</v>
      </c>
      <c r="KL27" s="122">
        <f t="shared" si="361"/>
        <v>0</v>
      </c>
      <c r="KM27" s="122">
        <f t="shared" si="362"/>
        <v>0</v>
      </c>
      <c r="KN27" s="123">
        <f t="shared" si="363"/>
        <v>0</v>
      </c>
      <c r="KO27" s="123">
        <f t="shared" si="364"/>
        <v>0</v>
      </c>
      <c r="KP27" s="123">
        <f t="shared" si="365"/>
        <v>0</v>
      </c>
      <c r="KQ27" s="123">
        <f t="shared" si="366"/>
        <v>0</v>
      </c>
      <c r="KR27" s="123">
        <f t="shared" si="367"/>
        <v>0</v>
      </c>
      <c r="KS27">
        <v>7</v>
      </c>
      <c r="KT27">
        <f t="shared" si="368"/>
        <v>1</v>
      </c>
      <c r="KU27" s="123"/>
      <c r="KV27" s="123"/>
      <c r="KW27" s="123"/>
      <c r="KX27" s="123"/>
      <c r="KY27" s="123"/>
      <c r="KZ27" s="123"/>
      <c r="LA27" s="123"/>
      <c r="LB27" s="123"/>
      <c r="LC27" s="123"/>
      <c r="LD27" s="123"/>
      <c r="LE27" s="123"/>
      <c r="LF27" s="123"/>
      <c r="LG27" s="123"/>
      <c r="LH27" s="123"/>
      <c r="LI27" s="123"/>
      <c r="LJ27" s="123"/>
      <c r="LK27" s="123"/>
      <c r="LL27" s="123"/>
      <c r="LM27" s="123"/>
      <c r="LN27" s="123"/>
      <c r="LO27" s="123"/>
      <c r="LP27" s="123"/>
      <c r="LQ27" s="123"/>
      <c r="LR27" s="123"/>
      <c r="LS27" s="123"/>
      <c r="LT27" s="123"/>
      <c r="LU27" s="123"/>
      <c r="LV27" s="123"/>
      <c r="LW27" s="123"/>
      <c r="LX27" s="123"/>
      <c r="LY27" s="123"/>
      <c r="LZ27" s="123"/>
      <c r="MA27" s="123"/>
      <c r="MB27" s="123"/>
      <c r="MC27" s="123"/>
      <c r="MD27" s="123"/>
      <c r="ME27" s="123"/>
      <c r="MF27" s="123"/>
      <c r="MG27" s="123"/>
      <c r="MH27" s="123"/>
      <c r="MI27" s="123"/>
      <c r="MJ27" s="123"/>
      <c r="MK27" s="123"/>
      <c r="ML27" s="123"/>
      <c r="MM27" s="123"/>
      <c r="MN27" s="123"/>
      <c r="MO27" s="123"/>
      <c r="MP27" s="123"/>
      <c r="MQ27" s="123"/>
      <c r="MR27" s="123"/>
      <c r="MS27" s="123"/>
      <c r="MT27" s="123"/>
      <c r="MU27" s="123"/>
      <c r="MV27" s="123"/>
      <c r="MW27" s="123"/>
      <c r="MX27" s="123"/>
      <c r="MY27" s="123"/>
      <c r="MZ27" s="123"/>
      <c r="NA27" s="123"/>
      <c r="NB27" s="123"/>
      <c r="NC27" s="123"/>
      <c r="ND27" s="123"/>
      <c r="NE27" s="123"/>
      <c r="NF27" s="123"/>
      <c r="NG27" s="123"/>
      <c r="NH27" s="123"/>
      <c r="NI27" s="123"/>
      <c r="NJ27" s="123"/>
      <c r="NK27" s="123"/>
      <c r="NM27">
        <f t="shared" si="369"/>
        <v>0</v>
      </c>
      <c r="NN27">
        <f t="shared" si="370"/>
        <v>0</v>
      </c>
      <c r="NO27">
        <f t="shared" si="371"/>
        <v>0</v>
      </c>
      <c r="NP27">
        <f t="shared" si="372"/>
        <v>0</v>
      </c>
      <c r="NQ27">
        <f t="shared" si="373"/>
        <v>0</v>
      </c>
      <c r="NR27">
        <f t="shared" si="374"/>
        <v>0</v>
      </c>
      <c r="NS27">
        <f t="shared" si="375"/>
        <v>1</v>
      </c>
      <c r="NT27">
        <f t="shared" si="376"/>
        <v>1</v>
      </c>
      <c r="NU27">
        <f t="shared" si="377"/>
        <v>0</v>
      </c>
      <c r="NY27" s="29"/>
      <c r="NZ27" s="152"/>
      <c r="OE27" s="155"/>
      <c r="OF27" s="155"/>
      <c r="OG27" s="155"/>
      <c r="OH27" s="155"/>
      <c r="OI27" s="155"/>
      <c r="OJ27" s="67"/>
      <c r="OK27" s="67"/>
      <c r="OL27" s="67"/>
      <c r="OM27" s="67"/>
      <c r="OO27" s="155"/>
      <c r="OP27" s="155"/>
      <c r="OQ27" s="155"/>
      <c r="OR27" s="155"/>
      <c r="OS27" s="155"/>
      <c r="OT27" s="67"/>
      <c r="OU27" s="67"/>
      <c r="OV27" s="67"/>
      <c r="OW27" s="67"/>
      <c r="PA27" s="166">
        <v>1</v>
      </c>
      <c r="PB27" s="166"/>
      <c r="PC27" s="166"/>
      <c r="PD27" s="210">
        <f t="shared" si="96"/>
        <v>0</v>
      </c>
      <c r="PE27" s="210"/>
      <c r="PF27" s="210">
        <f t="shared" si="97"/>
        <v>0</v>
      </c>
      <c r="PG27" s="210">
        <f t="shared" si="98"/>
        <v>10</v>
      </c>
      <c r="PH27" s="210">
        <f t="shared" si="98"/>
        <v>0</v>
      </c>
      <c r="PI27" s="210">
        <f t="shared" si="98"/>
        <v>0</v>
      </c>
      <c r="PJ27" s="210">
        <f t="shared" si="98"/>
        <v>0</v>
      </c>
      <c r="PK27" s="210">
        <f t="shared" si="98"/>
        <v>0</v>
      </c>
      <c r="PL27" s="210">
        <f t="shared" si="98"/>
        <v>0</v>
      </c>
      <c r="PO27" s="172">
        <f t="shared" si="378"/>
        <v>0</v>
      </c>
      <c r="PP27" s="172">
        <f t="shared" si="379"/>
        <v>0</v>
      </c>
      <c r="PQ27" s="172">
        <f t="shared" si="380"/>
        <v>0</v>
      </c>
    </row>
    <row r="28" spans="1:433" ht="16" x14ac:dyDescent="0.2">
      <c r="A28" s="19">
        <f t="shared" si="163"/>
        <v>20</v>
      </c>
      <c r="B28" s="269" t="s">
        <v>686</v>
      </c>
      <c r="C28" s="186">
        <v>14</v>
      </c>
      <c r="D28" s="188">
        <v>1</v>
      </c>
      <c r="E28" s="188">
        <v>17</v>
      </c>
      <c r="F28" s="188">
        <v>1</v>
      </c>
      <c r="G28" s="188">
        <f t="shared" ref="G28" si="561">E28</f>
        <v>17</v>
      </c>
      <c r="H28" s="214">
        <f t="shared" si="164"/>
        <v>1</v>
      </c>
      <c r="I28" s="214">
        <f t="shared" si="165"/>
        <v>1</v>
      </c>
      <c r="J28" s="188">
        <v>1</v>
      </c>
      <c r="K28" s="188">
        <f t="shared" si="166"/>
        <v>17</v>
      </c>
      <c r="L28" s="214">
        <f t="shared" si="167"/>
        <v>1</v>
      </c>
      <c r="M28" s="214">
        <f t="shared" si="168"/>
        <v>1</v>
      </c>
      <c r="N28" s="188">
        <v>1</v>
      </c>
      <c r="O28" s="20">
        <f t="shared" si="169"/>
        <v>17</v>
      </c>
      <c r="P28" s="137">
        <f t="shared" si="170"/>
        <v>1</v>
      </c>
      <c r="Q28" s="137">
        <f t="shared" si="171"/>
        <v>1</v>
      </c>
      <c r="R28" s="20"/>
      <c r="S28" s="20">
        <f t="shared" si="172"/>
        <v>0</v>
      </c>
      <c r="T28" s="137">
        <f t="shared" si="173"/>
        <v>0</v>
      </c>
      <c r="U28" s="137">
        <f t="shared" si="174"/>
        <v>0</v>
      </c>
      <c r="V28" s="20"/>
      <c r="W28" s="20">
        <f t="shared" si="175"/>
        <v>0</v>
      </c>
      <c r="X28" s="137">
        <f t="shared" si="176"/>
        <v>0</v>
      </c>
      <c r="Y28" s="137">
        <f t="shared" si="177"/>
        <v>0</v>
      </c>
      <c r="Z28" s="38"/>
      <c r="AA28" s="38"/>
      <c r="AB28" s="17">
        <f>IF(AA28=D28,E28,0)</f>
        <v>0</v>
      </c>
      <c r="AC28" s="18">
        <f>AA28/$D28</f>
        <v>0</v>
      </c>
      <c r="AD28" s="18">
        <f>AB28/$E28</f>
        <v>0</v>
      </c>
      <c r="AE28" s="38"/>
      <c r="AF28" s="31">
        <f t="shared" si="178"/>
        <v>0</v>
      </c>
      <c r="AG28" s="31"/>
      <c r="AH28" s="31"/>
      <c r="AI28" s="17"/>
      <c r="AJ28" s="17"/>
      <c r="AK28" s="17"/>
      <c r="AL28" s="17"/>
      <c r="AM28" s="17"/>
      <c r="AN28" s="139">
        <v>1</v>
      </c>
      <c r="AO28" s="17">
        <f t="shared" si="179"/>
        <v>0</v>
      </c>
      <c r="AP28" s="17">
        <f t="shared" si="180"/>
        <v>0</v>
      </c>
      <c r="AQ28" s="17">
        <f t="shared" si="181"/>
        <v>0</v>
      </c>
      <c r="AR28" s="17">
        <f t="shared" si="182"/>
        <v>0</v>
      </c>
      <c r="AS28" s="17">
        <f t="shared" si="183"/>
        <v>0</v>
      </c>
      <c r="AT28" s="17">
        <f t="shared" si="184"/>
        <v>0</v>
      </c>
      <c r="AU28" s="17">
        <f t="shared" si="185"/>
        <v>0</v>
      </c>
      <c r="AV28" s="17">
        <f t="shared" si="186"/>
        <v>0</v>
      </c>
      <c r="AW28" s="17">
        <f t="shared" si="187"/>
        <v>0</v>
      </c>
      <c r="AX28" s="17">
        <f t="shared" si="188"/>
        <v>0</v>
      </c>
      <c r="AY28" s="17">
        <f t="shared" si="209"/>
        <v>0</v>
      </c>
      <c r="AZ28" s="17">
        <f t="shared" si="210"/>
        <v>0</v>
      </c>
      <c r="BA28" s="17">
        <f>IF(AW28=1,Z28,0)</f>
        <v>0</v>
      </c>
      <c r="BB28" s="20">
        <f>IF(AN28=1,E28,0)</f>
        <v>17</v>
      </c>
      <c r="BE28" s="20">
        <f>IF(AF28=1,S28,0)</f>
        <v>0</v>
      </c>
      <c r="BF28" s="20">
        <f>IF(AG28="A",S28,0)</f>
        <v>0</v>
      </c>
      <c r="BG28" s="20">
        <f>IF(AG28="B",S28,0)</f>
        <v>0</v>
      </c>
      <c r="BH28" s="20">
        <f>IF(AG28="C",S28,0)</f>
        <v>0</v>
      </c>
      <c r="BI28" s="20">
        <f>IF(AG28="D",S28,0)</f>
        <v>0</v>
      </c>
      <c r="BJ28" s="20">
        <f>IF(AG28="E",S28,0)</f>
        <v>0</v>
      </c>
      <c r="BK28" s="20">
        <f t="shared" si="190"/>
        <v>0</v>
      </c>
      <c r="BN28" s="139"/>
      <c r="BO28" s="139"/>
      <c r="BP28" s="139"/>
      <c r="BQ28" s="139"/>
      <c r="BR28" s="139"/>
      <c r="BS28" s="139"/>
      <c r="BT28" s="139"/>
      <c r="BU28" s="139"/>
      <c r="BV28" s="139"/>
      <c r="BW28" s="139"/>
      <c r="BX28" s="139"/>
      <c r="BY28" s="139"/>
      <c r="BZ28" s="139"/>
      <c r="CB28" s="139"/>
      <c r="CD28" s="139">
        <f>BN28</f>
        <v>0</v>
      </c>
      <c r="CE28" s="139">
        <f t="shared" si="206"/>
        <v>0</v>
      </c>
      <c r="CF28" s="139">
        <f t="shared" si="206"/>
        <v>0</v>
      </c>
      <c r="CG28" s="139">
        <f t="shared" si="206"/>
        <v>0</v>
      </c>
      <c r="CH28" s="139">
        <f t="shared" si="206"/>
        <v>0</v>
      </c>
      <c r="CI28" s="139">
        <f t="shared" si="206"/>
        <v>0</v>
      </c>
      <c r="CJ28" s="139">
        <f t="shared" si="206"/>
        <v>0</v>
      </c>
      <c r="CK28" s="139">
        <f t="shared" si="206"/>
        <v>0</v>
      </c>
      <c r="CL28" s="139">
        <f t="shared" si="206"/>
        <v>0</v>
      </c>
      <c r="CM28" s="139">
        <f t="shared" si="206"/>
        <v>0</v>
      </c>
      <c r="CN28" s="139">
        <f t="shared" si="206"/>
        <v>0</v>
      </c>
      <c r="CO28" s="139">
        <f t="shared" si="206"/>
        <v>0</v>
      </c>
      <c r="CP28" s="139">
        <f t="shared" si="206"/>
        <v>0</v>
      </c>
      <c r="DV28" s="139">
        <f>IF(CB28=1,G28,0)</f>
        <v>0</v>
      </c>
      <c r="DW28" s="139">
        <f>IF(CC28="A",G28,0)</f>
        <v>0</v>
      </c>
      <c r="DX28" s="139">
        <f>IF(CC28="B",G28,0)</f>
        <v>0</v>
      </c>
      <c r="DY28" s="139">
        <f>IF(CC28="C",G28,0)</f>
        <v>0</v>
      </c>
      <c r="DZ28" s="139">
        <f>IF(CC28="D",G28,0)</f>
        <v>0</v>
      </c>
      <c r="EA28" s="139">
        <f>IF(CC28="E",G28,0)</f>
        <v>0</v>
      </c>
      <c r="EB28" s="139">
        <f>SUM(DW28:EA28)</f>
        <v>0</v>
      </c>
      <c r="ED28" s="46" t="s">
        <v>301</v>
      </c>
      <c r="EE28" s="46" t="s">
        <v>374</v>
      </c>
      <c r="EF28" s="56"/>
      <c r="EG28" s="57">
        <f>IF(AG28="C","C",IF(AG28="D","D",0))</f>
        <v>0</v>
      </c>
      <c r="EH28" s="57">
        <f>CC28</f>
        <v>0</v>
      </c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X28" s="80"/>
      <c r="FY28" s="17">
        <f>SUM(FZ28:GE28)</f>
        <v>0</v>
      </c>
      <c r="FZ28" s="17">
        <f t="shared" si="44"/>
        <v>0</v>
      </c>
      <c r="GA28" s="17">
        <f t="shared" si="44"/>
        <v>0</v>
      </c>
      <c r="GB28" s="17">
        <f t="shared" si="44"/>
        <v>0</v>
      </c>
      <c r="GC28" s="17">
        <f t="shared" si="45"/>
        <v>0</v>
      </c>
      <c r="GD28" s="17">
        <f t="shared" si="46"/>
        <v>0</v>
      </c>
      <c r="GE28" s="17">
        <f t="shared" si="47"/>
        <v>0</v>
      </c>
      <c r="GF28" s="67"/>
      <c r="GG28" s="17">
        <v>0</v>
      </c>
      <c r="GH28" s="17">
        <v>0</v>
      </c>
      <c r="GI28" s="67"/>
      <c r="GJ28" s="62">
        <f>FY28*GG28/1000000000</f>
        <v>0</v>
      </c>
      <c r="GK28" s="62">
        <f>FY28*GH28/1000000000</f>
        <v>0</v>
      </c>
      <c r="GO28" s="17">
        <f t="shared" si="48"/>
        <v>0</v>
      </c>
      <c r="GP28" s="17">
        <f t="shared" si="49"/>
        <v>0</v>
      </c>
      <c r="GQ28" s="17">
        <f t="shared" si="50"/>
        <v>0</v>
      </c>
      <c r="GR28" s="17">
        <f t="shared" si="51"/>
        <v>1</v>
      </c>
      <c r="GS28" s="17">
        <f t="shared" si="52"/>
        <v>1</v>
      </c>
      <c r="GT28" s="17">
        <f>IF(SUM(GO28:GS28)=0,1,0)</f>
        <v>0</v>
      </c>
      <c r="GU28" s="101">
        <f t="shared" si="117"/>
        <v>43243</v>
      </c>
      <c r="GV28" s="17" t="str">
        <f>IF(GO28&gt;0,$GO$6,IF(GP28&gt;0,$GP$6,IF(GQ28&gt;0,$GQ$6,IF(GR28&gt;0,$GR$6,IF(GS28&gt;0,$GS$6,IF(GT28&gt;0,$GT$6,0))))))</f>
        <v>Musyawarah</v>
      </c>
      <c r="GW28" s="17">
        <f>IF(GV28=$GO$6,GO28,IF(GV28=$GP$6,GP28,IF(GV28=$GQ$6,GQ28,IF(GV28=$GR$6,GR28,IF(GV28=$GS$6,GS28,0)))))</f>
        <v>1</v>
      </c>
      <c r="GX28" s="66" t="str">
        <f>GV28</f>
        <v>Musyawarah</v>
      </c>
      <c r="GY28" s="66">
        <f>IF(GX28="DNP",SUM($GY$4:$GY$8),IF(GX28="Survey KJPP",SUM($GY$5:$GY$8),IF(GX28="Hasil Valuasi",SUM($GY$6:$GY$8),IF(GX28="Musyawarah",SUM($GY$7:$GY$8),IF(GX28="UGR",$GY$8,0)))))</f>
        <v>24</v>
      </c>
      <c r="GZ28" s="102">
        <f>IF(GW28=0,"SELESAI",GU28+GY28)</f>
        <v>43267</v>
      </c>
      <c r="HA28" s="83"/>
      <c r="HB28" s="83"/>
      <c r="HC28" s="17">
        <f t="shared" si="53"/>
        <v>0</v>
      </c>
      <c r="HD28" s="17">
        <f t="shared" si="54"/>
        <v>0</v>
      </c>
      <c r="HE28" s="17">
        <f>HC28+HD28</f>
        <v>0</v>
      </c>
      <c r="HF28" s="17">
        <f>FQ28</f>
        <v>0</v>
      </c>
      <c r="HG28" s="17">
        <f>HE28-HF28</f>
        <v>0</v>
      </c>
      <c r="HH28" s="101" t="str">
        <f>IF(HG28=1,GU28+$HH$8,"TIDAK KONSINYASI")</f>
        <v>TIDAK KONSINYASI</v>
      </c>
      <c r="HI28" s="101">
        <f>IF(GW28=0,"SELESAI",GZ28+$HI$8)</f>
        <v>43312</v>
      </c>
      <c r="HJ28" s="27"/>
      <c r="HK28" s="101">
        <f>MAX(GZ28,HH28,HI28)</f>
        <v>43312</v>
      </c>
      <c r="HL28" s="83"/>
      <c r="HM28" s="83"/>
      <c r="HN28" s="83"/>
      <c r="HO28" s="83"/>
      <c r="HP28" s="102">
        <f>IF(HQ28=1,GZ28,0)</f>
        <v>0</v>
      </c>
      <c r="HQ28" s="66">
        <f>IF(IX28=0,IF(HT28=0,IF(IP28=0,IF(GV28="UGR",GS28,0),0),0),0)</f>
        <v>0</v>
      </c>
      <c r="HR28" s="66">
        <f t="shared" si="57"/>
        <v>0</v>
      </c>
      <c r="HS28" s="102">
        <f>IF(HT28=1,HH28,0)</f>
        <v>0</v>
      </c>
      <c r="HT28" s="66">
        <f>HG28</f>
        <v>0</v>
      </c>
      <c r="HU28" s="66">
        <f t="shared" si="58"/>
        <v>0</v>
      </c>
      <c r="HV28" s="102">
        <f>IF(HW28=1,GZ28,0)</f>
        <v>0</v>
      </c>
      <c r="HW28" s="66">
        <f>IF(JB28=0,IF(IX28=0,IF(HT28=0,IF(GV28="MUSYAWARAH",GR28,0),0),0),0)</f>
        <v>0</v>
      </c>
      <c r="HX28" s="66">
        <f t="shared" si="60"/>
        <v>0</v>
      </c>
      <c r="HY28" s="102">
        <f>IF(HZ28=1,HV28+$HI$8,0)</f>
        <v>0</v>
      </c>
      <c r="HZ28" s="66">
        <f>HW28</f>
        <v>0</v>
      </c>
      <c r="IA28" s="66">
        <f t="shared" si="62"/>
        <v>0</v>
      </c>
      <c r="IB28" s="102">
        <f>IF(IC28=1,$GU$3+SUM($GY$6:$GY$8),0)</f>
        <v>0</v>
      </c>
      <c r="IC28" s="66">
        <f>IF(GV28="Hasil Valuasi",GQ28,0)</f>
        <v>0</v>
      </c>
      <c r="ID28" s="66">
        <f t="shared" si="64"/>
        <v>0</v>
      </c>
      <c r="IE28" s="102">
        <f>IF(IF28=1,IB28+$HI$8,0)</f>
        <v>0</v>
      </c>
      <c r="IF28" s="66">
        <f>IC28</f>
        <v>0</v>
      </c>
      <c r="IG28" s="66">
        <f t="shared" si="67"/>
        <v>0</v>
      </c>
      <c r="IH28" s="102">
        <f>IF(II28=1,$GU$3+SUM($GY$5:$GY$8),0)</f>
        <v>0</v>
      </c>
      <c r="II28" s="66">
        <f>IF(GV28="Survey KJPP",GP28,0)</f>
        <v>0</v>
      </c>
      <c r="IJ28" s="66">
        <f t="shared" si="68"/>
        <v>0</v>
      </c>
      <c r="IK28" s="102">
        <f>IF(IL28=1,IH28+$HI$8,0)</f>
        <v>0</v>
      </c>
      <c r="IL28" s="66">
        <f>II28</f>
        <v>0</v>
      </c>
      <c r="IM28" s="66">
        <f t="shared" si="71"/>
        <v>0</v>
      </c>
      <c r="IN28" s="83"/>
      <c r="IO28" s="102">
        <f>IF(IP28=1,+$GU$3+$HH$8,0)</f>
        <v>0</v>
      </c>
      <c r="IP28" s="66">
        <f t="shared" si="73"/>
        <v>0</v>
      </c>
      <c r="IQ28" s="66">
        <f t="shared" si="74"/>
        <v>0</v>
      </c>
      <c r="IR28" s="83"/>
      <c r="IS28" s="102"/>
      <c r="IT28" s="66">
        <f t="shared" si="75"/>
        <v>0</v>
      </c>
      <c r="IU28" s="66">
        <f t="shared" si="75"/>
        <v>0</v>
      </c>
      <c r="IV28" s="83"/>
      <c r="IW28" s="102"/>
      <c r="IX28" s="66">
        <f t="shared" si="76"/>
        <v>0</v>
      </c>
      <c r="IY28" s="66">
        <f t="shared" si="76"/>
        <v>0</v>
      </c>
      <c r="IZ28" s="83"/>
      <c r="JA28" s="102"/>
      <c r="JB28" s="66">
        <f t="shared" si="77"/>
        <v>1</v>
      </c>
      <c r="JC28" s="66">
        <f t="shared" si="78"/>
        <v>17</v>
      </c>
      <c r="JD28" s="83"/>
      <c r="JE28" s="102"/>
      <c r="JF28" s="66">
        <f t="shared" si="207"/>
        <v>1</v>
      </c>
      <c r="JG28" s="66">
        <f t="shared" si="207"/>
        <v>17</v>
      </c>
      <c r="JH28" s="83"/>
      <c r="JI28" s="102"/>
      <c r="JJ28" s="66">
        <f t="shared" si="80"/>
        <v>0</v>
      </c>
      <c r="JK28" s="66">
        <f t="shared" si="80"/>
        <v>0</v>
      </c>
      <c r="JM28" s="102">
        <f>MAX(IW28,IS28,IO28,IK28,IE28,HY28,HS28,HP28)</f>
        <v>0</v>
      </c>
      <c r="JO28" s="29">
        <f>SUM(JQ28:KB28)</f>
        <v>0</v>
      </c>
      <c r="JP28" s="122">
        <f t="shared" si="82"/>
        <v>0</v>
      </c>
      <c r="JQ28" s="122">
        <f t="shared" si="83"/>
        <v>0</v>
      </c>
      <c r="JR28" s="122">
        <f t="shared" si="83"/>
        <v>0</v>
      </c>
      <c r="JS28" s="122">
        <f t="shared" si="83"/>
        <v>0</v>
      </c>
      <c r="JT28" s="122">
        <f t="shared" si="83"/>
        <v>0</v>
      </c>
      <c r="JU28" s="122">
        <f t="shared" si="83"/>
        <v>0</v>
      </c>
      <c r="JV28" s="122">
        <f t="shared" si="83"/>
        <v>0</v>
      </c>
      <c r="JW28" s="122">
        <f t="shared" si="83"/>
        <v>0</v>
      </c>
      <c r="JX28" s="122">
        <f t="shared" si="83"/>
        <v>0</v>
      </c>
      <c r="JY28" s="122">
        <f t="shared" si="83"/>
        <v>0</v>
      </c>
      <c r="JZ28" s="122">
        <f t="shared" si="83"/>
        <v>0</v>
      </c>
      <c r="KA28" s="122">
        <f t="shared" si="83"/>
        <v>0</v>
      </c>
      <c r="KB28" s="122">
        <f t="shared" si="83"/>
        <v>0</v>
      </c>
      <c r="KD28" s="122">
        <f t="shared" si="138"/>
        <v>0</v>
      </c>
      <c r="KE28" s="122">
        <f t="shared" si="85"/>
        <v>0</v>
      </c>
      <c r="KF28" s="122">
        <f t="shared" si="86"/>
        <v>0</v>
      </c>
      <c r="KG28" s="122">
        <f t="shared" si="86"/>
        <v>0</v>
      </c>
      <c r="KH28" s="122">
        <f t="shared" si="86"/>
        <v>0</v>
      </c>
      <c r="KI28" s="122">
        <f t="shared" si="86"/>
        <v>0</v>
      </c>
      <c r="KJ28" s="122">
        <f t="shared" si="86"/>
        <v>0</v>
      </c>
      <c r="KK28" s="122">
        <f t="shared" si="86"/>
        <v>0</v>
      </c>
      <c r="KL28" s="122">
        <f t="shared" si="86"/>
        <v>0</v>
      </c>
      <c r="KM28" s="122">
        <f t="shared" si="86"/>
        <v>0</v>
      </c>
      <c r="KN28" s="123">
        <f t="shared" si="86"/>
        <v>0</v>
      </c>
      <c r="KO28" s="123">
        <f t="shared" si="86"/>
        <v>0</v>
      </c>
      <c r="KP28" s="123">
        <f t="shared" si="86"/>
        <v>0</v>
      </c>
      <c r="KQ28" s="123">
        <f t="shared" si="86"/>
        <v>0</v>
      </c>
      <c r="KR28" s="123">
        <f t="shared" si="86"/>
        <v>0</v>
      </c>
      <c r="KS28">
        <v>7</v>
      </c>
      <c r="KT28">
        <f t="shared" si="87"/>
        <v>1</v>
      </c>
      <c r="KU28" s="123"/>
      <c r="KV28" s="123"/>
      <c r="KW28" s="123"/>
      <c r="KX28" s="123"/>
      <c r="KY28" s="123"/>
      <c r="KZ28" s="123"/>
      <c r="LA28" s="123"/>
      <c r="LB28" s="123"/>
      <c r="LC28" s="123"/>
      <c r="LD28" s="123"/>
      <c r="LE28" s="123"/>
      <c r="LF28" s="123"/>
      <c r="LG28" s="123"/>
      <c r="LH28" s="123"/>
      <c r="LI28" s="123"/>
      <c r="LJ28" s="123"/>
      <c r="LK28" s="123"/>
      <c r="LL28" s="123"/>
      <c r="LM28" s="123"/>
      <c r="LN28" s="123"/>
      <c r="LO28" s="123"/>
      <c r="LP28" s="123"/>
      <c r="LQ28" s="123"/>
      <c r="LR28" s="123"/>
      <c r="LS28" s="123"/>
      <c r="LT28" s="123"/>
      <c r="LU28" s="123"/>
      <c r="LV28" s="123"/>
      <c r="LW28" s="123"/>
      <c r="LX28" s="123"/>
      <c r="LY28" s="123"/>
      <c r="LZ28" s="123"/>
      <c r="MA28" s="123"/>
      <c r="MB28" s="123"/>
      <c r="MC28" s="123"/>
      <c r="MD28" s="123"/>
      <c r="ME28" s="123"/>
      <c r="MF28" s="123"/>
      <c r="MG28" s="123"/>
      <c r="MH28" s="123"/>
      <c r="MI28" s="123"/>
      <c r="MJ28" s="123"/>
      <c r="MK28" s="123"/>
      <c r="ML28" s="123"/>
      <c r="MM28" s="123"/>
      <c r="MN28" s="123"/>
      <c r="MO28" s="123"/>
      <c r="MP28" s="123"/>
      <c r="MQ28" s="123"/>
      <c r="MR28" s="123"/>
      <c r="MS28" s="123"/>
      <c r="MT28" s="123"/>
      <c r="MU28" s="123"/>
      <c r="MV28" s="123"/>
      <c r="MW28" s="123"/>
      <c r="MX28" s="123"/>
      <c r="MY28" s="123"/>
      <c r="MZ28" s="123"/>
      <c r="NA28" s="123"/>
      <c r="NB28" s="123"/>
      <c r="NC28" s="123"/>
      <c r="ND28" s="123"/>
      <c r="NE28" s="123"/>
      <c r="NF28" s="123"/>
      <c r="NG28" s="123"/>
      <c r="NH28" s="123"/>
      <c r="NI28" s="123"/>
      <c r="NJ28" s="123"/>
      <c r="NK28" s="123"/>
      <c r="NM28">
        <f>IF(KS28=1,1,0)</f>
        <v>0</v>
      </c>
      <c r="NN28">
        <f>IF(KS28=2,1,0)</f>
        <v>0</v>
      </c>
      <c r="NO28">
        <f>IF(KS28=3,1,0)</f>
        <v>0</v>
      </c>
      <c r="NP28">
        <f>IF(KS28=4,1,0)</f>
        <v>0</v>
      </c>
      <c r="NQ28">
        <f>IF(KS28=5,1,0)</f>
        <v>0</v>
      </c>
      <c r="NR28">
        <f>IF(KS28=6,1,0)</f>
        <v>0</v>
      </c>
      <c r="NS28">
        <f>IF(KS28=7,1,0)</f>
        <v>1</v>
      </c>
      <c r="NT28">
        <f>SUM(NM28:NS28)</f>
        <v>1</v>
      </c>
      <c r="NU28">
        <f>NT28-KT28</f>
        <v>0</v>
      </c>
      <c r="NY28" s="29"/>
      <c r="NZ28" s="152"/>
      <c r="OE28" s="155"/>
      <c r="OF28" s="155"/>
      <c r="OG28" s="155"/>
      <c r="OH28" s="155"/>
      <c r="OI28" s="155"/>
      <c r="OJ28" s="67"/>
      <c r="OK28" s="67"/>
      <c r="OL28" s="67"/>
      <c r="OM28" s="67"/>
      <c r="OO28" s="155"/>
      <c r="OP28" s="155"/>
      <c r="OQ28" s="155"/>
      <c r="OR28" s="155"/>
      <c r="OS28" s="155"/>
      <c r="OT28" s="67"/>
      <c r="OU28" s="67"/>
      <c r="OV28" s="67"/>
      <c r="OW28" s="67"/>
      <c r="PA28" s="166">
        <v>1</v>
      </c>
      <c r="PB28" s="166"/>
      <c r="PC28" s="166"/>
      <c r="PD28" s="210">
        <f t="shared" si="96"/>
        <v>0</v>
      </c>
      <c r="PE28" s="210"/>
      <c r="PF28" s="210">
        <f t="shared" si="97"/>
        <v>0</v>
      </c>
      <c r="PG28" s="210">
        <f t="shared" si="98"/>
        <v>17</v>
      </c>
      <c r="PH28" s="210">
        <f t="shared" si="98"/>
        <v>0</v>
      </c>
      <c r="PI28" s="210">
        <f t="shared" si="98"/>
        <v>0</v>
      </c>
      <c r="PJ28" s="210">
        <f t="shared" si="98"/>
        <v>0</v>
      </c>
      <c r="PK28" s="210">
        <f t="shared" si="98"/>
        <v>0</v>
      </c>
      <c r="PL28" s="210">
        <f t="shared" si="98"/>
        <v>0</v>
      </c>
      <c r="PO28" s="172">
        <f t="shared" si="160"/>
        <v>0</v>
      </c>
      <c r="PP28" s="172">
        <f t="shared" si="161"/>
        <v>0</v>
      </c>
      <c r="PQ28" s="172">
        <f t="shared" si="162"/>
        <v>0</v>
      </c>
    </row>
    <row r="29" spans="1:433" ht="16" x14ac:dyDescent="0.2">
      <c r="A29" s="21"/>
      <c r="B29" s="22" t="s">
        <v>18</v>
      </c>
      <c r="C29" s="22"/>
      <c r="D29" s="23">
        <f>SUM(D9:D28)</f>
        <v>20</v>
      </c>
      <c r="E29" s="23">
        <f>SUM(E9:E28)</f>
        <v>5906</v>
      </c>
      <c r="F29" s="23">
        <f>SUM(F9:F28)</f>
        <v>20</v>
      </c>
      <c r="G29" s="23">
        <f>SUM(G9:G28)</f>
        <v>5906</v>
      </c>
      <c r="H29" s="24">
        <f t="shared" ref="H29" si="562">F29/$D29</f>
        <v>1</v>
      </c>
      <c r="I29" s="24">
        <f t="shared" ref="I29" si="563">G29/$E29</f>
        <v>1</v>
      </c>
      <c r="J29" s="23">
        <f>SUM(J9:J28)</f>
        <v>20</v>
      </c>
      <c r="K29" s="23">
        <f>SUM(K9:K28)</f>
        <v>5906</v>
      </c>
      <c r="L29" s="24">
        <f t="shared" si="5"/>
        <v>1</v>
      </c>
      <c r="M29" s="24">
        <f t="shared" si="6"/>
        <v>1</v>
      </c>
      <c r="N29" s="23">
        <f>SUM(N9:N28)</f>
        <v>20</v>
      </c>
      <c r="O29" s="23">
        <f>SUM(O9:O28)</f>
        <v>5906</v>
      </c>
      <c r="P29" s="24">
        <f t="shared" si="8"/>
        <v>1</v>
      </c>
      <c r="Q29" s="24">
        <f t="shared" si="9"/>
        <v>1</v>
      </c>
      <c r="R29" s="23">
        <f>SUM(R9:R28)</f>
        <v>6</v>
      </c>
      <c r="S29" s="23">
        <f>SUM(S9:S28)</f>
        <v>1663</v>
      </c>
      <c r="T29" s="24">
        <f t="shared" ref="T29" si="564">R29/$D29</f>
        <v>0.3</v>
      </c>
      <c r="U29" s="24">
        <f t="shared" ref="U29" si="565">S29/$E29</f>
        <v>0.28157805621401966</v>
      </c>
      <c r="V29" s="23">
        <f>SUM(V9:V28)</f>
        <v>6</v>
      </c>
      <c r="W29" s="23">
        <f>SUM(W9:W28)</f>
        <v>1663</v>
      </c>
      <c r="X29" s="24">
        <f t="shared" ref="X29" si="566">V29/$D29</f>
        <v>0.3</v>
      </c>
      <c r="Y29" s="24">
        <f t="shared" ref="Y29" si="567">W29/$E29</f>
        <v>0.28157805621401966</v>
      </c>
      <c r="Z29" s="39">
        <f>SUM(Z9:Z28)</f>
        <v>34.141576999999998</v>
      </c>
      <c r="AA29" s="23">
        <f>SUM(AA9:AA28)</f>
        <v>0</v>
      </c>
      <c r="AB29" s="23">
        <f>SUM(AB9:AB28)</f>
        <v>0</v>
      </c>
      <c r="AC29" s="24">
        <f t="shared" ref="AC29" si="568">AA29/$D29</f>
        <v>0</v>
      </c>
      <c r="AD29" s="24">
        <f t="shared" ref="AD29" si="569">AB29/$E29</f>
        <v>0</v>
      </c>
      <c r="AE29" s="39">
        <f>SUM(AE9:AE28)</f>
        <v>0</v>
      </c>
      <c r="AF29" s="23">
        <f>SUM(AF9:AF28)</f>
        <v>0</v>
      </c>
      <c r="AG29" s="23"/>
      <c r="AH29" s="23"/>
      <c r="AI29" s="23">
        <f>SUM(AI9:AI28)</f>
        <v>5</v>
      </c>
      <c r="AJ29" s="23">
        <f>SUM(AJ9:AJ28)</f>
        <v>1603</v>
      </c>
      <c r="AK29" s="23"/>
      <c r="AL29" s="23">
        <f t="shared" ref="AL29:BB29" si="570">SUM(AL9:AL28)</f>
        <v>0</v>
      </c>
      <c r="AM29" s="23">
        <f t="shared" si="570"/>
        <v>0</v>
      </c>
      <c r="AN29" s="23">
        <f t="shared" si="570"/>
        <v>14</v>
      </c>
      <c r="AO29" s="23">
        <f t="shared" si="570"/>
        <v>5</v>
      </c>
      <c r="AP29" s="23">
        <f t="shared" si="570"/>
        <v>1603</v>
      </c>
      <c r="AQ29" s="23">
        <f t="shared" si="570"/>
        <v>5</v>
      </c>
      <c r="AR29" s="23">
        <f t="shared" si="570"/>
        <v>1603</v>
      </c>
      <c r="AS29" s="23">
        <f t="shared" si="570"/>
        <v>5</v>
      </c>
      <c r="AT29" s="23">
        <f t="shared" si="570"/>
        <v>1603</v>
      </c>
      <c r="AU29" s="23">
        <f t="shared" si="570"/>
        <v>5</v>
      </c>
      <c r="AV29" s="23">
        <f t="shared" si="570"/>
        <v>1603</v>
      </c>
      <c r="AW29" s="23">
        <f t="shared" si="570"/>
        <v>5</v>
      </c>
      <c r="AX29" s="23">
        <f t="shared" si="570"/>
        <v>1603</v>
      </c>
      <c r="AY29" s="23">
        <f t="shared" si="570"/>
        <v>0</v>
      </c>
      <c r="AZ29" s="23">
        <f t="shared" si="570"/>
        <v>0</v>
      </c>
      <c r="BA29" s="23">
        <f t="shared" si="570"/>
        <v>33.538595000000001</v>
      </c>
      <c r="BB29" s="23">
        <f t="shared" si="570"/>
        <v>4243</v>
      </c>
      <c r="BE29" s="23">
        <f t="shared" ref="BE29:BK29" si="571">SUM(BE9:BE28)</f>
        <v>0</v>
      </c>
      <c r="BF29" s="23">
        <f t="shared" si="571"/>
        <v>0</v>
      </c>
      <c r="BG29" s="23">
        <f t="shared" si="571"/>
        <v>0</v>
      </c>
      <c r="BH29" s="23">
        <f t="shared" si="571"/>
        <v>0</v>
      </c>
      <c r="BI29" s="23">
        <f t="shared" si="571"/>
        <v>0</v>
      </c>
      <c r="BJ29" s="23">
        <f t="shared" si="571"/>
        <v>0</v>
      </c>
      <c r="BK29" s="23">
        <f t="shared" si="571"/>
        <v>0</v>
      </c>
      <c r="BN29" s="23">
        <f t="shared" ref="BN29:BZ29" si="572">SUM(BN9:BN28)</f>
        <v>663</v>
      </c>
      <c r="BO29" s="23">
        <f t="shared" si="572"/>
        <v>0</v>
      </c>
      <c r="BP29" s="23">
        <f t="shared" si="572"/>
        <v>3</v>
      </c>
      <c r="BQ29" s="23">
        <f t="shared" si="572"/>
        <v>0</v>
      </c>
      <c r="BR29" s="23">
        <f t="shared" si="572"/>
        <v>0</v>
      </c>
      <c r="BS29" s="23">
        <f t="shared" si="572"/>
        <v>0</v>
      </c>
      <c r="BT29" s="23">
        <f t="shared" si="572"/>
        <v>0</v>
      </c>
      <c r="BU29" s="23">
        <f t="shared" si="572"/>
        <v>0</v>
      </c>
      <c r="BV29" s="23">
        <f t="shared" si="572"/>
        <v>0</v>
      </c>
      <c r="BW29" s="23">
        <f t="shared" si="572"/>
        <v>0</v>
      </c>
      <c r="BX29" s="23">
        <f t="shared" si="572"/>
        <v>0</v>
      </c>
      <c r="BY29" s="23">
        <f t="shared" si="572"/>
        <v>0</v>
      </c>
      <c r="BZ29" s="23">
        <f t="shared" si="572"/>
        <v>0</v>
      </c>
      <c r="CB29" s="23">
        <f>SUM(CB9:CB28)</f>
        <v>0</v>
      </c>
      <c r="CD29" s="23">
        <f t="shared" ref="CD29:CP29" si="573">SUM(CD9:CD28)</f>
        <v>663</v>
      </c>
      <c r="CE29" s="23">
        <f t="shared" si="573"/>
        <v>0</v>
      </c>
      <c r="CF29" s="23">
        <f t="shared" si="573"/>
        <v>663</v>
      </c>
      <c r="CG29" s="23">
        <f t="shared" si="573"/>
        <v>0</v>
      </c>
      <c r="CH29" s="23">
        <f t="shared" si="573"/>
        <v>0</v>
      </c>
      <c r="CI29" s="23">
        <f t="shared" si="573"/>
        <v>0</v>
      </c>
      <c r="CJ29" s="23">
        <f t="shared" si="573"/>
        <v>0</v>
      </c>
      <c r="CK29" s="23">
        <f t="shared" si="573"/>
        <v>0</v>
      </c>
      <c r="CL29" s="23">
        <f t="shared" si="573"/>
        <v>0</v>
      </c>
      <c r="CM29" s="23">
        <f t="shared" si="573"/>
        <v>0</v>
      </c>
      <c r="CN29" s="23">
        <f t="shared" si="573"/>
        <v>0</v>
      </c>
      <c r="CO29" s="23">
        <f t="shared" si="573"/>
        <v>0</v>
      </c>
      <c r="CP29" s="23">
        <f t="shared" si="573"/>
        <v>0</v>
      </c>
      <c r="DV29" s="23">
        <f t="shared" ref="DV29:EB29" si="574">SUM(DV9:DV28)</f>
        <v>0</v>
      </c>
      <c r="DW29" s="23">
        <f t="shared" si="574"/>
        <v>0</v>
      </c>
      <c r="DX29" s="23">
        <f t="shared" si="574"/>
        <v>0</v>
      </c>
      <c r="DY29" s="23">
        <f t="shared" si="574"/>
        <v>0</v>
      </c>
      <c r="DZ29" s="23">
        <f t="shared" si="574"/>
        <v>0</v>
      </c>
      <c r="EA29" s="23">
        <f t="shared" si="574"/>
        <v>0</v>
      </c>
      <c r="EB29" s="23">
        <f t="shared" si="574"/>
        <v>0</v>
      </c>
      <c r="ED29" s="55" t="s">
        <v>343</v>
      </c>
      <c r="EE29" s="55" t="s">
        <v>375</v>
      </c>
      <c r="EF29" s="56"/>
      <c r="EG29" s="58">
        <f>COUNTIF(EG9:EG28,"&gt;&lt;0")</f>
        <v>0</v>
      </c>
      <c r="EH29" s="58">
        <f>COUNTIF(EH9:EH28,"&gt;&lt;0")</f>
        <v>0</v>
      </c>
      <c r="EI29" s="23">
        <f t="shared" ref="EI29:FE29" si="575">SUM(EI9:EI28)</f>
        <v>0</v>
      </c>
      <c r="EJ29" s="23">
        <f t="shared" si="575"/>
        <v>0</v>
      </c>
      <c r="EK29" s="23">
        <f t="shared" si="575"/>
        <v>0</v>
      </c>
      <c r="EL29" s="23">
        <f t="shared" si="575"/>
        <v>0</v>
      </c>
      <c r="EM29" s="23">
        <f t="shared" si="575"/>
        <v>0</v>
      </c>
      <c r="EN29" s="23">
        <f t="shared" si="575"/>
        <v>0</v>
      </c>
      <c r="EO29" s="23">
        <f t="shared" si="575"/>
        <v>0</v>
      </c>
      <c r="EP29" s="23">
        <f t="shared" si="575"/>
        <v>0</v>
      </c>
      <c r="EQ29" s="23">
        <f t="shared" si="575"/>
        <v>0</v>
      </c>
      <c r="ER29" s="23">
        <f t="shared" si="575"/>
        <v>0</v>
      </c>
      <c r="ES29" s="23">
        <f t="shared" si="575"/>
        <v>0</v>
      </c>
      <c r="ET29" s="23">
        <f t="shared" si="575"/>
        <v>0</v>
      </c>
      <c r="EU29" s="23">
        <f t="shared" si="575"/>
        <v>0</v>
      </c>
      <c r="EV29" s="23">
        <f t="shared" si="575"/>
        <v>0</v>
      </c>
      <c r="EW29" s="23">
        <f t="shared" si="575"/>
        <v>0</v>
      </c>
      <c r="EX29" s="23">
        <f t="shared" si="575"/>
        <v>0</v>
      </c>
      <c r="EY29" s="23">
        <f t="shared" si="575"/>
        <v>0</v>
      </c>
      <c r="EZ29" s="23">
        <f t="shared" si="575"/>
        <v>0</v>
      </c>
      <c r="FA29" s="23">
        <f t="shared" si="575"/>
        <v>0</v>
      </c>
      <c r="FB29" s="23">
        <f t="shared" si="575"/>
        <v>0</v>
      </c>
      <c r="FC29" s="23">
        <f t="shared" si="575"/>
        <v>0</v>
      </c>
      <c r="FD29" s="23">
        <f t="shared" si="575"/>
        <v>0</v>
      </c>
      <c r="FE29" s="23">
        <f t="shared" si="575"/>
        <v>0</v>
      </c>
      <c r="FF29" s="23">
        <f t="shared" ref="FF29" si="576">SUM(FF9:FF28)</f>
        <v>0</v>
      </c>
      <c r="FH29" s="23">
        <f t="shared" ref="FH29:FV29" si="577">SUM(FH9:FH28)</f>
        <v>0</v>
      </c>
      <c r="FI29" s="23">
        <f t="shared" si="577"/>
        <v>0</v>
      </c>
      <c r="FJ29" s="23">
        <f t="shared" si="577"/>
        <v>0</v>
      </c>
      <c r="FK29" s="23">
        <f t="shared" si="577"/>
        <v>0</v>
      </c>
      <c r="FL29" s="23">
        <f t="shared" si="577"/>
        <v>0</v>
      </c>
      <c r="FM29" s="23">
        <f t="shared" si="577"/>
        <v>0</v>
      </c>
      <c r="FN29" s="23">
        <f t="shared" si="577"/>
        <v>0</v>
      </c>
      <c r="FO29" s="23">
        <f t="shared" si="577"/>
        <v>0</v>
      </c>
      <c r="FP29" s="23">
        <f t="shared" si="577"/>
        <v>0</v>
      </c>
      <c r="FQ29" s="23">
        <f t="shared" si="577"/>
        <v>0</v>
      </c>
      <c r="FR29" s="23">
        <f t="shared" si="577"/>
        <v>0</v>
      </c>
      <c r="FS29" s="23">
        <f t="shared" si="577"/>
        <v>0</v>
      </c>
      <c r="FT29" s="23">
        <f t="shared" si="577"/>
        <v>0</v>
      </c>
      <c r="FU29" s="23">
        <f t="shared" si="577"/>
        <v>0</v>
      </c>
      <c r="FV29" s="23">
        <f t="shared" si="577"/>
        <v>0</v>
      </c>
      <c r="FX29" s="23">
        <f t="shared" ref="FX29:GE29" si="578">SUM(FX9:FX28)</f>
        <v>3</v>
      </c>
      <c r="FY29" s="23">
        <f t="shared" si="578"/>
        <v>663</v>
      </c>
      <c r="FZ29" s="23">
        <f t="shared" si="578"/>
        <v>0</v>
      </c>
      <c r="GA29" s="23">
        <f t="shared" si="578"/>
        <v>663</v>
      </c>
      <c r="GB29" s="23">
        <f t="shared" si="578"/>
        <v>0</v>
      </c>
      <c r="GC29" s="23">
        <f t="shared" si="578"/>
        <v>0</v>
      </c>
      <c r="GD29" s="23">
        <f t="shared" si="578"/>
        <v>0</v>
      </c>
      <c r="GE29" s="23">
        <f t="shared" si="578"/>
        <v>0</v>
      </c>
      <c r="GG29" s="23">
        <f>SUM(GG9:GG28)</f>
        <v>0</v>
      </c>
      <c r="GH29" s="23">
        <f>SUM(GH9:GH28)</f>
        <v>0</v>
      </c>
      <c r="GJ29" s="39">
        <f>SUM(GJ9:GJ28)</f>
        <v>0</v>
      </c>
      <c r="GK29" s="39">
        <f>SUM(GK9:GK28)</f>
        <v>0</v>
      </c>
      <c r="GO29" s="103">
        <f t="shared" ref="GO29:GT29" si="579">SUM(GO9:GO28)</f>
        <v>0</v>
      </c>
      <c r="GP29" s="103">
        <f t="shared" si="579"/>
        <v>0</v>
      </c>
      <c r="GQ29" s="103">
        <f t="shared" si="579"/>
        <v>0</v>
      </c>
      <c r="GR29" s="103">
        <f t="shared" si="579"/>
        <v>14</v>
      </c>
      <c r="GS29" s="103">
        <f t="shared" si="579"/>
        <v>14</v>
      </c>
      <c r="GT29" s="103">
        <f t="shared" si="579"/>
        <v>6</v>
      </c>
      <c r="GU29" s="103">
        <f>COUNTA(GU9:GU28)</f>
        <v>20</v>
      </c>
      <c r="GV29" s="103">
        <f>COUNTA(GV9:GV28)</f>
        <v>20</v>
      </c>
      <c r="GW29" s="103">
        <f>SUM(GW9:GW28)</f>
        <v>14</v>
      </c>
      <c r="GX29" s="103">
        <f>COUNTA(GX9:GX28)</f>
        <v>20</v>
      </c>
      <c r="GY29" s="103"/>
      <c r="GZ29" s="103">
        <f>COUNTA(GZ9:GZ28)</f>
        <v>20</v>
      </c>
      <c r="HA29" s="83"/>
      <c r="HB29" s="83"/>
      <c r="HC29" s="103">
        <f>SUM(HC9:HC28)</f>
        <v>0</v>
      </c>
      <c r="HD29" s="103">
        <f>SUM(HD9:HD28)</f>
        <v>0</v>
      </c>
      <c r="HE29" s="103">
        <f>SUM(HE9:HE28)</f>
        <v>0</v>
      </c>
      <c r="HF29" s="103">
        <f>SUM(HF9:HF28)</f>
        <v>0</v>
      </c>
      <c r="HG29" s="103">
        <f>SUM(HG9:HG28)</f>
        <v>0</v>
      </c>
      <c r="HH29" s="103">
        <f>COUNTA(HH9:HH28)</f>
        <v>20</v>
      </c>
      <c r="HI29" s="103">
        <f>COUNTA(HI9:HI28)</f>
        <v>20</v>
      </c>
      <c r="HJ29" s="83"/>
      <c r="HK29" s="103">
        <f>COUNTA(HK9:HK28)</f>
        <v>20</v>
      </c>
      <c r="HL29" s="83"/>
      <c r="HM29" s="83"/>
      <c r="HN29" s="83"/>
      <c r="HO29" s="83"/>
      <c r="HP29" s="104">
        <f>HP31</f>
        <v>43257</v>
      </c>
      <c r="HQ29" s="103">
        <f>SUM(HQ9:HQ28)</f>
        <v>0</v>
      </c>
      <c r="HR29" s="103">
        <f>SUM(HR9:HR28)</f>
        <v>0</v>
      </c>
      <c r="HS29" s="104">
        <f>HS31</f>
        <v>43288</v>
      </c>
      <c r="HT29" s="103">
        <f>SUM(HT9:HT28)</f>
        <v>0</v>
      </c>
      <c r="HU29" s="103">
        <f>SUM(HU9:HU28)</f>
        <v>0</v>
      </c>
      <c r="HV29" s="104">
        <f>HV31</f>
        <v>43267</v>
      </c>
      <c r="HW29" s="103">
        <f>SUM(HW9:HW28)</f>
        <v>0</v>
      </c>
      <c r="HX29" s="103">
        <f>SUM(HX9:HX28)</f>
        <v>0</v>
      </c>
      <c r="HY29" s="104">
        <f>HY31</f>
        <v>43312</v>
      </c>
      <c r="HZ29" s="103">
        <f>SUM(HZ9:HZ28)</f>
        <v>0</v>
      </c>
      <c r="IA29" s="103">
        <f>SUM(IA9:IA28)</f>
        <v>0</v>
      </c>
      <c r="IB29" s="104">
        <f>IB31</f>
        <v>43277</v>
      </c>
      <c r="IC29" s="103">
        <f>SUM(IC9:IC28)</f>
        <v>0</v>
      </c>
      <c r="ID29" s="103">
        <f>SUM(ID9:ID28)</f>
        <v>0</v>
      </c>
      <c r="IE29" s="104">
        <f>IE31</f>
        <v>43322</v>
      </c>
      <c r="IF29" s="103">
        <f>SUM(IF9:IF28)</f>
        <v>0</v>
      </c>
      <c r="IG29" s="103">
        <f>SUM(IG9:IG28)</f>
        <v>0</v>
      </c>
      <c r="IH29" s="104">
        <f>IH31</f>
        <v>43297</v>
      </c>
      <c r="II29" s="103">
        <f>SUM(II9:II28)</f>
        <v>0</v>
      </c>
      <c r="IJ29" s="103">
        <f>SUM(IJ9:IJ28)</f>
        <v>0</v>
      </c>
      <c r="IK29" s="104">
        <f>IK31</f>
        <v>43342</v>
      </c>
      <c r="IL29" s="103">
        <f>SUM(IL9:IL28)</f>
        <v>0</v>
      </c>
      <c r="IM29" s="103">
        <f>SUM(IM9:IM28)</f>
        <v>0</v>
      </c>
      <c r="IN29" s="83"/>
      <c r="IO29" s="104">
        <f>IO31</f>
        <v>43288</v>
      </c>
      <c r="IP29" s="103">
        <f>SUM(IP9:IP28)</f>
        <v>0</v>
      </c>
      <c r="IQ29" s="103">
        <f>SUM(IQ9:IQ28)</f>
        <v>0</v>
      </c>
      <c r="IR29" s="83"/>
      <c r="IS29" s="104">
        <f>$D$3</f>
        <v>44201</v>
      </c>
      <c r="IT29" s="103">
        <f>SUM(IT9:IT28)</f>
        <v>6</v>
      </c>
      <c r="IU29" s="103">
        <f>SUM(IU9:IU28)</f>
        <v>1663</v>
      </c>
      <c r="IV29" s="83"/>
      <c r="IW29" s="104">
        <f>$D$3</f>
        <v>44201</v>
      </c>
      <c r="IX29" s="103">
        <f>SUM(IX9:IX28)</f>
        <v>0</v>
      </c>
      <c r="IY29" s="103">
        <f>SUM(IY9:IY28)</f>
        <v>0</v>
      </c>
      <c r="IZ29" s="83"/>
      <c r="JA29" s="103"/>
      <c r="JB29" s="103">
        <f>SUM(JB9:JB28)</f>
        <v>14</v>
      </c>
      <c r="JC29" s="103">
        <f>SUM(JC9:JC28)</f>
        <v>4243</v>
      </c>
      <c r="JD29" s="83"/>
      <c r="JE29" s="103"/>
      <c r="JF29" s="103">
        <f>SUM(JF9:JF28)</f>
        <v>20</v>
      </c>
      <c r="JG29" s="103">
        <f>SUM(JG9:JG28)</f>
        <v>5906</v>
      </c>
      <c r="JH29" s="83"/>
      <c r="JI29" s="103"/>
      <c r="JJ29" s="103">
        <f>SUM(JJ9:JJ28)</f>
        <v>0</v>
      </c>
      <c r="JK29" s="103">
        <f>SUM(JK9:JK28)</f>
        <v>0</v>
      </c>
      <c r="JM29" s="104">
        <f>MAX(JM9:JM28)</f>
        <v>0</v>
      </c>
      <c r="JO29" s="29">
        <f>MAX(JO9:JO28)</f>
        <v>1</v>
      </c>
      <c r="JP29" s="125">
        <f t="shared" ref="JP29:KB29" si="580">SUM(JP9:JP28)</f>
        <v>663</v>
      </c>
      <c r="JQ29" s="125">
        <f t="shared" si="580"/>
        <v>0</v>
      </c>
      <c r="JR29" s="125">
        <f t="shared" si="580"/>
        <v>3</v>
      </c>
      <c r="JS29" s="125">
        <f t="shared" si="580"/>
        <v>0</v>
      </c>
      <c r="JT29" s="125">
        <f t="shared" si="580"/>
        <v>0</v>
      </c>
      <c r="JU29" s="125">
        <f t="shared" si="580"/>
        <v>0</v>
      </c>
      <c r="JV29" s="125">
        <f t="shared" si="580"/>
        <v>0</v>
      </c>
      <c r="JW29" s="125">
        <f t="shared" si="580"/>
        <v>0</v>
      </c>
      <c r="JX29" s="125">
        <f t="shared" si="580"/>
        <v>0</v>
      </c>
      <c r="JY29" s="125">
        <f t="shared" si="580"/>
        <v>0</v>
      </c>
      <c r="JZ29" s="125">
        <f t="shared" si="580"/>
        <v>0</v>
      </c>
      <c r="KA29" s="125">
        <f t="shared" si="580"/>
        <v>0</v>
      </c>
      <c r="KB29" s="125">
        <f t="shared" si="580"/>
        <v>0</v>
      </c>
      <c r="KD29" s="125">
        <f t="shared" ref="KD29:KR29" si="581">SUM(KD9:KD28)</f>
        <v>3</v>
      </c>
      <c r="KE29" s="125">
        <f t="shared" si="581"/>
        <v>663</v>
      </c>
      <c r="KF29" s="125">
        <f t="shared" si="581"/>
        <v>663</v>
      </c>
      <c r="KG29" s="125">
        <f t="shared" si="581"/>
        <v>0</v>
      </c>
      <c r="KH29" s="125">
        <f t="shared" si="581"/>
        <v>663</v>
      </c>
      <c r="KI29" s="125">
        <f t="shared" si="581"/>
        <v>0</v>
      </c>
      <c r="KJ29" s="125">
        <f t="shared" si="581"/>
        <v>0</v>
      </c>
      <c r="KK29" s="125">
        <f t="shared" si="581"/>
        <v>0</v>
      </c>
      <c r="KL29" s="125">
        <f t="shared" si="581"/>
        <v>0</v>
      </c>
      <c r="KM29" s="125">
        <f t="shared" si="581"/>
        <v>0</v>
      </c>
      <c r="KN29" s="125">
        <f t="shared" si="581"/>
        <v>0</v>
      </c>
      <c r="KO29" s="125">
        <f t="shared" si="581"/>
        <v>0</v>
      </c>
      <c r="KP29" s="125">
        <f t="shared" si="581"/>
        <v>0</v>
      </c>
      <c r="KQ29" s="125">
        <f t="shared" si="581"/>
        <v>0</v>
      </c>
      <c r="KR29" s="125">
        <f t="shared" si="581"/>
        <v>0</v>
      </c>
      <c r="KT29" s="125">
        <f t="shared" ref="KT29:LY29" si="582">SUM(KT9:KT28)</f>
        <v>14</v>
      </c>
      <c r="KU29" s="125">
        <f t="shared" si="582"/>
        <v>0</v>
      </c>
      <c r="KV29" s="125">
        <f t="shared" si="582"/>
        <v>0</v>
      </c>
      <c r="KW29" s="125">
        <f t="shared" si="582"/>
        <v>0</v>
      </c>
      <c r="KX29" s="125">
        <f t="shared" si="582"/>
        <v>0</v>
      </c>
      <c r="KY29" s="125">
        <f t="shared" si="582"/>
        <v>0</v>
      </c>
      <c r="KZ29" s="125">
        <f t="shared" si="582"/>
        <v>0</v>
      </c>
      <c r="LA29" s="125">
        <f t="shared" si="582"/>
        <v>0</v>
      </c>
      <c r="LB29" s="125">
        <f t="shared" si="582"/>
        <v>0</v>
      </c>
      <c r="LC29" s="125">
        <f t="shared" si="582"/>
        <v>0</v>
      </c>
      <c r="LD29" s="125">
        <f t="shared" si="582"/>
        <v>0</v>
      </c>
      <c r="LE29" s="125">
        <f t="shared" si="582"/>
        <v>0</v>
      </c>
      <c r="LF29" s="125">
        <f t="shared" si="582"/>
        <v>0</v>
      </c>
      <c r="LG29" s="125">
        <f t="shared" si="582"/>
        <v>0</v>
      </c>
      <c r="LH29" s="125">
        <f t="shared" si="582"/>
        <v>0</v>
      </c>
      <c r="LI29" s="125">
        <f t="shared" si="582"/>
        <v>0</v>
      </c>
      <c r="LJ29" s="125">
        <f t="shared" si="582"/>
        <v>0</v>
      </c>
      <c r="LK29" s="125">
        <f t="shared" si="582"/>
        <v>0</v>
      </c>
      <c r="LL29" s="125">
        <f t="shared" si="582"/>
        <v>0</v>
      </c>
      <c r="LM29" s="125">
        <f t="shared" si="582"/>
        <v>3</v>
      </c>
      <c r="LN29" s="125">
        <f t="shared" si="582"/>
        <v>3</v>
      </c>
      <c r="LO29" s="125">
        <f t="shared" si="582"/>
        <v>0</v>
      </c>
      <c r="LP29" s="125">
        <f t="shared" si="582"/>
        <v>0</v>
      </c>
      <c r="LQ29" s="125">
        <f t="shared" si="582"/>
        <v>0</v>
      </c>
      <c r="LR29" s="125">
        <f t="shared" si="582"/>
        <v>0</v>
      </c>
      <c r="LS29" s="125">
        <f t="shared" si="582"/>
        <v>0</v>
      </c>
      <c r="LT29" s="125">
        <f t="shared" si="582"/>
        <v>0</v>
      </c>
      <c r="LU29" s="125">
        <f t="shared" si="582"/>
        <v>0</v>
      </c>
      <c r="LV29" s="125">
        <f t="shared" si="582"/>
        <v>0</v>
      </c>
      <c r="LW29" s="125">
        <f t="shared" si="582"/>
        <v>0</v>
      </c>
      <c r="LX29" s="125">
        <f t="shared" si="582"/>
        <v>0</v>
      </c>
      <c r="LY29" s="125">
        <f t="shared" si="582"/>
        <v>0</v>
      </c>
      <c r="LZ29" s="125">
        <f t="shared" ref="LZ29:MX29" si="583">SUM(LZ9:LZ28)</f>
        <v>0</v>
      </c>
      <c r="MA29" s="125">
        <f t="shared" si="583"/>
        <v>0</v>
      </c>
      <c r="MB29" s="125">
        <f t="shared" si="583"/>
        <v>0</v>
      </c>
      <c r="MC29" s="125">
        <f t="shared" si="583"/>
        <v>0</v>
      </c>
      <c r="MD29" s="125">
        <f t="shared" si="583"/>
        <v>0</v>
      </c>
      <c r="ME29" s="125">
        <f t="shared" si="583"/>
        <v>0</v>
      </c>
      <c r="MF29" s="125">
        <f t="shared" si="583"/>
        <v>0</v>
      </c>
      <c r="MG29" s="125">
        <f t="shared" si="583"/>
        <v>0</v>
      </c>
      <c r="MH29" s="125">
        <f t="shared" si="583"/>
        <v>0</v>
      </c>
      <c r="MI29" s="125">
        <f t="shared" si="583"/>
        <v>0</v>
      </c>
      <c r="MJ29" s="125">
        <f t="shared" si="583"/>
        <v>0</v>
      </c>
      <c r="MK29" s="125">
        <f t="shared" si="583"/>
        <v>0</v>
      </c>
      <c r="ML29" s="125">
        <f t="shared" si="583"/>
        <v>0</v>
      </c>
      <c r="MM29" s="125">
        <f t="shared" si="583"/>
        <v>0</v>
      </c>
      <c r="MN29" s="125">
        <f t="shared" si="583"/>
        <v>0</v>
      </c>
      <c r="MO29" s="125">
        <f t="shared" si="583"/>
        <v>0</v>
      </c>
      <c r="MP29" s="125">
        <f t="shared" si="583"/>
        <v>0</v>
      </c>
      <c r="MQ29" s="125">
        <f t="shared" si="583"/>
        <v>0</v>
      </c>
      <c r="MR29" s="125">
        <f t="shared" si="583"/>
        <v>0</v>
      </c>
      <c r="MS29" s="125">
        <f t="shared" si="583"/>
        <v>0</v>
      </c>
      <c r="MT29" s="125">
        <f t="shared" si="583"/>
        <v>0</v>
      </c>
      <c r="MU29" s="125">
        <f t="shared" si="583"/>
        <v>0</v>
      </c>
      <c r="MV29" s="125">
        <f t="shared" si="583"/>
        <v>0</v>
      </c>
      <c r="MW29" s="125">
        <f t="shared" si="583"/>
        <v>0</v>
      </c>
      <c r="MX29" s="125">
        <f t="shared" si="583"/>
        <v>0</v>
      </c>
      <c r="MY29" s="125"/>
      <c r="MZ29" s="125"/>
      <c r="NA29" s="125"/>
      <c r="NB29" s="125">
        <f t="shared" ref="NB29:NK29" si="584">SUM(NB9:NB28)</f>
        <v>0</v>
      </c>
      <c r="NC29" s="125">
        <f t="shared" si="584"/>
        <v>0</v>
      </c>
      <c r="ND29" s="125">
        <f t="shared" si="584"/>
        <v>0</v>
      </c>
      <c r="NE29" s="125">
        <f t="shared" si="584"/>
        <v>0</v>
      </c>
      <c r="NF29" s="125">
        <f t="shared" si="584"/>
        <v>0</v>
      </c>
      <c r="NG29" s="125">
        <f t="shared" si="584"/>
        <v>0</v>
      </c>
      <c r="NH29" s="125">
        <f t="shared" si="584"/>
        <v>0</v>
      </c>
      <c r="NI29" s="125">
        <f t="shared" si="584"/>
        <v>0</v>
      </c>
      <c r="NJ29" s="125">
        <f t="shared" si="584"/>
        <v>0</v>
      </c>
      <c r="NK29" s="125">
        <f t="shared" si="584"/>
        <v>0</v>
      </c>
      <c r="NM29" s="125">
        <f t="shared" ref="NM29:NU29" si="585">SUM(NM9:NM28)</f>
        <v>0</v>
      </c>
      <c r="NN29" s="125">
        <f t="shared" si="585"/>
        <v>1</v>
      </c>
      <c r="NO29" s="125">
        <f t="shared" si="585"/>
        <v>0</v>
      </c>
      <c r="NP29" s="125">
        <f t="shared" si="585"/>
        <v>0</v>
      </c>
      <c r="NQ29" s="125">
        <f t="shared" si="585"/>
        <v>0</v>
      </c>
      <c r="NR29" s="125">
        <f t="shared" si="585"/>
        <v>0</v>
      </c>
      <c r="NS29" s="125">
        <f t="shared" si="585"/>
        <v>13</v>
      </c>
      <c r="NT29" s="125">
        <f t="shared" si="585"/>
        <v>14</v>
      </c>
      <c r="NU29" s="125">
        <f t="shared" si="585"/>
        <v>0</v>
      </c>
      <c r="NZ29" s="153">
        <f>MAX(NZ9:NZ28)</f>
        <v>13770000</v>
      </c>
      <c r="OA29" s="153">
        <f>MIN(NZ9:NZ28)</f>
        <v>8240000</v>
      </c>
      <c r="OB29" s="153">
        <f>AVERAGE(NZ9:NZ28)</f>
        <v>10083333.333333334</v>
      </c>
      <c r="OE29" s="125">
        <f>SUM(OE9:OE28)</f>
        <v>0</v>
      </c>
      <c r="OF29" s="125">
        <f t="shared" ref="OF29:OM29" si="586">SUM(OF9:OF28)</f>
        <v>0</v>
      </c>
      <c r="OG29" s="125">
        <f t="shared" si="586"/>
        <v>0</v>
      </c>
      <c r="OH29" s="125">
        <f t="shared" si="586"/>
        <v>0</v>
      </c>
      <c r="OI29" s="125">
        <f t="shared" si="586"/>
        <v>0</v>
      </c>
      <c r="OJ29" s="125">
        <f t="shared" si="586"/>
        <v>0</v>
      </c>
      <c r="OK29" s="125">
        <f t="shared" si="586"/>
        <v>0</v>
      </c>
      <c r="OL29" s="125">
        <f t="shared" si="586"/>
        <v>0</v>
      </c>
      <c r="OM29" s="125">
        <f t="shared" si="586"/>
        <v>0</v>
      </c>
      <c r="OO29" s="125">
        <f>SUM(OO9:OO28)</f>
        <v>0</v>
      </c>
      <c r="OP29" s="125">
        <f t="shared" ref="OP29" si="587">SUM(OP9:OP28)</f>
        <v>0</v>
      </c>
      <c r="OQ29" s="125">
        <f t="shared" ref="OQ29" si="588">SUM(OQ9:OQ28)</f>
        <v>0</v>
      </c>
      <c r="OR29" s="125">
        <f t="shared" ref="OR29" si="589">SUM(OR9:OR28)</f>
        <v>0</v>
      </c>
      <c r="OS29" s="125">
        <f t="shared" ref="OS29" si="590">SUM(OS9:OS28)</f>
        <v>0</v>
      </c>
      <c r="OT29" s="125">
        <f t="shared" ref="OT29" si="591">SUM(OT9:OT28)</f>
        <v>0</v>
      </c>
      <c r="OU29" s="125">
        <f t="shared" ref="OU29" si="592">SUM(OU9:OU28)</f>
        <v>0</v>
      </c>
      <c r="OV29" s="125">
        <f t="shared" ref="OV29" si="593">SUM(OV9:OV28)</f>
        <v>0</v>
      </c>
      <c r="OW29" s="125">
        <f t="shared" ref="OW29" si="594">SUM(OW9:OW28)</f>
        <v>0</v>
      </c>
      <c r="PA29" s="125">
        <f t="shared" ref="PA29:PL29" si="595">SUM(PA9:PA28)</f>
        <v>4</v>
      </c>
      <c r="PB29" s="125">
        <f t="shared" si="595"/>
        <v>10</v>
      </c>
      <c r="PC29" s="125">
        <f t="shared" si="595"/>
        <v>0</v>
      </c>
      <c r="PD29" s="125">
        <f t="shared" si="595"/>
        <v>10</v>
      </c>
      <c r="PE29" s="125">
        <f t="shared" si="595"/>
        <v>10</v>
      </c>
      <c r="PF29" s="125">
        <f t="shared" si="595"/>
        <v>0</v>
      </c>
      <c r="PG29" s="125">
        <f t="shared" si="595"/>
        <v>120</v>
      </c>
      <c r="PH29" s="125">
        <f t="shared" si="595"/>
        <v>4123</v>
      </c>
      <c r="PI29" s="125">
        <f t="shared" si="595"/>
        <v>0</v>
      </c>
      <c r="PJ29" s="125">
        <f t="shared" si="595"/>
        <v>4123</v>
      </c>
      <c r="PK29" s="125">
        <f t="shared" si="595"/>
        <v>4123</v>
      </c>
      <c r="PL29" s="125">
        <f t="shared" si="595"/>
        <v>0</v>
      </c>
      <c r="PO29" s="125">
        <f t="shared" ref="PO29:PQ29" si="596">SUM(PO9:PO28)</f>
        <v>0</v>
      </c>
      <c r="PP29" s="125">
        <f t="shared" si="596"/>
        <v>0</v>
      </c>
      <c r="PQ29" s="125">
        <f t="shared" si="596"/>
        <v>0</v>
      </c>
    </row>
    <row r="30" spans="1:433" ht="16" x14ac:dyDescent="0.2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6"/>
      <c r="AG30" s="27"/>
      <c r="ED30" s="55" t="s">
        <v>302</v>
      </c>
      <c r="EE30" s="55" t="s">
        <v>376</v>
      </c>
      <c r="EF30" s="56"/>
      <c r="GO30" s="83"/>
      <c r="GP30" s="83"/>
      <c r="GQ30" s="83"/>
      <c r="GR30" s="83"/>
      <c r="GS30" s="83"/>
      <c r="GT30" s="83"/>
      <c r="GU30" s="83"/>
      <c r="GV30" s="83"/>
      <c r="GW30" s="83"/>
      <c r="GX30" s="83"/>
      <c r="GY30" s="83"/>
      <c r="GZ30" s="83"/>
      <c r="HA30" s="83"/>
      <c r="HB30" s="83"/>
      <c r="HC30" s="83"/>
      <c r="HD30" s="83"/>
      <c r="HE30" s="83"/>
      <c r="HF30" s="83"/>
      <c r="HG30" s="83"/>
      <c r="HH30" s="83"/>
      <c r="HI30" s="83"/>
      <c r="HJ30" s="83"/>
      <c r="HK30" s="83"/>
      <c r="HL30" s="83"/>
      <c r="HM30" s="83"/>
      <c r="HN30" s="83"/>
      <c r="HO30" s="83"/>
      <c r="HP30" s="83"/>
      <c r="HQ30" s="83"/>
      <c r="HR30" s="83"/>
      <c r="HS30" s="83"/>
      <c r="HT30" s="83"/>
      <c r="HU30" s="83"/>
      <c r="HV30" s="83"/>
      <c r="HW30" s="83"/>
      <c r="HX30" s="83"/>
      <c r="HY30" s="105"/>
      <c r="HZ30" s="83"/>
      <c r="IA30" s="83"/>
      <c r="IB30" s="83"/>
      <c r="IC30" s="83"/>
      <c r="ID30" s="83"/>
      <c r="IE30" s="83"/>
      <c r="IF30" s="83"/>
      <c r="IG30" s="83"/>
      <c r="IH30" s="83"/>
      <c r="II30" s="83"/>
      <c r="IJ30" s="83"/>
      <c r="IK30" s="83"/>
      <c r="IL30" s="83"/>
      <c r="IM30" s="83"/>
      <c r="IN30" s="83"/>
      <c r="IO30" s="83"/>
      <c r="IP30" s="83"/>
      <c r="IQ30" s="83"/>
      <c r="IR30" s="83"/>
      <c r="IS30" s="83"/>
      <c r="IT30" s="83"/>
      <c r="IU30" s="83"/>
      <c r="IV30" s="83"/>
      <c r="IW30" s="83"/>
      <c r="IX30" s="83"/>
      <c r="IY30" s="83"/>
      <c r="IZ30" s="83"/>
      <c r="JA30" s="83"/>
      <c r="JB30" s="83"/>
      <c r="JC30" s="83"/>
      <c r="JD30" s="83"/>
      <c r="JE30" s="83"/>
      <c r="JF30" s="83"/>
      <c r="JG30" s="83"/>
      <c r="JH30" s="83"/>
      <c r="JI30" s="83"/>
      <c r="JJ30" s="83"/>
      <c r="JK30" s="83"/>
      <c r="JP30" s="124">
        <f>SUM(JQ29:KB29)</f>
        <v>3</v>
      </c>
      <c r="KF30" s="124">
        <f>SUM(KG29:KR29)</f>
        <v>663</v>
      </c>
      <c r="NZ30" t="s">
        <v>593</v>
      </c>
      <c r="OA30" t="s">
        <v>594</v>
      </c>
      <c r="OB30" t="s">
        <v>595</v>
      </c>
    </row>
    <row r="31" spans="1:433" ht="16" x14ac:dyDescent="0.2">
      <c r="Y31" t="s">
        <v>18</v>
      </c>
      <c r="Z31" t="s">
        <v>294</v>
      </c>
      <c r="AG31" s="29">
        <f>COUNTIF(AG9:AG28,"A")</f>
        <v>0</v>
      </c>
      <c r="BW31" t="s">
        <v>344</v>
      </c>
      <c r="CC31" s="29">
        <f>COUNTIF(CC9:CC28,"A")</f>
        <v>0</v>
      </c>
      <c r="ED31" s="55" t="s">
        <v>351</v>
      </c>
      <c r="EE31" s="55" t="s">
        <v>377</v>
      </c>
      <c r="EF31" s="56"/>
      <c r="GO31" s="106">
        <f>GO29</f>
        <v>0</v>
      </c>
      <c r="GP31" s="106">
        <f>GP29-GO29</f>
        <v>0</v>
      </c>
      <c r="GQ31" s="106">
        <f>GQ29-GP29</f>
        <v>0</v>
      </c>
      <c r="GR31" s="106">
        <f>GR29-GQ29</f>
        <v>14</v>
      </c>
      <c r="GS31" s="106">
        <f>GS29-GR29</f>
        <v>0</v>
      </c>
      <c r="GT31" s="106">
        <f>GT29</f>
        <v>6</v>
      </c>
      <c r="GU31" s="83"/>
      <c r="GV31" s="83"/>
      <c r="GW31" s="83"/>
      <c r="GX31" s="83"/>
      <c r="GY31" s="107" t="s">
        <v>464</v>
      </c>
      <c r="GZ31" s="105">
        <f>MAX(GZ9:GZ28)</f>
        <v>43267</v>
      </c>
      <c r="HA31" s="83"/>
      <c r="HB31" s="83"/>
      <c r="HC31" s="83"/>
      <c r="HD31" s="83"/>
      <c r="HE31" s="83"/>
      <c r="HF31" s="83"/>
      <c r="HG31" s="83"/>
      <c r="HH31" s="105">
        <f>MAX(HH9:HH28)</f>
        <v>0</v>
      </c>
      <c r="HI31" s="83"/>
      <c r="HJ31" s="83"/>
      <c r="HK31" s="83"/>
      <c r="HL31" s="83"/>
      <c r="HM31" s="83"/>
      <c r="HN31" s="83"/>
      <c r="HO31" s="83"/>
      <c r="HP31" s="102">
        <f>+$GU$3+$GY$8</f>
        <v>43257</v>
      </c>
      <c r="HQ31" s="106">
        <f>HQ29</f>
        <v>0</v>
      </c>
      <c r="HR31" s="106">
        <f>HR29</f>
        <v>0</v>
      </c>
      <c r="HS31" s="102">
        <f>+$GU$3+$HH$8</f>
        <v>43288</v>
      </c>
      <c r="HT31" s="106">
        <f>HT29</f>
        <v>0</v>
      </c>
      <c r="HU31" s="106">
        <f>HU29</f>
        <v>0</v>
      </c>
      <c r="HV31" s="102">
        <f>+$GU$3+SUM($GY$7:$GY$8)</f>
        <v>43267</v>
      </c>
      <c r="HW31" s="106">
        <f>HW29</f>
        <v>0</v>
      </c>
      <c r="HX31" s="106">
        <f>HX29</f>
        <v>0</v>
      </c>
      <c r="HY31" s="102">
        <f>+$GU$3+SUM($GY$7:$GY$8)+$HI$8</f>
        <v>43312</v>
      </c>
      <c r="HZ31" s="106">
        <f>HZ29</f>
        <v>0</v>
      </c>
      <c r="IA31" s="106">
        <f>IA29</f>
        <v>0</v>
      </c>
      <c r="IB31" s="102">
        <f>+$GU$3+SUM($GY$6:$GY$8)</f>
        <v>43277</v>
      </c>
      <c r="IC31" s="106">
        <f>IC29</f>
        <v>0</v>
      </c>
      <c r="ID31" s="106">
        <f>ID29</f>
        <v>0</v>
      </c>
      <c r="IE31" s="102">
        <f>+$GU$3+SUM($GY$6:$GY$8)+$HI$8</f>
        <v>43322</v>
      </c>
      <c r="IF31" s="106">
        <f>IF29</f>
        <v>0</v>
      </c>
      <c r="IG31" s="106">
        <f>IG29</f>
        <v>0</v>
      </c>
      <c r="IH31" s="102">
        <f>+$GU$3+SUM($GY$5:$GY$8)</f>
        <v>43297</v>
      </c>
      <c r="II31" s="106">
        <f>II29</f>
        <v>0</v>
      </c>
      <c r="IJ31" s="106">
        <f>IJ29</f>
        <v>0</v>
      </c>
      <c r="IK31" s="102">
        <f>+$GU$3+SUM($GY$5:$GY$8)+$HI$8</f>
        <v>43342</v>
      </c>
      <c r="IL31" s="106">
        <f>IL29</f>
        <v>0</v>
      </c>
      <c r="IM31" s="106">
        <f>IM29</f>
        <v>0</v>
      </c>
      <c r="IN31" s="83"/>
      <c r="IO31" s="102">
        <f>+$GU$3+$HH$8</f>
        <v>43288</v>
      </c>
      <c r="IP31" s="106">
        <f>IP29</f>
        <v>0</v>
      </c>
      <c r="IQ31" s="106">
        <f>IQ29</f>
        <v>0</v>
      </c>
      <c r="IR31" s="83"/>
      <c r="IS31" s="102"/>
      <c r="IT31" s="106">
        <f>IT29</f>
        <v>6</v>
      </c>
      <c r="IU31" s="106">
        <f>IU29</f>
        <v>1663</v>
      </c>
      <c r="IV31" s="83"/>
      <c r="IW31" s="102"/>
      <c r="IX31" s="106">
        <f>IX29</f>
        <v>0</v>
      </c>
      <c r="IY31" s="106">
        <f>IY29</f>
        <v>0</v>
      </c>
      <c r="IZ31" s="83"/>
      <c r="JA31" s="102"/>
      <c r="JB31" s="106">
        <f>JB29</f>
        <v>14</v>
      </c>
      <c r="JC31" s="106">
        <f>JC29</f>
        <v>4243</v>
      </c>
      <c r="JD31" s="83"/>
      <c r="JE31" s="102"/>
      <c r="JF31" s="106">
        <f>JF29</f>
        <v>20</v>
      </c>
      <c r="JG31" s="106">
        <f>JG29</f>
        <v>5906</v>
      </c>
      <c r="JH31" s="83"/>
      <c r="JI31" s="102"/>
      <c r="JJ31" s="66">
        <f>JJ29</f>
        <v>0</v>
      </c>
      <c r="JK31" s="66">
        <f>JK29</f>
        <v>0</v>
      </c>
    </row>
    <row r="32" spans="1:433" x14ac:dyDescent="0.2">
      <c r="D32" s="29"/>
      <c r="E32" s="29"/>
      <c r="F32" s="29"/>
      <c r="G32" s="29"/>
      <c r="H32" s="29"/>
      <c r="I32" s="29"/>
      <c r="J32" s="29"/>
      <c r="K32" s="29"/>
      <c r="L32" s="29"/>
      <c r="M32" s="29"/>
      <c r="R32" s="29"/>
      <c r="S32" s="29"/>
      <c r="T32" s="29"/>
      <c r="U32" s="29"/>
      <c r="V32" s="29"/>
      <c r="W32" s="29"/>
      <c r="X32" s="29"/>
      <c r="Y32" t="s">
        <v>18</v>
      </c>
      <c r="Z32" t="s">
        <v>295</v>
      </c>
      <c r="AG32" s="29">
        <f>COUNTIF(AG9:AG28,"b")</f>
        <v>0</v>
      </c>
      <c r="AH32" s="29"/>
      <c r="AI32" s="29"/>
      <c r="AJ32" s="29"/>
      <c r="AK32" s="29"/>
      <c r="AL32" s="29"/>
      <c r="BW32" t="s">
        <v>345</v>
      </c>
      <c r="CC32" s="29">
        <f>COUNTIF(CC9:CC28,"b")</f>
        <v>0</v>
      </c>
      <c r="GO32" s="83"/>
      <c r="GP32" s="83"/>
      <c r="GQ32" s="83"/>
      <c r="GR32" s="83"/>
      <c r="GS32" s="83"/>
      <c r="GT32" s="106">
        <f>SUM(GO31:GT31)</f>
        <v>20</v>
      </c>
      <c r="GU32" s="83"/>
      <c r="GV32" s="83"/>
      <c r="GW32" s="83"/>
      <c r="GX32" s="83"/>
      <c r="GY32" s="107" t="s">
        <v>465</v>
      </c>
      <c r="GZ32" s="105">
        <f>MIN(GZ9:GZ28)</f>
        <v>43267</v>
      </c>
      <c r="HA32" s="83"/>
      <c r="HB32" s="83"/>
      <c r="HC32" s="83"/>
      <c r="HD32" s="83"/>
      <c r="HE32" s="83"/>
      <c r="HF32" s="83"/>
      <c r="HG32" s="83"/>
      <c r="HH32" s="105">
        <f>MIN(HH9:HH28)</f>
        <v>0</v>
      </c>
      <c r="HI32" s="83"/>
      <c r="HJ32" s="83"/>
      <c r="HK32" s="83"/>
      <c r="HL32" s="83"/>
      <c r="HM32" s="83"/>
      <c r="HN32" s="83"/>
      <c r="HO32" s="83"/>
      <c r="HP32" s="83"/>
      <c r="HQ32" s="83"/>
      <c r="HR32" s="83"/>
      <c r="HS32" s="83"/>
      <c r="HT32" s="83"/>
      <c r="HU32" s="83"/>
      <c r="HV32" s="83"/>
      <c r="HW32" s="83"/>
      <c r="HX32" s="83"/>
      <c r="HY32" s="83"/>
      <c r="HZ32" s="83"/>
      <c r="IA32" s="83"/>
      <c r="IB32" s="83"/>
      <c r="IC32" s="83"/>
      <c r="ID32" s="83"/>
      <c r="IE32" s="83"/>
      <c r="IF32" s="83"/>
      <c r="IG32" s="83"/>
      <c r="IH32" s="83"/>
      <c r="II32" s="83"/>
      <c r="IJ32" s="83"/>
      <c r="IK32" s="83"/>
      <c r="IL32" s="83"/>
      <c r="IM32" s="83"/>
      <c r="IN32" s="83"/>
      <c r="IO32" s="83"/>
      <c r="IP32" s="83"/>
      <c r="IQ32" s="83"/>
      <c r="IR32" s="83"/>
      <c r="IS32" s="83"/>
      <c r="IT32" s="83"/>
      <c r="IU32" s="83"/>
      <c r="IV32" s="83"/>
      <c r="IW32" s="83"/>
      <c r="IX32" s="83"/>
      <c r="IY32" s="83"/>
      <c r="IZ32" s="83"/>
      <c r="JA32" s="83"/>
      <c r="JB32" s="83"/>
      <c r="JC32" s="83"/>
      <c r="JD32" s="83"/>
      <c r="JE32" s="83"/>
      <c r="JF32" s="83"/>
      <c r="JG32" s="83"/>
      <c r="JH32" s="83"/>
      <c r="JI32" s="83"/>
      <c r="JJ32" s="83"/>
      <c r="JK32" s="83"/>
    </row>
    <row r="33" spans="10:271" x14ac:dyDescent="0.2">
      <c r="Y33" t="s">
        <v>18</v>
      </c>
      <c r="Z33" t="s">
        <v>296</v>
      </c>
      <c r="AG33" s="29">
        <f>COUNTIF(AG9:AG28,"c")</f>
        <v>0</v>
      </c>
      <c r="BW33" t="s">
        <v>346</v>
      </c>
      <c r="CC33" s="29">
        <f>COUNTIF(CC9:CC28,"c")</f>
        <v>0</v>
      </c>
      <c r="GO33" s="83"/>
      <c r="GP33" s="83"/>
      <c r="GQ33" s="83"/>
      <c r="GR33" s="83"/>
      <c r="GS33" s="83"/>
      <c r="GT33" s="83"/>
      <c r="GU33" s="83"/>
      <c r="GV33" s="83"/>
      <c r="GW33" s="83"/>
      <c r="GX33" s="83"/>
      <c r="GY33" s="83"/>
      <c r="GZ33" s="83"/>
      <c r="HA33" s="83"/>
      <c r="HB33" s="83"/>
      <c r="HC33" s="83"/>
      <c r="HD33" s="83"/>
      <c r="HE33" s="83"/>
      <c r="HF33" s="83"/>
      <c r="HG33" s="83"/>
      <c r="HH33" s="83"/>
      <c r="HI33" s="83"/>
      <c r="HJ33" s="83"/>
      <c r="HK33" s="83"/>
      <c r="HL33" s="83"/>
      <c r="HM33" s="83"/>
      <c r="HN33" s="83"/>
      <c r="HO33" s="83"/>
      <c r="HP33" s="83"/>
      <c r="HQ33" s="83"/>
      <c r="HR33" s="83"/>
      <c r="HS33" s="83"/>
      <c r="HT33" s="83"/>
      <c r="HU33" s="83"/>
      <c r="HV33" s="83"/>
      <c r="HW33" s="83"/>
      <c r="HX33" s="83"/>
      <c r="HY33" s="83"/>
      <c r="HZ33" s="83"/>
      <c r="IA33" s="83"/>
      <c r="IB33" s="83"/>
      <c r="IC33" s="83"/>
      <c r="ID33" s="83"/>
      <c r="IE33" s="83"/>
      <c r="IF33" s="83"/>
      <c r="IG33" s="83"/>
      <c r="IH33" s="83"/>
      <c r="II33" s="83"/>
      <c r="IJ33" s="83"/>
      <c r="IK33" s="83"/>
      <c r="IL33" s="83"/>
      <c r="IM33" s="83"/>
      <c r="IN33" s="83"/>
      <c r="IO33" s="83"/>
      <c r="IP33" s="83"/>
      <c r="IQ33" s="83"/>
      <c r="IR33" s="83"/>
      <c r="IS33" s="83"/>
      <c r="IT33" s="83"/>
      <c r="IU33" s="83"/>
      <c r="IV33" s="83"/>
      <c r="IW33" s="83"/>
      <c r="IX33" s="83"/>
      <c r="IY33" s="83"/>
      <c r="IZ33" s="83"/>
      <c r="JA33" s="83"/>
      <c r="JB33" s="83"/>
      <c r="JC33" s="83"/>
      <c r="JD33" s="83"/>
      <c r="JE33" s="83"/>
      <c r="JF33" s="83"/>
      <c r="JG33" s="83"/>
      <c r="JH33" s="83"/>
      <c r="JI33" s="83"/>
      <c r="JJ33" s="83"/>
      <c r="JK33" s="83"/>
    </row>
    <row r="34" spans="10:271" x14ac:dyDescent="0.2">
      <c r="Y34" t="s">
        <v>18</v>
      </c>
      <c r="Z34" t="s">
        <v>297</v>
      </c>
      <c r="AG34" s="29">
        <f>COUNTIF(AG9:AG28,"D")</f>
        <v>0</v>
      </c>
      <c r="BW34" t="s">
        <v>347</v>
      </c>
      <c r="CC34" s="29">
        <f>COUNTIF(CC9:CC28,"D")</f>
        <v>0</v>
      </c>
      <c r="GO34" s="83"/>
      <c r="GP34" s="83"/>
      <c r="GQ34" s="83"/>
      <c r="GR34" s="83"/>
      <c r="GS34" s="83"/>
      <c r="GT34" s="83"/>
      <c r="GU34" s="83"/>
      <c r="GV34" s="83"/>
      <c r="GW34" s="83"/>
      <c r="GX34" s="107" t="s">
        <v>434</v>
      </c>
      <c r="GY34" s="105">
        <f>$GU$3+SUM($GY$4:$GY$8)</f>
        <v>43317</v>
      </c>
      <c r="GZ34" s="83">
        <f t="shared" ref="GZ34:GZ39" si="597">COUNTIF($GZ$9:$GZ$28,GY34)</f>
        <v>0</v>
      </c>
      <c r="HA34" s="83"/>
      <c r="HB34" s="83"/>
      <c r="HC34" s="83"/>
      <c r="HD34" s="83"/>
      <c r="HE34" s="83"/>
      <c r="HF34" s="107"/>
      <c r="HG34" s="105"/>
      <c r="HH34" s="83"/>
      <c r="HI34" s="83">
        <f t="shared" ref="HI34:HI39" si="598">COUNTIF($HI$9:$HI$28,HK34)</f>
        <v>0</v>
      </c>
      <c r="HJ34" s="83"/>
      <c r="HK34" s="105">
        <f>GY34+$HI$8</f>
        <v>43362</v>
      </c>
      <c r="HL34" s="83"/>
      <c r="HM34" s="83"/>
      <c r="HN34" s="83"/>
      <c r="HO34" s="83"/>
      <c r="HP34" s="83"/>
      <c r="HQ34" s="83"/>
      <c r="HR34" s="83"/>
      <c r="HS34" s="83"/>
      <c r="HT34" s="83"/>
      <c r="HU34" s="83"/>
      <c r="HV34" s="83"/>
      <c r="HW34" s="83"/>
      <c r="HX34" s="83"/>
      <c r="HY34" s="83"/>
      <c r="HZ34" s="83"/>
      <c r="IA34" s="83"/>
      <c r="IB34" s="83"/>
      <c r="IC34" s="83"/>
      <c r="ID34" s="83"/>
      <c r="IE34" s="83"/>
      <c r="IF34" s="83"/>
      <c r="IG34" s="83"/>
      <c r="IH34" s="83"/>
      <c r="II34" s="83"/>
      <c r="IJ34" s="83"/>
      <c r="IK34" s="83"/>
      <c r="IL34" s="83"/>
      <c r="IM34" s="83"/>
      <c r="IN34" s="83"/>
      <c r="IO34" s="83"/>
      <c r="IP34" s="83"/>
      <c r="IQ34" s="83"/>
      <c r="IR34" s="83"/>
      <c r="IS34" s="83"/>
      <c r="IT34" s="83"/>
      <c r="IU34" s="83"/>
      <c r="IV34" s="83"/>
      <c r="IW34" s="83"/>
      <c r="IX34" s="83"/>
      <c r="IY34" s="83"/>
      <c r="IZ34" s="83"/>
      <c r="JA34" s="83"/>
      <c r="JB34" s="83"/>
      <c r="JC34" s="83"/>
      <c r="JD34" s="83"/>
      <c r="JE34" s="83"/>
      <c r="JF34" s="83"/>
      <c r="JG34" s="83"/>
      <c r="JH34" s="83"/>
      <c r="JI34" s="83"/>
      <c r="JJ34" s="83"/>
      <c r="JK34" s="83"/>
    </row>
    <row r="35" spans="10:271" x14ac:dyDescent="0.2">
      <c r="J35" s="195"/>
      <c r="K35" s="195"/>
      <c r="L35" s="195"/>
      <c r="M35" s="195"/>
      <c r="N35" s="195"/>
      <c r="AG35" s="29"/>
      <c r="BW35" t="s">
        <v>348</v>
      </c>
      <c r="CC35" s="29">
        <f>COUNTIF(CC9:CC28,"E")</f>
        <v>0</v>
      </c>
      <c r="GO35" s="83"/>
      <c r="GP35" s="83"/>
      <c r="GQ35" s="83"/>
      <c r="GR35" s="83"/>
      <c r="GS35" s="83"/>
      <c r="GT35" s="83"/>
      <c r="GU35" s="83"/>
      <c r="GV35" s="83"/>
      <c r="GW35" s="83"/>
      <c r="GX35" s="83" t="s">
        <v>440</v>
      </c>
      <c r="GY35" s="105">
        <f>+$GU$3+SUM($GY$5:$GY$8)</f>
        <v>43297</v>
      </c>
      <c r="GZ35" s="83">
        <f t="shared" si="597"/>
        <v>0</v>
      </c>
      <c r="HA35" s="83"/>
      <c r="HB35" s="83"/>
      <c r="HC35" s="83"/>
      <c r="HD35" s="83"/>
      <c r="HE35" s="83"/>
      <c r="HF35" s="83"/>
      <c r="HG35" s="105"/>
      <c r="HH35" s="83"/>
      <c r="HI35" s="83">
        <f t="shared" si="598"/>
        <v>0</v>
      </c>
      <c r="HJ35" s="83"/>
      <c r="HK35" s="105">
        <f t="shared" ref="HK35:HK38" si="599">GY35+$HI$8</f>
        <v>43342</v>
      </c>
      <c r="HL35" s="83"/>
      <c r="HM35" s="83"/>
      <c r="HN35" s="83"/>
      <c r="HO35" s="83"/>
      <c r="HP35" s="83"/>
      <c r="HQ35" s="83"/>
      <c r="HR35" s="83"/>
      <c r="HS35" s="83"/>
      <c r="HT35" s="83"/>
      <c r="HU35" s="83"/>
      <c r="HV35" s="83"/>
      <c r="HW35" s="83"/>
      <c r="HX35" s="83"/>
      <c r="HY35" s="83"/>
      <c r="HZ35" s="83"/>
      <c r="IA35" s="83"/>
      <c r="IB35" s="83"/>
      <c r="IC35" s="83"/>
      <c r="ID35" s="83"/>
      <c r="IE35" s="83"/>
      <c r="IF35" s="83"/>
      <c r="IG35" s="83"/>
      <c r="IH35" s="83"/>
      <c r="II35" s="83"/>
      <c r="IJ35" s="83"/>
      <c r="IK35" s="83"/>
      <c r="IL35" s="83"/>
      <c r="IM35" s="83"/>
      <c r="IN35" s="83"/>
      <c r="IO35" s="83"/>
      <c r="IP35" s="83"/>
      <c r="IQ35" s="83"/>
      <c r="IR35" s="83"/>
      <c r="IS35" s="83"/>
      <c r="IT35" s="83"/>
      <c r="IU35" s="83"/>
      <c r="IV35" s="83"/>
      <c r="IW35" s="83"/>
      <c r="IX35" s="83"/>
      <c r="IY35" s="83"/>
      <c r="IZ35" s="83"/>
      <c r="JA35" s="83"/>
      <c r="JB35" s="83"/>
      <c r="JC35" s="83"/>
      <c r="JD35" s="83"/>
      <c r="JE35" s="83"/>
      <c r="JF35" s="83"/>
      <c r="JG35" s="83"/>
      <c r="JH35" s="83"/>
      <c r="JI35" s="83"/>
      <c r="JJ35" s="83"/>
      <c r="JK35" s="83"/>
    </row>
    <row r="36" spans="10:271" x14ac:dyDescent="0.2">
      <c r="J36" s="195"/>
      <c r="K36" s="195"/>
      <c r="L36" s="195"/>
      <c r="M36" s="195"/>
      <c r="N36" s="195"/>
      <c r="Y36" t="s">
        <v>18</v>
      </c>
      <c r="Z36" t="s">
        <v>299</v>
      </c>
      <c r="AG36" s="29">
        <f>SUM(AG31:AG35)</f>
        <v>0</v>
      </c>
      <c r="BW36" t="s">
        <v>299</v>
      </c>
      <c r="CC36" s="29">
        <f>SUM(CC31:CC35)</f>
        <v>0</v>
      </c>
      <c r="GO36" s="83"/>
      <c r="GP36" s="83"/>
      <c r="GQ36" s="83"/>
      <c r="GR36" s="83"/>
      <c r="GS36" s="83"/>
      <c r="GT36" s="83"/>
      <c r="GU36" s="83"/>
      <c r="GV36" s="83"/>
      <c r="GW36" s="83"/>
      <c r="GX36" s="83" t="s">
        <v>7</v>
      </c>
      <c r="GY36" s="105">
        <f>$GU$3+SUM($GY$6:$GY$8)</f>
        <v>43277</v>
      </c>
      <c r="GZ36" s="83">
        <f t="shared" si="597"/>
        <v>0</v>
      </c>
      <c r="HA36" s="83"/>
      <c r="HB36" s="83"/>
      <c r="HC36" s="83"/>
      <c r="HD36" s="83"/>
      <c r="HE36" s="83"/>
      <c r="HF36" s="83"/>
      <c r="HG36" s="105"/>
      <c r="HH36" s="83"/>
      <c r="HI36" s="83">
        <f t="shared" si="598"/>
        <v>0</v>
      </c>
      <c r="HJ36" s="83"/>
      <c r="HK36" s="105">
        <f t="shared" si="599"/>
        <v>43322</v>
      </c>
      <c r="HL36" s="83"/>
      <c r="HM36" s="83"/>
      <c r="HN36" s="83"/>
      <c r="HO36" s="83"/>
      <c r="HP36" s="83"/>
      <c r="HQ36" s="83"/>
      <c r="HR36" s="83"/>
      <c r="HS36" s="83"/>
      <c r="HT36" s="83"/>
      <c r="HU36" s="83"/>
      <c r="HV36" s="83"/>
      <c r="HW36" s="83"/>
      <c r="HX36" s="83"/>
      <c r="HY36" s="83"/>
      <c r="HZ36" s="83"/>
      <c r="IA36" s="83"/>
      <c r="IB36" s="83"/>
      <c r="IC36" s="83"/>
      <c r="ID36" s="83"/>
      <c r="IE36" s="83"/>
      <c r="IF36" s="83"/>
      <c r="IG36" s="83"/>
      <c r="IH36" s="83"/>
      <c r="II36" s="83"/>
      <c r="IJ36" s="83"/>
      <c r="IK36" s="83"/>
      <c r="IL36" s="83"/>
      <c r="IM36" s="83"/>
      <c r="IN36" s="83"/>
      <c r="IO36" s="83"/>
      <c r="IP36" s="83"/>
      <c r="IQ36" s="83"/>
      <c r="IR36" s="83"/>
      <c r="IS36" s="83"/>
      <c r="IT36" s="83"/>
      <c r="IU36" s="83"/>
      <c r="IV36" s="83"/>
      <c r="IW36" s="83"/>
      <c r="IX36" s="83"/>
      <c r="IY36" s="83"/>
      <c r="IZ36" s="83"/>
      <c r="JA36" s="83"/>
      <c r="JB36" s="83"/>
      <c r="JC36" s="83"/>
      <c r="JD36" s="83"/>
      <c r="JE36" s="83"/>
      <c r="JF36" s="83"/>
      <c r="JG36" s="83"/>
      <c r="JH36" s="83"/>
      <c r="JI36" s="83"/>
      <c r="JJ36" s="83"/>
      <c r="JK36" s="83"/>
    </row>
    <row r="37" spans="10:271" x14ac:dyDescent="0.2">
      <c r="J37" s="195"/>
      <c r="K37" s="195"/>
      <c r="L37" s="195"/>
      <c r="M37" s="195"/>
      <c r="N37" s="195"/>
      <c r="GO37" s="83"/>
      <c r="GP37" s="83"/>
      <c r="GQ37" s="83"/>
      <c r="GR37" s="83"/>
      <c r="GS37" s="83"/>
      <c r="GT37" s="83"/>
      <c r="GU37" s="83"/>
      <c r="GV37" s="83"/>
      <c r="GW37" s="83"/>
      <c r="GX37" s="83" t="s">
        <v>265</v>
      </c>
      <c r="GY37" s="105">
        <f>$GU$3+SUM($GY$7:$GY$8)</f>
        <v>43267</v>
      </c>
      <c r="GZ37" s="83">
        <f t="shared" si="597"/>
        <v>14</v>
      </c>
      <c r="HA37" s="83"/>
      <c r="HB37" s="83"/>
      <c r="HC37" s="83"/>
      <c r="HD37" s="83"/>
      <c r="HE37" s="83"/>
      <c r="HF37" s="83"/>
      <c r="HG37" s="105"/>
      <c r="HH37" s="83"/>
      <c r="HI37" s="83">
        <f t="shared" si="598"/>
        <v>14</v>
      </c>
      <c r="HJ37" s="83"/>
      <c r="HK37" s="105">
        <f t="shared" si="599"/>
        <v>43312</v>
      </c>
      <c r="HL37" s="83"/>
      <c r="HM37" s="83"/>
      <c r="HN37" s="83"/>
      <c r="HO37" s="83"/>
      <c r="HP37" s="83"/>
      <c r="HQ37" s="83"/>
      <c r="HR37" s="83"/>
      <c r="HS37" s="83"/>
      <c r="HT37" s="83"/>
      <c r="HU37" s="83"/>
      <c r="HV37" s="83"/>
      <c r="HW37" s="83"/>
      <c r="HX37" s="83"/>
      <c r="HY37" s="83"/>
      <c r="HZ37" s="83"/>
      <c r="IA37" s="83"/>
      <c r="IB37" s="83"/>
      <c r="IC37" s="83"/>
      <c r="ID37" s="83"/>
      <c r="IE37" s="83"/>
      <c r="IF37" s="83"/>
      <c r="IG37" s="83"/>
      <c r="IH37" s="83"/>
      <c r="II37" s="83"/>
      <c r="IJ37" s="83"/>
      <c r="IK37" s="83"/>
      <c r="IL37" s="83"/>
      <c r="IM37" s="83"/>
      <c r="IN37" s="83"/>
      <c r="IO37" s="83"/>
      <c r="IP37" s="83"/>
      <c r="IQ37" s="83"/>
      <c r="IR37" s="83"/>
      <c r="IS37" s="83"/>
      <c r="IT37" s="83"/>
      <c r="IU37" s="83"/>
      <c r="IV37" s="83"/>
      <c r="IW37" s="83"/>
      <c r="IX37" s="83"/>
      <c r="IY37" s="83"/>
      <c r="IZ37" s="83"/>
      <c r="JA37" s="83"/>
      <c r="JB37" s="83"/>
      <c r="JC37" s="83"/>
      <c r="JD37" s="83"/>
      <c r="JE37" s="83"/>
      <c r="JF37" s="83"/>
      <c r="JG37" s="83"/>
      <c r="JH37" s="83"/>
      <c r="JI37" s="83"/>
      <c r="JJ37" s="83"/>
      <c r="JK37" s="83"/>
    </row>
    <row r="38" spans="10:271" x14ac:dyDescent="0.2">
      <c r="J38" s="195"/>
      <c r="K38" s="195"/>
      <c r="L38" s="195"/>
      <c r="M38" s="195"/>
      <c r="N38" s="195"/>
      <c r="GO38" s="83"/>
      <c r="GP38" s="83"/>
      <c r="GQ38" s="83"/>
      <c r="GR38" s="83"/>
      <c r="GS38" s="83"/>
      <c r="GT38" s="83"/>
      <c r="GU38" s="83"/>
      <c r="GV38" s="83"/>
      <c r="GW38" s="83"/>
      <c r="GX38" s="83" t="s">
        <v>447</v>
      </c>
      <c r="GY38" s="105">
        <f>$GU$3+$GY$8</f>
        <v>43257</v>
      </c>
      <c r="GZ38" s="83">
        <f t="shared" si="597"/>
        <v>0</v>
      </c>
      <c r="HA38" s="83"/>
      <c r="HB38" s="83"/>
      <c r="HC38" s="83"/>
      <c r="HD38" s="105">
        <f>$GU$3+$HH$8</f>
        <v>43288</v>
      </c>
      <c r="HE38" s="83"/>
      <c r="HF38" s="83"/>
      <c r="HG38" s="83"/>
      <c r="HH38" s="83">
        <f>COUNTIF($HH$9:$HH$28,HD38)</f>
        <v>0</v>
      </c>
      <c r="HI38" s="83">
        <f t="shared" si="598"/>
        <v>0</v>
      </c>
      <c r="HJ38" s="83"/>
      <c r="HK38" s="105">
        <f t="shared" si="599"/>
        <v>43302</v>
      </c>
      <c r="HL38" s="83"/>
      <c r="HM38" s="83"/>
      <c r="HN38" s="83"/>
      <c r="HO38" s="83"/>
      <c r="HP38" s="83"/>
      <c r="HQ38" s="83"/>
      <c r="HR38" s="83"/>
      <c r="HS38" s="83"/>
      <c r="HT38" s="83"/>
      <c r="HU38" s="83"/>
      <c r="HV38" s="83"/>
      <c r="HW38" s="83"/>
      <c r="HX38" s="83"/>
      <c r="HY38" s="83"/>
      <c r="HZ38" s="83"/>
      <c r="IA38" s="83"/>
      <c r="IB38" s="83"/>
      <c r="IC38" s="83"/>
      <c r="ID38" s="83"/>
      <c r="IE38" s="83"/>
      <c r="IF38" s="83"/>
      <c r="IG38" s="83"/>
      <c r="IH38" s="83"/>
      <c r="II38" s="83"/>
      <c r="IJ38" s="83"/>
      <c r="IK38" s="83"/>
      <c r="IL38" s="83"/>
      <c r="IM38" s="83"/>
      <c r="IN38" s="83"/>
      <c r="IO38" s="83"/>
      <c r="IP38" s="83"/>
      <c r="IQ38" s="83"/>
      <c r="IR38" s="83"/>
      <c r="IS38" s="83"/>
      <c r="IT38" s="83"/>
      <c r="IU38" s="83"/>
      <c r="IV38" s="83"/>
      <c r="IW38" s="83"/>
      <c r="IX38" s="83"/>
      <c r="IY38" s="83"/>
      <c r="IZ38" s="83"/>
      <c r="JA38" s="83"/>
      <c r="JB38" s="83"/>
      <c r="JC38" s="83"/>
      <c r="JD38" s="83"/>
      <c r="JE38" s="83"/>
      <c r="JF38" s="83"/>
      <c r="JG38" s="83"/>
      <c r="JH38" s="83"/>
      <c r="JI38" s="83"/>
      <c r="JJ38" s="83"/>
      <c r="JK38" s="83"/>
    </row>
    <row r="39" spans="10:271" x14ac:dyDescent="0.2">
      <c r="J39" s="195"/>
      <c r="K39" s="195"/>
      <c r="L39" s="195"/>
      <c r="M39" s="195"/>
      <c r="N39" s="195"/>
      <c r="GO39" s="83"/>
      <c r="GP39" s="83"/>
      <c r="GQ39" s="83"/>
      <c r="GR39" s="83"/>
      <c r="GS39" s="83"/>
      <c r="GT39" s="83"/>
      <c r="GU39" s="83"/>
      <c r="GV39" s="83"/>
      <c r="GW39" s="83"/>
      <c r="GX39" s="107" t="s">
        <v>448</v>
      </c>
      <c r="GY39" s="107" t="s">
        <v>448</v>
      </c>
      <c r="GZ39" s="83">
        <f t="shared" si="597"/>
        <v>6</v>
      </c>
      <c r="HA39" s="83"/>
      <c r="HB39" s="83"/>
      <c r="HC39" s="83"/>
      <c r="HD39" s="107" t="s">
        <v>466</v>
      </c>
      <c r="HE39" s="83"/>
      <c r="HF39" s="83"/>
      <c r="HG39" s="83"/>
      <c r="HH39" s="83">
        <f>COUNTIF($HH$9:$HH$28,HD39)</f>
        <v>20</v>
      </c>
      <c r="HI39" s="83">
        <f t="shared" si="598"/>
        <v>6</v>
      </c>
      <c r="HJ39" s="83"/>
      <c r="HK39" s="108" t="s">
        <v>448</v>
      </c>
      <c r="HL39" s="83"/>
      <c r="HM39" s="83"/>
      <c r="HN39" s="83"/>
      <c r="HO39" s="83"/>
      <c r="HP39" s="83"/>
      <c r="HQ39" s="83"/>
      <c r="HR39" s="83"/>
      <c r="HS39" s="83"/>
      <c r="HT39" s="83"/>
      <c r="HU39" s="83"/>
      <c r="HV39" s="83"/>
      <c r="HW39" s="83"/>
      <c r="HX39" s="83"/>
      <c r="HY39" s="83"/>
      <c r="HZ39" s="83"/>
      <c r="IA39" s="83"/>
      <c r="IB39" s="83"/>
      <c r="IC39" s="83"/>
      <c r="ID39" s="83"/>
      <c r="IE39" s="83"/>
      <c r="IF39" s="83"/>
      <c r="IG39" s="83"/>
      <c r="IH39" s="83"/>
      <c r="II39" s="83"/>
      <c r="IJ39" s="83"/>
      <c r="IK39" s="83"/>
      <c r="IL39" s="83"/>
      <c r="IM39" s="83"/>
      <c r="IN39" s="83"/>
      <c r="IO39" s="83"/>
      <c r="IP39" s="83"/>
      <c r="IQ39" s="83"/>
      <c r="IR39" s="83"/>
      <c r="IS39" s="83"/>
      <c r="IT39" s="83"/>
      <c r="IU39" s="83"/>
      <c r="IV39" s="83"/>
      <c r="IW39" s="83"/>
      <c r="IX39" s="83"/>
      <c r="IY39" s="83"/>
      <c r="IZ39" s="83"/>
      <c r="JA39" s="83"/>
      <c r="JB39" s="83"/>
      <c r="JC39" s="83"/>
      <c r="JD39" s="83"/>
      <c r="JE39" s="83"/>
      <c r="JF39" s="83"/>
      <c r="JG39" s="83"/>
      <c r="JH39" s="83"/>
      <c r="JI39" s="83"/>
      <c r="JJ39" s="83"/>
      <c r="JK39" s="83"/>
    </row>
    <row r="40" spans="10:271" x14ac:dyDescent="0.2">
      <c r="J40" s="195"/>
      <c r="K40" s="195"/>
      <c r="L40" s="195"/>
      <c r="M40" s="195"/>
      <c r="N40" s="195"/>
      <c r="GO40" s="83"/>
      <c r="GP40" s="83"/>
      <c r="GQ40" s="83"/>
      <c r="GR40" s="83"/>
      <c r="GS40" s="83"/>
      <c r="GT40" s="83"/>
      <c r="GU40" s="83"/>
      <c r="GV40" s="83"/>
      <c r="GW40" s="83"/>
      <c r="GX40" s="83"/>
      <c r="GY40" s="83"/>
      <c r="GZ40" s="83">
        <f>SUM(GZ34:GZ39)</f>
        <v>20</v>
      </c>
      <c r="HA40" s="83"/>
      <c r="HB40" s="83"/>
      <c r="HC40" s="83"/>
      <c r="HD40" s="83"/>
      <c r="HE40" s="83"/>
      <c r="HF40" s="83"/>
      <c r="HG40" s="83"/>
      <c r="HH40" s="83">
        <f>SUM(HH34:HH39)</f>
        <v>20</v>
      </c>
      <c r="HI40" s="83">
        <f>SUM(HI34:HI39)</f>
        <v>20</v>
      </c>
      <c r="HJ40" s="83"/>
      <c r="HK40" s="105"/>
      <c r="HL40" s="83"/>
      <c r="HM40" s="83"/>
      <c r="HN40" s="83"/>
      <c r="HO40" s="83"/>
      <c r="HP40" s="83"/>
      <c r="HQ40" s="83"/>
      <c r="HR40" s="83"/>
      <c r="HS40" s="83"/>
      <c r="HT40" s="83"/>
      <c r="HU40" s="83"/>
      <c r="HV40" s="83"/>
      <c r="HW40" s="83"/>
      <c r="HX40" s="83"/>
      <c r="HY40" s="83"/>
      <c r="HZ40" s="83"/>
      <c r="IA40" s="83"/>
      <c r="IB40" s="83"/>
      <c r="IC40" s="83"/>
      <c r="ID40" s="83"/>
      <c r="IE40" s="83"/>
      <c r="IF40" s="83"/>
      <c r="IG40" s="83"/>
      <c r="IH40" s="83"/>
      <c r="II40" s="83"/>
      <c r="IJ40" s="83"/>
      <c r="IK40" s="83"/>
      <c r="IL40" s="83"/>
      <c r="IM40" s="83"/>
      <c r="IN40" s="83"/>
      <c r="IO40" s="83"/>
      <c r="IP40" s="83"/>
      <c r="IQ40" s="83"/>
      <c r="IR40" s="83"/>
      <c r="IS40" s="83"/>
      <c r="IT40" s="83"/>
      <c r="IU40" s="83"/>
      <c r="IV40" s="83"/>
      <c r="IW40" s="83"/>
      <c r="IX40" s="83"/>
      <c r="IY40" s="83"/>
      <c r="IZ40" s="83"/>
      <c r="JA40" s="83"/>
      <c r="JB40" s="83"/>
      <c r="JC40" s="83"/>
      <c r="JD40" s="83"/>
      <c r="JE40" s="83"/>
      <c r="JF40" s="83"/>
      <c r="JG40" s="83"/>
      <c r="JH40" s="83"/>
      <c r="JI40" s="83"/>
      <c r="JJ40" s="83"/>
      <c r="JK40" s="83"/>
    </row>
    <row r="41" spans="10:271" x14ac:dyDescent="0.2">
      <c r="J41" s="195"/>
      <c r="K41" s="195"/>
      <c r="L41" s="195"/>
      <c r="M41" s="195"/>
      <c r="N41" s="195"/>
    </row>
    <row r="42" spans="10:271" x14ac:dyDescent="0.2">
      <c r="J42" s="195"/>
      <c r="K42" s="195"/>
      <c r="L42" s="195"/>
      <c r="M42" s="195"/>
      <c r="N42" s="195"/>
    </row>
    <row r="43" spans="10:271" x14ac:dyDescent="0.2">
      <c r="J43" s="195"/>
      <c r="K43" s="195"/>
      <c r="L43" s="195"/>
      <c r="M43" s="195"/>
      <c r="N43" s="195"/>
    </row>
    <row r="44" spans="10:271" x14ac:dyDescent="0.2">
      <c r="J44" s="195"/>
      <c r="K44" s="195"/>
      <c r="L44" s="195"/>
      <c r="M44" s="195"/>
      <c r="N44" s="195"/>
    </row>
    <row r="45" spans="10:271" x14ac:dyDescent="0.2">
      <c r="J45" s="195"/>
      <c r="K45" s="195"/>
      <c r="L45" s="195"/>
      <c r="M45" s="195"/>
      <c r="N45" s="195"/>
    </row>
    <row r="46" spans="10:271" x14ac:dyDescent="0.2">
      <c r="J46" s="195"/>
      <c r="K46" s="195"/>
      <c r="L46" s="195"/>
      <c r="M46" s="195"/>
      <c r="N46" s="195"/>
    </row>
    <row r="47" spans="10:271" x14ac:dyDescent="0.2">
      <c r="J47" s="195"/>
      <c r="K47" s="195"/>
      <c r="L47" s="195"/>
      <c r="M47" s="195"/>
      <c r="N47" s="195"/>
    </row>
    <row r="48" spans="10:271" x14ac:dyDescent="0.2">
      <c r="J48" s="195"/>
      <c r="K48" s="195"/>
      <c r="L48" s="195"/>
      <c r="M48" s="195"/>
      <c r="N48" s="195"/>
    </row>
    <row r="49" spans="10:14" x14ac:dyDescent="0.2">
      <c r="J49" s="195"/>
      <c r="K49" s="195"/>
      <c r="L49" s="195"/>
      <c r="M49" s="195"/>
      <c r="N49" s="195"/>
    </row>
    <row r="50" spans="10:14" x14ac:dyDescent="0.2">
      <c r="J50" s="195"/>
      <c r="K50" s="195"/>
      <c r="L50" s="195"/>
      <c r="M50" s="195"/>
      <c r="N50" s="195"/>
    </row>
    <row r="51" spans="10:14" x14ac:dyDescent="0.2">
      <c r="J51" s="195"/>
      <c r="K51" s="195"/>
      <c r="L51" s="195"/>
      <c r="M51" s="195"/>
      <c r="N51" s="195"/>
    </row>
    <row r="52" spans="10:14" x14ac:dyDescent="0.2">
      <c r="J52" s="195"/>
      <c r="K52" s="195"/>
      <c r="L52" s="195"/>
      <c r="M52" s="195"/>
      <c r="N52" s="195"/>
    </row>
    <row r="53" spans="10:14" x14ac:dyDescent="0.2">
      <c r="J53" s="195"/>
      <c r="K53" s="195"/>
      <c r="L53" s="195"/>
      <c r="M53" s="195"/>
      <c r="N53" s="195"/>
    </row>
    <row r="54" spans="10:14" x14ac:dyDescent="0.2">
      <c r="J54" s="195"/>
      <c r="K54" s="195"/>
      <c r="L54" s="195"/>
      <c r="M54" s="195"/>
      <c r="N54" s="195"/>
    </row>
    <row r="55" spans="10:14" x14ac:dyDescent="0.2">
      <c r="J55" s="195"/>
      <c r="K55" s="195"/>
      <c r="L55" s="195"/>
      <c r="M55" s="195"/>
      <c r="N55" s="195"/>
    </row>
    <row r="56" spans="10:14" x14ac:dyDescent="0.2">
      <c r="J56" s="195"/>
      <c r="K56" s="195"/>
      <c r="L56" s="195"/>
      <c r="M56" s="195"/>
      <c r="N56" s="195"/>
    </row>
    <row r="57" spans="10:14" x14ac:dyDescent="0.2">
      <c r="J57" s="195"/>
      <c r="K57" s="195"/>
      <c r="L57" s="195"/>
      <c r="M57" s="195"/>
      <c r="N57" s="195"/>
    </row>
    <row r="58" spans="10:14" x14ac:dyDescent="0.2">
      <c r="J58" s="195"/>
      <c r="K58" s="195"/>
      <c r="L58" s="195"/>
      <c r="M58" s="195"/>
      <c r="N58" s="195"/>
    </row>
  </sheetData>
  <sortState xmlns:xlrd2="http://schemas.microsoft.com/office/spreadsheetml/2017/richdata2" ref="B9:AG28">
    <sortCondition ref="C9:C28"/>
  </sortState>
  <mergeCells count="331">
    <mergeCell ref="PA5:PL5"/>
    <mergeCell ref="PA6:PF6"/>
    <mergeCell ref="PG6:PL6"/>
    <mergeCell ref="PD7:PD8"/>
    <mergeCell ref="PE7:PE8"/>
    <mergeCell ref="PF7:PF8"/>
    <mergeCell ref="PJ7:PJ8"/>
    <mergeCell ref="PK7:PK8"/>
    <mergeCell ref="PL7:PL8"/>
    <mergeCell ref="PO1:PQ1"/>
    <mergeCell ref="PO2:PO7"/>
    <mergeCell ref="PP2:PP7"/>
    <mergeCell ref="PQ2:PQ7"/>
    <mergeCell ref="KU5:KU7"/>
    <mergeCell ref="KV5:KV7"/>
    <mergeCell ref="KW5:KW8"/>
    <mergeCell ref="KX5:KX8"/>
    <mergeCell ref="KY5:KY8"/>
    <mergeCell ref="KZ5:LA7"/>
    <mergeCell ref="LB5:LC7"/>
    <mergeCell ref="LD5:LE7"/>
    <mergeCell ref="LF5:LL5"/>
    <mergeCell ref="LF6:LF8"/>
    <mergeCell ref="LG6:LG8"/>
    <mergeCell ref="LH6:LH8"/>
    <mergeCell ref="LI6:LI8"/>
    <mergeCell ref="LJ6:LJ8"/>
    <mergeCell ref="LK6:LK8"/>
    <mergeCell ref="LL6:LL8"/>
    <mergeCell ref="MO6:MO8"/>
    <mergeCell ref="MP6:MP8"/>
    <mergeCell ref="MQ6:MQ8"/>
    <mergeCell ref="MD6:MD8"/>
    <mergeCell ref="KP7:KP8"/>
    <mergeCell ref="KQ7:KQ8"/>
    <mergeCell ref="KR7:KR8"/>
    <mergeCell ref="JX7:JX8"/>
    <mergeCell ref="JZ7:JZ8"/>
    <mergeCell ref="KA7:KA8"/>
    <mergeCell ref="KB7:KB8"/>
    <mergeCell ref="KH7:KH8"/>
    <mergeCell ref="KI7:KJ7"/>
    <mergeCell ref="KK7:KL7"/>
    <mergeCell ref="KM7:KM8"/>
    <mergeCell ref="KN7:KN8"/>
    <mergeCell ref="KD4:KD8"/>
    <mergeCell ref="KE4:KE8"/>
    <mergeCell ref="JQ3:KB3"/>
    <mergeCell ref="KG3:KR3"/>
    <mergeCell ref="JP4:JP8"/>
    <mergeCell ref="JQ4:JQ8"/>
    <mergeCell ref="JR4:KB4"/>
    <mergeCell ref="KF4:KF8"/>
    <mergeCell ref="KG4:KG8"/>
    <mergeCell ref="KH4:KR4"/>
    <mergeCell ref="JR5:JX5"/>
    <mergeCell ref="JY5:KB5"/>
    <mergeCell ref="KH5:KN5"/>
    <mergeCell ref="KO5:KR5"/>
    <mergeCell ref="JR6:JV6"/>
    <mergeCell ref="JW6:JX6"/>
    <mergeCell ref="JY6:JY8"/>
    <mergeCell ref="JZ6:KB6"/>
    <mergeCell ref="KH6:KL6"/>
    <mergeCell ref="KM6:KN6"/>
    <mergeCell ref="KO6:KO8"/>
    <mergeCell ref="KP6:KR6"/>
    <mergeCell ref="JR7:JR8"/>
    <mergeCell ref="JS7:JT7"/>
    <mergeCell ref="JU7:JV7"/>
    <mergeCell ref="JW7:JW8"/>
    <mergeCell ref="IO6:IQ7"/>
    <mergeCell ref="IS6:IU7"/>
    <mergeCell ref="IW6:IY7"/>
    <mergeCell ref="JA6:JC7"/>
    <mergeCell ref="HK4:HK8"/>
    <mergeCell ref="HC5:HC8"/>
    <mergeCell ref="HD5:HD8"/>
    <mergeCell ref="HE5:HE8"/>
    <mergeCell ref="HF5:HF8"/>
    <mergeCell ref="HY7:IA7"/>
    <mergeCell ref="IB7:ID7"/>
    <mergeCell ref="IE7:IG7"/>
    <mergeCell ref="IH7:IJ7"/>
    <mergeCell ref="IK7:IM7"/>
    <mergeCell ref="HP6:HR7"/>
    <mergeCell ref="HS6:HU7"/>
    <mergeCell ref="HV6:IA6"/>
    <mergeCell ref="IB6:IG6"/>
    <mergeCell ref="IH6:IM6"/>
    <mergeCell ref="HI5:HI7"/>
    <mergeCell ref="FT2:FT7"/>
    <mergeCell ref="FU2:FU7"/>
    <mergeCell ref="FV2:FV7"/>
    <mergeCell ref="D3:E3"/>
    <mergeCell ref="GX3:GY3"/>
    <mergeCell ref="GO4:GT5"/>
    <mergeCell ref="GV4:GW6"/>
    <mergeCell ref="GZ4:GZ8"/>
    <mergeCell ref="HC4:HI4"/>
    <mergeCell ref="GK4:GK8"/>
    <mergeCell ref="GD4:GD8"/>
    <mergeCell ref="GE4:GE8"/>
    <mergeCell ref="GG4:GG8"/>
    <mergeCell ref="EG2:EG8"/>
    <mergeCell ref="EH2:EH8"/>
    <mergeCell ref="EI2:EI7"/>
    <mergeCell ref="FL2:FL7"/>
    <mergeCell ref="FM2:FM7"/>
    <mergeCell ref="FK2:FK7"/>
    <mergeCell ref="FN2:FN7"/>
    <mergeCell ref="EJ2:EJ7"/>
    <mergeCell ref="EK2:EP2"/>
    <mergeCell ref="EQ2:EQ7"/>
    <mergeCell ref="ER2:ER7"/>
    <mergeCell ref="BO3:BZ3"/>
    <mergeCell ref="CE3:CP3"/>
    <mergeCell ref="BO4:BO8"/>
    <mergeCell ref="BP4:BZ4"/>
    <mergeCell ref="CB4:CB8"/>
    <mergeCell ref="CD4:CD8"/>
    <mergeCell ref="CE4:CE8"/>
    <mergeCell ref="CF4:CP4"/>
    <mergeCell ref="BP5:BV5"/>
    <mergeCell ref="BW5:BZ5"/>
    <mergeCell ref="CF5:CL5"/>
    <mergeCell ref="CM5:CP5"/>
    <mergeCell ref="CM6:CM8"/>
    <mergeCell ref="CK6:CL6"/>
    <mergeCell ref="CK7:CK8"/>
    <mergeCell ref="CL7:CL8"/>
    <mergeCell ref="A4:A8"/>
    <mergeCell ref="B4:B8"/>
    <mergeCell ref="C4:C8"/>
    <mergeCell ref="D4:E6"/>
    <mergeCell ref="AI4:AK4"/>
    <mergeCell ref="AI5:AK7"/>
    <mergeCell ref="N6:Q7"/>
    <mergeCell ref="J6:M7"/>
    <mergeCell ref="F5:I7"/>
    <mergeCell ref="J5:Q5"/>
    <mergeCell ref="R5:U7"/>
    <mergeCell ref="V5:Z7"/>
    <mergeCell ref="AF6:AF8"/>
    <mergeCell ref="AG6:AG8"/>
    <mergeCell ref="AF4:AH5"/>
    <mergeCell ref="F4:AE4"/>
    <mergeCell ref="AA5:AE7"/>
    <mergeCell ref="AH6:AH8"/>
    <mergeCell ref="D7:E7"/>
    <mergeCell ref="AL4:AM5"/>
    <mergeCell ref="AL6:AL8"/>
    <mergeCell ref="AM6:AM8"/>
    <mergeCell ref="AO4:AZ4"/>
    <mergeCell ref="AO5:AP6"/>
    <mergeCell ref="AQ5:AR6"/>
    <mergeCell ref="AS5:AT6"/>
    <mergeCell ref="AU5:AV6"/>
    <mergeCell ref="AW5:AX6"/>
    <mergeCell ref="AY5:AZ6"/>
    <mergeCell ref="FI2:FI7"/>
    <mergeCell ref="FJ2:FJ7"/>
    <mergeCell ref="ES2:ES7"/>
    <mergeCell ref="ET2:ET7"/>
    <mergeCell ref="AN4:AN8"/>
    <mergeCell ref="EB6:EB8"/>
    <mergeCell ref="BP6:BT6"/>
    <mergeCell ref="BU6:BV6"/>
    <mergeCell ref="BW6:BW8"/>
    <mergeCell ref="CN6:CP6"/>
    <mergeCell ref="CP7:CP8"/>
    <mergeCell ref="BA4:BA8"/>
    <mergeCell ref="BB4:BB8"/>
    <mergeCell ref="CN7:CN8"/>
    <mergeCell ref="CO7:CO8"/>
    <mergeCell ref="BP7:BP8"/>
    <mergeCell ref="BQ7:BR7"/>
    <mergeCell ref="BS7:BT7"/>
    <mergeCell ref="BU7:BU8"/>
    <mergeCell ref="BV7:BV8"/>
    <mergeCell ref="CF6:CJ6"/>
    <mergeCell ref="BN4:BN8"/>
    <mergeCell ref="BY7:BY8"/>
    <mergeCell ref="BZ7:BZ8"/>
    <mergeCell ref="FO2:FO7"/>
    <mergeCell ref="FP2:FP7"/>
    <mergeCell ref="FQ2:FQ7"/>
    <mergeCell ref="FR2:FR7"/>
    <mergeCell ref="FS2:FS7"/>
    <mergeCell ref="EK3:EK7"/>
    <mergeCell ref="EL3:EL7"/>
    <mergeCell ref="EM3:EM7"/>
    <mergeCell ref="EN3:EN7"/>
    <mergeCell ref="EO3:EO7"/>
    <mergeCell ref="EP3:EP7"/>
    <mergeCell ref="EW3:EW7"/>
    <mergeCell ref="EX3:EX7"/>
    <mergeCell ref="EY3:EY7"/>
    <mergeCell ref="EU2:EU7"/>
    <mergeCell ref="EV2:EV7"/>
    <mergeCell ref="EW2:EY2"/>
    <mergeCell ref="EZ2:EZ7"/>
    <mergeCell ref="FA2:FA7"/>
    <mergeCell ref="FB2:FB7"/>
    <mergeCell ref="FD2:FD7"/>
    <mergeCell ref="FC2:FC7"/>
    <mergeCell ref="FE2:FE7"/>
    <mergeCell ref="FH2:FH7"/>
    <mergeCell ref="DV4:EB5"/>
    <mergeCell ref="DV6:DV8"/>
    <mergeCell ref="DW6:DW8"/>
    <mergeCell ref="DX6:DX8"/>
    <mergeCell ref="DY6:DY8"/>
    <mergeCell ref="DZ6:DZ8"/>
    <mergeCell ref="EA6:EA8"/>
    <mergeCell ref="BE6:BE8"/>
    <mergeCell ref="BF6:BF8"/>
    <mergeCell ref="BG6:BG8"/>
    <mergeCell ref="BH6:BH8"/>
    <mergeCell ref="BI6:BI8"/>
    <mergeCell ref="BX7:BX8"/>
    <mergeCell ref="CF7:CF8"/>
    <mergeCell ref="CG7:CH7"/>
    <mergeCell ref="CI7:CJ7"/>
    <mergeCell ref="BX6:BZ6"/>
    <mergeCell ref="BE4:BK5"/>
    <mergeCell ref="BJ6:BJ8"/>
    <mergeCell ref="BK6:BK8"/>
    <mergeCell ref="GJ4:GJ8"/>
    <mergeCell ref="FY4:FY8"/>
    <mergeCell ref="FZ4:FZ8"/>
    <mergeCell ref="GA4:GA8"/>
    <mergeCell ref="GB4:GB8"/>
    <mergeCell ref="GC4:GC8"/>
    <mergeCell ref="GH4:GH8"/>
    <mergeCell ref="HG5:HG8"/>
    <mergeCell ref="HH5:HH7"/>
    <mergeCell ref="GO6:GO8"/>
    <mergeCell ref="GP6:GP8"/>
    <mergeCell ref="GQ6:GQ8"/>
    <mergeCell ref="GR6:GR8"/>
    <mergeCell ref="GS6:GS8"/>
    <mergeCell ref="GT6:GT8"/>
    <mergeCell ref="JE6:JG7"/>
    <mergeCell ref="JI6:JK7"/>
    <mergeCell ref="GV7:GV8"/>
    <mergeCell ref="GW7:GW8"/>
    <mergeCell ref="HV7:HX7"/>
    <mergeCell ref="MP5:MW5"/>
    <mergeCell ref="MX5:NB5"/>
    <mergeCell ref="NC5:NE6"/>
    <mergeCell ref="NF5:NI6"/>
    <mergeCell ref="MA6:MA8"/>
    <mergeCell ref="MB6:MB8"/>
    <mergeCell ref="MR6:MR8"/>
    <mergeCell ref="MS6:MS8"/>
    <mergeCell ref="MT6:MT8"/>
    <mergeCell ref="MU6:MU8"/>
    <mergeCell ref="MV6:MV8"/>
    <mergeCell ref="MW6:MW8"/>
    <mergeCell ref="MX6:MX8"/>
    <mergeCell ref="NB6:NB8"/>
    <mergeCell ref="NC7:NC8"/>
    <mergeCell ref="MY6:MY8"/>
    <mergeCell ref="MZ6:MZ8"/>
    <mergeCell ref="NA6:NA8"/>
    <mergeCell ref="MC6:MC8"/>
    <mergeCell ref="ME6:ME8"/>
    <mergeCell ref="MF6:MF8"/>
    <mergeCell ref="MG6:MG8"/>
    <mergeCell ref="MH6:MH8"/>
    <mergeCell ref="LM5:LS5"/>
    <mergeCell ref="LT5:LZ5"/>
    <mergeCell ref="MA5:MJ5"/>
    <mergeCell ref="MK5:MO5"/>
    <mergeCell ref="LO6:LO8"/>
    <mergeCell ref="LP6:LP8"/>
    <mergeCell ref="LQ6:LQ8"/>
    <mergeCell ref="LR6:LR8"/>
    <mergeCell ref="LS6:LS8"/>
    <mergeCell ref="LT6:LT8"/>
    <mergeCell ref="LU6:LU8"/>
    <mergeCell ref="LV6:LV8"/>
    <mergeCell ref="LW6:LW8"/>
    <mergeCell ref="LM6:LM8"/>
    <mergeCell ref="LN6:LN8"/>
    <mergeCell ref="LX6:LX8"/>
    <mergeCell ref="LY6:LY8"/>
    <mergeCell ref="LZ6:LZ8"/>
    <mergeCell ref="MI6:MI8"/>
    <mergeCell ref="MJ6:MJ8"/>
    <mergeCell ref="MN6:MN8"/>
    <mergeCell ref="OI5:OI8"/>
    <mergeCell ref="OJ5:OJ8"/>
    <mergeCell ref="OK5:OK8"/>
    <mergeCell ref="OL5:OL8"/>
    <mergeCell ref="OM5:OM8"/>
    <mergeCell ref="NM7:NT7"/>
    <mergeCell ref="ND7:ND8"/>
    <mergeCell ref="NE7:NE8"/>
    <mergeCell ref="NF7:NF8"/>
    <mergeCell ref="NG7:NG8"/>
    <mergeCell ref="NH7:NH8"/>
    <mergeCell ref="NI7:NI8"/>
    <mergeCell ref="NK5:NK8"/>
    <mergeCell ref="NZ4:NZ8"/>
    <mergeCell ref="NJ5:NJ8"/>
    <mergeCell ref="FF2:FF7"/>
    <mergeCell ref="FX4:FX8"/>
    <mergeCell ref="PA7:PA8"/>
    <mergeCell ref="PB7:PB8"/>
    <mergeCell ref="PC7:PC8"/>
    <mergeCell ref="PG7:PG8"/>
    <mergeCell ref="PH7:PH8"/>
    <mergeCell ref="PI7:PI8"/>
    <mergeCell ref="OO5:OO8"/>
    <mergeCell ref="OP5:OP8"/>
    <mergeCell ref="OQ5:OQ8"/>
    <mergeCell ref="OR5:OR8"/>
    <mergeCell ref="OS5:OS8"/>
    <mergeCell ref="OT5:OT8"/>
    <mergeCell ref="OU5:OU8"/>
    <mergeCell ref="OV5:OV8"/>
    <mergeCell ref="OW5:OW8"/>
    <mergeCell ref="OE5:OE8"/>
    <mergeCell ref="OF5:OF8"/>
    <mergeCell ref="OG5:OG8"/>
    <mergeCell ref="OH5:OH8"/>
    <mergeCell ref="MK6:MK8"/>
    <mergeCell ref="ML6:ML8"/>
    <mergeCell ref="MM6:MM8"/>
  </mergeCells>
  <conditionalFormatting sqref="FY9:GE14">
    <cfRule type="cellIs" dxfId="219" priority="50" operator="greaterThan">
      <formula>0</formula>
    </cfRule>
  </conditionalFormatting>
  <conditionalFormatting sqref="JJ9:JK14">
    <cfRule type="cellIs" dxfId="218" priority="46" operator="notEqual">
      <formula>0</formula>
    </cfRule>
  </conditionalFormatting>
  <conditionalFormatting sqref="JJ31:JK31">
    <cfRule type="cellIs" dxfId="217" priority="45" operator="notEqual">
      <formula>0</formula>
    </cfRule>
  </conditionalFormatting>
  <conditionalFormatting sqref="KT9:KT14">
    <cfRule type="cellIs" dxfId="216" priority="44" operator="notEqual">
      <formula>0</formula>
    </cfRule>
  </conditionalFormatting>
  <conditionalFormatting sqref="FY15:GE15">
    <cfRule type="cellIs" dxfId="215" priority="43" operator="greaterThan">
      <formula>0</formula>
    </cfRule>
  </conditionalFormatting>
  <conditionalFormatting sqref="JJ15:JK15">
    <cfRule type="cellIs" dxfId="214" priority="42" operator="notEqual">
      <formula>0</formula>
    </cfRule>
  </conditionalFormatting>
  <conditionalFormatting sqref="KT15">
    <cfRule type="cellIs" dxfId="213" priority="41" operator="notEqual">
      <formula>0</formula>
    </cfRule>
  </conditionalFormatting>
  <conditionalFormatting sqref="FY28:GE28">
    <cfRule type="cellIs" dxfId="212" priority="40" operator="greaterThan">
      <formula>0</formula>
    </cfRule>
  </conditionalFormatting>
  <conditionalFormatting sqref="JJ28:JK28">
    <cfRule type="cellIs" dxfId="211" priority="39" operator="notEqual">
      <formula>0</formula>
    </cfRule>
  </conditionalFormatting>
  <conditionalFormatting sqref="KT28">
    <cfRule type="cellIs" dxfId="210" priority="38" operator="notEqual">
      <formula>0</formula>
    </cfRule>
  </conditionalFormatting>
  <conditionalFormatting sqref="PA9:PC15 PB28:PC28">
    <cfRule type="cellIs" dxfId="209" priority="37" operator="equal">
      <formula>0</formula>
    </cfRule>
  </conditionalFormatting>
  <conditionalFormatting sqref="PA9:PC15 PB28:PC28">
    <cfRule type="cellIs" dxfId="208" priority="36" operator="equal">
      <formula>0</formula>
    </cfRule>
  </conditionalFormatting>
  <conditionalFormatting sqref="PA9:PC15 PB28:PC28">
    <cfRule type="cellIs" dxfId="207" priority="35" operator="equal">
      <formula>0</formula>
    </cfRule>
  </conditionalFormatting>
  <conditionalFormatting sqref="PC9:PC15 PC28">
    <cfRule type="cellIs" dxfId="206" priority="34" operator="equal">
      <formula>0</formula>
    </cfRule>
  </conditionalFormatting>
  <conditionalFormatting sqref="FY16:GE17 FY23:GE27">
    <cfRule type="cellIs" dxfId="205" priority="33" operator="greaterThan">
      <formula>0</formula>
    </cfRule>
  </conditionalFormatting>
  <conditionalFormatting sqref="JJ16:JK17 JJ23:JK27">
    <cfRule type="cellIs" dxfId="204" priority="32" operator="notEqual">
      <formula>0</formula>
    </cfRule>
  </conditionalFormatting>
  <conditionalFormatting sqref="KT16:KT17 KT23:KT27">
    <cfRule type="cellIs" dxfId="203" priority="31" operator="notEqual">
      <formula>0</formula>
    </cfRule>
  </conditionalFormatting>
  <conditionalFormatting sqref="PA16:PC17 PA23:PC25 PB26:PC27">
    <cfRule type="cellIs" dxfId="202" priority="30" operator="equal">
      <formula>0</formula>
    </cfRule>
  </conditionalFormatting>
  <conditionalFormatting sqref="PA16:PC17 PA23:PC25 PB26:PC27">
    <cfRule type="cellIs" dxfId="201" priority="29" operator="equal">
      <formula>0</formula>
    </cfRule>
  </conditionalFormatting>
  <conditionalFormatting sqref="PA16:PC17 PA23:PC25 PB26:PC27">
    <cfRule type="cellIs" dxfId="200" priority="28" operator="equal">
      <formula>0</formula>
    </cfRule>
  </conditionalFormatting>
  <conditionalFormatting sqref="PC16:PC17 PC23:PC27">
    <cfRule type="cellIs" dxfId="199" priority="27" operator="equal">
      <formula>0</formula>
    </cfRule>
  </conditionalFormatting>
  <conditionalFormatting sqref="FY18:GE22">
    <cfRule type="cellIs" dxfId="198" priority="26" operator="greaterThan">
      <formula>0</formula>
    </cfRule>
  </conditionalFormatting>
  <conditionalFormatting sqref="JJ18:JK22">
    <cfRule type="cellIs" dxfId="197" priority="25" operator="notEqual">
      <formula>0</formula>
    </cfRule>
  </conditionalFormatting>
  <conditionalFormatting sqref="KT18:KT22">
    <cfRule type="cellIs" dxfId="196" priority="24" operator="notEqual">
      <formula>0</formula>
    </cfRule>
  </conditionalFormatting>
  <conditionalFormatting sqref="PA18:PC22">
    <cfRule type="cellIs" dxfId="195" priority="23" operator="equal">
      <formula>0</formula>
    </cfRule>
  </conditionalFormatting>
  <conditionalFormatting sqref="PA18:PC22">
    <cfRule type="cellIs" dxfId="194" priority="22" operator="equal">
      <formula>0</formula>
    </cfRule>
  </conditionalFormatting>
  <conditionalFormatting sqref="PA18:PC22">
    <cfRule type="cellIs" dxfId="193" priority="21" operator="equal">
      <formula>0</formula>
    </cfRule>
  </conditionalFormatting>
  <conditionalFormatting sqref="PC18:PC22">
    <cfRule type="cellIs" dxfId="192" priority="20" operator="equal">
      <formula>0</formula>
    </cfRule>
  </conditionalFormatting>
  <conditionalFormatting sqref="PA28">
    <cfRule type="cellIs" dxfId="191" priority="19" operator="equal">
      <formula>0</formula>
    </cfRule>
  </conditionalFormatting>
  <conditionalFormatting sqref="PA28">
    <cfRule type="cellIs" dxfId="190" priority="18" operator="equal">
      <formula>0</formula>
    </cfRule>
  </conditionalFormatting>
  <conditionalFormatting sqref="PA28">
    <cfRule type="cellIs" dxfId="189" priority="17" operator="equal">
      <formula>0</formula>
    </cfRule>
  </conditionalFormatting>
  <conditionalFormatting sqref="PA26:PA27">
    <cfRule type="cellIs" dxfId="188" priority="16" operator="equal">
      <formula>0</formula>
    </cfRule>
  </conditionalFormatting>
  <conditionalFormatting sqref="PA26:PA27">
    <cfRule type="cellIs" dxfId="187" priority="15" operator="equal">
      <formula>0</formula>
    </cfRule>
  </conditionalFormatting>
  <conditionalFormatting sqref="PA26:PA27">
    <cfRule type="cellIs" dxfId="186" priority="14" operator="equal">
      <formula>0</formula>
    </cfRule>
  </conditionalFormatting>
  <conditionalFormatting sqref="PD9:PF14 PD26:PF28 PD15:PD25 PF15:PF25">
    <cfRule type="cellIs" dxfId="185" priority="13" operator="equal">
      <formula>0</formula>
    </cfRule>
  </conditionalFormatting>
  <conditionalFormatting sqref="PD9:PF14 PD26:PF28 PD15:PD25 PF15:PF25">
    <cfRule type="cellIs" dxfId="184" priority="12" operator="equal">
      <formula>0</formula>
    </cfRule>
  </conditionalFormatting>
  <conditionalFormatting sqref="PD9:PF14 PD26:PF28 PD15:PD25 PF15:PF25">
    <cfRule type="cellIs" dxfId="183" priority="11" operator="equal">
      <formula>0</formula>
    </cfRule>
  </conditionalFormatting>
  <conditionalFormatting sqref="PD9:PF14 PD26:PF28 PD15:PD25 PF15:PF25">
    <cfRule type="cellIs" dxfId="182" priority="10" operator="equal">
      <formula>0</formula>
    </cfRule>
  </conditionalFormatting>
  <conditionalFormatting sqref="PE15">
    <cfRule type="cellIs" dxfId="181" priority="9" operator="equal">
      <formula>0</formula>
    </cfRule>
  </conditionalFormatting>
  <conditionalFormatting sqref="PE15">
    <cfRule type="cellIs" dxfId="180" priority="8" operator="equal">
      <formula>0</formula>
    </cfRule>
  </conditionalFormatting>
  <conditionalFormatting sqref="PE15">
    <cfRule type="cellIs" dxfId="179" priority="7" operator="equal">
      <formula>0</formula>
    </cfRule>
  </conditionalFormatting>
  <conditionalFormatting sqref="PE16:PE17 PE23:PE25">
    <cfRule type="cellIs" dxfId="178" priority="6" operator="equal">
      <formula>0</formula>
    </cfRule>
  </conditionalFormatting>
  <conditionalFormatting sqref="PE16:PE17 PE23:PE25">
    <cfRule type="cellIs" dxfId="177" priority="5" operator="equal">
      <formula>0</formula>
    </cfRule>
  </conditionalFormatting>
  <conditionalFormatting sqref="PE16:PE17 PE23:PE25">
    <cfRule type="cellIs" dxfId="176" priority="4" operator="equal">
      <formula>0</formula>
    </cfRule>
  </conditionalFormatting>
  <conditionalFormatting sqref="PE18:PE22">
    <cfRule type="cellIs" dxfId="175" priority="3" operator="equal">
      <formula>0</formula>
    </cfRule>
  </conditionalFormatting>
  <conditionalFormatting sqref="PE18:PE22">
    <cfRule type="cellIs" dxfId="174" priority="2" operator="equal">
      <formula>0</formula>
    </cfRule>
  </conditionalFormatting>
  <conditionalFormatting sqref="PE18:PE22">
    <cfRule type="cellIs" dxfId="173" priority="1" operator="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71"/>
  <sheetViews>
    <sheetView showGridLines="0" zoomScale="70" zoomScaleNormal="70" workbookViewId="0">
      <pane xSplit="5" ySplit="8" topLeftCell="OR30" activePane="bottomRight" state="frozen"/>
      <selection activeCell="OG32" sqref="OG32"/>
      <selection pane="topRight" activeCell="OG32" sqref="OG32"/>
      <selection pane="bottomLeft" activeCell="OG32" sqref="OG32"/>
      <selection pane="bottomRight" activeCell="PE33" sqref="PE33"/>
    </sheetView>
  </sheetViews>
  <sheetFormatPr baseColWidth="10" defaultColWidth="8.5" defaultRowHeight="15" x14ac:dyDescent="0.2"/>
  <cols>
    <col min="1" max="1" width="9.5" customWidth="1"/>
    <col min="2" max="2" width="31.5" bestFit="1" customWidth="1"/>
    <col min="3" max="3" width="10.5" bestFit="1" customWidth="1"/>
    <col min="4" max="4" width="7.5" bestFit="1" customWidth="1"/>
    <col min="5" max="5" width="10" bestFit="1" customWidth="1"/>
    <col min="6" max="6" width="7.5" bestFit="1" customWidth="1"/>
    <col min="7" max="8" width="10.5" bestFit="1" customWidth="1"/>
    <col min="9" max="9" width="11.5" bestFit="1" customWidth="1"/>
    <col min="10" max="10" width="7.5" bestFit="1" customWidth="1"/>
    <col min="11" max="11" width="8.5" bestFit="1" customWidth="1"/>
    <col min="12" max="12" width="10.5" bestFit="1" customWidth="1"/>
    <col min="13" max="13" width="8.5" bestFit="1" customWidth="1"/>
    <col min="14" max="14" width="7.5" bestFit="1" customWidth="1"/>
    <col min="15" max="15" width="8.5" bestFit="1" customWidth="1"/>
    <col min="16" max="16" width="10.5" bestFit="1" customWidth="1"/>
    <col min="17" max="17" width="8.5" bestFit="1" customWidth="1"/>
    <col min="18" max="18" width="7.5" bestFit="1" customWidth="1"/>
    <col min="19" max="19" width="8.5" bestFit="1" customWidth="1"/>
    <col min="20" max="20" width="10.5" bestFit="1" customWidth="1"/>
    <col min="21" max="21" width="8.5" bestFit="1" customWidth="1"/>
    <col min="22" max="23" width="7.5" bestFit="1" customWidth="1"/>
    <col min="24" max="24" width="10.5" bestFit="1" customWidth="1"/>
    <col min="25" max="25" width="8.5" bestFit="1" customWidth="1"/>
    <col min="26" max="31" width="12" customWidth="1"/>
    <col min="32" max="32" width="13" customWidth="1"/>
    <col min="33" max="33" width="17.5" customWidth="1"/>
    <col min="34" max="34" width="36.5" bestFit="1" customWidth="1"/>
    <col min="37" max="37" width="21.5" bestFit="1" customWidth="1"/>
    <col min="38" max="38" width="13.5" customWidth="1"/>
    <col min="39" max="39" width="17.5" customWidth="1"/>
    <col min="40" max="40" width="23.5" customWidth="1"/>
    <col min="64" max="65" width="5.5" customWidth="1"/>
    <col min="66" max="66" width="9.5" customWidth="1"/>
    <col min="67" max="67" width="12.5" bestFit="1" customWidth="1"/>
    <col min="68" max="68" width="13" customWidth="1"/>
    <col min="69" max="70" width="17.5" bestFit="1" customWidth="1"/>
    <col min="71" max="72" width="13" bestFit="1" customWidth="1"/>
    <col min="73" max="74" width="13.5" customWidth="1"/>
    <col min="76" max="76" width="10.5" customWidth="1"/>
    <col min="77" max="77" width="13.5" customWidth="1"/>
    <col min="80" max="80" width="14.5" customWidth="1"/>
    <col min="85" max="86" width="17.5" bestFit="1" customWidth="1"/>
    <col min="87" max="88" width="13.5" bestFit="1" customWidth="1"/>
    <col min="92" max="92" width="12" customWidth="1"/>
    <col min="93" max="93" width="14.5" customWidth="1"/>
    <col min="135" max="135" width="84.5" bestFit="1" customWidth="1"/>
    <col min="137" max="138" width="12.5" customWidth="1"/>
    <col min="139" max="177" width="15.5" customWidth="1"/>
    <col min="273" max="273" width="10" bestFit="1" customWidth="1"/>
    <col min="306" max="306" width="15.5" bestFit="1" customWidth="1"/>
    <col min="390" max="390" width="14.5" bestFit="1" customWidth="1"/>
    <col min="391" max="392" width="11.5" bestFit="1" customWidth="1"/>
    <col min="416" max="416" width="15.5" bestFit="1" customWidth="1"/>
    <col min="419" max="422" width="10" customWidth="1"/>
    <col min="423" max="423" width="15.1640625" customWidth="1"/>
    <col min="425" max="428" width="9.1640625" customWidth="1"/>
    <col min="430" max="430" width="15.5" bestFit="1" customWidth="1"/>
  </cols>
  <sheetData>
    <row r="1" spans="1:437" ht="24" x14ac:dyDescent="0.2">
      <c r="A1" s="1" t="s">
        <v>0</v>
      </c>
      <c r="B1" s="2"/>
      <c r="C1" s="2"/>
      <c r="D1" s="2"/>
      <c r="E1" s="2"/>
      <c r="F1" s="2"/>
      <c r="G1" s="3"/>
      <c r="H1" s="3"/>
      <c r="I1" s="4"/>
      <c r="J1" s="4"/>
      <c r="K1" s="4"/>
      <c r="L1" s="4"/>
      <c r="M1" s="4"/>
      <c r="N1" s="4"/>
      <c r="O1" s="4"/>
      <c r="P1" s="4"/>
      <c r="Q1" s="4"/>
      <c r="R1" s="2"/>
      <c r="S1" s="2"/>
      <c r="T1" s="2"/>
      <c r="U1" s="2"/>
      <c r="V1" s="5"/>
      <c r="W1" s="5"/>
      <c r="X1" s="5"/>
      <c r="Y1" s="5"/>
      <c r="Z1" s="2"/>
      <c r="AA1" s="7"/>
      <c r="AB1" s="7"/>
      <c r="AC1" s="7"/>
      <c r="AD1" s="7"/>
      <c r="AE1" s="7"/>
      <c r="AF1" s="68" t="s">
        <v>294</v>
      </c>
      <c r="AG1" s="68" t="s">
        <v>296</v>
      </c>
      <c r="BF1" s="34" t="s">
        <v>294</v>
      </c>
      <c r="BG1" s="34"/>
      <c r="BH1" s="34" t="s">
        <v>296</v>
      </c>
      <c r="EI1" s="47">
        <v>1</v>
      </c>
      <c r="EJ1" s="47">
        <f>EI1+1</f>
        <v>2</v>
      </c>
      <c r="EK1" s="47">
        <f t="shared" ref="EK1:FF1" si="0">EJ1+1</f>
        <v>3</v>
      </c>
      <c r="EL1" s="47">
        <f t="shared" si="0"/>
        <v>4</v>
      </c>
      <c r="EM1" s="47">
        <f t="shared" si="0"/>
        <v>5</v>
      </c>
      <c r="EN1" s="47">
        <f t="shared" si="0"/>
        <v>6</v>
      </c>
      <c r="EO1" s="47">
        <f t="shared" si="0"/>
        <v>7</v>
      </c>
      <c r="EP1" s="47">
        <f t="shared" si="0"/>
        <v>8</v>
      </c>
      <c r="EQ1" s="47">
        <f t="shared" si="0"/>
        <v>9</v>
      </c>
      <c r="ER1" s="47">
        <f t="shared" si="0"/>
        <v>10</v>
      </c>
      <c r="ES1" s="47">
        <f t="shared" si="0"/>
        <v>11</v>
      </c>
      <c r="ET1" s="47">
        <f t="shared" si="0"/>
        <v>12</v>
      </c>
      <c r="EU1" s="47">
        <f t="shared" si="0"/>
        <v>13</v>
      </c>
      <c r="EV1" s="47">
        <f t="shared" si="0"/>
        <v>14</v>
      </c>
      <c r="EW1" s="47">
        <f t="shared" si="0"/>
        <v>15</v>
      </c>
      <c r="EX1" s="47">
        <f t="shared" si="0"/>
        <v>16</v>
      </c>
      <c r="EY1" s="47">
        <f t="shared" si="0"/>
        <v>17</v>
      </c>
      <c r="EZ1" s="47">
        <f t="shared" si="0"/>
        <v>18</v>
      </c>
      <c r="FA1" s="47">
        <f t="shared" si="0"/>
        <v>19</v>
      </c>
      <c r="FB1" s="47">
        <f t="shared" si="0"/>
        <v>20</v>
      </c>
      <c r="FC1" s="47">
        <f t="shared" si="0"/>
        <v>21</v>
      </c>
      <c r="FD1" s="47">
        <f t="shared" si="0"/>
        <v>22</v>
      </c>
      <c r="FE1" s="47">
        <f t="shared" si="0"/>
        <v>23</v>
      </c>
      <c r="FF1" s="47">
        <f t="shared" si="0"/>
        <v>24</v>
      </c>
      <c r="FH1" s="47">
        <f t="shared" ref="FH1:FV1" si="1">FG1+1</f>
        <v>1</v>
      </c>
      <c r="FI1" s="47">
        <f t="shared" si="1"/>
        <v>2</v>
      </c>
      <c r="FJ1" s="47">
        <f t="shared" si="1"/>
        <v>3</v>
      </c>
      <c r="FK1" s="47">
        <f t="shared" si="1"/>
        <v>4</v>
      </c>
      <c r="FL1" s="47">
        <f t="shared" si="1"/>
        <v>5</v>
      </c>
      <c r="FM1" s="47">
        <f t="shared" si="1"/>
        <v>6</v>
      </c>
      <c r="FN1" s="47">
        <f t="shared" si="1"/>
        <v>7</v>
      </c>
      <c r="FO1" s="47">
        <f t="shared" si="1"/>
        <v>8</v>
      </c>
      <c r="FP1" s="47">
        <f t="shared" si="1"/>
        <v>9</v>
      </c>
      <c r="FQ1" s="47">
        <f t="shared" si="1"/>
        <v>10</v>
      </c>
      <c r="FR1" s="47">
        <f t="shared" si="1"/>
        <v>11</v>
      </c>
      <c r="FS1" s="47">
        <f t="shared" si="1"/>
        <v>12</v>
      </c>
      <c r="FT1" s="47">
        <f t="shared" si="1"/>
        <v>13</v>
      </c>
      <c r="FU1" s="47">
        <f t="shared" si="1"/>
        <v>14</v>
      </c>
      <c r="FV1" s="47">
        <f t="shared" si="1"/>
        <v>15</v>
      </c>
      <c r="GO1" s="83"/>
      <c r="GP1" s="83"/>
      <c r="GQ1" s="83"/>
      <c r="GR1" s="83"/>
      <c r="GS1" s="83"/>
      <c r="GT1" s="83"/>
      <c r="GU1" s="83"/>
      <c r="GV1" s="83"/>
      <c r="GW1" s="83"/>
      <c r="GX1" s="83"/>
      <c r="GY1" s="83"/>
      <c r="GZ1" s="83"/>
      <c r="HA1" s="83"/>
      <c r="HB1" s="83"/>
      <c r="HC1" s="83"/>
      <c r="HD1" s="83"/>
      <c r="HE1" s="83"/>
      <c r="HF1" s="83"/>
      <c r="HG1" s="83"/>
      <c r="HH1" s="83"/>
      <c r="HI1" s="83"/>
      <c r="HJ1" s="83"/>
      <c r="HK1" s="83"/>
      <c r="HL1" s="83"/>
      <c r="HM1" s="83"/>
      <c r="HN1" s="83"/>
      <c r="HO1" s="83"/>
      <c r="HP1" s="84"/>
      <c r="HQ1" s="84"/>
      <c r="HR1" s="84"/>
      <c r="HS1" s="84" t="s">
        <v>425</v>
      </c>
      <c r="HT1" s="84"/>
      <c r="HU1" s="84"/>
      <c r="HV1" s="84"/>
      <c r="HW1" s="84"/>
      <c r="HX1" s="84"/>
      <c r="HY1" s="84"/>
      <c r="HZ1" s="84"/>
      <c r="IA1" s="84"/>
      <c r="IB1" s="84"/>
      <c r="IC1" s="84"/>
      <c r="ID1" s="84"/>
      <c r="IE1" s="84"/>
      <c r="IF1" s="84"/>
      <c r="IG1" s="84"/>
      <c r="IH1" s="84"/>
      <c r="II1" s="84"/>
      <c r="IJ1" s="84"/>
      <c r="IK1" s="84"/>
      <c r="IL1" s="84"/>
      <c r="IM1" s="83"/>
      <c r="IN1" s="83"/>
      <c r="IO1" s="83"/>
      <c r="IP1" s="83"/>
      <c r="IQ1" s="83"/>
      <c r="IR1" s="83"/>
      <c r="IS1" s="83"/>
      <c r="IT1" s="83"/>
      <c r="IU1" s="83"/>
      <c r="IV1" s="83"/>
      <c r="IW1" s="83"/>
      <c r="IX1" s="83"/>
      <c r="IY1" s="83"/>
      <c r="IZ1" s="83"/>
      <c r="JA1" s="83"/>
      <c r="JB1" s="83"/>
      <c r="JC1" s="83"/>
      <c r="JD1" s="83"/>
      <c r="JE1" s="83"/>
      <c r="JF1" s="83"/>
      <c r="JG1" s="83"/>
      <c r="JH1" s="83"/>
      <c r="JI1" s="83"/>
      <c r="JJ1" s="83"/>
      <c r="JK1" s="83"/>
      <c r="KS1">
        <v>1</v>
      </c>
      <c r="KT1" t="s">
        <v>580</v>
      </c>
      <c r="PO1" s="557" t="s">
        <v>630</v>
      </c>
      <c r="PP1" s="558"/>
      <c r="PQ1" s="559"/>
    </row>
    <row r="2" spans="1:437" ht="23.75" customHeight="1" x14ac:dyDescent="0.2">
      <c r="A2" s="6" t="s">
        <v>24</v>
      </c>
      <c r="B2" s="7"/>
      <c r="C2" s="7"/>
      <c r="D2" s="7"/>
      <c r="E2" s="7"/>
      <c r="F2" s="7"/>
      <c r="G2" s="8"/>
      <c r="H2" s="8"/>
      <c r="I2" s="9"/>
      <c r="J2" s="9"/>
      <c r="K2" s="9"/>
      <c r="L2" s="9"/>
      <c r="M2" s="9"/>
      <c r="N2" s="9"/>
      <c r="O2" s="9"/>
      <c r="P2" s="9"/>
      <c r="Q2" s="9"/>
      <c r="R2" s="7"/>
      <c r="S2" s="7"/>
      <c r="T2" s="7"/>
      <c r="U2" s="7"/>
      <c r="V2" s="10"/>
      <c r="W2" s="10"/>
      <c r="X2" s="10"/>
      <c r="Y2" s="10"/>
      <c r="Z2" s="7"/>
      <c r="AA2" s="7"/>
      <c r="AB2" s="7"/>
      <c r="AC2" s="7"/>
      <c r="AD2" s="7"/>
      <c r="AE2" s="7"/>
      <c r="AF2" s="68" t="s">
        <v>295</v>
      </c>
      <c r="AG2" s="46" t="s">
        <v>297</v>
      </c>
      <c r="BF2" s="34" t="s">
        <v>295</v>
      </c>
      <c r="BG2" s="34"/>
      <c r="BH2" s="35" t="s">
        <v>297</v>
      </c>
      <c r="BN2" s="30" t="s">
        <v>338</v>
      </c>
      <c r="CD2" s="30" t="s">
        <v>338</v>
      </c>
      <c r="ED2" s="48"/>
      <c r="EE2" s="49"/>
      <c r="EG2" s="533" t="s">
        <v>388</v>
      </c>
      <c r="EH2" s="533" t="s">
        <v>352</v>
      </c>
      <c r="EI2" s="429" t="s">
        <v>387</v>
      </c>
      <c r="EJ2" s="429" t="s">
        <v>482</v>
      </c>
      <c r="EK2" s="507" t="s">
        <v>483</v>
      </c>
      <c r="EL2" s="508"/>
      <c r="EM2" s="508"/>
      <c r="EN2" s="508"/>
      <c r="EO2" s="508"/>
      <c r="EP2" s="509"/>
      <c r="EQ2" s="429" t="s">
        <v>353</v>
      </c>
      <c r="ER2" s="429" t="s">
        <v>484</v>
      </c>
      <c r="ES2" s="429" t="s">
        <v>354</v>
      </c>
      <c r="ET2" s="429" t="s">
        <v>397</v>
      </c>
      <c r="EU2" s="429" t="s">
        <v>485</v>
      </c>
      <c r="EV2" s="429" t="s">
        <v>355</v>
      </c>
      <c r="EW2" s="507" t="s">
        <v>486</v>
      </c>
      <c r="EX2" s="508"/>
      <c r="EY2" s="509"/>
      <c r="EZ2" s="429" t="s">
        <v>356</v>
      </c>
      <c r="FA2" s="429" t="s">
        <v>357</v>
      </c>
      <c r="FB2" s="429" t="s">
        <v>358</v>
      </c>
      <c r="FC2" s="429" t="s">
        <v>623</v>
      </c>
      <c r="FD2" s="429" t="s">
        <v>359</v>
      </c>
      <c r="FE2" s="429" t="s">
        <v>360</v>
      </c>
      <c r="FF2" s="429" t="s">
        <v>629</v>
      </c>
      <c r="FH2" s="429" t="s">
        <v>11</v>
      </c>
      <c r="FI2" s="429" t="s">
        <v>487</v>
      </c>
      <c r="FJ2" s="429" t="s">
        <v>488</v>
      </c>
      <c r="FK2" s="429" t="s">
        <v>489</v>
      </c>
      <c r="FL2" s="429" t="s">
        <v>490</v>
      </c>
      <c r="FM2" s="429" t="s">
        <v>491</v>
      </c>
      <c r="FN2" s="429" t="s">
        <v>492</v>
      </c>
      <c r="FO2" s="429" t="s">
        <v>493</v>
      </c>
      <c r="FP2" s="429" t="s">
        <v>494</v>
      </c>
      <c r="FQ2" s="429" t="s">
        <v>495</v>
      </c>
      <c r="FR2" s="429" t="s">
        <v>496</v>
      </c>
      <c r="FS2" s="429" t="s">
        <v>497</v>
      </c>
      <c r="FT2" s="429" t="s">
        <v>498</v>
      </c>
      <c r="FU2" s="429" t="s">
        <v>499</v>
      </c>
      <c r="FV2" s="429" t="s">
        <v>500</v>
      </c>
      <c r="GO2" s="83"/>
      <c r="GP2" s="83"/>
      <c r="GQ2" s="83"/>
      <c r="GR2" s="83"/>
      <c r="GS2" s="83"/>
      <c r="GT2" s="83"/>
      <c r="GU2" s="83" t="s">
        <v>467</v>
      </c>
      <c r="GV2" s="83"/>
      <c r="GW2" s="83"/>
      <c r="GX2" s="83"/>
      <c r="GY2" s="83"/>
      <c r="GZ2" s="83"/>
      <c r="HA2" s="83"/>
      <c r="HB2" s="83"/>
      <c r="HC2" s="83"/>
      <c r="HD2" s="83"/>
      <c r="HE2" s="83"/>
      <c r="HF2" s="83"/>
      <c r="HG2" s="83"/>
      <c r="HH2" s="83"/>
      <c r="HI2" s="83"/>
      <c r="HJ2" s="83"/>
      <c r="HK2" s="83"/>
      <c r="HL2" s="83"/>
      <c r="HM2" s="83"/>
      <c r="HN2" s="83"/>
      <c r="HO2" s="83"/>
      <c r="HP2" s="82"/>
      <c r="HQ2" s="82"/>
      <c r="HR2" s="82"/>
      <c r="HS2" t="s">
        <v>426</v>
      </c>
      <c r="HT2" s="82"/>
      <c r="HU2" s="82"/>
      <c r="HV2" s="82"/>
      <c r="HW2" s="82"/>
      <c r="HX2" s="82"/>
      <c r="HY2" s="82"/>
      <c r="HZ2" s="82"/>
      <c r="IA2" s="82"/>
      <c r="IB2" s="82"/>
      <c r="IC2" s="82"/>
      <c r="ID2" s="82"/>
      <c r="IE2" s="82"/>
      <c r="IF2" s="82"/>
      <c r="IG2" s="82"/>
      <c r="IH2" s="82"/>
      <c r="II2" s="82"/>
      <c r="IJ2" s="82"/>
      <c r="IK2" s="82"/>
      <c r="IL2" s="82"/>
      <c r="IM2" s="83"/>
      <c r="IN2" s="83"/>
      <c r="IO2" s="83"/>
      <c r="IP2" s="83"/>
      <c r="IQ2" s="83"/>
      <c r="IR2" s="83"/>
      <c r="IS2" s="83"/>
      <c r="IT2" s="83"/>
      <c r="IU2" s="83"/>
      <c r="IV2" s="83"/>
      <c r="IW2" s="83"/>
      <c r="IX2" s="83"/>
      <c r="IY2" s="83"/>
      <c r="IZ2" s="83"/>
      <c r="JA2" s="83"/>
      <c r="JB2" s="83"/>
      <c r="JC2" s="83"/>
      <c r="JD2" s="83"/>
      <c r="JE2" s="83"/>
      <c r="JF2" s="83"/>
      <c r="JG2" s="83"/>
      <c r="JH2" s="83"/>
      <c r="JI2" s="83"/>
      <c r="JJ2" s="83"/>
      <c r="JK2" s="83"/>
      <c r="JP2" s="30" t="s">
        <v>338</v>
      </c>
      <c r="KB2" s="121" t="s">
        <v>477</v>
      </c>
      <c r="KF2" s="30" t="s">
        <v>338</v>
      </c>
      <c r="KR2" s="121" t="s">
        <v>477</v>
      </c>
      <c r="KS2">
        <v>2</v>
      </c>
      <c r="KT2" t="s">
        <v>581</v>
      </c>
      <c r="PO2" s="560" t="s">
        <v>623</v>
      </c>
      <c r="PP2" s="563" t="s">
        <v>629</v>
      </c>
      <c r="PQ2" s="563" t="s">
        <v>631</v>
      </c>
    </row>
    <row r="3" spans="1:437" ht="24" x14ac:dyDescent="0.2">
      <c r="A3" s="6" t="s">
        <v>424</v>
      </c>
      <c r="B3" s="82"/>
      <c r="C3" s="6"/>
      <c r="D3" s="584">
        <f>Jaticempaka!D3</f>
        <v>44201</v>
      </c>
      <c r="E3" s="585"/>
      <c r="F3" s="7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7"/>
      <c r="S3" s="7"/>
      <c r="T3" s="7"/>
      <c r="U3" s="7"/>
      <c r="V3" s="10"/>
      <c r="W3" s="10"/>
      <c r="X3" s="10"/>
      <c r="Y3" s="10"/>
      <c r="Z3" s="7"/>
      <c r="AA3" s="7"/>
      <c r="AB3" s="7"/>
      <c r="AC3" s="7"/>
      <c r="AD3" s="7"/>
      <c r="AE3" s="7"/>
      <c r="AF3" s="33"/>
      <c r="AG3" s="33"/>
      <c r="BF3" s="33"/>
      <c r="BG3" s="36"/>
      <c r="BH3" s="36"/>
      <c r="BN3" s="46" t="s">
        <v>336</v>
      </c>
      <c r="BO3" s="529" t="s">
        <v>337</v>
      </c>
      <c r="BP3" s="529"/>
      <c r="BQ3" s="529"/>
      <c r="BR3" s="529"/>
      <c r="BS3" s="529"/>
      <c r="BT3" s="529"/>
      <c r="BU3" s="529"/>
      <c r="BV3" s="529"/>
      <c r="BW3" s="529"/>
      <c r="BX3" s="529"/>
      <c r="BY3" s="529"/>
      <c r="BZ3" s="529"/>
      <c r="CB3" s="30" t="s">
        <v>340</v>
      </c>
      <c r="CD3" s="46"/>
      <c r="CE3" s="529"/>
      <c r="CF3" s="529"/>
      <c r="CG3" s="529"/>
      <c r="CH3" s="529"/>
      <c r="CI3" s="529"/>
      <c r="CJ3" s="529"/>
      <c r="CK3" s="529"/>
      <c r="CL3" s="529"/>
      <c r="CM3" s="529"/>
      <c r="CN3" s="529"/>
      <c r="CO3" s="529"/>
      <c r="CP3" s="529"/>
      <c r="ED3" s="50"/>
      <c r="EE3" s="51"/>
      <c r="EG3" s="533"/>
      <c r="EH3" s="533"/>
      <c r="EI3" s="429"/>
      <c r="EJ3" s="429"/>
      <c r="EK3" s="510" t="s">
        <v>308</v>
      </c>
      <c r="EL3" s="510" t="s">
        <v>501</v>
      </c>
      <c r="EM3" s="510" t="s">
        <v>502</v>
      </c>
      <c r="EN3" s="510" t="s">
        <v>503</v>
      </c>
      <c r="EO3" s="510"/>
      <c r="EP3" s="510"/>
      <c r="EQ3" s="429"/>
      <c r="ER3" s="429"/>
      <c r="ES3" s="429"/>
      <c r="ET3" s="429"/>
      <c r="EU3" s="429"/>
      <c r="EV3" s="429"/>
      <c r="EW3" s="510" t="s">
        <v>504</v>
      </c>
      <c r="EX3" s="510" t="s">
        <v>309</v>
      </c>
      <c r="EY3" s="510" t="s">
        <v>505</v>
      </c>
      <c r="EZ3" s="429"/>
      <c r="FA3" s="429"/>
      <c r="FB3" s="429"/>
      <c r="FC3" s="429"/>
      <c r="FD3" s="429"/>
      <c r="FE3" s="429"/>
      <c r="FF3" s="429"/>
      <c r="FH3" s="429"/>
      <c r="FI3" s="429"/>
      <c r="FJ3" s="429"/>
      <c r="FK3" s="429"/>
      <c r="FL3" s="429"/>
      <c r="FM3" s="429"/>
      <c r="FN3" s="429"/>
      <c r="FO3" s="429"/>
      <c r="FP3" s="429"/>
      <c r="FQ3" s="429"/>
      <c r="FR3" s="429"/>
      <c r="FS3" s="429"/>
      <c r="FT3" s="429"/>
      <c r="FU3" s="429"/>
      <c r="FV3" s="429"/>
      <c r="GU3" s="85">
        <v>43243</v>
      </c>
      <c r="GX3" s="519" t="s">
        <v>427</v>
      </c>
      <c r="GY3" s="520"/>
      <c r="GZ3" s="86"/>
      <c r="HA3" s="83"/>
      <c r="HB3" s="83"/>
      <c r="HC3" s="86"/>
      <c r="HD3" s="86"/>
      <c r="HE3" s="86"/>
      <c r="HF3" s="82"/>
      <c r="HG3" s="82"/>
      <c r="HH3" s="82" t="s">
        <v>428</v>
      </c>
      <c r="HI3" s="82"/>
      <c r="HJ3" s="86"/>
      <c r="HK3" s="82"/>
      <c r="HL3" s="83"/>
      <c r="HM3" s="83"/>
      <c r="HN3" s="83"/>
      <c r="HO3" s="83"/>
      <c r="HP3" s="86"/>
      <c r="HQ3" s="86"/>
      <c r="HR3" s="86"/>
      <c r="HS3" t="s">
        <v>429</v>
      </c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 t="s">
        <v>430</v>
      </c>
      <c r="II3" s="86"/>
      <c r="IJ3" s="86"/>
      <c r="IK3" s="86"/>
      <c r="IL3" s="86"/>
      <c r="IM3" s="83"/>
      <c r="IN3" s="83"/>
      <c r="IO3" s="83"/>
      <c r="IP3" s="83"/>
      <c r="IQ3" s="83"/>
      <c r="IR3" s="83"/>
      <c r="IS3" s="83"/>
      <c r="IT3" s="83"/>
      <c r="IU3" s="83"/>
      <c r="IV3" s="83"/>
      <c r="IW3" s="83"/>
      <c r="IX3" s="83"/>
      <c r="IY3" s="83"/>
      <c r="IZ3" s="83"/>
      <c r="JA3" s="83"/>
      <c r="JB3" s="83"/>
      <c r="JC3" s="83"/>
      <c r="JD3" s="83"/>
      <c r="JE3" s="83"/>
      <c r="JF3" s="83"/>
      <c r="JG3" s="83"/>
      <c r="JH3" s="83"/>
      <c r="JI3" s="83"/>
      <c r="JJ3" s="83"/>
      <c r="JK3" s="83"/>
      <c r="JP3" s="46" t="s">
        <v>336</v>
      </c>
      <c r="JQ3" s="529" t="s">
        <v>337</v>
      </c>
      <c r="JR3" s="529"/>
      <c r="JS3" s="529"/>
      <c r="JT3" s="529"/>
      <c r="JU3" s="529"/>
      <c r="JV3" s="529"/>
      <c r="JW3" s="529"/>
      <c r="JX3" s="529"/>
      <c r="JY3" s="529"/>
      <c r="JZ3" s="529"/>
      <c r="KA3" s="529"/>
      <c r="KB3" s="529"/>
      <c r="KF3" s="46"/>
      <c r="KG3" s="529"/>
      <c r="KH3" s="529"/>
      <c r="KI3" s="529"/>
      <c r="KJ3" s="529"/>
      <c r="KK3" s="529"/>
      <c r="KL3" s="529"/>
      <c r="KM3" s="529"/>
      <c r="KN3" s="529"/>
      <c r="KO3" s="529"/>
      <c r="KP3" s="529"/>
      <c r="KQ3" s="529"/>
      <c r="KR3" s="529"/>
      <c r="KS3">
        <v>3</v>
      </c>
      <c r="KT3" t="s">
        <v>582</v>
      </c>
      <c r="KU3" s="30" t="s">
        <v>508</v>
      </c>
      <c r="PO3" s="561"/>
      <c r="PP3" s="563"/>
      <c r="PQ3" s="563"/>
    </row>
    <row r="4" spans="1:437" ht="18" customHeight="1" thickBot="1" x14ac:dyDescent="0.25">
      <c r="A4" s="589" t="s">
        <v>1</v>
      </c>
      <c r="B4" s="589" t="s">
        <v>2</v>
      </c>
      <c r="C4" s="589" t="s">
        <v>3</v>
      </c>
      <c r="D4" s="450" t="s">
        <v>4</v>
      </c>
      <c r="E4" s="451"/>
      <c r="F4" s="603" t="s">
        <v>5</v>
      </c>
      <c r="G4" s="604"/>
      <c r="H4" s="604"/>
      <c r="I4" s="604"/>
      <c r="J4" s="604"/>
      <c r="K4" s="604"/>
      <c r="L4" s="604"/>
      <c r="M4" s="604"/>
      <c r="N4" s="604"/>
      <c r="O4" s="604"/>
      <c r="P4" s="604"/>
      <c r="Q4" s="604"/>
      <c r="R4" s="604"/>
      <c r="S4" s="604"/>
      <c r="T4" s="604"/>
      <c r="U4" s="604"/>
      <c r="V4" s="604"/>
      <c r="W4" s="604"/>
      <c r="X4" s="604"/>
      <c r="Y4" s="604"/>
      <c r="Z4" s="604"/>
      <c r="AA4" s="604"/>
      <c r="AB4" s="604"/>
      <c r="AC4" s="604"/>
      <c r="AD4" s="604"/>
      <c r="AE4" s="605"/>
      <c r="AF4" s="449" t="s">
        <v>298</v>
      </c>
      <c r="AG4" s="450"/>
      <c r="AH4" s="451"/>
      <c r="AI4" s="593" t="s">
        <v>261</v>
      </c>
      <c r="AJ4" s="594"/>
      <c r="AK4" s="595"/>
      <c r="AL4" s="449" t="s">
        <v>292</v>
      </c>
      <c r="AM4" s="451"/>
      <c r="AN4" s="368" t="s">
        <v>312</v>
      </c>
      <c r="BB4" s="570" t="s">
        <v>349</v>
      </c>
      <c r="BE4" s="431" t="s">
        <v>298</v>
      </c>
      <c r="BF4" s="432"/>
      <c r="BG4" s="432"/>
      <c r="BH4" s="432"/>
      <c r="BI4" s="432"/>
      <c r="BJ4" s="432"/>
      <c r="BK4" s="433"/>
      <c r="BN4" s="400" t="s">
        <v>319</v>
      </c>
      <c r="BO4" s="397" t="s">
        <v>320</v>
      </c>
      <c r="BP4" s="468" t="s">
        <v>321</v>
      </c>
      <c r="BQ4" s="468"/>
      <c r="BR4" s="468"/>
      <c r="BS4" s="468"/>
      <c r="BT4" s="468"/>
      <c r="BU4" s="468"/>
      <c r="BV4" s="468"/>
      <c r="BW4" s="468"/>
      <c r="BX4" s="468"/>
      <c r="BY4" s="468"/>
      <c r="BZ4" s="468"/>
      <c r="CB4" s="469" t="s">
        <v>339</v>
      </c>
      <c r="CD4" s="400" t="s">
        <v>319</v>
      </c>
      <c r="CE4" s="397" t="s">
        <v>320</v>
      </c>
      <c r="CF4" s="468" t="s">
        <v>321</v>
      </c>
      <c r="CG4" s="468"/>
      <c r="CH4" s="468"/>
      <c r="CI4" s="468"/>
      <c r="CJ4" s="468"/>
      <c r="CK4" s="468"/>
      <c r="CL4" s="468"/>
      <c r="CM4" s="468"/>
      <c r="CN4" s="468"/>
      <c r="CO4" s="468"/>
      <c r="CP4" s="468"/>
      <c r="DV4" s="513" t="s">
        <v>350</v>
      </c>
      <c r="DW4" s="514"/>
      <c r="DX4" s="514"/>
      <c r="DY4" s="514"/>
      <c r="DZ4" s="514"/>
      <c r="EA4" s="514"/>
      <c r="EB4" s="515"/>
      <c r="ED4" s="50"/>
      <c r="EE4" s="51"/>
      <c r="EG4" s="533"/>
      <c r="EH4" s="533"/>
      <c r="EI4" s="429"/>
      <c r="EJ4" s="429"/>
      <c r="EK4" s="511"/>
      <c r="EL4" s="511"/>
      <c r="EM4" s="511"/>
      <c r="EN4" s="511"/>
      <c r="EO4" s="511"/>
      <c r="EP4" s="511"/>
      <c r="EQ4" s="429"/>
      <c r="ER4" s="429"/>
      <c r="ES4" s="429"/>
      <c r="ET4" s="429"/>
      <c r="EU4" s="429"/>
      <c r="EV4" s="429"/>
      <c r="EW4" s="511"/>
      <c r="EX4" s="511"/>
      <c r="EY4" s="511"/>
      <c r="EZ4" s="429"/>
      <c r="FA4" s="429"/>
      <c r="FB4" s="429"/>
      <c r="FC4" s="429"/>
      <c r="FD4" s="429"/>
      <c r="FE4" s="429"/>
      <c r="FF4" s="429"/>
      <c r="FH4" s="429"/>
      <c r="FI4" s="429"/>
      <c r="FJ4" s="429"/>
      <c r="FK4" s="429"/>
      <c r="FL4" s="429"/>
      <c r="FM4" s="429"/>
      <c r="FN4" s="429"/>
      <c r="FO4" s="429"/>
      <c r="FP4" s="429"/>
      <c r="FQ4" s="429"/>
      <c r="FR4" s="429"/>
      <c r="FS4" s="429"/>
      <c r="FT4" s="429"/>
      <c r="FU4" s="429"/>
      <c r="FV4" s="429"/>
      <c r="FX4" s="365" t="s">
        <v>624</v>
      </c>
      <c r="FY4" s="412" t="s">
        <v>319</v>
      </c>
      <c r="FZ4" s="397" t="s">
        <v>320</v>
      </c>
      <c r="GA4" s="397" t="s">
        <v>378</v>
      </c>
      <c r="GB4" s="397" t="s">
        <v>379</v>
      </c>
      <c r="GC4" s="397" t="s">
        <v>380</v>
      </c>
      <c r="GD4" s="397" t="s">
        <v>381</v>
      </c>
      <c r="GE4" s="397" t="s">
        <v>382</v>
      </c>
      <c r="GF4" s="27"/>
      <c r="GG4" s="397" t="s">
        <v>383</v>
      </c>
      <c r="GH4" s="397" t="s">
        <v>384</v>
      </c>
      <c r="GI4" s="27"/>
      <c r="GJ4" s="397" t="s">
        <v>385</v>
      </c>
      <c r="GK4" s="397" t="s">
        <v>386</v>
      </c>
      <c r="GO4" s="521" t="s">
        <v>431</v>
      </c>
      <c r="GP4" s="522"/>
      <c r="GQ4" s="522"/>
      <c r="GR4" s="522"/>
      <c r="GS4" s="522"/>
      <c r="GT4" s="523"/>
      <c r="GU4" s="87" t="s">
        <v>432</v>
      </c>
      <c r="GV4" s="521" t="s">
        <v>433</v>
      </c>
      <c r="GW4" s="523"/>
      <c r="GX4" s="88" t="s">
        <v>434</v>
      </c>
      <c r="GY4" s="89">
        <f>Jaticempaka!GY4</f>
        <v>20</v>
      </c>
      <c r="GZ4" s="423"/>
      <c r="HA4" s="83"/>
      <c r="HB4" s="83"/>
      <c r="HC4" s="426" t="s">
        <v>436</v>
      </c>
      <c r="HD4" s="427"/>
      <c r="HE4" s="427"/>
      <c r="HF4" s="427"/>
      <c r="HG4" s="427"/>
      <c r="HH4" s="427"/>
      <c r="HI4" s="428"/>
      <c r="HJ4" s="90"/>
      <c r="HK4" s="398" t="s">
        <v>437</v>
      </c>
      <c r="HL4" s="83"/>
      <c r="HM4" s="83"/>
      <c r="HN4" s="83"/>
      <c r="HO4" s="83"/>
      <c r="HS4" t="s">
        <v>438</v>
      </c>
      <c r="IM4" s="83"/>
      <c r="IN4" s="83"/>
      <c r="IO4" s="83"/>
      <c r="IP4" s="83"/>
      <c r="IQ4" s="83"/>
      <c r="IR4" s="83"/>
      <c r="IS4" s="83"/>
      <c r="IT4" s="83"/>
      <c r="IU4" s="83"/>
      <c r="IV4" s="83"/>
      <c r="IW4" s="83"/>
      <c r="IX4" s="83"/>
      <c r="IY4" s="83"/>
      <c r="IZ4" s="83"/>
      <c r="JA4" s="83"/>
      <c r="JB4" s="83"/>
      <c r="JC4" s="83"/>
      <c r="JD4" s="83"/>
      <c r="JE4" s="83"/>
      <c r="JF4" s="83"/>
      <c r="JG4" s="83"/>
      <c r="JH4" s="83"/>
      <c r="JI4" s="83"/>
      <c r="JJ4" s="83"/>
      <c r="JK4" s="83"/>
      <c r="JP4" s="400" t="s">
        <v>319</v>
      </c>
      <c r="JQ4" s="397" t="s">
        <v>320</v>
      </c>
      <c r="JR4" s="468" t="s">
        <v>321</v>
      </c>
      <c r="JS4" s="468"/>
      <c r="JT4" s="468"/>
      <c r="JU4" s="468"/>
      <c r="JV4" s="468"/>
      <c r="JW4" s="468"/>
      <c r="JX4" s="468"/>
      <c r="JY4" s="468"/>
      <c r="JZ4" s="468"/>
      <c r="KA4" s="468"/>
      <c r="KB4" s="468"/>
      <c r="KD4" s="400" t="s">
        <v>626</v>
      </c>
      <c r="KE4" s="400" t="s">
        <v>627</v>
      </c>
      <c r="KF4" s="400" t="s">
        <v>319</v>
      </c>
      <c r="KG4" s="397" t="s">
        <v>320</v>
      </c>
      <c r="KH4" s="468" t="s">
        <v>321</v>
      </c>
      <c r="KI4" s="468"/>
      <c r="KJ4" s="468"/>
      <c r="KK4" s="468"/>
      <c r="KL4" s="468"/>
      <c r="KM4" s="468"/>
      <c r="KN4" s="468"/>
      <c r="KO4" s="468"/>
      <c r="KP4" s="468"/>
      <c r="KQ4" s="468"/>
      <c r="KR4" s="468"/>
      <c r="KS4">
        <v>4</v>
      </c>
      <c r="KT4" t="s">
        <v>583</v>
      </c>
      <c r="LF4">
        <v>1</v>
      </c>
      <c r="LM4">
        <v>2</v>
      </c>
      <c r="LT4">
        <v>3</v>
      </c>
      <c r="MA4">
        <v>4</v>
      </c>
      <c r="MK4">
        <v>5</v>
      </c>
      <c r="MP4">
        <v>6</v>
      </c>
      <c r="MX4">
        <v>7</v>
      </c>
      <c r="NZ4" s="341" t="s">
        <v>592</v>
      </c>
      <c r="PO4" s="561"/>
      <c r="PP4" s="563"/>
      <c r="PQ4" s="563"/>
    </row>
    <row r="5" spans="1:437" ht="18" customHeight="1" x14ac:dyDescent="0.2">
      <c r="A5" s="590"/>
      <c r="B5" s="590"/>
      <c r="C5" s="590"/>
      <c r="D5" s="592"/>
      <c r="E5" s="461"/>
      <c r="F5" s="600" t="s">
        <v>6</v>
      </c>
      <c r="G5" s="600"/>
      <c r="H5" s="600"/>
      <c r="I5" s="600"/>
      <c r="J5" s="593" t="s">
        <v>283</v>
      </c>
      <c r="K5" s="594" t="s">
        <v>283</v>
      </c>
      <c r="L5" s="594" t="s">
        <v>283</v>
      </c>
      <c r="M5" s="594" t="s">
        <v>283</v>
      </c>
      <c r="N5" s="594" t="s">
        <v>283</v>
      </c>
      <c r="O5" s="594" t="s">
        <v>283</v>
      </c>
      <c r="P5" s="594" t="s">
        <v>283</v>
      </c>
      <c r="Q5" s="595" t="s">
        <v>283</v>
      </c>
      <c r="R5" s="600" t="s">
        <v>8</v>
      </c>
      <c r="S5" s="600"/>
      <c r="T5" s="600"/>
      <c r="U5" s="600"/>
      <c r="V5" s="600" t="s">
        <v>9</v>
      </c>
      <c r="W5" s="600"/>
      <c r="X5" s="600"/>
      <c r="Y5" s="600"/>
      <c r="Z5" s="600"/>
      <c r="AA5" s="600" t="s">
        <v>396</v>
      </c>
      <c r="AB5" s="600"/>
      <c r="AC5" s="600"/>
      <c r="AD5" s="600"/>
      <c r="AE5" s="600"/>
      <c r="AF5" s="452"/>
      <c r="AG5" s="596"/>
      <c r="AH5" s="453"/>
      <c r="AI5" s="449" t="s">
        <v>262</v>
      </c>
      <c r="AJ5" s="450"/>
      <c r="AK5" s="451"/>
      <c r="AL5" s="460"/>
      <c r="AM5" s="461"/>
      <c r="AN5" s="430"/>
      <c r="BB5" s="571"/>
      <c r="BE5" s="434"/>
      <c r="BF5" s="435"/>
      <c r="BG5" s="435"/>
      <c r="BH5" s="435"/>
      <c r="BI5" s="435"/>
      <c r="BJ5" s="435"/>
      <c r="BK5" s="436"/>
      <c r="BN5" s="400"/>
      <c r="BO5" s="397"/>
      <c r="BP5" s="472" t="s">
        <v>315</v>
      </c>
      <c r="BQ5" s="472"/>
      <c r="BR5" s="472"/>
      <c r="BS5" s="472"/>
      <c r="BT5" s="472"/>
      <c r="BU5" s="472"/>
      <c r="BV5" s="472"/>
      <c r="BW5" s="472" t="s">
        <v>330</v>
      </c>
      <c r="BX5" s="472"/>
      <c r="BY5" s="472"/>
      <c r="BZ5" s="472"/>
      <c r="CB5" s="470"/>
      <c r="CD5" s="400"/>
      <c r="CE5" s="397"/>
      <c r="CF5" s="472" t="s">
        <v>315</v>
      </c>
      <c r="CG5" s="472"/>
      <c r="CH5" s="472"/>
      <c r="CI5" s="472"/>
      <c r="CJ5" s="472"/>
      <c r="CK5" s="472"/>
      <c r="CL5" s="472"/>
      <c r="CM5" s="472" t="s">
        <v>330</v>
      </c>
      <c r="CN5" s="472"/>
      <c r="CO5" s="472"/>
      <c r="CP5" s="472"/>
      <c r="DV5" s="516"/>
      <c r="DW5" s="517"/>
      <c r="DX5" s="517"/>
      <c r="DY5" s="517"/>
      <c r="DZ5" s="517"/>
      <c r="EA5" s="517"/>
      <c r="EB5" s="518"/>
      <c r="ED5" s="52" t="s">
        <v>361</v>
      </c>
      <c r="EE5" s="51"/>
      <c r="EG5" s="533"/>
      <c r="EH5" s="533"/>
      <c r="EI5" s="429"/>
      <c r="EJ5" s="429"/>
      <c r="EK5" s="511"/>
      <c r="EL5" s="511"/>
      <c r="EM5" s="511"/>
      <c r="EN5" s="511"/>
      <c r="EO5" s="511"/>
      <c r="EP5" s="511"/>
      <c r="EQ5" s="429"/>
      <c r="ER5" s="429"/>
      <c r="ES5" s="429"/>
      <c r="ET5" s="429"/>
      <c r="EU5" s="429"/>
      <c r="EV5" s="429"/>
      <c r="EW5" s="511"/>
      <c r="EX5" s="511"/>
      <c r="EY5" s="511"/>
      <c r="EZ5" s="429"/>
      <c r="FA5" s="429"/>
      <c r="FB5" s="429"/>
      <c r="FC5" s="429"/>
      <c r="FD5" s="429"/>
      <c r="FE5" s="429"/>
      <c r="FF5" s="429"/>
      <c r="FH5" s="429"/>
      <c r="FI5" s="429"/>
      <c r="FJ5" s="429"/>
      <c r="FK5" s="429"/>
      <c r="FL5" s="429"/>
      <c r="FM5" s="429"/>
      <c r="FN5" s="429"/>
      <c r="FO5" s="429"/>
      <c r="FP5" s="429"/>
      <c r="FQ5" s="429"/>
      <c r="FR5" s="429"/>
      <c r="FS5" s="429"/>
      <c r="FT5" s="429"/>
      <c r="FU5" s="429"/>
      <c r="FV5" s="429"/>
      <c r="FX5" s="366"/>
      <c r="FY5" s="413"/>
      <c r="FZ5" s="397"/>
      <c r="GA5" s="397"/>
      <c r="GB5" s="397"/>
      <c r="GC5" s="397"/>
      <c r="GD5" s="397"/>
      <c r="GE5" s="397"/>
      <c r="GF5" s="27"/>
      <c r="GG5" s="397"/>
      <c r="GH5" s="397"/>
      <c r="GI5" s="27"/>
      <c r="GJ5" s="397"/>
      <c r="GK5" s="397"/>
      <c r="GO5" s="524"/>
      <c r="GP5" s="525"/>
      <c r="GQ5" s="525"/>
      <c r="GR5" s="525"/>
      <c r="GS5" s="525"/>
      <c r="GT5" s="526"/>
      <c r="GU5" s="91" t="s">
        <v>439</v>
      </c>
      <c r="GV5" s="524"/>
      <c r="GW5" s="526"/>
      <c r="GX5" s="92" t="s">
        <v>440</v>
      </c>
      <c r="GY5" s="93">
        <f>Jaticempaka!GY5</f>
        <v>20</v>
      </c>
      <c r="GZ5" s="424"/>
      <c r="HA5" s="83"/>
      <c r="HB5" s="83"/>
      <c r="HC5" s="399" t="s">
        <v>441</v>
      </c>
      <c r="HD5" s="399" t="s">
        <v>442</v>
      </c>
      <c r="HE5" s="399" t="s">
        <v>18</v>
      </c>
      <c r="HF5" s="399" t="s">
        <v>443</v>
      </c>
      <c r="HG5" s="399" t="s">
        <v>444</v>
      </c>
      <c r="HH5" s="398" t="s">
        <v>445</v>
      </c>
      <c r="HI5" s="398" t="s">
        <v>446</v>
      </c>
      <c r="HJ5" s="90"/>
      <c r="HK5" s="399"/>
      <c r="HL5" s="83"/>
      <c r="HM5" s="83"/>
      <c r="HN5" s="83"/>
      <c r="HO5" s="83"/>
      <c r="HP5">
        <v>1</v>
      </c>
      <c r="HS5" s="94">
        <v>2</v>
      </c>
      <c r="HV5">
        <v>3</v>
      </c>
      <c r="HY5">
        <v>4</v>
      </c>
      <c r="IB5">
        <v>5</v>
      </c>
      <c r="IE5">
        <v>6</v>
      </c>
      <c r="IH5">
        <v>7</v>
      </c>
      <c r="IK5">
        <v>8</v>
      </c>
      <c r="IM5" s="83"/>
      <c r="IN5" s="83"/>
      <c r="IO5" s="83"/>
      <c r="IP5" s="83"/>
      <c r="IQ5" s="83"/>
      <c r="IR5" s="83"/>
      <c r="IS5" s="83"/>
      <c r="IT5" s="83"/>
      <c r="IU5" s="83"/>
      <c r="IV5" s="83"/>
      <c r="IW5" s="83"/>
      <c r="IX5" s="83"/>
      <c r="IY5" s="83"/>
      <c r="IZ5" s="83"/>
      <c r="JA5" s="83"/>
      <c r="JB5" s="83"/>
      <c r="JC5" s="83"/>
      <c r="JD5" s="83"/>
      <c r="JE5" s="83"/>
      <c r="JF5" s="83"/>
      <c r="JG5" s="83"/>
      <c r="JH5" s="83"/>
      <c r="JI5" s="83"/>
      <c r="JJ5" s="83"/>
      <c r="JK5" s="83"/>
      <c r="JP5" s="400"/>
      <c r="JQ5" s="397"/>
      <c r="JR5" s="472" t="s">
        <v>315</v>
      </c>
      <c r="JS5" s="472"/>
      <c r="JT5" s="472"/>
      <c r="JU5" s="472"/>
      <c r="JV5" s="472"/>
      <c r="JW5" s="472"/>
      <c r="JX5" s="472"/>
      <c r="JY5" s="472" t="s">
        <v>330</v>
      </c>
      <c r="JZ5" s="472"/>
      <c r="KA5" s="472"/>
      <c r="KB5" s="472"/>
      <c r="KD5" s="400"/>
      <c r="KE5" s="400"/>
      <c r="KF5" s="400"/>
      <c r="KG5" s="397"/>
      <c r="KH5" s="472" t="s">
        <v>315</v>
      </c>
      <c r="KI5" s="472"/>
      <c r="KJ5" s="472"/>
      <c r="KK5" s="472"/>
      <c r="KL5" s="472"/>
      <c r="KM5" s="472"/>
      <c r="KN5" s="472"/>
      <c r="KO5" s="472" t="s">
        <v>330</v>
      </c>
      <c r="KP5" s="472"/>
      <c r="KQ5" s="472"/>
      <c r="KR5" s="472"/>
      <c r="KS5">
        <v>5</v>
      </c>
      <c r="KT5" t="s">
        <v>519</v>
      </c>
      <c r="KU5" s="534" t="s">
        <v>509</v>
      </c>
      <c r="KV5" s="534" t="s">
        <v>510</v>
      </c>
      <c r="KW5" s="536" t="s">
        <v>11</v>
      </c>
      <c r="KX5" s="537" t="s">
        <v>511</v>
      </c>
      <c r="KY5" s="537" t="s">
        <v>434</v>
      </c>
      <c r="KZ5" s="540" t="s">
        <v>512</v>
      </c>
      <c r="LA5" s="540"/>
      <c r="LB5" s="540" t="s">
        <v>513</v>
      </c>
      <c r="LC5" s="540"/>
      <c r="LD5" s="541" t="s">
        <v>514</v>
      </c>
      <c r="LE5" s="541"/>
      <c r="LF5" s="544" t="s">
        <v>515</v>
      </c>
      <c r="LG5" s="544"/>
      <c r="LH5" s="544"/>
      <c r="LI5" s="544"/>
      <c r="LJ5" s="544"/>
      <c r="LK5" s="544"/>
      <c r="LL5" s="544"/>
      <c r="LM5" s="547" t="s">
        <v>516</v>
      </c>
      <c r="LN5" s="547"/>
      <c r="LO5" s="547"/>
      <c r="LP5" s="547"/>
      <c r="LQ5" s="547"/>
      <c r="LR5" s="547"/>
      <c r="LS5" s="547"/>
      <c r="LT5" s="548" t="s">
        <v>517</v>
      </c>
      <c r="LU5" s="548"/>
      <c r="LV5" s="548"/>
      <c r="LW5" s="548"/>
      <c r="LX5" s="548"/>
      <c r="LY5" s="548"/>
      <c r="LZ5" s="548"/>
      <c r="MA5" s="549" t="s">
        <v>518</v>
      </c>
      <c r="MB5" s="549"/>
      <c r="MC5" s="549"/>
      <c r="MD5" s="549"/>
      <c r="ME5" s="549"/>
      <c r="MF5" s="549"/>
      <c r="MG5" s="549"/>
      <c r="MH5" s="549"/>
      <c r="MI5" s="549"/>
      <c r="MJ5" s="549"/>
      <c r="MK5" s="550" t="s">
        <v>519</v>
      </c>
      <c r="ML5" s="551"/>
      <c r="MM5" s="551"/>
      <c r="MN5" s="551"/>
      <c r="MO5" s="552"/>
      <c r="MP5" s="372" t="s">
        <v>520</v>
      </c>
      <c r="MQ5" s="373"/>
      <c r="MR5" s="373"/>
      <c r="MS5" s="373"/>
      <c r="MT5" s="373"/>
      <c r="MU5" s="373"/>
      <c r="MV5" s="373"/>
      <c r="MW5" s="374"/>
      <c r="MX5" s="375" t="s">
        <v>575</v>
      </c>
      <c r="MY5" s="376"/>
      <c r="MZ5" s="376"/>
      <c r="NA5" s="376"/>
      <c r="NB5" s="377"/>
      <c r="NC5" s="378" t="s">
        <v>521</v>
      </c>
      <c r="ND5" s="379"/>
      <c r="NE5" s="380"/>
      <c r="NF5" s="384" t="s">
        <v>522</v>
      </c>
      <c r="NG5" s="385"/>
      <c r="NH5" s="385"/>
      <c r="NI5" s="386"/>
      <c r="NJ5" s="350" t="s">
        <v>523</v>
      </c>
      <c r="NK5" s="370" t="s">
        <v>524</v>
      </c>
      <c r="NZ5" s="341"/>
      <c r="OE5" s="340" t="s">
        <v>596</v>
      </c>
      <c r="OF5" s="340" t="s">
        <v>597</v>
      </c>
      <c r="OG5" s="340" t="s">
        <v>457</v>
      </c>
      <c r="OH5" s="340" t="s">
        <v>303</v>
      </c>
      <c r="OI5" s="340" t="s">
        <v>598</v>
      </c>
      <c r="OJ5" s="340" t="s">
        <v>599</v>
      </c>
      <c r="OK5" s="340" t="s">
        <v>600</v>
      </c>
      <c r="OL5" s="340" t="s">
        <v>601</v>
      </c>
      <c r="OM5" s="340" t="s">
        <v>602</v>
      </c>
      <c r="OO5" s="340" t="s">
        <v>596</v>
      </c>
      <c r="OP5" s="340" t="s">
        <v>597</v>
      </c>
      <c r="OQ5" s="340" t="s">
        <v>457</v>
      </c>
      <c r="OR5" s="340" t="s">
        <v>303</v>
      </c>
      <c r="OS5" s="340" t="s">
        <v>598</v>
      </c>
      <c r="OT5" s="340" t="s">
        <v>599</v>
      </c>
      <c r="OU5" s="340" t="s">
        <v>600</v>
      </c>
      <c r="OV5" s="340" t="s">
        <v>601</v>
      </c>
      <c r="OW5" s="340" t="s">
        <v>602</v>
      </c>
      <c r="PA5" s="529" t="s">
        <v>617</v>
      </c>
      <c r="PB5" s="529"/>
      <c r="PC5" s="529"/>
      <c r="PD5" s="529"/>
      <c r="PE5" s="529"/>
      <c r="PF5" s="529"/>
      <c r="PG5" s="529"/>
      <c r="PH5" s="529"/>
      <c r="PI5" s="529"/>
      <c r="PJ5" s="529"/>
      <c r="PK5" s="529"/>
      <c r="PL5" s="529"/>
      <c r="PO5" s="561"/>
      <c r="PP5" s="563"/>
      <c r="PQ5" s="563"/>
    </row>
    <row r="6" spans="1:437" ht="14.75" customHeight="1" x14ac:dyDescent="0.2">
      <c r="A6" s="590"/>
      <c r="B6" s="590"/>
      <c r="C6" s="590"/>
      <c r="D6" s="592"/>
      <c r="E6" s="461"/>
      <c r="F6" s="601"/>
      <c r="G6" s="601"/>
      <c r="H6" s="601"/>
      <c r="I6" s="601"/>
      <c r="J6" s="449" t="s">
        <v>284</v>
      </c>
      <c r="K6" s="450" t="s">
        <v>284</v>
      </c>
      <c r="L6" s="450" t="s">
        <v>284</v>
      </c>
      <c r="M6" s="451" t="s">
        <v>284</v>
      </c>
      <c r="N6" s="449" t="s">
        <v>7</v>
      </c>
      <c r="O6" s="450" t="s">
        <v>285</v>
      </c>
      <c r="P6" s="450" t="s">
        <v>285</v>
      </c>
      <c r="Q6" s="451" t="s">
        <v>285</v>
      </c>
      <c r="R6" s="601"/>
      <c r="S6" s="601"/>
      <c r="T6" s="601"/>
      <c r="U6" s="601"/>
      <c r="V6" s="601"/>
      <c r="W6" s="601"/>
      <c r="X6" s="601"/>
      <c r="Y6" s="601"/>
      <c r="Z6" s="601"/>
      <c r="AA6" s="601"/>
      <c r="AB6" s="601"/>
      <c r="AC6" s="601"/>
      <c r="AD6" s="601"/>
      <c r="AE6" s="601"/>
      <c r="AF6" s="462" t="s">
        <v>11</v>
      </c>
      <c r="AG6" s="597" t="s">
        <v>311</v>
      </c>
      <c r="AH6" s="465" t="s">
        <v>293</v>
      </c>
      <c r="AI6" s="460"/>
      <c r="AJ6" s="592"/>
      <c r="AK6" s="461"/>
      <c r="AL6" s="462" t="s">
        <v>265</v>
      </c>
      <c r="AM6" s="465" t="s">
        <v>9</v>
      </c>
      <c r="AN6" s="430"/>
      <c r="BB6" s="571"/>
      <c r="BE6" s="454" t="s">
        <v>11</v>
      </c>
      <c r="BF6" s="457" t="s">
        <v>306</v>
      </c>
      <c r="BG6" s="457" t="s">
        <v>307</v>
      </c>
      <c r="BH6" s="457" t="s">
        <v>308</v>
      </c>
      <c r="BI6" s="457" t="s">
        <v>309</v>
      </c>
      <c r="BJ6" s="457"/>
      <c r="BK6" s="457" t="s">
        <v>310</v>
      </c>
      <c r="BN6" s="400"/>
      <c r="BO6" s="397"/>
      <c r="BP6" s="472" t="s">
        <v>316</v>
      </c>
      <c r="BQ6" s="472"/>
      <c r="BR6" s="472"/>
      <c r="BS6" s="472"/>
      <c r="BT6" s="472"/>
      <c r="BU6" s="473" t="s">
        <v>325</v>
      </c>
      <c r="BV6" s="474"/>
      <c r="BW6" s="475" t="s">
        <v>331</v>
      </c>
      <c r="BX6" s="472" t="s">
        <v>332</v>
      </c>
      <c r="BY6" s="472"/>
      <c r="BZ6" s="472"/>
      <c r="CB6" s="470"/>
      <c r="CD6" s="400"/>
      <c r="CE6" s="397"/>
      <c r="CF6" s="472" t="s">
        <v>316</v>
      </c>
      <c r="CG6" s="472"/>
      <c r="CH6" s="472"/>
      <c r="CI6" s="472"/>
      <c r="CJ6" s="472"/>
      <c r="CK6" s="473" t="s">
        <v>325</v>
      </c>
      <c r="CL6" s="474"/>
      <c r="CM6" s="475" t="s">
        <v>331</v>
      </c>
      <c r="CN6" s="472" t="s">
        <v>332</v>
      </c>
      <c r="CO6" s="472"/>
      <c r="CP6" s="472"/>
      <c r="DV6" s="530" t="s">
        <v>11</v>
      </c>
      <c r="DW6" s="476" t="s">
        <v>300</v>
      </c>
      <c r="DX6" s="476" t="s">
        <v>301</v>
      </c>
      <c r="DY6" s="476" t="s">
        <v>343</v>
      </c>
      <c r="DZ6" s="476" t="s">
        <v>302</v>
      </c>
      <c r="EA6" s="476" t="s">
        <v>351</v>
      </c>
      <c r="EB6" s="476" t="s">
        <v>18</v>
      </c>
      <c r="ED6" s="50"/>
      <c r="EE6" s="51"/>
      <c r="EG6" s="533"/>
      <c r="EH6" s="533"/>
      <c r="EI6" s="429"/>
      <c r="EJ6" s="429"/>
      <c r="EK6" s="511"/>
      <c r="EL6" s="511"/>
      <c r="EM6" s="511"/>
      <c r="EN6" s="511"/>
      <c r="EO6" s="511"/>
      <c r="EP6" s="511"/>
      <c r="EQ6" s="429"/>
      <c r="ER6" s="429"/>
      <c r="ES6" s="429"/>
      <c r="ET6" s="429"/>
      <c r="EU6" s="429"/>
      <c r="EV6" s="429"/>
      <c r="EW6" s="511"/>
      <c r="EX6" s="511"/>
      <c r="EY6" s="511"/>
      <c r="EZ6" s="429"/>
      <c r="FA6" s="429"/>
      <c r="FB6" s="429"/>
      <c r="FC6" s="429"/>
      <c r="FD6" s="429"/>
      <c r="FE6" s="429"/>
      <c r="FF6" s="429"/>
      <c r="FH6" s="429"/>
      <c r="FI6" s="429"/>
      <c r="FJ6" s="429"/>
      <c r="FK6" s="429"/>
      <c r="FL6" s="429"/>
      <c r="FM6" s="429"/>
      <c r="FN6" s="429"/>
      <c r="FO6" s="429"/>
      <c r="FP6" s="429"/>
      <c r="FQ6" s="429"/>
      <c r="FR6" s="429"/>
      <c r="FS6" s="429"/>
      <c r="FT6" s="429"/>
      <c r="FU6" s="429"/>
      <c r="FV6" s="429"/>
      <c r="FX6" s="366"/>
      <c r="FY6" s="413"/>
      <c r="FZ6" s="397"/>
      <c r="GA6" s="397"/>
      <c r="GB6" s="397"/>
      <c r="GC6" s="397"/>
      <c r="GD6" s="397"/>
      <c r="GE6" s="397"/>
      <c r="GF6" s="27"/>
      <c r="GG6" s="397"/>
      <c r="GH6" s="397"/>
      <c r="GI6" s="27"/>
      <c r="GJ6" s="397"/>
      <c r="GK6" s="397"/>
      <c r="GO6" s="423" t="s">
        <v>434</v>
      </c>
      <c r="GP6" s="423" t="s">
        <v>440</v>
      </c>
      <c r="GQ6" s="423" t="s">
        <v>7</v>
      </c>
      <c r="GR6" s="423" t="s">
        <v>265</v>
      </c>
      <c r="GS6" s="423" t="s">
        <v>447</v>
      </c>
      <c r="GT6" s="423" t="s">
        <v>448</v>
      </c>
      <c r="GU6" s="91"/>
      <c r="GV6" s="527"/>
      <c r="GW6" s="528"/>
      <c r="GX6" s="92" t="s">
        <v>7</v>
      </c>
      <c r="GY6" s="93">
        <f>Jaticempaka!GY6</f>
        <v>10</v>
      </c>
      <c r="GZ6" s="424"/>
      <c r="HA6" s="83"/>
      <c r="HB6" s="83"/>
      <c r="HC6" s="399"/>
      <c r="HD6" s="399"/>
      <c r="HE6" s="399"/>
      <c r="HF6" s="399"/>
      <c r="HG6" s="399"/>
      <c r="HH6" s="399"/>
      <c r="HI6" s="399"/>
      <c r="HJ6" s="90"/>
      <c r="HK6" s="399"/>
      <c r="HL6" s="83"/>
      <c r="HM6" s="83"/>
      <c r="HN6" s="83"/>
      <c r="HO6" s="83"/>
      <c r="HP6" s="418" t="s">
        <v>449</v>
      </c>
      <c r="HQ6" s="419"/>
      <c r="HR6" s="420"/>
      <c r="HS6" s="406" t="s">
        <v>450</v>
      </c>
      <c r="HT6" s="407"/>
      <c r="HU6" s="408"/>
      <c r="HV6" s="415" t="s">
        <v>451</v>
      </c>
      <c r="HW6" s="416"/>
      <c r="HX6" s="416"/>
      <c r="HY6" s="416"/>
      <c r="HZ6" s="416"/>
      <c r="IA6" s="417"/>
      <c r="IB6" s="403" t="s">
        <v>452</v>
      </c>
      <c r="IC6" s="404"/>
      <c r="ID6" s="404"/>
      <c r="IE6" s="404"/>
      <c r="IF6" s="404"/>
      <c r="IG6" s="405"/>
      <c r="IH6" s="403" t="s">
        <v>453</v>
      </c>
      <c r="II6" s="404"/>
      <c r="IJ6" s="404"/>
      <c r="IK6" s="404"/>
      <c r="IL6" s="404"/>
      <c r="IM6" s="405"/>
      <c r="IN6" s="83"/>
      <c r="IO6" s="406" t="s">
        <v>454</v>
      </c>
      <c r="IP6" s="407"/>
      <c r="IQ6" s="408"/>
      <c r="IR6" s="83"/>
      <c r="IS6" s="406" t="s">
        <v>455</v>
      </c>
      <c r="IT6" s="407"/>
      <c r="IU6" s="408"/>
      <c r="IV6" s="83"/>
      <c r="IW6" s="406" t="s">
        <v>456</v>
      </c>
      <c r="IX6" s="407"/>
      <c r="IY6" s="408"/>
      <c r="IZ6" s="83"/>
      <c r="JA6" s="406" t="s">
        <v>457</v>
      </c>
      <c r="JB6" s="407"/>
      <c r="JC6" s="408"/>
      <c r="JD6" s="83"/>
      <c r="JE6" s="406" t="s">
        <v>18</v>
      </c>
      <c r="JF6" s="407"/>
      <c r="JG6" s="408"/>
      <c r="JH6" s="83"/>
      <c r="JI6" s="406" t="s">
        <v>458</v>
      </c>
      <c r="JJ6" s="407"/>
      <c r="JK6" s="408"/>
      <c r="JP6" s="400"/>
      <c r="JQ6" s="397"/>
      <c r="JR6" s="472" t="s">
        <v>316</v>
      </c>
      <c r="JS6" s="472"/>
      <c r="JT6" s="472"/>
      <c r="JU6" s="472"/>
      <c r="JV6" s="472"/>
      <c r="JW6" s="473" t="s">
        <v>325</v>
      </c>
      <c r="JX6" s="474"/>
      <c r="JY6" s="475" t="s">
        <v>331</v>
      </c>
      <c r="JZ6" s="472" t="s">
        <v>332</v>
      </c>
      <c r="KA6" s="472"/>
      <c r="KB6" s="472"/>
      <c r="KD6" s="400"/>
      <c r="KE6" s="400"/>
      <c r="KF6" s="400"/>
      <c r="KG6" s="397"/>
      <c r="KH6" s="472" t="s">
        <v>316</v>
      </c>
      <c r="KI6" s="472"/>
      <c r="KJ6" s="472"/>
      <c r="KK6" s="472"/>
      <c r="KL6" s="472"/>
      <c r="KM6" s="473" t="s">
        <v>325</v>
      </c>
      <c r="KN6" s="474"/>
      <c r="KO6" s="475" t="s">
        <v>331</v>
      </c>
      <c r="KP6" s="472" t="s">
        <v>332</v>
      </c>
      <c r="KQ6" s="472"/>
      <c r="KR6" s="472"/>
      <c r="KS6">
        <v>6</v>
      </c>
      <c r="KT6" t="s">
        <v>584</v>
      </c>
      <c r="KU6" s="535"/>
      <c r="KV6" s="535"/>
      <c r="KW6" s="536"/>
      <c r="KX6" s="538"/>
      <c r="KY6" s="538"/>
      <c r="KZ6" s="540"/>
      <c r="LA6" s="540"/>
      <c r="LB6" s="540"/>
      <c r="LC6" s="540"/>
      <c r="LD6" s="542"/>
      <c r="LE6" s="542"/>
      <c r="LF6" s="545" t="s">
        <v>525</v>
      </c>
      <c r="LG6" s="545" t="s">
        <v>526</v>
      </c>
      <c r="LH6" s="546" t="s">
        <v>527</v>
      </c>
      <c r="LI6" s="545" t="s">
        <v>528</v>
      </c>
      <c r="LJ6" s="545" t="s">
        <v>529</v>
      </c>
      <c r="LK6" s="545" t="s">
        <v>530</v>
      </c>
      <c r="LL6" s="545" t="s">
        <v>531</v>
      </c>
      <c r="LM6" s="396" t="s">
        <v>532</v>
      </c>
      <c r="LN6" s="396" t="s">
        <v>533</v>
      </c>
      <c r="LO6" s="553" t="s">
        <v>534</v>
      </c>
      <c r="LP6" s="554" t="s">
        <v>535</v>
      </c>
      <c r="LQ6" s="396" t="s">
        <v>529</v>
      </c>
      <c r="LR6" s="396" t="s">
        <v>536</v>
      </c>
      <c r="LS6" s="396" t="s">
        <v>531</v>
      </c>
      <c r="LT6" s="356" t="s">
        <v>537</v>
      </c>
      <c r="LU6" s="356" t="s">
        <v>538</v>
      </c>
      <c r="LV6" s="356" t="s">
        <v>539</v>
      </c>
      <c r="LW6" s="356" t="s">
        <v>540</v>
      </c>
      <c r="LX6" s="356" t="s">
        <v>541</v>
      </c>
      <c r="LY6" s="356" t="s">
        <v>542</v>
      </c>
      <c r="LZ6" s="356" t="s">
        <v>531</v>
      </c>
      <c r="MA6" s="345" t="s">
        <v>543</v>
      </c>
      <c r="MB6" s="345" t="s">
        <v>544</v>
      </c>
      <c r="MC6" s="345" t="s">
        <v>545</v>
      </c>
      <c r="MD6" s="345" t="s">
        <v>546</v>
      </c>
      <c r="ME6" s="345" t="s">
        <v>547</v>
      </c>
      <c r="MF6" s="345" t="s">
        <v>548</v>
      </c>
      <c r="MG6" s="345" t="s">
        <v>549</v>
      </c>
      <c r="MH6" s="345" t="s">
        <v>550</v>
      </c>
      <c r="MI6" s="345" t="s">
        <v>529</v>
      </c>
      <c r="MJ6" s="345" t="s">
        <v>531</v>
      </c>
      <c r="MK6" s="342" t="s">
        <v>551</v>
      </c>
      <c r="ML6" s="342" t="s">
        <v>552</v>
      </c>
      <c r="MM6" s="342" t="s">
        <v>553</v>
      </c>
      <c r="MN6" s="342" t="s">
        <v>529</v>
      </c>
      <c r="MO6" s="342" t="s">
        <v>531</v>
      </c>
      <c r="MP6" s="362" t="s">
        <v>554</v>
      </c>
      <c r="MQ6" s="362" t="s">
        <v>555</v>
      </c>
      <c r="MR6" s="362" t="s">
        <v>556</v>
      </c>
      <c r="MS6" s="362" t="s">
        <v>557</v>
      </c>
      <c r="MT6" s="362" t="s">
        <v>558</v>
      </c>
      <c r="MU6" s="362" t="s">
        <v>529</v>
      </c>
      <c r="MV6" s="362" t="s">
        <v>559</v>
      </c>
      <c r="MW6" s="362" t="s">
        <v>531</v>
      </c>
      <c r="MX6" s="359" t="s">
        <v>576</v>
      </c>
      <c r="MY6" s="359" t="s">
        <v>577</v>
      </c>
      <c r="MZ6" s="359" t="s">
        <v>578</v>
      </c>
      <c r="NA6" s="359" t="s">
        <v>579</v>
      </c>
      <c r="NB6" s="359" t="s">
        <v>522</v>
      </c>
      <c r="NC6" s="381"/>
      <c r="ND6" s="382"/>
      <c r="NE6" s="383"/>
      <c r="NF6" s="387"/>
      <c r="NG6" s="388"/>
      <c r="NH6" s="388"/>
      <c r="NI6" s="389"/>
      <c r="NJ6" s="351"/>
      <c r="NK6" s="371"/>
      <c r="NZ6" s="341"/>
      <c r="OE6" s="340"/>
      <c r="OF6" s="340"/>
      <c r="OG6" s="340"/>
      <c r="OH6" s="340"/>
      <c r="OI6" s="340"/>
      <c r="OJ6" s="340"/>
      <c r="OK6" s="340"/>
      <c r="OL6" s="340"/>
      <c r="OM6" s="340"/>
      <c r="OO6" s="340"/>
      <c r="OP6" s="340"/>
      <c r="OQ6" s="340"/>
      <c r="OR6" s="340"/>
      <c r="OS6" s="340"/>
      <c r="OT6" s="340"/>
      <c r="OU6" s="340"/>
      <c r="OV6" s="340"/>
      <c r="OW6" s="340"/>
      <c r="PA6" s="415" t="s">
        <v>11</v>
      </c>
      <c r="PB6" s="416"/>
      <c r="PC6" s="416"/>
      <c r="PD6" s="416"/>
      <c r="PE6" s="416"/>
      <c r="PF6" s="417"/>
      <c r="PG6" s="355" t="s">
        <v>13</v>
      </c>
      <c r="PH6" s="355"/>
      <c r="PI6" s="355"/>
      <c r="PJ6" s="355"/>
      <c r="PK6" s="355"/>
      <c r="PL6" s="355"/>
      <c r="PO6" s="561"/>
      <c r="PP6" s="563"/>
      <c r="PQ6" s="563"/>
    </row>
    <row r="7" spans="1:437" ht="15.5" customHeight="1" x14ac:dyDescent="0.2">
      <c r="A7" s="590"/>
      <c r="B7" s="590"/>
      <c r="C7" s="590"/>
      <c r="D7" s="593" t="s">
        <v>10</v>
      </c>
      <c r="E7" s="595"/>
      <c r="F7" s="602"/>
      <c r="G7" s="602"/>
      <c r="H7" s="602"/>
      <c r="I7" s="602"/>
      <c r="J7" s="452" t="s">
        <v>284</v>
      </c>
      <c r="K7" s="596" t="s">
        <v>284</v>
      </c>
      <c r="L7" s="596" t="s">
        <v>284</v>
      </c>
      <c r="M7" s="453" t="s">
        <v>284</v>
      </c>
      <c r="N7" s="452" t="s">
        <v>285</v>
      </c>
      <c r="O7" s="596" t="s">
        <v>285</v>
      </c>
      <c r="P7" s="596" t="s">
        <v>285</v>
      </c>
      <c r="Q7" s="453" t="s">
        <v>285</v>
      </c>
      <c r="R7" s="602"/>
      <c r="S7" s="602"/>
      <c r="T7" s="602"/>
      <c r="U7" s="602"/>
      <c r="V7" s="602"/>
      <c r="W7" s="602"/>
      <c r="X7" s="602"/>
      <c r="Y7" s="602"/>
      <c r="Z7" s="602"/>
      <c r="AA7" s="602"/>
      <c r="AB7" s="602"/>
      <c r="AC7" s="602"/>
      <c r="AD7" s="602"/>
      <c r="AE7" s="602"/>
      <c r="AF7" s="463"/>
      <c r="AG7" s="598"/>
      <c r="AH7" s="466"/>
      <c r="AI7" s="452"/>
      <c r="AJ7" s="596"/>
      <c r="AK7" s="453"/>
      <c r="AL7" s="463"/>
      <c r="AM7" s="466"/>
      <c r="AN7" s="430"/>
      <c r="BB7" s="571"/>
      <c r="BE7" s="455"/>
      <c r="BF7" s="458"/>
      <c r="BG7" s="458"/>
      <c r="BH7" s="458"/>
      <c r="BI7" s="458"/>
      <c r="BJ7" s="458"/>
      <c r="BK7" s="458"/>
      <c r="BN7" s="400"/>
      <c r="BO7" s="397"/>
      <c r="BP7" s="397" t="s">
        <v>317</v>
      </c>
      <c r="BQ7" s="472" t="s">
        <v>318</v>
      </c>
      <c r="BR7" s="472"/>
      <c r="BS7" s="472" t="s">
        <v>322</v>
      </c>
      <c r="BT7" s="472"/>
      <c r="BU7" s="397" t="s">
        <v>327</v>
      </c>
      <c r="BV7" s="401" t="s">
        <v>326</v>
      </c>
      <c r="BW7" s="475"/>
      <c r="BX7" s="401" t="s">
        <v>333</v>
      </c>
      <c r="BY7" s="401" t="s">
        <v>334</v>
      </c>
      <c r="BZ7" s="397" t="s">
        <v>335</v>
      </c>
      <c r="CB7" s="470"/>
      <c r="CD7" s="400"/>
      <c r="CE7" s="397"/>
      <c r="CF7" s="397" t="s">
        <v>317</v>
      </c>
      <c r="CG7" s="472" t="s">
        <v>318</v>
      </c>
      <c r="CH7" s="472"/>
      <c r="CI7" s="472" t="s">
        <v>322</v>
      </c>
      <c r="CJ7" s="472"/>
      <c r="CK7" s="397" t="s">
        <v>327</v>
      </c>
      <c r="CL7" s="401" t="s">
        <v>326</v>
      </c>
      <c r="CM7" s="475"/>
      <c r="CN7" s="401" t="s">
        <v>333</v>
      </c>
      <c r="CO7" s="401" t="s">
        <v>334</v>
      </c>
      <c r="CP7" s="397" t="s">
        <v>335</v>
      </c>
      <c r="DV7" s="531"/>
      <c r="DW7" s="477"/>
      <c r="DX7" s="477"/>
      <c r="DY7" s="477"/>
      <c r="DZ7" s="477"/>
      <c r="EA7" s="477"/>
      <c r="EB7" s="477"/>
      <c r="ED7" s="50"/>
      <c r="EE7" s="51"/>
      <c r="EG7" s="533"/>
      <c r="EH7" s="533"/>
      <c r="EI7" s="429"/>
      <c r="EJ7" s="429"/>
      <c r="EK7" s="512"/>
      <c r="EL7" s="512"/>
      <c r="EM7" s="512"/>
      <c r="EN7" s="512"/>
      <c r="EO7" s="512"/>
      <c r="EP7" s="512"/>
      <c r="EQ7" s="429"/>
      <c r="ER7" s="429"/>
      <c r="ES7" s="429"/>
      <c r="ET7" s="429"/>
      <c r="EU7" s="429"/>
      <c r="EV7" s="429"/>
      <c r="EW7" s="512"/>
      <c r="EX7" s="512"/>
      <c r="EY7" s="512"/>
      <c r="EZ7" s="429"/>
      <c r="FA7" s="429"/>
      <c r="FB7" s="429"/>
      <c r="FC7" s="429"/>
      <c r="FD7" s="429"/>
      <c r="FE7" s="429"/>
      <c r="FF7" s="429"/>
      <c r="FH7" s="429"/>
      <c r="FI7" s="429"/>
      <c r="FJ7" s="429"/>
      <c r="FK7" s="429"/>
      <c r="FL7" s="429"/>
      <c r="FM7" s="429"/>
      <c r="FN7" s="429"/>
      <c r="FO7" s="429"/>
      <c r="FP7" s="429"/>
      <c r="FQ7" s="429"/>
      <c r="FR7" s="429"/>
      <c r="FS7" s="429"/>
      <c r="FT7" s="429"/>
      <c r="FU7" s="429"/>
      <c r="FV7" s="429"/>
      <c r="FX7" s="366"/>
      <c r="FY7" s="413"/>
      <c r="FZ7" s="397"/>
      <c r="GA7" s="397"/>
      <c r="GB7" s="397"/>
      <c r="GC7" s="397"/>
      <c r="GD7" s="397"/>
      <c r="GE7" s="397"/>
      <c r="GF7" s="27"/>
      <c r="GG7" s="397"/>
      <c r="GH7" s="397"/>
      <c r="GI7" s="27"/>
      <c r="GJ7" s="397"/>
      <c r="GK7" s="397"/>
      <c r="GO7" s="424"/>
      <c r="GP7" s="424"/>
      <c r="GQ7" s="424"/>
      <c r="GR7" s="424"/>
      <c r="GS7" s="424"/>
      <c r="GT7" s="424"/>
      <c r="GU7" s="91"/>
      <c r="GV7" s="423" t="s">
        <v>459</v>
      </c>
      <c r="GW7" s="423" t="s">
        <v>460</v>
      </c>
      <c r="GX7" s="92" t="s">
        <v>265</v>
      </c>
      <c r="GY7" s="93">
        <f>Jaticempaka!GY7</f>
        <v>10</v>
      </c>
      <c r="GZ7" s="424"/>
      <c r="HA7" s="83"/>
      <c r="HB7" s="83"/>
      <c r="HC7" s="399"/>
      <c r="HD7" s="399"/>
      <c r="HE7" s="399"/>
      <c r="HF7" s="399"/>
      <c r="HG7" s="399"/>
      <c r="HH7" s="399"/>
      <c r="HI7" s="399"/>
      <c r="HJ7" s="90"/>
      <c r="HK7" s="399"/>
      <c r="HL7" s="83"/>
      <c r="HM7" s="83"/>
      <c r="HN7" s="83"/>
      <c r="HO7" s="83"/>
      <c r="HP7" s="421"/>
      <c r="HQ7" s="388"/>
      <c r="HR7" s="422"/>
      <c r="HS7" s="409"/>
      <c r="HT7" s="410"/>
      <c r="HU7" s="411"/>
      <c r="HV7" s="415" t="s">
        <v>461</v>
      </c>
      <c r="HW7" s="416"/>
      <c r="HX7" s="417"/>
      <c r="HY7" s="415" t="s">
        <v>462</v>
      </c>
      <c r="HZ7" s="416"/>
      <c r="IA7" s="417"/>
      <c r="IB7" s="415" t="s">
        <v>461</v>
      </c>
      <c r="IC7" s="416"/>
      <c r="ID7" s="417"/>
      <c r="IE7" s="415" t="s">
        <v>462</v>
      </c>
      <c r="IF7" s="416"/>
      <c r="IG7" s="417"/>
      <c r="IH7" s="415" t="s">
        <v>461</v>
      </c>
      <c r="II7" s="416"/>
      <c r="IJ7" s="417"/>
      <c r="IK7" s="415" t="s">
        <v>462</v>
      </c>
      <c r="IL7" s="416"/>
      <c r="IM7" s="417"/>
      <c r="IN7" s="83"/>
      <c r="IO7" s="409"/>
      <c r="IP7" s="410"/>
      <c r="IQ7" s="411"/>
      <c r="IR7" s="83"/>
      <c r="IS7" s="409"/>
      <c r="IT7" s="410"/>
      <c r="IU7" s="411"/>
      <c r="IV7" s="83"/>
      <c r="IW7" s="409"/>
      <c r="IX7" s="410"/>
      <c r="IY7" s="411"/>
      <c r="IZ7" s="83"/>
      <c r="JA7" s="409"/>
      <c r="JB7" s="410"/>
      <c r="JC7" s="411"/>
      <c r="JD7" s="83"/>
      <c r="JE7" s="409"/>
      <c r="JF7" s="410"/>
      <c r="JG7" s="411"/>
      <c r="JH7" s="83"/>
      <c r="JI7" s="409"/>
      <c r="JJ7" s="410"/>
      <c r="JK7" s="411"/>
      <c r="JP7" s="400"/>
      <c r="JQ7" s="397"/>
      <c r="JR7" s="397" t="s">
        <v>317</v>
      </c>
      <c r="JS7" s="472" t="s">
        <v>318</v>
      </c>
      <c r="JT7" s="472"/>
      <c r="JU7" s="472" t="s">
        <v>322</v>
      </c>
      <c r="JV7" s="472"/>
      <c r="JW7" s="397" t="s">
        <v>327</v>
      </c>
      <c r="JX7" s="401" t="s">
        <v>478</v>
      </c>
      <c r="JY7" s="475"/>
      <c r="JZ7" s="401" t="s">
        <v>333</v>
      </c>
      <c r="KA7" s="401" t="s">
        <v>334</v>
      </c>
      <c r="KB7" s="397" t="s">
        <v>335</v>
      </c>
      <c r="KD7" s="400"/>
      <c r="KE7" s="400"/>
      <c r="KF7" s="400"/>
      <c r="KG7" s="397"/>
      <c r="KH7" s="397" t="s">
        <v>317</v>
      </c>
      <c r="KI7" s="472" t="s">
        <v>318</v>
      </c>
      <c r="KJ7" s="472"/>
      <c r="KK7" s="472" t="s">
        <v>322</v>
      </c>
      <c r="KL7" s="472"/>
      <c r="KM7" s="397" t="s">
        <v>327</v>
      </c>
      <c r="KN7" s="401" t="s">
        <v>478</v>
      </c>
      <c r="KO7" s="475"/>
      <c r="KP7" s="401" t="s">
        <v>333</v>
      </c>
      <c r="KQ7" s="401" t="s">
        <v>334</v>
      </c>
      <c r="KR7" s="397" t="s">
        <v>335</v>
      </c>
      <c r="KS7">
        <v>7</v>
      </c>
      <c r="KT7" t="s">
        <v>585</v>
      </c>
      <c r="KU7" s="535"/>
      <c r="KV7" s="535"/>
      <c r="KW7" s="536"/>
      <c r="KX7" s="538"/>
      <c r="KY7" s="538"/>
      <c r="KZ7" s="540"/>
      <c r="LA7" s="540"/>
      <c r="LB7" s="540"/>
      <c r="LC7" s="540"/>
      <c r="LD7" s="543"/>
      <c r="LE7" s="543"/>
      <c r="LF7" s="545"/>
      <c r="LG7" s="545"/>
      <c r="LH7" s="546"/>
      <c r="LI7" s="545"/>
      <c r="LJ7" s="545"/>
      <c r="LK7" s="545"/>
      <c r="LL7" s="545"/>
      <c r="LM7" s="396"/>
      <c r="LN7" s="396"/>
      <c r="LO7" s="553"/>
      <c r="LP7" s="554"/>
      <c r="LQ7" s="396"/>
      <c r="LR7" s="396"/>
      <c r="LS7" s="396"/>
      <c r="LT7" s="357"/>
      <c r="LU7" s="357"/>
      <c r="LV7" s="357"/>
      <c r="LW7" s="357"/>
      <c r="LX7" s="357"/>
      <c r="LY7" s="357"/>
      <c r="LZ7" s="357"/>
      <c r="MA7" s="346"/>
      <c r="MB7" s="346"/>
      <c r="MC7" s="346"/>
      <c r="MD7" s="346"/>
      <c r="ME7" s="346"/>
      <c r="MF7" s="346"/>
      <c r="MG7" s="346"/>
      <c r="MH7" s="346"/>
      <c r="MI7" s="346"/>
      <c r="MJ7" s="346"/>
      <c r="MK7" s="343"/>
      <c r="ML7" s="343"/>
      <c r="MM7" s="343"/>
      <c r="MN7" s="343"/>
      <c r="MO7" s="343"/>
      <c r="MP7" s="363"/>
      <c r="MQ7" s="363"/>
      <c r="MR7" s="363"/>
      <c r="MS7" s="363"/>
      <c r="MT7" s="363"/>
      <c r="MU7" s="363"/>
      <c r="MV7" s="363"/>
      <c r="MW7" s="363"/>
      <c r="MX7" s="360"/>
      <c r="MY7" s="360"/>
      <c r="MZ7" s="360"/>
      <c r="NA7" s="360"/>
      <c r="NB7" s="360"/>
      <c r="NC7" s="348" t="s">
        <v>542</v>
      </c>
      <c r="ND7" s="555" t="s">
        <v>560</v>
      </c>
      <c r="NE7" s="390" t="s">
        <v>531</v>
      </c>
      <c r="NF7" s="392" t="s">
        <v>561</v>
      </c>
      <c r="NG7" s="394" t="s">
        <v>562</v>
      </c>
      <c r="NH7" s="394" t="s">
        <v>563</v>
      </c>
      <c r="NI7" s="353" t="s">
        <v>564</v>
      </c>
      <c r="NJ7" s="351"/>
      <c r="NK7" s="371"/>
      <c r="NM7" s="355" t="s">
        <v>586</v>
      </c>
      <c r="NN7" s="355"/>
      <c r="NO7" s="355"/>
      <c r="NP7" s="355"/>
      <c r="NQ7" s="355"/>
      <c r="NR7" s="355"/>
      <c r="NS7" s="355"/>
      <c r="NT7" s="355"/>
      <c r="NU7" t="s">
        <v>588</v>
      </c>
      <c r="NZ7" s="341"/>
      <c r="OE7" s="340"/>
      <c r="OF7" s="340"/>
      <c r="OG7" s="340"/>
      <c r="OH7" s="340"/>
      <c r="OI7" s="340"/>
      <c r="OJ7" s="340"/>
      <c r="OK7" s="340"/>
      <c r="OL7" s="340"/>
      <c r="OM7" s="340"/>
      <c r="OO7" s="340"/>
      <c r="OP7" s="340"/>
      <c r="OQ7" s="340"/>
      <c r="OR7" s="340"/>
      <c r="OS7" s="340"/>
      <c r="OT7" s="340"/>
      <c r="OU7" s="340"/>
      <c r="OV7" s="340"/>
      <c r="OW7" s="340"/>
      <c r="OZ7" s="159"/>
      <c r="PA7" s="368" t="s">
        <v>618</v>
      </c>
      <c r="PB7" s="368" t="s">
        <v>619</v>
      </c>
      <c r="PC7" s="368" t="s">
        <v>620</v>
      </c>
      <c r="PD7" s="368" t="s">
        <v>698</v>
      </c>
      <c r="PE7" s="368" t="s">
        <v>699</v>
      </c>
      <c r="PF7" s="368" t="s">
        <v>700</v>
      </c>
      <c r="PG7" s="368" t="s">
        <v>618</v>
      </c>
      <c r="PH7" s="368" t="s">
        <v>619</v>
      </c>
      <c r="PI7" s="368" t="s">
        <v>620</v>
      </c>
      <c r="PJ7" s="368" t="s">
        <v>698</v>
      </c>
      <c r="PK7" s="368" t="s">
        <v>699</v>
      </c>
      <c r="PL7" s="368" t="s">
        <v>700</v>
      </c>
      <c r="PM7" s="161"/>
      <c r="PN7" s="161"/>
      <c r="PO7" s="562"/>
      <c r="PP7" s="563"/>
      <c r="PQ7" s="563"/>
      <c r="PR7" s="161"/>
      <c r="PS7" s="161"/>
      <c r="PT7" s="160"/>
    </row>
    <row r="8" spans="1:437" ht="49" thickBot="1" x14ac:dyDescent="0.25">
      <c r="A8" s="591"/>
      <c r="B8" s="591"/>
      <c r="C8" s="591"/>
      <c r="D8" s="69" t="s">
        <v>11</v>
      </c>
      <c r="E8" s="69" t="s">
        <v>12</v>
      </c>
      <c r="F8" s="69" t="s">
        <v>11</v>
      </c>
      <c r="G8" s="70" t="s">
        <v>13</v>
      </c>
      <c r="H8" s="70" t="s">
        <v>14</v>
      </c>
      <c r="I8" s="71" t="s">
        <v>15</v>
      </c>
      <c r="J8" s="69" t="s">
        <v>11</v>
      </c>
      <c r="K8" s="70" t="s">
        <v>13</v>
      </c>
      <c r="L8" s="70" t="s">
        <v>14</v>
      </c>
      <c r="M8" s="70" t="s">
        <v>16</v>
      </c>
      <c r="N8" s="69" t="s">
        <v>11</v>
      </c>
      <c r="O8" s="70" t="s">
        <v>13</v>
      </c>
      <c r="P8" s="70" t="s">
        <v>14</v>
      </c>
      <c r="Q8" s="70" t="s">
        <v>16</v>
      </c>
      <c r="R8" s="69" t="s">
        <v>11</v>
      </c>
      <c r="S8" s="70" t="s">
        <v>13</v>
      </c>
      <c r="T8" s="70" t="s">
        <v>14</v>
      </c>
      <c r="U8" s="70" t="s">
        <v>16</v>
      </c>
      <c r="V8" s="69" t="s">
        <v>11</v>
      </c>
      <c r="W8" s="70" t="s">
        <v>13</v>
      </c>
      <c r="X8" s="70" t="s">
        <v>14</v>
      </c>
      <c r="Y8" s="70" t="s">
        <v>16</v>
      </c>
      <c r="Z8" s="70" t="s">
        <v>17</v>
      </c>
      <c r="AA8" s="69" t="s">
        <v>11</v>
      </c>
      <c r="AB8" s="70" t="s">
        <v>13</v>
      </c>
      <c r="AC8" s="70" t="s">
        <v>14</v>
      </c>
      <c r="AD8" s="70" t="s">
        <v>16</v>
      </c>
      <c r="AE8" s="70" t="s">
        <v>17</v>
      </c>
      <c r="AF8" s="464"/>
      <c r="AG8" s="599"/>
      <c r="AH8" s="467"/>
      <c r="AI8" s="69" t="s">
        <v>11</v>
      </c>
      <c r="AJ8" s="70" t="s">
        <v>13</v>
      </c>
      <c r="AK8" s="70" t="s">
        <v>263</v>
      </c>
      <c r="AL8" s="464"/>
      <c r="AM8" s="467"/>
      <c r="AN8" s="369"/>
      <c r="BB8" s="572"/>
      <c r="BE8" s="456"/>
      <c r="BF8" s="459"/>
      <c r="BG8" s="459"/>
      <c r="BH8" s="459"/>
      <c r="BI8" s="459"/>
      <c r="BJ8" s="459"/>
      <c r="BK8" s="459"/>
      <c r="BN8" s="400"/>
      <c r="BO8" s="397"/>
      <c r="BP8" s="397"/>
      <c r="BQ8" s="44" t="s">
        <v>328</v>
      </c>
      <c r="BR8" s="45" t="s">
        <v>329</v>
      </c>
      <c r="BS8" s="44" t="s">
        <v>323</v>
      </c>
      <c r="BT8" s="45" t="s">
        <v>324</v>
      </c>
      <c r="BU8" s="397"/>
      <c r="BV8" s="401"/>
      <c r="BW8" s="475"/>
      <c r="BX8" s="401"/>
      <c r="BY8" s="401"/>
      <c r="BZ8" s="397"/>
      <c r="CB8" s="471"/>
      <c r="CD8" s="400"/>
      <c r="CE8" s="397"/>
      <c r="CF8" s="397"/>
      <c r="CG8" s="44" t="s">
        <v>328</v>
      </c>
      <c r="CH8" s="45" t="s">
        <v>329</v>
      </c>
      <c r="CI8" s="44" t="s">
        <v>323</v>
      </c>
      <c r="CJ8" s="45" t="s">
        <v>324</v>
      </c>
      <c r="CK8" s="397"/>
      <c r="CL8" s="401"/>
      <c r="CM8" s="475"/>
      <c r="CN8" s="401"/>
      <c r="CO8" s="401"/>
      <c r="CP8" s="397"/>
      <c r="DV8" s="532"/>
      <c r="DW8" s="478"/>
      <c r="DX8" s="478"/>
      <c r="DY8" s="478"/>
      <c r="DZ8" s="478"/>
      <c r="EA8" s="478"/>
      <c r="EB8" s="478"/>
      <c r="ED8" s="53"/>
      <c r="EE8" s="54"/>
      <c r="EG8" s="533"/>
      <c r="EH8" s="533"/>
      <c r="EI8" s="47" t="s">
        <v>363</v>
      </c>
      <c r="EJ8" s="47" t="s">
        <v>506</v>
      </c>
      <c r="EK8" s="47"/>
      <c r="EL8" s="47"/>
      <c r="EM8" s="47"/>
      <c r="EN8" s="47"/>
      <c r="EO8" s="47"/>
      <c r="EP8" s="47"/>
      <c r="EQ8" s="47" t="s">
        <v>362</v>
      </c>
      <c r="ER8" s="47" t="s">
        <v>507</v>
      </c>
      <c r="ES8" s="47" t="s">
        <v>364</v>
      </c>
      <c r="ET8" s="47" t="s">
        <v>363</v>
      </c>
      <c r="EU8" s="47" t="s">
        <v>364</v>
      </c>
      <c r="EV8" s="47" t="s">
        <v>364</v>
      </c>
      <c r="EW8" s="47" t="s">
        <v>364</v>
      </c>
      <c r="EX8" s="47" t="s">
        <v>364</v>
      </c>
      <c r="EY8" s="47" t="s">
        <v>364</v>
      </c>
      <c r="EZ8" s="47" t="s">
        <v>365</v>
      </c>
      <c r="FA8" s="47" t="s">
        <v>364</v>
      </c>
      <c r="FB8" s="47" t="s">
        <v>362</v>
      </c>
      <c r="FC8" s="47" t="s">
        <v>364</v>
      </c>
      <c r="FD8" s="47" t="s">
        <v>363</v>
      </c>
      <c r="FE8" s="47" t="s">
        <v>364</v>
      </c>
      <c r="FF8" s="47" t="s">
        <v>364</v>
      </c>
      <c r="FH8" s="47"/>
      <c r="FI8" s="47"/>
      <c r="FJ8" s="47"/>
      <c r="FK8" s="47"/>
      <c r="FL8" s="47"/>
      <c r="FM8" s="47"/>
      <c r="FN8" s="47"/>
      <c r="FO8" s="47"/>
      <c r="FP8" s="47"/>
      <c r="FQ8" s="47"/>
      <c r="FR8" s="47"/>
      <c r="FS8" s="47"/>
      <c r="FT8" s="47"/>
      <c r="FU8" s="47"/>
      <c r="FV8" s="47"/>
      <c r="FX8" s="367"/>
      <c r="FY8" s="414"/>
      <c r="FZ8" s="397"/>
      <c r="GA8" s="397"/>
      <c r="GB8" s="397"/>
      <c r="GC8" s="397"/>
      <c r="GD8" s="397"/>
      <c r="GE8" s="397"/>
      <c r="GF8" s="27"/>
      <c r="GG8" s="397"/>
      <c r="GH8" s="397"/>
      <c r="GI8" s="27"/>
      <c r="GJ8" s="397"/>
      <c r="GK8" s="397"/>
      <c r="GO8" s="425"/>
      <c r="GP8" s="425"/>
      <c r="GQ8" s="425"/>
      <c r="GR8" s="425"/>
      <c r="GS8" s="425"/>
      <c r="GT8" s="425"/>
      <c r="GU8" s="95"/>
      <c r="GV8" s="425"/>
      <c r="GW8" s="425"/>
      <c r="GX8" s="96" t="s">
        <v>447</v>
      </c>
      <c r="GY8" s="97">
        <f>Jaticempaka!GY8</f>
        <v>14</v>
      </c>
      <c r="GZ8" s="425"/>
      <c r="HA8" s="83"/>
      <c r="HB8" s="83"/>
      <c r="HC8" s="402"/>
      <c r="HD8" s="402"/>
      <c r="HE8" s="402"/>
      <c r="HF8" s="402"/>
      <c r="HG8" s="402"/>
      <c r="HH8" s="98">
        <f>Jaticempaka!HH8</f>
        <v>45</v>
      </c>
      <c r="HI8" s="98">
        <f>Jaticempaka!HI8</f>
        <v>45</v>
      </c>
      <c r="HJ8" s="90"/>
      <c r="HK8" s="402"/>
      <c r="HL8" s="83"/>
      <c r="HM8" s="83"/>
      <c r="HN8" s="83"/>
      <c r="HO8" s="83"/>
      <c r="HP8" s="99" t="s">
        <v>463</v>
      </c>
      <c r="HQ8" s="99" t="s">
        <v>11</v>
      </c>
      <c r="HR8" s="100" t="s">
        <v>13</v>
      </c>
      <c r="HS8" s="99" t="s">
        <v>463</v>
      </c>
      <c r="HT8" s="99" t="s">
        <v>11</v>
      </c>
      <c r="HU8" s="100" t="s">
        <v>13</v>
      </c>
      <c r="HV8" s="99" t="s">
        <v>463</v>
      </c>
      <c r="HW8" s="99" t="s">
        <v>11</v>
      </c>
      <c r="HX8" s="100" t="s">
        <v>13</v>
      </c>
      <c r="HY8" s="99" t="s">
        <v>463</v>
      </c>
      <c r="HZ8" s="99" t="s">
        <v>11</v>
      </c>
      <c r="IA8" s="100" t="s">
        <v>13</v>
      </c>
      <c r="IB8" s="99" t="s">
        <v>463</v>
      </c>
      <c r="IC8" s="99" t="s">
        <v>11</v>
      </c>
      <c r="ID8" s="100" t="s">
        <v>13</v>
      </c>
      <c r="IE8" s="99" t="s">
        <v>463</v>
      </c>
      <c r="IF8" s="99" t="s">
        <v>11</v>
      </c>
      <c r="IG8" s="100" t="s">
        <v>13</v>
      </c>
      <c r="IH8" s="99" t="s">
        <v>463</v>
      </c>
      <c r="II8" s="99" t="s">
        <v>11</v>
      </c>
      <c r="IJ8" s="100" t="s">
        <v>13</v>
      </c>
      <c r="IK8" s="99" t="s">
        <v>463</v>
      </c>
      <c r="IL8" s="99" t="s">
        <v>11</v>
      </c>
      <c r="IM8" s="100" t="s">
        <v>13</v>
      </c>
      <c r="IN8" s="83"/>
      <c r="IO8" s="99" t="s">
        <v>463</v>
      </c>
      <c r="IP8" s="99" t="s">
        <v>11</v>
      </c>
      <c r="IQ8" s="100" t="s">
        <v>13</v>
      </c>
      <c r="IR8" s="83"/>
      <c r="IS8" s="99" t="s">
        <v>463</v>
      </c>
      <c r="IT8" s="99" t="s">
        <v>11</v>
      </c>
      <c r="IU8" s="100" t="s">
        <v>13</v>
      </c>
      <c r="IV8" s="83"/>
      <c r="IW8" s="99" t="s">
        <v>463</v>
      </c>
      <c r="IX8" s="99" t="s">
        <v>11</v>
      </c>
      <c r="IY8" s="100" t="s">
        <v>13</v>
      </c>
      <c r="IZ8" s="83"/>
      <c r="JA8" s="99" t="s">
        <v>463</v>
      </c>
      <c r="JB8" s="99" t="s">
        <v>11</v>
      </c>
      <c r="JC8" s="100" t="s">
        <v>13</v>
      </c>
      <c r="JD8" s="83"/>
      <c r="JE8" s="99" t="s">
        <v>463</v>
      </c>
      <c r="JF8" s="99" t="s">
        <v>11</v>
      </c>
      <c r="JG8" s="100" t="s">
        <v>13</v>
      </c>
      <c r="JH8" s="83"/>
      <c r="JI8" s="99" t="s">
        <v>463</v>
      </c>
      <c r="JJ8" s="99" t="s">
        <v>11</v>
      </c>
      <c r="JK8" s="100" t="s">
        <v>13</v>
      </c>
      <c r="JM8" t="s">
        <v>468</v>
      </c>
      <c r="JP8" s="400"/>
      <c r="JQ8" s="397"/>
      <c r="JR8" s="397"/>
      <c r="JS8" s="44" t="s">
        <v>328</v>
      </c>
      <c r="JT8" s="45" t="s">
        <v>479</v>
      </c>
      <c r="JU8" s="44" t="s">
        <v>323</v>
      </c>
      <c r="JV8" s="45" t="s">
        <v>324</v>
      </c>
      <c r="JW8" s="397"/>
      <c r="JX8" s="401"/>
      <c r="JY8" s="475"/>
      <c r="JZ8" s="401"/>
      <c r="KA8" s="401"/>
      <c r="KB8" s="397"/>
      <c r="KD8" s="400"/>
      <c r="KE8" s="400"/>
      <c r="KF8" s="400"/>
      <c r="KG8" s="397"/>
      <c r="KH8" s="397"/>
      <c r="KI8" s="44" t="s">
        <v>328</v>
      </c>
      <c r="KJ8" s="45" t="s">
        <v>479</v>
      </c>
      <c r="KK8" s="44" t="s">
        <v>323</v>
      </c>
      <c r="KL8" s="45" t="s">
        <v>324</v>
      </c>
      <c r="KM8" s="397"/>
      <c r="KN8" s="401"/>
      <c r="KO8" s="475"/>
      <c r="KP8" s="401"/>
      <c r="KQ8" s="401"/>
      <c r="KR8" s="397"/>
      <c r="KU8" s="130" t="s">
        <v>565</v>
      </c>
      <c r="KV8" s="130" t="s">
        <v>565</v>
      </c>
      <c r="KW8" s="536"/>
      <c r="KX8" s="539"/>
      <c r="KY8" s="539"/>
      <c r="KZ8" s="129" t="s">
        <v>12</v>
      </c>
      <c r="LA8" s="131" t="s">
        <v>566</v>
      </c>
      <c r="LB8" s="129" t="s">
        <v>12</v>
      </c>
      <c r="LC8" s="131" t="s">
        <v>566</v>
      </c>
      <c r="LD8" s="132" t="s">
        <v>567</v>
      </c>
      <c r="LE8" s="133" t="s">
        <v>568</v>
      </c>
      <c r="LF8" s="545"/>
      <c r="LG8" s="545"/>
      <c r="LH8" s="546"/>
      <c r="LI8" s="545"/>
      <c r="LJ8" s="545"/>
      <c r="LK8" s="545"/>
      <c r="LL8" s="545"/>
      <c r="LM8" s="396"/>
      <c r="LN8" s="396"/>
      <c r="LO8" s="553"/>
      <c r="LP8" s="554"/>
      <c r="LQ8" s="396"/>
      <c r="LR8" s="396"/>
      <c r="LS8" s="396"/>
      <c r="LT8" s="358"/>
      <c r="LU8" s="358"/>
      <c r="LV8" s="358"/>
      <c r="LW8" s="358"/>
      <c r="LX8" s="358"/>
      <c r="LY8" s="358"/>
      <c r="LZ8" s="358"/>
      <c r="MA8" s="347"/>
      <c r="MB8" s="347"/>
      <c r="MC8" s="347"/>
      <c r="MD8" s="347"/>
      <c r="ME8" s="347"/>
      <c r="MF8" s="347"/>
      <c r="MG8" s="347"/>
      <c r="MH8" s="347"/>
      <c r="MI8" s="347"/>
      <c r="MJ8" s="347"/>
      <c r="MK8" s="344"/>
      <c r="ML8" s="344"/>
      <c r="MM8" s="344"/>
      <c r="MN8" s="344"/>
      <c r="MO8" s="344"/>
      <c r="MP8" s="364"/>
      <c r="MQ8" s="364"/>
      <c r="MR8" s="364"/>
      <c r="MS8" s="364"/>
      <c r="MT8" s="364"/>
      <c r="MU8" s="364"/>
      <c r="MV8" s="364"/>
      <c r="MW8" s="364"/>
      <c r="MX8" s="361"/>
      <c r="MY8" s="361"/>
      <c r="MZ8" s="361"/>
      <c r="NA8" s="361"/>
      <c r="NB8" s="361"/>
      <c r="NC8" s="349"/>
      <c r="ND8" s="556"/>
      <c r="NE8" s="391"/>
      <c r="NF8" s="393"/>
      <c r="NG8" s="395"/>
      <c r="NH8" s="395"/>
      <c r="NI8" s="354"/>
      <c r="NJ8" s="352"/>
      <c r="NK8" s="371"/>
      <c r="NM8" s="80">
        <v>1</v>
      </c>
      <c r="NN8" s="80">
        <v>2</v>
      </c>
      <c r="NO8" s="80">
        <v>3</v>
      </c>
      <c r="NP8" s="80">
        <v>4</v>
      </c>
      <c r="NQ8" s="80">
        <v>5</v>
      </c>
      <c r="NR8" s="80">
        <v>6</v>
      </c>
      <c r="NS8" s="80">
        <v>7</v>
      </c>
      <c r="NT8" s="80" t="s">
        <v>587</v>
      </c>
      <c r="NU8" t="s">
        <v>589</v>
      </c>
      <c r="NZ8" s="341"/>
      <c r="OE8" s="340"/>
      <c r="OF8" s="340"/>
      <c r="OG8" s="340"/>
      <c r="OH8" s="340"/>
      <c r="OI8" s="340"/>
      <c r="OJ8" s="340"/>
      <c r="OK8" s="340"/>
      <c r="OL8" s="340"/>
      <c r="OM8" s="340"/>
      <c r="OO8" s="340"/>
      <c r="OP8" s="340"/>
      <c r="OQ8" s="340"/>
      <c r="OR8" s="340"/>
      <c r="OS8" s="340"/>
      <c r="OT8" s="340"/>
      <c r="OU8" s="340"/>
      <c r="OV8" s="340"/>
      <c r="OW8" s="340"/>
      <c r="OZ8" s="162"/>
      <c r="PA8" s="369"/>
      <c r="PB8" s="369"/>
      <c r="PC8" s="369"/>
      <c r="PD8" s="369"/>
      <c r="PE8" s="369"/>
      <c r="PF8" s="369"/>
      <c r="PG8" s="369"/>
      <c r="PH8" s="369"/>
      <c r="PI8" s="369"/>
      <c r="PJ8" s="369"/>
      <c r="PK8" s="369"/>
      <c r="PL8" s="369"/>
      <c r="PM8" s="161"/>
      <c r="PN8" s="161"/>
      <c r="PO8" s="47" t="s">
        <v>364</v>
      </c>
      <c r="PP8" s="47" t="s">
        <v>364</v>
      </c>
      <c r="PQ8" s="47" t="s">
        <v>364</v>
      </c>
      <c r="PR8" s="161"/>
      <c r="PS8" s="161"/>
      <c r="PT8" s="160"/>
    </row>
    <row r="9" spans="1:437" ht="16" x14ac:dyDescent="0.2">
      <c r="A9" s="14">
        <v>1</v>
      </c>
      <c r="B9" s="15" t="s">
        <v>204</v>
      </c>
      <c r="C9" s="16">
        <v>3</v>
      </c>
      <c r="D9" s="17">
        <v>1</v>
      </c>
      <c r="E9" s="17">
        <v>491</v>
      </c>
      <c r="F9" s="17">
        <v>1</v>
      </c>
      <c r="G9" s="17">
        <f>E9</f>
        <v>491</v>
      </c>
      <c r="H9" s="18">
        <f t="shared" ref="H9:H31" si="2">F9/$D9</f>
        <v>1</v>
      </c>
      <c r="I9" s="18">
        <f t="shared" ref="I9:I31" si="3">G9/$E9</f>
        <v>1</v>
      </c>
      <c r="J9" s="17">
        <v>1</v>
      </c>
      <c r="K9" s="17">
        <f t="shared" ref="K9:K31" si="4">IF(J9=D9,E9,0)</f>
        <v>491</v>
      </c>
      <c r="L9" s="18">
        <f t="shared" ref="L9:L60" si="5">J9/$D9</f>
        <v>1</v>
      </c>
      <c r="M9" s="18">
        <f t="shared" ref="M9:M60" si="6">K9/$E9</f>
        <v>1</v>
      </c>
      <c r="N9" s="17">
        <v>1</v>
      </c>
      <c r="O9" s="17">
        <f t="shared" ref="O9:O31" si="7">IF(N9=D9,E9,0)</f>
        <v>491</v>
      </c>
      <c r="P9" s="18">
        <f t="shared" ref="P9:P60" si="8">N9/$D9</f>
        <v>1</v>
      </c>
      <c r="Q9" s="18">
        <f t="shared" ref="Q9:Q60" si="9">O9/$E9</f>
        <v>1</v>
      </c>
      <c r="R9" s="17">
        <v>1</v>
      </c>
      <c r="S9" s="17">
        <f t="shared" ref="S9:S31" si="10">IF(R9=D9,E9,0)</f>
        <v>491</v>
      </c>
      <c r="T9" s="18">
        <f t="shared" ref="T9:T31" si="11">R9/$D9</f>
        <v>1</v>
      </c>
      <c r="U9" s="18">
        <f t="shared" ref="U9:U31" si="12">S9/$E9</f>
        <v>1</v>
      </c>
      <c r="V9" s="17">
        <v>1</v>
      </c>
      <c r="W9" s="17">
        <f t="shared" ref="W9:W31" si="13">IF(V9=D9,E9,0)</f>
        <v>491</v>
      </c>
      <c r="X9" s="18">
        <f t="shared" ref="X9:X31" si="14">V9/$D9</f>
        <v>1</v>
      </c>
      <c r="Y9" s="18">
        <f t="shared" ref="Y9:Y31" si="15">W9/$E9</f>
        <v>1</v>
      </c>
      <c r="Z9" s="38">
        <f>6758273000/1000000000</f>
        <v>6.758273</v>
      </c>
      <c r="AA9" s="17"/>
      <c r="AB9" s="17">
        <f>IF(AA9=D9,E9,0)</f>
        <v>0</v>
      </c>
      <c r="AC9" s="18">
        <f t="shared" ref="AC9" si="16">AA9/$D9</f>
        <v>0</v>
      </c>
      <c r="AD9" s="18">
        <f t="shared" ref="AD9" si="17">AB9/$E9</f>
        <v>0</v>
      </c>
      <c r="AE9" s="62"/>
      <c r="AF9" s="17">
        <f>R9-V9</f>
        <v>0</v>
      </c>
      <c r="AG9" s="17"/>
      <c r="AH9" s="31"/>
      <c r="AI9" s="17">
        <v>0</v>
      </c>
      <c r="AJ9" s="17">
        <f t="shared" ref="AJ9:AJ31" si="18">IF(AI9=D9,E9,0)</f>
        <v>0</v>
      </c>
      <c r="AK9" s="17"/>
      <c r="AL9" s="17">
        <v>0</v>
      </c>
      <c r="AM9" s="17">
        <v>0</v>
      </c>
      <c r="AN9" s="72"/>
      <c r="BB9" s="17">
        <f>IF(AN9=1,G9,0)</f>
        <v>0</v>
      </c>
      <c r="BE9" s="17">
        <f t="shared" ref="BE9:BE31" si="19">IF(AF9=1,S9,0)</f>
        <v>0</v>
      </c>
      <c r="BF9" s="17">
        <f t="shared" ref="BF9:BF31" si="20">IF(AG9="A",S9,0)</f>
        <v>0</v>
      </c>
      <c r="BG9" s="17">
        <f t="shared" ref="BG9:BG31" si="21">IF(AG9="B",S9,0)</f>
        <v>0</v>
      </c>
      <c r="BH9" s="17">
        <f t="shared" ref="BH9:BH31" si="22">IF(AG9="C",S9,0)</f>
        <v>0</v>
      </c>
      <c r="BI9" s="17">
        <f t="shared" ref="BI9:BI31" si="23">IF(AG9="D",S9,0)</f>
        <v>0</v>
      </c>
      <c r="BJ9" s="17">
        <f t="shared" ref="BJ9:BJ31" si="24">IF(AG9="E",S9,0)</f>
        <v>0</v>
      </c>
      <c r="BK9" s="17">
        <f t="shared" ref="BK9" si="25">SUM(BF9:BJ9)</f>
        <v>0</v>
      </c>
      <c r="BN9" s="140">
        <v>97</v>
      </c>
      <c r="BO9">
        <v>1</v>
      </c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B9" s="72"/>
      <c r="CD9" s="17">
        <f t="shared" ref="CD9:CD31" si="26">BN9</f>
        <v>97</v>
      </c>
      <c r="CE9" s="17">
        <f>IF(BO9=1,$CD9,0)</f>
        <v>97</v>
      </c>
      <c r="CF9" s="17">
        <f t="shared" ref="CF9:CF31" si="27">IF(BP9=1,$CD9,0)</f>
        <v>0</v>
      </c>
      <c r="CG9" s="17">
        <f t="shared" ref="CG9:CG31" si="28">IF(BQ9=1,$CD9,0)</f>
        <v>0</v>
      </c>
      <c r="CH9" s="17">
        <f t="shared" ref="CH9:CH31" si="29">IF(BR9=1,$CD9,0)</f>
        <v>0</v>
      </c>
      <c r="CI9" s="17">
        <f t="shared" ref="CI9:CI31" si="30">IF(BS9=1,$CD9,0)</f>
        <v>0</v>
      </c>
      <c r="CJ9" s="17">
        <f t="shared" ref="CJ9:CJ31" si="31">IF(BT9=1,$CD9,0)</f>
        <v>0</v>
      </c>
      <c r="CK9" s="17">
        <f t="shared" ref="CK9:CK31" si="32">IF(BU9=1,$CD9,0)</f>
        <v>0</v>
      </c>
      <c r="CL9" s="17">
        <f t="shared" ref="CL9:CL31" si="33">IF(BV9=1,$CD9,0)</f>
        <v>0</v>
      </c>
      <c r="CM9" s="17">
        <f t="shared" ref="CM9:CM31" si="34">IF(BW9=1,$CD9,0)</f>
        <v>0</v>
      </c>
      <c r="CN9" s="17">
        <f t="shared" ref="CN9:CN31" si="35">IF(BX9=1,$CD9,0)</f>
        <v>0</v>
      </c>
      <c r="CO9" s="17">
        <f t="shared" ref="CO9:CO31" si="36">IF(BY9=1,$CD9,0)</f>
        <v>0</v>
      </c>
      <c r="CP9" s="17">
        <f t="shared" ref="CP9:CP31" si="37">IF(BZ9=1,$CD9,0)</f>
        <v>0</v>
      </c>
      <c r="DV9" s="17">
        <f t="shared" ref="DV9:DV31" si="38">IF(CB9=1,G9,0)</f>
        <v>0</v>
      </c>
      <c r="DW9" s="17">
        <f t="shared" ref="DW9:DW31" si="39">IF(CC9="A",G9,0)</f>
        <v>0</v>
      </c>
      <c r="DX9" s="17">
        <f t="shared" ref="DX9:DX31" si="40">IF(CC9="B",G9,0)</f>
        <v>0</v>
      </c>
      <c r="DY9" s="17">
        <f t="shared" ref="DY9:DY31" si="41">IF(CC9="C",G9,0)</f>
        <v>0</v>
      </c>
      <c r="DZ9" s="17">
        <f t="shared" ref="DZ9:DZ31" si="42">IF(CC9="D",G9,0)</f>
        <v>0</v>
      </c>
      <c r="EA9" s="17">
        <f t="shared" ref="EA9:EA31" si="43">IF(CC9="E",G9,0)</f>
        <v>0</v>
      </c>
      <c r="EB9" s="17">
        <f t="shared" ref="EB9" si="44">SUM(DW9:EA9)</f>
        <v>0</v>
      </c>
      <c r="ED9" s="46" t="s">
        <v>366</v>
      </c>
      <c r="EE9" s="46" t="s">
        <v>367</v>
      </c>
      <c r="EG9" s="57">
        <f>IF(AG9="C","C",IF(AG9="D","D",0))</f>
        <v>0</v>
      </c>
      <c r="EH9" s="57">
        <f>CC9</f>
        <v>0</v>
      </c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X9" s="80">
        <v>1</v>
      </c>
      <c r="FY9" s="17">
        <f>SUM(FZ9:GE9)</f>
        <v>97</v>
      </c>
      <c r="FZ9" s="17">
        <f t="shared" ref="FZ9:FZ22" si="45">DI9+CE9</f>
        <v>97</v>
      </c>
      <c r="GA9" s="17">
        <f t="shared" ref="GA9:GA22" si="46">DJ9+CF9</f>
        <v>0</v>
      </c>
      <c r="GB9" s="17">
        <f t="shared" ref="GB9:GB22" si="47">DK9+CG9</f>
        <v>0</v>
      </c>
      <c r="GC9" s="17">
        <f t="shared" ref="GC9:GC22" si="48">DM9+CI9</f>
        <v>0</v>
      </c>
      <c r="GD9" s="17">
        <f t="shared" ref="GD9:GD22" si="49">DO9+CK9</f>
        <v>0</v>
      </c>
      <c r="GE9" s="17">
        <f t="shared" ref="GE9:GE22" si="50">DT9+CP9</f>
        <v>0</v>
      </c>
      <c r="GF9" s="67"/>
      <c r="GG9" s="17">
        <v>0</v>
      </c>
      <c r="GH9" s="17">
        <v>0</v>
      </c>
      <c r="GI9" s="67"/>
      <c r="GJ9" s="62">
        <f>FY9*GG9/1000000000</f>
        <v>0</v>
      </c>
      <c r="GK9" s="62">
        <f>FY9*GH9/1000000000</f>
        <v>0</v>
      </c>
      <c r="GO9" s="17">
        <f t="shared" ref="GO9:GO22" si="51">D9-F9</f>
        <v>0</v>
      </c>
      <c r="GP9" s="17">
        <f t="shared" ref="GP9:GP22" si="52">D9-J9</f>
        <v>0</v>
      </c>
      <c r="GQ9" s="17">
        <f t="shared" ref="GQ9:GQ22" si="53">D9-N9</f>
        <v>0</v>
      </c>
      <c r="GR9" s="17">
        <f t="shared" ref="GR9:GR22" si="54">D9-R9</f>
        <v>0</v>
      </c>
      <c r="GS9" s="17">
        <f t="shared" ref="GS9:GS22" si="55">D9-V9</f>
        <v>0</v>
      </c>
      <c r="GT9" s="17">
        <f>IF(SUM(GO9:GS9)=0,1,0)</f>
        <v>1</v>
      </c>
      <c r="GU9" s="101">
        <f>$GU$3</f>
        <v>43243</v>
      </c>
      <c r="GV9" s="17" t="str">
        <f>IF(GO9&gt;0,$GO$6,IF(GP9&gt;0,$GP$6,IF(GQ9&gt;0,$GQ$6,IF(GR9&gt;0,$GR$6,IF(GS9&gt;0,$GS$6,IF(GT9&gt;0,$GT$6,0))))))</f>
        <v>SELESAI</v>
      </c>
      <c r="GW9" s="17">
        <f>IF(GV9=$GO$6,GO9,IF(GV9=$GP$6,GP9,IF(GV9=$GQ$6,GQ9,IF(GV9=$GR$6,GR9,IF(GV9=$GS$6,GS9,0)))))</f>
        <v>0</v>
      </c>
      <c r="GX9" s="66" t="str">
        <f>GV9</f>
        <v>SELESAI</v>
      </c>
      <c r="GY9" s="66">
        <f>IF(GX9="DNP",SUM($GY$4:$GY$8),IF(GX9="Survey KJPP",SUM($GY$5:$GY$8),IF(GX9="Hasil Valuasi",SUM($GY$6:$GY$8),IF(GX9="Musyawarah",SUM($GY$7:$GY$8),IF(GX9="UGR",$GY$8,0)))))</f>
        <v>0</v>
      </c>
      <c r="GZ9" s="102" t="str">
        <f>IF(GW9=0,"SELESAI",GU9+GY9)</f>
        <v>SELESAI</v>
      </c>
      <c r="HA9" s="83"/>
      <c r="HB9" s="83"/>
      <c r="HC9" s="17">
        <f t="shared" ref="HC9:HC22" si="56">IF(BH9&gt;0,1,IF(BI9&gt;0,1,0))</f>
        <v>0</v>
      </c>
      <c r="HD9" s="17">
        <f t="shared" ref="HD9:HD22" si="57">IF(CB9&gt;0,1,0)</f>
        <v>0</v>
      </c>
      <c r="HE9" s="17">
        <f>HC9+HD9</f>
        <v>0</v>
      </c>
      <c r="HF9" s="17">
        <f>FQ9</f>
        <v>0</v>
      </c>
      <c r="HG9" s="17">
        <f>HE9-HF9</f>
        <v>0</v>
      </c>
      <c r="HH9" s="101" t="str">
        <f t="shared" ref="HH9:HH31" si="58">IF(HG9=1,GU9+$HH$8,"TIDAK KONSINYASI")</f>
        <v>TIDAK KONSINYASI</v>
      </c>
      <c r="HI9" s="101" t="str">
        <f>IF(GW9=0,"SELESAI",GZ9+$HI$8)</f>
        <v>SELESAI</v>
      </c>
      <c r="HJ9" s="27"/>
      <c r="HK9" s="101">
        <f t="shared" ref="HK9:HK31" si="59">MAX(GZ9,HH9,HI9)</f>
        <v>0</v>
      </c>
      <c r="HL9" s="83"/>
      <c r="HM9" s="83"/>
      <c r="HN9" s="83"/>
      <c r="HO9" s="83"/>
      <c r="HP9" s="102">
        <f>IF(HQ9=1,GZ9,0)</f>
        <v>0</v>
      </c>
      <c r="HQ9" s="66">
        <f>IF(IX9=0,IF(HT9=0,IF(IP9=0,IF(GV9="UGR",GS9,0),0),0),0)</f>
        <v>0</v>
      </c>
      <c r="HR9" s="66">
        <f t="shared" ref="HR9:HR22" si="60">IF(HQ9=1,E9,0)</f>
        <v>0</v>
      </c>
      <c r="HS9" s="102">
        <f>IF(HT9=1,HH9,0)</f>
        <v>0</v>
      </c>
      <c r="HT9" s="66">
        <f>HG9</f>
        <v>0</v>
      </c>
      <c r="HU9" s="66">
        <f t="shared" ref="HU9:HU22" si="61">IF(HT9=1,E9,0)</f>
        <v>0</v>
      </c>
      <c r="HV9" s="102">
        <f>IF(HW9=1,GZ9,0)</f>
        <v>0</v>
      </c>
      <c r="HW9" s="66">
        <f t="shared" ref="HW9:HW31" si="62">IF(JB9=0,IF(IX9=0,IF(HT9=0,IF(GV9="MUSYAWARAH",GR9,0),0),0),0)</f>
        <v>0</v>
      </c>
      <c r="HX9" s="66">
        <f t="shared" ref="HX9:HX22" si="63">IF(HW9=1,E9,0)</f>
        <v>0</v>
      </c>
      <c r="HY9" s="102">
        <f t="shared" ref="HY9:HY31" si="64">IF(HZ9=1,HV9+$HI$8,0)</f>
        <v>0</v>
      </c>
      <c r="HZ9" s="66">
        <f>HW9</f>
        <v>0</v>
      </c>
      <c r="IA9" s="66">
        <f t="shared" ref="IA9:IA22" si="65">IF(HZ9=1,E9,0)</f>
        <v>0</v>
      </c>
      <c r="IB9" s="102">
        <f>IF(IC9=1,$GU$3+SUM($GY$6:$GY$8),0)</f>
        <v>0</v>
      </c>
      <c r="IC9" s="66">
        <f t="shared" ref="IC9:IC31" si="66">IF(GV9="Hasil Valuasi",GQ9,0)</f>
        <v>0</v>
      </c>
      <c r="ID9" s="66">
        <f t="shared" ref="ID9:ID22" si="67">IF(IC9=1,E9,0)</f>
        <v>0</v>
      </c>
      <c r="IE9" s="102">
        <f t="shared" ref="IE9:IE31" si="68">IF(IF9=1,IB9+$HI$8,0)</f>
        <v>0</v>
      </c>
      <c r="IF9" s="66">
        <f t="shared" ref="IF9:IF31" si="69">IC9</f>
        <v>0</v>
      </c>
      <c r="IG9" s="66">
        <f t="shared" ref="IG9:IG22" si="70">IF(IF9=1,E9,0)</f>
        <v>0</v>
      </c>
      <c r="IH9" s="102">
        <f>IF(II9=1,$GU$3+SUM($GY$5:$GY$8),0)</f>
        <v>0</v>
      </c>
      <c r="II9" s="66">
        <f>IF(GV9="Survey KJPP",GP9,0)</f>
        <v>0</v>
      </c>
      <c r="IJ9" s="66">
        <f t="shared" ref="IJ9:IJ22" si="71">IF(II9=1,E9,0)</f>
        <v>0</v>
      </c>
      <c r="IK9" s="102">
        <f t="shared" ref="IK9:IK31" si="72">IF(IL9=1,IH9+$HI$8,0)</f>
        <v>0</v>
      </c>
      <c r="IL9" s="66">
        <f t="shared" ref="IL9:IL31" si="73">II9</f>
        <v>0</v>
      </c>
      <c r="IM9" s="66">
        <f t="shared" ref="IM9:IM22" si="74">IF(IL9=1,E9,0)</f>
        <v>0</v>
      </c>
      <c r="IN9" s="83"/>
      <c r="IO9" s="102">
        <f t="shared" ref="IO9:IO31" si="75">IF(IP9=1,+$GU$3+$HH$8,0)</f>
        <v>0</v>
      </c>
      <c r="IP9" s="66">
        <f t="shared" ref="IP9:IP22" si="76">IF(BG9&gt;0,1,0)</f>
        <v>0</v>
      </c>
      <c r="IQ9" s="66">
        <f t="shared" ref="IQ9:IQ22" si="77">IF(IP9=1,E9,0)</f>
        <v>0</v>
      </c>
      <c r="IR9" s="83"/>
      <c r="IS9" s="102"/>
      <c r="IT9" s="66">
        <f t="shared" ref="IT9:IT22" si="78">V9</f>
        <v>1</v>
      </c>
      <c r="IU9" s="66">
        <f t="shared" ref="IU9:IU22" si="79">W9</f>
        <v>491</v>
      </c>
      <c r="IV9" s="83"/>
      <c r="IW9" s="102"/>
      <c r="IX9" s="66">
        <f t="shared" ref="IX9:IX22" si="80">AA9</f>
        <v>0</v>
      </c>
      <c r="IY9" s="66">
        <f t="shared" ref="IY9:IY22" si="81">AB9</f>
        <v>0</v>
      </c>
      <c r="IZ9" s="83"/>
      <c r="JA9" s="102"/>
      <c r="JB9" s="66">
        <f t="shared" ref="JB9:JB22" si="82">AN9</f>
        <v>0</v>
      </c>
      <c r="JC9" s="66">
        <f t="shared" ref="JC9:JC22" si="83">BB9</f>
        <v>0</v>
      </c>
      <c r="JD9" s="83"/>
      <c r="JE9" s="102"/>
      <c r="JF9" s="66">
        <f>IT9+HQ9+HT9+HZ9+IF9+IL9+IP9+IX9+JB9</f>
        <v>1</v>
      </c>
      <c r="JG9" s="66">
        <f t="shared" ref="JG9:JG31" si="84">IU9+HR9+HU9+IA9+IG9+IM9+IQ9+IY9+JC9</f>
        <v>491</v>
      </c>
      <c r="JH9" s="83"/>
      <c r="JI9" s="102"/>
      <c r="JJ9" s="66">
        <f t="shared" ref="JJ9:JJ22" si="85">JF9-D9</f>
        <v>0</v>
      </c>
      <c r="JK9" s="66">
        <f t="shared" ref="JK9:JK22" si="86">JG9-E9</f>
        <v>0</v>
      </c>
      <c r="JM9" s="102">
        <f>MAX(IW9,IS9,IO9,IK9,IE9,HY9,HS9,HP9)</f>
        <v>0</v>
      </c>
      <c r="JO9" s="29">
        <f t="shared" ref="JO9:JO31" si="87">SUM(JQ9:KB9)</f>
        <v>1</v>
      </c>
      <c r="JP9" s="122">
        <f t="shared" ref="JP9:JP22" si="88">BN9+CR9</f>
        <v>97</v>
      </c>
      <c r="JQ9" s="122">
        <f t="shared" ref="JQ9:JQ22" si="89">IF(BO9+CS9=2,1,IF(BO9+CS9=1,1,0))</f>
        <v>1</v>
      </c>
      <c r="JR9" s="122">
        <f t="shared" ref="JR9:JR22" si="90">IF(BP9+CT9=2,1,IF(BP9+CT9=1,1,0))</f>
        <v>0</v>
      </c>
      <c r="JS9" s="122">
        <f t="shared" ref="JS9:JS22" si="91">IF(BQ9+CU9=2,1,IF(BQ9+CU9=1,1,0))</f>
        <v>0</v>
      </c>
      <c r="JT9" s="122">
        <f t="shared" ref="JT9:JT22" si="92">IF(BR9+CV9=2,1,IF(BR9+CV9=1,1,0))</f>
        <v>0</v>
      </c>
      <c r="JU9" s="122">
        <f t="shared" ref="JU9:JU22" si="93">IF(BS9+CW9=2,1,IF(BS9+CW9=1,1,0))</f>
        <v>0</v>
      </c>
      <c r="JV9" s="122">
        <f t="shared" ref="JV9:JV22" si="94">IF(BT9+CX9=2,1,IF(BT9+CX9=1,1,0))</f>
        <v>0</v>
      </c>
      <c r="JW9" s="122">
        <f t="shared" ref="JW9:JW22" si="95">IF(BU9+CY9=2,1,IF(BU9+CY9=1,1,0))</f>
        <v>0</v>
      </c>
      <c r="JX9" s="122">
        <f t="shared" ref="JX9:JX22" si="96">IF(BV9+CZ9=2,1,IF(BV9+CZ9=1,1,0))</f>
        <v>0</v>
      </c>
      <c r="JY9" s="122">
        <f t="shared" ref="JY9:JY22" si="97">IF(BW9+DA9=2,1,IF(BW9+DA9=1,1,0))</f>
        <v>0</v>
      </c>
      <c r="JZ9" s="122">
        <f t="shared" ref="JZ9:JZ22" si="98">IF(BX9+DB9=2,1,IF(BX9+DB9=1,1,0))</f>
        <v>0</v>
      </c>
      <c r="KA9" s="122">
        <f t="shared" ref="KA9:KA22" si="99">IF(BY9+DC9=2,1,IF(BY9+DC9=1,1,0))</f>
        <v>0</v>
      </c>
      <c r="KB9" s="122">
        <f t="shared" ref="KB9:KB22" si="100">IF(BZ9+DD9=2,1,IF(BZ9+DD9=1,1,0))</f>
        <v>0</v>
      </c>
      <c r="KD9" s="122">
        <f t="shared" ref="KD9" si="101">IF(IF(SUM(GA9:GE9)&gt;100,1,0)+IF(FX9=1,1,0)=2,1,0)</f>
        <v>0</v>
      </c>
      <c r="KE9" s="122">
        <f t="shared" ref="KE9:KE59" si="102">IF(KD9=1,KF9,0)</f>
        <v>0</v>
      </c>
      <c r="KF9" s="122">
        <f t="shared" ref="KF9:KF22" si="103">CD9+DH9</f>
        <v>97</v>
      </c>
      <c r="KG9" s="122">
        <f t="shared" ref="KG9:KG22" si="104">CE9+DI9</f>
        <v>97</v>
      </c>
      <c r="KH9" s="122">
        <f t="shared" ref="KH9:KH22" si="105">CF9+DJ9</f>
        <v>0</v>
      </c>
      <c r="KI9" s="122">
        <f t="shared" ref="KI9:KI22" si="106">CG9+DK9</f>
        <v>0</v>
      </c>
      <c r="KJ9" s="122">
        <f t="shared" ref="KJ9:KJ22" si="107">CH9+DL9</f>
        <v>0</v>
      </c>
      <c r="KK9" s="122">
        <f t="shared" ref="KK9:KK22" si="108">CI9+DM9</f>
        <v>0</v>
      </c>
      <c r="KL9" s="122">
        <f t="shared" ref="KL9:KL22" si="109">CJ9+DN9</f>
        <v>0</v>
      </c>
      <c r="KM9" s="122">
        <f t="shared" ref="KM9:KM22" si="110">CK9+DO9</f>
        <v>0</v>
      </c>
      <c r="KN9" s="122">
        <f t="shared" ref="KN9:KN22" si="111">CL9+DP9</f>
        <v>0</v>
      </c>
      <c r="KO9" s="122">
        <f t="shared" ref="KO9:KO22" si="112">CM9+DQ9</f>
        <v>0</v>
      </c>
      <c r="KP9" s="122">
        <f t="shared" ref="KP9:KP22" si="113">CN9+DR9</f>
        <v>0</v>
      </c>
      <c r="KQ9" s="122">
        <f t="shared" ref="KQ9:KQ22" si="114">CO9+DS9</f>
        <v>0</v>
      </c>
      <c r="KR9" s="122">
        <f t="shared" ref="KR9:KR22" si="115">CP9+DT9</f>
        <v>0</v>
      </c>
      <c r="KT9">
        <f t="shared" ref="KT9:KT22" si="116">AN9</f>
        <v>0</v>
      </c>
      <c r="KU9" s="122"/>
      <c r="KV9" s="122"/>
      <c r="KW9" s="122"/>
      <c r="KX9" s="122"/>
      <c r="KY9" s="122"/>
      <c r="KZ9" s="122"/>
      <c r="LA9" s="122"/>
      <c r="LB9" s="122"/>
      <c r="LC9" s="122"/>
      <c r="LD9" s="122"/>
      <c r="LE9" s="122"/>
      <c r="LF9" s="122"/>
      <c r="LG9" s="122"/>
      <c r="LH9" s="122"/>
      <c r="LI9" s="122"/>
      <c r="LJ9" s="122"/>
      <c r="LK9" s="122"/>
      <c r="LL9" s="122"/>
      <c r="LM9" s="122"/>
      <c r="LN9" s="122"/>
      <c r="LO9" s="122"/>
      <c r="LP9" s="122"/>
      <c r="LQ9" s="122"/>
      <c r="LR9" s="122"/>
      <c r="LS9" s="122"/>
      <c r="LT9" s="122"/>
      <c r="LU9" s="122"/>
      <c r="LV9" s="122"/>
      <c r="LW9" s="122"/>
      <c r="LX9" s="122"/>
      <c r="LY9" s="122"/>
      <c r="LZ9" s="122"/>
      <c r="MA9" s="122"/>
      <c r="MB9" s="122"/>
      <c r="MC9" s="122"/>
      <c r="MD9" s="122"/>
      <c r="ME9" s="122"/>
      <c r="MF9" s="122"/>
      <c r="MG9" s="122"/>
      <c r="MH9" s="122"/>
      <c r="MI9" s="122"/>
      <c r="MJ9" s="122"/>
      <c r="MK9" s="122"/>
      <c r="ML9" s="122"/>
      <c r="MM9" s="122"/>
      <c r="MN9" s="122"/>
      <c r="MO9" s="122"/>
      <c r="MP9" s="122"/>
      <c r="MQ9" s="122"/>
      <c r="MR9" s="122"/>
      <c r="MS9" s="122"/>
      <c r="MT9" s="122"/>
      <c r="MU9" s="122"/>
      <c r="MV9" s="122"/>
      <c r="MW9" s="122"/>
      <c r="MX9" s="122"/>
      <c r="MY9" s="122"/>
      <c r="MZ9" s="122"/>
      <c r="NA9" s="122"/>
      <c r="NB9" s="122"/>
      <c r="NC9" s="122"/>
      <c r="ND9" s="122"/>
      <c r="NE9" s="122"/>
      <c r="NF9" s="122"/>
      <c r="NG9" s="122"/>
      <c r="NH9" s="122"/>
      <c r="NI9" s="122"/>
      <c r="NJ9" s="122"/>
      <c r="NK9" s="122"/>
      <c r="NM9">
        <f>IF(KS9=1,1,0)</f>
        <v>0</v>
      </c>
      <c r="NN9">
        <f>IF(KS9=2,1,0)</f>
        <v>0</v>
      </c>
      <c r="NO9">
        <f>IF(KS9=3,1,0)</f>
        <v>0</v>
      </c>
      <c r="NP9">
        <f>IF(KS9=4,1,0)</f>
        <v>0</v>
      </c>
      <c r="NQ9">
        <f>IF(KS9=5,1,0)</f>
        <v>0</v>
      </c>
      <c r="NR9">
        <f>IF(KS9=6,1,0)</f>
        <v>0</v>
      </c>
      <c r="NS9">
        <f>IF(KS9=7,1,0)</f>
        <v>0</v>
      </c>
      <c r="NT9">
        <f>SUM(NM9:NS9)</f>
        <v>0</v>
      </c>
      <c r="NU9" s="29">
        <f t="shared" ref="NU9" si="117">NT9-KT9</f>
        <v>0</v>
      </c>
      <c r="NY9" s="17">
        <f t="shared" ref="NY9:NY59" si="118">V9</f>
        <v>1</v>
      </c>
      <c r="NZ9" s="152">
        <v>11000000</v>
      </c>
      <c r="OE9" s="155">
        <f t="shared" ref="OE9:OE33" si="119">D9-J9</f>
        <v>0</v>
      </c>
      <c r="OF9" s="155">
        <f t="shared" ref="OF9:OF32" si="120">D9-N9</f>
        <v>0</v>
      </c>
      <c r="OG9" s="155">
        <f t="shared" ref="OG9:OG32" si="121">AN9</f>
        <v>0</v>
      </c>
      <c r="OH9" s="155">
        <f>HE9</f>
        <v>0</v>
      </c>
      <c r="OI9" s="155">
        <f t="shared" ref="OI9:OI32" si="122">D9-R9</f>
        <v>0</v>
      </c>
      <c r="OJ9" s="67">
        <f>IF(OG9=1,OF9,0)</f>
        <v>0</v>
      </c>
      <c r="OK9" s="67">
        <f>IF(OH9=1,OF9,0)</f>
        <v>0</v>
      </c>
      <c r="OL9" s="67">
        <f>IF((OG9+OH9)=0,OF9,0)</f>
        <v>0</v>
      </c>
      <c r="OM9" s="67">
        <f>SUM(OJ9:OL9)</f>
        <v>0</v>
      </c>
      <c r="OO9" s="155">
        <f t="shared" ref="OO9:OO32" si="123">E9-K9</f>
        <v>0</v>
      </c>
      <c r="OP9" s="155">
        <f t="shared" ref="OP9:OP32" si="124">E9-O9</f>
        <v>0</v>
      </c>
      <c r="OQ9" s="155">
        <f>OG9</f>
        <v>0</v>
      </c>
      <c r="OR9" s="155">
        <f>OH9</f>
        <v>0</v>
      </c>
      <c r="OS9" s="155">
        <f>OI9</f>
        <v>0</v>
      </c>
      <c r="OT9" s="67">
        <f>IF(OQ9=1,OP9,0)</f>
        <v>0</v>
      </c>
      <c r="OU9" s="67">
        <f>IF(OR9=1,OP9,0)</f>
        <v>0</v>
      </c>
      <c r="OV9" s="67">
        <f>IF((OQ9+OR9)=0,OP9,0)</f>
        <v>0</v>
      </c>
      <c r="OW9" s="67">
        <f>SUM(OT9:OV9)</f>
        <v>0</v>
      </c>
      <c r="OZ9" s="163"/>
      <c r="PA9" s="166"/>
      <c r="PB9" s="166"/>
      <c r="PC9" s="166"/>
      <c r="PD9" s="210">
        <f t="shared" ref="PD9:PD59" si="125">PB9-PC9</f>
        <v>0</v>
      </c>
      <c r="PE9" s="210"/>
      <c r="PF9" s="210">
        <f t="shared" ref="PF9:PF59" si="126">PD9-PE9</f>
        <v>0</v>
      </c>
      <c r="PG9" s="210">
        <f t="shared" ref="PG9:PL51" si="127">IF(PA9=1,$BB9,0)</f>
        <v>0</v>
      </c>
      <c r="PH9" s="210">
        <f t="shared" si="127"/>
        <v>0</v>
      </c>
      <c r="PI9" s="210">
        <f t="shared" si="127"/>
        <v>0</v>
      </c>
      <c r="PJ9" s="210">
        <f t="shared" si="127"/>
        <v>0</v>
      </c>
      <c r="PK9" s="210">
        <f t="shared" si="127"/>
        <v>0</v>
      </c>
      <c r="PL9" s="210">
        <f t="shared" si="127"/>
        <v>0</v>
      </c>
      <c r="PM9" s="164"/>
      <c r="PN9" s="164"/>
      <c r="PO9" s="172">
        <f>IF(FC9=1,AB9,0)</f>
        <v>0</v>
      </c>
      <c r="PP9" s="172">
        <f>IF(FF9=1,AB9,0)</f>
        <v>0</v>
      </c>
      <c r="PQ9" s="172">
        <f>AB9-(PO9+PP9)</f>
        <v>0</v>
      </c>
      <c r="PR9" s="164"/>
      <c r="PS9" s="164"/>
      <c r="PT9" s="164"/>
      <c r="PU9" s="164"/>
    </row>
    <row r="10" spans="1:437" ht="16" x14ac:dyDescent="0.2">
      <c r="A10" s="19">
        <f>A9+1</f>
        <v>2</v>
      </c>
      <c r="B10" s="138" t="s">
        <v>205</v>
      </c>
      <c r="C10" s="138">
        <v>28</v>
      </c>
      <c r="D10" s="20">
        <v>1</v>
      </c>
      <c r="E10" s="188">
        <v>304</v>
      </c>
      <c r="F10" s="20">
        <v>1</v>
      </c>
      <c r="G10" s="20">
        <f t="shared" ref="G10:G22" si="128">E10</f>
        <v>304</v>
      </c>
      <c r="H10" s="137">
        <f t="shared" si="2"/>
        <v>1</v>
      </c>
      <c r="I10" s="137">
        <f t="shared" si="3"/>
        <v>1</v>
      </c>
      <c r="J10" s="20">
        <v>1</v>
      </c>
      <c r="K10" s="20">
        <f t="shared" si="4"/>
        <v>304</v>
      </c>
      <c r="L10" s="137">
        <f t="shared" si="5"/>
        <v>1</v>
      </c>
      <c r="M10" s="137">
        <f t="shared" si="6"/>
        <v>1</v>
      </c>
      <c r="N10" s="20">
        <v>1</v>
      </c>
      <c r="O10" s="20">
        <f t="shared" si="7"/>
        <v>304</v>
      </c>
      <c r="P10" s="137">
        <f t="shared" si="8"/>
        <v>1</v>
      </c>
      <c r="Q10" s="137">
        <f t="shared" si="9"/>
        <v>1</v>
      </c>
      <c r="R10" s="20">
        <v>1</v>
      </c>
      <c r="S10" s="20">
        <f t="shared" si="10"/>
        <v>304</v>
      </c>
      <c r="T10" s="137">
        <f t="shared" si="11"/>
        <v>1</v>
      </c>
      <c r="U10" s="137">
        <f t="shared" si="12"/>
        <v>1</v>
      </c>
      <c r="V10" s="20">
        <v>1</v>
      </c>
      <c r="W10" s="20">
        <f t="shared" si="13"/>
        <v>304</v>
      </c>
      <c r="X10" s="137">
        <f t="shared" si="14"/>
        <v>1</v>
      </c>
      <c r="Y10" s="214">
        <f t="shared" si="15"/>
        <v>1</v>
      </c>
      <c r="Z10" s="292">
        <f>(3484153000+2636400000)/1000000000</f>
        <v>6.1205530000000001</v>
      </c>
      <c r="AA10" s="188"/>
      <c r="AB10" s="17">
        <f t="shared" ref="AB10:AB31" si="129">IF(AA10=D10,E10,0)</f>
        <v>0</v>
      </c>
      <c r="AC10" s="18">
        <f t="shared" ref="AC10:AC31" si="130">AA10/$D10</f>
        <v>0</v>
      </c>
      <c r="AD10" s="18">
        <f t="shared" ref="AD10:AD31" si="131">AB10/$E10</f>
        <v>0</v>
      </c>
      <c r="AE10" s="20"/>
      <c r="AF10" s="20">
        <f t="shared" ref="AF10:AF31" si="132">R10-V10</f>
        <v>0</v>
      </c>
      <c r="AG10" s="20"/>
      <c r="AH10" s="31"/>
      <c r="AI10" s="20">
        <v>0</v>
      </c>
      <c r="AJ10" s="20">
        <f t="shared" si="18"/>
        <v>0</v>
      </c>
      <c r="AK10" s="20"/>
      <c r="AL10" s="20">
        <v>0</v>
      </c>
      <c r="AM10" s="20">
        <v>0</v>
      </c>
      <c r="AN10" s="139"/>
      <c r="BB10" s="20">
        <f t="shared" ref="BB10:BB31" si="133">IF(AN10=1,G10,0)</f>
        <v>0</v>
      </c>
      <c r="BE10" s="20">
        <f t="shared" si="19"/>
        <v>0</v>
      </c>
      <c r="BF10" s="20">
        <f t="shared" si="20"/>
        <v>0</v>
      </c>
      <c r="BG10" s="20">
        <f t="shared" si="21"/>
        <v>0</v>
      </c>
      <c r="BH10" s="20">
        <f t="shared" si="22"/>
        <v>0</v>
      </c>
      <c r="BI10" s="20">
        <f t="shared" si="23"/>
        <v>0</v>
      </c>
      <c r="BJ10" s="20">
        <f t="shared" si="24"/>
        <v>0</v>
      </c>
      <c r="BK10" s="20">
        <f t="shared" ref="BK10:BK31" si="134">SUM(BF10:BJ10)</f>
        <v>0</v>
      </c>
      <c r="BN10" s="314">
        <v>233</v>
      </c>
      <c r="BO10" s="126"/>
      <c r="BP10" s="17">
        <v>1</v>
      </c>
      <c r="BQ10" s="17"/>
      <c r="BR10" s="17"/>
      <c r="BS10" s="17"/>
      <c r="BT10" s="17"/>
      <c r="BU10" s="17"/>
      <c r="BV10" s="20"/>
      <c r="BW10" s="20"/>
      <c r="BX10" s="20"/>
      <c r="BY10" s="20"/>
      <c r="BZ10" s="20"/>
      <c r="CB10" s="139"/>
      <c r="CD10" s="17">
        <f t="shared" si="26"/>
        <v>233</v>
      </c>
      <c r="CE10" s="17">
        <f t="shared" ref="CE10:CE31" si="135">IF(BO10=1,$CD10,0)</f>
        <v>0</v>
      </c>
      <c r="CF10" s="17">
        <f t="shared" si="27"/>
        <v>233</v>
      </c>
      <c r="CG10" s="17">
        <f t="shared" si="28"/>
        <v>0</v>
      </c>
      <c r="CH10" s="17">
        <f t="shared" si="29"/>
        <v>0</v>
      </c>
      <c r="CI10" s="17">
        <f t="shared" si="30"/>
        <v>0</v>
      </c>
      <c r="CJ10" s="17">
        <f t="shared" si="31"/>
        <v>0</v>
      </c>
      <c r="CK10" s="17">
        <f t="shared" si="32"/>
        <v>0</v>
      </c>
      <c r="CL10" s="20">
        <f t="shared" si="33"/>
        <v>0</v>
      </c>
      <c r="CM10" s="20">
        <f t="shared" si="34"/>
        <v>0</v>
      </c>
      <c r="CN10" s="20">
        <f t="shared" si="35"/>
        <v>0</v>
      </c>
      <c r="CO10" s="20">
        <f t="shared" si="36"/>
        <v>0</v>
      </c>
      <c r="CP10" s="20">
        <f t="shared" si="37"/>
        <v>0</v>
      </c>
      <c r="DV10" s="20">
        <f t="shared" si="38"/>
        <v>0</v>
      </c>
      <c r="DW10" s="20">
        <f t="shared" si="39"/>
        <v>0</v>
      </c>
      <c r="DX10" s="20">
        <f t="shared" si="40"/>
        <v>0</v>
      </c>
      <c r="DY10" s="20">
        <f t="shared" si="41"/>
        <v>0</v>
      </c>
      <c r="DZ10" s="20">
        <f t="shared" si="42"/>
        <v>0</v>
      </c>
      <c r="EA10" s="20">
        <f t="shared" si="43"/>
        <v>0</v>
      </c>
      <c r="EB10" s="20">
        <f t="shared" ref="EB10:EB31" si="136">SUM(DW10:EA10)</f>
        <v>0</v>
      </c>
      <c r="ED10" s="46" t="s">
        <v>368</v>
      </c>
      <c r="EE10" s="46" t="s">
        <v>369</v>
      </c>
      <c r="EG10" s="57">
        <f t="shared" ref="EG10:EG31" si="137">IF(AG10="C","C",IF(AG10="D","D",0))</f>
        <v>0</v>
      </c>
      <c r="EH10" s="57">
        <f t="shared" ref="EH10:EH31" si="138">CC10</f>
        <v>0</v>
      </c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X10" s="177">
        <v>1</v>
      </c>
      <c r="FY10" s="17">
        <f t="shared" ref="FY10:FY31" si="139">SUM(FZ10:GE10)</f>
        <v>233</v>
      </c>
      <c r="FZ10" s="17">
        <f t="shared" si="45"/>
        <v>0</v>
      </c>
      <c r="GA10" s="17">
        <f t="shared" si="46"/>
        <v>233</v>
      </c>
      <c r="GB10" s="17">
        <f t="shared" si="47"/>
        <v>0</v>
      </c>
      <c r="GC10" s="17">
        <f t="shared" si="48"/>
        <v>0</v>
      </c>
      <c r="GD10" s="17">
        <f t="shared" si="49"/>
        <v>0</v>
      </c>
      <c r="GE10" s="17">
        <f t="shared" si="50"/>
        <v>0</v>
      </c>
      <c r="GF10" s="67"/>
      <c r="GG10" s="17">
        <v>0</v>
      </c>
      <c r="GH10" s="17">
        <v>0</v>
      </c>
      <c r="GI10" s="67"/>
      <c r="GJ10" s="62">
        <f t="shared" ref="GJ10:GJ31" si="140">FY10*GG10/1000000000</f>
        <v>0</v>
      </c>
      <c r="GK10" s="62">
        <f t="shared" ref="GK10:GK31" si="141">FY10*GH10/1000000000</f>
        <v>0</v>
      </c>
      <c r="GO10" s="17">
        <f t="shared" si="51"/>
        <v>0</v>
      </c>
      <c r="GP10" s="17">
        <f t="shared" si="52"/>
        <v>0</v>
      </c>
      <c r="GQ10" s="17">
        <f t="shared" si="53"/>
        <v>0</v>
      </c>
      <c r="GR10" s="17">
        <f t="shared" si="54"/>
        <v>0</v>
      </c>
      <c r="GS10" s="17">
        <f t="shared" si="55"/>
        <v>0</v>
      </c>
      <c r="GT10" s="17">
        <f t="shared" ref="GT10:GT31" si="142">IF(SUM(GO10:GS10)=0,1,0)</f>
        <v>1</v>
      </c>
      <c r="GU10" s="101">
        <f t="shared" ref="GU10:GU59" si="143">$GU$3</f>
        <v>43243</v>
      </c>
      <c r="GV10" s="17" t="str">
        <f t="shared" ref="GV10:GV31" si="144">IF(GO10&gt;0,$GO$6,IF(GP10&gt;0,$GP$6,IF(GQ10&gt;0,$GQ$6,IF(GR10&gt;0,$GR$6,IF(GS10&gt;0,$GS$6,IF(GT10&gt;0,$GT$6,0))))))</f>
        <v>SELESAI</v>
      </c>
      <c r="GW10" s="17">
        <f t="shared" ref="GW10:GW31" si="145">IF(GV10=$GO$6,GO10,IF(GV10=$GP$6,GP10,IF(GV10=$GQ$6,GQ10,IF(GV10=$GR$6,GR10,IF(GV10=$GS$6,GS10,0)))))</f>
        <v>0</v>
      </c>
      <c r="GX10" s="66" t="str">
        <f t="shared" ref="GX10:GX31" si="146">GV10</f>
        <v>SELESAI</v>
      </c>
      <c r="GY10" s="66">
        <f t="shared" ref="GY10:GY31" si="147">IF(GX10="DNP",SUM($GY$4:$GY$8),IF(GX10="Survey KJPP",SUM($GY$5:$GY$8),IF(GX10="Hasil Valuasi",SUM($GY$6:$GY$8),IF(GX10="Musyawarah",SUM($GY$7:$GY$8),IF(GX10="UGR",$GY$8,0)))))</f>
        <v>0</v>
      </c>
      <c r="GZ10" s="102" t="str">
        <f t="shared" ref="GZ10:GZ31" si="148">IF(GW10=0,"SELESAI",GU10+GY10)</f>
        <v>SELESAI</v>
      </c>
      <c r="HA10" s="83"/>
      <c r="HB10" s="83"/>
      <c r="HC10" s="17">
        <f t="shared" si="56"/>
        <v>0</v>
      </c>
      <c r="HD10" s="17">
        <f t="shared" si="57"/>
        <v>0</v>
      </c>
      <c r="HE10" s="17">
        <f t="shared" ref="HE10:HE31" si="149">HC10+HD10</f>
        <v>0</v>
      </c>
      <c r="HF10" s="17">
        <f t="shared" ref="HF10:HF31" si="150">FQ10</f>
        <v>0</v>
      </c>
      <c r="HG10" s="17">
        <f t="shared" ref="HG10:HG31" si="151">HE10-HF10</f>
        <v>0</v>
      </c>
      <c r="HH10" s="101" t="str">
        <f t="shared" si="58"/>
        <v>TIDAK KONSINYASI</v>
      </c>
      <c r="HI10" s="101" t="str">
        <f t="shared" ref="HI10:HI31" si="152">IF(GW10=0,"SELESAI",GZ10+$HI$8)</f>
        <v>SELESAI</v>
      </c>
      <c r="HJ10" s="27"/>
      <c r="HK10" s="101">
        <f t="shared" si="59"/>
        <v>0</v>
      </c>
      <c r="HL10" s="83"/>
      <c r="HM10" s="83"/>
      <c r="HN10" s="83"/>
      <c r="HO10" s="83"/>
      <c r="HP10" s="102">
        <f t="shared" ref="HP10:HP31" si="153">IF(HQ10=1,GZ10,0)</f>
        <v>0</v>
      </c>
      <c r="HQ10" s="66">
        <f t="shared" ref="HQ10:HQ31" si="154">IF(IX10=0,IF(HT10=0,IF(IP10=0,IF(GV10="UGR",GS10,0),0),0),0)</f>
        <v>0</v>
      </c>
      <c r="HR10" s="66">
        <f t="shared" si="60"/>
        <v>0</v>
      </c>
      <c r="HS10" s="102">
        <f t="shared" ref="HS10:HS31" si="155">IF(HT10=1,HH10,0)</f>
        <v>0</v>
      </c>
      <c r="HT10" s="66">
        <f t="shared" ref="HT10:HT31" si="156">HG10</f>
        <v>0</v>
      </c>
      <c r="HU10" s="66">
        <f t="shared" si="61"/>
        <v>0</v>
      </c>
      <c r="HV10" s="102">
        <f t="shared" ref="HV10:HV31" si="157">IF(HW10=1,GZ10,0)</f>
        <v>0</v>
      </c>
      <c r="HW10" s="66">
        <f t="shared" si="62"/>
        <v>0</v>
      </c>
      <c r="HX10" s="66">
        <f t="shared" si="63"/>
        <v>0</v>
      </c>
      <c r="HY10" s="102">
        <f t="shared" si="64"/>
        <v>0</v>
      </c>
      <c r="HZ10" s="66">
        <f t="shared" ref="HZ10:HZ31" si="158">HW10</f>
        <v>0</v>
      </c>
      <c r="IA10" s="66">
        <f t="shared" si="65"/>
        <v>0</v>
      </c>
      <c r="IB10" s="102">
        <f t="shared" ref="IB10:IB31" si="159">IF(IC10=1,$GU$3+SUM($GY$6:$GY$8),0)</f>
        <v>0</v>
      </c>
      <c r="IC10" s="66">
        <f t="shared" si="66"/>
        <v>0</v>
      </c>
      <c r="ID10" s="66">
        <f t="shared" si="67"/>
        <v>0</v>
      </c>
      <c r="IE10" s="102">
        <f t="shared" si="68"/>
        <v>0</v>
      </c>
      <c r="IF10" s="66">
        <f t="shared" si="69"/>
        <v>0</v>
      </c>
      <c r="IG10" s="66">
        <f t="shared" si="70"/>
        <v>0</v>
      </c>
      <c r="IH10" s="102">
        <f t="shared" ref="IH10:IH31" si="160">IF(II10=1,$GU$3+SUM($GY$5:$GY$8),0)</f>
        <v>0</v>
      </c>
      <c r="II10" s="66">
        <f t="shared" ref="II10:II31" si="161">IF(GV10="Survey KJPP",GP10,0)</f>
        <v>0</v>
      </c>
      <c r="IJ10" s="66">
        <f t="shared" si="71"/>
        <v>0</v>
      </c>
      <c r="IK10" s="102">
        <f t="shared" si="72"/>
        <v>0</v>
      </c>
      <c r="IL10" s="66">
        <f t="shared" si="73"/>
        <v>0</v>
      </c>
      <c r="IM10" s="66">
        <f t="shared" si="74"/>
        <v>0</v>
      </c>
      <c r="IN10" s="83"/>
      <c r="IO10" s="102">
        <f t="shared" si="75"/>
        <v>0</v>
      </c>
      <c r="IP10" s="66">
        <f t="shared" si="76"/>
        <v>0</v>
      </c>
      <c r="IQ10" s="66">
        <f t="shared" si="77"/>
        <v>0</v>
      </c>
      <c r="IR10" s="83"/>
      <c r="IS10" s="102"/>
      <c r="IT10" s="66">
        <f t="shared" si="78"/>
        <v>1</v>
      </c>
      <c r="IU10" s="66">
        <f t="shared" si="79"/>
        <v>304</v>
      </c>
      <c r="IV10" s="83"/>
      <c r="IW10" s="102"/>
      <c r="IX10" s="66">
        <f t="shared" si="80"/>
        <v>0</v>
      </c>
      <c r="IY10" s="66">
        <f t="shared" si="81"/>
        <v>0</v>
      </c>
      <c r="IZ10" s="83"/>
      <c r="JA10" s="102"/>
      <c r="JB10" s="66">
        <f t="shared" si="82"/>
        <v>0</v>
      </c>
      <c r="JC10" s="66">
        <f t="shared" si="83"/>
        <v>0</v>
      </c>
      <c r="JD10" s="83"/>
      <c r="JE10" s="102"/>
      <c r="JF10" s="66">
        <f t="shared" ref="JF10:JF31" si="162">IT10+HQ10+HT10+HZ10+IF10+IL10+IP10+IX10+JB10</f>
        <v>1</v>
      </c>
      <c r="JG10" s="66">
        <f t="shared" si="84"/>
        <v>304</v>
      </c>
      <c r="JH10" s="83"/>
      <c r="JI10" s="102"/>
      <c r="JJ10" s="66">
        <f t="shared" si="85"/>
        <v>0</v>
      </c>
      <c r="JK10" s="66">
        <f t="shared" si="86"/>
        <v>0</v>
      </c>
      <c r="JM10" s="102">
        <f t="shared" ref="JM10:JM31" si="163">MAX(IW10,IS10,IO10,IK10,IE10,HY10,HS10,HP10)</f>
        <v>0</v>
      </c>
      <c r="JO10" s="29">
        <f t="shared" si="87"/>
        <v>1</v>
      </c>
      <c r="JP10" s="122">
        <f t="shared" si="88"/>
        <v>233</v>
      </c>
      <c r="JQ10" s="122">
        <f t="shared" si="89"/>
        <v>0</v>
      </c>
      <c r="JR10" s="122">
        <f t="shared" si="90"/>
        <v>1</v>
      </c>
      <c r="JS10" s="122">
        <f t="shared" si="91"/>
        <v>0</v>
      </c>
      <c r="JT10" s="122">
        <f t="shared" si="92"/>
        <v>0</v>
      </c>
      <c r="JU10" s="122">
        <f t="shared" si="93"/>
        <v>0</v>
      </c>
      <c r="JV10" s="122">
        <f t="shared" si="94"/>
        <v>0</v>
      </c>
      <c r="JW10" s="122">
        <f t="shared" si="95"/>
        <v>0</v>
      </c>
      <c r="JX10" s="122">
        <f t="shared" si="96"/>
        <v>0</v>
      </c>
      <c r="JY10" s="122">
        <f t="shared" si="97"/>
        <v>0</v>
      </c>
      <c r="JZ10" s="122">
        <f t="shared" si="98"/>
        <v>0</v>
      </c>
      <c r="KA10" s="122">
        <f t="shared" si="99"/>
        <v>0</v>
      </c>
      <c r="KB10" s="122">
        <f t="shared" si="100"/>
        <v>0</v>
      </c>
      <c r="KD10" s="122">
        <f t="shared" ref="KD10:KD59" si="164">IF(IF(SUM(GA10:GE10)&gt;100,1,0)+IF(FX10=1,1,0)=2,1,0)</f>
        <v>1</v>
      </c>
      <c r="KE10" s="122">
        <f t="shared" si="102"/>
        <v>233</v>
      </c>
      <c r="KF10" s="122">
        <f t="shared" si="103"/>
        <v>233</v>
      </c>
      <c r="KG10" s="122">
        <f t="shared" si="104"/>
        <v>0</v>
      </c>
      <c r="KH10" s="122">
        <f t="shared" si="105"/>
        <v>233</v>
      </c>
      <c r="KI10" s="122">
        <f t="shared" si="106"/>
        <v>0</v>
      </c>
      <c r="KJ10" s="122">
        <f t="shared" si="107"/>
        <v>0</v>
      </c>
      <c r="KK10" s="122">
        <f t="shared" si="108"/>
        <v>0</v>
      </c>
      <c r="KL10" s="122">
        <f t="shared" si="109"/>
        <v>0</v>
      </c>
      <c r="KM10" s="122">
        <f t="shared" si="110"/>
        <v>0</v>
      </c>
      <c r="KN10" s="123">
        <f t="shared" si="111"/>
        <v>0</v>
      </c>
      <c r="KO10" s="123">
        <f t="shared" si="112"/>
        <v>0</v>
      </c>
      <c r="KP10" s="123">
        <f t="shared" si="113"/>
        <v>0</v>
      </c>
      <c r="KQ10" s="123">
        <f t="shared" si="114"/>
        <v>0</v>
      </c>
      <c r="KR10" s="123">
        <f t="shared" si="115"/>
        <v>0</v>
      </c>
      <c r="KT10">
        <f t="shared" si="116"/>
        <v>0</v>
      </c>
      <c r="KU10" s="123"/>
      <c r="KV10" s="123"/>
      <c r="KW10" s="123"/>
      <c r="KX10" s="123"/>
      <c r="KY10" s="123"/>
      <c r="KZ10" s="123"/>
      <c r="LA10" s="123"/>
      <c r="LB10" s="123"/>
      <c r="LC10" s="123"/>
      <c r="LD10" s="123"/>
      <c r="LE10" s="123"/>
      <c r="LF10" s="123"/>
      <c r="LG10" s="123"/>
      <c r="LH10" s="123"/>
      <c r="LI10" s="123"/>
      <c r="LJ10" s="123"/>
      <c r="LK10" s="123"/>
      <c r="LL10" s="123"/>
      <c r="LM10" s="123"/>
      <c r="LN10" s="123"/>
      <c r="LO10" s="123"/>
      <c r="LP10" s="123"/>
      <c r="LQ10" s="123"/>
      <c r="LR10" s="123"/>
      <c r="LS10" s="123"/>
      <c r="LT10" s="123"/>
      <c r="LU10" s="123"/>
      <c r="LV10" s="123"/>
      <c r="LW10" s="123"/>
      <c r="LX10" s="123"/>
      <c r="LY10" s="123"/>
      <c r="LZ10" s="123"/>
      <c r="MA10" s="123"/>
      <c r="MB10" s="123"/>
      <c r="MC10" s="123"/>
      <c r="MD10" s="123"/>
      <c r="ME10" s="123"/>
      <c r="MF10" s="123"/>
      <c r="MG10" s="123"/>
      <c r="MH10" s="123"/>
      <c r="MI10" s="123"/>
      <c r="MJ10" s="123"/>
      <c r="MK10" s="123"/>
      <c r="ML10" s="123"/>
      <c r="MM10" s="123"/>
      <c r="MN10" s="123"/>
      <c r="MO10" s="123"/>
      <c r="MP10" s="123"/>
      <c r="MQ10" s="123"/>
      <c r="MR10" s="123"/>
      <c r="MS10" s="123"/>
      <c r="MT10" s="123"/>
      <c r="MU10" s="123"/>
      <c r="MV10" s="123"/>
      <c r="MW10" s="123"/>
      <c r="MX10" s="123"/>
      <c r="MY10" s="123"/>
      <c r="MZ10" s="123"/>
      <c r="NA10" s="123"/>
      <c r="NB10" s="123"/>
      <c r="NC10" s="123"/>
      <c r="ND10" s="123"/>
      <c r="NE10" s="123"/>
      <c r="NF10" s="123"/>
      <c r="NG10" s="123"/>
      <c r="NH10" s="123"/>
      <c r="NI10" s="123"/>
      <c r="NJ10" s="123"/>
      <c r="NK10" s="123"/>
      <c r="NM10">
        <f t="shared" ref="NM10:NM31" si="165">IF(KS10=1,1,0)</f>
        <v>0</v>
      </c>
      <c r="NN10">
        <f t="shared" ref="NN10:NN31" si="166">IF(KS10=2,1,0)</f>
        <v>0</v>
      </c>
      <c r="NO10">
        <f t="shared" ref="NO10:NO31" si="167">IF(KS10=3,1,0)</f>
        <v>0</v>
      </c>
      <c r="NP10">
        <f t="shared" ref="NP10:NP31" si="168">IF(KS10=4,1,0)</f>
        <v>0</v>
      </c>
      <c r="NQ10">
        <f t="shared" ref="NQ10:NQ31" si="169">IF(KS10=5,1,0)</f>
        <v>0</v>
      </c>
      <c r="NR10">
        <f t="shared" ref="NR10:NR31" si="170">IF(KS10=6,1,0)</f>
        <v>0</v>
      </c>
      <c r="NS10">
        <f t="shared" ref="NS10:NS31" si="171">IF(KS10=7,1,0)</f>
        <v>0</v>
      </c>
      <c r="NT10">
        <f t="shared" ref="NT10:NT31" si="172">SUM(NM10:NS10)</f>
        <v>0</v>
      </c>
      <c r="NU10" s="29">
        <f t="shared" ref="NU10:NU31" si="173">NT10-KT10</f>
        <v>0</v>
      </c>
      <c r="NY10" s="17">
        <f t="shared" si="118"/>
        <v>1</v>
      </c>
      <c r="NZ10" s="152">
        <v>11000000</v>
      </c>
      <c r="OE10" s="155">
        <f t="shared" si="119"/>
        <v>0</v>
      </c>
      <c r="OF10" s="155">
        <f t="shared" si="120"/>
        <v>0</v>
      </c>
      <c r="OG10" s="155">
        <f t="shared" si="121"/>
        <v>0</v>
      </c>
      <c r="OH10" s="155">
        <f t="shared" ref="OH10:OH31" si="174">HE10</f>
        <v>0</v>
      </c>
      <c r="OI10" s="155">
        <f t="shared" si="122"/>
        <v>0</v>
      </c>
      <c r="OJ10" s="67">
        <f t="shared" ref="OJ10:OJ31" si="175">IF(OG10=1,OF10,0)</f>
        <v>0</v>
      </c>
      <c r="OK10" s="67">
        <f t="shared" ref="OK10:OK31" si="176">IF(OH10=1,OF10,0)</f>
        <v>0</v>
      </c>
      <c r="OL10" s="67">
        <f t="shared" ref="OL10:OL31" si="177">IF((OG10+OH10)=0,OF10,0)</f>
        <v>0</v>
      </c>
      <c r="OM10" s="67">
        <f t="shared" ref="OM10:OM31" si="178">SUM(OJ10:OL10)</f>
        <v>0</v>
      </c>
      <c r="OO10" s="155">
        <f t="shared" si="123"/>
        <v>0</v>
      </c>
      <c r="OP10" s="155">
        <f t="shared" si="124"/>
        <v>0</v>
      </c>
      <c r="OQ10" s="155">
        <f t="shared" ref="OQ10:OQ31" si="179">OG10</f>
        <v>0</v>
      </c>
      <c r="OR10" s="155">
        <f t="shared" ref="OR10:OR31" si="180">OH10</f>
        <v>0</v>
      </c>
      <c r="OS10" s="155">
        <f t="shared" ref="OS10:OS31" si="181">OI10</f>
        <v>0</v>
      </c>
      <c r="OT10" s="67">
        <f t="shared" ref="OT10:OT31" si="182">IF(OQ10=1,OP10,0)</f>
        <v>0</v>
      </c>
      <c r="OU10" s="67">
        <f t="shared" ref="OU10:OU31" si="183">IF(OR10=1,OP10,0)</f>
        <v>0</v>
      </c>
      <c r="OV10" s="67">
        <f t="shared" ref="OV10:OV31" si="184">IF((OQ10+OR10)=0,OP10,0)</f>
        <v>0</v>
      </c>
      <c r="OW10" s="67">
        <f t="shared" ref="OW10:OW31" si="185">SUM(OT10:OV10)</f>
        <v>0</v>
      </c>
      <c r="OZ10" s="163"/>
      <c r="PA10" s="166"/>
      <c r="PB10" s="166"/>
      <c r="PC10" s="166"/>
      <c r="PD10" s="210">
        <f t="shared" si="125"/>
        <v>0</v>
      </c>
      <c r="PE10" s="210"/>
      <c r="PF10" s="210">
        <f t="shared" si="126"/>
        <v>0</v>
      </c>
      <c r="PG10" s="210">
        <f t="shared" si="127"/>
        <v>0</v>
      </c>
      <c r="PH10" s="210">
        <f t="shared" si="127"/>
        <v>0</v>
      </c>
      <c r="PI10" s="210">
        <f t="shared" si="127"/>
        <v>0</v>
      </c>
      <c r="PJ10" s="210">
        <f t="shared" si="127"/>
        <v>0</v>
      </c>
      <c r="PK10" s="210">
        <f t="shared" si="127"/>
        <v>0</v>
      </c>
      <c r="PL10" s="210">
        <f t="shared" si="127"/>
        <v>0</v>
      </c>
      <c r="PM10" s="164"/>
      <c r="PN10" s="164"/>
      <c r="PO10" s="172">
        <f t="shared" ref="PO10:PO59" si="186">IF(FC10=1,AB10,0)</f>
        <v>0</v>
      </c>
      <c r="PP10" s="172">
        <f t="shared" ref="PP10:PP59" si="187">IF(FF10=1,AB10,0)</f>
        <v>0</v>
      </c>
      <c r="PQ10" s="172">
        <f t="shared" ref="PQ10:PQ59" si="188">AB10-(PO10+PP10)</f>
        <v>0</v>
      </c>
      <c r="PR10" s="164"/>
      <c r="PS10" s="164"/>
      <c r="PT10" s="164"/>
      <c r="PU10" s="164"/>
    </row>
    <row r="11" spans="1:437" ht="16" x14ac:dyDescent="0.2">
      <c r="A11" s="19">
        <f t="shared" ref="A11:A59" si="189">A10+1</f>
        <v>3</v>
      </c>
      <c r="B11" s="138" t="s">
        <v>206</v>
      </c>
      <c r="C11" s="138">
        <v>29</v>
      </c>
      <c r="D11" s="20">
        <v>1</v>
      </c>
      <c r="E11" s="188">
        <v>314</v>
      </c>
      <c r="F11" s="20">
        <v>1</v>
      </c>
      <c r="G11" s="20">
        <f t="shared" si="128"/>
        <v>314</v>
      </c>
      <c r="H11" s="137">
        <f t="shared" si="2"/>
        <v>1</v>
      </c>
      <c r="I11" s="137">
        <f t="shared" si="3"/>
        <v>1</v>
      </c>
      <c r="J11" s="20">
        <v>1</v>
      </c>
      <c r="K11" s="20">
        <f t="shared" si="4"/>
        <v>314</v>
      </c>
      <c r="L11" s="137">
        <f t="shared" si="5"/>
        <v>1</v>
      </c>
      <c r="M11" s="137">
        <f t="shared" si="6"/>
        <v>1</v>
      </c>
      <c r="N11" s="20">
        <v>1</v>
      </c>
      <c r="O11" s="20">
        <f t="shared" si="7"/>
        <v>314</v>
      </c>
      <c r="P11" s="137">
        <f t="shared" si="8"/>
        <v>1</v>
      </c>
      <c r="Q11" s="137">
        <f t="shared" si="9"/>
        <v>1</v>
      </c>
      <c r="R11" s="20">
        <v>1</v>
      </c>
      <c r="S11" s="20">
        <f t="shared" si="10"/>
        <v>314</v>
      </c>
      <c r="T11" s="137">
        <f t="shared" si="11"/>
        <v>1</v>
      </c>
      <c r="U11" s="137">
        <f t="shared" si="12"/>
        <v>1</v>
      </c>
      <c r="V11" s="20">
        <v>1</v>
      </c>
      <c r="W11" s="20">
        <f t="shared" si="13"/>
        <v>314</v>
      </c>
      <c r="X11" s="137">
        <f t="shared" si="14"/>
        <v>1</v>
      </c>
      <c r="Y11" s="214">
        <f t="shared" si="15"/>
        <v>1</v>
      </c>
      <c r="Z11" s="271">
        <f>(1047394000+2568500000)/1000000000</f>
        <v>3.6158939999999999</v>
      </c>
      <c r="AA11" s="188"/>
      <c r="AB11" s="17">
        <f t="shared" si="129"/>
        <v>0</v>
      </c>
      <c r="AC11" s="18">
        <f t="shared" si="130"/>
        <v>0</v>
      </c>
      <c r="AD11" s="18">
        <f t="shared" si="131"/>
        <v>0</v>
      </c>
      <c r="AE11" s="20"/>
      <c r="AF11" s="20">
        <f t="shared" si="132"/>
        <v>0</v>
      </c>
      <c r="AG11" s="20"/>
      <c r="AH11" s="31"/>
      <c r="AI11" s="20">
        <v>0</v>
      </c>
      <c r="AJ11" s="20">
        <f t="shared" si="18"/>
        <v>0</v>
      </c>
      <c r="AK11" s="20"/>
      <c r="AL11" s="20">
        <v>0</v>
      </c>
      <c r="AM11" s="20">
        <v>0</v>
      </c>
      <c r="AN11" s="139"/>
      <c r="BB11" s="20">
        <f t="shared" si="133"/>
        <v>0</v>
      </c>
      <c r="BE11" s="20">
        <f t="shared" si="19"/>
        <v>0</v>
      </c>
      <c r="BF11" s="20">
        <f t="shared" si="20"/>
        <v>0</v>
      </c>
      <c r="BG11" s="20">
        <f t="shared" si="21"/>
        <v>0</v>
      </c>
      <c r="BH11" s="20">
        <f t="shared" si="22"/>
        <v>0</v>
      </c>
      <c r="BI11" s="20">
        <f t="shared" si="23"/>
        <v>0</v>
      </c>
      <c r="BJ11" s="20">
        <f t="shared" si="24"/>
        <v>0</v>
      </c>
      <c r="BK11" s="20">
        <f t="shared" si="134"/>
        <v>0</v>
      </c>
      <c r="BN11" s="314">
        <v>227</v>
      </c>
      <c r="BO11" s="126"/>
      <c r="BP11" s="17">
        <v>1</v>
      </c>
      <c r="BQ11" s="17"/>
      <c r="BR11" s="17"/>
      <c r="BS11" s="17"/>
      <c r="BT11" s="17"/>
      <c r="BU11" s="17"/>
      <c r="BV11" s="20"/>
      <c r="BW11" s="20"/>
      <c r="BX11" s="20"/>
      <c r="BY11" s="20"/>
      <c r="BZ11" s="20"/>
      <c r="CB11" s="139"/>
      <c r="CD11" s="17">
        <f t="shared" si="26"/>
        <v>227</v>
      </c>
      <c r="CE11" s="17">
        <f t="shared" si="135"/>
        <v>0</v>
      </c>
      <c r="CF11" s="17">
        <f t="shared" si="27"/>
        <v>227</v>
      </c>
      <c r="CG11" s="17">
        <f t="shared" si="28"/>
        <v>0</v>
      </c>
      <c r="CH11" s="17">
        <f t="shared" si="29"/>
        <v>0</v>
      </c>
      <c r="CI11" s="17">
        <f t="shared" si="30"/>
        <v>0</v>
      </c>
      <c r="CJ11" s="17">
        <f t="shared" si="31"/>
        <v>0</v>
      </c>
      <c r="CK11" s="17">
        <f t="shared" si="32"/>
        <v>0</v>
      </c>
      <c r="CL11" s="20">
        <f t="shared" si="33"/>
        <v>0</v>
      </c>
      <c r="CM11" s="20">
        <f t="shared" si="34"/>
        <v>0</v>
      </c>
      <c r="CN11" s="20">
        <f t="shared" si="35"/>
        <v>0</v>
      </c>
      <c r="CO11" s="20">
        <f t="shared" si="36"/>
        <v>0</v>
      </c>
      <c r="CP11" s="20">
        <f t="shared" si="37"/>
        <v>0</v>
      </c>
      <c r="DV11" s="20">
        <f t="shared" si="38"/>
        <v>0</v>
      </c>
      <c r="DW11" s="20">
        <f t="shared" si="39"/>
        <v>0</v>
      </c>
      <c r="DX11" s="20">
        <f t="shared" si="40"/>
        <v>0</v>
      </c>
      <c r="DY11" s="20">
        <f t="shared" si="41"/>
        <v>0</v>
      </c>
      <c r="DZ11" s="20">
        <f t="shared" si="42"/>
        <v>0</v>
      </c>
      <c r="EA11" s="20">
        <f t="shared" si="43"/>
        <v>0</v>
      </c>
      <c r="EB11" s="20">
        <f t="shared" si="136"/>
        <v>0</v>
      </c>
      <c r="ED11" s="46" t="s">
        <v>368</v>
      </c>
      <c r="EE11" s="46" t="s">
        <v>370</v>
      </c>
      <c r="EF11" s="56"/>
      <c r="EG11" s="57">
        <f t="shared" si="137"/>
        <v>0</v>
      </c>
      <c r="EH11" s="57">
        <f t="shared" si="138"/>
        <v>0</v>
      </c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X11" s="177">
        <v>1</v>
      </c>
      <c r="FY11" s="17">
        <f t="shared" si="139"/>
        <v>227</v>
      </c>
      <c r="FZ11" s="17">
        <f t="shared" si="45"/>
        <v>0</v>
      </c>
      <c r="GA11" s="17">
        <f t="shared" si="46"/>
        <v>227</v>
      </c>
      <c r="GB11" s="17">
        <f t="shared" si="47"/>
        <v>0</v>
      </c>
      <c r="GC11" s="17">
        <f t="shared" si="48"/>
        <v>0</v>
      </c>
      <c r="GD11" s="17">
        <f t="shared" si="49"/>
        <v>0</v>
      </c>
      <c r="GE11" s="17">
        <f t="shared" si="50"/>
        <v>0</v>
      </c>
      <c r="GF11" s="67"/>
      <c r="GG11" s="17">
        <v>0</v>
      </c>
      <c r="GH11" s="17">
        <v>0</v>
      </c>
      <c r="GI11" s="67"/>
      <c r="GJ11" s="62">
        <f t="shared" si="140"/>
        <v>0</v>
      </c>
      <c r="GK11" s="62">
        <f t="shared" si="141"/>
        <v>0</v>
      </c>
      <c r="GO11" s="17">
        <f t="shared" si="51"/>
        <v>0</v>
      </c>
      <c r="GP11" s="17">
        <f t="shared" si="52"/>
        <v>0</v>
      </c>
      <c r="GQ11" s="17">
        <f t="shared" si="53"/>
        <v>0</v>
      </c>
      <c r="GR11" s="17">
        <f t="shared" si="54"/>
        <v>0</v>
      </c>
      <c r="GS11" s="17">
        <f t="shared" si="55"/>
        <v>0</v>
      </c>
      <c r="GT11" s="17">
        <f t="shared" si="142"/>
        <v>1</v>
      </c>
      <c r="GU11" s="101">
        <f t="shared" si="143"/>
        <v>43243</v>
      </c>
      <c r="GV11" s="17" t="str">
        <f t="shared" si="144"/>
        <v>SELESAI</v>
      </c>
      <c r="GW11" s="17">
        <f t="shared" si="145"/>
        <v>0</v>
      </c>
      <c r="GX11" s="66" t="str">
        <f t="shared" si="146"/>
        <v>SELESAI</v>
      </c>
      <c r="GY11" s="66">
        <f t="shared" si="147"/>
        <v>0</v>
      </c>
      <c r="GZ11" s="102" t="str">
        <f t="shared" si="148"/>
        <v>SELESAI</v>
      </c>
      <c r="HA11" s="83"/>
      <c r="HB11" s="83"/>
      <c r="HC11" s="17">
        <f t="shared" si="56"/>
        <v>0</v>
      </c>
      <c r="HD11" s="17">
        <f t="shared" si="57"/>
        <v>0</v>
      </c>
      <c r="HE11" s="17">
        <f t="shared" si="149"/>
        <v>0</v>
      </c>
      <c r="HF11" s="17">
        <f t="shared" si="150"/>
        <v>0</v>
      </c>
      <c r="HG11" s="17">
        <f t="shared" si="151"/>
        <v>0</v>
      </c>
      <c r="HH11" s="101" t="str">
        <f t="shared" si="58"/>
        <v>TIDAK KONSINYASI</v>
      </c>
      <c r="HI11" s="101" t="str">
        <f t="shared" si="152"/>
        <v>SELESAI</v>
      </c>
      <c r="HJ11" s="27"/>
      <c r="HK11" s="101">
        <f t="shared" si="59"/>
        <v>0</v>
      </c>
      <c r="HL11" s="83"/>
      <c r="HM11" s="83"/>
      <c r="HN11" s="83"/>
      <c r="HO11" s="83"/>
      <c r="HP11" s="102">
        <f t="shared" si="153"/>
        <v>0</v>
      </c>
      <c r="HQ11" s="66">
        <f t="shared" si="154"/>
        <v>0</v>
      </c>
      <c r="HR11" s="66">
        <f t="shared" si="60"/>
        <v>0</v>
      </c>
      <c r="HS11" s="102">
        <f t="shared" si="155"/>
        <v>0</v>
      </c>
      <c r="HT11" s="66">
        <f t="shared" si="156"/>
        <v>0</v>
      </c>
      <c r="HU11" s="66">
        <f t="shared" si="61"/>
        <v>0</v>
      </c>
      <c r="HV11" s="102">
        <f t="shared" si="157"/>
        <v>0</v>
      </c>
      <c r="HW11" s="66">
        <f t="shared" si="62"/>
        <v>0</v>
      </c>
      <c r="HX11" s="66">
        <f t="shared" si="63"/>
        <v>0</v>
      </c>
      <c r="HY11" s="102">
        <f t="shared" si="64"/>
        <v>0</v>
      </c>
      <c r="HZ11" s="66">
        <f t="shared" si="158"/>
        <v>0</v>
      </c>
      <c r="IA11" s="66">
        <f t="shared" si="65"/>
        <v>0</v>
      </c>
      <c r="IB11" s="102">
        <f t="shared" si="159"/>
        <v>0</v>
      </c>
      <c r="IC11" s="66">
        <f t="shared" si="66"/>
        <v>0</v>
      </c>
      <c r="ID11" s="66">
        <f t="shared" si="67"/>
        <v>0</v>
      </c>
      <c r="IE11" s="102">
        <f t="shared" si="68"/>
        <v>0</v>
      </c>
      <c r="IF11" s="66">
        <f t="shared" si="69"/>
        <v>0</v>
      </c>
      <c r="IG11" s="66">
        <f t="shared" si="70"/>
        <v>0</v>
      </c>
      <c r="IH11" s="102">
        <f t="shared" si="160"/>
        <v>0</v>
      </c>
      <c r="II11" s="66">
        <f t="shared" si="161"/>
        <v>0</v>
      </c>
      <c r="IJ11" s="66">
        <f t="shared" si="71"/>
        <v>0</v>
      </c>
      <c r="IK11" s="102">
        <f t="shared" si="72"/>
        <v>0</v>
      </c>
      <c r="IL11" s="66">
        <f t="shared" si="73"/>
        <v>0</v>
      </c>
      <c r="IM11" s="66">
        <f t="shared" si="74"/>
        <v>0</v>
      </c>
      <c r="IN11" s="83"/>
      <c r="IO11" s="102">
        <f t="shared" si="75"/>
        <v>0</v>
      </c>
      <c r="IP11" s="66">
        <f t="shared" si="76"/>
        <v>0</v>
      </c>
      <c r="IQ11" s="66">
        <f t="shared" si="77"/>
        <v>0</v>
      </c>
      <c r="IR11" s="83"/>
      <c r="IS11" s="102"/>
      <c r="IT11" s="66">
        <f t="shared" si="78"/>
        <v>1</v>
      </c>
      <c r="IU11" s="66">
        <f t="shared" si="79"/>
        <v>314</v>
      </c>
      <c r="IV11" s="83"/>
      <c r="IW11" s="102"/>
      <c r="IX11" s="66">
        <f t="shared" si="80"/>
        <v>0</v>
      </c>
      <c r="IY11" s="66">
        <f t="shared" si="81"/>
        <v>0</v>
      </c>
      <c r="IZ11" s="83"/>
      <c r="JA11" s="102"/>
      <c r="JB11" s="66">
        <f t="shared" si="82"/>
        <v>0</v>
      </c>
      <c r="JC11" s="66">
        <f t="shared" si="83"/>
        <v>0</v>
      </c>
      <c r="JD11" s="83"/>
      <c r="JE11" s="102"/>
      <c r="JF11" s="66">
        <f t="shared" si="162"/>
        <v>1</v>
      </c>
      <c r="JG11" s="66">
        <f t="shared" si="84"/>
        <v>314</v>
      </c>
      <c r="JH11" s="83"/>
      <c r="JI11" s="102"/>
      <c r="JJ11" s="66">
        <f t="shared" si="85"/>
        <v>0</v>
      </c>
      <c r="JK11" s="66">
        <f t="shared" si="86"/>
        <v>0</v>
      </c>
      <c r="JM11" s="102">
        <f t="shared" si="163"/>
        <v>0</v>
      </c>
      <c r="JO11" s="29">
        <f t="shared" si="87"/>
        <v>1</v>
      </c>
      <c r="JP11" s="122">
        <f t="shared" si="88"/>
        <v>227</v>
      </c>
      <c r="JQ11" s="122">
        <f t="shared" si="89"/>
        <v>0</v>
      </c>
      <c r="JR11" s="122">
        <f t="shared" si="90"/>
        <v>1</v>
      </c>
      <c r="JS11" s="122">
        <f t="shared" si="91"/>
        <v>0</v>
      </c>
      <c r="JT11" s="122">
        <f t="shared" si="92"/>
        <v>0</v>
      </c>
      <c r="JU11" s="122">
        <f t="shared" si="93"/>
        <v>0</v>
      </c>
      <c r="JV11" s="122">
        <f t="shared" si="94"/>
        <v>0</v>
      </c>
      <c r="JW11" s="122">
        <f t="shared" si="95"/>
        <v>0</v>
      </c>
      <c r="JX11" s="122">
        <f t="shared" si="96"/>
        <v>0</v>
      </c>
      <c r="JY11" s="122">
        <f t="shared" si="97"/>
        <v>0</v>
      </c>
      <c r="JZ11" s="122">
        <f t="shared" si="98"/>
        <v>0</v>
      </c>
      <c r="KA11" s="122">
        <f t="shared" si="99"/>
        <v>0</v>
      </c>
      <c r="KB11" s="122">
        <f t="shared" si="100"/>
        <v>0</v>
      </c>
      <c r="KD11" s="122">
        <f t="shared" si="164"/>
        <v>1</v>
      </c>
      <c r="KE11" s="122">
        <f t="shared" si="102"/>
        <v>227</v>
      </c>
      <c r="KF11" s="122">
        <f t="shared" si="103"/>
        <v>227</v>
      </c>
      <c r="KG11" s="122">
        <f t="shared" si="104"/>
        <v>0</v>
      </c>
      <c r="KH11" s="122">
        <f t="shared" si="105"/>
        <v>227</v>
      </c>
      <c r="KI11" s="122">
        <f t="shared" si="106"/>
        <v>0</v>
      </c>
      <c r="KJ11" s="122">
        <f t="shared" si="107"/>
        <v>0</v>
      </c>
      <c r="KK11" s="122">
        <f t="shared" si="108"/>
        <v>0</v>
      </c>
      <c r="KL11" s="122">
        <f t="shared" si="109"/>
        <v>0</v>
      </c>
      <c r="KM11" s="122">
        <f t="shared" si="110"/>
        <v>0</v>
      </c>
      <c r="KN11" s="123">
        <f t="shared" si="111"/>
        <v>0</v>
      </c>
      <c r="KO11" s="123">
        <f t="shared" si="112"/>
        <v>0</v>
      </c>
      <c r="KP11" s="123">
        <f t="shared" si="113"/>
        <v>0</v>
      </c>
      <c r="KQ11" s="123">
        <f t="shared" si="114"/>
        <v>0</v>
      </c>
      <c r="KR11" s="123">
        <f t="shared" si="115"/>
        <v>0</v>
      </c>
      <c r="KT11">
        <f t="shared" si="116"/>
        <v>0</v>
      </c>
      <c r="KU11" s="123"/>
      <c r="KV11" s="123"/>
      <c r="KW11" s="123"/>
      <c r="KX11" s="123"/>
      <c r="KY11" s="123"/>
      <c r="KZ11" s="123"/>
      <c r="LA11" s="123"/>
      <c r="LB11" s="123"/>
      <c r="LC11" s="123"/>
      <c r="LD11" s="123"/>
      <c r="LE11" s="123"/>
      <c r="LF11" s="123"/>
      <c r="LG11" s="123"/>
      <c r="LH11" s="123"/>
      <c r="LI11" s="123"/>
      <c r="LJ11" s="123"/>
      <c r="LK11" s="123"/>
      <c r="LL11" s="123"/>
      <c r="LM11" s="123"/>
      <c r="LN11" s="123"/>
      <c r="LO11" s="123"/>
      <c r="LP11" s="123"/>
      <c r="LQ11" s="123"/>
      <c r="LR11" s="123"/>
      <c r="LS11" s="123"/>
      <c r="LT11" s="123"/>
      <c r="LU11" s="123"/>
      <c r="LV11" s="123"/>
      <c r="LW11" s="123"/>
      <c r="LX11" s="123"/>
      <c r="LY11" s="123"/>
      <c r="LZ11" s="123"/>
      <c r="MA11" s="123"/>
      <c r="MB11" s="123"/>
      <c r="MC11" s="123"/>
      <c r="MD11" s="123"/>
      <c r="ME11" s="123"/>
      <c r="MF11" s="123"/>
      <c r="MG11" s="123"/>
      <c r="MH11" s="123"/>
      <c r="MI11" s="123"/>
      <c r="MJ11" s="123"/>
      <c r="MK11" s="123"/>
      <c r="ML11" s="123"/>
      <c r="MM11" s="123"/>
      <c r="MN11" s="123"/>
      <c r="MO11" s="123"/>
      <c r="MP11" s="123"/>
      <c r="MQ11" s="123"/>
      <c r="MR11" s="123"/>
      <c r="MS11" s="123"/>
      <c r="MT11" s="123"/>
      <c r="MU11" s="123"/>
      <c r="MV11" s="123"/>
      <c r="MW11" s="123"/>
      <c r="MX11" s="123"/>
      <c r="MY11" s="123"/>
      <c r="MZ11" s="123"/>
      <c r="NA11" s="123"/>
      <c r="NB11" s="123"/>
      <c r="NC11" s="123"/>
      <c r="ND11" s="123"/>
      <c r="NE11" s="123"/>
      <c r="NF11" s="123"/>
      <c r="NG11" s="123"/>
      <c r="NH11" s="123"/>
      <c r="NI11" s="123"/>
      <c r="NJ11" s="123"/>
      <c r="NK11" s="123"/>
      <c r="NM11">
        <f t="shared" si="165"/>
        <v>0</v>
      </c>
      <c r="NN11">
        <f t="shared" si="166"/>
        <v>0</v>
      </c>
      <c r="NO11">
        <f t="shared" si="167"/>
        <v>0</v>
      </c>
      <c r="NP11">
        <f t="shared" si="168"/>
        <v>0</v>
      </c>
      <c r="NQ11">
        <f t="shared" si="169"/>
        <v>0</v>
      </c>
      <c r="NR11">
        <f t="shared" si="170"/>
        <v>0</v>
      </c>
      <c r="NS11">
        <f t="shared" si="171"/>
        <v>0</v>
      </c>
      <c r="NT11">
        <f t="shared" si="172"/>
        <v>0</v>
      </c>
      <c r="NU11" s="29">
        <f t="shared" si="173"/>
        <v>0</v>
      </c>
      <c r="NY11" s="17">
        <f t="shared" si="118"/>
        <v>1</v>
      </c>
      <c r="NZ11" s="152">
        <v>11000000</v>
      </c>
      <c r="OE11" s="155">
        <f t="shared" si="119"/>
        <v>0</v>
      </c>
      <c r="OF11" s="155">
        <f t="shared" si="120"/>
        <v>0</v>
      </c>
      <c r="OG11" s="155">
        <f t="shared" si="121"/>
        <v>0</v>
      </c>
      <c r="OH11" s="155">
        <f t="shared" si="174"/>
        <v>0</v>
      </c>
      <c r="OI11" s="155">
        <f t="shared" si="122"/>
        <v>0</v>
      </c>
      <c r="OJ11" s="67">
        <f t="shared" si="175"/>
        <v>0</v>
      </c>
      <c r="OK11" s="67">
        <f t="shared" si="176"/>
        <v>0</v>
      </c>
      <c r="OL11" s="67">
        <f t="shared" si="177"/>
        <v>0</v>
      </c>
      <c r="OM11" s="67">
        <f t="shared" si="178"/>
        <v>0</v>
      </c>
      <c r="OO11" s="155">
        <f t="shared" si="123"/>
        <v>0</v>
      </c>
      <c r="OP11" s="155">
        <f t="shared" si="124"/>
        <v>0</v>
      </c>
      <c r="OQ11" s="155">
        <f t="shared" si="179"/>
        <v>0</v>
      </c>
      <c r="OR11" s="155">
        <f t="shared" si="180"/>
        <v>0</v>
      </c>
      <c r="OS11" s="155">
        <f t="shared" si="181"/>
        <v>0</v>
      </c>
      <c r="OT11" s="67">
        <f t="shared" si="182"/>
        <v>0</v>
      </c>
      <c r="OU11" s="67">
        <f t="shared" si="183"/>
        <v>0</v>
      </c>
      <c r="OV11" s="67">
        <f t="shared" si="184"/>
        <v>0</v>
      </c>
      <c r="OW11" s="67">
        <f t="shared" si="185"/>
        <v>0</v>
      </c>
      <c r="OZ11" s="163"/>
      <c r="PA11" s="166"/>
      <c r="PB11" s="166"/>
      <c r="PC11" s="166"/>
      <c r="PD11" s="210">
        <f t="shared" si="125"/>
        <v>0</v>
      </c>
      <c r="PE11" s="210"/>
      <c r="PF11" s="210">
        <f t="shared" si="126"/>
        <v>0</v>
      </c>
      <c r="PG11" s="210">
        <f t="shared" si="127"/>
        <v>0</v>
      </c>
      <c r="PH11" s="210">
        <f t="shared" si="127"/>
        <v>0</v>
      </c>
      <c r="PI11" s="210">
        <f t="shared" si="127"/>
        <v>0</v>
      </c>
      <c r="PJ11" s="210">
        <f t="shared" si="127"/>
        <v>0</v>
      </c>
      <c r="PK11" s="210">
        <f t="shared" si="127"/>
        <v>0</v>
      </c>
      <c r="PL11" s="210">
        <f t="shared" si="127"/>
        <v>0</v>
      </c>
      <c r="PM11" s="164"/>
      <c r="PN11" s="164"/>
      <c r="PO11" s="172">
        <f t="shared" si="186"/>
        <v>0</v>
      </c>
      <c r="PP11" s="172">
        <f t="shared" si="187"/>
        <v>0</v>
      </c>
      <c r="PQ11" s="172">
        <f t="shared" si="188"/>
        <v>0</v>
      </c>
      <c r="PR11" s="164"/>
      <c r="PS11" s="164"/>
      <c r="PT11" s="164"/>
      <c r="PU11" s="164"/>
    </row>
    <row r="12" spans="1:437" ht="16" x14ac:dyDescent="0.2">
      <c r="A12" s="19">
        <f t="shared" si="189"/>
        <v>4</v>
      </c>
      <c r="B12" s="138" t="s">
        <v>207</v>
      </c>
      <c r="C12" s="138">
        <v>30</v>
      </c>
      <c r="D12" s="20">
        <v>1</v>
      </c>
      <c r="E12" s="188">
        <v>167</v>
      </c>
      <c r="F12" s="20">
        <v>1</v>
      </c>
      <c r="G12" s="20">
        <f t="shared" si="128"/>
        <v>167</v>
      </c>
      <c r="H12" s="137">
        <f t="shared" si="2"/>
        <v>1</v>
      </c>
      <c r="I12" s="137">
        <f t="shared" si="3"/>
        <v>1</v>
      </c>
      <c r="J12" s="20">
        <v>1</v>
      </c>
      <c r="K12" s="20">
        <f t="shared" si="4"/>
        <v>167</v>
      </c>
      <c r="L12" s="137">
        <f t="shared" si="5"/>
        <v>1</v>
      </c>
      <c r="M12" s="137">
        <f t="shared" si="6"/>
        <v>1</v>
      </c>
      <c r="N12" s="20">
        <v>1</v>
      </c>
      <c r="O12" s="20">
        <f t="shared" si="7"/>
        <v>167</v>
      </c>
      <c r="P12" s="137">
        <f t="shared" si="8"/>
        <v>1</v>
      </c>
      <c r="Q12" s="137">
        <f t="shared" si="9"/>
        <v>1</v>
      </c>
      <c r="R12" s="20">
        <v>1</v>
      </c>
      <c r="S12" s="20">
        <f t="shared" si="10"/>
        <v>167</v>
      </c>
      <c r="T12" s="137">
        <f t="shared" si="11"/>
        <v>1</v>
      </c>
      <c r="U12" s="137">
        <f t="shared" si="12"/>
        <v>1</v>
      </c>
      <c r="V12" s="20">
        <v>1</v>
      </c>
      <c r="W12" s="20">
        <f t="shared" si="13"/>
        <v>167</v>
      </c>
      <c r="X12" s="137">
        <f t="shared" si="14"/>
        <v>1</v>
      </c>
      <c r="Y12" s="214">
        <f t="shared" si="15"/>
        <v>1</v>
      </c>
      <c r="Z12" s="271">
        <f>(3900103000+1188100000)/1000000000</f>
        <v>5.088203</v>
      </c>
      <c r="AA12" s="188"/>
      <c r="AB12" s="17">
        <f t="shared" si="129"/>
        <v>0</v>
      </c>
      <c r="AC12" s="18">
        <f t="shared" si="130"/>
        <v>0</v>
      </c>
      <c r="AD12" s="18">
        <f t="shared" si="131"/>
        <v>0</v>
      </c>
      <c r="AE12" s="20"/>
      <c r="AF12" s="20">
        <f t="shared" si="132"/>
        <v>0</v>
      </c>
      <c r="AG12" s="20"/>
      <c r="AH12" s="31"/>
      <c r="AI12" s="20">
        <v>0</v>
      </c>
      <c r="AJ12" s="20">
        <f t="shared" si="18"/>
        <v>0</v>
      </c>
      <c r="AK12" s="20"/>
      <c r="AL12" s="20">
        <v>0</v>
      </c>
      <c r="AM12" s="20">
        <v>0</v>
      </c>
      <c r="AN12" s="139"/>
      <c r="BB12" s="20">
        <f t="shared" si="133"/>
        <v>0</v>
      </c>
      <c r="BE12" s="20">
        <f t="shared" si="19"/>
        <v>0</v>
      </c>
      <c r="BF12" s="20">
        <f t="shared" si="20"/>
        <v>0</v>
      </c>
      <c r="BG12" s="20">
        <f t="shared" si="21"/>
        <v>0</v>
      </c>
      <c r="BH12" s="20">
        <f t="shared" si="22"/>
        <v>0</v>
      </c>
      <c r="BI12" s="20">
        <f t="shared" si="23"/>
        <v>0</v>
      </c>
      <c r="BJ12" s="20">
        <f t="shared" si="24"/>
        <v>0</v>
      </c>
      <c r="BK12" s="20">
        <f t="shared" si="134"/>
        <v>0</v>
      </c>
      <c r="BN12" s="314">
        <v>105</v>
      </c>
      <c r="BO12" s="126"/>
      <c r="BP12" s="17">
        <v>1</v>
      </c>
      <c r="BQ12" s="17"/>
      <c r="BR12" s="17"/>
      <c r="BS12" s="17"/>
      <c r="BT12" s="17"/>
      <c r="BU12" s="17"/>
      <c r="BV12" s="20"/>
      <c r="BW12" s="20"/>
      <c r="BX12" s="20"/>
      <c r="BY12" s="20"/>
      <c r="BZ12" s="20"/>
      <c r="CB12" s="139"/>
      <c r="CD12" s="17">
        <f t="shared" si="26"/>
        <v>105</v>
      </c>
      <c r="CE12" s="17">
        <f t="shared" si="135"/>
        <v>0</v>
      </c>
      <c r="CF12" s="17">
        <f t="shared" si="27"/>
        <v>105</v>
      </c>
      <c r="CG12" s="17">
        <f t="shared" si="28"/>
        <v>0</v>
      </c>
      <c r="CH12" s="17">
        <f t="shared" si="29"/>
        <v>0</v>
      </c>
      <c r="CI12" s="17">
        <f t="shared" si="30"/>
        <v>0</v>
      </c>
      <c r="CJ12" s="17">
        <f t="shared" si="31"/>
        <v>0</v>
      </c>
      <c r="CK12" s="17">
        <f t="shared" si="32"/>
        <v>0</v>
      </c>
      <c r="CL12" s="20">
        <f t="shared" si="33"/>
        <v>0</v>
      </c>
      <c r="CM12" s="20">
        <f t="shared" si="34"/>
        <v>0</v>
      </c>
      <c r="CN12" s="20">
        <f t="shared" si="35"/>
        <v>0</v>
      </c>
      <c r="CO12" s="20">
        <f t="shared" si="36"/>
        <v>0</v>
      </c>
      <c r="CP12" s="20">
        <f t="shared" si="37"/>
        <v>0</v>
      </c>
      <c r="DV12" s="20">
        <f t="shared" si="38"/>
        <v>0</v>
      </c>
      <c r="DW12" s="20">
        <f t="shared" si="39"/>
        <v>0</v>
      </c>
      <c r="DX12" s="20">
        <f t="shared" si="40"/>
        <v>0</v>
      </c>
      <c r="DY12" s="20">
        <f t="shared" si="41"/>
        <v>0</v>
      </c>
      <c r="DZ12" s="20">
        <f t="shared" si="42"/>
        <v>0</v>
      </c>
      <c r="EA12" s="20">
        <f t="shared" si="43"/>
        <v>0</v>
      </c>
      <c r="EB12" s="20">
        <f t="shared" si="136"/>
        <v>0</v>
      </c>
      <c r="ED12" s="46" t="s">
        <v>371</v>
      </c>
      <c r="EE12" s="46" t="s">
        <v>372</v>
      </c>
      <c r="EF12" s="56"/>
      <c r="EG12" s="57">
        <f t="shared" si="137"/>
        <v>0</v>
      </c>
      <c r="EH12" s="57">
        <f t="shared" si="138"/>
        <v>0</v>
      </c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X12" s="177">
        <v>1</v>
      </c>
      <c r="FY12" s="17">
        <f t="shared" si="139"/>
        <v>105</v>
      </c>
      <c r="FZ12" s="17">
        <f t="shared" si="45"/>
        <v>0</v>
      </c>
      <c r="GA12" s="17">
        <f t="shared" si="46"/>
        <v>105</v>
      </c>
      <c r="GB12" s="17">
        <f t="shared" si="47"/>
        <v>0</v>
      </c>
      <c r="GC12" s="17">
        <f t="shared" si="48"/>
        <v>0</v>
      </c>
      <c r="GD12" s="17">
        <f t="shared" si="49"/>
        <v>0</v>
      </c>
      <c r="GE12" s="17">
        <f t="shared" si="50"/>
        <v>0</v>
      </c>
      <c r="GF12" s="67"/>
      <c r="GG12" s="17">
        <v>0</v>
      </c>
      <c r="GH12" s="17">
        <v>0</v>
      </c>
      <c r="GI12" s="67"/>
      <c r="GJ12" s="62">
        <f t="shared" si="140"/>
        <v>0</v>
      </c>
      <c r="GK12" s="62">
        <f t="shared" si="141"/>
        <v>0</v>
      </c>
      <c r="GO12" s="17">
        <f t="shared" si="51"/>
        <v>0</v>
      </c>
      <c r="GP12" s="17">
        <f t="shared" si="52"/>
        <v>0</v>
      </c>
      <c r="GQ12" s="17">
        <f t="shared" si="53"/>
        <v>0</v>
      </c>
      <c r="GR12" s="17">
        <f t="shared" si="54"/>
        <v>0</v>
      </c>
      <c r="GS12" s="17">
        <f t="shared" si="55"/>
        <v>0</v>
      </c>
      <c r="GT12" s="17">
        <f t="shared" si="142"/>
        <v>1</v>
      </c>
      <c r="GU12" s="101">
        <f t="shared" si="143"/>
        <v>43243</v>
      </c>
      <c r="GV12" s="17" t="str">
        <f t="shared" si="144"/>
        <v>SELESAI</v>
      </c>
      <c r="GW12" s="17">
        <f t="shared" si="145"/>
        <v>0</v>
      </c>
      <c r="GX12" s="66" t="str">
        <f t="shared" si="146"/>
        <v>SELESAI</v>
      </c>
      <c r="GY12" s="66">
        <f t="shared" si="147"/>
        <v>0</v>
      </c>
      <c r="GZ12" s="102" t="str">
        <f t="shared" si="148"/>
        <v>SELESAI</v>
      </c>
      <c r="HA12" s="83"/>
      <c r="HB12" s="83"/>
      <c r="HC12" s="17">
        <f t="shared" si="56"/>
        <v>0</v>
      </c>
      <c r="HD12" s="17">
        <f t="shared" si="57"/>
        <v>0</v>
      </c>
      <c r="HE12" s="17">
        <f t="shared" si="149"/>
        <v>0</v>
      </c>
      <c r="HF12" s="17">
        <f t="shared" si="150"/>
        <v>0</v>
      </c>
      <c r="HG12" s="17">
        <f t="shared" si="151"/>
        <v>0</v>
      </c>
      <c r="HH12" s="101" t="str">
        <f t="shared" si="58"/>
        <v>TIDAK KONSINYASI</v>
      </c>
      <c r="HI12" s="101" t="str">
        <f t="shared" si="152"/>
        <v>SELESAI</v>
      </c>
      <c r="HJ12" s="27"/>
      <c r="HK12" s="101">
        <f t="shared" si="59"/>
        <v>0</v>
      </c>
      <c r="HL12" s="83"/>
      <c r="HM12" s="83"/>
      <c r="HN12" s="83"/>
      <c r="HO12" s="83"/>
      <c r="HP12" s="102">
        <f t="shared" si="153"/>
        <v>0</v>
      </c>
      <c r="HQ12" s="66">
        <f t="shared" si="154"/>
        <v>0</v>
      </c>
      <c r="HR12" s="66">
        <f t="shared" si="60"/>
        <v>0</v>
      </c>
      <c r="HS12" s="102">
        <f t="shared" si="155"/>
        <v>0</v>
      </c>
      <c r="HT12" s="66">
        <f t="shared" si="156"/>
        <v>0</v>
      </c>
      <c r="HU12" s="66">
        <f t="shared" si="61"/>
        <v>0</v>
      </c>
      <c r="HV12" s="102">
        <f t="shared" si="157"/>
        <v>0</v>
      </c>
      <c r="HW12" s="66">
        <f t="shared" si="62"/>
        <v>0</v>
      </c>
      <c r="HX12" s="66">
        <f t="shared" si="63"/>
        <v>0</v>
      </c>
      <c r="HY12" s="102">
        <f t="shared" si="64"/>
        <v>0</v>
      </c>
      <c r="HZ12" s="66">
        <f t="shared" si="158"/>
        <v>0</v>
      </c>
      <c r="IA12" s="66">
        <f t="shared" si="65"/>
        <v>0</v>
      </c>
      <c r="IB12" s="102">
        <f t="shared" si="159"/>
        <v>0</v>
      </c>
      <c r="IC12" s="66">
        <f t="shared" si="66"/>
        <v>0</v>
      </c>
      <c r="ID12" s="66">
        <f t="shared" si="67"/>
        <v>0</v>
      </c>
      <c r="IE12" s="102">
        <f t="shared" si="68"/>
        <v>0</v>
      </c>
      <c r="IF12" s="66">
        <f t="shared" si="69"/>
        <v>0</v>
      </c>
      <c r="IG12" s="66">
        <f t="shared" si="70"/>
        <v>0</v>
      </c>
      <c r="IH12" s="102">
        <f t="shared" si="160"/>
        <v>0</v>
      </c>
      <c r="II12" s="66">
        <f t="shared" si="161"/>
        <v>0</v>
      </c>
      <c r="IJ12" s="66">
        <f t="shared" si="71"/>
        <v>0</v>
      </c>
      <c r="IK12" s="102">
        <f t="shared" si="72"/>
        <v>0</v>
      </c>
      <c r="IL12" s="66">
        <f t="shared" si="73"/>
        <v>0</v>
      </c>
      <c r="IM12" s="66">
        <f t="shared" si="74"/>
        <v>0</v>
      </c>
      <c r="IN12" s="83"/>
      <c r="IO12" s="102">
        <f t="shared" si="75"/>
        <v>0</v>
      </c>
      <c r="IP12" s="66">
        <f t="shared" si="76"/>
        <v>0</v>
      </c>
      <c r="IQ12" s="66">
        <f t="shared" si="77"/>
        <v>0</v>
      </c>
      <c r="IR12" s="83"/>
      <c r="IS12" s="102"/>
      <c r="IT12" s="66">
        <f t="shared" si="78"/>
        <v>1</v>
      </c>
      <c r="IU12" s="66">
        <f t="shared" si="79"/>
        <v>167</v>
      </c>
      <c r="IV12" s="83"/>
      <c r="IW12" s="102"/>
      <c r="IX12" s="66">
        <f t="shared" si="80"/>
        <v>0</v>
      </c>
      <c r="IY12" s="66">
        <f t="shared" si="81"/>
        <v>0</v>
      </c>
      <c r="IZ12" s="83"/>
      <c r="JA12" s="102"/>
      <c r="JB12" s="66">
        <f t="shared" si="82"/>
        <v>0</v>
      </c>
      <c r="JC12" s="66">
        <f t="shared" si="83"/>
        <v>0</v>
      </c>
      <c r="JD12" s="83"/>
      <c r="JE12" s="102"/>
      <c r="JF12" s="66">
        <f t="shared" si="162"/>
        <v>1</v>
      </c>
      <c r="JG12" s="66">
        <f t="shared" si="84"/>
        <v>167</v>
      </c>
      <c r="JH12" s="83"/>
      <c r="JI12" s="102"/>
      <c r="JJ12" s="66">
        <f t="shared" si="85"/>
        <v>0</v>
      </c>
      <c r="JK12" s="66">
        <f t="shared" si="86"/>
        <v>0</v>
      </c>
      <c r="JM12" s="102">
        <f t="shared" si="163"/>
        <v>0</v>
      </c>
      <c r="JO12" s="29">
        <f t="shared" si="87"/>
        <v>1</v>
      </c>
      <c r="JP12" s="122">
        <f t="shared" si="88"/>
        <v>105</v>
      </c>
      <c r="JQ12" s="122">
        <f t="shared" si="89"/>
        <v>0</v>
      </c>
      <c r="JR12" s="122">
        <f t="shared" si="90"/>
        <v>1</v>
      </c>
      <c r="JS12" s="122">
        <f t="shared" si="91"/>
        <v>0</v>
      </c>
      <c r="JT12" s="122">
        <f t="shared" si="92"/>
        <v>0</v>
      </c>
      <c r="JU12" s="122">
        <f t="shared" si="93"/>
        <v>0</v>
      </c>
      <c r="JV12" s="122">
        <f t="shared" si="94"/>
        <v>0</v>
      </c>
      <c r="JW12" s="122">
        <f t="shared" si="95"/>
        <v>0</v>
      </c>
      <c r="JX12" s="122">
        <f t="shared" si="96"/>
        <v>0</v>
      </c>
      <c r="JY12" s="122">
        <f t="shared" si="97"/>
        <v>0</v>
      </c>
      <c r="JZ12" s="122">
        <f t="shared" si="98"/>
        <v>0</v>
      </c>
      <c r="KA12" s="122">
        <f t="shared" si="99"/>
        <v>0</v>
      </c>
      <c r="KB12" s="122">
        <f t="shared" si="100"/>
        <v>0</v>
      </c>
      <c r="KD12" s="122">
        <f t="shared" si="164"/>
        <v>1</v>
      </c>
      <c r="KE12" s="122">
        <f t="shared" si="102"/>
        <v>105</v>
      </c>
      <c r="KF12" s="122">
        <f t="shared" si="103"/>
        <v>105</v>
      </c>
      <c r="KG12" s="122">
        <f t="shared" si="104"/>
        <v>0</v>
      </c>
      <c r="KH12" s="122">
        <f t="shared" si="105"/>
        <v>105</v>
      </c>
      <c r="KI12" s="122">
        <f t="shared" si="106"/>
        <v>0</v>
      </c>
      <c r="KJ12" s="122">
        <f t="shared" si="107"/>
        <v>0</v>
      </c>
      <c r="KK12" s="122">
        <f t="shared" si="108"/>
        <v>0</v>
      </c>
      <c r="KL12" s="122">
        <f t="shared" si="109"/>
        <v>0</v>
      </c>
      <c r="KM12" s="122">
        <f t="shared" si="110"/>
        <v>0</v>
      </c>
      <c r="KN12" s="123">
        <f t="shared" si="111"/>
        <v>0</v>
      </c>
      <c r="KO12" s="123">
        <f t="shared" si="112"/>
        <v>0</v>
      </c>
      <c r="KP12" s="123">
        <f t="shared" si="113"/>
        <v>0</v>
      </c>
      <c r="KQ12" s="123">
        <f t="shared" si="114"/>
        <v>0</v>
      </c>
      <c r="KR12" s="123">
        <f t="shared" si="115"/>
        <v>0</v>
      </c>
      <c r="KT12">
        <f t="shared" si="116"/>
        <v>0</v>
      </c>
      <c r="KU12" s="123"/>
      <c r="KV12" s="123"/>
      <c r="KW12" s="123"/>
      <c r="KX12" s="123"/>
      <c r="KY12" s="123"/>
      <c r="KZ12" s="123"/>
      <c r="LA12" s="123"/>
      <c r="LB12" s="123"/>
      <c r="LC12" s="123"/>
      <c r="LD12" s="123"/>
      <c r="LE12" s="123"/>
      <c r="LF12" s="123"/>
      <c r="LG12" s="123"/>
      <c r="LH12" s="123"/>
      <c r="LI12" s="123"/>
      <c r="LJ12" s="123"/>
      <c r="LK12" s="123"/>
      <c r="LL12" s="123"/>
      <c r="LM12" s="123"/>
      <c r="LN12" s="123"/>
      <c r="LO12" s="123"/>
      <c r="LP12" s="123"/>
      <c r="LQ12" s="123"/>
      <c r="LR12" s="123"/>
      <c r="LS12" s="123"/>
      <c r="LT12" s="123"/>
      <c r="LU12" s="123"/>
      <c r="LV12" s="123"/>
      <c r="LW12" s="123"/>
      <c r="LX12" s="123"/>
      <c r="LY12" s="123"/>
      <c r="LZ12" s="123"/>
      <c r="MA12" s="123"/>
      <c r="MB12" s="123"/>
      <c r="MC12" s="123"/>
      <c r="MD12" s="123"/>
      <c r="ME12" s="123"/>
      <c r="MF12" s="123"/>
      <c r="MG12" s="123"/>
      <c r="MH12" s="123"/>
      <c r="MI12" s="123"/>
      <c r="MJ12" s="123"/>
      <c r="MK12" s="123"/>
      <c r="ML12" s="123"/>
      <c r="MM12" s="123"/>
      <c r="MN12" s="123"/>
      <c r="MO12" s="123"/>
      <c r="MP12" s="123"/>
      <c r="MQ12" s="123"/>
      <c r="MR12" s="123"/>
      <c r="MS12" s="123"/>
      <c r="MT12" s="123"/>
      <c r="MU12" s="123"/>
      <c r="MV12" s="123"/>
      <c r="MW12" s="123"/>
      <c r="MX12" s="123"/>
      <c r="MY12" s="123"/>
      <c r="MZ12" s="123"/>
      <c r="NA12" s="123"/>
      <c r="NB12" s="123"/>
      <c r="NC12" s="123"/>
      <c r="ND12" s="123"/>
      <c r="NE12" s="123"/>
      <c r="NF12" s="123"/>
      <c r="NG12" s="123"/>
      <c r="NH12" s="123"/>
      <c r="NI12" s="123"/>
      <c r="NJ12" s="123"/>
      <c r="NK12" s="123"/>
      <c r="NM12">
        <f t="shared" si="165"/>
        <v>0</v>
      </c>
      <c r="NN12">
        <f t="shared" si="166"/>
        <v>0</v>
      </c>
      <c r="NO12">
        <f t="shared" si="167"/>
        <v>0</v>
      </c>
      <c r="NP12">
        <f t="shared" si="168"/>
        <v>0</v>
      </c>
      <c r="NQ12">
        <f t="shared" si="169"/>
        <v>0</v>
      </c>
      <c r="NR12">
        <f t="shared" si="170"/>
        <v>0</v>
      </c>
      <c r="NS12">
        <f t="shared" si="171"/>
        <v>0</v>
      </c>
      <c r="NT12">
        <f t="shared" si="172"/>
        <v>0</v>
      </c>
      <c r="NU12" s="29">
        <f t="shared" si="173"/>
        <v>0</v>
      </c>
      <c r="NY12" s="17">
        <f t="shared" si="118"/>
        <v>1</v>
      </c>
      <c r="NZ12" s="152">
        <v>11000000</v>
      </c>
      <c r="OE12" s="155">
        <f t="shared" si="119"/>
        <v>0</v>
      </c>
      <c r="OF12" s="155">
        <f t="shared" si="120"/>
        <v>0</v>
      </c>
      <c r="OG12" s="155">
        <f t="shared" si="121"/>
        <v>0</v>
      </c>
      <c r="OH12" s="155">
        <f t="shared" si="174"/>
        <v>0</v>
      </c>
      <c r="OI12" s="155">
        <f t="shared" si="122"/>
        <v>0</v>
      </c>
      <c r="OJ12" s="67">
        <f t="shared" si="175"/>
        <v>0</v>
      </c>
      <c r="OK12" s="67">
        <f t="shared" si="176"/>
        <v>0</v>
      </c>
      <c r="OL12" s="67">
        <f t="shared" si="177"/>
        <v>0</v>
      </c>
      <c r="OM12" s="67">
        <f t="shared" si="178"/>
        <v>0</v>
      </c>
      <c r="OO12" s="155">
        <f t="shared" si="123"/>
        <v>0</v>
      </c>
      <c r="OP12" s="155">
        <f t="shared" si="124"/>
        <v>0</v>
      </c>
      <c r="OQ12" s="155">
        <f t="shared" si="179"/>
        <v>0</v>
      </c>
      <c r="OR12" s="155">
        <f t="shared" si="180"/>
        <v>0</v>
      </c>
      <c r="OS12" s="155">
        <f t="shared" si="181"/>
        <v>0</v>
      </c>
      <c r="OT12" s="67">
        <f t="shared" si="182"/>
        <v>0</v>
      </c>
      <c r="OU12" s="67">
        <f t="shared" si="183"/>
        <v>0</v>
      </c>
      <c r="OV12" s="67">
        <f t="shared" si="184"/>
        <v>0</v>
      </c>
      <c r="OW12" s="67">
        <f t="shared" si="185"/>
        <v>0</v>
      </c>
      <c r="OZ12" s="163"/>
      <c r="PA12" s="166"/>
      <c r="PB12" s="166"/>
      <c r="PC12" s="166"/>
      <c r="PD12" s="210">
        <f t="shared" si="125"/>
        <v>0</v>
      </c>
      <c r="PE12" s="210"/>
      <c r="PF12" s="210">
        <f t="shared" si="126"/>
        <v>0</v>
      </c>
      <c r="PG12" s="210">
        <f t="shared" si="127"/>
        <v>0</v>
      </c>
      <c r="PH12" s="210">
        <f t="shared" si="127"/>
        <v>0</v>
      </c>
      <c r="PI12" s="210">
        <f t="shared" si="127"/>
        <v>0</v>
      </c>
      <c r="PJ12" s="210">
        <f t="shared" si="127"/>
        <v>0</v>
      </c>
      <c r="PK12" s="210">
        <f t="shared" si="127"/>
        <v>0</v>
      </c>
      <c r="PL12" s="210">
        <f t="shared" si="127"/>
        <v>0</v>
      </c>
      <c r="PM12" s="164"/>
      <c r="PN12" s="164"/>
      <c r="PO12" s="172">
        <f t="shared" si="186"/>
        <v>0</v>
      </c>
      <c r="PP12" s="172">
        <f t="shared" si="187"/>
        <v>0</v>
      </c>
      <c r="PQ12" s="172">
        <f t="shared" si="188"/>
        <v>0</v>
      </c>
      <c r="PR12" s="164"/>
      <c r="PS12" s="164"/>
      <c r="PT12" s="164"/>
      <c r="PU12" s="164"/>
    </row>
    <row r="13" spans="1:437" ht="16" x14ac:dyDescent="0.2">
      <c r="A13" s="19">
        <f t="shared" si="189"/>
        <v>5</v>
      </c>
      <c r="B13" s="138" t="s">
        <v>207</v>
      </c>
      <c r="C13" s="138">
        <v>31</v>
      </c>
      <c r="D13" s="20">
        <v>1</v>
      </c>
      <c r="E13" s="188">
        <v>170</v>
      </c>
      <c r="F13" s="20">
        <v>1</v>
      </c>
      <c r="G13" s="20">
        <f t="shared" si="128"/>
        <v>170</v>
      </c>
      <c r="H13" s="137">
        <f t="shared" si="2"/>
        <v>1</v>
      </c>
      <c r="I13" s="137">
        <f t="shared" si="3"/>
        <v>1</v>
      </c>
      <c r="J13" s="20">
        <v>1</v>
      </c>
      <c r="K13" s="20">
        <f t="shared" si="4"/>
        <v>170</v>
      </c>
      <c r="L13" s="137">
        <f t="shared" si="5"/>
        <v>1</v>
      </c>
      <c r="M13" s="137">
        <f t="shared" si="6"/>
        <v>1</v>
      </c>
      <c r="N13" s="20">
        <v>1</v>
      </c>
      <c r="O13" s="20">
        <f t="shared" si="7"/>
        <v>170</v>
      </c>
      <c r="P13" s="137">
        <f t="shared" si="8"/>
        <v>1</v>
      </c>
      <c r="Q13" s="137">
        <f t="shared" si="9"/>
        <v>1</v>
      </c>
      <c r="R13" s="20">
        <v>1</v>
      </c>
      <c r="S13" s="20">
        <f t="shared" si="10"/>
        <v>170</v>
      </c>
      <c r="T13" s="137">
        <f t="shared" si="11"/>
        <v>1</v>
      </c>
      <c r="U13" s="137">
        <f t="shared" si="12"/>
        <v>1</v>
      </c>
      <c r="V13" s="20">
        <v>1</v>
      </c>
      <c r="W13" s="20">
        <f t="shared" si="13"/>
        <v>170</v>
      </c>
      <c r="X13" s="137">
        <f t="shared" si="14"/>
        <v>1</v>
      </c>
      <c r="Y13" s="214">
        <f t="shared" si="15"/>
        <v>1</v>
      </c>
      <c r="Z13" s="271">
        <f>(551714000+1403000000)/1000000000</f>
        <v>1.9547140000000001</v>
      </c>
      <c r="AA13" s="188"/>
      <c r="AB13" s="17">
        <f t="shared" si="129"/>
        <v>0</v>
      </c>
      <c r="AC13" s="18">
        <f t="shared" si="130"/>
        <v>0</v>
      </c>
      <c r="AD13" s="18">
        <f t="shared" si="131"/>
        <v>0</v>
      </c>
      <c r="AE13" s="20"/>
      <c r="AF13" s="20">
        <f t="shared" si="132"/>
        <v>0</v>
      </c>
      <c r="AG13" s="20"/>
      <c r="AH13" s="31"/>
      <c r="AI13" s="20">
        <v>0</v>
      </c>
      <c r="AJ13" s="20">
        <f t="shared" si="18"/>
        <v>0</v>
      </c>
      <c r="AK13" s="20"/>
      <c r="AL13" s="20">
        <v>0</v>
      </c>
      <c r="AM13" s="20">
        <v>0</v>
      </c>
      <c r="AN13" s="139"/>
      <c r="BB13" s="20">
        <f t="shared" si="133"/>
        <v>0</v>
      </c>
      <c r="BE13" s="20">
        <f t="shared" si="19"/>
        <v>0</v>
      </c>
      <c r="BF13" s="20">
        <f t="shared" si="20"/>
        <v>0</v>
      </c>
      <c r="BG13" s="20">
        <f t="shared" si="21"/>
        <v>0</v>
      </c>
      <c r="BH13" s="20">
        <f t="shared" si="22"/>
        <v>0</v>
      </c>
      <c r="BI13" s="20">
        <f t="shared" si="23"/>
        <v>0</v>
      </c>
      <c r="BJ13" s="20">
        <f t="shared" si="24"/>
        <v>0</v>
      </c>
      <c r="BK13" s="20">
        <f t="shared" si="134"/>
        <v>0</v>
      </c>
      <c r="BN13" s="314">
        <v>124</v>
      </c>
      <c r="BO13" s="126"/>
      <c r="BP13" s="17">
        <v>1</v>
      </c>
      <c r="BQ13" s="17"/>
      <c r="BR13" s="17"/>
      <c r="BS13" s="17"/>
      <c r="BT13" s="17"/>
      <c r="BU13" s="17"/>
      <c r="BV13" s="20"/>
      <c r="BW13" s="20"/>
      <c r="BX13" s="20"/>
      <c r="BY13" s="20"/>
      <c r="BZ13" s="20"/>
      <c r="CB13" s="139"/>
      <c r="CD13" s="17">
        <f t="shared" si="26"/>
        <v>124</v>
      </c>
      <c r="CE13" s="17">
        <f t="shared" si="135"/>
        <v>0</v>
      </c>
      <c r="CF13" s="17">
        <f t="shared" si="27"/>
        <v>124</v>
      </c>
      <c r="CG13" s="17">
        <f t="shared" si="28"/>
        <v>0</v>
      </c>
      <c r="CH13" s="17">
        <f t="shared" si="29"/>
        <v>0</v>
      </c>
      <c r="CI13" s="17">
        <f t="shared" si="30"/>
        <v>0</v>
      </c>
      <c r="CJ13" s="17">
        <f t="shared" si="31"/>
        <v>0</v>
      </c>
      <c r="CK13" s="17">
        <f t="shared" si="32"/>
        <v>0</v>
      </c>
      <c r="CL13" s="20">
        <f t="shared" si="33"/>
        <v>0</v>
      </c>
      <c r="CM13" s="20">
        <f t="shared" si="34"/>
        <v>0</v>
      </c>
      <c r="CN13" s="20">
        <f t="shared" si="35"/>
        <v>0</v>
      </c>
      <c r="CO13" s="20">
        <f t="shared" si="36"/>
        <v>0</v>
      </c>
      <c r="CP13" s="20">
        <f t="shared" si="37"/>
        <v>0</v>
      </c>
      <c r="DV13" s="20">
        <f t="shared" si="38"/>
        <v>0</v>
      </c>
      <c r="DW13" s="20">
        <f t="shared" si="39"/>
        <v>0</v>
      </c>
      <c r="DX13" s="20">
        <f t="shared" si="40"/>
        <v>0</v>
      </c>
      <c r="DY13" s="20">
        <f t="shared" si="41"/>
        <v>0</v>
      </c>
      <c r="DZ13" s="20">
        <f t="shared" si="42"/>
        <v>0</v>
      </c>
      <c r="EA13" s="20">
        <f t="shared" si="43"/>
        <v>0</v>
      </c>
      <c r="EB13" s="20">
        <f t="shared" si="136"/>
        <v>0</v>
      </c>
      <c r="ED13" s="46" t="s">
        <v>300</v>
      </c>
      <c r="EE13" s="46" t="s">
        <v>373</v>
      </c>
      <c r="EF13" s="56"/>
      <c r="EG13" s="57">
        <f t="shared" si="137"/>
        <v>0</v>
      </c>
      <c r="EH13" s="57">
        <f t="shared" si="138"/>
        <v>0</v>
      </c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X13" s="177">
        <v>1</v>
      </c>
      <c r="FY13" s="17">
        <f t="shared" si="139"/>
        <v>124</v>
      </c>
      <c r="FZ13" s="17">
        <f t="shared" si="45"/>
        <v>0</v>
      </c>
      <c r="GA13" s="17">
        <f t="shared" si="46"/>
        <v>124</v>
      </c>
      <c r="GB13" s="17">
        <f t="shared" si="47"/>
        <v>0</v>
      </c>
      <c r="GC13" s="17">
        <f t="shared" si="48"/>
        <v>0</v>
      </c>
      <c r="GD13" s="17">
        <f t="shared" si="49"/>
        <v>0</v>
      </c>
      <c r="GE13" s="17">
        <f t="shared" si="50"/>
        <v>0</v>
      </c>
      <c r="GF13" s="67"/>
      <c r="GG13" s="17">
        <v>0</v>
      </c>
      <c r="GH13" s="17">
        <v>0</v>
      </c>
      <c r="GI13" s="67"/>
      <c r="GJ13" s="62">
        <f t="shared" si="140"/>
        <v>0</v>
      </c>
      <c r="GK13" s="62">
        <f t="shared" si="141"/>
        <v>0</v>
      </c>
      <c r="GO13" s="17">
        <f t="shared" si="51"/>
        <v>0</v>
      </c>
      <c r="GP13" s="17">
        <f t="shared" si="52"/>
        <v>0</v>
      </c>
      <c r="GQ13" s="17">
        <f t="shared" si="53"/>
        <v>0</v>
      </c>
      <c r="GR13" s="17">
        <f t="shared" si="54"/>
        <v>0</v>
      </c>
      <c r="GS13" s="17">
        <f t="shared" si="55"/>
        <v>0</v>
      </c>
      <c r="GT13" s="17">
        <f t="shared" si="142"/>
        <v>1</v>
      </c>
      <c r="GU13" s="101">
        <f t="shared" si="143"/>
        <v>43243</v>
      </c>
      <c r="GV13" s="17" t="str">
        <f t="shared" si="144"/>
        <v>SELESAI</v>
      </c>
      <c r="GW13" s="17">
        <f t="shared" si="145"/>
        <v>0</v>
      </c>
      <c r="GX13" s="66" t="str">
        <f t="shared" si="146"/>
        <v>SELESAI</v>
      </c>
      <c r="GY13" s="66">
        <f t="shared" si="147"/>
        <v>0</v>
      </c>
      <c r="GZ13" s="102" t="str">
        <f t="shared" si="148"/>
        <v>SELESAI</v>
      </c>
      <c r="HA13" s="83"/>
      <c r="HB13" s="83"/>
      <c r="HC13" s="17">
        <f t="shared" si="56"/>
        <v>0</v>
      </c>
      <c r="HD13" s="17">
        <f t="shared" si="57"/>
        <v>0</v>
      </c>
      <c r="HE13" s="17">
        <f t="shared" si="149"/>
        <v>0</v>
      </c>
      <c r="HF13" s="17">
        <f t="shared" si="150"/>
        <v>0</v>
      </c>
      <c r="HG13" s="17">
        <f t="shared" si="151"/>
        <v>0</v>
      </c>
      <c r="HH13" s="101" t="str">
        <f t="shared" si="58"/>
        <v>TIDAK KONSINYASI</v>
      </c>
      <c r="HI13" s="101" t="str">
        <f t="shared" si="152"/>
        <v>SELESAI</v>
      </c>
      <c r="HJ13" s="27"/>
      <c r="HK13" s="101">
        <f t="shared" si="59"/>
        <v>0</v>
      </c>
      <c r="HL13" s="83"/>
      <c r="HM13" s="83"/>
      <c r="HN13" s="83"/>
      <c r="HO13" s="83"/>
      <c r="HP13" s="102">
        <f t="shared" si="153"/>
        <v>0</v>
      </c>
      <c r="HQ13" s="66">
        <f t="shared" si="154"/>
        <v>0</v>
      </c>
      <c r="HR13" s="66">
        <f t="shared" si="60"/>
        <v>0</v>
      </c>
      <c r="HS13" s="102">
        <f t="shared" si="155"/>
        <v>0</v>
      </c>
      <c r="HT13" s="66">
        <f t="shared" si="156"/>
        <v>0</v>
      </c>
      <c r="HU13" s="66">
        <f t="shared" si="61"/>
        <v>0</v>
      </c>
      <c r="HV13" s="102">
        <f t="shared" si="157"/>
        <v>0</v>
      </c>
      <c r="HW13" s="66">
        <f t="shared" si="62"/>
        <v>0</v>
      </c>
      <c r="HX13" s="66">
        <f t="shared" si="63"/>
        <v>0</v>
      </c>
      <c r="HY13" s="102">
        <f t="shared" si="64"/>
        <v>0</v>
      </c>
      <c r="HZ13" s="66">
        <f t="shared" si="158"/>
        <v>0</v>
      </c>
      <c r="IA13" s="66">
        <f t="shared" si="65"/>
        <v>0</v>
      </c>
      <c r="IB13" s="102">
        <f t="shared" si="159"/>
        <v>0</v>
      </c>
      <c r="IC13" s="66">
        <f t="shared" si="66"/>
        <v>0</v>
      </c>
      <c r="ID13" s="66">
        <f t="shared" si="67"/>
        <v>0</v>
      </c>
      <c r="IE13" s="102">
        <f t="shared" si="68"/>
        <v>0</v>
      </c>
      <c r="IF13" s="66">
        <f t="shared" si="69"/>
        <v>0</v>
      </c>
      <c r="IG13" s="66">
        <f t="shared" si="70"/>
        <v>0</v>
      </c>
      <c r="IH13" s="102">
        <f t="shared" si="160"/>
        <v>0</v>
      </c>
      <c r="II13" s="66">
        <f t="shared" si="161"/>
        <v>0</v>
      </c>
      <c r="IJ13" s="66">
        <f t="shared" si="71"/>
        <v>0</v>
      </c>
      <c r="IK13" s="102">
        <f t="shared" si="72"/>
        <v>0</v>
      </c>
      <c r="IL13" s="66">
        <f t="shared" si="73"/>
        <v>0</v>
      </c>
      <c r="IM13" s="66">
        <f t="shared" si="74"/>
        <v>0</v>
      </c>
      <c r="IN13" s="83"/>
      <c r="IO13" s="102">
        <f t="shared" si="75"/>
        <v>0</v>
      </c>
      <c r="IP13" s="66">
        <f t="shared" si="76"/>
        <v>0</v>
      </c>
      <c r="IQ13" s="66">
        <f t="shared" si="77"/>
        <v>0</v>
      </c>
      <c r="IR13" s="83"/>
      <c r="IS13" s="102"/>
      <c r="IT13" s="66">
        <f t="shared" si="78"/>
        <v>1</v>
      </c>
      <c r="IU13" s="66">
        <f t="shared" si="79"/>
        <v>170</v>
      </c>
      <c r="IV13" s="83"/>
      <c r="IW13" s="102"/>
      <c r="IX13" s="66">
        <f t="shared" si="80"/>
        <v>0</v>
      </c>
      <c r="IY13" s="66">
        <f t="shared" si="81"/>
        <v>0</v>
      </c>
      <c r="IZ13" s="83"/>
      <c r="JA13" s="102"/>
      <c r="JB13" s="66">
        <f t="shared" si="82"/>
        <v>0</v>
      </c>
      <c r="JC13" s="66">
        <f t="shared" si="83"/>
        <v>0</v>
      </c>
      <c r="JD13" s="83"/>
      <c r="JE13" s="102"/>
      <c r="JF13" s="66">
        <f t="shared" si="162"/>
        <v>1</v>
      </c>
      <c r="JG13" s="66">
        <f t="shared" si="84"/>
        <v>170</v>
      </c>
      <c r="JH13" s="83"/>
      <c r="JI13" s="102"/>
      <c r="JJ13" s="66">
        <f t="shared" si="85"/>
        <v>0</v>
      </c>
      <c r="JK13" s="66">
        <f t="shared" si="86"/>
        <v>0</v>
      </c>
      <c r="JM13" s="102">
        <f t="shared" si="163"/>
        <v>0</v>
      </c>
      <c r="JO13" s="29">
        <f t="shared" si="87"/>
        <v>1</v>
      </c>
      <c r="JP13" s="122">
        <f t="shared" si="88"/>
        <v>124</v>
      </c>
      <c r="JQ13" s="122">
        <f t="shared" si="89"/>
        <v>0</v>
      </c>
      <c r="JR13" s="122">
        <f t="shared" si="90"/>
        <v>1</v>
      </c>
      <c r="JS13" s="122">
        <f t="shared" si="91"/>
        <v>0</v>
      </c>
      <c r="JT13" s="122">
        <f t="shared" si="92"/>
        <v>0</v>
      </c>
      <c r="JU13" s="122">
        <f t="shared" si="93"/>
        <v>0</v>
      </c>
      <c r="JV13" s="122">
        <f t="shared" si="94"/>
        <v>0</v>
      </c>
      <c r="JW13" s="122">
        <f t="shared" si="95"/>
        <v>0</v>
      </c>
      <c r="JX13" s="122">
        <f t="shared" si="96"/>
        <v>0</v>
      </c>
      <c r="JY13" s="122">
        <f t="shared" si="97"/>
        <v>0</v>
      </c>
      <c r="JZ13" s="122">
        <f t="shared" si="98"/>
        <v>0</v>
      </c>
      <c r="KA13" s="122">
        <f t="shared" si="99"/>
        <v>0</v>
      </c>
      <c r="KB13" s="122">
        <f t="shared" si="100"/>
        <v>0</v>
      </c>
      <c r="KD13" s="122">
        <f t="shared" si="164"/>
        <v>1</v>
      </c>
      <c r="KE13" s="122">
        <f t="shared" si="102"/>
        <v>124</v>
      </c>
      <c r="KF13" s="122">
        <f t="shared" si="103"/>
        <v>124</v>
      </c>
      <c r="KG13" s="122">
        <f t="shared" si="104"/>
        <v>0</v>
      </c>
      <c r="KH13" s="122">
        <f t="shared" si="105"/>
        <v>124</v>
      </c>
      <c r="KI13" s="122">
        <f t="shared" si="106"/>
        <v>0</v>
      </c>
      <c r="KJ13" s="122">
        <f t="shared" si="107"/>
        <v>0</v>
      </c>
      <c r="KK13" s="122">
        <f t="shared" si="108"/>
        <v>0</v>
      </c>
      <c r="KL13" s="122">
        <f t="shared" si="109"/>
        <v>0</v>
      </c>
      <c r="KM13" s="122">
        <f t="shared" si="110"/>
        <v>0</v>
      </c>
      <c r="KN13" s="123">
        <f t="shared" si="111"/>
        <v>0</v>
      </c>
      <c r="KO13" s="123">
        <f t="shared" si="112"/>
        <v>0</v>
      </c>
      <c r="KP13" s="123">
        <f t="shared" si="113"/>
        <v>0</v>
      </c>
      <c r="KQ13" s="123">
        <f t="shared" si="114"/>
        <v>0</v>
      </c>
      <c r="KR13" s="123">
        <f t="shared" si="115"/>
        <v>0</v>
      </c>
      <c r="KT13">
        <f t="shared" si="116"/>
        <v>0</v>
      </c>
      <c r="KU13" s="123"/>
      <c r="KV13" s="123"/>
      <c r="KW13" s="123"/>
      <c r="KX13" s="123"/>
      <c r="KY13" s="123"/>
      <c r="KZ13" s="123"/>
      <c r="LA13" s="123"/>
      <c r="LB13" s="123"/>
      <c r="LC13" s="123"/>
      <c r="LD13" s="123"/>
      <c r="LE13" s="123"/>
      <c r="LF13" s="123"/>
      <c r="LG13" s="123"/>
      <c r="LH13" s="123"/>
      <c r="LI13" s="123"/>
      <c r="LJ13" s="123"/>
      <c r="LK13" s="123"/>
      <c r="LL13" s="123"/>
      <c r="LM13" s="123"/>
      <c r="LN13" s="123"/>
      <c r="LO13" s="123"/>
      <c r="LP13" s="123"/>
      <c r="LQ13" s="123"/>
      <c r="LR13" s="123"/>
      <c r="LS13" s="123"/>
      <c r="LT13" s="123"/>
      <c r="LU13" s="123"/>
      <c r="LV13" s="123"/>
      <c r="LW13" s="123"/>
      <c r="LX13" s="123"/>
      <c r="LY13" s="123"/>
      <c r="LZ13" s="123"/>
      <c r="MA13" s="123"/>
      <c r="MB13" s="123"/>
      <c r="MC13" s="123"/>
      <c r="MD13" s="123"/>
      <c r="ME13" s="123"/>
      <c r="MF13" s="123"/>
      <c r="MG13" s="123"/>
      <c r="MH13" s="123"/>
      <c r="MI13" s="123"/>
      <c r="MJ13" s="123"/>
      <c r="MK13" s="123"/>
      <c r="ML13" s="123"/>
      <c r="MM13" s="123"/>
      <c r="MN13" s="123"/>
      <c r="MO13" s="123"/>
      <c r="MP13" s="123"/>
      <c r="MQ13" s="123"/>
      <c r="MR13" s="123"/>
      <c r="MS13" s="123"/>
      <c r="MT13" s="123"/>
      <c r="MU13" s="123"/>
      <c r="MV13" s="123"/>
      <c r="MW13" s="123"/>
      <c r="MX13" s="123"/>
      <c r="MY13" s="123"/>
      <c r="MZ13" s="123"/>
      <c r="NA13" s="123"/>
      <c r="NB13" s="123"/>
      <c r="NC13" s="123"/>
      <c r="ND13" s="123"/>
      <c r="NE13" s="123"/>
      <c r="NF13" s="123"/>
      <c r="NG13" s="123"/>
      <c r="NH13" s="123"/>
      <c r="NI13" s="123"/>
      <c r="NJ13" s="123"/>
      <c r="NK13" s="123"/>
      <c r="NM13">
        <f t="shared" si="165"/>
        <v>0</v>
      </c>
      <c r="NN13">
        <f t="shared" si="166"/>
        <v>0</v>
      </c>
      <c r="NO13">
        <f t="shared" si="167"/>
        <v>0</v>
      </c>
      <c r="NP13">
        <f t="shared" si="168"/>
        <v>0</v>
      </c>
      <c r="NQ13">
        <f t="shared" si="169"/>
        <v>0</v>
      </c>
      <c r="NR13">
        <f t="shared" si="170"/>
        <v>0</v>
      </c>
      <c r="NS13">
        <f t="shared" si="171"/>
        <v>0</v>
      </c>
      <c r="NT13">
        <f t="shared" si="172"/>
        <v>0</v>
      </c>
      <c r="NU13" s="29">
        <f t="shared" si="173"/>
        <v>0</v>
      </c>
      <c r="NY13" s="17">
        <f t="shared" si="118"/>
        <v>1</v>
      </c>
      <c r="NZ13" s="152">
        <v>11000000</v>
      </c>
      <c r="OE13" s="155">
        <f t="shared" si="119"/>
        <v>0</v>
      </c>
      <c r="OF13" s="155">
        <f t="shared" si="120"/>
        <v>0</v>
      </c>
      <c r="OG13" s="155">
        <f t="shared" si="121"/>
        <v>0</v>
      </c>
      <c r="OH13" s="155">
        <f t="shared" si="174"/>
        <v>0</v>
      </c>
      <c r="OI13" s="155">
        <f t="shared" si="122"/>
        <v>0</v>
      </c>
      <c r="OJ13" s="67">
        <f t="shared" si="175"/>
        <v>0</v>
      </c>
      <c r="OK13" s="67">
        <f t="shared" si="176"/>
        <v>0</v>
      </c>
      <c r="OL13" s="67">
        <f t="shared" si="177"/>
        <v>0</v>
      </c>
      <c r="OM13" s="67">
        <f t="shared" si="178"/>
        <v>0</v>
      </c>
      <c r="OO13" s="155">
        <f t="shared" si="123"/>
        <v>0</v>
      </c>
      <c r="OP13" s="155">
        <f t="shared" si="124"/>
        <v>0</v>
      </c>
      <c r="OQ13" s="155">
        <f t="shared" si="179"/>
        <v>0</v>
      </c>
      <c r="OR13" s="155">
        <f t="shared" si="180"/>
        <v>0</v>
      </c>
      <c r="OS13" s="155">
        <f t="shared" si="181"/>
        <v>0</v>
      </c>
      <c r="OT13" s="67">
        <f t="shared" si="182"/>
        <v>0</v>
      </c>
      <c r="OU13" s="67">
        <f t="shared" si="183"/>
        <v>0</v>
      </c>
      <c r="OV13" s="67">
        <f t="shared" si="184"/>
        <v>0</v>
      </c>
      <c r="OW13" s="67">
        <f t="shared" si="185"/>
        <v>0</v>
      </c>
      <c r="OZ13" s="163"/>
      <c r="PA13" s="166"/>
      <c r="PB13" s="166"/>
      <c r="PC13" s="166"/>
      <c r="PD13" s="210">
        <f t="shared" si="125"/>
        <v>0</v>
      </c>
      <c r="PE13" s="210"/>
      <c r="PF13" s="210">
        <f t="shared" si="126"/>
        <v>0</v>
      </c>
      <c r="PG13" s="210">
        <f t="shared" si="127"/>
        <v>0</v>
      </c>
      <c r="PH13" s="210">
        <f t="shared" si="127"/>
        <v>0</v>
      </c>
      <c r="PI13" s="210">
        <f t="shared" si="127"/>
        <v>0</v>
      </c>
      <c r="PJ13" s="210">
        <f t="shared" si="127"/>
        <v>0</v>
      </c>
      <c r="PK13" s="210">
        <f t="shared" si="127"/>
        <v>0</v>
      </c>
      <c r="PL13" s="210">
        <f t="shared" si="127"/>
        <v>0</v>
      </c>
      <c r="PM13" s="164"/>
      <c r="PN13" s="164"/>
      <c r="PO13" s="172">
        <f t="shared" si="186"/>
        <v>0</v>
      </c>
      <c r="PP13" s="172">
        <f t="shared" si="187"/>
        <v>0</v>
      </c>
      <c r="PQ13" s="172">
        <f t="shared" si="188"/>
        <v>0</v>
      </c>
      <c r="PR13" s="164"/>
      <c r="PS13" s="164"/>
      <c r="PT13" s="164"/>
      <c r="PU13" s="164"/>
    </row>
    <row r="14" spans="1:437" ht="16" x14ac:dyDescent="0.2">
      <c r="A14" s="19">
        <f t="shared" si="189"/>
        <v>6</v>
      </c>
      <c r="B14" s="138" t="s">
        <v>208</v>
      </c>
      <c r="C14" s="138">
        <v>32</v>
      </c>
      <c r="D14" s="20">
        <v>1</v>
      </c>
      <c r="E14" s="188">
        <v>446</v>
      </c>
      <c r="F14" s="20">
        <v>1</v>
      </c>
      <c r="G14" s="20">
        <f t="shared" si="128"/>
        <v>446</v>
      </c>
      <c r="H14" s="137">
        <f t="shared" si="2"/>
        <v>1</v>
      </c>
      <c r="I14" s="137">
        <f t="shared" si="3"/>
        <v>1</v>
      </c>
      <c r="J14" s="20">
        <v>1</v>
      </c>
      <c r="K14" s="20">
        <f t="shared" si="4"/>
        <v>446</v>
      </c>
      <c r="L14" s="137">
        <f t="shared" si="5"/>
        <v>1</v>
      </c>
      <c r="M14" s="137">
        <f t="shared" si="6"/>
        <v>1</v>
      </c>
      <c r="N14" s="20">
        <v>1</v>
      </c>
      <c r="O14" s="20">
        <f t="shared" si="7"/>
        <v>446</v>
      </c>
      <c r="P14" s="137">
        <f t="shared" si="8"/>
        <v>1</v>
      </c>
      <c r="Q14" s="137">
        <f t="shared" si="9"/>
        <v>1</v>
      </c>
      <c r="R14" s="20">
        <v>1</v>
      </c>
      <c r="S14" s="20">
        <f t="shared" si="10"/>
        <v>446</v>
      </c>
      <c r="T14" s="137">
        <f t="shared" si="11"/>
        <v>1</v>
      </c>
      <c r="U14" s="137">
        <f t="shared" si="12"/>
        <v>1</v>
      </c>
      <c r="V14" s="20">
        <v>1</v>
      </c>
      <c r="W14" s="20">
        <f t="shared" si="13"/>
        <v>446</v>
      </c>
      <c r="X14" s="137">
        <f t="shared" si="14"/>
        <v>1</v>
      </c>
      <c r="Y14" s="214">
        <f t="shared" si="15"/>
        <v>1</v>
      </c>
      <c r="Z14" s="297">
        <f>(3507288000+3473700000)/1000000000</f>
        <v>6.980988</v>
      </c>
      <c r="AA14" s="188"/>
      <c r="AB14" s="17">
        <f t="shared" si="129"/>
        <v>0</v>
      </c>
      <c r="AC14" s="18">
        <f t="shared" si="130"/>
        <v>0</v>
      </c>
      <c r="AD14" s="18">
        <f t="shared" si="131"/>
        <v>0</v>
      </c>
      <c r="AE14" s="20"/>
      <c r="AF14" s="20">
        <f t="shared" si="132"/>
        <v>0</v>
      </c>
      <c r="AG14" s="20"/>
      <c r="AH14" s="31"/>
      <c r="AI14" s="20">
        <v>0</v>
      </c>
      <c r="AJ14" s="20">
        <f t="shared" si="18"/>
        <v>0</v>
      </c>
      <c r="AK14" s="20"/>
      <c r="AL14" s="20">
        <v>0</v>
      </c>
      <c r="AM14" s="20">
        <v>0</v>
      </c>
      <c r="AN14" s="139"/>
      <c r="BB14" s="20">
        <f t="shared" si="133"/>
        <v>0</v>
      </c>
      <c r="BE14" s="20">
        <f t="shared" si="19"/>
        <v>0</v>
      </c>
      <c r="BF14" s="20">
        <f t="shared" si="20"/>
        <v>0</v>
      </c>
      <c r="BG14" s="20">
        <f t="shared" si="21"/>
        <v>0</v>
      </c>
      <c r="BH14" s="20">
        <f t="shared" si="22"/>
        <v>0</v>
      </c>
      <c r="BI14" s="20">
        <f t="shared" si="23"/>
        <v>0</v>
      </c>
      <c r="BJ14" s="20">
        <f t="shared" si="24"/>
        <v>0</v>
      </c>
      <c r="BK14" s="20">
        <f t="shared" si="134"/>
        <v>0</v>
      </c>
      <c r="BN14" s="314">
        <v>307</v>
      </c>
      <c r="BO14" s="126"/>
      <c r="BP14" s="17">
        <v>1</v>
      </c>
      <c r="BQ14" s="17"/>
      <c r="BR14" s="17"/>
      <c r="BS14" s="17"/>
      <c r="BT14" s="17"/>
      <c r="BU14" s="17"/>
      <c r="BV14" s="20"/>
      <c r="BW14" s="20"/>
      <c r="BX14" s="20"/>
      <c r="BY14" s="20"/>
      <c r="BZ14" s="20"/>
      <c r="CB14" s="139"/>
      <c r="CD14" s="17">
        <f t="shared" si="26"/>
        <v>307</v>
      </c>
      <c r="CE14" s="17">
        <f t="shared" si="135"/>
        <v>0</v>
      </c>
      <c r="CF14" s="17">
        <f t="shared" si="27"/>
        <v>307</v>
      </c>
      <c r="CG14" s="17">
        <f t="shared" si="28"/>
        <v>0</v>
      </c>
      <c r="CH14" s="17">
        <f t="shared" si="29"/>
        <v>0</v>
      </c>
      <c r="CI14" s="17">
        <f t="shared" si="30"/>
        <v>0</v>
      </c>
      <c r="CJ14" s="17">
        <f t="shared" si="31"/>
        <v>0</v>
      </c>
      <c r="CK14" s="17">
        <f t="shared" si="32"/>
        <v>0</v>
      </c>
      <c r="CL14" s="20">
        <f t="shared" si="33"/>
        <v>0</v>
      </c>
      <c r="CM14" s="20">
        <f t="shared" si="34"/>
        <v>0</v>
      </c>
      <c r="CN14" s="20">
        <f t="shared" si="35"/>
        <v>0</v>
      </c>
      <c r="CO14" s="20">
        <f t="shared" si="36"/>
        <v>0</v>
      </c>
      <c r="CP14" s="20">
        <f t="shared" si="37"/>
        <v>0</v>
      </c>
      <c r="DV14" s="20">
        <f t="shared" si="38"/>
        <v>0</v>
      </c>
      <c r="DW14" s="20">
        <f t="shared" si="39"/>
        <v>0</v>
      </c>
      <c r="DX14" s="20">
        <f t="shared" si="40"/>
        <v>0</v>
      </c>
      <c r="DY14" s="20">
        <f t="shared" si="41"/>
        <v>0</v>
      </c>
      <c r="DZ14" s="20">
        <f t="shared" si="42"/>
        <v>0</v>
      </c>
      <c r="EA14" s="20">
        <f t="shared" si="43"/>
        <v>0</v>
      </c>
      <c r="EB14" s="20">
        <f t="shared" si="136"/>
        <v>0</v>
      </c>
      <c r="ED14" s="46" t="s">
        <v>301</v>
      </c>
      <c r="EE14" s="46" t="s">
        <v>374</v>
      </c>
      <c r="EF14" s="56"/>
      <c r="EG14" s="57">
        <f t="shared" si="137"/>
        <v>0</v>
      </c>
      <c r="EH14" s="57">
        <f t="shared" si="138"/>
        <v>0</v>
      </c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X14" s="177">
        <v>1</v>
      </c>
      <c r="FY14" s="17">
        <f t="shared" si="139"/>
        <v>307</v>
      </c>
      <c r="FZ14" s="17">
        <f t="shared" si="45"/>
        <v>0</v>
      </c>
      <c r="GA14" s="17">
        <f t="shared" si="46"/>
        <v>307</v>
      </c>
      <c r="GB14" s="17">
        <f t="shared" si="47"/>
        <v>0</v>
      </c>
      <c r="GC14" s="17">
        <f t="shared" si="48"/>
        <v>0</v>
      </c>
      <c r="GD14" s="17">
        <f t="shared" si="49"/>
        <v>0</v>
      </c>
      <c r="GE14" s="17">
        <f t="shared" si="50"/>
        <v>0</v>
      </c>
      <c r="GF14" s="67"/>
      <c r="GG14" s="17">
        <v>0</v>
      </c>
      <c r="GH14" s="17">
        <v>0</v>
      </c>
      <c r="GI14" s="67"/>
      <c r="GJ14" s="62">
        <f t="shared" si="140"/>
        <v>0</v>
      </c>
      <c r="GK14" s="62">
        <f t="shared" si="141"/>
        <v>0</v>
      </c>
      <c r="GO14" s="17">
        <f t="shared" si="51"/>
        <v>0</v>
      </c>
      <c r="GP14" s="17">
        <f t="shared" si="52"/>
        <v>0</v>
      </c>
      <c r="GQ14" s="17">
        <f t="shared" si="53"/>
        <v>0</v>
      </c>
      <c r="GR14" s="17">
        <f t="shared" si="54"/>
        <v>0</v>
      </c>
      <c r="GS14" s="17">
        <f t="shared" si="55"/>
        <v>0</v>
      </c>
      <c r="GT14" s="17">
        <f t="shared" si="142"/>
        <v>1</v>
      </c>
      <c r="GU14" s="101">
        <f t="shared" si="143"/>
        <v>43243</v>
      </c>
      <c r="GV14" s="17" t="str">
        <f t="shared" si="144"/>
        <v>SELESAI</v>
      </c>
      <c r="GW14" s="17">
        <f t="shared" si="145"/>
        <v>0</v>
      </c>
      <c r="GX14" s="66" t="str">
        <f t="shared" si="146"/>
        <v>SELESAI</v>
      </c>
      <c r="GY14" s="66">
        <f t="shared" si="147"/>
        <v>0</v>
      </c>
      <c r="GZ14" s="102" t="str">
        <f t="shared" si="148"/>
        <v>SELESAI</v>
      </c>
      <c r="HA14" s="83"/>
      <c r="HB14" s="83"/>
      <c r="HC14" s="17">
        <f t="shared" si="56"/>
        <v>0</v>
      </c>
      <c r="HD14" s="17">
        <f t="shared" si="57"/>
        <v>0</v>
      </c>
      <c r="HE14" s="17">
        <f t="shared" si="149"/>
        <v>0</v>
      </c>
      <c r="HF14" s="17">
        <f t="shared" si="150"/>
        <v>0</v>
      </c>
      <c r="HG14" s="17">
        <f t="shared" si="151"/>
        <v>0</v>
      </c>
      <c r="HH14" s="101" t="str">
        <f t="shared" si="58"/>
        <v>TIDAK KONSINYASI</v>
      </c>
      <c r="HI14" s="101" t="str">
        <f t="shared" si="152"/>
        <v>SELESAI</v>
      </c>
      <c r="HJ14" s="27"/>
      <c r="HK14" s="101">
        <f t="shared" si="59"/>
        <v>0</v>
      </c>
      <c r="HL14" s="83"/>
      <c r="HM14" s="83"/>
      <c r="HN14" s="83"/>
      <c r="HO14" s="83"/>
      <c r="HP14" s="102">
        <f t="shared" si="153"/>
        <v>0</v>
      </c>
      <c r="HQ14" s="66">
        <f t="shared" si="154"/>
        <v>0</v>
      </c>
      <c r="HR14" s="66">
        <f t="shared" si="60"/>
        <v>0</v>
      </c>
      <c r="HS14" s="102">
        <f t="shared" si="155"/>
        <v>0</v>
      </c>
      <c r="HT14" s="66">
        <f t="shared" si="156"/>
        <v>0</v>
      </c>
      <c r="HU14" s="66">
        <f t="shared" si="61"/>
        <v>0</v>
      </c>
      <c r="HV14" s="102">
        <f t="shared" si="157"/>
        <v>0</v>
      </c>
      <c r="HW14" s="66">
        <f t="shared" si="62"/>
        <v>0</v>
      </c>
      <c r="HX14" s="66">
        <f t="shared" si="63"/>
        <v>0</v>
      </c>
      <c r="HY14" s="102">
        <f t="shared" si="64"/>
        <v>0</v>
      </c>
      <c r="HZ14" s="66">
        <f t="shared" si="158"/>
        <v>0</v>
      </c>
      <c r="IA14" s="66">
        <f t="shared" si="65"/>
        <v>0</v>
      </c>
      <c r="IB14" s="102">
        <f t="shared" si="159"/>
        <v>0</v>
      </c>
      <c r="IC14" s="66">
        <f t="shared" si="66"/>
        <v>0</v>
      </c>
      <c r="ID14" s="66">
        <f t="shared" si="67"/>
        <v>0</v>
      </c>
      <c r="IE14" s="102">
        <f t="shared" si="68"/>
        <v>0</v>
      </c>
      <c r="IF14" s="66">
        <f t="shared" si="69"/>
        <v>0</v>
      </c>
      <c r="IG14" s="66">
        <f t="shared" si="70"/>
        <v>0</v>
      </c>
      <c r="IH14" s="102">
        <f t="shared" si="160"/>
        <v>0</v>
      </c>
      <c r="II14" s="66">
        <f t="shared" si="161"/>
        <v>0</v>
      </c>
      <c r="IJ14" s="66">
        <f t="shared" si="71"/>
        <v>0</v>
      </c>
      <c r="IK14" s="102">
        <f t="shared" si="72"/>
        <v>0</v>
      </c>
      <c r="IL14" s="66">
        <f t="shared" si="73"/>
        <v>0</v>
      </c>
      <c r="IM14" s="66">
        <f t="shared" si="74"/>
        <v>0</v>
      </c>
      <c r="IN14" s="83"/>
      <c r="IO14" s="102">
        <f t="shared" si="75"/>
        <v>0</v>
      </c>
      <c r="IP14" s="66">
        <f t="shared" si="76"/>
        <v>0</v>
      </c>
      <c r="IQ14" s="66">
        <f t="shared" si="77"/>
        <v>0</v>
      </c>
      <c r="IR14" s="83"/>
      <c r="IS14" s="102"/>
      <c r="IT14" s="66">
        <f t="shared" si="78"/>
        <v>1</v>
      </c>
      <c r="IU14" s="66">
        <f t="shared" si="79"/>
        <v>446</v>
      </c>
      <c r="IV14" s="83"/>
      <c r="IW14" s="102"/>
      <c r="IX14" s="66">
        <f t="shared" si="80"/>
        <v>0</v>
      </c>
      <c r="IY14" s="66">
        <f t="shared" si="81"/>
        <v>0</v>
      </c>
      <c r="IZ14" s="83"/>
      <c r="JA14" s="102"/>
      <c r="JB14" s="66">
        <f t="shared" si="82"/>
        <v>0</v>
      </c>
      <c r="JC14" s="66">
        <f t="shared" si="83"/>
        <v>0</v>
      </c>
      <c r="JD14" s="83"/>
      <c r="JE14" s="102"/>
      <c r="JF14" s="66">
        <f t="shared" si="162"/>
        <v>1</v>
      </c>
      <c r="JG14" s="66">
        <f t="shared" si="84"/>
        <v>446</v>
      </c>
      <c r="JH14" s="83"/>
      <c r="JI14" s="102"/>
      <c r="JJ14" s="66">
        <f t="shared" si="85"/>
        <v>0</v>
      </c>
      <c r="JK14" s="66">
        <f t="shared" si="86"/>
        <v>0</v>
      </c>
      <c r="JM14" s="102">
        <f t="shared" si="163"/>
        <v>0</v>
      </c>
      <c r="JO14" s="29">
        <f t="shared" si="87"/>
        <v>1</v>
      </c>
      <c r="JP14" s="122">
        <f t="shared" si="88"/>
        <v>307</v>
      </c>
      <c r="JQ14" s="122">
        <f t="shared" si="89"/>
        <v>0</v>
      </c>
      <c r="JR14" s="122">
        <f t="shared" si="90"/>
        <v>1</v>
      </c>
      <c r="JS14" s="122">
        <f t="shared" si="91"/>
        <v>0</v>
      </c>
      <c r="JT14" s="122">
        <f t="shared" si="92"/>
        <v>0</v>
      </c>
      <c r="JU14" s="122">
        <f t="shared" si="93"/>
        <v>0</v>
      </c>
      <c r="JV14" s="122">
        <f t="shared" si="94"/>
        <v>0</v>
      </c>
      <c r="JW14" s="122">
        <f t="shared" si="95"/>
        <v>0</v>
      </c>
      <c r="JX14" s="122">
        <f t="shared" si="96"/>
        <v>0</v>
      </c>
      <c r="JY14" s="122">
        <f t="shared" si="97"/>
        <v>0</v>
      </c>
      <c r="JZ14" s="122">
        <f t="shared" si="98"/>
        <v>0</v>
      </c>
      <c r="KA14" s="122">
        <f t="shared" si="99"/>
        <v>0</v>
      </c>
      <c r="KB14" s="122">
        <f t="shared" si="100"/>
        <v>0</v>
      </c>
      <c r="KD14" s="122">
        <f t="shared" si="164"/>
        <v>1</v>
      </c>
      <c r="KE14" s="122">
        <f t="shared" si="102"/>
        <v>307</v>
      </c>
      <c r="KF14" s="122">
        <f t="shared" si="103"/>
        <v>307</v>
      </c>
      <c r="KG14" s="122">
        <f t="shared" si="104"/>
        <v>0</v>
      </c>
      <c r="KH14" s="122">
        <f t="shared" si="105"/>
        <v>307</v>
      </c>
      <c r="KI14" s="122">
        <f t="shared" si="106"/>
        <v>0</v>
      </c>
      <c r="KJ14" s="122">
        <f t="shared" si="107"/>
        <v>0</v>
      </c>
      <c r="KK14" s="122">
        <f t="shared" si="108"/>
        <v>0</v>
      </c>
      <c r="KL14" s="122">
        <f t="shared" si="109"/>
        <v>0</v>
      </c>
      <c r="KM14" s="122">
        <f t="shared" si="110"/>
        <v>0</v>
      </c>
      <c r="KN14" s="123">
        <f t="shared" si="111"/>
        <v>0</v>
      </c>
      <c r="KO14" s="123">
        <f t="shared" si="112"/>
        <v>0</v>
      </c>
      <c r="KP14" s="123">
        <f t="shared" si="113"/>
        <v>0</v>
      </c>
      <c r="KQ14" s="123">
        <f t="shared" si="114"/>
        <v>0</v>
      </c>
      <c r="KR14" s="123">
        <f t="shared" si="115"/>
        <v>0</v>
      </c>
      <c r="KT14">
        <f t="shared" si="116"/>
        <v>0</v>
      </c>
      <c r="KU14" s="123"/>
      <c r="KV14" s="123"/>
      <c r="KW14" s="123"/>
      <c r="KX14" s="123"/>
      <c r="KY14" s="123"/>
      <c r="KZ14" s="123"/>
      <c r="LA14" s="123"/>
      <c r="LB14" s="123"/>
      <c r="LC14" s="123"/>
      <c r="LD14" s="123"/>
      <c r="LE14" s="123"/>
      <c r="LF14" s="123"/>
      <c r="LG14" s="123"/>
      <c r="LH14" s="123"/>
      <c r="LI14" s="123"/>
      <c r="LJ14" s="123"/>
      <c r="LK14" s="123"/>
      <c r="LL14" s="123"/>
      <c r="LM14" s="123"/>
      <c r="LN14" s="123"/>
      <c r="LO14" s="123"/>
      <c r="LP14" s="123"/>
      <c r="LQ14" s="123"/>
      <c r="LR14" s="123"/>
      <c r="LS14" s="123"/>
      <c r="LT14" s="123"/>
      <c r="LU14" s="123"/>
      <c r="LV14" s="123"/>
      <c r="LW14" s="123"/>
      <c r="LX14" s="123"/>
      <c r="LY14" s="123"/>
      <c r="LZ14" s="123"/>
      <c r="MA14" s="123"/>
      <c r="MB14" s="123"/>
      <c r="MC14" s="123"/>
      <c r="MD14" s="123"/>
      <c r="ME14" s="123"/>
      <c r="MF14" s="123"/>
      <c r="MG14" s="123"/>
      <c r="MH14" s="123"/>
      <c r="MI14" s="123"/>
      <c r="MJ14" s="123"/>
      <c r="MK14" s="123"/>
      <c r="ML14" s="123"/>
      <c r="MM14" s="123"/>
      <c r="MN14" s="123"/>
      <c r="MO14" s="123"/>
      <c r="MP14" s="123"/>
      <c r="MQ14" s="123"/>
      <c r="MR14" s="123"/>
      <c r="MS14" s="123"/>
      <c r="MT14" s="123"/>
      <c r="MU14" s="123"/>
      <c r="MV14" s="123"/>
      <c r="MW14" s="123"/>
      <c r="MX14" s="123"/>
      <c r="MY14" s="123"/>
      <c r="MZ14" s="123"/>
      <c r="NA14" s="123"/>
      <c r="NB14" s="123"/>
      <c r="NC14" s="123"/>
      <c r="ND14" s="123"/>
      <c r="NE14" s="123"/>
      <c r="NF14" s="123"/>
      <c r="NG14" s="123"/>
      <c r="NH14" s="123"/>
      <c r="NI14" s="123"/>
      <c r="NJ14" s="123"/>
      <c r="NK14" s="123"/>
      <c r="NM14">
        <f t="shared" si="165"/>
        <v>0</v>
      </c>
      <c r="NN14">
        <f t="shared" si="166"/>
        <v>0</v>
      </c>
      <c r="NO14">
        <f t="shared" si="167"/>
        <v>0</v>
      </c>
      <c r="NP14">
        <f t="shared" si="168"/>
        <v>0</v>
      </c>
      <c r="NQ14">
        <f t="shared" si="169"/>
        <v>0</v>
      </c>
      <c r="NR14">
        <f t="shared" si="170"/>
        <v>0</v>
      </c>
      <c r="NS14">
        <f t="shared" si="171"/>
        <v>0</v>
      </c>
      <c r="NT14">
        <f t="shared" si="172"/>
        <v>0</v>
      </c>
      <c r="NU14" s="29">
        <f t="shared" si="173"/>
        <v>0</v>
      </c>
      <c r="NY14" s="17">
        <f t="shared" si="118"/>
        <v>1</v>
      </c>
      <c r="NZ14" s="152">
        <v>11000000</v>
      </c>
      <c r="OE14" s="155">
        <f t="shared" si="119"/>
        <v>0</v>
      </c>
      <c r="OF14" s="155">
        <f t="shared" si="120"/>
        <v>0</v>
      </c>
      <c r="OG14" s="155">
        <f t="shared" si="121"/>
        <v>0</v>
      </c>
      <c r="OH14" s="155">
        <f t="shared" si="174"/>
        <v>0</v>
      </c>
      <c r="OI14" s="155">
        <f t="shared" si="122"/>
        <v>0</v>
      </c>
      <c r="OJ14" s="67">
        <f t="shared" si="175"/>
        <v>0</v>
      </c>
      <c r="OK14" s="67">
        <f t="shared" si="176"/>
        <v>0</v>
      </c>
      <c r="OL14" s="67">
        <f t="shared" si="177"/>
        <v>0</v>
      </c>
      <c r="OM14" s="67">
        <f t="shared" si="178"/>
        <v>0</v>
      </c>
      <c r="OO14" s="155">
        <f t="shared" si="123"/>
        <v>0</v>
      </c>
      <c r="OP14" s="155">
        <f t="shared" si="124"/>
        <v>0</v>
      </c>
      <c r="OQ14" s="155">
        <f t="shared" si="179"/>
        <v>0</v>
      </c>
      <c r="OR14" s="155">
        <f t="shared" si="180"/>
        <v>0</v>
      </c>
      <c r="OS14" s="155">
        <f t="shared" si="181"/>
        <v>0</v>
      </c>
      <c r="OT14" s="67">
        <f t="shared" si="182"/>
        <v>0</v>
      </c>
      <c r="OU14" s="67">
        <f t="shared" si="183"/>
        <v>0</v>
      </c>
      <c r="OV14" s="67">
        <f t="shared" si="184"/>
        <v>0</v>
      </c>
      <c r="OW14" s="67">
        <f t="shared" si="185"/>
        <v>0</v>
      </c>
      <c r="OZ14" s="163"/>
      <c r="PA14" s="166"/>
      <c r="PB14" s="166"/>
      <c r="PC14" s="166"/>
      <c r="PD14" s="210">
        <f t="shared" si="125"/>
        <v>0</v>
      </c>
      <c r="PE14" s="210"/>
      <c r="PF14" s="210">
        <f t="shared" si="126"/>
        <v>0</v>
      </c>
      <c r="PG14" s="210">
        <f t="shared" si="127"/>
        <v>0</v>
      </c>
      <c r="PH14" s="210">
        <f t="shared" si="127"/>
        <v>0</v>
      </c>
      <c r="PI14" s="210">
        <f t="shared" si="127"/>
        <v>0</v>
      </c>
      <c r="PJ14" s="210">
        <f t="shared" si="127"/>
        <v>0</v>
      </c>
      <c r="PK14" s="210">
        <f t="shared" si="127"/>
        <v>0</v>
      </c>
      <c r="PL14" s="210">
        <f t="shared" si="127"/>
        <v>0</v>
      </c>
      <c r="PM14" s="164"/>
      <c r="PN14" s="164"/>
      <c r="PO14" s="172">
        <f t="shared" si="186"/>
        <v>0</v>
      </c>
      <c r="PP14" s="172">
        <f t="shared" si="187"/>
        <v>0</v>
      </c>
      <c r="PQ14" s="172">
        <f t="shared" si="188"/>
        <v>0</v>
      </c>
      <c r="PR14" s="164"/>
      <c r="PS14" s="164"/>
      <c r="PT14" s="164"/>
      <c r="PU14" s="164"/>
    </row>
    <row r="15" spans="1:437" ht="16" x14ac:dyDescent="0.2">
      <c r="A15" s="19">
        <f t="shared" si="189"/>
        <v>7</v>
      </c>
      <c r="B15" s="138" t="s">
        <v>209</v>
      </c>
      <c r="C15" s="138">
        <v>33</v>
      </c>
      <c r="D15" s="20">
        <v>1</v>
      </c>
      <c r="E15" s="188">
        <v>466</v>
      </c>
      <c r="F15" s="20">
        <v>1</v>
      </c>
      <c r="G15" s="20">
        <f t="shared" si="128"/>
        <v>466</v>
      </c>
      <c r="H15" s="137">
        <f t="shared" si="2"/>
        <v>1</v>
      </c>
      <c r="I15" s="137">
        <f t="shared" si="3"/>
        <v>1</v>
      </c>
      <c r="J15" s="20">
        <v>1</v>
      </c>
      <c r="K15" s="20">
        <f t="shared" si="4"/>
        <v>466</v>
      </c>
      <c r="L15" s="137">
        <f t="shared" si="5"/>
        <v>1</v>
      </c>
      <c r="M15" s="137">
        <f t="shared" si="6"/>
        <v>1</v>
      </c>
      <c r="N15" s="20">
        <v>1</v>
      </c>
      <c r="O15" s="20">
        <f t="shared" si="7"/>
        <v>466</v>
      </c>
      <c r="P15" s="137">
        <f t="shared" si="8"/>
        <v>1</v>
      </c>
      <c r="Q15" s="137">
        <f t="shared" si="9"/>
        <v>1</v>
      </c>
      <c r="R15" s="20">
        <v>1</v>
      </c>
      <c r="S15" s="20">
        <f t="shared" si="10"/>
        <v>466</v>
      </c>
      <c r="T15" s="137">
        <f t="shared" si="11"/>
        <v>1</v>
      </c>
      <c r="U15" s="137">
        <f t="shared" si="12"/>
        <v>1</v>
      </c>
      <c r="V15" s="20">
        <v>1</v>
      </c>
      <c r="W15" s="20">
        <f t="shared" si="13"/>
        <v>466</v>
      </c>
      <c r="X15" s="137">
        <f t="shared" si="14"/>
        <v>1</v>
      </c>
      <c r="Y15" s="214">
        <f t="shared" si="15"/>
        <v>1</v>
      </c>
      <c r="Z15" s="271">
        <f>(4252177000+2783500000)/1000000000</f>
        <v>7.0356769999999997</v>
      </c>
      <c r="AA15" s="188"/>
      <c r="AB15" s="17">
        <f t="shared" si="129"/>
        <v>0</v>
      </c>
      <c r="AC15" s="18">
        <f t="shared" si="130"/>
        <v>0</v>
      </c>
      <c r="AD15" s="18">
        <f t="shared" si="131"/>
        <v>0</v>
      </c>
      <c r="AE15" s="20"/>
      <c r="AF15" s="20">
        <f t="shared" si="132"/>
        <v>0</v>
      </c>
      <c r="AG15" s="20"/>
      <c r="AH15" s="31"/>
      <c r="AI15" s="20">
        <v>0</v>
      </c>
      <c r="AJ15" s="20">
        <f t="shared" si="18"/>
        <v>0</v>
      </c>
      <c r="AK15" s="20"/>
      <c r="AL15" s="20">
        <v>0</v>
      </c>
      <c r="AM15" s="20">
        <v>0</v>
      </c>
      <c r="AN15" s="139"/>
      <c r="BB15" s="20">
        <f t="shared" si="133"/>
        <v>0</v>
      </c>
      <c r="BE15" s="20">
        <f t="shared" si="19"/>
        <v>0</v>
      </c>
      <c r="BF15" s="20">
        <f t="shared" si="20"/>
        <v>0</v>
      </c>
      <c r="BG15" s="20">
        <f t="shared" si="21"/>
        <v>0</v>
      </c>
      <c r="BH15" s="20">
        <f t="shared" si="22"/>
        <v>0</v>
      </c>
      <c r="BI15" s="20">
        <f t="shared" si="23"/>
        <v>0</v>
      </c>
      <c r="BJ15" s="20">
        <f t="shared" si="24"/>
        <v>0</v>
      </c>
      <c r="BK15" s="20">
        <f t="shared" si="134"/>
        <v>0</v>
      </c>
      <c r="BN15" s="314">
        <v>246</v>
      </c>
      <c r="BO15" s="126"/>
      <c r="BP15" s="17">
        <v>1</v>
      </c>
      <c r="BQ15" s="17"/>
      <c r="BR15" s="17"/>
      <c r="BS15" s="17"/>
      <c r="BT15" s="17"/>
      <c r="BU15" s="17"/>
      <c r="BV15" s="20"/>
      <c r="BW15" s="20"/>
      <c r="BX15" s="20"/>
      <c r="BY15" s="20"/>
      <c r="BZ15" s="20"/>
      <c r="CB15" s="139"/>
      <c r="CD15" s="17">
        <f t="shared" si="26"/>
        <v>246</v>
      </c>
      <c r="CE15" s="17">
        <f t="shared" si="135"/>
        <v>0</v>
      </c>
      <c r="CF15" s="17">
        <f t="shared" si="27"/>
        <v>246</v>
      </c>
      <c r="CG15" s="17">
        <f t="shared" si="28"/>
        <v>0</v>
      </c>
      <c r="CH15" s="17">
        <f t="shared" si="29"/>
        <v>0</v>
      </c>
      <c r="CI15" s="17">
        <f t="shared" si="30"/>
        <v>0</v>
      </c>
      <c r="CJ15" s="17">
        <f t="shared" si="31"/>
        <v>0</v>
      </c>
      <c r="CK15" s="17">
        <f t="shared" si="32"/>
        <v>0</v>
      </c>
      <c r="CL15" s="20">
        <f t="shared" si="33"/>
        <v>0</v>
      </c>
      <c r="CM15" s="20">
        <f t="shared" si="34"/>
        <v>0</v>
      </c>
      <c r="CN15" s="20">
        <f t="shared" si="35"/>
        <v>0</v>
      </c>
      <c r="CO15" s="20">
        <f t="shared" si="36"/>
        <v>0</v>
      </c>
      <c r="CP15" s="20">
        <f t="shared" si="37"/>
        <v>0</v>
      </c>
      <c r="DV15" s="20">
        <f t="shared" si="38"/>
        <v>0</v>
      </c>
      <c r="DW15" s="20">
        <f t="shared" si="39"/>
        <v>0</v>
      </c>
      <c r="DX15" s="20">
        <f t="shared" si="40"/>
        <v>0</v>
      </c>
      <c r="DY15" s="20">
        <f t="shared" si="41"/>
        <v>0</v>
      </c>
      <c r="DZ15" s="20">
        <f t="shared" si="42"/>
        <v>0</v>
      </c>
      <c r="EA15" s="20">
        <f t="shared" si="43"/>
        <v>0</v>
      </c>
      <c r="EB15" s="20">
        <f t="shared" si="136"/>
        <v>0</v>
      </c>
      <c r="ED15" s="46" t="s">
        <v>343</v>
      </c>
      <c r="EE15" s="46" t="s">
        <v>375</v>
      </c>
      <c r="EF15" s="56"/>
      <c r="EG15" s="57">
        <f t="shared" si="137"/>
        <v>0</v>
      </c>
      <c r="EH15" s="57">
        <f t="shared" si="138"/>
        <v>0</v>
      </c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X15" s="177">
        <v>1</v>
      </c>
      <c r="FY15" s="17">
        <f t="shared" si="139"/>
        <v>246</v>
      </c>
      <c r="FZ15" s="17">
        <f t="shared" si="45"/>
        <v>0</v>
      </c>
      <c r="GA15" s="17">
        <f t="shared" si="46"/>
        <v>246</v>
      </c>
      <c r="GB15" s="17">
        <f t="shared" si="47"/>
        <v>0</v>
      </c>
      <c r="GC15" s="17">
        <f t="shared" si="48"/>
        <v>0</v>
      </c>
      <c r="GD15" s="17">
        <f t="shared" si="49"/>
        <v>0</v>
      </c>
      <c r="GE15" s="17">
        <f t="shared" si="50"/>
        <v>0</v>
      </c>
      <c r="GF15" s="67"/>
      <c r="GG15" s="17">
        <v>0</v>
      </c>
      <c r="GH15" s="17">
        <v>0</v>
      </c>
      <c r="GI15" s="67"/>
      <c r="GJ15" s="62">
        <f t="shared" si="140"/>
        <v>0</v>
      </c>
      <c r="GK15" s="62">
        <f t="shared" si="141"/>
        <v>0</v>
      </c>
      <c r="GO15" s="17">
        <f t="shared" si="51"/>
        <v>0</v>
      </c>
      <c r="GP15" s="17">
        <f t="shared" si="52"/>
        <v>0</v>
      </c>
      <c r="GQ15" s="17">
        <f t="shared" si="53"/>
        <v>0</v>
      </c>
      <c r="GR15" s="17">
        <f t="shared" si="54"/>
        <v>0</v>
      </c>
      <c r="GS15" s="17">
        <f t="shared" si="55"/>
        <v>0</v>
      </c>
      <c r="GT15" s="17">
        <f t="shared" si="142"/>
        <v>1</v>
      </c>
      <c r="GU15" s="101">
        <f t="shared" si="143"/>
        <v>43243</v>
      </c>
      <c r="GV15" s="17" t="str">
        <f t="shared" si="144"/>
        <v>SELESAI</v>
      </c>
      <c r="GW15" s="17">
        <f t="shared" si="145"/>
        <v>0</v>
      </c>
      <c r="GX15" s="66" t="str">
        <f t="shared" si="146"/>
        <v>SELESAI</v>
      </c>
      <c r="GY15" s="66">
        <f t="shared" si="147"/>
        <v>0</v>
      </c>
      <c r="GZ15" s="102" t="str">
        <f t="shared" si="148"/>
        <v>SELESAI</v>
      </c>
      <c r="HA15" s="83"/>
      <c r="HB15" s="83"/>
      <c r="HC15" s="17">
        <f t="shared" si="56"/>
        <v>0</v>
      </c>
      <c r="HD15" s="17">
        <f t="shared" si="57"/>
        <v>0</v>
      </c>
      <c r="HE15" s="17">
        <f t="shared" si="149"/>
        <v>0</v>
      </c>
      <c r="HF15" s="17">
        <f t="shared" si="150"/>
        <v>0</v>
      </c>
      <c r="HG15" s="17">
        <f t="shared" si="151"/>
        <v>0</v>
      </c>
      <c r="HH15" s="101" t="str">
        <f t="shared" si="58"/>
        <v>TIDAK KONSINYASI</v>
      </c>
      <c r="HI15" s="101" t="str">
        <f t="shared" si="152"/>
        <v>SELESAI</v>
      </c>
      <c r="HJ15" s="27"/>
      <c r="HK15" s="101">
        <f t="shared" si="59"/>
        <v>0</v>
      </c>
      <c r="HL15" s="83"/>
      <c r="HM15" s="83"/>
      <c r="HN15" s="83"/>
      <c r="HO15" s="83"/>
      <c r="HP15" s="102">
        <f t="shared" si="153"/>
        <v>0</v>
      </c>
      <c r="HQ15" s="66">
        <f t="shared" si="154"/>
        <v>0</v>
      </c>
      <c r="HR15" s="66">
        <f t="shared" si="60"/>
        <v>0</v>
      </c>
      <c r="HS15" s="102">
        <f t="shared" si="155"/>
        <v>0</v>
      </c>
      <c r="HT15" s="66">
        <f t="shared" si="156"/>
        <v>0</v>
      </c>
      <c r="HU15" s="66">
        <f t="shared" si="61"/>
        <v>0</v>
      </c>
      <c r="HV15" s="102">
        <f t="shared" si="157"/>
        <v>0</v>
      </c>
      <c r="HW15" s="66">
        <f t="shared" si="62"/>
        <v>0</v>
      </c>
      <c r="HX15" s="66">
        <f t="shared" si="63"/>
        <v>0</v>
      </c>
      <c r="HY15" s="102">
        <f t="shared" si="64"/>
        <v>0</v>
      </c>
      <c r="HZ15" s="66">
        <f t="shared" si="158"/>
        <v>0</v>
      </c>
      <c r="IA15" s="66">
        <f t="shared" si="65"/>
        <v>0</v>
      </c>
      <c r="IB15" s="102">
        <f t="shared" si="159"/>
        <v>0</v>
      </c>
      <c r="IC15" s="66">
        <f t="shared" si="66"/>
        <v>0</v>
      </c>
      <c r="ID15" s="66">
        <f t="shared" si="67"/>
        <v>0</v>
      </c>
      <c r="IE15" s="102">
        <f t="shared" si="68"/>
        <v>0</v>
      </c>
      <c r="IF15" s="66">
        <f t="shared" si="69"/>
        <v>0</v>
      </c>
      <c r="IG15" s="66">
        <f t="shared" si="70"/>
        <v>0</v>
      </c>
      <c r="IH15" s="102">
        <f t="shared" si="160"/>
        <v>0</v>
      </c>
      <c r="II15" s="66">
        <f t="shared" si="161"/>
        <v>0</v>
      </c>
      <c r="IJ15" s="66">
        <f t="shared" si="71"/>
        <v>0</v>
      </c>
      <c r="IK15" s="102">
        <f t="shared" si="72"/>
        <v>0</v>
      </c>
      <c r="IL15" s="66">
        <f t="shared" si="73"/>
        <v>0</v>
      </c>
      <c r="IM15" s="66">
        <f t="shared" si="74"/>
        <v>0</v>
      </c>
      <c r="IN15" s="83"/>
      <c r="IO15" s="102">
        <f t="shared" si="75"/>
        <v>0</v>
      </c>
      <c r="IP15" s="66">
        <f t="shared" si="76"/>
        <v>0</v>
      </c>
      <c r="IQ15" s="66">
        <f t="shared" si="77"/>
        <v>0</v>
      </c>
      <c r="IR15" s="83"/>
      <c r="IS15" s="102"/>
      <c r="IT15" s="66">
        <f t="shared" si="78"/>
        <v>1</v>
      </c>
      <c r="IU15" s="66">
        <f t="shared" si="79"/>
        <v>466</v>
      </c>
      <c r="IV15" s="83"/>
      <c r="IW15" s="102"/>
      <c r="IX15" s="66">
        <f t="shared" si="80"/>
        <v>0</v>
      </c>
      <c r="IY15" s="66">
        <f t="shared" si="81"/>
        <v>0</v>
      </c>
      <c r="IZ15" s="83"/>
      <c r="JA15" s="102"/>
      <c r="JB15" s="66">
        <f t="shared" si="82"/>
        <v>0</v>
      </c>
      <c r="JC15" s="66">
        <f t="shared" si="83"/>
        <v>0</v>
      </c>
      <c r="JD15" s="83"/>
      <c r="JE15" s="102"/>
      <c r="JF15" s="66">
        <f t="shared" si="162"/>
        <v>1</v>
      </c>
      <c r="JG15" s="66">
        <f t="shared" si="84"/>
        <v>466</v>
      </c>
      <c r="JH15" s="83"/>
      <c r="JI15" s="102"/>
      <c r="JJ15" s="66">
        <f t="shared" si="85"/>
        <v>0</v>
      </c>
      <c r="JK15" s="66">
        <f t="shared" si="86"/>
        <v>0</v>
      </c>
      <c r="JM15" s="102">
        <f t="shared" si="163"/>
        <v>0</v>
      </c>
      <c r="JO15" s="29">
        <f t="shared" si="87"/>
        <v>1</v>
      </c>
      <c r="JP15" s="122">
        <f t="shared" si="88"/>
        <v>246</v>
      </c>
      <c r="JQ15" s="122">
        <f t="shared" si="89"/>
        <v>0</v>
      </c>
      <c r="JR15" s="122">
        <f t="shared" si="90"/>
        <v>1</v>
      </c>
      <c r="JS15" s="122">
        <f t="shared" si="91"/>
        <v>0</v>
      </c>
      <c r="JT15" s="122">
        <f t="shared" si="92"/>
        <v>0</v>
      </c>
      <c r="JU15" s="122">
        <f t="shared" si="93"/>
        <v>0</v>
      </c>
      <c r="JV15" s="122">
        <f t="shared" si="94"/>
        <v>0</v>
      </c>
      <c r="JW15" s="122">
        <f t="shared" si="95"/>
        <v>0</v>
      </c>
      <c r="JX15" s="122">
        <f t="shared" si="96"/>
        <v>0</v>
      </c>
      <c r="JY15" s="122">
        <f t="shared" si="97"/>
        <v>0</v>
      </c>
      <c r="JZ15" s="122">
        <f t="shared" si="98"/>
        <v>0</v>
      </c>
      <c r="KA15" s="122">
        <f t="shared" si="99"/>
        <v>0</v>
      </c>
      <c r="KB15" s="122">
        <f t="shared" si="100"/>
        <v>0</v>
      </c>
      <c r="KD15" s="122">
        <f t="shared" si="164"/>
        <v>1</v>
      </c>
      <c r="KE15" s="122">
        <f t="shared" si="102"/>
        <v>246</v>
      </c>
      <c r="KF15" s="122">
        <f t="shared" si="103"/>
        <v>246</v>
      </c>
      <c r="KG15" s="122">
        <f t="shared" si="104"/>
        <v>0</v>
      </c>
      <c r="KH15" s="122">
        <f t="shared" si="105"/>
        <v>246</v>
      </c>
      <c r="KI15" s="122">
        <f t="shared" si="106"/>
        <v>0</v>
      </c>
      <c r="KJ15" s="122">
        <f t="shared" si="107"/>
        <v>0</v>
      </c>
      <c r="KK15" s="122">
        <f t="shared" si="108"/>
        <v>0</v>
      </c>
      <c r="KL15" s="122">
        <f t="shared" si="109"/>
        <v>0</v>
      </c>
      <c r="KM15" s="122">
        <f t="shared" si="110"/>
        <v>0</v>
      </c>
      <c r="KN15" s="123">
        <f t="shared" si="111"/>
        <v>0</v>
      </c>
      <c r="KO15" s="123">
        <f t="shared" si="112"/>
        <v>0</v>
      </c>
      <c r="KP15" s="123">
        <f t="shared" si="113"/>
        <v>0</v>
      </c>
      <c r="KQ15" s="123">
        <f t="shared" si="114"/>
        <v>0</v>
      </c>
      <c r="KR15" s="123">
        <f t="shared" si="115"/>
        <v>0</v>
      </c>
      <c r="KT15">
        <f t="shared" si="116"/>
        <v>0</v>
      </c>
      <c r="KU15" s="123"/>
      <c r="KV15" s="123"/>
      <c r="KW15" s="123"/>
      <c r="KX15" s="123"/>
      <c r="KY15" s="123"/>
      <c r="KZ15" s="123"/>
      <c r="LA15" s="123"/>
      <c r="LB15" s="123"/>
      <c r="LC15" s="123"/>
      <c r="LD15" s="123"/>
      <c r="LE15" s="123"/>
      <c r="LF15" s="123"/>
      <c r="LG15" s="123"/>
      <c r="LH15" s="123"/>
      <c r="LI15" s="123"/>
      <c r="LJ15" s="123"/>
      <c r="LK15" s="123"/>
      <c r="LL15" s="123"/>
      <c r="LM15" s="123"/>
      <c r="LN15" s="123"/>
      <c r="LO15" s="123"/>
      <c r="LP15" s="123"/>
      <c r="LQ15" s="123"/>
      <c r="LR15" s="123"/>
      <c r="LS15" s="123"/>
      <c r="LT15" s="123"/>
      <c r="LU15" s="123"/>
      <c r="LV15" s="123"/>
      <c r="LW15" s="123"/>
      <c r="LX15" s="123"/>
      <c r="LY15" s="123"/>
      <c r="LZ15" s="123"/>
      <c r="MA15" s="123"/>
      <c r="MB15" s="123"/>
      <c r="MC15" s="123"/>
      <c r="MD15" s="123"/>
      <c r="ME15" s="123"/>
      <c r="MF15" s="123"/>
      <c r="MG15" s="123"/>
      <c r="MH15" s="123"/>
      <c r="MI15" s="123"/>
      <c r="MJ15" s="123"/>
      <c r="MK15" s="123"/>
      <c r="ML15" s="123"/>
      <c r="MM15" s="123"/>
      <c r="MN15" s="123"/>
      <c r="MO15" s="123"/>
      <c r="MP15" s="123"/>
      <c r="MQ15" s="123"/>
      <c r="MR15" s="123"/>
      <c r="MS15" s="123"/>
      <c r="MT15" s="123"/>
      <c r="MU15" s="123"/>
      <c r="MV15" s="123"/>
      <c r="MW15" s="123"/>
      <c r="MX15" s="123"/>
      <c r="MY15" s="123"/>
      <c r="MZ15" s="123"/>
      <c r="NA15" s="123"/>
      <c r="NB15" s="123"/>
      <c r="NC15" s="123"/>
      <c r="ND15" s="123"/>
      <c r="NE15" s="123"/>
      <c r="NF15" s="123"/>
      <c r="NG15" s="123"/>
      <c r="NH15" s="123"/>
      <c r="NI15" s="123"/>
      <c r="NJ15" s="123"/>
      <c r="NK15" s="123"/>
      <c r="NM15">
        <f t="shared" si="165"/>
        <v>0</v>
      </c>
      <c r="NN15">
        <f t="shared" si="166"/>
        <v>0</v>
      </c>
      <c r="NO15">
        <f t="shared" si="167"/>
        <v>0</v>
      </c>
      <c r="NP15">
        <f t="shared" si="168"/>
        <v>0</v>
      </c>
      <c r="NQ15">
        <f t="shared" si="169"/>
        <v>0</v>
      </c>
      <c r="NR15">
        <f t="shared" si="170"/>
        <v>0</v>
      </c>
      <c r="NS15">
        <f t="shared" si="171"/>
        <v>0</v>
      </c>
      <c r="NT15">
        <f t="shared" si="172"/>
        <v>0</v>
      </c>
      <c r="NU15" s="29">
        <f t="shared" si="173"/>
        <v>0</v>
      </c>
      <c r="NY15" s="17">
        <f t="shared" si="118"/>
        <v>1</v>
      </c>
      <c r="NZ15" s="152">
        <v>11000000</v>
      </c>
      <c r="OE15" s="155">
        <f t="shared" si="119"/>
        <v>0</v>
      </c>
      <c r="OF15" s="155">
        <f t="shared" si="120"/>
        <v>0</v>
      </c>
      <c r="OG15" s="155">
        <f t="shared" si="121"/>
        <v>0</v>
      </c>
      <c r="OH15" s="155">
        <f t="shared" si="174"/>
        <v>0</v>
      </c>
      <c r="OI15" s="155">
        <f t="shared" si="122"/>
        <v>0</v>
      </c>
      <c r="OJ15" s="67">
        <f t="shared" si="175"/>
        <v>0</v>
      </c>
      <c r="OK15" s="67">
        <f t="shared" si="176"/>
        <v>0</v>
      </c>
      <c r="OL15" s="67">
        <f t="shared" si="177"/>
        <v>0</v>
      </c>
      <c r="OM15" s="67">
        <f t="shared" si="178"/>
        <v>0</v>
      </c>
      <c r="OO15" s="155">
        <f t="shared" si="123"/>
        <v>0</v>
      </c>
      <c r="OP15" s="155">
        <f t="shared" si="124"/>
        <v>0</v>
      </c>
      <c r="OQ15" s="155">
        <f t="shared" si="179"/>
        <v>0</v>
      </c>
      <c r="OR15" s="155">
        <f t="shared" si="180"/>
        <v>0</v>
      </c>
      <c r="OS15" s="155">
        <f t="shared" si="181"/>
        <v>0</v>
      </c>
      <c r="OT15" s="67">
        <f t="shared" si="182"/>
        <v>0</v>
      </c>
      <c r="OU15" s="67">
        <f t="shared" si="183"/>
        <v>0</v>
      </c>
      <c r="OV15" s="67">
        <f t="shared" si="184"/>
        <v>0</v>
      </c>
      <c r="OW15" s="67">
        <f t="shared" si="185"/>
        <v>0</v>
      </c>
      <c r="OZ15" s="163"/>
      <c r="PA15" s="166"/>
      <c r="PB15" s="166"/>
      <c r="PC15" s="166"/>
      <c r="PD15" s="210">
        <f t="shared" si="125"/>
        <v>0</v>
      </c>
      <c r="PE15" s="210"/>
      <c r="PF15" s="210">
        <f t="shared" si="126"/>
        <v>0</v>
      </c>
      <c r="PG15" s="210">
        <f t="shared" si="127"/>
        <v>0</v>
      </c>
      <c r="PH15" s="210">
        <f t="shared" si="127"/>
        <v>0</v>
      </c>
      <c r="PI15" s="210">
        <f t="shared" si="127"/>
        <v>0</v>
      </c>
      <c r="PJ15" s="210">
        <f t="shared" si="127"/>
        <v>0</v>
      </c>
      <c r="PK15" s="210">
        <f t="shared" si="127"/>
        <v>0</v>
      </c>
      <c r="PL15" s="210">
        <f t="shared" si="127"/>
        <v>0</v>
      </c>
      <c r="PM15" s="164"/>
      <c r="PN15" s="164"/>
      <c r="PO15" s="172">
        <f t="shared" si="186"/>
        <v>0</v>
      </c>
      <c r="PP15" s="172">
        <f t="shared" si="187"/>
        <v>0</v>
      </c>
      <c r="PQ15" s="172">
        <f t="shared" si="188"/>
        <v>0</v>
      </c>
      <c r="PR15" s="164"/>
      <c r="PS15" s="164"/>
      <c r="PT15" s="164"/>
      <c r="PU15" s="164"/>
    </row>
    <row r="16" spans="1:437" ht="16" x14ac:dyDescent="0.2">
      <c r="A16" s="19">
        <f t="shared" si="189"/>
        <v>8</v>
      </c>
      <c r="B16" s="138" t="s">
        <v>210</v>
      </c>
      <c r="C16" s="138">
        <v>34</v>
      </c>
      <c r="D16" s="20">
        <v>1</v>
      </c>
      <c r="E16" s="188">
        <v>189</v>
      </c>
      <c r="F16" s="20">
        <v>1</v>
      </c>
      <c r="G16" s="20">
        <f t="shared" si="128"/>
        <v>189</v>
      </c>
      <c r="H16" s="137">
        <f t="shared" si="2"/>
        <v>1</v>
      </c>
      <c r="I16" s="137">
        <f t="shared" si="3"/>
        <v>1</v>
      </c>
      <c r="J16" s="20">
        <v>1</v>
      </c>
      <c r="K16" s="20">
        <f t="shared" si="4"/>
        <v>189</v>
      </c>
      <c r="L16" s="137">
        <f t="shared" si="5"/>
        <v>1</v>
      </c>
      <c r="M16" s="137">
        <f t="shared" si="6"/>
        <v>1</v>
      </c>
      <c r="N16" s="20">
        <v>1</v>
      </c>
      <c r="O16" s="20">
        <f t="shared" si="7"/>
        <v>189</v>
      </c>
      <c r="P16" s="137">
        <f t="shared" si="8"/>
        <v>1</v>
      </c>
      <c r="Q16" s="137">
        <f t="shared" si="9"/>
        <v>1</v>
      </c>
      <c r="R16" s="20">
        <v>1</v>
      </c>
      <c r="S16" s="20">
        <f t="shared" si="10"/>
        <v>189</v>
      </c>
      <c r="T16" s="137">
        <f t="shared" si="11"/>
        <v>1</v>
      </c>
      <c r="U16" s="137">
        <f t="shared" si="12"/>
        <v>1</v>
      </c>
      <c r="V16" s="20">
        <v>1</v>
      </c>
      <c r="W16" s="20">
        <f t="shared" si="13"/>
        <v>189</v>
      </c>
      <c r="X16" s="137">
        <f t="shared" si="14"/>
        <v>1</v>
      </c>
      <c r="Y16" s="214">
        <f t="shared" si="15"/>
        <v>1</v>
      </c>
      <c r="Z16" s="271">
        <f>(2033385000+1357800000)/1000000000</f>
        <v>3.3911850000000001</v>
      </c>
      <c r="AA16" s="188"/>
      <c r="AB16" s="17">
        <f t="shared" si="129"/>
        <v>0</v>
      </c>
      <c r="AC16" s="18">
        <f t="shared" si="130"/>
        <v>0</v>
      </c>
      <c r="AD16" s="18">
        <f t="shared" si="131"/>
        <v>0</v>
      </c>
      <c r="AE16" s="20"/>
      <c r="AF16" s="20">
        <f t="shared" si="132"/>
        <v>0</v>
      </c>
      <c r="AG16" s="20"/>
      <c r="AH16" s="31"/>
      <c r="AI16" s="20">
        <v>0</v>
      </c>
      <c r="AJ16" s="20">
        <f t="shared" si="18"/>
        <v>0</v>
      </c>
      <c r="AK16" s="20"/>
      <c r="AL16" s="20">
        <v>0</v>
      </c>
      <c r="AM16" s="20">
        <v>0</v>
      </c>
      <c r="AN16" s="139"/>
      <c r="BB16" s="20">
        <f t="shared" si="133"/>
        <v>0</v>
      </c>
      <c r="BE16" s="20">
        <f t="shared" si="19"/>
        <v>0</v>
      </c>
      <c r="BF16" s="20">
        <f t="shared" si="20"/>
        <v>0</v>
      </c>
      <c r="BG16" s="20">
        <f t="shared" si="21"/>
        <v>0</v>
      </c>
      <c r="BH16" s="20">
        <f t="shared" si="22"/>
        <v>0</v>
      </c>
      <c r="BI16" s="20">
        <f t="shared" si="23"/>
        <v>0</v>
      </c>
      <c r="BJ16" s="20">
        <f t="shared" si="24"/>
        <v>0</v>
      </c>
      <c r="BK16" s="20">
        <f t="shared" si="134"/>
        <v>0</v>
      </c>
      <c r="BN16" s="314">
        <v>120</v>
      </c>
      <c r="BO16" s="126"/>
      <c r="BP16" s="17">
        <v>1</v>
      </c>
      <c r="BQ16" s="17"/>
      <c r="BR16" s="17"/>
      <c r="BS16" s="17"/>
      <c r="BT16" s="17"/>
      <c r="BU16" s="17"/>
      <c r="BV16" s="20"/>
      <c r="BW16" s="20"/>
      <c r="BX16" s="20"/>
      <c r="BY16" s="20"/>
      <c r="BZ16" s="20"/>
      <c r="CB16" s="139"/>
      <c r="CD16" s="17">
        <f t="shared" si="26"/>
        <v>120</v>
      </c>
      <c r="CE16" s="17">
        <f t="shared" si="135"/>
        <v>0</v>
      </c>
      <c r="CF16" s="17">
        <f t="shared" si="27"/>
        <v>120</v>
      </c>
      <c r="CG16" s="17">
        <f t="shared" si="28"/>
        <v>0</v>
      </c>
      <c r="CH16" s="17">
        <f t="shared" si="29"/>
        <v>0</v>
      </c>
      <c r="CI16" s="17">
        <f t="shared" si="30"/>
        <v>0</v>
      </c>
      <c r="CJ16" s="17">
        <f t="shared" si="31"/>
        <v>0</v>
      </c>
      <c r="CK16" s="17">
        <f t="shared" si="32"/>
        <v>0</v>
      </c>
      <c r="CL16" s="20">
        <f t="shared" si="33"/>
        <v>0</v>
      </c>
      <c r="CM16" s="20">
        <f t="shared" si="34"/>
        <v>0</v>
      </c>
      <c r="CN16" s="20">
        <f t="shared" si="35"/>
        <v>0</v>
      </c>
      <c r="CO16" s="20">
        <f t="shared" si="36"/>
        <v>0</v>
      </c>
      <c r="CP16" s="20">
        <f t="shared" si="37"/>
        <v>0</v>
      </c>
      <c r="DV16" s="20">
        <f t="shared" si="38"/>
        <v>0</v>
      </c>
      <c r="DW16" s="20">
        <f t="shared" si="39"/>
        <v>0</v>
      </c>
      <c r="DX16" s="20">
        <f t="shared" si="40"/>
        <v>0</v>
      </c>
      <c r="DY16" s="20">
        <f t="shared" si="41"/>
        <v>0</v>
      </c>
      <c r="DZ16" s="20">
        <f t="shared" si="42"/>
        <v>0</v>
      </c>
      <c r="EA16" s="20">
        <f t="shared" si="43"/>
        <v>0</v>
      </c>
      <c r="EB16" s="20">
        <f t="shared" si="136"/>
        <v>0</v>
      </c>
      <c r="ED16" s="46" t="s">
        <v>302</v>
      </c>
      <c r="EE16" s="46" t="s">
        <v>376</v>
      </c>
      <c r="EF16" s="56"/>
      <c r="EG16" s="57">
        <f t="shared" si="137"/>
        <v>0</v>
      </c>
      <c r="EH16" s="57">
        <f t="shared" si="138"/>
        <v>0</v>
      </c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X16" s="177">
        <v>1</v>
      </c>
      <c r="FY16" s="17">
        <f t="shared" si="139"/>
        <v>120</v>
      </c>
      <c r="FZ16" s="17">
        <f t="shared" si="45"/>
        <v>0</v>
      </c>
      <c r="GA16" s="17">
        <f t="shared" si="46"/>
        <v>120</v>
      </c>
      <c r="GB16" s="17">
        <f t="shared" si="47"/>
        <v>0</v>
      </c>
      <c r="GC16" s="17">
        <f t="shared" si="48"/>
        <v>0</v>
      </c>
      <c r="GD16" s="17">
        <f t="shared" si="49"/>
        <v>0</v>
      </c>
      <c r="GE16" s="17">
        <f t="shared" si="50"/>
        <v>0</v>
      </c>
      <c r="GF16" s="67"/>
      <c r="GG16" s="17">
        <v>0</v>
      </c>
      <c r="GH16" s="17">
        <v>0</v>
      </c>
      <c r="GI16" s="67"/>
      <c r="GJ16" s="62">
        <f t="shared" si="140"/>
        <v>0</v>
      </c>
      <c r="GK16" s="62">
        <f t="shared" si="141"/>
        <v>0</v>
      </c>
      <c r="GO16" s="17">
        <f t="shared" si="51"/>
        <v>0</v>
      </c>
      <c r="GP16" s="17">
        <f t="shared" si="52"/>
        <v>0</v>
      </c>
      <c r="GQ16" s="17">
        <f t="shared" si="53"/>
        <v>0</v>
      </c>
      <c r="GR16" s="17">
        <f t="shared" si="54"/>
        <v>0</v>
      </c>
      <c r="GS16" s="17">
        <f t="shared" si="55"/>
        <v>0</v>
      </c>
      <c r="GT16" s="17">
        <f t="shared" si="142"/>
        <v>1</v>
      </c>
      <c r="GU16" s="101">
        <f t="shared" si="143"/>
        <v>43243</v>
      </c>
      <c r="GV16" s="17" t="str">
        <f t="shared" si="144"/>
        <v>SELESAI</v>
      </c>
      <c r="GW16" s="17">
        <f t="shared" si="145"/>
        <v>0</v>
      </c>
      <c r="GX16" s="66" t="str">
        <f t="shared" si="146"/>
        <v>SELESAI</v>
      </c>
      <c r="GY16" s="66">
        <f t="shared" si="147"/>
        <v>0</v>
      </c>
      <c r="GZ16" s="102" t="str">
        <f t="shared" si="148"/>
        <v>SELESAI</v>
      </c>
      <c r="HA16" s="83"/>
      <c r="HB16" s="83"/>
      <c r="HC16" s="17">
        <f t="shared" si="56"/>
        <v>0</v>
      </c>
      <c r="HD16" s="17">
        <f t="shared" si="57"/>
        <v>0</v>
      </c>
      <c r="HE16" s="17">
        <f t="shared" si="149"/>
        <v>0</v>
      </c>
      <c r="HF16" s="17">
        <f t="shared" si="150"/>
        <v>0</v>
      </c>
      <c r="HG16" s="17">
        <f t="shared" si="151"/>
        <v>0</v>
      </c>
      <c r="HH16" s="101" t="str">
        <f t="shared" si="58"/>
        <v>TIDAK KONSINYASI</v>
      </c>
      <c r="HI16" s="101" t="str">
        <f t="shared" si="152"/>
        <v>SELESAI</v>
      </c>
      <c r="HJ16" s="27"/>
      <c r="HK16" s="101">
        <f t="shared" si="59"/>
        <v>0</v>
      </c>
      <c r="HL16" s="83"/>
      <c r="HM16" s="83"/>
      <c r="HN16" s="83"/>
      <c r="HO16" s="83"/>
      <c r="HP16" s="102">
        <f t="shared" si="153"/>
        <v>0</v>
      </c>
      <c r="HQ16" s="66">
        <f t="shared" si="154"/>
        <v>0</v>
      </c>
      <c r="HR16" s="66">
        <f t="shared" si="60"/>
        <v>0</v>
      </c>
      <c r="HS16" s="102">
        <f t="shared" si="155"/>
        <v>0</v>
      </c>
      <c r="HT16" s="66">
        <f t="shared" si="156"/>
        <v>0</v>
      </c>
      <c r="HU16" s="66">
        <f t="shared" si="61"/>
        <v>0</v>
      </c>
      <c r="HV16" s="102">
        <f t="shared" si="157"/>
        <v>0</v>
      </c>
      <c r="HW16" s="66">
        <f t="shared" si="62"/>
        <v>0</v>
      </c>
      <c r="HX16" s="66">
        <f t="shared" si="63"/>
        <v>0</v>
      </c>
      <c r="HY16" s="102">
        <f t="shared" si="64"/>
        <v>0</v>
      </c>
      <c r="HZ16" s="66">
        <f t="shared" si="158"/>
        <v>0</v>
      </c>
      <c r="IA16" s="66">
        <f t="shared" si="65"/>
        <v>0</v>
      </c>
      <c r="IB16" s="102">
        <f t="shared" si="159"/>
        <v>0</v>
      </c>
      <c r="IC16" s="66">
        <f t="shared" si="66"/>
        <v>0</v>
      </c>
      <c r="ID16" s="66">
        <f t="shared" si="67"/>
        <v>0</v>
      </c>
      <c r="IE16" s="102">
        <f t="shared" si="68"/>
        <v>0</v>
      </c>
      <c r="IF16" s="66">
        <f t="shared" si="69"/>
        <v>0</v>
      </c>
      <c r="IG16" s="66">
        <f t="shared" si="70"/>
        <v>0</v>
      </c>
      <c r="IH16" s="102">
        <f t="shared" si="160"/>
        <v>0</v>
      </c>
      <c r="II16" s="66">
        <f t="shared" si="161"/>
        <v>0</v>
      </c>
      <c r="IJ16" s="66">
        <f t="shared" si="71"/>
        <v>0</v>
      </c>
      <c r="IK16" s="102">
        <f t="shared" si="72"/>
        <v>0</v>
      </c>
      <c r="IL16" s="66">
        <f t="shared" si="73"/>
        <v>0</v>
      </c>
      <c r="IM16" s="66">
        <f t="shared" si="74"/>
        <v>0</v>
      </c>
      <c r="IN16" s="83"/>
      <c r="IO16" s="102">
        <f t="shared" si="75"/>
        <v>0</v>
      </c>
      <c r="IP16" s="66">
        <f t="shared" si="76"/>
        <v>0</v>
      </c>
      <c r="IQ16" s="66">
        <f t="shared" si="77"/>
        <v>0</v>
      </c>
      <c r="IR16" s="83"/>
      <c r="IS16" s="102"/>
      <c r="IT16" s="66">
        <f t="shared" si="78"/>
        <v>1</v>
      </c>
      <c r="IU16" s="66">
        <f t="shared" si="79"/>
        <v>189</v>
      </c>
      <c r="IV16" s="83"/>
      <c r="IW16" s="102"/>
      <c r="IX16" s="66">
        <f t="shared" si="80"/>
        <v>0</v>
      </c>
      <c r="IY16" s="66">
        <f t="shared" si="81"/>
        <v>0</v>
      </c>
      <c r="IZ16" s="83"/>
      <c r="JA16" s="102"/>
      <c r="JB16" s="66">
        <f t="shared" si="82"/>
        <v>0</v>
      </c>
      <c r="JC16" s="66">
        <f t="shared" si="83"/>
        <v>0</v>
      </c>
      <c r="JD16" s="83"/>
      <c r="JE16" s="102"/>
      <c r="JF16" s="66">
        <f t="shared" si="162"/>
        <v>1</v>
      </c>
      <c r="JG16" s="66">
        <f t="shared" si="84"/>
        <v>189</v>
      </c>
      <c r="JH16" s="83"/>
      <c r="JI16" s="102"/>
      <c r="JJ16" s="66">
        <f t="shared" si="85"/>
        <v>0</v>
      </c>
      <c r="JK16" s="66">
        <f t="shared" si="86"/>
        <v>0</v>
      </c>
      <c r="JM16" s="102">
        <f t="shared" si="163"/>
        <v>0</v>
      </c>
      <c r="JO16" s="29">
        <f t="shared" si="87"/>
        <v>1</v>
      </c>
      <c r="JP16" s="122">
        <f t="shared" si="88"/>
        <v>120</v>
      </c>
      <c r="JQ16" s="122">
        <f t="shared" si="89"/>
        <v>0</v>
      </c>
      <c r="JR16" s="122">
        <f t="shared" si="90"/>
        <v>1</v>
      </c>
      <c r="JS16" s="122">
        <f t="shared" si="91"/>
        <v>0</v>
      </c>
      <c r="JT16" s="122">
        <f t="shared" si="92"/>
        <v>0</v>
      </c>
      <c r="JU16" s="122">
        <f t="shared" si="93"/>
        <v>0</v>
      </c>
      <c r="JV16" s="122">
        <f t="shared" si="94"/>
        <v>0</v>
      </c>
      <c r="JW16" s="122">
        <f t="shared" si="95"/>
        <v>0</v>
      </c>
      <c r="JX16" s="122">
        <f t="shared" si="96"/>
        <v>0</v>
      </c>
      <c r="JY16" s="122">
        <f t="shared" si="97"/>
        <v>0</v>
      </c>
      <c r="JZ16" s="122">
        <f t="shared" si="98"/>
        <v>0</v>
      </c>
      <c r="KA16" s="122">
        <f t="shared" si="99"/>
        <v>0</v>
      </c>
      <c r="KB16" s="122">
        <f t="shared" si="100"/>
        <v>0</v>
      </c>
      <c r="KD16" s="122">
        <f t="shared" si="164"/>
        <v>1</v>
      </c>
      <c r="KE16" s="122">
        <f t="shared" si="102"/>
        <v>120</v>
      </c>
      <c r="KF16" s="122">
        <f t="shared" si="103"/>
        <v>120</v>
      </c>
      <c r="KG16" s="122">
        <f t="shared" si="104"/>
        <v>0</v>
      </c>
      <c r="KH16" s="122">
        <f t="shared" si="105"/>
        <v>120</v>
      </c>
      <c r="KI16" s="122">
        <f t="shared" si="106"/>
        <v>0</v>
      </c>
      <c r="KJ16" s="122">
        <f t="shared" si="107"/>
        <v>0</v>
      </c>
      <c r="KK16" s="122">
        <f t="shared" si="108"/>
        <v>0</v>
      </c>
      <c r="KL16" s="122">
        <f t="shared" si="109"/>
        <v>0</v>
      </c>
      <c r="KM16" s="122">
        <f t="shared" si="110"/>
        <v>0</v>
      </c>
      <c r="KN16" s="123">
        <f t="shared" si="111"/>
        <v>0</v>
      </c>
      <c r="KO16" s="123">
        <f t="shared" si="112"/>
        <v>0</v>
      </c>
      <c r="KP16" s="123">
        <f t="shared" si="113"/>
        <v>0</v>
      </c>
      <c r="KQ16" s="123">
        <f t="shared" si="114"/>
        <v>0</v>
      </c>
      <c r="KR16" s="123">
        <f t="shared" si="115"/>
        <v>0</v>
      </c>
      <c r="KT16">
        <f t="shared" si="116"/>
        <v>0</v>
      </c>
      <c r="KU16" s="123"/>
      <c r="KV16" s="123"/>
      <c r="KW16" s="123"/>
      <c r="KX16" s="123"/>
      <c r="KY16" s="123"/>
      <c r="KZ16" s="123"/>
      <c r="LA16" s="123"/>
      <c r="LB16" s="123"/>
      <c r="LC16" s="123"/>
      <c r="LD16" s="123"/>
      <c r="LE16" s="123"/>
      <c r="LF16" s="123"/>
      <c r="LG16" s="123"/>
      <c r="LH16" s="123"/>
      <c r="LI16" s="123"/>
      <c r="LJ16" s="123"/>
      <c r="LK16" s="123"/>
      <c r="LL16" s="123"/>
      <c r="LM16" s="123"/>
      <c r="LN16" s="123"/>
      <c r="LO16" s="123"/>
      <c r="LP16" s="123"/>
      <c r="LQ16" s="123"/>
      <c r="LR16" s="123"/>
      <c r="LS16" s="123"/>
      <c r="LT16" s="123"/>
      <c r="LU16" s="123"/>
      <c r="LV16" s="123"/>
      <c r="LW16" s="123"/>
      <c r="LX16" s="123"/>
      <c r="LY16" s="123"/>
      <c r="LZ16" s="123"/>
      <c r="MA16" s="123"/>
      <c r="MB16" s="123"/>
      <c r="MC16" s="123"/>
      <c r="MD16" s="123"/>
      <c r="ME16" s="123"/>
      <c r="MF16" s="123"/>
      <c r="MG16" s="123"/>
      <c r="MH16" s="123"/>
      <c r="MI16" s="123"/>
      <c r="MJ16" s="123"/>
      <c r="MK16" s="123"/>
      <c r="ML16" s="123"/>
      <c r="MM16" s="123"/>
      <c r="MN16" s="123"/>
      <c r="MO16" s="123"/>
      <c r="MP16" s="123"/>
      <c r="MQ16" s="123"/>
      <c r="MR16" s="123"/>
      <c r="MS16" s="123"/>
      <c r="MT16" s="123"/>
      <c r="MU16" s="123"/>
      <c r="MV16" s="123"/>
      <c r="MW16" s="123"/>
      <c r="MX16" s="123"/>
      <c r="MY16" s="123"/>
      <c r="MZ16" s="123"/>
      <c r="NA16" s="123"/>
      <c r="NB16" s="123"/>
      <c r="NC16" s="123"/>
      <c r="ND16" s="123"/>
      <c r="NE16" s="123"/>
      <c r="NF16" s="123"/>
      <c r="NG16" s="123"/>
      <c r="NH16" s="123"/>
      <c r="NI16" s="123"/>
      <c r="NJ16" s="123"/>
      <c r="NK16" s="123"/>
      <c r="NM16">
        <f t="shared" si="165"/>
        <v>0</v>
      </c>
      <c r="NN16">
        <f t="shared" si="166"/>
        <v>0</v>
      </c>
      <c r="NO16">
        <f t="shared" si="167"/>
        <v>0</v>
      </c>
      <c r="NP16">
        <f t="shared" si="168"/>
        <v>0</v>
      </c>
      <c r="NQ16">
        <f t="shared" si="169"/>
        <v>0</v>
      </c>
      <c r="NR16">
        <f t="shared" si="170"/>
        <v>0</v>
      </c>
      <c r="NS16">
        <f t="shared" si="171"/>
        <v>0</v>
      </c>
      <c r="NT16">
        <f t="shared" si="172"/>
        <v>0</v>
      </c>
      <c r="NU16" s="29">
        <f t="shared" si="173"/>
        <v>0</v>
      </c>
      <c r="NY16" s="17">
        <f t="shared" si="118"/>
        <v>1</v>
      </c>
      <c r="NZ16" s="152">
        <v>11000000</v>
      </c>
      <c r="OE16" s="155">
        <f t="shared" si="119"/>
        <v>0</v>
      </c>
      <c r="OF16" s="155">
        <f t="shared" si="120"/>
        <v>0</v>
      </c>
      <c r="OG16" s="155">
        <f t="shared" si="121"/>
        <v>0</v>
      </c>
      <c r="OH16" s="155">
        <f t="shared" si="174"/>
        <v>0</v>
      </c>
      <c r="OI16" s="155">
        <f t="shared" si="122"/>
        <v>0</v>
      </c>
      <c r="OJ16" s="67">
        <f t="shared" si="175"/>
        <v>0</v>
      </c>
      <c r="OK16" s="67">
        <f t="shared" si="176"/>
        <v>0</v>
      </c>
      <c r="OL16" s="67">
        <f t="shared" si="177"/>
        <v>0</v>
      </c>
      <c r="OM16" s="67">
        <f t="shared" si="178"/>
        <v>0</v>
      </c>
      <c r="OO16" s="155">
        <f t="shared" si="123"/>
        <v>0</v>
      </c>
      <c r="OP16" s="155">
        <f t="shared" si="124"/>
        <v>0</v>
      </c>
      <c r="OQ16" s="155">
        <f t="shared" si="179"/>
        <v>0</v>
      </c>
      <c r="OR16" s="155">
        <f t="shared" si="180"/>
        <v>0</v>
      </c>
      <c r="OS16" s="155">
        <f t="shared" si="181"/>
        <v>0</v>
      </c>
      <c r="OT16" s="67">
        <f t="shared" si="182"/>
        <v>0</v>
      </c>
      <c r="OU16" s="67">
        <f t="shared" si="183"/>
        <v>0</v>
      </c>
      <c r="OV16" s="67">
        <f t="shared" si="184"/>
        <v>0</v>
      </c>
      <c r="OW16" s="67">
        <f t="shared" si="185"/>
        <v>0</v>
      </c>
      <c r="OZ16" s="163"/>
      <c r="PA16" s="166"/>
      <c r="PB16" s="166"/>
      <c r="PC16" s="166"/>
      <c r="PD16" s="210">
        <f t="shared" si="125"/>
        <v>0</v>
      </c>
      <c r="PE16" s="210"/>
      <c r="PF16" s="210">
        <f t="shared" si="126"/>
        <v>0</v>
      </c>
      <c r="PG16" s="210">
        <f t="shared" si="127"/>
        <v>0</v>
      </c>
      <c r="PH16" s="210">
        <f t="shared" si="127"/>
        <v>0</v>
      </c>
      <c r="PI16" s="210">
        <f t="shared" si="127"/>
        <v>0</v>
      </c>
      <c r="PJ16" s="210">
        <f t="shared" si="127"/>
        <v>0</v>
      </c>
      <c r="PK16" s="210">
        <f t="shared" si="127"/>
        <v>0</v>
      </c>
      <c r="PL16" s="210">
        <f t="shared" si="127"/>
        <v>0</v>
      </c>
      <c r="PM16" s="164"/>
      <c r="PN16" s="164"/>
      <c r="PO16" s="172">
        <f t="shared" si="186"/>
        <v>0</v>
      </c>
      <c r="PP16" s="172">
        <f t="shared" si="187"/>
        <v>0</v>
      </c>
      <c r="PQ16" s="172">
        <f t="shared" si="188"/>
        <v>0</v>
      </c>
      <c r="PR16" s="164"/>
      <c r="PS16" s="164"/>
      <c r="PT16" s="164"/>
      <c r="PU16" s="164"/>
    </row>
    <row r="17" spans="1:437 16383:16383" ht="16" x14ac:dyDescent="0.2">
      <c r="A17" s="19">
        <f t="shared" si="189"/>
        <v>9</v>
      </c>
      <c r="B17" s="138" t="s">
        <v>211</v>
      </c>
      <c r="C17" s="138">
        <v>35</v>
      </c>
      <c r="D17" s="20">
        <v>1</v>
      </c>
      <c r="E17" s="188">
        <v>213</v>
      </c>
      <c r="F17" s="20">
        <v>1</v>
      </c>
      <c r="G17" s="20">
        <f t="shared" si="128"/>
        <v>213</v>
      </c>
      <c r="H17" s="137">
        <f t="shared" si="2"/>
        <v>1</v>
      </c>
      <c r="I17" s="137">
        <f t="shared" si="3"/>
        <v>1</v>
      </c>
      <c r="J17" s="20">
        <v>1</v>
      </c>
      <c r="K17" s="20">
        <f t="shared" si="4"/>
        <v>213</v>
      </c>
      <c r="L17" s="137">
        <f t="shared" si="5"/>
        <v>1</v>
      </c>
      <c r="M17" s="137">
        <f t="shared" si="6"/>
        <v>1</v>
      </c>
      <c r="N17" s="20">
        <v>1</v>
      </c>
      <c r="O17" s="20">
        <f t="shared" si="7"/>
        <v>213</v>
      </c>
      <c r="P17" s="137">
        <f t="shared" si="8"/>
        <v>1</v>
      </c>
      <c r="Q17" s="137">
        <f t="shared" si="9"/>
        <v>1</v>
      </c>
      <c r="R17" s="20">
        <v>1</v>
      </c>
      <c r="S17" s="20">
        <f t="shared" si="10"/>
        <v>213</v>
      </c>
      <c r="T17" s="137">
        <f t="shared" si="11"/>
        <v>1</v>
      </c>
      <c r="U17" s="137">
        <f t="shared" si="12"/>
        <v>1</v>
      </c>
      <c r="V17" s="20">
        <v>1</v>
      </c>
      <c r="W17" s="20">
        <f t="shared" si="13"/>
        <v>213</v>
      </c>
      <c r="X17" s="137">
        <f t="shared" si="14"/>
        <v>1</v>
      </c>
      <c r="Y17" s="214">
        <f t="shared" si="15"/>
        <v>1</v>
      </c>
      <c r="Z17" s="271">
        <f>2475400000/1000000000</f>
        <v>2.4754</v>
      </c>
      <c r="AA17" s="188"/>
      <c r="AB17" s="17">
        <f t="shared" si="129"/>
        <v>0</v>
      </c>
      <c r="AC17" s="18">
        <f t="shared" si="130"/>
        <v>0</v>
      </c>
      <c r="AD17" s="18">
        <f t="shared" si="131"/>
        <v>0</v>
      </c>
      <c r="AE17" s="20"/>
      <c r="AF17" s="20">
        <f t="shared" si="132"/>
        <v>0</v>
      </c>
      <c r="AG17" s="20"/>
      <c r="AH17" s="31"/>
      <c r="AI17" s="20">
        <v>0</v>
      </c>
      <c r="AJ17" s="20">
        <f t="shared" si="18"/>
        <v>0</v>
      </c>
      <c r="AK17" s="20"/>
      <c r="AL17" s="20">
        <v>0</v>
      </c>
      <c r="AM17" s="20">
        <v>0</v>
      </c>
      <c r="AN17" s="139"/>
      <c r="BB17" s="20">
        <f t="shared" si="133"/>
        <v>0</v>
      </c>
      <c r="BE17" s="20">
        <f t="shared" si="19"/>
        <v>0</v>
      </c>
      <c r="BF17" s="20">
        <f t="shared" si="20"/>
        <v>0</v>
      </c>
      <c r="BG17" s="20">
        <f t="shared" si="21"/>
        <v>0</v>
      </c>
      <c r="BH17" s="20">
        <f t="shared" si="22"/>
        <v>0</v>
      </c>
      <c r="BI17" s="20">
        <f t="shared" si="23"/>
        <v>0</v>
      </c>
      <c r="BJ17" s="20">
        <f t="shared" si="24"/>
        <v>0</v>
      </c>
      <c r="BK17" s="20">
        <f t="shared" si="134"/>
        <v>0</v>
      </c>
      <c r="BN17" s="296">
        <v>49</v>
      </c>
      <c r="BO17">
        <v>1</v>
      </c>
      <c r="BP17" s="17"/>
      <c r="BQ17" s="17"/>
      <c r="BR17" s="17"/>
      <c r="BS17" s="17"/>
      <c r="BT17" s="17"/>
      <c r="BU17" s="17"/>
      <c r="BV17" s="20"/>
      <c r="BW17" s="20"/>
      <c r="BX17" s="20"/>
      <c r="BY17" s="20"/>
      <c r="BZ17" s="20"/>
      <c r="CB17" s="139"/>
      <c r="CD17" s="17">
        <f t="shared" si="26"/>
        <v>49</v>
      </c>
      <c r="CE17" s="17">
        <f t="shared" si="135"/>
        <v>49</v>
      </c>
      <c r="CF17" s="17">
        <f t="shared" si="27"/>
        <v>0</v>
      </c>
      <c r="CG17" s="17">
        <f t="shared" si="28"/>
        <v>0</v>
      </c>
      <c r="CH17" s="17">
        <f t="shared" si="29"/>
        <v>0</v>
      </c>
      <c r="CI17" s="17">
        <f t="shared" si="30"/>
        <v>0</v>
      </c>
      <c r="CJ17" s="17">
        <f t="shared" si="31"/>
        <v>0</v>
      </c>
      <c r="CK17" s="17">
        <f t="shared" si="32"/>
        <v>0</v>
      </c>
      <c r="CL17" s="20">
        <f t="shared" si="33"/>
        <v>0</v>
      </c>
      <c r="CM17" s="20">
        <f t="shared" si="34"/>
        <v>0</v>
      </c>
      <c r="CN17" s="20">
        <f t="shared" si="35"/>
        <v>0</v>
      </c>
      <c r="CO17" s="20">
        <f t="shared" si="36"/>
        <v>0</v>
      </c>
      <c r="CP17" s="20">
        <f t="shared" si="37"/>
        <v>0</v>
      </c>
      <c r="DV17" s="20">
        <f t="shared" si="38"/>
        <v>0</v>
      </c>
      <c r="DW17" s="20">
        <f t="shared" si="39"/>
        <v>0</v>
      </c>
      <c r="DX17" s="20">
        <f t="shared" si="40"/>
        <v>0</v>
      </c>
      <c r="DY17" s="20">
        <f t="shared" si="41"/>
        <v>0</v>
      </c>
      <c r="DZ17" s="20">
        <f t="shared" si="42"/>
        <v>0</v>
      </c>
      <c r="EA17" s="20">
        <f t="shared" si="43"/>
        <v>0</v>
      </c>
      <c r="EB17" s="20">
        <f t="shared" si="136"/>
        <v>0</v>
      </c>
      <c r="ED17" s="46" t="s">
        <v>351</v>
      </c>
      <c r="EE17" s="46" t="s">
        <v>377</v>
      </c>
      <c r="EF17" s="56"/>
      <c r="EG17" s="57">
        <f t="shared" si="137"/>
        <v>0</v>
      </c>
      <c r="EH17" s="57">
        <f t="shared" si="138"/>
        <v>0</v>
      </c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X17" s="80">
        <v>1</v>
      </c>
      <c r="FY17" s="17">
        <f t="shared" si="139"/>
        <v>49</v>
      </c>
      <c r="FZ17" s="17">
        <f t="shared" si="45"/>
        <v>49</v>
      </c>
      <c r="GA17" s="17">
        <f t="shared" si="46"/>
        <v>0</v>
      </c>
      <c r="GB17" s="17">
        <f t="shared" si="47"/>
        <v>0</v>
      </c>
      <c r="GC17" s="17">
        <f t="shared" si="48"/>
        <v>0</v>
      </c>
      <c r="GD17" s="17">
        <f t="shared" si="49"/>
        <v>0</v>
      </c>
      <c r="GE17" s="17">
        <f t="shared" si="50"/>
        <v>0</v>
      </c>
      <c r="GF17" s="67"/>
      <c r="GG17" s="17">
        <v>0</v>
      </c>
      <c r="GH17" s="17">
        <v>0</v>
      </c>
      <c r="GI17" s="67"/>
      <c r="GJ17" s="62">
        <f t="shared" si="140"/>
        <v>0</v>
      </c>
      <c r="GK17" s="62">
        <f t="shared" si="141"/>
        <v>0</v>
      </c>
      <c r="GO17" s="17">
        <f t="shared" si="51"/>
        <v>0</v>
      </c>
      <c r="GP17" s="17">
        <f t="shared" si="52"/>
        <v>0</v>
      </c>
      <c r="GQ17" s="17">
        <f t="shared" si="53"/>
        <v>0</v>
      </c>
      <c r="GR17" s="17">
        <f t="shared" si="54"/>
        <v>0</v>
      </c>
      <c r="GS17" s="17">
        <f t="shared" si="55"/>
        <v>0</v>
      </c>
      <c r="GT17" s="17">
        <f t="shared" si="142"/>
        <v>1</v>
      </c>
      <c r="GU17" s="101">
        <f t="shared" si="143"/>
        <v>43243</v>
      </c>
      <c r="GV17" s="17" t="str">
        <f t="shared" si="144"/>
        <v>SELESAI</v>
      </c>
      <c r="GW17" s="17">
        <f t="shared" si="145"/>
        <v>0</v>
      </c>
      <c r="GX17" s="66" t="str">
        <f t="shared" si="146"/>
        <v>SELESAI</v>
      </c>
      <c r="GY17" s="66">
        <f t="shared" si="147"/>
        <v>0</v>
      </c>
      <c r="GZ17" s="102" t="str">
        <f t="shared" si="148"/>
        <v>SELESAI</v>
      </c>
      <c r="HA17" s="83"/>
      <c r="HB17" s="83"/>
      <c r="HC17" s="17">
        <f t="shared" si="56"/>
        <v>0</v>
      </c>
      <c r="HD17" s="17">
        <f t="shared" si="57"/>
        <v>0</v>
      </c>
      <c r="HE17" s="17">
        <f t="shared" si="149"/>
        <v>0</v>
      </c>
      <c r="HF17" s="17">
        <f t="shared" si="150"/>
        <v>0</v>
      </c>
      <c r="HG17" s="17">
        <f t="shared" si="151"/>
        <v>0</v>
      </c>
      <c r="HH17" s="101" t="str">
        <f t="shared" si="58"/>
        <v>TIDAK KONSINYASI</v>
      </c>
      <c r="HI17" s="101" t="str">
        <f t="shared" si="152"/>
        <v>SELESAI</v>
      </c>
      <c r="HJ17" s="27"/>
      <c r="HK17" s="101">
        <f t="shared" si="59"/>
        <v>0</v>
      </c>
      <c r="HL17" s="83"/>
      <c r="HM17" s="83"/>
      <c r="HN17" s="83"/>
      <c r="HO17" s="83"/>
      <c r="HP17" s="102">
        <f t="shared" si="153"/>
        <v>0</v>
      </c>
      <c r="HQ17" s="66">
        <f t="shared" si="154"/>
        <v>0</v>
      </c>
      <c r="HR17" s="66">
        <f t="shared" si="60"/>
        <v>0</v>
      </c>
      <c r="HS17" s="102">
        <f t="shared" si="155"/>
        <v>0</v>
      </c>
      <c r="HT17" s="66">
        <f t="shared" si="156"/>
        <v>0</v>
      </c>
      <c r="HU17" s="66">
        <f t="shared" si="61"/>
        <v>0</v>
      </c>
      <c r="HV17" s="102">
        <f t="shared" si="157"/>
        <v>0</v>
      </c>
      <c r="HW17" s="66">
        <f t="shared" si="62"/>
        <v>0</v>
      </c>
      <c r="HX17" s="66">
        <f t="shared" si="63"/>
        <v>0</v>
      </c>
      <c r="HY17" s="102">
        <f t="shared" si="64"/>
        <v>0</v>
      </c>
      <c r="HZ17" s="66">
        <f t="shared" si="158"/>
        <v>0</v>
      </c>
      <c r="IA17" s="66">
        <f t="shared" si="65"/>
        <v>0</v>
      </c>
      <c r="IB17" s="102">
        <f t="shared" si="159"/>
        <v>0</v>
      </c>
      <c r="IC17" s="66">
        <f t="shared" si="66"/>
        <v>0</v>
      </c>
      <c r="ID17" s="66">
        <f t="shared" si="67"/>
        <v>0</v>
      </c>
      <c r="IE17" s="102">
        <f t="shared" si="68"/>
        <v>0</v>
      </c>
      <c r="IF17" s="66">
        <f t="shared" si="69"/>
        <v>0</v>
      </c>
      <c r="IG17" s="66">
        <f t="shared" si="70"/>
        <v>0</v>
      </c>
      <c r="IH17" s="102">
        <f t="shared" si="160"/>
        <v>0</v>
      </c>
      <c r="II17" s="66">
        <f t="shared" si="161"/>
        <v>0</v>
      </c>
      <c r="IJ17" s="66">
        <f t="shared" si="71"/>
        <v>0</v>
      </c>
      <c r="IK17" s="102">
        <f t="shared" si="72"/>
        <v>0</v>
      </c>
      <c r="IL17" s="66">
        <f t="shared" si="73"/>
        <v>0</v>
      </c>
      <c r="IM17" s="66">
        <f t="shared" si="74"/>
        <v>0</v>
      </c>
      <c r="IN17" s="83"/>
      <c r="IO17" s="102">
        <f t="shared" si="75"/>
        <v>0</v>
      </c>
      <c r="IP17" s="66">
        <f t="shared" si="76"/>
        <v>0</v>
      </c>
      <c r="IQ17" s="66">
        <f t="shared" si="77"/>
        <v>0</v>
      </c>
      <c r="IR17" s="83"/>
      <c r="IS17" s="102"/>
      <c r="IT17" s="66">
        <f t="shared" si="78"/>
        <v>1</v>
      </c>
      <c r="IU17" s="66">
        <f t="shared" si="79"/>
        <v>213</v>
      </c>
      <c r="IV17" s="83"/>
      <c r="IW17" s="102"/>
      <c r="IX17" s="66">
        <f t="shared" si="80"/>
        <v>0</v>
      </c>
      <c r="IY17" s="66">
        <f t="shared" si="81"/>
        <v>0</v>
      </c>
      <c r="IZ17" s="83"/>
      <c r="JA17" s="102"/>
      <c r="JB17" s="66">
        <f t="shared" si="82"/>
        <v>0</v>
      </c>
      <c r="JC17" s="66">
        <f t="shared" si="83"/>
        <v>0</v>
      </c>
      <c r="JD17" s="83"/>
      <c r="JE17" s="102"/>
      <c r="JF17" s="66">
        <f t="shared" si="162"/>
        <v>1</v>
      </c>
      <c r="JG17" s="66">
        <f t="shared" si="84"/>
        <v>213</v>
      </c>
      <c r="JH17" s="83"/>
      <c r="JI17" s="102"/>
      <c r="JJ17" s="66">
        <f t="shared" si="85"/>
        <v>0</v>
      </c>
      <c r="JK17" s="66">
        <f t="shared" si="86"/>
        <v>0</v>
      </c>
      <c r="JM17" s="102">
        <f t="shared" si="163"/>
        <v>0</v>
      </c>
      <c r="JO17" s="29">
        <f t="shared" si="87"/>
        <v>1</v>
      </c>
      <c r="JP17" s="122">
        <f t="shared" si="88"/>
        <v>49</v>
      </c>
      <c r="JQ17" s="122">
        <f t="shared" si="89"/>
        <v>1</v>
      </c>
      <c r="JR17" s="122">
        <f t="shared" si="90"/>
        <v>0</v>
      </c>
      <c r="JS17" s="122">
        <f t="shared" si="91"/>
        <v>0</v>
      </c>
      <c r="JT17" s="122">
        <f t="shared" si="92"/>
        <v>0</v>
      </c>
      <c r="JU17" s="122">
        <f t="shared" si="93"/>
        <v>0</v>
      </c>
      <c r="JV17" s="122">
        <f t="shared" si="94"/>
        <v>0</v>
      </c>
      <c r="JW17" s="122">
        <f t="shared" si="95"/>
        <v>0</v>
      </c>
      <c r="JX17" s="122">
        <f t="shared" si="96"/>
        <v>0</v>
      </c>
      <c r="JY17" s="122">
        <f t="shared" si="97"/>
        <v>0</v>
      </c>
      <c r="JZ17" s="122">
        <f t="shared" si="98"/>
        <v>0</v>
      </c>
      <c r="KA17" s="122">
        <f t="shared" si="99"/>
        <v>0</v>
      </c>
      <c r="KB17" s="122">
        <f t="shared" si="100"/>
        <v>0</v>
      </c>
      <c r="KD17" s="122">
        <f t="shared" si="164"/>
        <v>0</v>
      </c>
      <c r="KE17" s="122">
        <f t="shared" si="102"/>
        <v>0</v>
      </c>
      <c r="KF17" s="122">
        <f t="shared" si="103"/>
        <v>49</v>
      </c>
      <c r="KG17" s="122">
        <f t="shared" si="104"/>
        <v>49</v>
      </c>
      <c r="KH17" s="122">
        <f t="shared" si="105"/>
        <v>0</v>
      </c>
      <c r="KI17" s="122">
        <f t="shared" si="106"/>
        <v>0</v>
      </c>
      <c r="KJ17" s="122">
        <f t="shared" si="107"/>
        <v>0</v>
      </c>
      <c r="KK17" s="122">
        <f t="shared" si="108"/>
        <v>0</v>
      </c>
      <c r="KL17" s="122">
        <f t="shared" si="109"/>
        <v>0</v>
      </c>
      <c r="KM17" s="122">
        <f t="shared" si="110"/>
        <v>0</v>
      </c>
      <c r="KN17" s="123">
        <f t="shared" si="111"/>
        <v>0</v>
      </c>
      <c r="KO17" s="123">
        <f t="shared" si="112"/>
        <v>0</v>
      </c>
      <c r="KP17" s="123">
        <f t="shared" si="113"/>
        <v>0</v>
      </c>
      <c r="KQ17" s="123">
        <f t="shared" si="114"/>
        <v>0</v>
      </c>
      <c r="KR17" s="123">
        <f t="shared" si="115"/>
        <v>0</v>
      </c>
      <c r="KT17">
        <f t="shared" si="116"/>
        <v>0</v>
      </c>
      <c r="KU17" s="123"/>
      <c r="KV17" s="123"/>
      <c r="KW17" s="123"/>
      <c r="KX17" s="123"/>
      <c r="KY17" s="123"/>
      <c r="KZ17" s="123"/>
      <c r="LA17" s="123"/>
      <c r="LB17" s="123"/>
      <c r="LC17" s="123"/>
      <c r="LD17" s="123"/>
      <c r="LE17" s="123"/>
      <c r="LF17" s="123"/>
      <c r="LG17" s="123"/>
      <c r="LH17" s="123"/>
      <c r="LI17" s="123"/>
      <c r="LJ17" s="123"/>
      <c r="LK17" s="123"/>
      <c r="LL17" s="123"/>
      <c r="LM17" s="123"/>
      <c r="LN17" s="123"/>
      <c r="LO17" s="123"/>
      <c r="LP17" s="123"/>
      <c r="LQ17" s="123"/>
      <c r="LR17" s="123"/>
      <c r="LS17" s="123"/>
      <c r="LT17" s="123"/>
      <c r="LU17" s="123"/>
      <c r="LV17" s="123"/>
      <c r="LW17" s="123"/>
      <c r="LX17" s="123"/>
      <c r="LY17" s="123"/>
      <c r="LZ17" s="123"/>
      <c r="MA17" s="123"/>
      <c r="MB17" s="123"/>
      <c r="MC17" s="123"/>
      <c r="MD17" s="123"/>
      <c r="ME17" s="123"/>
      <c r="MF17" s="123"/>
      <c r="MG17" s="123"/>
      <c r="MH17" s="123"/>
      <c r="MI17" s="123"/>
      <c r="MJ17" s="123"/>
      <c r="MK17" s="123"/>
      <c r="ML17" s="123"/>
      <c r="MM17" s="123"/>
      <c r="MN17" s="123"/>
      <c r="MO17" s="123"/>
      <c r="MP17" s="123"/>
      <c r="MQ17" s="123"/>
      <c r="MR17" s="123"/>
      <c r="MS17" s="123"/>
      <c r="MT17" s="123"/>
      <c r="MU17" s="123"/>
      <c r="MV17" s="123"/>
      <c r="MW17" s="123"/>
      <c r="MX17" s="123"/>
      <c r="MY17" s="123"/>
      <c r="MZ17" s="123"/>
      <c r="NA17" s="123"/>
      <c r="NB17" s="123"/>
      <c r="NC17" s="123"/>
      <c r="ND17" s="123"/>
      <c r="NE17" s="123"/>
      <c r="NF17" s="123"/>
      <c r="NG17" s="123"/>
      <c r="NH17" s="123"/>
      <c r="NI17" s="123"/>
      <c r="NJ17" s="123"/>
      <c r="NK17" s="123"/>
      <c r="NM17">
        <f t="shared" si="165"/>
        <v>0</v>
      </c>
      <c r="NN17">
        <f t="shared" si="166"/>
        <v>0</v>
      </c>
      <c r="NO17">
        <f t="shared" si="167"/>
        <v>0</v>
      </c>
      <c r="NP17">
        <f t="shared" si="168"/>
        <v>0</v>
      </c>
      <c r="NQ17">
        <f t="shared" si="169"/>
        <v>0</v>
      </c>
      <c r="NR17">
        <f t="shared" si="170"/>
        <v>0</v>
      </c>
      <c r="NS17">
        <f t="shared" si="171"/>
        <v>0</v>
      </c>
      <c r="NT17">
        <f t="shared" si="172"/>
        <v>0</v>
      </c>
      <c r="NU17" s="29">
        <f t="shared" si="173"/>
        <v>0</v>
      </c>
      <c r="NY17" s="17">
        <f t="shared" si="118"/>
        <v>1</v>
      </c>
      <c r="NZ17" s="152">
        <v>10780000</v>
      </c>
      <c r="OE17" s="155">
        <f t="shared" si="119"/>
        <v>0</v>
      </c>
      <c r="OF17" s="155">
        <f t="shared" si="120"/>
        <v>0</v>
      </c>
      <c r="OG17" s="155">
        <f t="shared" si="121"/>
        <v>0</v>
      </c>
      <c r="OH17" s="155">
        <f t="shared" si="174"/>
        <v>0</v>
      </c>
      <c r="OI17" s="155">
        <f t="shared" si="122"/>
        <v>0</v>
      </c>
      <c r="OJ17" s="67">
        <f t="shared" si="175"/>
        <v>0</v>
      </c>
      <c r="OK17" s="67">
        <f t="shared" si="176"/>
        <v>0</v>
      </c>
      <c r="OL17" s="67">
        <f t="shared" si="177"/>
        <v>0</v>
      </c>
      <c r="OM17" s="67">
        <f t="shared" si="178"/>
        <v>0</v>
      </c>
      <c r="OO17" s="155">
        <f t="shared" si="123"/>
        <v>0</v>
      </c>
      <c r="OP17" s="155">
        <f t="shared" si="124"/>
        <v>0</v>
      </c>
      <c r="OQ17" s="155">
        <f t="shared" si="179"/>
        <v>0</v>
      </c>
      <c r="OR17" s="155">
        <f t="shared" si="180"/>
        <v>0</v>
      </c>
      <c r="OS17" s="155">
        <f t="shared" si="181"/>
        <v>0</v>
      </c>
      <c r="OT17" s="67">
        <f t="shared" si="182"/>
        <v>0</v>
      </c>
      <c r="OU17" s="67">
        <f t="shared" si="183"/>
        <v>0</v>
      </c>
      <c r="OV17" s="67">
        <f t="shared" si="184"/>
        <v>0</v>
      </c>
      <c r="OW17" s="67">
        <f t="shared" si="185"/>
        <v>0</v>
      </c>
      <c r="OZ17" s="163"/>
      <c r="PA17" s="166"/>
      <c r="PB17" s="166"/>
      <c r="PC17" s="166"/>
      <c r="PD17" s="210">
        <f t="shared" si="125"/>
        <v>0</v>
      </c>
      <c r="PE17" s="210"/>
      <c r="PF17" s="210">
        <f t="shared" si="126"/>
        <v>0</v>
      </c>
      <c r="PG17" s="210">
        <f t="shared" si="127"/>
        <v>0</v>
      </c>
      <c r="PH17" s="210">
        <f t="shared" si="127"/>
        <v>0</v>
      </c>
      <c r="PI17" s="210">
        <f t="shared" si="127"/>
        <v>0</v>
      </c>
      <c r="PJ17" s="210">
        <f t="shared" si="127"/>
        <v>0</v>
      </c>
      <c r="PK17" s="210">
        <f t="shared" si="127"/>
        <v>0</v>
      </c>
      <c r="PL17" s="210">
        <f t="shared" si="127"/>
        <v>0</v>
      </c>
      <c r="PM17" s="164"/>
      <c r="PN17" s="164"/>
      <c r="PO17" s="172">
        <f t="shared" si="186"/>
        <v>0</v>
      </c>
      <c r="PP17" s="172">
        <f t="shared" si="187"/>
        <v>0</v>
      </c>
      <c r="PQ17" s="172">
        <f t="shared" si="188"/>
        <v>0</v>
      </c>
      <c r="PR17" s="164"/>
      <c r="PS17" s="164"/>
      <c r="PT17" s="164"/>
      <c r="PU17" s="164"/>
    </row>
    <row r="18" spans="1:437 16383:16383" ht="16" x14ac:dyDescent="0.2">
      <c r="A18" s="19">
        <f t="shared" si="189"/>
        <v>10</v>
      </c>
      <c r="B18" s="138" t="s">
        <v>212</v>
      </c>
      <c r="C18" s="138">
        <v>36</v>
      </c>
      <c r="D18" s="20">
        <v>1</v>
      </c>
      <c r="E18" s="188">
        <v>189</v>
      </c>
      <c r="F18" s="20">
        <v>1</v>
      </c>
      <c r="G18" s="20">
        <f t="shared" si="128"/>
        <v>189</v>
      </c>
      <c r="H18" s="137">
        <f t="shared" si="2"/>
        <v>1</v>
      </c>
      <c r="I18" s="137">
        <f t="shared" si="3"/>
        <v>1</v>
      </c>
      <c r="J18" s="20">
        <v>1</v>
      </c>
      <c r="K18" s="20">
        <f t="shared" si="4"/>
        <v>189</v>
      </c>
      <c r="L18" s="137">
        <f t="shared" si="5"/>
        <v>1</v>
      </c>
      <c r="M18" s="137">
        <f t="shared" si="6"/>
        <v>1</v>
      </c>
      <c r="N18" s="20">
        <v>1</v>
      </c>
      <c r="O18" s="20">
        <f t="shared" si="7"/>
        <v>189</v>
      </c>
      <c r="P18" s="137">
        <f t="shared" si="8"/>
        <v>1</v>
      </c>
      <c r="Q18" s="137">
        <f t="shared" si="9"/>
        <v>1</v>
      </c>
      <c r="R18" s="20">
        <v>1</v>
      </c>
      <c r="S18" s="20">
        <f t="shared" si="10"/>
        <v>189</v>
      </c>
      <c r="T18" s="137">
        <f t="shared" si="11"/>
        <v>1</v>
      </c>
      <c r="U18" s="137">
        <f t="shared" si="12"/>
        <v>1</v>
      </c>
      <c r="V18" s="20">
        <v>1</v>
      </c>
      <c r="W18" s="20">
        <f t="shared" si="13"/>
        <v>189</v>
      </c>
      <c r="X18" s="137">
        <f t="shared" si="14"/>
        <v>1</v>
      </c>
      <c r="Y18" s="214">
        <f t="shared" si="15"/>
        <v>1</v>
      </c>
      <c r="Z18" s="271">
        <f>(2051722000+1403000000)/1000000000</f>
        <v>3.4547219999999998</v>
      </c>
      <c r="AA18" s="188"/>
      <c r="AB18" s="17">
        <f t="shared" si="129"/>
        <v>0</v>
      </c>
      <c r="AC18" s="18">
        <f t="shared" si="130"/>
        <v>0</v>
      </c>
      <c r="AD18" s="18">
        <f t="shared" si="131"/>
        <v>0</v>
      </c>
      <c r="AE18" s="20"/>
      <c r="AF18" s="20">
        <f t="shared" si="132"/>
        <v>0</v>
      </c>
      <c r="AG18" s="20"/>
      <c r="AH18" s="31"/>
      <c r="AI18" s="20">
        <v>0</v>
      </c>
      <c r="AJ18" s="20">
        <f t="shared" si="18"/>
        <v>0</v>
      </c>
      <c r="AK18" s="20"/>
      <c r="AL18" s="20">
        <v>0</v>
      </c>
      <c r="AM18" s="20">
        <v>0</v>
      </c>
      <c r="AN18" s="139"/>
      <c r="BB18" s="20">
        <f t="shared" si="133"/>
        <v>0</v>
      </c>
      <c r="BE18" s="20">
        <f t="shared" si="19"/>
        <v>0</v>
      </c>
      <c r="BF18" s="20">
        <f t="shared" si="20"/>
        <v>0</v>
      </c>
      <c r="BG18" s="20">
        <f t="shared" si="21"/>
        <v>0</v>
      </c>
      <c r="BH18" s="20">
        <f t="shared" si="22"/>
        <v>0</v>
      </c>
      <c r="BI18" s="20">
        <f t="shared" si="23"/>
        <v>0</v>
      </c>
      <c r="BJ18" s="20">
        <f t="shared" si="24"/>
        <v>0</v>
      </c>
      <c r="BK18" s="20">
        <f t="shared" si="134"/>
        <v>0</v>
      </c>
      <c r="BN18" s="276">
        <v>124</v>
      </c>
      <c r="BO18" s="126"/>
      <c r="BP18" s="17">
        <v>1</v>
      </c>
      <c r="BQ18" s="17"/>
      <c r="BR18" s="17"/>
      <c r="BS18" s="17"/>
      <c r="BT18" s="17"/>
      <c r="BU18" s="17"/>
      <c r="BV18" s="20"/>
      <c r="BW18" s="20"/>
      <c r="BX18" s="20"/>
      <c r="BY18" s="20"/>
      <c r="BZ18" s="20"/>
      <c r="CB18" s="139"/>
      <c r="CD18" s="17">
        <f t="shared" si="26"/>
        <v>124</v>
      </c>
      <c r="CE18" s="17">
        <f t="shared" si="135"/>
        <v>0</v>
      </c>
      <c r="CF18" s="17">
        <f t="shared" si="27"/>
        <v>124</v>
      </c>
      <c r="CG18" s="17">
        <f t="shared" si="28"/>
        <v>0</v>
      </c>
      <c r="CH18" s="17">
        <f t="shared" si="29"/>
        <v>0</v>
      </c>
      <c r="CI18" s="17">
        <f t="shared" si="30"/>
        <v>0</v>
      </c>
      <c r="CJ18" s="17">
        <f t="shared" si="31"/>
        <v>0</v>
      </c>
      <c r="CK18" s="17">
        <f t="shared" si="32"/>
        <v>0</v>
      </c>
      <c r="CL18" s="20">
        <f t="shared" si="33"/>
        <v>0</v>
      </c>
      <c r="CM18" s="20">
        <f t="shared" si="34"/>
        <v>0</v>
      </c>
      <c r="CN18" s="20">
        <f t="shared" si="35"/>
        <v>0</v>
      </c>
      <c r="CO18" s="20">
        <f t="shared" si="36"/>
        <v>0</v>
      </c>
      <c r="CP18" s="20">
        <f t="shared" si="37"/>
        <v>0</v>
      </c>
      <c r="DV18" s="20">
        <f t="shared" si="38"/>
        <v>0</v>
      </c>
      <c r="DW18" s="20">
        <f t="shared" si="39"/>
        <v>0</v>
      </c>
      <c r="DX18" s="20">
        <f t="shared" si="40"/>
        <v>0</v>
      </c>
      <c r="DY18" s="20">
        <f t="shared" si="41"/>
        <v>0</v>
      </c>
      <c r="DZ18" s="20">
        <f t="shared" si="42"/>
        <v>0</v>
      </c>
      <c r="EA18" s="20">
        <f t="shared" si="43"/>
        <v>0</v>
      </c>
      <c r="EB18" s="20">
        <f t="shared" si="136"/>
        <v>0</v>
      </c>
      <c r="EG18" s="57">
        <f t="shared" si="137"/>
        <v>0</v>
      </c>
      <c r="EH18" s="57">
        <f t="shared" si="138"/>
        <v>0</v>
      </c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X18" s="177">
        <v>1</v>
      </c>
      <c r="FY18" s="17">
        <f t="shared" si="139"/>
        <v>124</v>
      </c>
      <c r="FZ18" s="17">
        <f t="shared" si="45"/>
        <v>0</v>
      </c>
      <c r="GA18" s="17">
        <f t="shared" si="46"/>
        <v>124</v>
      </c>
      <c r="GB18" s="17">
        <f t="shared" si="47"/>
        <v>0</v>
      </c>
      <c r="GC18" s="17">
        <f t="shared" si="48"/>
        <v>0</v>
      </c>
      <c r="GD18" s="17">
        <f t="shared" si="49"/>
        <v>0</v>
      </c>
      <c r="GE18" s="17">
        <f t="shared" si="50"/>
        <v>0</v>
      </c>
      <c r="GF18" s="67"/>
      <c r="GG18" s="17">
        <v>0</v>
      </c>
      <c r="GH18" s="17">
        <v>0</v>
      </c>
      <c r="GI18" s="67"/>
      <c r="GJ18" s="62">
        <f t="shared" si="140"/>
        <v>0</v>
      </c>
      <c r="GK18" s="62">
        <f t="shared" si="141"/>
        <v>0</v>
      </c>
      <c r="GO18" s="17">
        <f t="shared" si="51"/>
        <v>0</v>
      </c>
      <c r="GP18" s="17">
        <f t="shared" si="52"/>
        <v>0</v>
      </c>
      <c r="GQ18" s="17">
        <f t="shared" si="53"/>
        <v>0</v>
      </c>
      <c r="GR18" s="17">
        <f t="shared" si="54"/>
        <v>0</v>
      </c>
      <c r="GS18" s="17">
        <f t="shared" si="55"/>
        <v>0</v>
      </c>
      <c r="GT18" s="17">
        <f t="shared" si="142"/>
        <v>1</v>
      </c>
      <c r="GU18" s="101">
        <f t="shared" si="143"/>
        <v>43243</v>
      </c>
      <c r="GV18" s="17" t="str">
        <f t="shared" si="144"/>
        <v>SELESAI</v>
      </c>
      <c r="GW18" s="17">
        <f t="shared" si="145"/>
        <v>0</v>
      </c>
      <c r="GX18" s="66" t="str">
        <f t="shared" si="146"/>
        <v>SELESAI</v>
      </c>
      <c r="GY18" s="66">
        <f t="shared" si="147"/>
        <v>0</v>
      </c>
      <c r="GZ18" s="102" t="str">
        <f t="shared" si="148"/>
        <v>SELESAI</v>
      </c>
      <c r="HA18" s="83"/>
      <c r="HB18" s="83"/>
      <c r="HC18" s="17">
        <f t="shared" si="56"/>
        <v>0</v>
      </c>
      <c r="HD18" s="17">
        <f t="shared" si="57"/>
        <v>0</v>
      </c>
      <c r="HE18" s="17">
        <f t="shared" si="149"/>
        <v>0</v>
      </c>
      <c r="HF18" s="17">
        <f t="shared" si="150"/>
        <v>0</v>
      </c>
      <c r="HG18" s="17">
        <f t="shared" si="151"/>
        <v>0</v>
      </c>
      <c r="HH18" s="101" t="str">
        <f t="shared" si="58"/>
        <v>TIDAK KONSINYASI</v>
      </c>
      <c r="HI18" s="101" t="str">
        <f t="shared" si="152"/>
        <v>SELESAI</v>
      </c>
      <c r="HJ18" s="27"/>
      <c r="HK18" s="101">
        <f t="shared" si="59"/>
        <v>0</v>
      </c>
      <c r="HL18" s="83"/>
      <c r="HM18" s="83"/>
      <c r="HN18" s="83"/>
      <c r="HO18" s="83"/>
      <c r="HP18" s="102">
        <f t="shared" si="153"/>
        <v>0</v>
      </c>
      <c r="HQ18" s="66">
        <f t="shared" si="154"/>
        <v>0</v>
      </c>
      <c r="HR18" s="66">
        <f t="shared" si="60"/>
        <v>0</v>
      </c>
      <c r="HS18" s="102">
        <f t="shared" si="155"/>
        <v>0</v>
      </c>
      <c r="HT18" s="66">
        <f t="shared" si="156"/>
        <v>0</v>
      </c>
      <c r="HU18" s="66">
        <f t="shared" si="61"/>
        <v>0</v>
      </c>
      <c r="HV18" s="102">
        <f t="shared" si="157"/>
        <v>0</v>
      </c>
      <c r="HW18" s="66">
        <f t="shared" si="62"/>
        <v>0</v>
      </c>
      <c r="HX18" s="66">
        <f t="shared" si="63"/>
        <v>0</v>
      </c>
      <c r="HY18" s="102">
        <f t="shared" si="64"/>
        <v>0</v>
      </c>
      <c r="HZ18" s="66">
        <f t="shared" si="158"/>
        <v>0</v>
      </c>
      <c r="IA18" s="66">
        <f t="shared" si="65"/>
        <v>0</v>
      </c>
      <c r="IB18" s="102">
        <f t="shared" si="159"/>
        <v>0</v>
      </c>
      <c r="IC18" s="66">
        <f t="shared" si="66"/>
        <v>0</v>
      </c>
      <c r="ID18" s="66">
        <f t="shared" si="67"/>
        <v>0</v>
      </c>
      <c r="IE18" s="102">
        <f t="shared" si="68"/>
        <v>0</v>
      </c>
      <c r="IF18" s="66">
        <f t="shared" si="69"/>
        <v>0</v>
      </c>
      <c r="IG18" s="66">
        <f t="shared" si="70"/>
        <v>0</v>
      </c>
      <c r="IH18" s="102">
        <f t="shared" si="160"/>
        <v>0</v>
      </c>
      <c r="II18" s="66">
        <f t="shared" si="161"/>
        <v>0</v>
      </c>
      <c r="IJ18" s="66">
        <f t="shared" si="71"/>
        <v>0</v>
      </c>
      <c r="IK18" s="102">
        <f t="shared" si="72"/>
        <v>0</v>
      </c>
      <c r="IL18" s="66">
        <f t="shared" si="73"/>
        <v>0</v>
      </c>
      <c r="IM18" s="66">
        <f t="shared" si="74"/>
        <v>0</v>
      </c>
      <c r="IN18" s="83"/>
      <c r="IO18" s="102">
        <f t="shared" si="75"/>
        <v>0</v>
      </c>
      <c r="IP18" s="66">
        <f t="shared" si="76"/>
        <v>0</v>
      </c>
      <c r="IQ18" s="66">
        <f t="shared" si="77"/>
        <v>0</v>
      </c>
      <c r="IR18" s="83"/>
      <c r="IS18" s="102"/>
      <c r="IT18" s="66">
        <f t="shared" si="78"/>
        <v>1</v>
      </c>
      <c r="IU18" s="66">
        <f t="shared" si="79"/>
        <v>189</v>
      </c>
      <c r="IV18" s="83"/>
      <c r="IW18" s="102"/>
      <c r="IX18" s="66">
        <f t="shared" si="80"/>
        <v>0</v>
      </c>
      <c r="IY18" s="66">
        <f t="shared" si="81"/>
        <v>0</v>
      </c>
      <c r="IZ18" s="83"/>
      <c r="JA18" s="102"/>
      <c r="JB18" s="66">
        <f t="shared" si="82"/>
        <v>0</v>
      </c>
      <c r="JC18" s="66">
        <f t="shared" si="83"/>
        <v>0</v>
      </c>
      <c r="JD18" s="83"/>
      <c r="JE18" s="102"/>
      <c r="JF18" s="66">
        <f t="shared" si="162"/>
        <v>1</v>
      </c>
      <c r="JG18" s="66">
        <f t="shared" si="84"/>
        <v>189</v>
      </c>
      <c r="JH18" s="83"/>
      <c r="JI18" s="102"/>
      <c r="JJ18" s="66">
        <f t="shared" si="85"/>
        <v>0</v>
      </c>
      <c r="JK18" s="66">
        <f t="shared" si="86"/>
        <v>0</v>
      </c>
      <c r="JM18" s="102">
        <f t="shared" si="163"/>
        <v>0</v>
      </c>
      <c r="JO18" s="29">
        <f t="shared" si="87"/>
        <v>1</v>
      </c>
      <c r="JP18" s="122">
        <f t="shared" si="88"/>
        <v>124</v>
      </c>
      <c r="JQ18" s="122">
        <f t="shared" si="89"/>
        <v>0</v>
      </c>
      <c r="JR18" s="122">
        <f t="shared" si="90"/>
        <v>1</v>
      </c>
      <c r="JS18" s="122">
        <f t="shared" si="91"/>
        <v>0</v>
      </c>
      <c r="JT18" s="122">
        <f t="shared" si="92"/>
        <v>0</v>
      </c>
      <c r="JU18" s="122">
        <f t="shared" si="93"/>
        <v>0</v>
      </c>
      <c r="JV18" s="122">
        <f t="shared" si="94"/>
        <v>0</v>
      </c>
      <c r="JW18" s="122">
        <f t="shared" si="95"/>
        <v>0</v>
      </c>
      <c r="JX18" s="122">
        <f t="shared" si="96"/>
        <v>0</v>
      </c>
      <c r="JY18" s="122">
        <f t="shared" si="97"/>
        <v>0</v>
      </c>
      <c r="JZ18" s="122">
        <f t="shared" si="98"/>
        <v>0</v>
      </c>
      <c r="KA18" s="122">
        <f t="shared" si="99"/>
        <v>0</v>
      </c>
      <c r="KB18" s="122">
        <f t="shared" si="100"/>
        <v>0</v>
      </c>
      <c r="KD18" s="122">
        <f t="shared" si="164"/>
        <v>1</v>
      </c>
      <c r="KE18" s="122">
        <f t="shared" si="102"/>
        <v>124</v>
      </c>
      <c r="KF18" s="122">
        <f t="shared" si="103"/>
        <v>124</v>
      </c>
      <c r="KG18" s="122">
        <f t="shared" si="104"/>
        <v>0</v>
      </c>
      <c r="KH18" s="122">
        <f t="shared" si="105"/>
        <v>124</v>
      </c>
      <c r="KI18" s="122">
        <f t="shared" si="106"/>
        <v>0</v>
      </c>
      <c r="KJ18" s="122">
        <f t="shared" si="107"/>
        <v>0</v>
      </c>
      <c r="KK18" s="122">
        <f t="shared" si="108"/>
        <v>0</v>
      </c>
      <c r="KL18" s="122">
        <f t="shared" si="109"/>
        <v>0</v>
      </c>
      <c r="KM18" s="122">
        <f t="shared" si="110"/>
        <v>0</v>
      </c>
      <c r="KN18" s="123">
        <f t="shared" si="111"/>
        <v>0</v>
      </c>
      <c r="KO18" s="123">
        <f t="shared" si="112"/>
        <v>0</v>
      </c>
      <c r="KP18" s="123">
        <f t="shared" si="113"/>
        <v>0</v>
      </c>
      <c r="KQ18" s="123">
        <f t="shared" si="114"/>
        <v>0</v>
      </c>
      <c r="KR18" s="123">
        <f t="shared" si="115"/>
        <v>0</v>
      </c>
      <c r="KT18">
        <f t="shared" si="116"/>
        <v>0</v>
      </c>
      <c r="KU18" s="123"/>
      <c r="KV18" s="123"/>
      <c r="KW18" s="123"/>
      <c r="KX18" s="123"/>
      <c r="KY18" s="123"/>
      <c r="KZ18" s="123"/>
      <c r="LA18" s="123"/>
      <c r="LB18" s="123"/>
      <c r="LC18" s="123"/>
      <c r="LD18" s="123"/>
      <c r="LE18" s="123"/>
      <c r="LF18" s="123"/>
      <c r="LG18" s="123"/>
      <c r="LH18" s="123"/>
      <c r="LI18" s="123"/>
      <c r="LJ18" s="123"/>
      <c r="LK18" s="123"/>
      <c r="LL18" s="123"/>
      <c r="LM18" s="123"/>
      <c r="LN18" s="123"/>
      <c r="LO18" s="123"/>
      <c r="LP18" s="123"/>
      <c r="LQ18" s="123"/>
      <c r="LR18" s="123"/>
      <c r="LS18" s="123"/>
      <c r="LT18" s="123"/>
      <c r="LU18" s="123"/>
      <c r="LV18" s="123"/>
      <c r="LW18" s="123"/>
      <c r="LX18" s="123"/>
      <c r="LY18" s="123"/>
      <c r="LZ18" s="123"/>
      <c r="MA18" s="123"/>
      <c r="MB18" s="123"/>
      <c r="MC18" s="123"/>
      <c r="MD18" s="123"/>
      <c r="ME18" s="123"/>
      <c r="MF18" s="123"/>
      <c r="MG18" s="123"/>
      <c r="MH18" s="123"/>
      <c r="MI18" s="123"/>
      <c r="MJ18" s="123"/>
      <c r="MK18" s="123"/>
      <c r="ML18" s="123"/>
      <c r="MM18" s="123"/>
      <c r="MN18" s="123"/>
      <c r="MO18" s="123"/>
      <c r="MP18" s="123"/>
      <c r="MQ18" s="123"/>
      <c r="MR18" s="123"/>
      <c r="MS18" s="123"/>
      <c r="MT18" s="123"/>
      <c r="MU18" s="123"/>
      <c r="MV18" s="123"/>
      <c r="MW18" s="123"/>
      <c r="MX18" s="123"/>
      <c r="MY18" s="123"/>
      <c r="MZ18" s="123"/>
      <c r="NA18" s="123"/>
      <c r="NB18" s="123"/>
      <c r="NC18" s="123"/>
      <c r="ND18" s="123"/>
      <c r="NE18" s="123"/>
      <c r="NF18" s="123"/>
      <c r="NG18" s="123"/>
      <c r="NH18" s="123"/>
      <c r="NI18" s="123"/>
      <c r="NJ18" s="123"/>
      <c r="NK18" s="123"/>
      <c r="NM18">
        <f t="shared" si="165"/>
        <v>0</v>
      </c>
      <c r="NN18">
        <f t="shared" si="166"/>
        <v>0</v>
      </c>
      <c r="NO18">
        <f t="shared" si="167"/>
        <v>0</v>
      </c>
      <c r="NP18">
        <f t="shared" si="168"/>
        <v>0</v>
      </c>
      <c r="NQ18">
        <f t="shared" si="169"/>
        <v>0</v>
      </c>
      <c r="NR18">
        <f t="shared" si="170"/>
        <v>0</v>
      </c>
      <c r="NS18">
        <f t="shared" si="171"/>
        <v>0</v>
      </c>
      <c r="NT18">
        <f t="shared" si="172"/>
        <v>0</v>
      </c>
      <c r="NU18" s="29">
        <f t="shared" si="173"/>
        <v>0</v>
      </c>
      <c r="NY18" s="17">
        <f t="shared" si="118"/>
        <v>1</v>
      </c>
      <c r="NZ18" s="152">
        <v>11000000</v>
      </c>
      <c r="OE18" s="155">
        <f t="shared" si="119"/>
        <v>0</v>
      </c>
      <c r="OF18" s="155">
        <f t="shared" si="120"/>
        <v>0</v>
      </c>
      <c r="OG18" s="155">
        <f t="shared" si="121"/>
        <v>0</v>
      </c>
      <c r="OH18" s="155">
        <f t="shared" si="174"/>
        <v>0</v>
      </c>
      <c r="OI18" s="155">
        <f t="shared" si="122"/>
        <v>0</v>
      </c>
      <c r="OJ18" s="67">
        <f t="shared" si="175"/>
        <v>0</v>
      </c>
      <c r="OK18" s="67">
        <f t="shared" si="176"/>
        <v>0</v>
      </c>
      <c r="OL18" s="67">
        <f t="shared" si="177"/>
        <v>0</v>
      </c>
      <c r="OM18" s="67">
        <f t="shared" si="178"/>
        <v>0</v>
      </c>
      <c r="OO18" s="155">
        <f t="shared" si="123"/>
        <v>0</v>
      </c>
      <c r="OP18" s="155">
        <f t="shared" si="124"/>
        <v>0</v>
      </c>
      <c r="OQ18" s="155">
        <f t="shared" si="179"/>
        <v>0</v>
      </c>
      <c r="OR18" s="155">
        <f t="shared" si="180"/>
        <v>0</v>
      </c>
      <c r="OS18" s="155">
        <f t="shared" si="181"/>
        <v>0</v>
      </c>
      <c r="OT18" s="67">
        <f t="shared" si="182"/>
        <v>0</v>
      </c>
      <c r="OU18" s="67">
        <f t="shared" si="183"/>
        <v>0</v>
      </c>
      <c r="OV18" s="67">
        <f t="shared" si="184"/>
        <v>0</v>
      </c>
      <c r="OW18" s="67">
        <f t="shared" si="185"/>
        <v>0</v>
      </c>
      <c r="OZ18" s="163"/>
      <c r="PA18" s="166"/>
      <c r="PB18" s="166"/>
      <c r="PC18" s="166"/>
      <c r="PD18" s="210">
        <f t="shared" si="125"/>
        <v>0</v>
      </c>
      <c r="PE18" s="210"/>
      <c r="PF18" s="210">
        <f t="shared" si="126"/>
        <v>0</v>
      </c>
      <c r="PG18" s="210">
        <f t="shared" si="127"/>
        <v>0</v>
      </c>
      <c r="PH18" s="210">
        <f t="shared" si="127"/>
        <v>0</v>
      </c>
      <c r="PI18" s="210">
        <f t="shared" si="127"/>
        <v>0</v>
      </c>
      <c r="PJ18" s="210">
        <f t="shared" si="127"/>
        <v>0</v>
      </c>
      <c r="PK18" s="210">
        <f t="shared" si="127"/>
        <v>0</v>
      </c>
      <c r="PL18" s="210">
        <f t="shared" si="127"/>
        <v>0</v>
      </c>
      <c r="PM18" s="164"/>
      <c r="PN18" s="164"/>
      <c r="PO18" s="172">
        <f t="shared" si="186"/>
        <v>0</v>
      </c>
      <c r="PP18" s="172">
        <f t="shared" si="187"/>
        <v>0</v>
      </c>
      <c r="PQ18" s="172">
        <f t="shared" si="188"/>
        <v>0</v>
      </c>
      <c r="PR18" s="164"/>
      <c r="PS18" s="164"/>
      <c r="PT18" s="164"/>
      <c r="PU18" s="164"/>
    </row>
    <row r="19" spans="1:437 16383:16383" ht="16" x14ac:dyDescent="0.2">
      <c r="A19" s="19">
        <f t="shared" si="189"/>
        <v>11</v>
      </c>
      <c r="B19" s="138" t="s">
        <v>213</v>
      </c>
      <c r="C19" s="138">
        <v>37</v>
      </c>
      <c r="D19" s="20">
        <v>1</v>
      </c>
      <c r="E19" s="188">
        <v>298</v>
      </c>
      <c r="F19" s="20">
        <v>1</v>
      </c>
      <c r="G19" s="20">
        <f t="shared" si="128"/>
        <v>298</v>
      </c>
      <c r="H19" s="137">
        <f t="shared" si="2"/>
        <v>1</v>
      </c>
      <c r="I19" s="137">
        <f t="shared" si="3"/>
        <v>1</v>
      </c>
      <c r="J19" s="20">
        <v>1</v>
      </c>
      <c r="K19" s="20">
        <f t="shared" si="4"/>
        <v>298</v>
      </c>
      <c r="L19" s="137">
        <f t="shared" si="5"/>
        <v>1</v>
      </c>
      <c r="M19" s="137">
        <f t="shared" si="6"/>
        <v>1</v>
      </c>
      <c r="N19" s="20">
        <v>1</v>
      </c>
      <c r="O19" s="20">
        <f t="shared" si="7"/>
        <v>298</v>
      </c>
      <c r="P19" s="137">
        <f t="shared" si="8"/>
        <v>1</v>
      </c>
      <c r="Q19" s="137">
        <f t="shared" si="9"/>
        <v>1</v>
      </c>
      <c r="R19" s="20">
        <v>1</v>
      </c>
      <c r="S19" s="20">
        <f t="shared" si="10"/>
        <v>298</v>
      </c>
      <c r="T19" s="137">
        <f t="shared" si="11"/>
        <v>1</v>
      </c>
      <c r="U19" s="137">
        <f t="shared" si="12"/>
        <v>1</v>
      </c>
      <c r="V19" s="20">
        <v>1</v>
      </c>
      <c r="W19" s="20">
        <f t="shared" si="13"/>
        <v>298</v>
      </c>
      <c r="X19" s="137">
        <f t="shared" si="14"/>
        <v>1</v>
      </c>
      <c r="Y19" s="214">
        <f t="shared" si="15"/>
        <v>1</v>
      </c>
      <c r="Z19" s="271">
        <f>4976626000/1000000000</f>
        <v>4.9766260000000004</v>
      </c>
      <c r="AA19" s="188"/>
      <c r="AB19" s="17">
        <f t="shared" si="129"/>
        <v>0</v>
      </c>
      <c r="AC19" s="18">
        <f t="shared" si="130"/>
        <v>0</v>
      </c>
      <c r="AD19" s="18">
        <f t="shared" si="131"/>
        <v>0</v>
      </c>
      <c r="AE19" s="20"/>
      <c r="AF19" s="20">
        <f t="shared" si="132"/>
        <v>0</v>
      </c>
      <c r="AG19" s="20"/>
      <c r="AH19" s="31"/>
      <c r="AI19" s="20">
        <v>0</v>
      </c>
      <c r="AJ19" s="20">
        <f t="shared" si="18"/>
        <v>0</v>
      </c>
      <c r="AK19" s="20"/>
      <c r="AL19" s="20">
        <v>0</v>
      </c>
      <c r="AM19" s="20">
        <v>0</v>
      </c>
      <c r="AN19" s="139"/>
      <c r="BB19" s="20">
        <f t="shared" si="133"/>
        <v>0</v>
      </c>
      <c r="BE19" s="20">
        <f t="shared" si="19"/>
        <v>0</v>
      </c>
      <c r="BF19" s="20">
        <f t="shared" si="20"/>
        <v>0</v>
      </c>
      <c r="BG19" s="20">
        <f t="shared" si="21"/>
        <v>0</v>
      </c>
      <c r="BH19" s="20">
        <f t="shared" si="22"/>
        <v>0</v>
      </c>
      <c r="BI19" s="20">
        <f t="shared" si="23"/>
        <v>0</v>
      </c>
      <c r="BJ19" s="20">
        <f t="shared" si="24"/>
        <v>0</v>
      </c>
      <c r="BK19" s="20">
        <f t="shared" si="134"/>
        <v>0</v>
      </c>
      <c r="BN19" s="296">
        <v>20</v>
      </c>
      <c r="BO19">
        <v>1</v>
      </c>
      <c r="BP19" s="17"/>
      <c r="BQ19" s="17"/>
      <c r="BR19" s="17"/>
      <c r="BS19" s="17"/>
      <c r="BT19" s="17"/>
      <c r="BU19" s="17"/>
      <c r="BV19" s="20"/>
      <c r="BW19" s="20"/>
      <c r="BX19" s="20"/>
      <c r="BY19" s="20"/>
      <c r="BZ19" s="20"/>
      <c r="CB19" s="139"/>
      <c r="CD19" s="17">
        <f t="shared" si="26"/>
        <v>20</v>
      </c>
      <c r="CE19" s="17">
        <f t="shared" si="135"/>
        <v>20</v>
      </c>
      <c r="CF19" s="17">
        <f t="shared" si="27"/>
        <v>0</v>
      </c>
      <c r="CG19" s="17">
        <f t="shared" si="28"/>
        <v>0</v>
      </c>
      <c r="CH19" s="17">
        <f t="shared" si="29"/>
        <v>0</v>
      </c>
      <c r="CI19" s="17">
        <f t="shared" si="30"/>
        <v>0</v>
      </c>
      <c r="CJ19" s="17">
        <f t="shared" si="31"/>
        <v>0</v>
      </c>
      <c r="CK19" s="17">
        <f t="shared" si="32"/>
        <v>0</v>
      </c>
      <c r="CL19" s="20">
        <f t="shared" si="33"/>
        <v>0</v>
      </c>
      <c r="CM19" s="20">
        <f t="shared" si="34"/>
        <v>0</v>
      </c>
      <c r="CN19" s="20">
        <f t="shared" si="35"/>
        <v>0</v>
      </c>
      <c r="CO19" s="20">
        <f t="shared" si="36"/>
        <v>0</v>
      </c>
      <c r="CP19" s="20">
        <f t="shared" si="37"/>
        <v>0</v>
      </c>
      <c r="DV19" s="20">
        <f t="shared" si="38"/>
        <v>0</v>
      </c>
      <c r="DW19" s="20">
        <f t="shared" si="39"/>
        <v>0</v>
      </c>
      <c r="DX19" s="20">
        <f t="shared" si="40"/>
        <v>0</v>
      </c>
      <c r="DY19" s="20">
        <f t="shared" si="41"/>
        <v>0</v>
      </c>
      <c r="DZ19" s="20">
        <f t="shared" si="42"/>
        <v>0</v>
      </c>
      <c r="EA19" s="20">
        <f t="shared" si="43"/>
        <v>0</v>
      </c>
      <c r="EB19" s="20">
        <f t="shared" si="136"/>
        <v>0</v>
      </c>
      <c r="EG19" s="57">
        <f t="shared" si="137"/>
        <v>0</v>
      </c>
      <c r="EH19" s="57">
        <f t="shared" si="138"/>
        <v>0</v>
      </c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X19" s="80">
        <v>1</v>
      </c>
      <c r="FY19" s="17">
        <f t="shared" si="139"/>
        <v>20</v>
      </c>
      <c r="FZ19" s="17">
        <f t="shared" si="45"/>
        <v>20</v>
      </c>
      <c r="GA19" s="17">
        <f t="shared" si="46"/>
        <v>0</v>
      </c>
      <c r="GB19" s="17">
        <f t="shared" si="47"/>
        <v>0</v>
      </c>
      <c r="GC19" s="17">
        <f t="shared" si="48"/>
        <v>0</v>
      </c>
      <c r="GD19" s="17">
        <f t="shared" si="49"/>
        <v>0</v>
      </c>
      <c r="GE19" s="17">
        <f t="shared" si="50"/>
        <v>0</v>
      </c>
      <c r="GF19" s="67"/>
      <c r="GG19" s="17">
        <v>0</v>
      </c>
      <c r="GH19" s="17">
        <v>0</v>
      </c>
      <c r="GI19" s="67"/>
      <c r="GJ19" s="62">
        <f t="shared" si="140"/>
        <v>0</v>
      </c>
      <c r="GK19" s="62">
        <f t="shared" si="141"/>
        <v>0</v>
      </c>
      <c r="GO19" s="17">
        <f t="shared" si="51"/>
        <v>0</v>
      </c>
      <c r="GP19" s="17">
        <f t="shared" si="52"/>
        <v>0</v>
      </c>
      <c r="GQ19" s="17">
        <f t="shared" si="53"/>
        <v>0</v>
      </c>
      <c r="GR19" s="17">
        <f t="shared" si="54"/>
        <v>0</v>
      </c>
      <c r="GS19" s="17">
        <f t="shared" si="55"/>
        <v>0</v>
      </c>
      <c r="GT19" s="17">
        <f t="shared" si="142"/>
        <v>1</v>
      </c>
      <c r="GU19" s="101">
        <f t="shared" si="143"/>
        <v>43243</v>
      </c>
      <c r="GV19" s="17" t="str">
        <f t="shared" si="144"/>
        <v>SELESAI</v>
      </c>
      <c r="GW19" s="17">
        <f t="shared" si="145"/>
        <v>0</v>
      </c>
      <c r="GX19" s="66" t="str">
        <f t="shared" si="146"/>
        <v>SELESAI</v>
      </c>
      <c r="GY19" s="66">
        <f t="shared" si="147"/>
        <v>0</v>
      </c>
      <c r="GZ19" s="102" t="str">
        <f t="shared" si="148"/>
        <v>SELESAI</v>
      </c>
      <c r="HA19" s="83"/>
      <c r="HB19" s="83"/>
      <c r="HC19" s="17">
        <f t="shared" si="56"/>
        <v>0</v>
      </c>
      <c r="HD19" s="17">
        <f t="shared" si="57"/>
        <v>0</v>
      </c>
      <c r="HE19" s="17">
        <f t="shared" si="149"/>
        <v>0</v>
      </c>
      <c r="HF19" s="17">
        <f t="shared" si="150"/>
        <v>0</v>
      </c>
      <c r="HG19" s="17">
        <f t="shared" si="151"/>
        <v>0</v>
      </c>
      <c r="HH19" s="101" t="str">
        <f t="shared" si="58"/>
        <v>TIDAK KONSINYASI</v>
      </c>
      <c r="HI19" s="101" t="str">
        <f t="shared" si="152"/>
        <v>SELESAI</v>
      </c>
      <c r="HJ19" s="27"/>
      <c r="HK19" s="101">
        <f t="shared" si="59"/>
        <v>0</v>
      </c>
      <c r="HL19" s="83"/>
      <c r="HM19" s="83"/>
      <c r="HN19" s="83"/>
      <c r="HO19" s="83"/>
      <c r="HP19" s="102">
        <f t="shared" si="153"/>
        <v>0</v>
      </c>
      <c r="HQ19" s="66">
        <f t="shared" si="154"/>
        <v>0</v>
      </c>
      <c r="HR19" s="66">
        <f t="shared" si="60"/>
        <v>0</v>
      </c>
      <c r="HS19" s="102">
        <f t="shared" si="155"/>
        <v>0</v>
      </c>
      <c r="HT19" s="66">
        <f t="shared" si="156"/>
        <v>0</v>
      </c>
      <c r="HU19" s="66">
        <f t="shared" si="61"/>
        <v>0</v>
      </c>
      <c r="HV19" s="102">
        <f t="shared" si="157"/>
        <v>0</v>
      </c>
      <c r="HW19" s="66">
        <f t="shared" si="62"/>
        <v>0</v>
      </c>
      <c r="HX19" s="66">
        <f t="shared" si="63"/>
        <v>0</v>
      </c>
      <c r="HY19" s="102">
        <f t="shared" si="64"/>
        <v>0</v>
      </c>
      <c r="HZ19" s="66">
        <f t="shared" si="158"/>
        <v>0</v>
      </c>
      <c r="IA19" s="66">
        <f t="shared" si="65"/>
        <v>0</v>
      </c>
      <c r="IB19" s="102">
        <f t="shared" si="159"/>
        <v>0</v>
      </c>
      <c r="IC19" s="66">
        <f t="shared" si="66"/>
        <v>0</v>
      </c>
      <c r="ID19" s="66">
        <f t="shared" si="67"/>
        <v>0</v>
      </c>
      <c r="IE19" s="102">
        <f t="shared" si="68"/>
        <v>0</v>
      </c>
      <c r="IF19" s="66">
        <f t="shared" si="69"/>
        <v>0</v>
      </c>
      <c r="IG19" s="66">
        <f t="shared" si="70"/>
        <v>0</v>
      </c>
      <c r="IH19" s="102">
        <f t="shared" si="160"/>
        <v>0</v>
      </c>
      <c r="II19" s="66">
        <f t="shared" si="161"/>
        <v>0</v>
      </c>
      <c r="IJ19" s="66">
        <f t="shared" si="71"/>
        <v>0</v>
      </c>
      <c r="IK19" s="102">
        <f t="shared" si="72"/>
        <v>0</v>
      </c>
      <c r="IL19" s="66">
        <f t="shared" si="73"/>
        <v>0</v>
      </c>
      <c r="IM19" s="66">
        <f t="shared" si="74"/>
        <v>0</v>
      </c>
      <c r="IN19" s="83"/>
      <c r="IO19" s="102">
        <f t="shared" si="75"/>
        <v>0</v>
      </c>
      <c r="IP19" s="66">
        <f t="shared" si="76"/>
        <v>0</v>
      </c>
      <c r="IQ19" s="66">
        <f t="shared" si="77"/>
        <v>0</v>
      </c>
      <c r="IR19" s="83"/>
      <c r="IS19" s="102"/>
      <c r="IT19" s="66">
        <f t="shared" si="78"/>
        <v>1</v>
      </c>
      <c r="IU19" s="66">
        <f t="shared" si="79"/>
        <v>298</v>
      </c>
      <c r="IV19" s="83"/>
      <c r="IW19" s="102"/>
      <c r="IX19" s="66">
        <f t="shared" si="80"/>
        <v>0</v>
      </c>
      <c r="IY19" s="66">
        <f t="shared" si="81"/>
        <v>0</v>
      </c>
      <c r="IZ19" s="83"/>
      <c r="JA19" s="102"/>
      <c r="JB19" s="66">
        <f t="shared" si="82"/>
        <v>0</v>
      </c>
      <c r="JC19" s="66">
        <f t="shared" si="83"/>
        <v>0</v>
      </c>
      <c r="JD19" s="83"/>
      <c r="JE19" s="102"/>
      <c r="JF19" s="66">
        <f t="shared" si="162"/>
        <v>1</v>
      </c>
      <c r="JG19" s="66">
        <f t="shared" si="84"/>
        <v>298</v>
      </c>
      <c r="JH19" s="83"/>
      <c r="JI19" s="102"/>
      <c r="JJ19" s="66">
        <f t="shared" si="85"/>
        <v>0</v>
      </c>
      <c r="JK19" s="66">
        <f t="shared" si="86"/>
        <v>0</v>
      </c>
      <c r="JM19" s="102">
        <f t="shared" si="163"/>
        <v>0</v>
      </c>
      <c r="JO19" s="29">
        <f t="shared" si="87"/>
        <v>1</v>
      </c>
      <c r="JP19" s="122">
        <f t="shared" si="88"/>
        <v>20</v>
      </c>
      <c r="JQ19" s="122">
        <f t="shared" si="89"/>
        <v>1</v>
      </c>
      <c r="JR19" s="122">
        <f t="shared" si="90"/>
        <v>0</v>
      </c>
      <c r="JS19" s="122">
        <f t="shared" si="91"/>
        <v>0</v>
      </c>
      <c r="JT19" s="122">
        <f t="shared" si="92"/>
        <v>0</v>
      </c>
      <c r="JU19" s="122">
        <f t="shared" si="93"/>
        <v>0</v>
      </c>
      <c r="JV19" s="122">
        <f t="shared" si="94"/>
        <v>0</v>
      </c>
      <c r="JW19" s="122">
        <f t="shared" si="95"/>
        <v>0</v>
      </c>
      <c r="JX19" s="122">
        <f t="shared" si="96"/>
        <v>0</v>
      </c>
      <c r="JY19" s="122">
        <f t="shared" si="97"/>
        <v>0</v>
      </c>
      <c r="JZ19" s="122">
        <f t="shared" si="98"/>
        <v>0</v>
      </c>
      <c r="KA19" s="122">
        <f t="shared" si="99"/>
        <v>0</v>
      </c>
      <c r="KB19" s="122">
        <f t="shared" si="100"/>
        <v>0</v>
      </c>
      <c r="KD19" s="122">
        <f t="shared" si="164"/>
        <v>0</v>
      </c>
      <c r="KE19" s="122">
        <f t="shared" si="102"/>
        <v>0</v>
      </c>
      <c r="KF19" s="122">
        <f t="shared" si="103"/>
        <v>20</v>
      </c>
      <c r="KG19" s="122">
        <f t="shared" si="104"/>
        <v>20</v>
      </c>
      <c r="KH19" s="122">
        <f t="shared" si="105"/>
        <v>0</v>
      </c>
      <c r="KI19" s="122">
        <f t="shared" si="106"/>
        <v>0</v>
      </c>
      <c r="KJ19" s="122">
        <f t="shared" si="107"/>
        <v>0</v>
      </c>
      <c r="KK19" s="122">
        <f t="shared" si="108"/>
        <v>0</v>
      </c>
      <c r="KL19" s="122">
        <f t="shared" si="109"/>
        <v>0</v>
      </c>
      <c r="KM19" s="122">
        <f t="shared" si="110"/>
        <v>0</v>
      </c>
      <c r="KN19" s="123">
        <f t="shared" si="111"/>
        <v>0</v>
      </c>
      <c r="KO19" s="123">
        <f t="shared" si="112"/>
        <v>0</v>
      </c>
      <c r="KP19" s="123">
        <f t="shared" si="113"/>
        <v>0</v>
      </c>
      <c r="KQ19" s="123">
        <f t="shared" si="114"/>
        <v>0</v>
      </c>
      <c r="KR19" s="123">
        <f t="shared" si="115"/>
        <v>0</v>
      </c>
      <c r="KT19">
        <f t="shared" si="116"/>
        <v>0</v>
      </c>
      <c r="KU19" s="123"/>
      <c r="KV19" s="123"/>
      <c r="KW19" s="123"/>
      <c r="KX19" s="123"/>
      <c r="KY19" s="123"/>
      <c r="KZ19" s="123"/>
      <c r="LA19" s="123"/>
      <c r="LB19" s="123"/>
      <c r="LC19" s="123"/>
      <c r="LD19" s="123"/>
      <c r="LE19" s="123"/>
      <c r="LF19" s="123"/>
      <c r="LG19" s="123"/>
      <c r="LH19" s="123"/>
      <c r="LI19" s="123"/>
      <c r="LJ19" s="123"/>
      <c r="LK19" s="123"/>
      <c r="LL19" s="123"/>
      <c r="LM19" s="123"/>
      <c r="LN19" s="123"/>
      <c r="LO19" s="123"/>
      <c r="LP19" s="123"/>
      <c r="LQ19" s="123"/>
      <c r="LR19" s="123"/>
      <c r="LS19" s="123"/>
      <c r="LT19" s="123"/>
      <c r="LU19" s="123"/>
      <c r="LV19" s="123"/>
      <c r="LW19" s="123"/>
      <c r="LX19" s="123"/>
      <c r="LY19" s="123"/>
      <c r="LZ19" s="123"/>
      <c r="MA19" s="123"/>
      <c r="MB19" s="123"/>
      <c r="MC19" s="123"/>
      <c r="MD19" s="123"/>
      <c r="ME19" s="123"/>
      <c r="MF19" s="123"/>
      <c r="MG19" s="123"/>
      <c r="MH19" s="123"/>
      <c r="MI19" s="123"/>
      <c r="MJ19" s="123"/>
      <c r="MK19" s="123"/>
      <c r="ML19" s="123"/>
      <c r="MM19" s="123"/>
      <c r="MN19" s="123"/>
      <c r="MO19" s="123"/>
      <c r="MP19" s="123"/>
      <c r="MQ19" s="123"/>
      <c r="MR19" s="123"/>
      <c r="MS19" s="123"/>
      <c r="MT19" s="123"/>
      <c r="MU19" s="123"/>
      <c r="MV19" s="123"/>
      <c r="MW19" s="123"/>
      <c r="MX19" s="123"/>
      <c r="MY19" s="123"/>
      <c r="MZ19" s="123"/>
      <c r="NA19" s="123"/>
      <c r="NB19" s="123"/>
      <c r="NC19" s="123"/>
      <c r="ND19" s="123"/>
      <c r="NE19" s="123"/>
      <c r="NF19" s="123"/>
      <c r="NG19" s="123"/>
      <c r="NH19" s="123"/>
      <c r="NI19" s="123"/>
      <c r="NJ19" s="123"/>
      <c r="NK19" s="123"/>
      <c r="NM19">
        <f t="shared" si="165"/>
        <v>0</v>
      </c>
      <c r="NN19">
        <f t="shared" si="166"/>
        <v>0</v>
      </c>
      <c r="NO19">
        <f t="shared" si="167"/>
        <v>0</v>
      </c>
      <c r="NP19">
        <f t="shared" si="168"/>
        <v>0</v>
      </c>
      <c r="NQ19">
        <f t="shared" si="169"/>
        <v>0</v>
      </c>
      <c r="NR19">
        <f t="shared" si="170"/>
        <v>0</v>
      </c>
      <c r="NS19">
        <f t="shared" si="171"/>
        <v>0</v>
      </c>
      <c r="NT19">
        <f t="shared" si="172"/>
        <v>0</v>
      </c>
      <c r="NU19" s="29">
        <f t="shared" si="173"/>
        <v>0</v>
      </c>
      <c r="NY19" s="17">
        <f t="shared" si="118"/>
        <v>1</v>
      </c>
      <c r="NZ19" s="152">
        <v>11000000</v>
      </c>
      <c r="OE19" s="155">
        <f t="shared" si="119"/>
        <v>0</v>
      </c>
      <c r="OF19" s="155">
        <f t="shared" si="120"/>
        <v>0</v>
      </c>
      <c r="OG19" s="155">
        <f t="shared" si="121"/>
        <v>0</v>
      </c>
      <c r="OH19" s="155">
        <f t="shared" si="174"/>
        <v>0</v>
      </c>
      <c r="OI19" s="155">
        <f t="shared" si="122"/>
        <v>0</v>
      </c>
      <c r="OJ19" s="67">
        <f t="shared" si="175"/>
        <v>0</v>
      </c>
      <c r="OK19" s="67">
        <f t="shared" si="176"/>
        <v>0</v>
      </c>
      <c r="OL19" s="67">
        <f t="shared" si="177"/>
        <v>0</v>
      </c>
      <c r="OM19" s="67">
        <f t="shared" si="178"/>
        <v>0</v>
      </c>
      <c r="OO19" s="155">
        <f t="shared" si="123"/>
        <v>0</v>
      </c>
      <c r="OP19" s="155">
        <f t="shared" si="124"/>
        <v>0</v>
      </c>
      <c r="OQ19" s="155">
        <f t="shared" si="179"/>
        <v>0</v>
      </c>
      <c r="OR19" s="155">
        <f t="shared" si="180"/>
        <v>0</v>
      </c>
      <c r="OS19" s="155">
        <f t="shared" si="181"/>
        <v>0</v>
      </c>
      <c r="OT19" s="67">
        <f t="shared" si="182"/>
        <v>0</v>
      </c>
      <c r="OU19" s="67">
        <f t="shared" si="183"/>
        <v>0</v>
      </c>
      <c r="OV19" s="67">
        <f t="shared" si="184"/>
        <v>0</v>
      </c>
      <c r="OW19" s="67">
        <f t="shared" si="185"/>
        <v>0</v>
      </c>
      <c r="OZ19" s="163"/>
      <c r="PA19" s="166"/>
      <c r="PB19" s="166"/>
      <c r="PC19" s="166"/>
      <c r="PD19" s="210">
        <f t="shared" si="125"/>
        <v>0</v>
      </c>
      <c r="PE19" s="210"/>
      <c r="PF19" s="210">
        <f t="shared" si="126"/>
        <v>0</v>
      </c>
      <c r="PG19" s="210">
        <f t="shared" si="127"/>
        <v>0</v>
      </c>
      <c r="PH19" s="210">
        <f t="shared" si="127"/>
        <v>0</v>
      </c>
      <c r="PI19" s="210">
        <f t="shared" si="127"/>
        <v>0</v>
      </c>
      <c r="PJ19" s="210">
        <f t="shared" si="127"/>
        <v>0</v>
      </c>
      <c r="PK19" s="210">
        <f t="shared" si="127"/>
        <v>0</v>
      </c>
      <c r="PL19" s="210">
        <f t="shared" si="127"/>
        <v>0</v>
      </c>
      <c r="PM19" s="164"/>
      <c r="PN19" s="164"/>
      <c r="PO19" s="172">
        <f t="shared" si="186"/>
        <v>0</v>
      </c>
      <c r="PP19" s="172">
        <f t="shared" si="187"/>
        <v>0</v>
      </c>
      <c r="PQ19" s="172">
        <f t="shared" si="188"/>
        <v>0</v>
      </c>
      <c r="PR19" s="164"/>
      <c r="PS19" s="164"/>
      <c r="PT19" s="164"/>
      <c r="PU19" s="164"/>
    </row>
    <row r="20" spans="1:437 16383:16383" ht="16" x14ac:dyDescent="0.2">
      <c r="A20" s="19">
        <f t="shared" si="189"/>
        <v>12</v>
      </c>
      <c r="B20" s="138" t="s">
        <v>214</v>
      </c>
      <c r="C20" s="138">
        <v>38</v>
      </c>
      <c r="D20" s="20">
        <v>1</v>
      </c>
      <c r="E20" s="188">
        <v>189</v>
      </c>
      <c r="F20" s="20">
        <v>1</v>
      </c>
      <c r="G20" s="20">
        <f t="shared" si="128"/>
        <v>189</v>
      </c>
      <c r="H20" s="137">
        <f t="shared" si="2"/>
        <v>1</v>
      </c>
      <c r="I20" s="137">
        <f t="shared" si="3"/>
        <v>1</v>
      </c>
      <c r="J20" s="20">
        <v>1</v>
      </c>
      <c r="K20" s="20">
        <f t="shared" si="4"/>
        <v>189</v>
      </c>
      <c r="L20" s="137">
        <f t="shared" si="5"/>
        <v>1</v>
      </c>
      <c r="M20" s="137">
        <f t="shared" si="6"/>
        <v>1</v>
      </c>
      <c r="N20" s="20">
        <v>1</v>
      </c>
      <c r="O20" s="20">
        <f t="shared" si="7"/>
        <v>189</v>
      </c>
      <c r="P20" s="137">
        <f t="shared" si="8"/>
        <v>1</v>
      </c>
      <c r="Q20" s="137">
        <f t="shared" si="9"/>
        <v>1</v>
      </c>
      <c r="R20" s="20">
        <v>1</v>
      </c>
      <c r="S20" s="20">
        <f t="shared" si="10"/>
        <v>189</v>
      </c>
      <c r="T20" s="137">
        <f t="shared" si="11"/>
        <v>1</v>
      </c>
      <c r="U20" s="137">
        <f t="shared" si="12"/>
        <v>1</v>
      </c>
      <c r="V20" s="20">
        <v>1</v>
      </c>
      <c r="W20" s="20">
        <f t="shared" si="13"/>
        <v>189</v>
      </c>
      <c r="X20" s="137">
        <f t="shared" si="14"/>
        <v>1</v>
      </c>
      <c r="Y20" s="214">
        <f t="shared" si="15"/>
        <v>1</v>
      </c>
      <c r="Z20" s="271">
        <f>(988354000+2104600000)/1000000000</f>
        <v>3.0929540000000002</v>
      </c>
      <c r="AA20" s="188"/>
      <c r="AB20" s="17">
        <f t="shared" si="129"/>
        <v>0</v>
      </c>
      <c r="AC20" s="18">
        <f t="shared" si="130"/>
        <v>0</v>
      </c>
      <c r="AD20" s="18">
        <f t="shared" si="131"/>
        <v>0</v>
      </c>
      <c r="AE20" s="20"/>
      <c r="AF20" s="20">
        <f t="shared" si="132"/>
        <v>0</v>
      </c>
      <c r="AG20" s="20"/>
      <c r="AH20" s="31"/>
      <c r="AI20" s="20">
        <v>0</v>
      </c>
      <c r="AJ20" s="20">
        <f t="shared" si="18"/>
        <v>0</v>
      </c>
      <c r="AK20" s="20"/>
      <c r="AL20" s="20">
        <v>0</v>
      </c>
      <c r="AM20" s="20">
        <v>0</v>
      </c>
      <c r="AN20" s="139"/>
      <c r="BB20" s="20">
        <f t="shared" si="133"/>
        <v>0</v>
      </c>
      <c r="BE20" s="20">
        <f t="shared" si="19"/>
        <v>0</v>
      </c>
      <c r="BF20" s="20">
        <f t="shared" si="20"/>
        <v>0</v>
      </c>
      <c r="BG20" s="20">
        <f t="shared" si="21"/>
        <v>0</v>
      </c>
      <c r="BH20" s="20">
        <f t="shared" si="22"/>
        <v>0</v>
      </c>
      <c r="BI20" s="20">
        <f t="shared" si="23"/>
        <v>0</v>
      </c>
      <c r="BJ20" s="20">
        <f t="shared" si="24"/>
        <v>0</v>
      </c>
      <c r="BK20" s="20">
        <f t="shared" si="134"/>
        <v>0</v>
      </c>
      <c r="BN20" s="296">
        <v>186</v>
      </c>
      <c r="BP20" s="20">
        <v>1</v>
      </c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B20" s="139"/>
      <c r="CD20" s="17">
        <f t="shared" si="26"/>
        <v>186</v>
      </c>
      <c r="CE20" s="17">
        <f t="shared" si="135"/>
        <v>0</v>
      </c>
      <c r="CF20" s="20">
        <f t="shared" si="27"/>
        <v>186</v>
      </c>
      <c r="CG20" s="20">
        <f t="shared" si="28"/>
        <v>0</v>
      </c>
      <c r="CH20" s="20">
        <f t="shared" si="29"/>
        <v>0</v>
      </c>
      <c r="CI20" s="20">
        <f t="shared" si="30"/>
        <v>0</v>
      </c>
      <c r="CJ20" s="20">
        <f t="shared" si="31"/>
        <v>0</v>
      </c>
      <c r="CK20" s="20">
        <f t="shared" si="32"/>
        <v>0</v>
      </c>
      <c r="CL20" s="20">
        <f t="shared" si="33"/>
        <v>0</v>
      </c>
      <c r="CM20" s="20">
        <f t="shared" si="34"/>
        <v>0</v>
      </c>
      <c r="CN20" s="20">
        <f t="shared" si="35"/>
        <v>0</v>
      </c>
      <c r="CO20" s="20">
        <f t="shared" si="36"/>
        <v>0</v>
      </c>
      <c r="CP20" s="20">
        <f t="shared" si="37"/>
        <v>0</v>
      </c>
      <c r="DV20" s="20">
        <f t="shared" si="38"/>
        <v>0</v>
      </c>
      <c r="DW20" s="20">
        <f t="shared" si="39"/>
        <v>0</v>
      </c>
      <c r="DX20" s="20">
        <f t="shared" si="40"/>
        <v>0</v>
      </c>
      <c r="DY20" s="20">
        <f t="shared" si="41"/>
        <v>0</v>
      </c>
      <c r="DZ20" s="20">
        <f t="shared" si="42"/>
        <v>0</v>
      </c>
      <c r="EA20" s="20">
        <f t="shared" si="43"/>
        <v>0</v>
      </c>
      <c r="EB20" s="20">
        <f t="shared" si="136"/>
        <v>0</v>
      </c>
      <c r="EG20" s="57">
        <f t="shared" si="137"/>
        <v>0</v>
      </c>
      <c r="EH20" s="57">
        <f t="shared" si="138"/>
        <v>0</v>
      </c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X20" s="177">
        <v>1</v>
      </c>
      <c r="FY20" s="17">
        <f t="shared" si="139"/>
        <v>186</v>
      </c>
      <c r="FZ20" s="17">
        <f t="shared" si="45"/>
        <v>0</v>
      </c>
      <c r="GA20" s="17">
        <f t="shared" si="46"/>
        <v>186</v>
      </c>
      <c r="GB20" s="17">
        <f t="shared" si="47"/>
        <v>0</v>
      </c>
      <c r="GC20" s="17">
        <f t="shared" si="48"/>
        <v>0</v>
      </c>
      <c r="GD20" s="17">
        <f t="shared" si="49"/>
        <v>0</v>
      </c>
      <c r="GE20" s="17">
        <f t="shared" si="50"/>
        <v>0</v>
      </c>
      <c r="GF20" s="67"/>
      <c r="GG20" s="17">
        <v>0</v>
      </c>
      <c r="GH20" s="17">
        <v>0</v>
      </c>
      <c r="GI20" s="67"/>
      <c r="GJ20" s="62">
        <f t="shared" si="140"/>
        <v>0</v>
      </c>
      <c r="GK20" s="62">
        <f t="shared" si="141"/>
        <v>0</v>
      </c>
      <c r="GO20" s="17">
        <f t="shared" si="51"/>
        <v>0</v>
      </c>
      <c r="GP20" s="17">
        <f t="shared" si="52"/>
        <v>0</v>
      </c>
      <c r="GQ20" s="17">
        <f t="shared" si="53"/>
        <v>0</v>
      </c>
      <c r="GR20" s="17">
        <f t="shared" si="54"/>
        <v>0</v>
      </c>
      <c r="GS20" s="17">
        <f t="shared" si="55"/>
        <v>0</v>
      </c>
      <c r="GT20" s="17">
        <f t="shared" si="142"/>
        <v>1</v>
      </c>
      <c r="GU20" s="101">
        <f t="shared" si="143"/>
        <v>43243</v>
      </c>
      <c r="GV20" s="17" t="str">
        <f t="shared" si="144"/>
        <v>SELESAI</v>
      </c>
      <c r="GW20" s="17">
        <f t="shared" si="145"/>
        <v>0</v>
      </c>
      <c r="GX20" s="66" t="str">
        <f t="shared" si="146"/>
        <v>SELESAI</v>
      </c>
      <c r="GY20" s="66">
        <f t="shared" si="147"/>
        <v>0</v>
      </c>
      <c r="GZ20" s="102" t="str">
        <f t="shared" si="148"/>
        <v>SELESAI</v>
      </c>
      <c r="HA20" s="83"/>
      <c r="HB20" s="83"/>
      <c r="HC20" s="17">
        <f t="shared" si="56"/>
        <v>0</v>
      </c>
      <c r="HD20" s="17">
        <f t="shared" si="57"/>
        <v>0</v>
      </c>
      <c r="HE20" s="17">
        <f t="shared" si="149"/>
        <v>0</v>
      </c>
      <c r="HF20" s="17">
        <f t="shared" si="150"/>
        <v>0</v>
      </c>
      <c r="HG20" s="17">
        <f t="shared" si="151"/>
        <v>0</v>
      </c>
      <c r="HH20" s="101" t="str">
        <f t="shared" si="58"/>
        <v>TIDAK KONSINYASI</v>
      </c>
      <c r="HI20" s="101" t="str">
        <f t="shared" si="152"/>
        <v>SELESAI</v>
      </c>
      <c r="HJ20" s="27"/>
      <c r="HK20" s="101">
        <f t="shared" si="59"/>
        <v>0</v>
      </c>
      <c r="HL20" s="83"/>
      <c r="HM20" s="83"/>
      <c r="HN20" s="83"/>
      <c r="HO20" s="83"/>
      <c r="HP20" s="102">
        <f t="shared" si="153"/>
        <v>0</v>
      </c>
      <c r="HQ20" s="66">
        <f t="shared" si="154"/>
        <v>0</v>
      </c>
      <c r="HR20" s="66">
        <f t="shared" si="60"/>
        <v>0</v>
      </c>
      <c r="HS20" s="102">
        <f t="shared" si="155"/>
        <v>0</v>
      </c>
      <c r="HT20" s="66">
        <f t="shared" si="156"/>
        <v>0</v>
      </c>
      <c r="HU20" s="66">
        <f t="shared" si="61"/>
        <v>0</v>
      </c>
      <c r="HV20" s="102">
        <f t="shared" si="157"/>
        <v>0</v>
      </c>
      <c r="HW20" s="66">
        <f t="shared" si="62"/>
        <v>0</v>
      </c>
      <c r="HX20" s="66">
        <f t="shared" si="63"/>
        <v>0</v>
      </c>
      <c r="HY20" s="102">
        <f t="shared" si="64"/>
        <v>0</v>
      </c>
      <c r="HZ20" s="66">
        <f t="shared" si="158"/>
        <v>0</v>
      </c>
      <c r="IA20" s="66">
        <f t="shared" si="65"/>
        <v>0</v>
      </c>
      <c r="IB20" s="102">
        <f t="shared" si="159"/>
        <v>0</v>
      </c>
      <c r="IC20" s="66">
        <f t="shared" si="66"/>
        <v>0</v>
      </c>
      <c r="ID20" s="66">
        <f t="shared" si="67"/>
        <v>0</v>
      </c>
      <c r="IE20" s="102">
        <f t="shared" si="68"/>
        <v>0</v>
      </c>
      <c r="IF20" s="66">
        <f t="shared" si="69"/>
        <v>0</v>
      </c>
      <c r="IG20" s="66">
        <f t="shared" si="70"/>
        <v>0</v>
      </c>
      <c r="IH20" s="102">
        <f t="shared" si="160"/>
        <v>0</v>
      </c>
      <c r="II20" s="66">
        <f t="shared" si="161"/>
        <v>0</v>
      </c>
      <c r="IJ20" s="66">
        <f t="shared" si="71"/>
        <v>0</v>
      </c>
      <c r="IK20" s="102">
        <f t="shared" si="72"/>
        <v>0</v>
      </c>
      <c r="IL20" s="66">
        <f t="shared" si="73"/>
        <v>0</v>
      </c>
      <c r="IM20" s="66">
        <f t="shared" si="74"/>
        <v>0</v>
      </c>
      <c r="IN20" s="83"/>
      <c r="IO20" s="102">
        <f t="shared" si="75"/>
        <v>0</v>
      </c>
      <c r="IP20" s="66">
        <f t="shared" si="76"/>
        <v>0</v>
      </c>
      <c r="IQ20" s="66">
        <f t="shared" si="77"/>
        <v>0</v>
      </c>
      <c r="IR20" s="83"/>
      <c r="IS20" s="102"/>
      <c r="IT20" s="66">
        <f t="shared" si="78"/>
        <v>1</v>
      </c>
      <c r="IU20" s="66">
        <f t="shared" si="79"/>
        <v>189</v>
      </c>
      <c r="IV20" s="83"/>
      <c r="IW20" s="102"/>
      <c r="IX20" s="66">
        <f t="shared" si="80"/>
        <v>0</v>
      </c>
      <c r="IY20" s="66">
        <f t="shared" si="81"/>
        <v>0</v>
      </c>
      <c r="IZ20" s="83"/>
      <c r="JA20" s="102"/>
      <c r="JB20" s="66">
        <f t="shared" si="82"/>
        <v>0</v>
      </c>
      <c r="JC20" s="66">
        <f t="shared" si="83"/>
        <v>0</v>
      </c>
      <c r="JD20" s="83"/>
      <c r="JE20" s="102"/>
      <c r="JF20" s="66">
        <f t="shared" si="162"/>
        <v>1</v>
      </c>
      <c r="JG20" s="66">
        <f t="shared" si="84"/>
        <v>189</v>
      </c>
      <c r="JH20" s="83"/>
      <c r="JI20" s="102"/>
      <c r="JJ20" s="66">
        <f t="shared" si="85"/>
        <v>0</v>
      </c>
      <c r="JK20" s="66">
        <f t="shared" si="86"/>
        <v>0</v>
      </c>
      <c r="JM20" s="102">
        <f t="shared" si="163"/>
        <v>0</v>
      </c>
      <c r="JO20" s="29">
        <f t="shared" si="87"/>
        <v>1</v>
      </c>
      <c r="JP20" s="122">
        <f t="shared" si="88"/>
        <v>186</v>
      </c>
      <c r="JQ20" s="122">
        <f t="shared" si="89"/>
        <v>0</v>
      </c>
      <c r="JR20" s="122">
        <f t="shared" si="90"/>
        <v>1</v>
      </c>
      <c r="JS20" s="122">
        <f t="shared" si="91"/>
        <v>0</v>
      </c>
      <c r="JT20" s="122">
        <f t="shared" si="92"/>
        <v>0</v>
      </c>
      <c r="JU20" s="122">
        <f t="shared" si="93"/>
        <v>0</v>
      </c>
      <c r="JV20" s="122">
        <f t="shared" si="94"/>
        <v>0</v>
      </c>
      <c r="JW20" s="122">
        <f t="shared" si="95"/>
        <v>0</v>
      </c>
      <c r="JX20" s="122">
        <f t="shared" si="96"/>
        <v>0</v>
      </c>
      <c r="JY20" s="122">
        <f t="shared" si="97"/>
        <v>0</v>
      </c>
      <c r="JZ20" s="122">
        <f t="shared" si="98"/>
        <v>0</v>
      </c>
      <c r="KA20" s="122">
        <f t="shared" si="99"/>
        <v>0</v>
      </c>
      <c r="KB20" s="122">
        <f t="shared" si="100"/>
        <v>0</v>
      </c>
      <c r="KD20" s="122">
        <f t="shared" si="164"/>
        <v>1</v>
      </c>
      <c r="KE20" s="122">
        <f t="shared" si="102"/>
        <v>186</v>
      </c>
      <c r="KF20" s="122">
        <f t="shared" si="103"/>
        <v>186</v>
      </c>
      <c r="KG20" s="122">
        <f t="shared" si="104"/>
        <v>0</v>
      </c>
      <c r="KH20" s="122">
        <f t="shared" si="105"/>
        <v>186</v>
      </c>
      <c r="KI20" s="122">
        <f t="shared" si="106"/>
        <v>0</v>
      </c>
      <c r="KJ20" s="122">
        <f t="shared" si="107"/>
        <v>0</v>
      </c>
      <c r="KK20" s="122">
        <f t="shared" si="108"/>
        <v>0</v>
      </c>
      <c r="KL20" s="122">
        <f t="shared" si="109"/>
        <v>0</v>
      </c>
      <c r="KM20" s="122">
        <f t="shared" si="110"/>
        <v>0</v>
      </c>
      <c r="KN20" s="123">
        <f t="shared" si="111"/>
        <v>0</v>
      </c>
      <c r="KO20" s="123">
        <f t="shared" si="112"/>
        <v>0</v>
      </c>
      <c r="KP20" s="123">
        <f t="shared" si="113"/>
        <v>0</v>
      </c>
      <c r="KQ20" s="123">
        <f t="shared" si="114"/>
        <v>0</v>
      </c>
      <c r="KR20" s="123">
        <f t="shared" si="115"/>
        <v>0</v>
      </c>
      <c r="KT20">
        <f t="shared" si="116"/>
        <v>0</v>
      </c>
      <c r="KU20" s="123"/>
      <c r="KV20" s="123"/>
      <c r="KW20" s="123"/>
      <c r="KX20" s="123"/>
      <c r="KY20" s="123"/>
      <c r="KZ20" s="123"/>
      <c r="LA20" s="123"/>
      <c r="LB20" s="123"/>
      <c r="LC20" s="123"/>
      <c r="LD20" s="123"/>
      <c r="LE20" s="123"/>
      <c r="LF20" s="123"/>
      <c r="LG20" s="123"/>
      <c r="LH20" s="123"/>
      <c r="LI20" s="123"/>
      <c r="LJ20" s="123"/>
      <c r="LK20" s="123"/>
      <c r="LL20" s="123"/>
      <c r="LM20" s="123"/>
      <c r="LN20" s="123"/>
      <c r="LO20" s="123"/>
      <c r="LP20" s="123"/>
      <c r="LQ20" s="123"/>
      <c r="LR20" s="123"/>
      <c r="LS20" s="123"/>
      <c r="LT20" s="123"/>
      <c r="LU20" s="123"/>
      <c r="LV20" s="123"/>
      <c r="LW20" s="123"/>
      <c r="LX20" s="123"/>
      <c r="LY20" s="123"/>
      <c r="LZ20" s="123"/>
      <c r="MA20" s="123"/>
      <c r="MB20" s="123"/>
      <c r="MC20" s="123"/>
      <c r="MD20" s="123"/>
      <c r="ME20" s="123"/>
      <c r="MF20" s="123"/>
      <c r="MG20" s="123"/>
      <c r="MH20" s="123"/>
      <c r="MI20" s="123"/>
      <c r="MJ20" s="123"/>
      <c r="MK20" s="123"/>
      <c r="ML20" s="123"/>
      <c r="MM20" s="123"/>
      <c r="MN20" s="123"/>
      <c r="MO20" s="123"/>
      <c r="MP20" s="123"/>
      <c r="MQ20" s="123"/>
      <c r="MR20" s="123"/>
      <c r="MS20" s="123"/>
      <c r="MT20" s="123"/>
      <c r="MU20" s="123"/>
      <c r="MV20" s="123"/>
      <c r="MW20" s="123"/>
      <c r="MX20" s="123"/>
      <c r="MY20" s="123"/>
      <c r="MZ20" s="123"/>
      <c r="NA20" s="123"/>
      <c r="NB20" s="123"/>
      <c r="NC20" s="123"/>
      <c r="ND20" s="123"/>
      <c r="NE20" s="123"/>
      <c r="NF20" s="123"/>
      <c r="NG20" s="123"/>
      <c r="NH20" s="123"/>
      <c r="NI20" s="123"/>
      <c r="NJ20" s="123"/>
      <c r="NK20" s="123"/>
      <c r="NM20">
        <f t="shared" si="165"/>
        <v>0</v>
      </c>
      <c r="NN20">
        <f t="shared" si="166"/>
        <v>0</v>
      </c>
      <c r="NO20">
        <f t="shared" si="167"/>
        <v>0</v>
      </c>
      <c r="NP20">
        <f t="shared" si="168"/>
        <v>0</v>
      </c>
      <c r="NQ20">
        <f t="shared" si="169"/>
        <v>0</v>
      </c>
      <c r="NR20">
        <f t="shared" si="170"/>
        <v>0</v>
      </c>
      <c r="NS20">
        <f t="shared" si="171"/>
        <v>0</v>
      </c>
      <c r="NT20">
        <f t="shared" si="172"/>
        <v>0</v>
      </c>
      <c r="NU20" s="29">
        <f t="shared" si="173"/>
        <v>0</v>
      </c>
      <c r="NY20" s="17">
        <f t="shared" si="118"/>
        <v>1</v>
      </c>
      <c r="NZ20" s="152">
        <v>11000000</v>
      </c>
      <c r="OE20" s="155">
        <f t="shared" si="119"/>
        <v>0</v>
      </c>
      <c r="OF20" s="155">
        <f t="shared" si="120"/>
        <v>0</v>
      </c>
      <c r="OG20" s="155">
        <f t="shared" si="121"/>
        <v>0</v>
      </c>
      <c r="OH20" s="155">
        <f t="shared" si="174"/>
        <v>0</v>
      </c>
      <c r="OI20" s="155">
        <f t="shared" si="122"/>
        <v>0</v>
      </c>
      <c r="OJ20" s="67">
        <f t="shared" si="175"/>
        <v>0</v>
      </c>
      <c r="OK20" s="67">
        <f t="shared" si="176"/>
        <v>0</v>
      </c>
      <c r="OL20" s="67">
        <f t="shared" si="177"/>
        <v>0</v>
      </c>
      <c r="OM20" s="67">
        <f t="shared" si="178"/>
        <v>0</v>
      </c>
      <c r="OO20" s="155">
        <f t="shared" si="123"/>
        <v>0</v>
      </c>
      <c r="OP20" s="155">
        <f t="shared" si="124"/>
        <v>0</v>
      </c>
      <c r="OQ20" s="155">
        <f t="shared" si="179"/>
        <v>0</v>
      </c>
      <c r="OR20" s="155">
        <f t="shared" si="180"/>
        <v>0</v>
      </c>
      <c r="OS20" s="155">
        <f t="shared" si="181"/>
        <v>0</v>
      </c>
      <c r="OT20" s="67">
        <f t="shared" si="182"/>
        <v>0</v>
      </c>
      <c r="OU20" s="67">
        <f t="shared" si="183"/>
        <v>0</v>
      </c>
      <c r="OV20" s="67">
        <f t="shared" si="184"/>
        <v>0</v>
      </c>
      <c r="OW20" s="67">
        <f t="shared" si="185"/>
        <v>0</v>
      </c>
      <c r="OZ20" s="163"/>
      <c r="PA20" s="166"/>
      <c r="PB20" s="166"/>
      <c r="PC20" s="166"/>
      <c r="PD20" s="210">
        <f t="shared" si="125"/>
        <v>0</v>
      </c>
      <c r="PE20" s="210"/>
      <c r="PF20" s="210">
        <f t="shared" si="126"/>
        <v>0</v>
      </c>
      <c r="PG20" s="210">
        <f t="shared" si="127"/>
        <v>0</v>
      </c>
      <c r="PH20" s="210">
        <f t="shared" si="127"/>
        <v>0</v>
      </c>
      <c r="PI20" s="210">
        <f t="shared" si="127"/>
        <v>0</v>
      </c>
      <c r="PJ20" s="210">
        <f t="shared" si="127"/>
        <v>0</v>
      </c>
      <c r="PK20" s="210">
        <f t="shared" si="127"/>
        <v>0</v>
      </c>
      <c r="PL20" s="210">
        <f t="shared" si="127"/>
        <v>0</v>
      </c>
      <c r="PM20" s="164"/>
      <c r="PN20" s="164"/>
      <c r="PO20" s="172">
        <f t="shared" si="186"/>
        <v>0</v>
      </c>
      <c r="PP20" s="172">
        <f t="shared" si="187"/>
        <v>0</v>
      </c>
      <c r="PQ20" s="172">
        <f t="shared" si="188"/>
        <v>0</v>
      </c>
      <c r="PR20" s="164"/>
      <c r="PS20" s="164"/>
      <c r="PT20" s="164"/>
      <c r="PU20" s="164"/>
    </row>
    <row r="21" spans="1:437 16383:16383" ht="16" x14ac:dyDescent="0.2">
      <c r="A21" s="19">
        <f t="shared" si="189"/>
        <v>13</v>
      </c>
      <c r="B21" s="138" t="s">
        <v>215</v>
      </c>
      <c r="C21" s="138">
        <v>39</v>
      </c>
      <c r="D21" s="20">
        <v>1</v>
      </c>
      <c r="E21" s="188">
        <v>432</v>
      </c>
      <c r="F21" s="20">
        <v>1</v>
      </c>
      <c r="G21" s="20">
        <f t="shared" si="128"/>
        <v>432</v>
      </c>
      <c r="H21" s="137">
        <f t="shared" si="2"/>
        <v>1</v>
      </c>
      <c r="I21" s="137">
        <f t="shared" si="3"/>
        <v>1</v>
      </c>
      <c r="J21" s="20">
        <v>1</v>
      </c>
      <c r="K21" s="20">
        <f t="shared" si="4"/>
        <v>432</v>
      </c>
      <c r="L21" s="137">
        <f t="shared" si="5"/>
        <v>1</v>
      </c>
      <c r="M21" s="137">
        <f t="shared" si="6"/>
        <v>1</v>
      </c>
      <c r="N21" s="20">
        <v>1</v>
      </c>
      <c r="O21" s="20">
        <f t="shared" si="7"/>
        <v>432</v>
      </c>
      <c r="P21" s="137">
        <f t="shared" si="8"/>
        <v>1</v>
      </c>
      <c r="Q21" s="137">
        <f t="shared" si="9"/>
        <v>1</v>
      </c>
      <c r="R21" s="20">
        <v>1</v>
      </c>
      <c r="S21" s="20">
        <f t="shared" si="10"/>
        <v>432</v>
      </c>
      <c r="T21" s="137">
        <f t="shared" si="11"/>
        <v>1</v>
      </c>
      <c r="U21" s="137">
        <f t="shared" si="12"/>
        <v>1</v>
      </c>
      <c r="V21" s="20">
        <v>1</v>
      </c>
      <c r="W21" s="20">
        <f t="shared" si="13"/>
        <v>432</v>
      </c>
      <c r="X21" s="137">
        <f t="shared" si="14"/>
        <v>1</v>
      </c>
      <c r="Y21" s="214">
        <f t="shared" si="15"/>
        <v>1</v>
      </c>
      <c r="Z21" s="271">
        <f>6571297000/1000000000</f>
        <v>6.5712970000000004</v>
      </c>
      <c r="AA21" s="188"/>
      <c r="AB21" s="17">
        <f t="shared" si="129"/>
        <v>0</v>
      </c>
      <c r="AC21" s="18">
        <f t="shared" si="130"/>
        <v>0</v>
      </c>
      <c r="AD21" s="18">
        <f t="shared" si="131"/>
        <v>0</v>
      </c>
      <c r="AE21" s="20"/>
      <c r="AF21" s="20">
        <f t="shared" si="132"/>
        <v>0</v>
      </c>
      <c r="AG21" s="20"/>
      <c r="AH21" s="31"/>
      <c r="AI21" s="20">
        <v>0</v>
      </c>
      <c r="AJ21" s="20">
        <f t="shared" si="18"/>
        <v>0</v>
      </c>
      <c r="AK21" s="20"/>
      <c r="AL21" s="20">
        <v>0</v>
      </c>
      <c r="AM21" s="20">
        <v>0</v>
      </c>
      <c r="AN21" s="139"/>
      <c r="BB21" s="20">
        <f t="shared" si="133"/>
        <v>0</v>
      </c>
      <c r="BE21" s="20">
        <f t="shared" si="19"/>
        <v>0</v>
      </c>
      <c r="BF21" s="20">
        <f t="shared" si="20"/>
        <v>0</v>
      </c>
      <c r="BG21" s="20">
        <f t="shared" si="21"/>
        <v>0</v>
      </c>
      <c r="BH21" s="20">
        <f t="shared" si="22"/>
        <v>0</v>
      </c>
      <c r="BI21" s="20">
        <f t="shared" si="23"/>
        <v>0</v>
      </c>
      <c r="BJ21" s="20">
        <f t="shared" si="24"/>
        <v>0</v>
      </c>
      <c r="BK21" s="20">
        <f t="shared" si="134"/>
        <v>0</v>
      </c>
      <c r="BN21" s="296">
        <v>94</v>
      </c>
      <c r="BO21">
        <v>1</v>
      </c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B21" s="139"/>
      <c r="CD21" s="17">
        <f t="shared" si="26"/>
        <v>94</v>
      </c>
      <c r="CE21" s="17">
        <f t="shared" si="135"/>
        <v>94</v>
      </c>
      <c r="CF21" s="20">
        <f t="shared" si="27"/>
        <v>0</v>
      </c>
      <c r="CG21" s="20">
        <f t="shared" si="28"/>
        <v>0</v>
      </c>
      <c r="CH21" s="20">
        <f t="shared" si="29"/>
        <v>0</v>
      </c>
      <c r="CI21" s="20">
        <f t="shared" si="30"/>
        <v>0</v>
      </c>
      <c r="CJ21" s="20">
        <f t="shared" si="31"/>
        <v>0</v>
      </c>
      <c r="CK21" s="20">
        <f t="shared" si="32"/>
        <v>0</v>
      </c>
      <c r="CL21" s="20">
        <f t="shared" si="33"/>
        <v>0</v>
      </c>
      <c r="CM21" s="20">
        <f t="shared" si="34"/>
        <v>0</v>
      </c>
      <c r="CN21" s="20">
        <f t="shared" si="35"/>
        <v>0</v>
      </c>
      <c r="CO21" s="20">
        <f t="shared" si="36"/>
        <v>0</v>
      </c>
      <c r="CP21" s="20">
        <f t="shared" si="37"/>
        <v>0</v>
      </c>
      <c r="DV21" s="20">
        <f t="shared" si="38"/>
        <v>0</v>
      </c>
      <c r="DW21" s="20">
        <f t="shared" si="39"/>
        <v>0</v>
      </c>
      <c r="DX21" s="20">
        <f t="shared" si="40"/>
        <v>0</v>
      </c>
      <c r="DY21" s="20">
        <f t="shared" si="41"/>
        <v>0</v>
      </c>
      <c r="DZ21" s="20">
        <f t="shared" si="42"/>
        <v>0</v>
      </c>
      <c r="EA21" s="20">
        <f t="shared" si="43"/>
        <v>0</v>
      </c>
      <c r="EB21" s="20">
        <f t="shared" si="136"/>
        <v>0</v>
      </c>
      <c r="EG21" s="57">
        <f t="shared" si="137"/>
        <v>0</v>
      </c>
      <c r="EH21" s="57">
        <f t="shared" si="138"/>
        <v>0</v>
      </c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X21" s="80">
        <v>1</v>
      </c>
      <c r="FY21" s="17">
        <f t="shared" si="139"/>
        <v>94</v>
      </c>
      <c r="FZ21" s="17">
        <f t="shared" si="45"/>
        <v>94</v>
      </c>
      <c r="GA21" s="17">
        <f t="shared" si="46"/>
        <v>0</v>
      </c>
      <c r="GB21" s="17">
        <f t="shared" si="47"/>
        <v>0</v>
      </c>
      <c r="GC21" s="17">
        <f t="shared" si="48"/>
        <v>0</v>
      </c>
      <c r="GD21" s="17">
        <f t="shared" si="49"/>
        <v>0</v>
      </c>
      <c r="GE21" s="17">
        <f t="shared" si="50"/>
        <v>0</v>
      </c>
      <c r="GF21" s="67"/>
      <c r="GG21" s="17">
        <v>0</v>
      </c>
      <c r="GH21" s="17">
        <v>0</v>
      </c>
      <c r="GI21" s="67"/>
      <c r="GJ21" s="62">
        <f t="shared" si="140"/>
        <v>0</v>
      </c>
      <c r="GK21" s="62">
        <f t="shared" si="141"/>
        <v>0</v>
      </c>
      <c r="GO21" s="17">
        <f t="shared" si="51"/>
        <v>0</v>
      </c>
      <c r="GP21" s="17">
        <f t="shared" si="52"/>
        <v>0</v>
      </c>
      <c r="GQ21" s="17">
        <f t="shared" si="53"/>
        <v>0</v>
      </c>
      <c r="GR21" s="17">
        <f t="shared" si="54"/>
        <v>0</v>
      </c>
      <c r="GS21" s="17">
        <f t="shared" si="55"/>
        <v>0</v>
      </c>
      <c r="GT21" s="17">
        <f t="shared" si="142"/>
        <v>1</v>
      </c>
      <c r="GU21" s="101">
        <f t="shared" si="143"/>
        <v>43243</v>
      </c>
      <c r="GV21" s="17" t="str">
        <f t="shared" si="144"/>
        <v>SELESAI</v>
      </c>
      <c r="GW21" s="17">
        <f t="shared" si="145"/>
        <v>0</v>
      </c>
      <c r="GX21" s="66" t="str">
        <f t="shared" si="146"/>
        <v>SELESAI</v>
      </c>
      <c r="GY21" s="66">
        <f t="shared" si="147"/>
        <v>0</v>
      </c>
      <c r="GZ21" s="102" t="str">
        <f t="shared" si="148"/>
        <v>SELESAI</v>
      </c>
      <c r="HA21" s="83"/>
      <c r="HB21" s="83"/>
      <c r="HC21" s="17">
        <f t="shared" si="56"/>
        <v>0</v>
      </c>
      <c r="HD21" s="17">
        <f t="shared" si="57"/>
        <v>0</v>
      </c>
      <c r="HE21" s="17">
        <f t="shared" si="149"/>
        <v>0</v>
      </c>
      <c r="HF21" s="17">
        <f t="shared" si="150"/>
        <v>0</v>
      </c>
      <c r="HG21" s="17">
        <f t="shared" si="151"/>
        <v>0</v>
      </c>
      <c r="HH21" s="101" t="str">
        <f t="shared" si="58"/>
        <v>TIDAK KONSINYASI</v>
      </c>
      <c r="HI21" s="101" t="str">
        <f t="shared" si="152"/>
        <v>SELESAI</v>
      </c>
      <c r="HJ21" s="27"/>
      <c r="HK21" s="101">
        <f t="shared" si="59"/>
        <v>0</v>
      </c>
      <c r="HL21" s="83"/>
      <c r="HM21" s="83"/>
      <c r="HN21" s="83"/>
      <c r="HO21" s="83"/>
      <c r="HP21" s="102">
        <f t="shared" si="153"/>
        <v>0</v>
      </c>
      <c r="HQ21" s="66">
        <f t="shared" si="154"/>
        <v>0</v>
      </c>
      <c r="HR21" s="66">
        <f t="shared" si="60"/>
        <v>0</v>
      </c>
      <c r="HS21" s="102">
        <f t="shared" si="155"/>
        <v>0</v>
      </c>
      <c r="HT21" s="66">
        <f t="shared" si="156"/>
        <v>0</v>
      </c>
      <c r="HU21" s="66">
        <f t="shared" si="61"/>
        <v>0</v>
      </c>
      <c r="HV21" s="102">
        <f t="shared" si="157"/>
        <v>0</v>
      </c>
      <c r="HW21" s="66">
        <f t="shared" si="62"/>
        <v>0</v>
      </c>
      <c r="HX21" s="66">
        <f t="shared" si="63"/>
        <v>0</v>
      </c>
      <c r="HY21" s="102">
        <f t="shared" si="64"/>
        <v>0</v>
      </c>
      <c r="HZ21" s="66">
        <f t="shared" si="158"/>
        <v>0</v>
      </c>
      <c r="IA21" s="66">
        <f t="shared" si="65"/>
        <v>0</v>
      </c>
      <c r="IB21" s="102">
        <f t="shared" si="159"/>
        <v>0</v>
      </c>
      <c r="IC21" s="66">
        <f t="shared" si="66"/>
        <v>0</v>
      </c>
      <c r="ID21" s="66">
        <f t="shared" si="67"/>
        <v>0</v>
      </c>
      <c r="IE21" s="102">
        <f t="shared" si="68"/>
        <v>0</v>
      </c>
      <c r="IF21" s="66">
        <f t="shared" si="69"/>
        <v>0</v>
      </c>
      <c r="IG21" s="66">
        <f t="shared" si="70"/>
        <v>0</v>
      </c>
      <c r="IH21" s="102">
        <f t="shared" si="160"/>
        <v>0</v>
      </c>
      <c r="II21" s="66">
        <f t="shared" si="161"/>
        <v>0</v>
      </c>
      <c r="IJ21" s="66">
        <f t="shared" si="71"/>
        <v>0</v>
      </c>
      <c r="IK21" s="102">
        <f t="shared" si="72"/>
        <v>0</v>
      </c>
      <c r="IL21" s="66">
        <f t="shared" si="73"/>
        <v>0</v>
      </c>
      <c r="IM21" s="66">
        <f t="shared" si="74"/>
        <v>0</v>
      </c>
      <c r="IN21" s="83"/>
      <c r="IO21" s="102">
        <f t="shared" si="75"/>
        <v>0</v>
      </c>
      <c r="IP21" s="66">
        <f t="shared" si="76"/>
        <v>0</v>
      </c>
      <c r="IQ21" s="66">
        <f t="shared" si="77"/>
        <v>0</v>
      </c>
      <c r="IR21" s="83"/>
      <c r="IS21" s="102"/>
      <c r="IT21" s="66">
        <f t="shared" si="78"/>
        <v>1</v>
      </c>
      <c r="IU21" s="66">
        <f t="shared" si="79"/>
        <v>432</v>
      </c>
      <c r="IV21" s="83"/>
      <c r="IW21" s="102"/>
      <c r="IX21" s="66">
        <f t="shared" si="80"/>
        <v>0</v>
      </c>
      <c r="IY21" s="66">
        <f t="shared" si="81"/>
        <v>0</v>
      </c>
      <c r="IZ21" s="83"/>
      <c r="JA21" s="102"/>
      <c r="JB21" s="66">
        <f t="shared" si="82"/>
        <v>0</v>
      </c>
      <c r="JC21" s="66">
        <f t="shared" si="83"/>
        <v>0</v>
      </c>
      <c r="JD21" s="83"/>
      <c r="JE21" s="102"/>
      <c r="JF21" s="66">
        <f t="shared" si="162"/>
        <v>1</v>
      </c>
      <c r="JG21" s="66">
        <f t="shared" si="84"/>
        <v>432</v>
      </c>
      <c r="JH21" s="83"/>
      <c r="JI21" s="102"/>
      <c r="JJ21" s="66">
        <f t="shared" si="85"/>
        <v>0</v>
      </c>
      <c r="JK21" s="66">
        <f t="shared" si="86"/>
        <v>0</v>
      </c>
      <c r="JM21" s="102">
        <f t="shared" si="163"/>
        <v>0</v>
      </c>
      <c r="JO21" s="29">
        <f t="shared" si="87"/>
        <v>1</v>
      </c>
      <c r="JP21" s="122">
        <f t="shared" si="88"/>
        <v>94</v>
      </c>
      <c r="JQ21" s="122">
        <f t="shared" si="89"/>
        <v>1</v>
      </c>
      <c r="JR21" s="122">
        <f t="shared" si="90"/>
        <v>0</v>
      </c>
      <c r="JS21" s="122">
        <f t="shared" si="91"/>
        <v>0</v>
      </c>
      <c r="JT21" s="122">
        <f t="shared" si="92"/>
        <v>0</v>
      </c>
      <c r="JU21" s="122">
        <f t="shared" si="93"/>
        <v>0</v>
      </c>
      <c r="JV21" s="122">
        <f t="shared" si="94"/>
        <v>0</v>
      </c>
      <c r="JW21" s="122">
        <f t="shared" si="95"/>
        <v>0</v>
      </c>
      <c r="JX21" s="122">
        <f t="shared" si="96"/>
        <v>0</v>
      </c>
      <c r="JY21" s="122">
        <f t="shared" si="97"/>
        <v>0</v>
      </c>
      <c r="JZ21" s="122">
        <f t="shared" si="98"/>
        <v>0</v>
      </c>
      <c r="KA21" s="122">
        <f t="shared" si="99"/>
        <v>0</v>
      </c>
      <c r="KB21" s="122">
        <f t="shared" si="100"/>
        <v>0</v>
      </c>
      <c r="KD21" s="122">
        <f t="shared" si="164"/>
        <v>0</v>
      </c>
      <c r="KE21" s="122">
        <f t="shared" si="102"/>
        <v>0</v>
      </c>
      <c r="KF21" s="122">
        <f t="shared" si="103"/>
        <v>94</v>
      </c>
      <c r="KG21" s="122">
        <f t="shared" si="104"/>
        <v>94</v>
      </c>
      <c r="KH21" s="122">
        <f t="shared" si="105"/>
        <v>0</v>
      </c>
      <c r="KI21" s="122">
        <f t="shared" si="106"/>
        <v>0</v>
      </c>
      <c r="KJ21" s="122">
        <f t="shared" si="107"/>
        <v>0</v>
      </c>
      <c r="KK21" s="122">
        <f t="shared" si="108"/>
        <v>0</v>
      </c>
      <c r="KL21" s="122">
        <f t="shared" si="109"/>
        <v>0</v>
      </c>
      <c r="KM21" s="122">
        <f t="shared" si="110"/>
        <v>0</v>
      </c>
      <c r="KN21" s="123">
        <f t="shared" si="111"/>
        <v>0</v>
      </c>
      <c r="KO21" s="123">
        <f t="shared" si="112"/>
        <v>0</v>
      </c>
      <c r="KP21" s="123">
        <f t="shared" si="113"/>
        <v>0</v>
      </c>
      <c r="KQ21" s="123">
        <f t="shared" si="114"/>
        <v>0</v>
      </c>
      <c r="KR21" s="123">
        <f t="shared" si="115"/>
        <v>0</v>
      </c>
      <c r="KT21">
        <f t="shared" si="116"/>
        <v>0</v>
      </c>
      <c r="KU21" s="123"/>
      <c r="KV21" s="123"/>
      <c r="KW21" s="123"/>
      <c r="KX21" s="123"/>
      <c r="KY21" s="123"/>
      <c r="KZ21" s="123"/>
      <c r="LA21" s="123"/>
      <c r="LB21" s="123"/>
      <c r="LC21" s="123"/>
      <c r="LD21" s="123"/>
      <c r="LE21" s="123"/>
      <c r="LF21" s="123"/>
      <c r="LG21" s="123"/>
      <c r="LH21" s="123"/>
      <c r="LI21" s="123"/>
      <c r="LJ21" s="123"/>
      <c r="LK21" s="123"/>
      <c r="LL21" s="123"/>
      <c r="LM21" s="123"/>
      <c r="LN21" s="123"/>
      <c r="LO21" s="123"/>
      <c r="LP21" s="123"/>
      <c r="LQ21" s="123"/>
      <c r="LR21" s="123"/>
      <c r="LS21" s="123"/>
      <c r="LT21" s="123"/>
      <c r="LU21" s="123"/>
      <c r="LV21" s="123"/>
      <c r="LW21" s="123"/>
      <c r="LX21" s="123"/>
      <c r="LY21" s="123"/>
      <c r="LZ21" s="123"/>
      <c r="MA21" s="123"/>
      <c r="MB21" s="123"/>
      <c r="MC21" s="123"/>
      <c r="MD21" s="123"/>
      <c r="ME21" s="123"/>
      <c r="MF21" s="123"/>
      <c r="MG21" s="123"/>
      <c r="MH21" s="123"/>
      <c r="MI21" s="123"/>
      <c r="MJ21" s="123"/>
      <c r="MK21" s="123"/>
      <c r="ML21" s="123"/>
      <c r="MM21" s="123"/>
      <c r="MN21" s="123"/>
      <c r="MO21" s="123"/>
      <c r="MP21" s="123"/>
      <c r="MQ21" s="123"/>
      <c r="MR21" s="123"/>
      <c r="MS21" s="123"/>
      <c r="MT21" s="123"/>
      <c r="MU21" s="123"/>
      <c r="MV21" s="123"/>
      <c r="MW21" s="123"/>
      <c r="MX21" s="123"/>
      <c r="MY21" s="123"/>
      <c r="MZ21" s="123"/>
      <c r="NA21" s="123"/>
      <c r="NB21" s="123"/>
      <c r="NC21" s="123"/>
      <c r="ND21" s="123"/>
      <c r="NE21" s="123"/>
      <c r="NF21" s="123"/>
      <c r="NG21" s="123"/>
      <c r="NH21" s="123"/>
      <c r="NI21" s="123"/>
      <c r="NJ21" s="123"/>
      <c r="NK21" s="123"/>
      <c r="NM21">
        <f t="shared" si="165"/>
        <v>0</v>
      </c>
      <c r="NN21">
        <f t="shared" si="166"/>
        <v>0</v>
      </c>
      <c r="NO21">
        <f t="shared" si="167"/>
        <v>0</v>
      </c>
      <c r="NP21">
        <f t="shared" si="168"/>
        <v>0</v>
      </c>
      <c r="NQ21">
        <f t="shared" si="169"/>
        <v>0</v>
      </c>
      <c r="NR21">
        <f t="shared" si="170"/>
        <v>0</v>
      </c>
      <c r="NS21">
        <f t="shared" si="171"/>
        <v>0</v>
      </c>
      <c r="NT21">
        <f t="shared" si="172"/>
        <v>0</v>
      </c>
      <c r="NU21" s="29">
        <f t="shared" si="173"/>
        <v>0</v>
      </c>
      <c r="NY21" s="17">
        <f t="shared" si="118"/>
        <v>1</v>
      </c>
      <c r="NZ21" s="152">
        <v>11000000</v>
      </c>
      <c r="OE21" s="155">
        <f t="shared" si="119"/>
        <v>0</v>
      </c>
      <c r="OF21" s="155">
        <f t="shared" si="120"/>
        <v>0</v>
      </c>
      <c r="OG21" s="155">
        <f t="shared" si="121"/>
        <v>0</v>
      </c>
      <c r="OH21" s="155">
        <f t="shared" si="174"/>
        <v>0</v>
      </c>
      <c r="OI21" s="155">
        <f t="shared" si="122"/>
        <v>0</v>
      </c>
      <c r="OJ21" s="67">
        <f t="shared" si="175"/>
        <v>0</v>
      </c>
      <c r="OK21" s="67">
        <f t="shared" si="176"/>
        <v>0</v>
      </c>
      <c r="OL21" s="67">
        <f t="shared" si="177"/>
        <v>0</v>
      </c>
      <c r="OM21" s="67">
        <f t="shared" si="178"/>
        <v>0</v>
      </c>
      <c r="OO21" s="155">
        <f t="shared" si="123"/>
        <v>0</v>
      </c>
      <c r="OP21" s="155">
        <f t="shared" si="124"/>
        <v>0</v>
      </c>
      <c r="OQ21" s="155">
        <f t="shared" si="179"/>
        <v>0</v>
      </c>
      <c r="OR21" s="155">
        <f t="shared" si="180"/>
        <v>0</v>
      </c>
      <c r="OS21" s="155">
        <f t="shared" si="181"/>
        <v>0</v>
      </c>
      <c r="OT21" s="67">
        <f t="shared" si="182"/>
        <v>0</v>
      </c>
      <c r="OU21" s="67">
        <f t="shared" si="183"/>
        <v>0</v>
      </c>
      <c r="OV21" s="67">
        <f t="shared" si="184"/>
        <v>0</v>
      </c>
      <c r="OW21" s="67">
        <f t="shared" si="185"/>
        <v>0</v>
      </c>
      <c r="OZ21" s="163"/>
      <c r="PA21" s="166"/>
      <c r="PB21" s="166"/>
      <c r="PC21" s="166"/>
      <c r="PD21" s="210">
        <f t="shared" si="125"/>
        <v>0</v>
      </c>
      <c r="PE21" s="210"/>
      <c r="PF21" s="210">
        <f t="shared" si="126"/>
        <v>0</v>
      </c>
      <c r="PG21" s="210">
        <f t="shared" si="127"/>
        <v>0</v>
      </c>
      <c r="PH21" s="210">
        <f t="shared" si="127"/>
        <v>0</v>
      </c>
      <c r="PI21" s="210">
        <f t="shared" si="127"/>
        <v>0</v>
      </c>
      <c r="PJ21" s="210">
        <f t="shared" si="127"/>
        <v>0</v>
      </c>
      <c r="PK21" s="210">
        <f t="shared" si="127"/>
        <v>0</v>
      </c>
      <c r="PL21" s="210">
        <f t="shared" si="127"/>
        <v>0</v>
      </c>
      <c r="PM21" s="164"/>
      <c r="PN21" s="164"/>
      <c r="PO21" s="172">
        <f t="shared" si="186"/>
        <v>0</v>
      </c>
      <c r="PP21" s="172">
        <f t="shared" si="187"/>
        <v>0</v>
      </c>
      <c r="PQ21" s="172">
        <f t="shared" si="188"/>
        <v>0</v>
      </c>
      <c r="PR21" s="164"/>
      <c r="PS21" s="164"/>
      <c r="PT21" s="164"/>
      <c r="PU21" s="164"/>
    </row>
    <row r="22" spans="1:437 16383:16383" ht="16" x14ac:dyDescent="0.2">
      <c r="A22" s="19">
        <f t="shared" si="189"/>
        <v>14</v>
      </c>
      <c r="B22" s="173" t="s">
        <v>621</v>
      </c>
      <c r="C22" s="138">
        <v>53</v>
      </c>
      <c r="D22" s="20">
        <v>1</v>
      </c>
      <c r="E22" s="188">
        <v>584</v>
      </c>
      <c r="F22" s="20">
        <v>1</v>
      </c>
      <c r="G22" s="20">
        <f t="shared" si="128"/>
        <v>584</v>
      </c>
      <c r="H22" s="137">
        <f t="shared" ref="H22" si="190">F22/$D22</f>
        <v>1</v>
      </c>
      <c r="I22" s="137">
        <f t="shared" ref="I22" si="191">G22/$E22</f>
        <v>1</v>
      </c>
      <c r="J22" s="20">
        <v>1</v>
      </c>
      <c r="K22" s="20">
        <f t="shared" ref="K22" si="192">IF(J22=D22,E22,0)</f>
        <v>584</v>
      </c>
      <c r="L22" s="137">
        <f t="shared" ref="L22" si="193">J22/$D22</f>
        <v>1</v>
      </c>
      <c r="M22" s="137">
        <f t="shared" ref="M22" si="194">K22/$E22</f>
        <v>1</v>
      </c>
      <c r="N22" s="188">
        <v>1</v>
      </c>
      <c r="O22" s="20">
        <f t="shared" ref="O22" si="195">IF(N22=D22,E22,0)</f>
        <v>584</v>
      </c>
      <c r="P22" s="137">
        <f t="shared" ref="P22" si="196">N22/$D22</f>
        <v>1</v>
      </c>
      <c r="Q22" s="137">
        <f t="shared" ref="Q22" si="197">O22/$E22</f>
        <v>1</v>
      </c>
      <c r="R22" s="20">
        <v>0</v>
      </c>
      <c r="S22" s="20">
        <f t="shared" ref="S22" si="198">IF(R22=D22,E22,0)</f>
        <v>0</v>
      </c>
      <c r="T22" s="137">
        <f t="shared" ref="T22" si="199">R22/$D22</f>
        <v>0</v>
      </c>
      <c r="U22" s="137">
        <f t="shared" ref="U22" si="200">S22/$E22</f>
        <v>0</v>
      </c>
      <c r="V22" s="20">
        <v>0</v>
      </c>
      <c r="W22" s="20">
        <f t="shared" ref="W22" si="201">IF(V22=D22,E22,0)</f>
        <v>0</v>
      </c>
      <c r="X22" s="137">
        <f t="shared" ref="X22" si="202">V22/$D22</f>
        <v>0</v>
      </c>
      <c r="Y22" s="214">
        <f t="shared" ref="Y22" si="203">W22/$E22</f>
        <v>0</v>
      </c>
      <c r="Z22" s="271">
        <v>0</v>
      </c>
      <c r="AA22" s="188">
        <v>1</v>
      </c>
      <c r="AB22" s="17">
        <f t="shared" ref="AB22" si="204">IF(AA22=D22,E22,0)</f>
        <v>584</v>
      </c>
      <c r="AC22" s="18">
        <f t="shared" ref="AC22" si="205">AA22/$D22</f>
        <v>1</v>
      </c>
      <c r="AD22" s="18">
        <f t="shared" ref="AD22" si="206">AB22/$E22</f>
        <v>1</v>
      </c>
      <c r="AE22" s="38">
        <f>8279774000/1000000000</f>
        <v>8.2797739999999997</v>
      </c>
      <c r="AF22" s="20">
        <f t="shared" ref="AF22" si="207">R22-V22</f>
        <v>0</v>
      </c>
      <c r="AG22" s="20"/>
      <c r="AH22" s="20" t="s">
        <v>303</v>
      </c>
      <c r="AI22" s="20">
        <v>0</v>
      </c>
      <c r="AJ22" s="20">
        <f t="shared" ref="AJ22" si="208">IF(AI22=D22,E22,0)</f>
        <v>0</v>
      </c>
      <c r="AK22" s="20"/>
      <c r="AL22" s="20">
        <v>0</v>
      </c>
      <c r="AM22" s="20">
        <v>0</v>
      </c>
      <c r="AN22" s="139"/>
      <c r="BB22" s="20">
        <f t="shared" ref="BB22" si="209">IF(AN22=1,G22,0)</f>
        <v>0</v>
      </c>
      <c r="BE22" s="20">
        <f t="shared" ref="BE22" si="210">IF(AF22=1,S22,0)</f>
        <v>0</v>
      </c>
      <c r="BF22" s="20">
        <f t="shared" ref="BF22" si="211">IF(AG22="A",S22,0)</f>
        <v>0</v>
      </c>
      <c r="BG22" s="20">
        <f t="shared" ref="BG22" si="212">IF(AG22="B",S22,0)</f>
        <v>0</v>
      </c>
      <c r="BH22" s="20">
        <f t="shared" ref="BH22" si="213">IF(AG22="C",S22,0)</f>
        <v>0</v>
      </c>
      <c r="BI22" s="20">
        <f t="shared" ref="BI22" si="214">IF(AG22="D",S22,0)</f>
        <v>0</v>
      </c>
      <c r="BJ22" s="20">
        <f t="shared" ref="BJ22" si="215">IF(AG22="E",S22,0)</f>
        <v>0</v>
      </c>
      <c r="BK22" s="20">
        <f t="shared" ref="BK22" si="216">SUM(BF22:BJ22)</f>
        <v>0</v>
      </c>
      <c r="BN22" s="143"/>
      <c r="BO22" s="126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B22" s="139">
        <v>1</v>
      </c>
      <c r="CC22" t="s">
        <v>302</v>
      </c>
      <c r="CD22" s="17">
        <f t="shared" ref="CD22" si="217">BN22</f>
        <v>0</v>
      </c>
      <c r="CE22" s="17">
        <f t="shared" ref="CE22" si="218">IF(BO22=1,$CD22,0)</f>
        <v>0</v>
      </c>
      <c r="CF22" s="20">
        <f t="shared" ref="CF22" si="219">IF(BP22=1,$CD22,0)</f>
        <v>0</v>
      </c>
      <c r="CG22" s="20">
        <f t="shared" ref="CG22" si="220">IF(BQ22=1,$CD22,0)</f>
        <v>0</v>
      </c>
      <c r="CH22" s="20">
        <f t="shared" ref="CH22" si="221">IF(BR22=1,$CD22,0)</f>
        <v>0</v>
      </c>
      <c r="CI22" s="20">
        <f t="shared" ref="CI22" si="222">IF(BS22=1,$CD22,0)</f>
        <v>0</v>
      </c>
      <c r="CJ22" s="20">
        <f t="shared" ref="CJ22" si="223">IF(BT22=1,$CD22,0)</f>
        <v>0</v>
      </c>
      <c r="CK22" s="20">
        <f t="shared" ref="CK22" si="224">IF(BU22=1,$CD22,0)</f>
        <v>0</v>
      </c>
      <c r="CL22" s="20">
        <f t="shared" ref="CL22" si="225">IF(BV22=1,$CD22,0)</f>
        <v>0</v>
      </c>
      <c r="CM22" s="20">
        <f t="shared" ref="CM22" si="226">IF(BW22=1,$CD22,0)</f>
        <v>0</v>
      </c>
      <c r="CN22" s="20">
        <f t="shared" ref="CN22" si="227">IF(BX22=1,$CD22,0)</f>
        <v>0</v>
      </c>
      <c r="CO22" s="20">
        <f t="shared" ref="CO22" si="228">IF(BY22=1,$CD22,0)</f>
        <v>0</v>
      </c>
      <c r="CP22" s="20">
        <f t="shared" ref="CP22" si="229">IF(BZ22=1,$CD22,0)</f>
        <v>0</v>
      </c>
      <c r="DV22" s="20">
        <f t="shared" ref="DV22" si="230">IF(CB22=1,G22,0)</f>
        <v>584</v>
      </c>
      <c r="DW22" s="20">
        <f t="shared" ref="DW22" si="231">IF(CC22="A",G22,0)</f>
        <v>0</v>
      </c>
      <c r="DX22" s="20">
        <f t="shared" ref="DX22" si="232">IF(CC22="B",G22,0)</f>
        <v>0</v>
      </c>
      <c r="DY22" s="20">
        <f t="shared" ref="DY22" si="233">IF(CC22="C",G22,0)</f>
        <v>0</v>
      </c>
      <c r="DZ22" s="20">
        <f t="shared" ref="DZ22" si="234">IF(CC22="D",G22,0)</f>
        <v>584</v>
      </c>
      <c r="EA22" s="20">
        <f t="shared" ref="EA22" si="235">IF(CC22="E",G22,0)</f>
        <v>0</v>
      </c>
      <c r="EB22" s="20">
        <f t="shared" ref="EB22" si="236">SUM(DW22:EA22)</f>
        <v>584</v>
      </c>
      <c r="EG22" s="57">
        <f t="shared" ref="EG22" si="237">IF(AG22="C","C",IF(AG22="D","D",0))</f>
        <v>0</v>
      </c>
      <c r="EH22" s="57" t="str">
        <f t="shared" ref="EH22" si="238">CC22</f>
        <v>D</v>
      </c>
      <c r="EI22" s="17">
        <v>1</v>
      </c>
      <c r="EJ22" s="17">
        <v>1</v>
      </c>
      <c r="EK22" s="17"/>
      <c r="EL22" s="17"/>
      <c r="EM22" s="17"/>
      <c r="EN22" s="17"/>
      <c r="EO22" s="17"/>
      <c r="EP22" s="17"/>
      <c r="EQ22" s="17">
        <v>1</v>
      </c>
      <c r="ER22" s="189">
        <v>1</v>
      </c>
      <c r="ES22" s="189">
        <v>1</v>
      </c>
      <c r="ET22" s="189"/>
      <c r="EU22" s="189"/>
      <c r="EV22" s="189">
        <v>1</v>
      </c>
      <c r="EW22" s="17"/>
      <c r="EX22" s="17"/>
      <c r="EY22" s="17"/>
      <c r="EZ22" s="189">
        <v>1</v>
      </c>
      <c r="FA22" s="17"/>
      <c r="FB22" s="17"/>
      <c r="FC22" s="17"/>
      <c r="FD22" s="17"/>
      <c r="FE22" s="17"/>
      <c r="FF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X22" s="80"/>
      <c r="FY22" s="17">
        <f t="shared" ref="FY22" si="239">SUM(FZ22:GE22)</f>
        <v>0</v>
      </c>
      <c r="FZ22" s="17">
        <f t="shared" si="45"/>
        <v>0</v>
      </c>
      <c r="GA22" s="17">
        <f t="shared" si="46"/>
        <v>0</v>
      </c>
      <c r="GB22" s="17">
        <f t="shared" si="47"/>
        <v>0</v>
      </c>
      <c r="GC22" s="17">
        <f t="shared" si="48"/>
        <v>0</v>
      </c>
      <c r="GD22" s="17">
        <f t="shared" si="49"/>
        <v>0</v>
      </c>
      <c r="GE22" s="17">
        <f t="shared" si="50"/>
        <v>0</v>
      </c>
      <c r="GF22" s="67"/>
      <c r="GG22" s="17">
        <v>0</v>
      </c>
      <c r="GH22" s="17">
        <v>0</v>
      </c>
      <c r="GI22" s="67"/>
      <c r="GJ22" s="62">
        <f t="shared" ref="GJ22" si="240">FY22*GG22/1000000000</f>
        <v>0</v>
      </c>
      <c r="GK22" s="62">
        <f t="shared" ref="GK22" si="241">FY22*GH22/1000000000</f>
        <v>0</v>
      </c>
      <c r="GO22" s="17">
        <f t="shared" si="51"/>
        <v>0</v>
      </c>
      <c r="GP22" s="17">
        <f t="shared" si="52"/>
        <v>0</v>
      </c>
      <c r="GQ22" s="17">
        <f t="shared" si="53"/>
        <v>0</v>
      </c>
      <c r="GR22" s="17">
        <f t="shared" si="54"/>
        <v>1</v>
      </c>
      <c r="GS22" s="17">
        <f t="shared" si="55"/>
        <v>1</v>
      </c>
      <c r="GT22" s="17">
        <f t="shared" ref="GT22" si="242">IF(SUM(GO22:GS22)=0,1,0)</f>
        <v>0</v>
      </c>
      <c r="GU22" s="101">
        <f t="shared" si="143"/>
        <v>43243</v>
      </c>
      <c r="GV22" s="17" t="str">
        <f t="shared" ref="GV22" si="243">IF(GO22&gt;0,$GO$6,IF(GP22&gt;0,$GP$6,IF(GQ22&gt;0,$GQ$6,IF(GR22&gt;0,$GR$6,IF(GS22&gt;0,$GS$6,IF(GT22&gt;0,$GT$6,0))))))</f>
        <v>Musyawarah</v>
      </c>
      <c r="GW22" s="17">
        <f t="shared" ref="GW22" si="244">IF(GV22=$GO$6,GO22,IF(GV22=$GP$6,GP22,IF(GV22=$GQ$6,GQ22,IF(GV22=$GR$6,GR22,IF(GV22=$GS$6,GS22,0)))))</f>
        <v>1</v>
      </c>
      <c r="GX22" s="66" t="str">
        <f t="shared" ref="GX22" si="245">GV22</f>
        <v>Musyawarah</v>
      </c>
      <c r="GY22" s="66">
        <f t="shared" ref="GY22" si="246">IF(GX22="DNP",SUM($GY$4:$GY$8),IF(GX22="Survey KJPP",SUM($GY$5:$GY$8),IF(GX22="Hasil Valuasi",SUM($GY$6:$GY$8),IF(GX22="Musyawarah",SUM($GY$7:$GY$8),IF(GX22="UGR",$GY$8,0)))))</f>
        <v>24</v>
      </c>
      <c r="GZ22" s="102">
        <f t="shared" ref="GZ22" si="247">IF(GW22=0,"SELESAI",GU22+GY22)</f>
        <v>43267</v>
      </c>
      <c r="HA22" s="83"/>
      <c r="HB22" s="83"/>
      <c r="HC22" s="17">
        <f t="shared" si="56"/>
        <v>0</v>
      </c>
      <c r="HD22" s="17">
        <f t="shared" si="57"/>
        <v>1</v>
      </c>
      <c r="HE22" s="17">
        <f t="shared" ref="HE22" si="248">HC22+HD22</f>
        <v>1</v>
      </c>
      <c r="HF22" s="17">
        <f t="shared" ref="HF22" si="249">FQ22</f>
        <v>0</v>
      </c>
      <c r="HG22" s="17">
        <f t="shared" ref="HG22" si="250">HE22-HF22</f>
        <v>1</v>
      </c>
      <c r="HH22" s="101">
        <f t="shared" ref="HH22" si="251">IF(HG22=1,GU22+$HH$8,"TIDAK KONSINYASI")</f>
        <v>43288</v>
      </c>
      <c r="HI22" s="101">
        <f t="shared" ref="HI22" si="252">IF(GW22=0,"SELESAI",GZ22+$HI$8)</f>
        <v>43312</v>
      </c>
      <c r="HJ22" s="27"/>
      <c r="HK22" s="101">
        <f t="shared" ref="HK22" si="253">MAX(GZ22,HH22,HI22)</f>
        <v>43312</v>
      </c>
      <c r="HL22" s="83"/>
      <c r="HM22" s="83"/>
      <c r="HN22" s="83"/>
      <c r="HO22" s="83"/>
      <c r="HP22" s="102">
        <f t="shared" ref="HP22" si="254">IF(HQ22=1,GZ22,0)</f>
        <v>0</v>
      </c>
      <c r="HQ22" s="66">
        <f t="shared" ref="HQ22" si="255">IF(IX22=0,IF(HT22=0,IF(IP22=0,IF(GV22="UGR",GS22,0),0),0),0)</f>
        <v>0</v>
      </c>
      <c r="HR22" s="66">
        <f t="shared" si="60"/>
        <v>0</v>
      </c>
      <c r="HS22" s="102">
        <f t="shared" ref="HS22" si="256">IF(HT22=1,HH22,0)</f>
        <v>43288</v>
      </c>
      <c r="HT22" s="66">
        <f t="shared" ref="HT22" si="257">HG22</f>
        <v>1</v>
      </c>
      <c r="HU22" s="66">
        <f t="shared" si="61"/>
        <v>584</v>
      </c>
      <c r="HV22" s="102">
        <f t="shared" ref="HV22" si="258">IF(HW22=1,GZ22,0)</f>
        <v>0</v>
      </c>
      <c r="HW22" s="66">
        <f t="shared" ref="HW22" si="259">IF(JB22=0,IF(IX22=0,IF(HT22=0,IF(GV22="MUSYAWARAH",GR22,0),0),0),0)</f>
        <v>0</v>
      </c>
      <c r="HX22" s="66">
        <f t="shared" si="63"/>
        <v>0</v>
      </c>
      <c r="HY22" s="102">
        <f t="shared" ref="HY22" si="260">IF(HZ22=1,HV22+$HI$8,0)</f>
        <v>0</v>
      </c>
      <c r="HZ22" s="66">
        <f t="shared" ref="HZ22" si="261">HW22</f>
        <v>0</v>
      </c>
      <c r="IA22" s="66">
        <f t="shared" si="65"/>
        <v>0</v>
      </c>
      <c r="IB22" s="102">
        <f t="shared" ref="IB22" si="262">IF(IC22=1,$GU$3+SUM($GY$6:$GY$8),0)</f>
        <v>0</v>
      </c>
      <c r="IC22" s="66">
        <f t="shared" ref="IC22" si="263">IF(GV22="Hasil Valuasi",GQ22,0)</f>
        <v>0</v>
      </c>
      <c r="ID22" s="66">
        <f t="shared" si="67"/>
        <v>0</v>
      </c>
      <c r="IE22" s="102">
        <f t="shared" ref="IE22" si="264">IF(IF22=1,IB22+$HI$8,0)</f>
        <v>0</v>
      </c>
      <c r="IF22" s="66">
        <f t="shared" ref="IF22" si="265">IC22</f>
        <v>0</v>
      </c>
      <c r="IG22" s="66">
        <f t="shared" si="70"/>
        <v>0</v>
      </c>
      <c r="IH22" s="102">
        <f t="shared" ref="IH22" si="266">IF(II22=1,$GU$3+SUM($GY$5:$GY$8),0)</f>
        <v>0</v>
      </c>
      <c r="II22" s="66">
        <f t="shared" ref="II22" si="267">IF(GV22="Survey KJPP",GP22,0)</f>
        <v>0</v>
      </c>
      <c r="IJ22" s="66">
        <f t="shared" si="71"/>
        <v>0</v>
      </c>
      <c r="IK22" s="102">
        <f t="shared" ref="IK22" si="268">IF(IL22=1,IH22+$HI$8,0)</f>
        <v>0</v>
      </c>
      <c r="IL22" s="66">
        <f t="shared" ref="IL22" si="269">II22</f>
        <v>0</v>
      </c>
      <c r="IM22" s="66">
        <f t="shared" si="74"/>
        <v>0</v>
      </c>
      <c r="IN22" s="83"/>
      <c r="IO22" s="102">
        <f t="shared" ref="IO22" si="270">IF(IP22=1,+$GU$3+$HH$8,0)</f>
        <v>0</v>
      </c>
      <c r="IP22" s="66">
        <f t="shared" si="76"/>
        <v>0</v>
      </c>
      <c r="IQ22" s="66">
        <f t="shared" si="77"/>
        <v>0</v>
      </c>
      <c r="IR22" s="83"/>
      <c r="IS22" s="102"/>
      <c r="IT22" s="66">
        <f t="shared" si="78"/>
        <v>0</v>
      </c>
      <c r="IU22" s="66">
        <f t="shared" si="79"/>
        <v>0</v>
      </c>
      <c r="IV22" s="83"/>
      <c r="IW22" s="102"/>
      <c r="IX22" s="66">
        <f t="shared" si="80"/>
        <v>1</v>
      </c>
      <c r="IY22" s="66">
        <f t="shared" si="81"/>
        <v>584</v>
      </c>
      <c r="IZ22" s="83"/>
      <c r="JA22" s="102"/>
      <c r="JB22" s="66">
        <f t="shared" si="82"/>
        <v>0</v>
      </c>
      <c r="JC22" s="66">
        <f t="shared" si="83"/>
        <v>0</v>
      </c>
      <c r="JD22" s="83"/>
      <c r="JE22" s="102"/>
      <c r="JF22" s="66">
        <f t="shared" ref="JF22" si="271">IT22+HQ22+HT22+HZ22+IF22+IL22+IP22+IX22+JB22</f>
        <v>2</v>
      </c>
      <c r="JG22" s="66">
        <f t="shared" ref="JG22" si="272">IU22+HR22+HU22+IA22+IG22+IM22+IQ22+IY22+JC22</f>
        <v>1168</v>
      </c>
      <c r="JH22" s="83"/>
      <c r="JI22" s="102"/>
      <c r="JJ22" s="66">
        <f t="shared" si="85"/>
        <v>1</v>
      </c>
      <c r="JK22" s="66">
        <f t="shared" si="86"/>
        <v>584</v>
      </c>
      <c r="JM22" s="102">
        <f t="shared" ref="JM22" si="273">MAX(IW22,IS22,IO22,IK22,IE22,HY22,HS22,HP22)</f>
        <v>43288</v>
      </c>
      <c r="JO22" s="29">
        <f t="shared" ref="JO22" si="274">SUM(JQ22:KB22)</f>
        <v>0</v>
      </c>
      <c r="JP22" s="122">
        <f t="shared" si="88"/>
        <v>0</v>
      </c>
      <c r="JQ22" s="122">
        <f t="shared" si="89"/>
        <v>0</v>
      </c>
      <c r="JR22" s="122">
        <f t="shared" si="90"/>
        <v>0</v>
      </c>
      <c r="JS22" s="122">
        <f t="shared" si="91"/>
        <v>0</v>
      </c>
      <c r="JT22" s="122">
        <f t="shared" si="92"/>
        <v>0</v>
      </c>
      <c r="JU22" s="122">
        <f t="shared" si="93"/>
        <v>0</v>
      </c>
      <c r="JV22" s="122">
        <f t="shared" si="94"/>
        <v>0</v>
      </c>
      <c r="JW22" s="122">
        <f t="shared" si="95"/>
        <v>0</v>
      </c>
      <c r="JX22" s="122">
        <f t="shared" si="96"/>
        <v>0</v>
      </c>
      <c r="JY22" s="122">
        <f t="shared" si="97"/>
        <v>0</v>
      </c>
      <c r="JZ22" s="122">
        <f t="shared" si="98"/>
        <v>0</v>
      </c>
      <c r="KA22" s="122">
        <f t="shared" si="99"/>
        <v>0</v>
      </c>
      <c r="KB22" s="122">
        <f t="shared" si="100"/>
        <v>0</v>
      </c>
      <c r="KD22" s="122">
        <f t="shared" ref="KD22" si="275">IF(IF(SUM(GA22:GE22)&gt;100,1,0)+IF(FX22=1,1,0)=2,1,0)</f>
        <v>0</v>
      </c>
      <c r="KE22" s="122">
        <f t="shared" ref="KE22" si="276">IF(KD22=1,KF22,0)</f>
        <v>0</v>
      </c>
      <c r="KF22" s="122">
        <f t="shared" si="103"/>
        <v>0</v>
      </c>
      <c r="KG22" s="122">
        <f t="shared" si="104"/>
        <v>0</v>
      </c>
      <c r="KH22" s="122">
        <f t="shared" si="105"/>
        <v>0</v>
      </c>
      <c r="KI22" s="122">
        <f t="shared" si="106"/>
        <v>0</v>
      </c>
      <c r="KJ22" s="122">
        <f t="shared" si="107"/>
        <v>0</v>
      </c>
      <c r="KK22" s="122">
        <f t="shared" si="108"/>
        <v>0</v>
      </c>
      <c r="KL22" s="122">
        <f t="shared" si="109"/>
        <v>0</v>
      </c>
      <c r="KM22" s="122">
        <f t="shared" si="110"/>
        <v>0</v>
      </c>
      <c r="KN22" s="123">
        <f t="shared" si="111"/>
        <v>0</v>
      </c>
      <c r="KO22" s="123">
        <f t="shared" si="112"/>
        <v>0</v>
      </c>
      <c r="KP22" s="123">
        <f t="shared" si="113"/>
        <v>0</v>
      </c>
      <c r="KQ22" s="123">
        <f t="shared" si="114"/>
        <v>0</v>
      </c>
      <c r="KR22" s="123">
        <f t="shared" si="115"/>
        <v>0</v>
      </c>
      <c r="KT22">
        <f t="shared" si="116"/>
        <v>0</v>
      </c>
      <c r="KU22" s="123"/>
      <c r="KV22" s="123"/>
      <c r="KW22" s="123"/>
      <c r="KX22" s="123"/>
      <c r="KY22" s="123"/>
      <c r="KZ22" s="123"/>
      <c r="LA22" s="123"/>
      <c r="LB22" s="123"/>
      <c r="LC22" s="123"/>
      <c r="LD22" s="123"/>
      <c r="LE22" s="123"/>
      <c r="LF22" s="123"/>
      <c r="LG22" s="123"/>
      <c r="LH22" s="123"/>
      <c r="LI22" s="123"/>
      <c r="LJ22" s="123"/>
      <c r="LK22" s="123"/>
      <c r="LL22" s="123"/>
      <c r="LM22" s="123"/>
      <c r="LN22" s="123"/>
      <c r="LO22" s="123"/>
      <c r="LP22" s="123"/>
      <c r="LQ22" s="123"/>
      <c r="LR22" s="123"/>
      <c r="LS22" s="123"/>
      <c r="LT22" s="123"/>
      <c r="LU22" s="123"/>
      <c r="LV22" s="123"/>
      <c r="LW22" s="123"/>
      <c r="LX22" s="123"/>
      <c r="LY22" s="123"/>
      <c r="LZ22" s="123"/>
      <c r="MA22" s="123"/>
      <c r="MB22" s="123"/>
      <c r="MC22" s="123"/>
      <c r="MD22" s="123"/>
      <c r="ME22" s="123"/>
      <c r="MF22" s="123"/>
      <c r="MG22" s="123"/>
      <c r="MH22" s="123"/>
      <c r="MI22" s="123"/>
      <c r="MJ22" s="123"/>
      <c r="MK22" s="123"/>
      <c r="ML22" s="123"/>
      <c r="MM22" s="123"/>
      <c r="MN22" s="123"/>
      <c r="MO22" s="123"/>
      <c r="MP22" s="123"/>
      <c r="MQ22" s="123"/>
      <c r="MR22" s="123"/>
      <c r="MS22" s="123"/>
      <c r="MT22" s="123"/>
      <c r="MU22" s="123"/>
      <c r="MV22" s="123"/>
      <c r="MW22" s="123"/>
      <c r="MX22" s="123"/>
      <c r="MY22" s="123"/>
      <c r="MZ22" s="123"/>
      <c r="NA22" s="123"/>
      <c r="NB22" s="123"/>
      <c r="NC22" s="123"/>
      <c r="ND22" s="123"/>
      <c r="NE22" s="123"/>
      <c r="NF22" s="123"/>
      <c r="NG22" s="123"/>
      <c r="NH22" s="123"/>
      <c r="NI22" s="123"/>
      <c r="NJ22" s="123"/>
      <c r="NK22" s="123"/>
      <c r="NM22">
        <f t="shared" ref="NM22" si="277">IF(KS22=1,1,0)</f>
        <v>0</v>
      </c>
      <c r="NN22">
        <f t="shared" ref="NN22" si="278">IF(KS22=2,1,0)</f>
        <v>0</v>
      </c>
      <c r="NO22">
        <f t="shared" ref="NO22" si="279">IF(KS22=3,1,0)</f>
        <v>0</v>
      </c>
      <c r="NP22">
        <f t="shared" ref="NP22" si="280">IF(KS22=4,1,0)</f>
        <v>0</v>
      </c>
      <c r="NQ22">
        <f t="shared" ref="NQ22" si="281">IF(KS22=5,1,0)</f>
        <v>0</v>
      </c>
      <c r="NR22">
        <f t="shared" ref="NR22" si="282">IF(KS22=6,1,0)</f>
        <v>0</v>
      </c>
      <c r="NS22">
        <f t="shared" ref="NS22" si="283">IF(KS22=7,1,0)</f>
        <v>0</v>
      </c>
      <c r="NT22">
        <f t="shared" ref="NT22" si="284">SUM(NM22:NS22)</f>
        <v>0</v>
      </c>
      <c r="NU22" s="29">
        <f t="shared" ref="NU22" si="285">NT22-KT22</f>
        <v>0</v>
      </c>
      <c r="NY22" s="17">
        <f t="shared" ref="NY22" si="286">V22</f>
        <v>0</v>
      </c>
      <c r="NZ22" s="152">
        <v>11000000</v>
      </c>
      <c r="OE22" s="155">
        <f t="shared" ref="OE22" si="287">D22-J22</f>
        <v>0</v>
      </c>
      <c r="OF22" s="155">
        <f t="shared" ref="OF22" si="288">D22-N22</f>
        <v>0</v>
      </c>
      <c r="OG22" s="155">
        <f t="shared" ref="OG22" si="289">AN22</f>
        <v>0</v>
      </c>
      <c r="OH22" s="155">
        <f t="shared" ref="OH22" si="290">HE22</f>
        <v>1</v>
      </c>
      <c r="OI22" s="155">
        <f t="shared" ref="OI22" si="291">D22-R22</f>
        <v>1</v>
      </c>
      <c r="OJ22" s="67">
        <f t="shared" ref="OJ22" si="292">IF(OG22=1,OF22,0)</f>
        <v>0</v>
      </c>
      <c r="OK22" s="67">
        <f t="shared" ref="OK22" si="293">IF(OH22=1,OF22,0)</f>
        <v>0</v>
      </c>
      <c r="OL22" s="67">
        <f t="shared" ref="OL22" si="294">IF((OG22+OH22)=0,OF22,0)</f>
        <v>0</v>
      </c>
      <c r="OM22" s="67">
        <f t="shared" ref="OM22" si="295">SUM(OJ22:OL22)</f>
        <v>0</v>
      </c>
      <c r="OO22" s="155">
        <f t="shared" ref="OO22" si="296">E22-K22</f>
        <v>0</v>
      </c>
      <c r="OP22" s="155">
        <f t="shared" ref="OP22" si="297">E22-O22</f>
        <v>0</v>
      </c>
      <c r="OQ22" s="155">
        <f t="shared" ref="OQ22" si="298">OG22</f>
        <v>0</v>
      </c>
      <c r="OR22" s="155">
        <f t="shared" ref="OR22" si="299">OH22</f>
        <v>1</v>
      </c>
      <c r="OS22" s="155">
        <f t="shared" ref="OS22" si="300">OI22</f>
        <v>1</v>
      </c>
      <c r="OT22" s="67">
        <f t="shared" ref="OT22" si="301">IF(OQ22=1,OP22,0)</f>
        <v>0</v>
      </c>
      <c r="OU22" s="67">
        <f t="shared" ref="OU22" si="302">IF(OR22=1,OP22,0)</f>
        <v>0</v>
      </c>
      <c r="OV22" s="67">
        <f t="shared" ref="OV22" si="303">IF((OQ22+OR22)=0,OP22,0)</f>
        <v>0</v>
      </c>
      <c r="OW22" s="67">
        <f t="shared" ref="OW22" si="304">SUM(OT22:OV22)</f>
        <v>0</v>
      </c>
      <c r="OZ22" s="163"/>
      <c r="PA22" s="166"/>
      <c r="PB22" s="166"/>
      <c r="PC22" s="166"/>
      <c r="PD22" s="210">
        <f t="shared" si="125"/>
        <v>0</v>
      </c>
      <c r="PE22" s="210"/>
      <c r="PF22" s="210">
        <f t="shared" si="126"/>
        <v>0</v>
      </c>
      <c r="PG22" s="210">
        <f t="shared" si="127"/>
        <v>0</v>
      </c>
      <c r="PH22" s="210">
        <f t="shared" si="127"/>
        <v>0</v>
      </c>
      <c r="PI22" s="210">
        <f t="shared" si="127"/>
        <v>0</v>
      </c>
      <c r="PJ22" s="210">
        <f t="shared" si="127"/>
        <v>0</v>
      </c>
      <c r="PK22" s="210">
        <f t="shared" si="127"/>
        <v>0</v>
      </c>
      <c r="PL22" s="210">
        <f t="shared" si="127"/>
        <v>0</v>
      </c>
      <c r="PM22" s="164"/>
      <c r="PN22" s="164"/>
      <c r="PO22" s="172">
        <f t="shared" ref="PO22" si="305">IF(FC22=1,AB22,0)</f>
        <v>0</v>
      </c>
      <c r="PP22" s="172">
        <f t="shared" ref="PP22" si="306">IF(FF22=1,AB22,0)</f>
        <v>0</v>
      </c>
      <c r="PQ22" s="172">
        <f t="shared" ref="PQ22" si="307">AB22-(PO22+PP22)</f>
        <v>584</v>
      </c>
      <c r="PR22" s="164"/>
      <c r="PS22" s="164"/>
      <c r="PT22" s="164"/>
      <c r="PU22" s="164"/>
    </row>
    <row r="23" spans="1:437 16383:16383" ht="16" x14ac:dyDescent="0.2">
      <c r="A23" s="19">
        <f t="shared" si="189"/>
        <v>15</v>
      </c>
      <c r="B23" s="138" t="s">
        <v>216</v>
      </c>
      <c r="C23" s="138">
        <v>44</v>
      </c>
      <c r="D23" s="20">
        <v>1</v>
      </c>
      <c r="E23" s="188">
        <v>90</v>
      </c>
      <c r="F23" s="20">
        <v>1</v>
      </c>
      <c r="G23" s="20">
        <f t="shared" ref="G23:G33" si="308">E23</f>
        <v>90</v>
      </c>
      <c r="H23" s="137">
        <f t="shared" si="2"/>
        <v>1</v>
      </c>
      <c r="I23" s="137">
        <f t="shared" si="3"/>
        <v>1</v>
      </c>
      <c r="J23" s="20">
        <v>1</v>
      </c>
      <c r="K23" s="20">
        <f t="shared" si="4"/>
        <v>90</v>
      </c>
      <c r="L23" s="137">
        <f t="shared" si="5"/>
        <v>1</v>
      </c>
      <c r="M23" s="137">
        <f t="shared" si="6"/>
        <v>1</v>
      </c>
      <c r="N23" s="20">
        <v>1</v>
      </c>
      <c r="O23" s="20">
        <f t="shared" si="7"/>
        <v>90</v>
      </c>
      <c r="P23" s="137">
        <f t="shared" si="8"/>
        <v>1</v>
      </c>
      <c r="Q23" s="137">
        <f t="shared" si="9"/>
        <v>1</v>
      </c>
      <c r="R23" s="20">
        <v>1</v>
      </c>
      <c r="S23" s="20">
        <f t="shared" si="10"/>
        <v>90</v>
      </c>
      <c r="T23" s="137">
        <f t="shared" si="11"/>
        <v>1</v>
      </c>
      <c r="U23" s="137">
        <f t="shared" si="12"/>
        <v>1</v>
      </c>
      <c r="V23" s="20">
        <v>1</v>
      </c>
      <c r="W23" s="20">
        <f t="shared" si="13"/>
        <v>90</v>
      </c>
      <c r="X23" s="137">
        <f t="shared" si="14"/>
        <v>1</v>
      </c>
      <c r="Y23" s="214">
        <f t="shared" si="15"/>
        <v>1</v>
      </c>
      <c r="Z23" s="271">
        <f>1551058000/1000000000</f>
        <v>1.551058</v>
      </c>
      <c r="AA23" s="188"/>
      <c r="AB23" s="17">
        <f t="shared" si="129"/>
        <v>0</v>
      </c>
      <c r="AC23" s="18">
        <f t="shared" si="130"/>
        <v>0</v>
      </c>
      <c r="AD23" s="18">
        <f t="shared" si="131"/>
        <v>0</v>
      </c>
      <c r="AE23" s="20"/>
      <c r="AF23" s="20">
        <f t="shared" si="132"/>
        <v>0</v>
      </c>
      <c r="AG23" s="20"/>
      <c r="AH23" s="31"/>
      <c r="AI23" s="20">
        <v>0</v>
      </c>
      <c r="AJ23" s="20">
        <f t="shared" si="18"/>
        <v>0</v>
      </c>
      <c r="AK23" s="20"/>
      <c r="AL23" s="20">
        <v>0</v>
      </c>
      <c r="AM23" s="20">
        <v>0</v>
      </c>
      <c r="AN23" s="139"/>
      <c r="BB23" s="20">
        <f t="shared" si="133"/>
        <v>0</v>
      </c>
      <c r="BE23" s="20">
        <f t="shared" si="19"/>
        <v>0</v>
      </c>
      <c r="BF23" s="20">
        <f t="shared" si="20"/>
        <v>0</v>
      </c>
      <c r="BG23" s="20">
        <f t="shared" si="21"/>
        <v>0</v>
      </c>
      <c r="BH23" s="20">
        <f t="shared" si="22"/>
        <v>0</v>
      </c>
      <c r="BI23" s="20">
        <f t="shared" si="23"/>
        <v>0</v>
      </c>
      <c r="BJ23" s="20">
        <f t="shared" si="24"/>
        <v>0</v>
      </c>
      <c r="BK23" s="20">
        <f t="shared" si="134"/>
        <v>0</v>
      </c>
      <c r="BN23" s="140">
        <v>81</v>
      </c>
      <c r="BO23">
        <v>1</v>
      </c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B23" s="139"/>
      <c r="CD23" s="17">
        <f t="shared" si="26"/>
        <v>81</v>
      </c>
      <c r="CE23" s="17">
        <f t="shared" si="135"/>
        <v>81</v>
      </c>
      <c r="CF23" s="20">
        <f t="shared" si="27"/>
        <v>0</v>
      </c>
      <c r="CG23" s="20">
        <f t="shared" si="28"/>
        <v>0</v>
      </c>
      <c r="CH23" s="20">
        <f t="shared" si="29"/>
        <v>0</v>
      </c>
      <c r="CI23" s="20">
        <f t="shared" si="30"/>
        <v>0</v>
      </c>
      <c r="CJ23" s="20">
        <f t="shared" si="31"/>
        <v>0</v>
      </c>
      <c r="CK23" s="20">
        <f t="shared" si="32"/>
        <v>0</v>
      </c>
      <c r="CL23" s="20">
        <f t="shared" si="33"/>
        <v>0</v>
      </c>
      <c r="CM23" s="20">
        <f t="shared" si="34"/>
        <v>0</v>
      </c>
      <c r="CN23" s="20">
        <f t="shared" si="35"/>
        <v>0</v>
      </c>
      <c r="CO23" s="20">
        <f t="shared" si="36"/>
        <v>0</v>
      </c>
      <c r="CP23" s="20">
        <f t="shared" si="37"/>
        <v>0</v>
      </c>
      <c r="DV23" s="20">
        <f t="shared" si="38"/>
        <v>0</v>
      </c>
      <c r="DW23" s="20">
        <f t="shared" si="39"/>
        <v>0</v>
      </c>
      <c r="DX23" s="20">
        <f t="shared" si="40"/>
        <v>0</v>
      </c>
      <c r="DY23" s="20">
        <f t="shared" si="41"/>
        <v>0</v>
      </c>
      <c r="DZ23" s="20">
        <f t="shared" si="42"/>
        <v>0</v>
      </c>
      <c r="EA23" s="20">
        <f t="shared" si="43"/>
        <v>0</v>
      </c>
      <c r="EB23" s="20">
        <f t="shared" si="136"/>
        <v>0</v>
      </c>
      <c r="EG23" s="57">
        <f t="shared" si="137"/>
        <v>0</v>
      </c>
      <c r="EH23" s="57">
        <f t="shared" si="138"/>
        <v>0</v>
      </c>
      <c r="EI23" s="17"/>
      <c r="EJ23" s="17"/>
      <c r="EK23" s="17"/>
      <c r="EL23" s="17"/>
      <c r="EM23" s="17"/>
      <c r="EN23" s="17"/>
      <c r="EO23" s="17"/>
      <c r="EP23" s="17"/>
      <c r="EQ23" s="17"/>
      <c r="ER23" s="189"/>
      <c r="ES23" s="189"/>
      <c r="ET23" s="189"/>
      <c r="EU23" s="189"/>
      <c r="EV23" s="189"/>
      <c r="EW23" s="17"/>
      <c r="EX23" s="17"/>
      <c r="EY23" s="17"/>
      <c r="EZ23" s="189"/>
      <c r="FA23" s="17"/>
      <c r="FB23" s="17"/>
      <c r="FC23" s="17"/>
      <c r="FD23" s="17"/>
      <c r="FE23" s="17"/>
      <c r="FF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X23" s="80">
        <v>1</v>
      </c>
      <c r="FY23" s="17">
        <f t="shared" si="139"/>
        <v>81</v>
      </c>
      <c r="FZ23" s="17">
        <f t="shared" ref="FZ23:FZ59" si="309">DI23+CE23</f>
        <v>81</v>
      </c>
      <c r="GA23" s="17">
        <f t="shared" ref="GA23:GA59" si="310">DJ23+CF23</f>
        <v>0</v>
      </c>
      <c r="GB23" s="17">
        <f t="shared" ref="GB23:GB59" si="311">DK23+CG23</f>
        <v>0</v>
      </c>
      <c r="GC23" s="17">
        <f t="shared" ref="GC23:GC59" si="312">DM23+CI23</f>
        <v>0</v>
      </c>
      <c r="GD23" s="17">
        <f t="shared" ref="GD23:GD59" si="313">DO23+CK23</f>
        <v>0</v>
      </c>
      <c r="GE23" s="17">
        <f t="shared" ref="GE23:GE59" si="314">DT23+CP23</f>
        <v>0</v>
      </c>
      <c r="GF23" s="67"/>
      <c r="GG23" s="17">
        <v>0</v>
      </c>
      <c r="GH23" s="17">
        <v>0</v>
      </c>
      <c r="GI23" s="67"/>
      <c r="GJ23" s="62">
        <f t="shared" si="140"/>
        <v>0</v>
      </c>
      <c r="GK23" s="62">
        <f t="shared" si="141"/>
        <v>0</v>
      </c>
      <c r="GO23" s="17">
        <f t="shared" ref="GO23:GO59" si="315">D23-F23</f>
        <v>0</v>
      </c>
      <c r="GP23" s="17">
        <f t="shared" ref="GP23:GP59" si="316">D23-J23</f>
        <v>0</v>
      </c>
      <c r="GQ23" s="17">
        <f t="shared" ref="GQ23:GQ59" si="317">D23-N23</f>
        <v>0</v>
      </c>
      <c r="GR23" s="17">
        <f t="shared" ref="GR23:GR59" si="318">D23-R23</f>
        <v>0</v>
      </c>
      <c r="GS23" s="17">
        <f t="shared" ref="GS23:GS59" si="319">D23-V23</f>
        <v>0</v>
      </c>
      <c r="GT23" s="17">
        <f t="shared" si="142"/>
        <v>1</v>
      </c>
      <c r="GU23" s="101">
        <f t="shared" si="143"/>
        <v>43243</v>
      </c>
      <c r="GV23" s="17" t="str">
        <f t="shared" si="144"/>
        <v>SELESAI</v>
      </c>
      <c r="GW23" s="17">
        <f t="shared" si="145"/>
        <v>0</v>
      </c>
      <c r="GX23" s="66" t="str">
        <f t="shared" si="146"/>
        <v>SELESAI</v>
      </c>
      <c r="GY23" s="66">
        <f t="shared" si="147"/>
        <v>0</v>
      </c>
      <c r="GZ23" s="102" t="str">
        <f t="shared" si="148"/>
        <v>SELESAI</v>
      </c>
      <c r="HA23" s="83"/>
      <c r="HB23" s="83"/>
      <c r="HC23" s="17">
        <f t="shared" ref="HC23:HC59" si="320">IF(BH23&gt;0,1,IF(BI23&gt;0,1,0))</f>
        <v>0</v>
      </c>
      <c r="HD23" s="17">
        <f t="shared" ref="HD23:HD59" si="321">IF(CB23&gt;0,1,0)</f>
        <v>0</v>
      </c>
      <c r="HE23" s="17">
        <f t="shared" si="149"/>
        <v>0</v>
      </c>
      <c r="HF23" s="17">
        <f t="shared" si="150"/>
        <v>0</v>
      </c>
      <c r="HG23" s="17">
        <f t="shared" si="151"/>
        <v>0</v>
      </c>
      <c r="HH23" s="101" t="str">
        <f t="shared" si="58"/>
        <v>TIDAK KONSINYASI</v>
      </c>
      <c r="HI23" s="101" t="str">
        <f t="shared" si="152"/>
        <v>SELESAI</v>
      </c>
      <c r="HJ23" s="27"/>
      <c r="HK23" s="101">
        <f t="shared" si="59"/>
        <v>0</v>
      </c>
      <c r="HL23" s="83"/>
      <c r="HM23" s="83"/>
      <c r="HN23" s="83"/>
      <c r="HO23" s="83"/>
      <c r="HP23" s="102">
        <f t="shared" si="153"/>
        <v>0</v>
      </c>
      <c r="HQ23" s="66">
        <f t="shared" si="154"/>
        <v>0</v>
      </c>
      <c r="HR23" s="66">
        <f t="shared" ref="HR23:HR59" si="322">IF(HQ23=1,E23,0)</f>
        <v>0</v>
      </c>
      <c r="HS23" s="102">
        <f t="shared" si="155"/>
        <v>0</v>
      </c>
      <c r="HT23" s="66">
        <f t="shared" si="156"/>
        <v>0</v>
      </c>
      <c r="HU23" s="66">
        <f t="shared" ref="HU23:HU59" si="323">IF(HT23=1,E23,0)</f>
        <v>0</v>
      </c>
      <c r="HV23" s="102">
        <f t="shared" si="157"/>
        <v>0</v>
      </c>
      <c r="HW23" s="66">
        <f t="shared" si="62"/>
        <v>0</v>
      </c>
      <c r="HX23" s="66">
        <f t="shared" ref="HX23:HX59" si="324">IF(HW23=1,E23,0)</f>
        <v>0</v>
      </c>
      <c r="HY23" s="102">
        <f t="shared" si="64"/>
        <v>0</v>
      </c>
      <c r="HZ23" s="66">
        <f t="shared" si="158"/>
        <v>0</v>
      </c>
      <c r="IA23" s="66">
        <f t="shared" ref="IA23:IA59" si="325">IF(HZ23=1,E23,0)</f>
        <v>0</v>
      </c>
      <c r="IB23" s="102">
        <f t="shared" si="159"/>
        <v>0</v>
      </c>
      <c r="IC23" s="66">
        <f t="shared" si="66"/>
        <v>0</v>
      </c>
      <c r="ID23" s="66">
        <f t="shared" ref="ID23:ID59" si="326">IF(IC23=1,E23,0)</f>
        <v>0</v>
      </c>
      <c r="IE23" s="102">
        <f t="shared" si="68"/>
        <v>0</v>
      </c>
      <c r="IF23" s="66">
        <f t="shared" si="69"/>
        <v>0</v>
      </c>
      <c r="IG23" s="66">
        <f t="shared" ref="IG23:IG59" si="327">IF(IF23=1,E23,0)</f>
        <v>0</v>
      </c>
      <c r="IH23" s="102">
        <f t="shared" si="160"/>
        <v>0</v>
      </c>
      <c r="II23" s="66">
        <f t="shared" si="161"/>
        <v>0</v>
      </c>
      <c r="IJ23" s="66">
        <f t="shared" ref="IJ23:IJ59" si="328">IF(II23=1,E23,0)</f>
        <v>0</v>
      </c>
      <c r="IK23" s="102">
        <f t="shared" si="72"/>
        <v>0</v>
      </c>
      <c r="IL23" s="66">
        <f t="shared" si="73"/>
        <v>0</v>
      </c>
      <c r="IM23" s="66">
        <f t="shared" ref="IM23:IM59" si="329">IF(IL23=1,E23,0)</f>
        <v>0</v>
      </c>
      <c r="IN23" s="83"/>
      <c r="IO23" s="102">
        <f t="shared" si="75"/>
        <v>0</v>
      </c>
      <c r="IP23" s="66">
        <f t="shared" ref="IP23:IP59" si="330">IF(BG23&gt;0,1,0)</f>
        <v>0</v>
      </c>
      <c r="IQ23" s="66">
        <f t="shared" ref="IQ23:IQ59" si="331">IF(IP23=1,E23,0)</f>
        <v>0</v>
      </c>
      <c r="IR23" s="83"/>
      <c r="IS23" s="102"/>
      <c r="IT23" s="66">
        <f t="shared" ref="IT23:IT59" si="332">V23</f>
        <v>1</v>
      </c>
      <c r="IU23" s="66">
        <f t="shared" ref="IU23:IU59" si="333">W23</f>
        <v>90</v>
      </c>
      <c r="IV23" s="83"/>
      <c r="IW23" s="102"/>
      <c r="IX23" s="66">
        <f t="shared" ref="IX23:IX59" si="334">AA23</f>
        <v>0</v>
      </c>
      <c r="IY23" s="66">
        <f t="shared" ref="IY23:IY59" si="335">AB23</f>
        <v>0</v>
      </c>
      <c r="IZ23" s="83"/>
      <c r="JA23" s="102"/>
      <c r="JB23" s="66">
        <f t="shared" ref="JB23:JB59" si="336">AN23</f>
        <v>0</v>
      </c>
      <c r="JC23" s="66">
        <f t="shared" ref="JC23:JC59" si="337">BB23</f>
        <v>0</v>
      </c>
      <c r="JD23" s="83"/>
      <c r="JE23" s="102"/>
      <c r="JF23" s="66">
        <f t="shared" si="162"/>
        <v>1</v>
      </c>
      <c r="JG23" s="66">
        <f t="shared" si="84"/>
        <v>90</v>
      </c>
      <c r="JH23" s="83"/>
      <c r="JI23" s="102"/>
      <c r="JJ23" s="66">
        <f t="shared" ref="JJ23:JJ59" si="338">JF23-D23</f>
        <v>0</v>
      </c>
      <c r="JK23" s="66">
        <f t="shared" ref="JK23:JK59" si="339">JG23-E23</f>
        <v>0</v>
      </c>
      <c r="JM23" s="102">
        <f t="shared" si="163"/>
        <v>0</v>
      </c>
      <c r="JO23" s="29">
        <f t="shared" si="87"/>
        <v>1</v>
      </c>
      <c r="JP23" s="122">
        <f t="shared" ref="JP23:JP59" si="340">BN23+CR23</f>
        <v>81</v>
      </c>
      <c r="JQ23" s="122">
        <f t="shared" ref="JQ23:JQ59" si="341">IF(BO23+CS23=2,1,IF(BO23+CS23=1,1,0))</f>
        <v>1</v>
      </c>
      <c r="JR23" s="122">
        <f t="shared" ref="JR23:JR59" si="342">IF(BP23+CT23=2,1,IF(BP23+CT23=1,1,0))</f>
        <v>0</v>
      </c>
      <c r="JS23" s="122">
        <f t="shared" ref="JS23:JS59" si="343">IF(BQ23+CU23=2,1,IF(BQ23+CU23=1,1,0))</f>
        <v>0</v>
      </c>
      <c r="JT23" s="122">
        <f t="shared" ref="JT23:JT59" si="344">IF(BR23+CV23=2,1,IF(BR23+CV23=1,1,0))</f>
        <v>0</v>
      </c>
      <c r="JU23" s="122">
        <f t="shared" ref="JU23:JU59" si="345">IF(BS23+CW23=2,1,IF(BS23+CW23=1,1,0))</f>
        <v>0</v>
      </c>
      <c r="JV23" s="122">
        <f t="shared" ref="JV23:JV59" si="346">IF(BT23+CX23=2,1,IF(BT23+CX23=1,1,0))</f>
        <v>0</v>
      </c>
      <c r="JW23" s="122">
        <f t="shared" ref="JW23:JW59" si="347">IF(BU23+CY23=2,1,IF(BU23+CY23=1,1,0))</f>
        <v>0</v>
      </c>
      <c r="JX23" s="122">
        <f t="shared" ref="JX23:JX59" si="348">IF(BV23+CZ23=2,1,IF(BV23+CZ23=1,1,0))</f>
        <v>0</v>
      </c>
      <c r="JY23" s="122">
        <f t="shared" ref="JY23:JY59" si="349">IF(BW23+DA23=2,1,IF(BW23+DA23=1,1,0))</f>
        <v>0</v>
      </c>
      <c r="JZ23" s="122">
        <f t="shared" ref="JZ23:JZ59" si="350">IF(BX23+DB23=2,1,IF(BX23+DB23=1,1,0))</f>
        <v>0</v>
      </c>
      <c r="KA23" s="122">
        <f t="shared" ref="KA23:KA59" si="351">IF(BY23+DC23=2,1,IF(BY23+DC23=1,1,0))</f>
        <v>0</v>
      </c>
      <c r="KB23" s="122">
        <f t="shared" ref="KB23:KB59" si="352">IF(BZ23+DD23=2,1,IF(BZ23+DD23=1,1,0))</f>
        <v>0</v>
      </c>
      <c r="KD23" s="122">
        <f t="shared" si="164"/>
        <v>0</v>
      </c>
      <c r="KE23" s="122">
        <f t="shared" si="102"/>
        <v>0</v>
      </c>
      <c r="KF23" s="122">
        <f t="shared" ref="KF23:KF59" si="353">CD23+DH23</f>
        <v>81</v>
      </c>
      <c r="KG23" s="122">
        <f t="shared" ref="KG23:KG59" si="354">CE23+DI23</f>
        <v>81</v>
      </c>
      <c r="KH23" s="122">
        <f t="shared" ref="KH23:KH59" si="355">CF23+DJ23</f>
        <v>0</v>
      </c>
      <c r="KI23" s="122">
        <f t="shared" ref="KI23:KI59" si="356">CG23+DK23</f>
        <v>0</v>
      </c>
      <c r="KJ23" s="122">
        <f t="shared" ref="KJ23:KJ59" si="357">CH23+DL23</f>
        <v>0</v>
      </c>
      <c r="KK23" s="122">
        <f t="shared" ref="KK23:KK59" si="358">CI23+DM23</f>
        <v>0</v>
      </c>
      <c r="KL23" s="122">
        <f t="shared" ref="KL23:KL59" si="359">CJ23+DN23</f>
        <v>0</v>
      </c>
      <c r="KM23" s="122">
        <f t="shared" ref="KM23:KM59" si="360">CK23+DO23</f>
        <v>0</v>
      </c>
      <c r="KN23" s="123">
        <f t="shared" ref="KN23:KN59" si="361">CL23+DP23</f>
        <v>0</v>
      </c>
      <c r="KO23" s="123">
        <f t="shared" ref="KO23:KO59" si="362">CM23+DQ23</f>
        <v>0</v>
      </c>
      <c r="KP23" s="123">
        <f t="shared" ref="KP23:KP59" si="363">CN23+DR23</f>
        <v>0</v>
      </c>
      <c r="KQ23" s="123">
        <f t="shared" ref="KQ23:KQ59" si="364">CO23+DS23</f>
        <v>0</v>
      </c>
      <c r="KR23" s="123">
        <f t="shared" ref="KR23:KR59" si="365">CP23+DT23</f>
        <v>0</v>
      </c>
      <c r="KT23">
        <f t="shared" ref="KT23:KT59" si="366">AN23</f>
        <v>0</v>
      </c>
      <c r="KU23" s="123"/>
      <c r="KV23" s="123"/>
      <c r="KW23" s="123"/>
      <c r="KX23" s="123"/>
      <c r="KY23" s="123"/>
      <c r="KZ23" s="123"/>
      <c r="LA23" s="123"/>
      <c r="LB23" s="123"/>
      <c r="LC23" s="123"/>
      <c r="LD23" s="123"/>
      <c r="LE23" s="123"/>
      <c r="LF23" s="123"/>
      <c r="LG23" s="123"/>
      <c r="LH23" s="123"/>
      <c r="LI23" s="123"/>
      <c r="LJ23" s="123"/>
      <c r="LK23" s="123"/>
      <c r="LL23" s="123"/>
      <c r="LM23" s="123"/>
      <c r="LN23" s="123"/>
      <c r="LO23" s="123"/>
      <c r="LP23" s="123"/>
      <c r="LQ23" s="123"/>
      <c r="LR23" s="123"/>
      <c r="LS23" s="123"/>
      <c r="LT23" s="123"/>
      <c r="LU23" s="123"/>
      <c r="LV23" s="123"/>
      <c r="LW23" s="123"/>
      <c r="LX23" s="123"/>
      <c r="LY23" s="123"/>
      <c r="LZ23" s="123"/>
      <c r="MA23" s="123"/>
      <c r="MB23" s="123"/>
      <c r="MC23" s="123"/>
      <c r="MD23" s="123"/>
      <c r="ME23" s="123"/>
      <c r="MF23" s="123"/>
      <c r="MG23" s="123"/>
      <c r="MH23" s="123"/>
      <c r="MI23" s="123"/>
      <c r="MJ23" s="123"/>
      <c r="MK23" s="123"/>
      <c r="ML23" s="123"/>
      <c r="MM23" s="123"/>
      <c r="MN23" s="123"/>
      <c r="MO23" s="123"/>
      <c r="MP23" s="123"/>
      <c r="MQ23" s="123"/>
      <c r="MR23" s="123"/>
      <c r="MS23" s="123"/>
      <c r="MT23" s="123"/>
      <c r="MU23" s="123"/>
      <c r="MV23" s="123"/>
      <c r="MW23" s="123"/>
      <c r="MX23" s="123"/>
      <c r="MY23" s="123"/>
      <c r="MZ23" s="123"/>
      <c r="NA23" s="123"/>
      <c r="NB23" s="123"/>
      <c r="NC23" s="123"/>
      <c r="ND23" s="123"/>
      <c r="NE23" s="123"/>
      <c r="NF23" s="123"/>
      <c r="NG23" s="123"/>
      <c r="NH23" s="123"/>
      <c r="NI23" s="123"/>
      <c r="NJ23" s="123"/>
      <c r="NK23" s="123"/>
      <c r="NM23">
        <f t="shared" si="165"/>
        <v>0</v>
      </c>
      <c r="NN23">
        <f t="shared" si="166"/>
        <v>0</v>
      </c>
      <c r="NO23">
        <f t="shared" si="167"/>
        <v>0</v>
      </c>
      <c r="NP23">
        <f t="shared" si="168"/>
        <v>0</v>
      </c>
      <c r="NQ23">
        <f t="shared" si="169"/>
        <v>0</v>
      </c>
      <c r="NR23">
        <f t="shared" si="170"/>
        <v>0</v>
      </c>
      <c r="NS23">
        <f t="shared" si="171"/>
        <v>0</v>
      </c>
      <c r="NT23">
        <f t="shared" si="172"/>
        <v>0</v>
      </c>
      <c r="NU23" s="29">
        <f t="shared" si="173"/>
        <v>0</v>
      </c>
      <c r="NY23" s="17">
        <f t="shared" si="118"/>
        <v>1</v>
      </c>
      <c r="NZ23" s="152">
        <v>11000000</v>
      </c>
      <c r="OE23" s="155">
        <f t="shared" si="119"/>
        <v>0</v>
      </c>
      <c r="OF23" s="155">
        <f t="shared" si="120"/>
        <v>0</v>
      </c>
      <c r="OG23" s="155">
        <f t="shared" si="121"/>
        <v>0</v>
      </c>
      <c r="OH23" s="155">
        <f t="shared" si="174"/>
        <v>0</v>
      </c>
      <c r="OI23" s="155">
        <f t="shared" si="122"/>
        <v>0</v>
      </c>
      <c r="OJ23" s="67">
        <f t="shared" si="175"/>
        <v>0</v>
      </c>
      <c r="OK23" s="67">
        <f t="shared" si="176"/>
        <v>0</v>
      </c>
      <c r="OL23" s="67">
        <f t="shared" si="177"/>
        <v>0</v>
      </c>
      <c r="OM23" s="67">
        <f t="shared" si="178"/>
        <v>0</v>
      </c>
      <c r="OO23" s="155">
        <f t="shared" si="123"/>
        <v>0</v>
      </c>
      <c r="OP23" s="155">
        <f t="shared" si="124"/>
        <v>0</v>
      </c>
      <c r="OQ23" s="155">
        <f t="shared" si="179"/>
        <v>0</v>
      </c>
      <c r="OR23" s="155">
        <f t="shared" si="180"/>
        <v>0</v>
      </c>
      <c r="OS23" s="155">
        <f t="shared" si="181"/>
        <v>0</v>
      </c>
      <c r="OT23" s="67">
        <f t="shared" si="182"/>
        <v>0</v>
      </c>
      <c r="OU23" s="67">
        <f t="shared" si="183"/>
        <v>0</v>
      </c>
      <c r="OV23" s="67">
        <f t="shared" si="184"/>
        <v>0</v>
      </c>
      <c r="OW23" s="67">
        <f t="shared" si="185"/>
        <v>0</v>
      </c>
      <c r="OZ23" s="163"/>
      <c r="PA23" s="166"/>
      <c r="PB23" s="166"/>
      <c r="PC23" s="166"/>
      <c r="PD23" s="210">
        <f t="shared" si="125"/>
        <v>0</v>
      </c>
      <c r="PE23" s="210"/>
      <c r="PF23" s="210">
        <f t="shared" si="126"/>
        <v>0</v>
      </c>
      <c r="PG23" s="210">
        <f t="shared" si="127"/>
        <v>0</v>
      </c>
      <c r="PH23" s="210">
        <f t="shared" si="127"/>
        <v>0</v>
      </c>
      <c r="PI23" s="210">
        <f t="shared" si="127"/>
        <v>0</v>
      </c>
      <c r="PJ23" s="210">
        <f t="shared" si="127"/>
        <v>0</v>
      </c>
      <c r="PK23" s="210">
        <f t="shared" si="127"/>
        <v>0</v>
      </c>
      <c r="PL23" s="210">
        <f t="shared" si="127"/>
        <v>0</v>
      </c>
      <c r="PM23" s="164"/>
      <c r="PN23" s="164"/>
      <c r="PO23" s="172">
        <f t="shared" si="186"/>
        <v>0</v>
      </c>
      <c r="PP23" s="172">
        <f t="shared" si="187"/>
        <v>0</v>
      </c>
      <c r="PQ23" s="172">
        <f t="shared" si="188"/>
        <v>0</v>
      </c>
      <c r="PR23" s="164"/>
      <c r="PS23" s="164"/>
      <c r="PT23" s="164"/>
      <c r="PU23" s="164"/>
    </row>
    <row r="24" spans="1:437 16383:16383" ht="16" x14ac:dyDescent="0.2">
      <c r="A24" s="19">
        <f t="shared" si="189"/>
        <v>16</v>
      </c>
      <c r="B24" s="138" t="s">
        <v>217</v>
      </c>
      <c r="C24" s="138">
        <v>45</v>
      </c>
      <c r="D24" s="20">
        <v>1</v>
      </c>
      <c r="E24" s="20">
        <v>90</v>
      </c>
      <c r="F24" s="20">
        <v>1</v>
      </c>
      <c r="G24" s="20">
        <f t="shared" si="308"/>
        <v>90</v>
      </c>
      <c r="H24" s="137">
        <f t="shared" si="2"/>
        <v>1</v>
      </c>
      <c r="I24" s="137">
        <f t="shared" si="3"/>
        <v>1</v>
      </c>
      <c r="J24" s="20">
        <v>1</v>
      </c>
      <c r="K24" s="20">
        <f t="shared" si="4"/>
        <v>90</v>
      </c>
      <c r="L24" s="137">
        <f t="shared" si="5"/>
        <v>1</v>
      </c>
      <c r="M24" s="137">
        <f t="shared" si="6"/>
        <v>1</v>
      </c>
      <c r="N24" s="20">
        <v>1</v>
      </c>
      <c r="O24" s="20">
        <f t="shared" si="7"/>
        <v>90</v>
      </c>
      <c r="P24" s="137">
        <f t="shared" si="8"/>
        <v>1</v>
      </c>
      <c r="Q24" s="137">
        <f t="shared" si="9"/>
        <v>1</v>
      </c>
      <c r="R24" s="20">
        <v>1</v>
      </c>
      <c r="S24" s="20">
        <f t="shared" si="10"/>
        <v>90</v>
      </c>
      <c r="T24" s="137">
        <f t="shared" si="11"/>
        <v>1</v>
      </c>
      <c r="U24" s="137">
        <f t="shared" si="12"/>
        <v>1</v>
      </c>
      <c r="V24" s="20">
        <v>1</v>
      </c>
      <c r="W24" s="20">
        <f t="shared" si="13"/>
        <v>90</v>
      </c>
      <c r="X24" s="137">
        <f t="shared" si="14"/>
        <v>1</v>
      </c>
      <c r="Y24" s="137">
        <f t="shared" si="15"/>
        <v>1</v>
      </c>
      <c r="Z24" s="59">
        <f>1544500000/1000000000</f>
        <v>1.5445</v>
      </c>
      <c r="AA24" s="20"/>
      <c r="AB24" s="17">
        <f t="shared" si="129"/>
        <v>0</v>
      </c>
      <c r="AC24" s="18">
        <f t="shared" si="130"/>
        <v>0</v>
      </c>
      <c r="AD24" s="18">
        <f t="shared" si="131"/>
        <v>0</v>
      </c>
      <c r="AE24" s="20"/>
      <c r="AF24" s="20">
        <f t="shared" si="132"/>
        <v>0</v>
      </c>
      <c r="AG24" s="20"/>
      <c r="AH24" s="31"/>
      <c r="AI24" s="20">
        <v>0</v>
      </c>
      <c r="AJ24" s="20">
        <f t="shared" si="18"/>
        <v>0</v>
      </c>
      <c r="AK24" s="20"/>
      <c r="AL24" s="20">
        <v>0</v>
      </c>
      <c r="AM24" s="20">
        <v>0</v>
      </c>
      <c r="AN24" s="139"/>
      <c r="BB24" s="20">
        <f t="shared" si="133"/>
        <v>0</v>
      </c>
      <c r="BE24" s="20">
        <f t="shared" si="19"/>
        <v>0</v>
      </c>
      <c r="BF24" s="20">
        <f t="shared" si="20"/>
        <v>0</v>
      </c>
      <c r="BG24" s="20">
        <f t="shared" si="21"/>
        <v>0</v>
      </c>
      <c r="BH24" s="20">
        <f t="shared" si="22"/>
        <v>0</v>
      </c>
      <c r="BI24" s="20">
        <f t="shared" si="23"/>
        <v>0</v>
      </c>
      <c r="BJ24" s="20">
        <f t="shared" si="24"/>
        <v>0</v>
      </c>
      <c r="BK24" s="20">
        <f t="shared" si="134"/>
        <v>0</v>
      </c>
      <c r="BN24" s="140">
        <v>81</v>
      </c>
      <c r="BO24">
        <v>1</v>
      </c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B24" s="139"/>
      <c r="CD24" s="17">
        <f t="shared" si="26"/>
        <v>81</v>
      </c>
      <c r="CE24" s="17">
        <f t="shared" si="135"/>
        <v>81</v>
      </c>
      <c r="CF24" s="20">
        <f t="shared" si="27"/>
        <v>0</v>
      </c>
      <c r="CG24" s="20">
        <f t="shared" si="28"/>
        <v>0</v>
      </c>
      <c r="CH24" s="20">
        <f t="shared" si="29"/>
        <v>0</v>
      </c>
      <c r="CI24" s="20">
        <f t="shared" si="30"/>
        <v>0</v>
      </c>
      <c r="CJ24" s="20">
        <f t="shared" si="31"/>
        <v>0</v>
      </c>
      <c r="CK24" s="20">
        <f t="shared" si="32"/>
        <v>0</v>
      </c>
      <c r="CL24" s="20">
        <f t="shared" si="33"/>
        <v>0</v>
      </c>
      <c r="CM24" s="20">
        <f t="shared" si="34"/>
        <v>0</v>
      </c>
      <c r="CN24" s="20">
        <f t="shared" si="35"/>
        <v>0</v>
      </c>
      <c r="CO24" s="20">
        <f t="shared" si="36"/>
        <v>0</v>
      </c>
      <c r="CP24" s="20">
        <f t="shared" si="37"/>
        <v>0</v>
      </c>
      <c r="DV24" s="20">
        <f t="shared" si="38"/>
        <v>0</v>
      </c>
      <c r="DW24" s="20">
        <f t="shared" si="39"/>
        <v>0</v>
      </c>
      <c r="DX24" s="20">
        <f t="shared" si="40"/>
        <v>0</v>
      </c>
      <c r="DY24" s="20">
        <f t="shared" si="41"/>
        <v>0</v>
      </c>
      <c r="DZ24" s="20">
        <f t="shared" si="42"/>
        <v>0</v>
      </c>
      <c r="EA24" s="20">
        <f t="shared" si="43"/>
        <v>0</v>
      </c>
      <c r="EB24" s="20">
        <f t="shared" si="136"/>
        <v>0</v>
      </c>
      <c r="EG24" s="57">
        <f t="shared" si="137"/>
        <v>0</v>
      </c>
      <c r="EH24" s="57">
        <f t="shared" si="138"/>
        <v>0</v>
      </c>
      <c r="EI24" s="17"/>
      <c r="EJ24" s="17"/>
      <c r="EK24" s="17"/>
      <c r="EL24" s="17"/>
      <c r="EM24" s="17"/>
      <c r="EN24" s="17"/>
      <c r="EO24" s="17"/>
      <c r="EP24" s="17"/>
      <c r="EQ24" s="17"/>
      <c r="ER24" s="189"/>
      <c r="ES24" s="189"/>
      <c r="ET24" s="189"/>
      <c r="EU24" s="189"/>
      <c r="EV24" s="189"/>
      <c r="EW24" s="17"/>
      <c r="EX24" s="17"/>
      <c r="EY24" s="17"/>
      <c r="EZ24" s="189"/>
      <c r="FA24" s="17"/>
      <c r="FB24" s="17"/>
      <c r="FC24" s="17"/>
      <c r="FD24" s="17"/>
      <c r="FE24" s="17"/>
      <c r="FF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X24" s="80">
        <v>1</v>
      </c>
      <c r="FY24" s="17">
        <f t="shared" si="139"/>
        <v>81</v>
      </c>
      <c r="FZ24" s="17">
        <f t="shared" si="309"/>
        <v>81</v>
      </c>
      <c r="GA24" s="17">
        <f t="shared" si="310"/>
        <v>0</v>
      </c>
      <c r="GB24" s="17">
        <f t="shared" si="311"/>
        <v>0</v>
      </c>
      <c r="GC24" s="17">
        <f t="shared" si="312"/>
        <v>0</v>
      </c>
      <c r="GD24" s="17">
        <f t="shared" si="313"/>
        <v>0</v>
      </c>
      <c r="GE24" s="17">
        <f t="shared" si="314"/>
        <v>0</v>
      </c>
      <c r="GF24" s="67"/>
      <c r="GG24" s="17">
        <v>0</v>
      </c>
      <c r="GH24" s="17">
        <v>0</v>
      </c>
      <c r="GI24" s="67"/>
      <c r="GJ24" s="62">
        <f t="shared" si="140"/>
        <v>0</v>
      </c>
      <c r="GK24" s="62">
        <f t="shared" si="141"/>
        <v>0</v>
      </c>
      <c r="GO24" s="17">
        <f t="shared" si="315"/>
        <v>0</v>
      </c>
      <c r="GP24" s="17">
        <f t="shared" si="316"/>
        <v>0</v>
      </c>
      <c r="GQ24" s="17">
        <f t="shared" si="317"/>
        <v>0</v>
      </c>
      <c r="GR24" s="17">
        <f t="shared" si="318"/>
        <v>0</v>
      </c>
      <c r="GS24" s="17">
        <f t="shared" si="319"/>
        <v>0</v>
      </c>
      <c r="GT24" s="17">
        <f t="shared" si="142"/>
        <v>1</v>
      </c>
      <c r="GU24" s="101">
        <f t="shared" si="143"/>
        <v>43243</v>
      </c>
      <c r="GV24" s="17" t="str">
        <f t="shared" si="144"/>
        <v>SELESAI</v>
      </c>
      <c r="GW24" s="17">
        <f t="shared" si="145"/>
        <v>0</v>
      </c>
      <c r="GX24" s="66" t="str">
        <f t="shared" si="146"/>
        <v>SELESAI</v>
      </c>
      <c r="GY24" s="66">
        <f t="shared" si="147"/>
        <v>0</v>
      </c>
      <c r="GZ24" s="102" t="str">
        <f t="shared" si="148"/>
        <v>SELESAI</v>
      </c>
      <c r="HA24" s="83"/>
      <c r="HB24" s="83"/>
      <c r="HC24" s="17">
        <f t="shared" si="320"/>
        <v>0</v>
      </c>
      <c r="HD24" s="17">
        <f t="shared" si="321"/>
        <v>0</v>
      </c>
      <c r="HE24" s="17">
        <f t="shared" si="149"/>
        <v>0</v>
      </c>
      <c r="HF24" s="17">
        <f t="shared" si="150"/>
        <v>0</v>
      </c>
      <c r="HG24" s="17">
        <f t="shared" si="151"/>
        <v>0</v>
      </c>
      <c r="HH24" s="101" t="str">
        <f t="shared" si="58"/>
        <v>TIDAK KONSINYASI</v>
      </c>
      <c r="HI24" s="101" t="str">
        <f t="shared" si="152"/>
        <v>SELESAI</v>
      </c>
      <c r="HJ24" s="27"/>
      <c r="HK24" s="101">
        <f t="shared" si="59"/>
        <v>0</v>
      </c>
      <c r="HL24" s="83"/>
      <c r="HM24" s="83"/>
      <c r="HN24" s="83"/>
      <c r="HO24" s="83"/>
      <c r="HP24" s="102">
        <f t="shared" si="153"/>
        <v>0</v>
      </c>
      <c r="HQ24" s="66">
        <f t="shared" si="154"/>
        <v>0</v>
      </c>
      <c r="HR24" s="66">
        <f t="shared" si="322"/>
        <v>0</v>
      </c>
      <c r="HS24" s="102">
        <f t="shared" si="155"/>
        <v>0</v>
      </c>
      <c r="HT24" s="66">
        <f t="shared" si="156"/>
        <v>0</v>
      </c>
      <c r="HU24" s="66">
        <f t="shared" si="323"/>
        <v>0</v>
      </c>
      <c r="HV24" s="102">
        <f t="shared" si="157"/>
        <v>0</v>
      </c>
      <c r="HW24" s="66">
        <f t="shared" si="62"/>
        <v>0</v>
      </c>
      <c r="HX24" s="66">
        <f t="shared" si="324"/>
        <v>0</v>
      </c>
      <c r="HY24" s="102">
        <f t="shared" si="64"/>
        <v>0</v>
      </c>
      <c r="HZ24" s="66">
        <f t="shared" si="158"/>
        <v>0</v>
      </c>
      <c r="IA24" s="66">
        <f t="shared" si="325"/>
        <v>0</v>
      </c>
      <c r="IB24" s="102">
        <f t="shared" si="159"/>
        <v>0</v>
      </c>
      <c r="IC24" s="66">
        <f t="shared" si="66"/>
        <v>0</v>
      </c>
      <c r="ID24" s="66">
        <f t="shared" si="326"/>
        <v>0</v>
      </c>
      <c r="IE24" s="102">
        <f t="shared" si="68"/>
        <v>0</v>
      </c>
      <c r="IF24" s="66">
        <f t="shared" si="69"/>
        <v>0</v>
      </c>
      <c r="IG24" s="66">
        <f t="shared" si="327"/>
        <v>0</v>
      </c>
      <c r="IH24" s="102">
        <f t="shared" si="160"/>
        <v>0</v>
      </c>
      <c r="II24" s="66">
        <f t="shared" si="161"/>
        <v>0</v>
      </c>
      <c r="IJ24" s="66">
        <f t="shared" si="328"/>
        <v>0</v>
      </c>
      <c r="IK24" s="102">
        <f t="shared" si="72"/>
        <v>0</v>
      </c>
      <c r="IL24" s="66">
        <f t="shared" si="73"/>
        <v>0</v>
      </c>
      <c r="IM24" s="66">
        <f t="shared" si="329"/>
        <v>0</v>
      </c>
      <c r="IN24" s="83"/>
      <c r="IO24" s="102">
        <f t="shared" si="75"/>
        <v>0</v>
      </c>
      <c r="IP24" s="66">
        <f t="shared" si="330"/>
        <v>0</v>
      </c>
      <c r="IQ24" s="66">
        <f t="shared" si="331"/>
        <v>0</v>
      </c>
      <c r="IR24" s="83"/>
      <c r="IS24" s="102"/>
      <c r="IT24" s="66">
        <f t="shared" si="332"/>
        <v>1</v>
      </c>
      <c r="IU24" s="66">
        <f t="shared" si="333"/>
        <v>90</v>
      </c>
      <c r="IV24" s="83"/>
      <c r="IW24" s="102"/>
      <c r="IX24" s="66">
        <f t="shared" si="334"/>
        <v>0</v>
      </c>
      <c r="IY24" s="66">
        <f t="shared" si="335"/>
        <v>0</v>
      </c>
      <c r="IZ24" s="83"/>
      <c r="JA24" s="102"/>
      <c r="JB24" s="66">
        <f t="shared" si="336"/>
        <v>0</v>
      </c>
      <c r="JC24" s="66">
        <f t="shared" si="337"/>
        <v>0</v>
      </c>
      <c r="JD24" s="83"/>
      <c r="JE24" s="102"/>
      <c r="JF24" s="66">
        <f t="shared" si="162"/>
        <v>1</v>
      </c>
      <c r="JG24" s="66">
        <f t="shared" si="84"/>
        <v>90</v>
      </c>
      <c r="JH24" s="83"/>
      <c r="JI24" s="102"/>
      <c r="JJ24" s="66">
        <f t="shared" si="338"/>
        <v>0</v>
      </c>
      <c r="JK24" s="66">
        <f t="shared" si="339"/>
        <v>0</v>
      </c>
      <c r="JM24" s="102">
        <f t="shared" si="163"/>
        <v>0</v>
      </c>
      <c r="JO24" s="29">
        <f t="shared" si="87"/>
        <v>1</v>
      </c>
      <c r="JP24" s="122">
        <f t="shared" si="340"/>
        <v>81</v>
      </c>
      <c r="JQ24" s="122">
        <f t="shared" si="341"/>
        <v>1</v>
      </c>
      <c r="JR24" s="122">
        <f t="shared" si="342"/>
        <v>0</v>
      </c>
      <c r="JS24" s="122">
        <f t="shared" si="343"/>
        <v>0</v>
      </c>
      <c r="JT24" s="122">
        <f t="shared" si="344"/>
        <v>0</v>
      </c>
      <c r="JU24" s="122">
        <f t="shared" si="345"/>
        <v>0</v>
      </c>
      <c r="JV24" s="122">
        <f t="shared" si="346"/>
        <v>0</v>
      </c>
      <c r="JW24" s="122">
        <f t="shared" si="347"/>
        <v>0</v>
      </c>
      <c r="JX24" s="122">
        <f t="shared" si="348"/>
        <v>0</v>
      </c>
      <c r="JY24" s="122">
        <f t="shared" si="349"/>
        <v>0</v>
      </c>
      <c r="JZ24" s="122">
        <f t="shared" si="350"/>
        <v>0</v>
      </c>
      <c r="KA24" s="122">
        <f t="shared" si="351"/>
        <v>0</v>
      </c>
      <c r="KB24" s="122">
        <f t="shared" si="352"/>
        <v>0</v>
      </c>
      <c r="KD24" s="122">
        <f t="shared" si="164"/>
        <v>0</v>
      </c>
      <c r="KE24" s="122">
        <f t="shared" si="102"/>
        <v>0</v>
      </c>
      <c r="KF24" s="122">
        <f t="shared" si="353"/>
        <v>81</v>
      </c>
      <c r="KG24" s="122">
        <f t="shared" si="354"/>
        <v>81</v>
      </c>
      <c r="KH24" s="122">
        <f t="shared" si="355"/>
        <v>0</v>
      </c>
      <c r="KI24" s="122">
        <f t="shared" si="356"/>
        <v>0</v>
      </c>
      <c r="KJ24" s="122">
        <f t="shared" si="357"/>
        <v>0</v>
      </c>
      <c r="KK24" s="122">
        <f t="shared" si="358"/>
        <v>0</v>
      </c>
      <c r="KL24" s="122">
        <f t="shared" si="359"/>
        <v>0</v>
      </c>
      <c r="KM24" s="122">
        <f t="shared" si="360"/>
        <v>0</v>
      </c>
      <c r="KN24" s="123">
        <f t="shared" si="361"/>
        <v>0</v>
      </c>
      <c r="KO24" s="123">
        <f t="shared" si="362"/>
        <v>0</v>
      </c>
      <c r="KP24" s="123">
        <f t="shared" si="363"/>
        <v>0</v>
      </c>
      <c r="KQ24" s="123">
        <f t="shared" si="364"/>
        <v>0</v>
      </c>
      <c r="KR24" s="123">
        <f t="shared" si="365"/>
        <v>0</v>
      </c>
      <c r="KT24">
        <f t="shared" si="366"/>
        <v>0</v>
      </c>
      <c r="KU24" s="123"/>
      <c r="KV24" s="123"/>
      <c r="KW24" s="123"/>
      <c r="KX24" s="123"/>
      <c r="KY24" s="123"/>
      <c r="KZ24" s="123"/>
      <c r="LA24" s="123"/>
      <c r="LB24" s="123"/>
      <c r="LC24" s="123"/>
      <c r="LD24" s="123"/>
      <c r="LE24" s="123"/>
      <c r="LF24" s="123"/>
      <c r="LG24" s="123"/>
      <c r="LH24" s="123"/>
      <c r="LI24" s="123"/>
      <c r="LJ24" s="123"/>
      <c r="LK24" s="123"/>
      <c r="LL24" s="123"/>
      <c r="LM24" s="123"/>
      <c r="LN24" s="123"/>
      <c r="LO24" s="123"/>
      <c r="LP24" s="123"/>
      <c r="LQ24" s="123"/>
      <c r="LR24" s="123"/>
      <c r="LS24" s="123"/>
      <c r="LT24" s="123"/>
      <c r="LU24" s="123"/>
      <c r="LV24" s="123"/>
      <c r="LW24" s="123"/>
      <c r="LX24" s="123"/>
      <c r="LY24" s="123"/>
      <c r="LZ24" s="123"/>
      <c r="MA24" s="123"/>
      <c r="MB24" s="123"/>
      <c r="MC24" s="123"/>
      <c r="MD24" s="123"/>
      <c r="ME24" s="123"/>
      <c r="MF24" s="123"/>
      <c r="MG24" s="123"/>
      <c r="MH24" s="123"/>
      <c r="MI24" s="123"/>
      <c r="MJ24" s="123"/>
      <c r="MK24" s="123"/>
      <c r="ML24" s="123"/>
      <c r="MM24" s="123"/>
      <c r="MN24" s="123"/>
      <c r="MO24" s="123"/>
      <c r="MP24" s="123"/>
      <c r="MQ24" s="123"/>
      <c r="MR24" s="123"/>
      <c r="MS24" s="123"/>
      <c r="MT24" s="123"/>
      <c r="MU24" s="123"/>
      <c r="MV24" s="123"/>
      <c r="MW24" s="123"/>
      <c r="MX24" s="123"/>
      <c r="MY24" s="123"/>
      <c r="MZ24" s="123"/>
      <c r="NA24" s="123"/>
      <c r="NB24" s="123"/>
      <c r="NC24" s="123"/>
      <c r="ND24" s="123"/>
      <c r="NE24" s="123"/>
      <c r="NF24" s="123"/>
      <c r="NG24" s="123"/>
      <c r="NH24" s="123"/>
      <c r="NI24" s="123"/>
      <c r="NJ24" s="123"/>
      <c r="NK24" s="123"/>
      <c r="NM24">
        <f t="shared" si="165"/>
        <v>0</v>
      </c>
      <c r="NN24">
        <f t="shared" si="166"/>
        <v>0</v>
      </c>
      <c r="NO24">
        <f t="shared" si="167"/>
        <v>0</v>
      </c>
      <c r="NP24">
        <f t="shared" si="168"/>
        <v>0</v>
      </c>
      <c r="NQ24">
        <f t="shared" si="169"/>
        <v>0</v>
      </c>
      <c r="NR24">
        <f t="shared" si="170"/>
        <v>0</v>
      </c>
      <c r="NS24">
        <f t="shared" si="171"/>
        <v>0</v>
      </c>
      <c r="NT24">
        <f t="shared" si="172"/>
        <v>0</v>
      </c>
      <c r="NU24" s="29">
        <f t="shared" si="173"/>
        <v>0</v>
      </c>
      <c r="NY24" s="17">
        <f t="shared" si="118"/>
        <v>1</v>
      </c>
      <c r="NZ24" s="152">
        <v>11000000</v>
      </c>
      <c r="OE24" s="155">
        <f t="shared" si="119"/>
        <v>0</v>
      </c>
      <c r="OF24" s="155">
        <f t="shared" si="120"/>
        <v>0</v>
      </c>
      <c r="OG24" s="155">
        <f t="shared" si="121"/>
        <v>0</v>
      </c>
      <c r="OH24" s="155">
        <f t="shared" si="174"/>
        <v>0</v>
      </c>
      <c r="OI24" s="155">
        <f t="shared" si="122"/>
        <v>0</v>
      </c>
      <c r="OJ24" s="67">
        <f t="shared" si="175"/>
        <v>0</v>
      </c>
      <c r="OK24" s="67">
        <f t="shared" si="176"/>
        <v>0</v>
      </c>
      <c r="OL24" s="67">
        <f t="shared" si="177"/>
        <v>0</v>
      </c>
      <c r="OM24" s="67">
        <f t="shared" si="178"/>
        <v>0</v>
      </c>
      <c r="OO24" s="155">
        <f t="shared" si="123"/>
        <v>0</v>
      </c>
      <c r="OP24" s="155">
        <f t="shared" si="124"/>
        <v>0</v>
      </c>
      <c r="OQ24" s="155">
        <f t="shared" si="179"/>
        <v>0</v>
      </c>
      <c r="OR24" s="155">
        <f t="shared" si="180"/>
        <v>0</v>
      </c>
      <c r="OS24" s="155">
        <f t="shared" si="181"/>
        <v>0</v>
      </c>
      <c r="OT24" s="67">
        <f t="shared" si="182"/>
        <v>0</v>
      </c>
      <c r="OU24" s="67">
        <f t="shared" si="183"/>
        <v>0</v>
      </c>
      <c r="OV24" s="67">
        <f t="shared" si="184"/>
        <v>0</v>
      </c>
      <c r="OW24" s="67">
        <f t="shared" si="185"/>
        <v>0</v>
      </c>
      <c r="OZ24" s="163"/>
      <c r="PA24" s="166"/>
      <c r="PB24" s="166"/>
      <c r="PC24" s="166"/>
      <c r="PD24" s="210">
        <f t="shared" si="125"/>
        <v>0</v>
      </c>
      <c r="PE24" s="210"/>
      <c r="PF24" s="210">
        <f t="shared" si="126"/>
        <v>0</v>
      </c>
      <c r="PG24" s="210">
        <f t="shared" si="127"/>
        <v>0</v>
      </c>
      <c r="PH24" s="210">
        <f t="shared" si="127"/>
        <v>0</v>
      </c>
      <c r="PI24" s="210">
        <f t="shared" si="127"/>
        <v>0</v>
      </c>
      <c r="PJ24" s="210">
        <f t="shared" si="127"/>
        <v>0</v>
      </c>
      <c r="PK24" s="210">
        <f t="shared" si="127"/>
        <v>0</v>
      </c>
      <c r="PL24" s="210">
        <f t="shared" si="127"/>
        <v>0</v>
      </c>
      <c r="PM24" s="164"/>
      <c r="PN24" s="164"/>
      <c r="PO24" s="172">
        <f t="shared" si="186"/>
        <v>0</v>
      </c>
      <c r="PP24" s="172">
        <f t="shared" si="187"/>
        <v>0</v>
      </c>
      <c r="PQ24" s="172">
        <f t="shared" si="188"/>
        <v>0</v>
      </c>
      <c r="PR24" s="164"/>
      <c r="PS24" s="164"/>
      <c r="PT24" s="164"/>
      <c r="PU24" s="164"/>
    </row>
    <row r="25" spans="1:437 16383:16383" ht="16" x14ac:dyDescent="0.2">
      <c r="A25" s="19">
        <f t="shared" si="189"/>
        <v>17</v>
      </c>
      <c r="B25" s="138" t="s">
        <v>218</v>
      </c>
      <c r="C25" s="138">
        <v>46</v>
      </c>
      <c r="D25" s="20">
        <v>1</v>
      </c>
      <c r="E25" s="20">
        <v>90</v>
      </c>
      <c r="F25" s="20">
        <v>1</v>
      </c>
      <c r="G25" s="20">
        <f t="shared" si="308"/>
        <v>90</v>
      </c>
      <c r="H25" s="137">
        <f t="shared" si="2"/>
        <v>1</v>
      </c>
      <c r="I25" s="137">
        <f t="shared" si="3"/>
        <v>1</v>
      </c>
      <c r="J25" s="20">
        <v>1</v>
      </c>
      <c r="K25" s="20">
        <f t="shared" si="4"/>
        <v>90</v>
      </c>
      <c r="L25" s="137">
        <f t="shared" si="5"/>
        <v>1</v>
      </c>
      <c r="M25" s="137">
        <f t="shared" si="6"/>
        <v>1</v>
      </c>
      <c r="N25" s="20">
        <v>1</v>
      </c>
      <c r="O25" s="20">
        <f t="shared" si="7"/>
        <v>90</v>
      </c>
      <c r="P25" s="137">
        <f t="shared" si="8"/>
        <v>1</v>
      </c>
      <c r="Q25" s="137">
        <f t="shared" si="9"/>
        <v>1</v>
      </c>
      <c r="R25" s="20">
        <v>1</v>
      </c>
      <c r="S25" s="20">
        <f t="shared" si="10"/>
        <v>90</v>
      </c>
      <c r="T25" s="137">
        <f t="shared" si="11"/>
        <v>1</v>
      </c>
      <c r="U25" s="137">
        <f t="shared" si="12"/>
        <v>1</v>
      </c>
      <c r="V25" s="20">
        <v>1</v>
      </c>
      <c r="W25" s="20">
        <f t="shared" si="13"/>
        <v>90</v>
      </c>
      <c r="X25" s="137">
        <f t="shared" si="14"/>
        <v>1</v>
      </c>
      <c r="Y25" s="137">
        <f t="shared" si="15"/>
        <v>1</v>
      </c>
      <c r="Z25" s="59">
        <f>1374426000/1000000000</f>
        <v>1.3744259999999999</v>
      </c>
      <c r="AA25" s="20"/>
      <c r="AB25" s="17">
        <f t="shared" si="129"/>
        <v>0</v>
      </c>
      <c r="AC25" s="18">
        <f t="shared" si="130"/>
        <v>0</v>
      </c>
      <c r="AD25" s="18">
        <f t="shared" si="131"/>
        <v>0</v>
      </c>
      <c r="AE25" s="20"/>
      <c r="AF25" s="20">
        <f t="shared" si="132"/>
        <v>0</v>
      </c>
      <c r="AG25" s="20"/>
      <c r="AH25" s="31"/>
      <c r="AI25" s="20">
        <v>0</v>
      </c>
      <c r="AJ25" s="20">
        <f t="shared" si="18"/>
        <v>0</v>
      </c>
      <c r="AK25" s="20"/>
      <c r="AL25" s="20">
        <v>0</v>
      </c>
      <c r="AM25" s="20">
        <v>0</v>
      </c>
      <c r="AN25" s="139"/>
      <c r="BB25" s="20">
        <f t="shared" si="133"/>
        <v>0</v>
      </c>
      <c r="BE25" s="20">
        <f t="shared" si="19"/>
        <v>0</v>
      </c>
      <c r="BF25" s="20">
        <f t="shared" si="20"/>
        <v>0</v>
      </c>
      <c r="BG25" s="20">
        <f t="shared" si="21"/>
        <v>0</v>
      </c>
      <c r="BH25" s="20">
        <f t="shared" si="22"/>
        <v>0</v>
      </c>
      <c r="BI25" s="20">
        <f t="shared" si="23"/>
        <v>0</v>
      </c>
      <c r="BJ25" s="20">
        <f t="shared" si="24"/>
        <v>0</v>
      </c>
      <c r="BK25" s="20">
        <f t="shared" si="134"/>
        <v>0</v>
      </c>
      <c r="BN25" s="140">
        <v>80</v>
      </c>
      <c r="BO25">
        <v>1</v>
      </c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B25" s="139"/>
      <c r="CD25" s="17">
        <f t="shared" si="26"/>
        <v>80</v>
      </c>
      <c r="CE25" s="17">
        <f t="shared" si="135"/>
        <v>80</v>
      </c>
      <c r="CF25" s="20">
        <f t="shared" si="27"/>
        <v>0</v>
      </c>
      <c r="CG25" s="20">
        <f t="shared" si="28"/>
        <v>0</v>
      </c>
      <c r="CH25" s="20">
        <f t="shared" si="29"/>
        <v>0</v>
      </c>
      <c r="CI25" s="20">
        <f t="shared" si="30"/>
        <v>0</v>
      </c>
      <c r="CJ25" s="20">
        <f t="shared" si="31"/>
        <v>0</v>
      </c>
      <c r="CK25" s="20">
        <f t="shared" si="32"/>
        <v>0</v>
      </c>
      <c r="CL25" s="20">
        <f t="shared" si="33"/>
        <v>0</v>
      </c>
      <c r="CM25" s="20">
        <f t="shared" si="34"/>
        <v>0</v>
      </c>
      <c r="CN25" s="20">
        <f t="shared" si="35"/>
        <v>0</v>
      </c>
      <c r="CO25" s="20">
        <f t="shared" si="36"/>
        <v>0</v>
      </c>
      <c r="CP25" s="20">
        <f t="shared" si="37"/>
        <v>0</v>
      </c>
      <c r="DV25" s="20">
        <f t="shared" si="38"/>
        <v>0</v>
      </c>
      <c r="DW25" s="20">
        <f t="shared" si="39"/>
        <v>0</v>
      </c>
      <c r="DX25" s="20">
        <f t="shared" si="40"/>
        <v>0</v>
      </c>
      <c r="DY25" s="20">
        <f t="shared" si="41"/>
        <v>0</v>
      </c>
      <c r="DZ25" s="20">
        <f t="shared" si="42"/>
        <v>0</v>
      </c>
      <c r="EA25" s="20">
        <f t="shared" si="43"/>
        <v>0</v>
      </c>
      <c r="EB25" s="20">
        <f t="shared" si="136"/>
        <v>0</v>
      </c>
      <c r="EG25" s="57">
        <f t="shared" si="137"/>
        <v>0</v>
      </c>
      <c r="EH25" s="57">
        <f t="shared" si="138"/>
        <v>0</v>
      </c>
      <c r="EI25" s="17"/>
      <c r="EJ25" s="17"/>
      <c r="EK25" s="17"/>
      <c r="EL25" s="17"/>
      <c r="EM25" s="17"/>
      <c r="EN25" s="17"/>
      <c r="EO25" s="17"/>
      <c r="EP25" s="17"/>
      <c r="EQ25" s="17"/>
      <c r="ER25" s="189"/>
      <c r="ES25" s="189"/>
      <c r="ET25" s="189"/>
      <c r="EU25" s="189"/>
      <c r="EV25" s="189"/>
      <c r="EW25" s="17"/>
      <c r="EX25" s="17"/>
      <c r="EY25" s="17"/>
      <c r="EZ25" s="189"/>
      <c r="FA25" s="17"/>
      <c r="FB25" s="17"/>
      <c r="FC25" s="17"/>
      <c r="FD25" s="17"/>
      <c r="FE25" s="17"/>
      <c r="FF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X25" s="80">
        <v>1</v>
      </c>
      <c r="FY25" s="17">
        <f t="shared" si="139"/>
        <v>80</v>
      </c>
      <c r="FZ25" s="17">
        <f t="shared" si="309"/>
        <v>80</v>
      </c>
      <c r="GA25" s="17">
        <f t="shared" si="310"/>
        <v>0</v>
      </c>
      <c r="GB25" s="17">
        <f t="shared" si="311"/>
        <v>0</v>
      </c>
      <c r="GC25" s="17">
        <f t="shared" si="312"/>
        <v>0</v>
      </c>
      <c r="GD25" s="17">
        <f t="shared" si="313"/>
        <v>0</v>
      </c>
      <c r="GE25" s="17">
        <f t="shared" si="314"/>
        <v>0</v>
      </c>
      <c r="GF25" s="67"/>
      <c r="GG25" s="17">
        <v>0</v>
      </c>
      <c r="GH25" s="17">
        <v>0</v>
      </c>
      <c r="GI25" s="67"/>
      <c r="GJ25" s="62">
        <f t="shared" si="140"/>
        <v>0</v>
      </c>
      <c r="GK25" s="62">
        <f t="shared" si="141"/>
        <v>0</v>
      </c>
      <c r="GO25" s="17">
        <f t="shared" si="315"/>
        <v>0</v>
      </c>
      <c r="GP25" s="17">
        <f t="shared" si="316"/>
        <v>0</v>
      </c>
      <c r="GQ25" s="17">
        <f t="shared" si="317"/>
        <v>0</v>
      </c>
      <c r="GR25" s="17">
        <f t="shared" si="318"/>
        <v>0</v>
      </c>
      <c r="GS25" s="17">
        <f t="shared" si="319"/>
        <v>0</v>
      </c>
      <c r="GT25" s="17">
        <f t="shared" si="142"/>
        <v>1</v>
      </c>
      <c r="GU25" s="101">
        <f t="shared" si="143"/>
        <v>43243</v>
      </c>
      <c r="GV25" s="17" t="str">
        <f t="shared" si="144"/>
        <v>SELESAI</v>
      </c>
      <c r="GW25" s="17">
        <f t="shared" si="145"/>
        <v>0</v>
      </c>
      <c r="GX25" s="66" t="str">
        <f t="shared" si="146"/>
        <v>SELESAI</v>
      </c>
      <c r="GY25" s="66">
        <f t="shared" si="147"/>
        <v>0</v>
      </c>
      <c r="GZ25" s="102" t="str">
        <f t="shared" si="148"/>
        <v>SELESAI</v>
      </c>
      <c r="HA25" s="83"/>
      <c r="HB25" s="83"/>
      <c r="HC25" s="17">
        <f t="shared" si="320"/>
        <v>0</v>
      </c>
      <c r="HD25" s="17">
        <f t="shared" si="321"/>
        <v>0</v>
      </c>
      <c r="HE25" s="17">
        <f t="shared" si="149"/>
        <v>0</v>
      </c>
      <c r="HF25" s="17">
        <f t="shared" si="150"/>
        <v>0</v>
      </c>
      <c r="HG25" s="17">
        <f t="shared" si="151"/>
        <v>0</v>
      </c>
      <c r="HH25" s="101" t="str">
        <f t="shared" si="58"/>
        <v>TIDAK KONSINYASI</v>
      </c>
      <c r="HI25" s="101" t="str">
        <f t="shared" si="152"/>
        <v>SELESAI</v>
      </c>
      <c r="HJ25" s="27"/>
      <c r="HK25" s="101">
        <f t="shared" si="59"/>
        <v>0</v>
      </c>
      <c r="HL25" s="83"/>
      <c r="HM25" s="83"/>
      <c r="HN25" s="83"/>
      <c r="HO25" s="83"/>
      <c r="HP25" s="102">
        <f t="shared" si="153"/>
        <v>0</v>
      </c>
      <c r="HQ25" s="66">
        <f t="shared" si="154"/>
        <v>0</v>
      </c>
      <c r="HR25" s="66">
        <f t="shared" si="322"/>
        <v>0</v>
      </c>
      <c r="HS25" s="102">
        <f t="shared" si="155"/>
        <v>0</v>
      </c>
      <c r="HT25" s="66">
        <f t="shared" si="156"/>
        <v>0</v>
      </c>
      <c r="HU25" s="66">
        <f t="shared" si="323"/>
        <v>0</v>
      </c>
      <c r="HV25" s="102">
        <f t="shared" si="157"/>
        <v>0</v>
      </c>
      <c r="HW25" s="66">
        <f t="shared" si="62"/>
        <v>0</v>
      </c>
      <c r="HX25" s="66">
        <f t="shared" si="324"/>
        <v>0</v>
      </c>
      <c r="HY25" s="102">
        <f t="shared" si="64"/>
        <v>0</v>
      </c>
      <c r="HZ25" s="66">
        <f t="shared" si="158"/>
        <v>0</v>
      </c>
      <c r="IA25" s="66">
        <f t="shared" si="325"/>
        <v>0</v>
      </c>
      <c r="IB25" s="102">
        <f t="shared" si="159"/>
        <v>0</v>
      </c>
      <c r="IC25" s="66">
        <f t="shared" si="66"/>
        <v>0</v>
      </c>
      <c r="ID25" s="66">
        <f t="shared" si="326"/>
        <v>0</v>
      </c>
      <c r="IE25" s="102">
        <f t="shared" si="68"/>
        <v>0</v>
      </c>
      <c r="IF25" s="66">
        <f t="shared" si="69"/>
        <v>0</v>
      </c>
      <c r="IG25" s="66">
        <f t="shared" si="327"/>
        <v>0</v>
      </c>
      <c r="IH25" s="102">
        <f t="shared" si="160"/>
        <v>0</v>
      </c>
      <c r="II25" s="66">
        <f t="shared" si="161"/>
        <v>0</v>
      </c>
      <c r="IJ25" s="66">
        <f t="shared" si="328"/>
        <v>0</v>
      </c>
      <c r="IK25" s="102">
        <f t="shared" si="72"/>
        <v>0</v>
      </c>
      <c r="IL25" s="66">
        <f t="shared" si="73"/>
        <v>0</v>
      </c>
      <c r="IM25" s="66">
        <f t="shared" si="329"/>
        <v>0</v>
      </c>
      <c r="IN25" s="83"/>
      <c r="IO25" s="102">
        <f t="shared" si="75"/>
        <v>0</v>
      </c>
      <c r="IP25" s="66">
        <f t="shared" si="330"/>
        <v>0</v>
      </c>
      <c r="IQ25" s="66">
        <f t="shared" si="331"/>
        <v>0</v>
      </c>
      <c r="IR25" s="83"/>
      <c r="IS25" s="102"/>
      <c r="IT25" s="66">
        <f t="shared" si="332"/>
        <v>1</v>
      </c>
      <c r="IU25" s="66">
        <f t="shared" si="333"/>
        <v>90</v>
      </c>
      <c r="IV25" s="83"/>
      <c r="IW25" s="102"/>
      <c r="IX25" s="66">
        <f t="shared" si="334"/>
        <v>0</v>
      </c>
      <c r="IY25" s="66">
        <f t="shared" si="335"/>
        <v>0</v>
      </c>
      <c r="IZ25" s="83"/>
      <c r="JA25" s="102"/>
      <c r="JB25" s="66">
        <f t="shared" si="336"/>
        <v>0</v>
      </c>
      <c r="JC25" s="66">
        <f t="shared" si="337"/>
        <v>0</v>
      </c>
      <c r="JD25" s="83"/>
      <c r="JE25" s="102"/>
      <c r="JF25" s="66">
        <f t="shared" si="162"/>
        <v>1</v>
      </c>
      <c r="JG25" s="66">
        <f t="shared" si="84"/>
        <v>90</v>
      </c>
      <c r="JH25" s="83"/>
      <c r="JI25" s="102"/>
      <c r="JJ25" s="66">
        <f t="shared" si="338"/>
        <v>0</v>
      </c>
      <c r="JK25" s="66">
        <f t="shared" si="339"/>
        <v>0</v>
      </c>
      <c r="JM25" s="102">
        <f t="shared" si="163"/>
        <v>0</v>
      </c>
      <c r="JO25" s="29">
        <f t="shared" si="87"/>
        <v>1</v>
      </c>
      <c r="JP25" s="122">
        <f t="shared" si="340"/>
        <v>80</v>
      </c>
      <c r="JQ25" s="122">
        <f t="shared" si="341"/>
        <v>1</v>
      </c>
      <c r="JR25" s="122">
        <f t="shared" si="342"/>
        <v>0</v>
      </c>
      <c r="JS25" s="122">
        <f t="shared" si="343"/>
        <v>0</v>
      </c>
      <c r="JT25" s="122">
        <f t="shared" si="344"/>
        <v>0</v>
      </c>
      <c r="JU25" s="122">
        <f t="shared" si="345"/>
        <v>0</v>
      </c>
      <c r="JV25" s="122">
        <f t="shared" si="346"/>
        <v>0</v>
      </c>
      <c r="JW25" s="122">
        <f t="shared" si="347"/>
        <v>0</v>
      </c>
      <c r="JX25" s="122">
        <f t="shared" si="348"/>
        <v>0</v>
      </c>
      <c r="JY25" s="122">
        <f t="shared" si="349"/>
        <v>0</v>
      </c>
      <c r="JZ25" s="122">
        <f t="shared" si="350"/>
        <v>0</v>
      </c>
      <c r="KA25" s="122">
        <f t="shared" si="351"/>
        <v>0</v>
      </c>
      <c r="KB25" s="122">
        <f t="shared" si="352"/>
        <v>0</v>
      </c>
      <c r="KD25" s="122">
        <f t="shared" si="164"/>
        <v>0</v>
      </c>
      <c r="KE25" s="122">
        <f t="shared" si="102"/>
        <v>0</v>
      </c>
      <c r="KF25" s="122">
        <f t="shared" si="353"/>
        <v>80</v>
      </c>
      <c r="KG25" s="122">
        <f t="shared" si="354"/>
        <v>80</v>
      </c>
      <c r="KH25" s="122">
        <f t="shared" si="355"/>
        <v>0</v>
      </c>
      <c r="KI25" s="122">
        <f t="shared" si="356"/>
        <v>0</v>
      </c>
      <c r="KJ25" s="122">
        <f t="shared" si="357"/>
        <v>0</v>
      </c>
      <c r="KK25" s="122">
        <f t="shared" si="358"/>
        <v>0</v>
      </c>
      <c r="KL25" s="122">
        <f t="shared" si="359"/>
        <v>0</v>
      </c>
      <c r="KM25" s="122">
        <f t="shared" si="360"/>
        <v>0</v>
      </c>
      <c r="KN25" s="123">
        <f t="shared" si="361"/>
        <v>0</v>
      </c>
      <c r="KO25" s="123">
        <f t="shared" si="362"/>
        <v>0</v>
      </c>
      <c r="KP25" s="123">
        <f t="shared" si="363"/>
        <v>0</v>
      </c>
      <c r="KQ25" s="123">
        <f t="shared" si="364"/>
        <v>0</v>
      </c>
      <c r="KR25" s="123">
        <f t="shared" si="365"/>
        <v>0</v>
      </c>
      <c r="KT25">
        <f t="shared" si="366"/>
        <v>0</v>
      </c>
      <c r="KU25" s="123"/>
      <c r="KV25" s="123"/>
      <c r="KW25" s="123"/>
      <c r="KX25" s="123"/>
      <c r="KY25" s="123"/>
      <c r="KZ25" s="123"/>
      <c r="LA25" s="123"/>
      <c r="LB25" s="123"/>
      <c r="LC25" s="123"/>
      <c r="LD25" s="123"/>
      <c r="LE25" s="123"/>
      <c r="LF25" s="123"/>
      <c r="LG25" s="123"/>
      <c r="LH25" s="123"/>
      <c r="LI25" s="123"/>
      <c r="LJ25" s="123"/>
      <c r="LK25" s="123"/>
      <c r="LL25" s="123"/>
      <c r="LM25" s="123"/>
      <c r="LN25" s="123"/>
      <c r="LO25" s="123"/>
      <c r="LP25" s="123"/>
      <c r="LQ25" s="123"/>
      <c r="LR25" s="123"/>
      <c r="LS25" s="123"/>
      <c r="LT25" s="123"/>
      <c r="LU25" s="123"/>
      <c r="LV25" s="123"/>
      <c r="LW25" s="123"/>
      <c r="LX25" s="123"/>
      <c r="LY25" s="123"/>
      <c r="LZ25" s="123"/>
      <c r="MA25" s="123"/>
      <c r="MB25" s="123"/>
      <c r="MC25" s="123"/>
      <c r="MD25" s="123"/>
      <c r="ME25" s="123"/>
      <c r="MF25" s="123"/>
      <c r="MG25" s="123"/>
      <c r="MH25" s="123"/>
      <c r="MI25" s="123"/>
      <c r="MJ25" s="123"/>
      <c r="MK25" s="123"/>
      <c r="ML25" s="123"/>
      <c r="MM25" s="123"/>
      <c r="MN25" s="123"/>
      <c r="MO25" s="123"/>
      <c r="MP25" s="123"/>
      <c r="MQ25" s="123"/>
      <c r="MR25" s="123"/>
      <c r="MS25" s="123"/>
      <c r="MT25" s="123"/>
      <c r="MU25" s="123"/>
      <c r="MV25" s="123"/>
      <c r="MW25" s="123"/>
      <c r="MX25" s="123"/>
      <c r="MY25" s="123"/>
      <c r="MZ25" s="123"/>
      <c r="NA25" s="123"/>
      <c r="NB25" s="123"/>
      <c r="NC25" s="123"/>
      <c r="ND25" s="123"/>
      <c r="NE25" s="123"/>
      <c r="NF25" s="123"/>
      <c r="NG25" s="123"/>
      <c r="NH25" s="123"/>
      <c r="NI25" s="123"/>
      <c r="NJ25" s="123"/>
      <c r="NK25" s="123"/>
      <c r="NM25">
        <f t="shared" si="165"/>
        <v>0</v>
      </c>
      <c r="NN25">
        <f t="shared" si="166"/>
        <v>0</v>
      </c>
      <c r="NO25">
        <f t="shared" si="167"/>
        <v>0</v>
      </c>
      <c r="NP25">
        <f t="shared" si="168"/>
        <v>0</v>
      </c>
      <c r="NQ25">
        <f t="shared" si="169"/>
        <v>0</v>
      </c>
      <c r="NR25">
        <f t="shared" si="170"/>
        <v>0</v>
      </c>
      <c r="NS25">
        <f t="shared" si="171"/>
        <v>0</v>
      </c>
      <c r="NT25">
        <f t="shared" si="172"/>
        <v>0</v>
      </c>
      <c r="NU25" s="29">
        <f t="shared" si="173"/>
        <v>0</v>
      </c>
      <c r="NY25" s="17">
        <f t="shared" si="118"/>
        <v>1</v>
      </c>
      <c r="NZ25" s="152">
        <v>11000000</v>
      </c>
      <c r="OE25" s="155">
        <f t="shared" si="119"/>
        <v>0</v>
      </c>
      <c r="OF25" s="155">
        <f t="shared" si="120"/>
        <v>0</v>
      </c>
      <c r="OG25" s="155">
        <f t="shared" si="121"/>
        <v>0</v>
      </c>
      <c r="OH25" s="155">
        <f t="shared" si="174"/>
        <v>0</v>
      </c>
      <c r="OI25" s="155">
        <f t="shared" si="122"/>
        <v>0</v>
      </c>
      <c r="OJ25" s="67">
        <f t="shared" si="175"/>
        <v>0</v>
      </c>
      <c r="OK25" s="67">
        <f t="shared" si="176"/>
        <v>0</v>
      </c>
      <c r="OL25" s="67">
        <f t="shared" si="177"/>
        <v>0</v>
      </c>
      <c r="OM25" s="67">
        <f t="shared" si="178"/>
        <v>0</v>
      </c>
      <c r="OO25" s="155">
        <f t="shared" si="123"/>
        <v>0</v>
      </c>
      <c r="OP25" s="155">
        <f t="shared" si="124"/>
        <v>0</v>
      </c>
      <c r="OQ25" s="155">
        <f t="shared" si="179"/>
        <v>0</v>
      </c>
      <c r="OR25" s="155">
        <f t="shared" si="180"/>
        <v>0</v>
      </c>
      <c r="OS25" s="155">
        <f t="shared" si="181"/>
        <v>0</v>
      </c>
      <c r="OT25" s="67">
        <f t="shared" si="182"/>
        <v>0</v>
      </c>
      <c r="OU25" s="67">
        <f t="shared" si="183"/>
        <v>0</v>
      </c>
      <c r="OV25" s="67">
        <f t="shared" si="184"/>
        <v>0</v>
      </c>
      <c r="OW25" s="67">
        <f t="shared" si="185"/>
        <v>0</v>
      </c>
      <c r="OZ25" s="163"/>
      <c r="PA25" s="166"/>
      <c r="PB25" s="166"/>
      <c r="PC25" s="166"/>
      <c r="PD25" s="210">
        <f t="shared" si="125"/>
        <v>0</v>
      </c>
      <c r="PE25" s="210"/>
      <c r="PF25" s="210">
        <f t="shared" si="126"/>
        <v>0</v>
      </c>
      <c r="PG25" s="210">
        <f t="shared" si="127"/>
        <v>0</v>
      </c>
      <c r="PH25" s="210">
        <f t="shared" si="127"/>
        <v>0</v>
      </c>
      <c r="PI25" s="210">
        <f t="shared" si="127"/>
        <v>0</v>
      </c>
      <c r="PJ25" s="210">
        <f t="shared" si="127"/>
        <v>0</v>
      </c>
      <c r="PK25" s="210">
        <f t="shared" si="127"/>
        <v>0</v>
      </c>
      <c r="PL25" s="210">
        <f t="shared" si="127"/>
        <v>0</v>
      </c>
      <c r="PM25" s="164"/>
      <c r="PN25" s="164"/>
      <c r="PO25" s="172">
        <f t="shared" si="186"/>
        <v>0</v>
      </c>
      <c r="PP25" s="172">
        <f t="shared" si="187"/>
        <v>0</v>
      </c>
      <c r="PQ25" s="172">
        <f t="shared" si="188"/>
        <v>0</v>
      </c>
      <c r="PR25" s="164"/>
      <c r="PS25" s="164"/>
      <c r="PT25" s="164"/>
      <c r="PU25" s="164"/>
    </row>
    <row r="26" spans="1:437 16383:16383" ht="16" x14ac:dyDescent="0.2">
      <c r="A26" s="19">
        <f t="shared" si="189"/>
        <v>18</v>
      </c>
      <c r="B26" s="138" t="s">
        <v>219</v>
      </c>
      <c r="C26" s="138">
        <v>47</v>
      </c>
      <c r="D26" s="20">
        <v>1</v>
      </c>
      <c r="E26" s="20">
        <v>90</v>
      </c>
      <c r="F26" s="20">
        <v>1</v>
      </c>
      <c r="G26" s="20">
        <f t="shared" si="308"/>
        <v>90</v>
      </c>
      <c r="H26" s="137">
        <f t="shared" si="2"/>
        <v>1</v>
      </c>
      <c r="I26" s="137">
        <f t="shared" si="3"/>
        <v>1</v>
      </c>
      <c r="J26" s="20">
        <v>1</v>
      </c>
      <c r="K26" s="20">
        <f t="shared" si="4"/>
        <v>90</v>
      </c>
      <c r="L26" s="137">
        <f t="shared" si="5"/>
        <v>1</v>
      </c>
      <c r="M26" s="137">
        <f t="shared" si="6"/>
        <v>1</v>
      </c>
      <c r="N26" s="20">
        <v>1</v>
      </c>
      <c r="O26" s="20">
        <f t="shared" si="7"/>
        <v>90</v>
      </c>
      <c r="P26" s="137">
        <f t="shared" si="8"/>
        <v>1</v>
      </c>
      <c r="Q26" s="137">
        <f t="shared" si="9"/>
        <v>1</v>
      </c>
      <c r="R26" s="20">
        <v>1</v>
      </c>
      <c r="S26" s="20">
        <f t="shared" si="10"/>
        <v>90</v>
      </c>
      <c r="T26" s="137">
        <f t="shared" si="11"/>
        <v>1</v>
      </c>
      <c r="U26" s="137">
        <f t="shared" si="12"/>
        <v>1</v>
      </c>
      <c r="V26" s="20">
        <v>1</v>
      </c>
      <c r="W26" s="20">
        <f t="shared" si="13"/>
        <v>90</v>
      </c>
      <c r="X26" s="137">
        <f t="shared" si="14"/>
        <v>1</v>
      </c>
      <c r="Y26" s="137">
        <f t="shared" si="15"/>
        <v>1</v>
      </c>
      <c r="Z26" s="59">
        <f>1357641000/1000000000</f>
        <v>1.3576410000000001</v>
      </c>
      <c r="AA26" s="20"/>
      <c r="AB26" s="17">
        <f t="shared" si="129"/>
        <v>0</v>
      </c>
      <c r="AC26" s="18">
        <f t="shared" si="130"/>
        <v>0</v>
      </c>
      <c r="AD26" s="18">
        <f t="shared" si="131"/>
        <v>0</v>
      </c>
      <c r="AE26" s="20"/>
      <c r="AF26" s="20">
        <f t="shared" si="132"/>
        <v>0</v>
      </c>
      <c r="AG26" s="20"/>
      <c r="AH26" s="31"/>
      <c r="AI26" s="20">
        <v>0</v>
      </c>
      <c r="AJ26" s="20">
        <f t="shared" si="18"/>
        <v>0</v>
      </c>
      <c r="AK26" s="20"/>
      <c r="AL26" s="20">
        <v>0</v>
      </c>
      <c r="AM26" s="20">
        <v>0</v>
      </c>
      <c r="AN26" s="139"/>
      <c r="BB26" s="20">
        <f t="shared" si="133"/>
        <v>0</v>
      </c>
      <c r="BE26" s="20">
        <f t="shared" si="19"/>
        <v>0</v>
      </c>
      <c r="BF26" s="20">
        <f t="shared" si="20"/>
        <v>0</v>
      </c>
      <c r="BG26" s="20">
        <f t="shared" si="21"/>
        <v>0</v>
      </c>
      <c r="BH26" s="20">
        <f t="shared" si="22"/>
        <v>0</v>
      </c>
      <c r="BI26" s="20">
        <f t="shared" si="23"/>
        <v>0</v>
      </c>
      <c r="BJ26" s="20">
        <f t="shared" si="24"/>
        <v>0</v>
      </c>
      <c r="BK26" s="20">
        <f t="shared" si="134"/>
        <v>0</v>
      </c>
      <c r="BN26" s="140">
        <v>80</v>
      </c>
      <c r="BO26">
        <v>1</v>
      </c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B26" s="139"/>
      <c r="CD26" s="17">
        <f t="shared" si="26"/>
        <v>80</v>
      </c>
      <c r="CE26" s="17">
        <f t="shared" si="135"/>
        <v>80</v>
      </c>
      <c r="CF26" s="20">
        <f t="shared" si="27"/>
        <v>0</v>
      </c>
      <c r="CG26" s="20">
        <f t="shared" si="28"/>
        <v>0</v>
      </c>
      <c r="CH26" s="20">
        <f t="shared" si="29"/>
        <v>0</v>
      </c>
      <c r="CI26" s="20">
        <f t="shared" si="30"/>
        <v>0</v>
      </c>
      <c r="CJ26" s="20">
        <f t="shared" si="31"/>
        <v>0</v>
      </c>
      <c r="CK26" s="20">
        <f t="shared" si="32"/>
        <v>0</v>
      </c>
      <c r="CL26" s="20">
        <f t="shared" si="33"/>
        <v>0</v>
      </c>
      <c r="CM26" s="20">
        <f t="shared" si="34"/>
        <v>0</v>
      </c>
      <c r="CN26" s="20">
        <f t="shared" si="35"/>
        <v>0</v>
      </c>
      <c r="CO26" s="20">
        <f t="shared" si="36"/>
        <v>0</v>
      </c>
      <c r="CP26" s="20">
        <f t="shared" si="37"/>
        <v>0</v>
      </c>
      <c r="DV26" s="20">
        <f t="shared" si="38"/>
        <v>0</v>
      </c>
      <c r="DW26" s="20">
        <f t="shared" si="39"/>
        <v>0</v>
      </c>
      <c r="DX26" s="20">
        <f t="shared" si="40"/>
        <v>0</v>
      </c>
      <c r="DY26" s="20">
        <f t="shared" si="41"/>
        <v>0</v>
      </c>
      <c r="DZ26" s="20">
        <f t="shared" si="42"/>
        <v>0</v>
      </c>
      <c r="EA26" s="20">
        <f t="shared" si="43"/>
        <v>0</v>
      </c>
      <c r="EB26" s="20">
        <f t="shared" si="136"/>
        <v>0</v>
      </c>
      <c r="EG26" s="57">
        <f t="shared" si="137"/>
        <v>0</v>
      </c>
      <c r="EH26" s="57">
        <f t="shared" si="138"/>
        <v>0</v>
      </c>
      <c r="EI26" s="17"/>
      <c r="EJ26" s="17"/>
      <c r="EK26" s="17"/>
      <c r="EL26" s="17"/>
      <c r="EM26" s="17"/>
      <c r="EN26" s="17"/>
      <c r="EO26" s="17"/>
      <c r="EP26" s="17"/>
      <c r="EQ26" s="17"/>
      <c r="ER26" s="189"/>
      <c r="ES26" s="189"/>
      <c r="ET26" s="189"/>
      <c r="EU26" s="189"/>
      <c r="EV26" s="189"/>
      <c r="EW26" s="17"/>
      <c r="EX26" s="17"/>
      <c r="EY26" s="17"/>
      <c r="EZ26" s="189"/>
      <c r="FA26" s="17"/>
      <c r="FB26" s="17"/>
      <c r="FC26" s="17"/>
      <c r="FD26" s="17"/>
      <c r="FE26" s="17"/>
      <c r="FF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X26" s="80">
        <v>1</v>
      </c>
      <c r="FY26" s="17">
        <f t="shared" si="139"/>
        <v>80</v>
      </c>
      <c r="FZ26" s="17">
        <f t="shared" si="309"/>
        <v>80</v>
      </c>
      <c r="GA26" s="17">
        <f t="shared" si="310"/>
        <v>0</v>
      </c>
      <c r="GB26" s="17">
        <f t="shared" si="311"/>
        <v>0</v>
      </c>
      <c r="GC26" s="17">
        <f t="shared" si="312"/>
        <v>0</v>
      </c>
      <c r="GD26" s="17">
        <f t="shared" si="313"/>
        <v>0</v>
      </c>
      <c r="GE26" s="17">
        <f t="shared" si="314"/>
        <v>0</v>
      </c>
      <c r="GF26" s="67"/>
      <c r="GG26" s="17">
        <v>0</v>
      </c>
      <c r="GH26" s="17">
        <v>0</v>
      </c>
      <c r="GI26" s="67"/>
      <c r="GJ26" s="62">
        <f t="shared" si="140"/>
        <v>0</v>
      </c>
      <c r="GK26" s="62">
        <f t="shared" si="141"/>
        <v>0</v>
      </c>
      <c r="GO26" s="17">
        <f t="shared" si="315"/>
        <v>0</v>
      </c>
      <c r="GP26" s="17">
        <f t="shared" si="316"/>
        <v>0</v>
      </c>
      <c r="GQ26" s="17">
        <f t="shared" si="317"/>
        <v>0</v>
      </c>
      <c r="GR26" s="17">
        <f t="shared" si="318"/>
        <v>0</v>
      </c>
      <c r="GS26" s="17">
        <f t="shared" si="319"/>
        <v>0</v>
      </c>
      <c r="GT26" s="17">
        <f t="shared" si="142"/>
        <v>1</v>
      </c>
      <c r="GU26" s="101">
        <f t="shared" si="143"/>
        <v>43243</v>
      </c>
      <c r="GV26" s="17" t="str">
        <f t="shared" si="144"/>
        <v>SELESAI</v>
      </c>
      <c r="GW26" s="17">
        <f t="shared" si="145"/>
        <v>0</v>
      </c>
      <c r="GX26" s="66" t="str">
        <f t="shared" si="146"/>
        <v>SELESAI</v>
      </c>
      <c r="GY26" s="66">
        <f t="shared" si="147"/>
        <v>0</v>
      </c>
      <c r="GZ26" s="102" t="str">
        <f t="shared" si="148"/>
        <v>SELESAI</v>
      </c>
      <c r="HA26" s="83"/>
      <c r="HB26" s="83"/>
      <c r="HC26" s="17">
        <f t="shared" si="320"/>
        <v>0</v>
      </c>
      <c r="HD26" s="17">
        <f t="shared" si="321"/>
        <v>0</v>
      </c>
      <c r="HE26" s="17">
        <f t="shared" si="149"/>
        <v>0</v>
      </c>
      <c r="HF26" s="17">
        <f t="shared" si="150"/>
        <v>0</v>
      </c>
      <c r="HG26" s="17">
        <f t="shared" si="151"/>
        <v>0</v>
      </c>
      <c r="HH26" s="101" t="str">
        <f t="shared" si="58"/>
        <v>TIDAK KONSINYASI</v>
      </c>
      <c r="HI26" s="101" t="str">
        <f t="shared" si="152"/>
        <v>SELESAI</v>
      </c>
      <c r="HJ26" s="27"/>
      <c r="HK26" s="101">
        <f t="shared" si="59"/>
        <v>0</v>
      </c>
      <c r="HL26" s="83"/>
      <c r="HM26" s="83"/>
      <c r="HN26" s="83"/>
      <c r="HO26" s="83"/>
      <c r="HP26" s="102">
        <f t="shared" si="153"/>
        <v>0</v>
      </c>
      <c r="HQ26" s="66">
        <f t="shared" si="154"/>
        <v>0</v>
      </c>
      <c r="HR26" s="66">
        <f t="shared" si="322"/>
        <v>0</v>
      </c>
      <c r="HS26" s="102">
        <f t="shared" si="155"/>
        <v>0</v>
      </c>
      <c r="HT26" s="66">
        <f t="shared" si="156"/>
        <v>0</v>
      </c>
      <c r="HU26" s="66">
        <f t="shared" si="323"/>
        <v>0</v>
      </c>
      <c r="HV26" s="102">
        <f t="shared" si="157"/>
        <v>0</v>
      </c>
      <c r="HW26" s="66">
        <f t="shared" si="62"/>
        <v>0</v>
      </c>
      <c r="HX26" s="66">
        <f t="shared" si="324"/>
        <v>0</v>
      </c>
      <c r="HY26" s="102">
        <f t="shared" si="64"/>
        <v>0</v>
      </c>
      <c r="HZ26" s="66">
        <f t="shared" si="158"/>
        <v>0</v>
      </c>
      <c r="IA26" s="66">
        <f t="shared" si="325"/>
        <v>0</v>
      </c>
      <c r="IB26" s="102">
        <f t="shared" si="159"/>
        <v>0</v>
      </c>
      <c r="IC26" s="66">
        <f t="shared" si="66"/>
        <v>0</v>
      </c>
      <c r="ID26" s="66">
        <f t="shared" si="326"/>
        <v>0</v>
      </c>
      <c r="IE26" s="102">
        <f t="shared" si="68"/>
        <v>0</v>
      </c>
      <c r="IF26" s="66">
        <f t="shared" si="69"/>
        <v>0</v>
      </c>
      <c r="IG26" s="66">
        <f t="shared" si="327"/>
        <v>0</v>
      </c>
      <c r="IH26" s="102">
        <f t="shared" si="160"/>
        <v>0</v>
      </c>
      <c r="II26" s="66">
        <f t="shared" si="161"/>
        <v>0</v>
      </c>
      <c r="IJ26" s="66">
        <f t="shared" si="328"/>
        <v>0</v>
      </c>
      <c r="IK26" s="102">
        <f t="shared" si="72"/>
        <v>0</v>
      </c>
      <c r="IL26" s="66">
        <f t="shared" si="73"/>
        <v>0</v>
      </c>
      <c r="IM26" s="66">
        <f t="shared" si="329"/>
        <v>0</v>
      </c>
      <c r="IN26" s="83"/>
      <c r="IO26" s="102">
        <f t="shared" si="75"/>
        <v>0</v>
      </c>
      <c r="IP26" s="66">
        <f t="shared" si="330"/>
        <v>0</v>
      </c>
      <c r="IQ26" s="66">
        <f t="shared" si="331"/>
        <v>0</v>
      </c>
      <c r="IR26" s="83"/>
      <c r="IS26" s="102"/>
      <c r="IT26" s="66">
        <f t="shared" si="332"/>
        <v>1</v>
      </c>
      <c r="IU26" s="66">
        <f t="shared" si="333"/>
        <v>90</v>
      </c>
      <c r="IV26" s="83"/>
      <c r="IW26" s="102"/>
      <c r="IX26" s="66">
        <f t="shared" si="334"/>
        <v>0</v>
      </c>
      <c r="IY26" s="66">
        <f t="shared" si="335"/>
        <v>0</v>
      </c>
      <c r="IZ26" s="83"/>
      <c r="JA26" s="102"/>
      <c r="JB26" s="66">
        <f t="shared" si="336"/>
        <v>0</v>
      </c>
      <c r="JC26" s="66">
        <f t="shared" si="337"/>
        <v>0</v>
      </c>
      <c r="JD26" s="83"/>
      <c r="JE26" s="102"/>
      <c r="JF26" s="66">
        <f t="shared" si="162"/>
        <v>1</v>
      </c>
      <c r="JG26" s="66">
        <f t="shared" si="84"/>
        <v>90</v>
      </c>
      <c r="JH26" s="83"/>
      <c r="JI26" s="102"/>
      <c r="JJ26" s="66">
        <f t="shared" si="338"/>
        <v>0</v>
      </c>
      <c r="JK26" s="66">
        <f t="shared" si="339"/>
        <v>0</v>
      </c>
      <c r="JM26" s="102">
        <f t="shared" si="163"/>
        <v>0</v>
      </c>
      <c r="JO26" s="29">
        <f t="shared" si="87"/>
        <v>1</v>
      </c>
      <c r="JP26" s="122">
        <f t="shared" si="340"/>
        <v>80</v>
      </c>
      <c r="JQ26" s="122">
        <f t="shared" si="341"/>
        <v>1</v>
      </c>
      <c r="JR26" s="122">
        <f t="shared" si="342"/>
        <v>0</v>
      </c>
      <c r="JS26" s="122">
        <f t="shared" si="343"/>
        <v>0</v>
      </c>
      <c r="JT26" s="122">
        <f t="shared" si="344"/>
        <v>0</v>
      </c>
      <c r="JU26" s="122">
        <f t="shared" si="345"/>
        <v>0</v>
      </c>
      <c r="JV26" s="122">
        <f t="shared" si="346"/>
        <v>0</v>
      </c>
      <c r="JW26" s="122">
        <f t="shared" si="347"/>
        <v>0</v>
      </c>
      <c r="JX26" s="122">
        <f t="shared" si="348"/>
        <v>0</v>
      </c>
      <c r="JY26" s="122">
        <f t="shared" si="349"/>
        <v>0</v>
      </c>
      <c r="JZ26" s="122">
        <f t="shared" si="350"/>
        <v>0</v>
      </c>
      <c r="KA26" s="122">
        <f t="shared" si="351"/>
        <v>0</v>
      </c>
      <c r="KB26" s="122">
        <f t="shared" si="352"/>
        <v>0</v>
      </c>
      <c r="KD26" s="122">
        <f t="shared" si="164"/>
        <v>0</v>
      </c>
      <c r="KE26" s="122">
        <f t="shared" si="102"/>
        <v>0</v>
      </c>
      <c r="KF26" s="122">
        <f t="shared" si="353"/>
        <v>80</v>
      </c>
      <c r="KG26" s="122">
        <f t="shared" si="354"/>
        <v>80</v>
      </c>
      <c r="KH26" s="122">
        <f t="shared" si="355"/>
        <v>0</v>
      </c>
      <c r="KI26" s="122">
        <f t="shared" si="356"/>
        <v>0</v>
      </c>
      <c r="KJ26" s="122">
        <f t="shared" si="357"/>
        <v>0</v>
      </c>
      <c r="KK26" s="122">
        <f t="shared" si="358"/>
        <v>0</v>
      </c>
      <c r="KL26" s="122">
        <f t="shared" si="359"/>
        <v>0</v>
      </c>
      <c r="KM26" s="122">
        <f t="shared" si="360"/>
        <v>0</v>
      </c>
      <c r="KN26" s="123">
        <f t="shared" si="361"/>
        <v>0</v>
      </c>
      <c r="KO26" s="123">
        <f t="shared" si="362"/>
        <v>0</v>
      </c>
      <c r="KP26" s="123">
        <f t="shared" si="363"/>
        <v>0</v>
      </c>
      <c r="KQ26" s="123">
        <f t="shared" si="364"/>
        <v>0</v>
      </c>
      <c r="KR26" s="123">
        <f t="shared" si="365"/>
        <v>0</v>
      </c>
      <c r="KT26">
        <f t="shared" si="366"/>
        <v>0</v>
      </c>
      <c r="KU26" s="123"/>
      <c r="KV26" s="123"/>
      <c r="KW26" s="123"/>
      <c r="KX26" s="123"/>
      <c r="KY26" s="123"/>
      <c r="KZ26" s="123"/>
      <c r="LA26" s="123"/>
      <c r="LB26" s="123"/>
      <c r="LC26" s="123"/>
      <c r="LD26" s="123"/>
      <c r="LE26" s="123"/>
      <c r="LF26" s="123"/>
      <c r="LG26" s="123"/>
      <c r="LH26" s="123"/>
      <c r="LI26" s="123"/>
      <c r="LJ26" s="123"/>
      <c r="LK26" s="123"/>
      <c r="LL26" s="123"/>
      <c r="LM26" s="123"/>
      <c r="LN26" s="123"/>
      <c r="LO26" s="123"/>
      <c r="LP26" s="123"/>
      <c r="LQ26" s="123"/>
      <c r="LR26" s="123"/>
      <c r="LS26" s="123"/>
      <c r="LT26" s="123"/>
      <c r="LU26" s="123"/>
      <c r="LV26" s="123"/>
      <c r="LW26" s="123"/>
      <c r="LX26" s="123"/>
      <c r="LY26" s="123"/>
      <c r="LZ26" s="123"/>
      <c r="MA26" s="123"/>
      <c r="MB26" s="123"/>
      <c r="MC26" s="123"/>
      <c r="MD26" s="123"/>
      <c r="ME26" s="123"/>
      <c r="MF26" s="123"/>
      <c r="MG26" s="123"/>
      <c r="MH26" s="123"/>
      <c r="MI26" s="123"/>
      <c r="MJ26" s="123"/>
      <c r="MK26" s="123"/>
      <c r="ML26" s="123"/>
      <c r="MM26" s="123"/>
      <c r="MN26" s="123"/>
      <c r="MO26" s="123"/>
      <c r="MP26" s="123"/>
      <c r="MQ26" s="123"/>
      <c r="MR26" s="123"/>
      <c r="MS26" s="123"/>
      <c r="MT26" s="123"/>
      <c r="MU26" s="123"/>
      <c r="MV26" s="123"/>
      <c r="MW26" s="123"/>
      <c r="MX26" s="123"/>
      <c r="MY26" s="123"/>
      <c r="MZ26" s="123"/>
      <c r="NA26" s="123"/>
      <c r="NB26" s="123"/>
      <c r="NC26" s="123"/>
      <c r="ND26" s="123"/>
      <c r="NE26" s="123"/>
      <c r="NF26" s="123"/>
      <c r="NG26" s="123"/>
      <c r="NH26" s="123"/>
      <c r="NI26" s="123"/>
      <c r="NJ26" s="123"/>
      <c r="NK26" s="123"/>
      <c r="NM26">
        <f t="shared" si="165"/>
        <v>0</v>
      </c>
      <c r="NN26">
        <f t="shared" si="166"/>
        <v>0</v>
      </c>
      <c r="NO26">
        <f t="shared" si="167"/>
        <v>0</v>
      </c>
      <c r="NP26">
        <f t="shared" si="168"/>
        <v>0</v>
      </c>
      <c r="NQ26">
        <f t="shared" si="169"/>
        <v>0</v>
      </c>
      <c r="NR26">
        <f t="shared" si="170"/>
        <v>0</v>
      </c>
      <c r="NS26">
        <f t="shared" si="171"/>
        <v>0</v>
      </c>
      <c r="NT26">
        <f t="shared" si="172"/>
        <v>0</v>
      </c>
      <c r="NU26" s="29">
        <f t="shared" si="173"/>
        <v>0</v>
      </c>
      <c r="NY26" s="17">
        <f t="shared" si="118"/>
        <v>1</v>
      </c>
      <c r="NZ26" s="152">
        <v>11000000</v>
      </c>
      <c r="OE26" s="155">
        <f t="shared" si="119"/>
        <v>0</v>
      </c>
      <c r="OF26" s="155">
        <f t="shared" si="120"/>
        <v>0</v>
      </c>
      <c r="OG26" s="155">
        <f t="shared" si="121"/>
        <v>0</v>
      </c>
      <c r="OH26" s="155">
        <f t="shared" si="174"/>
        <v>0</v>
      </c>
      <c r="OI26" s="155">
        <f t="shared" si="122"/>
        <v>0</v>
      </c>
      <c r="OJ26" s="67">
        <f t="shared" si="175"/>
        <v>0</v>
      </c>
      <c r="OK26" s="67">
        <f t="shared" si="176"/>
        <v>0</v>
      </c>
      <c r="OL26" s="67">
        <f t="shared" si="177"/>
        <v>0</v>
      </c>
      <c r="OM26" s="67">
        <f t="shared" si="178"/>
        <v>0</v>
      </c>
      <c r="OO26" s="155">
        <f t="shared" si="123"/>
        <v>0</v>
      </c>
      <c r="OP26" s="155">
        <f t="shared" si="124"/>
        <v>0</v>
      </c>
      <c r="OQ26" s="155">
        <f t="shared" si="179"/>
        <v>0</v>
      </c>
      <c r="OR26" s="155">
        <f t="shared" si="180"/>
        <v>0</v>
      </c>
      <c r="OS26" s="155">
        <f t="shared" si="181"/>
        <v>0</v>
      </c>
      <c r="OT26" s="67">
        <f t="shared" si="182"/>
        <v>0</v>
      </c>
      <c r="OU26" s="67">
        <f t="shared" si="183"/>
        <v>0</v>
      </c>
      <c r="OV26" s="67">
        <f t="shared" si="184"/>
        <v>0</v>
      </c>
      <c r="OW26" s="67">
        <f t="shared" si="185"/>
        <v>0</v>
      </c>
      <c r="OZ26" s="163"/>
      <c r="PA26" s="166"/>
      <c r="PB26" s="166"/>
      <c r="PC26" s="166"/>
      <c r="PD26" s="210">
        <f t="shared" si="125"/>
        <v>0</v>
      </c>
      <c r="PE26" s="210"/>
      <c r="PF26" s="210">
        <f t="shared" si="126"/>
        <v>0</v>
      </c>
      <c r="PG26" s="210">
        <f t="shared" si="127"/>
        <v>0</v>
      </c>
      <c r="PH26" s="210">
        <f t="shared" si="127"/>
        <v>0</v>
      </c>
      <c r="PI26" s="210">
        <f t="shared" si="127"/>
        <v>0</v>
      </c>
      <c r="PJ26" s="210">
        <f t="shared" si="127"/>
        <v>0</v>
      </c>
      <c r="PK26" s="210">
        <f t="shared" si="127"/>
        <v>0</v>
      </c>
      <c r="PL26" s="210">
        <f t="shared" si="127"/>
        <v>0</v>
      </c>
      <c r="PM26" s="164"/>
      <c r="PN26" s="164"/>
      <c r="PO26" s="172">
        <f t="shared" si="186"/>
        <v>0</v>
      </c>
      <c r="PP26" s="172">
        <f t="shared" si="187"/>
        <v>0</v>
      </c>
      <c r="PQ26" s="172">
        <f t="shared" si="188"/>
        <v>0</v>
      </c>
      <c r="PR26" s="164"/>
      <c r="PS26" s="164"/>
      <c r="PT26" s="164"/>
      <c r="PU26" s="164"/>
    </row>
    <row r="27" spans="1:437 16383:16383" ht="16" x14ac:dyDescent="0.2">
      <c r="A27" s="19">
        <f t="shared" si="189"/>
        <v>19</v>
      </c>
      <c r="B27" s="138" t="s">
        <v>220</v>
      </c>
      <c r="C27" s="138">
        <v>48</v>
      </c>
      <c r="D27" s="20">
        <v>1</v>
      </c>
      <c r="E27" s="20">
        <v>90</v>
      </c>
      <c r="F27" s="20">
        <v>1</v>
      </c>
      <c r="G27" s="20">
        <f t="shared" si="308"/>
        <v>90</v>
      </c>
      <c r="H27" s="137">
        <f t="shared" si="2"/>
        <v>1</v>
      </c>
      <c r="I27" s="137">
        <f t="shared" si="3"/>
        <v>1</v>
      </c>
      <c r="J27" s="20">
        <v>1</v>
      </c>
      <c r="K27" s="20">
        <f t="shared" si="4"/>
        <v>90</v>
      </c>
      <c r="L27" s="137">
        <f t="shared" si="5"/>
        <v>1</v>
      </c>
      <c r="M27" s="137">
        <f t="shared" si="6"/>
        <v>1</v>
      </c>
      <c r="N27" s="20">
        <v>1</v>
      </c>
      <c r="O27" s="20">
        <f t="shared" si="7"/>
        <v>90</v>
      </c>
      <c r="P27" s="137">
        <f t="shared" si="8"/>
        <v>1</v>
      </c>
      <c r="Q27" s="137">
        <f t="shared" si="9"/>
        <v>1</v>
      </c>
      <c r="R27" s="20">
        <v>1</v>
      </c>
      <c r="S27" s="20">
        <f t="shared" si="10"/>
        <v>90</v>
      </c>
      <c r="T27" s="137">
        <f t="shared" si="11"/>
        <v>1</v>
      </c>
      <c r="U27" s="137">
        <f t="shared" si="12"/>
        <v>1</v>
      </c>
      <c r="V27" s="20">
        <v>1</v>
      </c>
      <c r="W27" s="20">
        <f t="shared" si="13"/>
        <v>90</v>
      </c>
      <c r="X27" s="137">
        <f t="shared" si="14"/>
        <v>1</v>
      </c>
      <c r="Y27" s="137">
        <f t="shared" si="15"/>
        <v>1</v>
      </c>
      <c r="Z27" s="59">
        <f>1663842000/1000000000</f>
        <v>1.663842</v>
      </c>
      <c r="AA27" s="20"/>
      <c r="AB27" s="17">
        <f t="shared" si="129"/>
        <v>0</v>
      </c>
      <c r="AC27" s="18">
        <f t="shared" si="130"/>
        <v>0</v>
      </c>
      <c r="AD27" s="18">
        <f t="shared" si="131"/>
        <v>0</v>
      </c>
      <c r="AE27" s="20"/>
      <c r="AF27" s="20">
        <f t="shared" si="132"/>
        <v>0</v>
      </c>
      <c r="AG27" s="20"/>
      <c r="AH27" s="31"/>
      <c r="AI27" s="20">
        <v>0</v>
      </c>
      <c r="AJ27" s="20">
        <f t="shared" si="18"/>
        <v>0</v>
      </c>
      <c r="AK27" s="20"/>
      <c r="AL27" s="20">
        <v>0</v>
      </c>
      <c r="AM27" s="20">
        <v>0</v>
      </c>
      <c r="AN27" s="139"/>
      <c r="BB27" s="20">
        <f t="shared" si="133"/>
        <v>0</v>
      </c>
      <c r="BE27" s="20">
        <f t="shared" si="19"/>
        <v>0</v>
      </c>
      <c r="BF27" s="20">
        <f t="shared" si="20"/>
        <v>0</v>
      </c>
      <c r="BG27" s="20">
        <f t="shared" si="21"/>
        <v>0</v>
      </c>
      <c r="BH27" s="20">
        <f t="shared" si="22"/>
        <v>0</v>
      </c>
      <c r="BI27" s="20">
        <f t="shared" si="23"/>
        <v>0</v>
      </c>
      <c r="BJ27" s="20">
        <f t="shared" si="24"/>
        <v>0</v>
      </c>
      <c r="BK27" s="20">
        <f t="shared" si="134"/>
        <v>0</v>
      </c>
      <c r="BN27" s="140">
        <v>80</v>
      </c>
      <c r="BO27">
        <v>1</v>
      </c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B27" s="139"/>
      <c r="CD27" s="17">
        <f t="shared" si="26"/>
        <v>80</v>
      </c>
      <c r="CE27" s="17">
        <f t="shared" si="135"/>
        <v>80</v>
      </c>
      <c r="CF27" s="20">
        <f t="shared" si="27"/>
        <v>0</v>
      </c>
      <c r="CG27" s="20">
        <f t="shared" si="28"/>
        <v>0</v>
      </c>
      <c r="CH27" s="20">
        <f t="shared" si="29"/>
        <v>0</v>
      </c>
      <c r="CI27" s="20">
        <f t="shared" si="30"/>
        <v>0</v>
      </c>
      <c r="CJ27" s="20">
        <f t="shared" si="31"/>
        <v>0</v>
      </c>
      <c r="CK27" s="20">
        <f t="shared" si="32"/>
        <v>0</v>
      </c>
      <c r="CL27" s="20">
        <f t="shared" si="33"/>
        <v>0</v>
      </c>
      <c r="CM27" s="20">
        <f t="shared" si="34"/>
        <v>0</v>
      </c>
      <c r="CN27" s="20">
        <f t="shared" si="35"/>
        <v>0</v>
      </c>
      <c r="CO27" s="20">
        <f t="shared" si="36"/>
        <v>0</v>
      </c>
      <c r="CP27" s="20">
        <f t="shared" si="37"/>
        <v>0</v>
      </c>
      <c r="DV27" s="20">
        <f t="shared" si="38"/>
        <v>0</v>
      </c>
      <c r="DW27" s="20">
        <f t="shared" si="39"/>
        <v>0</v>
      </c>
      <c r="DX27" s="20">
        <f t="shared" si="40"/>
        <v>0</v>
      </c>
      <c r="DY27" s="20">
        <f t="shared" si="41"/>
        <v>0</v>
      </c>
      <c r="DZ27" s="20">
        <f t="shared" si="42"/>
        <v>0</v>
      </c>
      <c r="EA27" s="20">
        <f t="shared" si="43"/>
        <v>0</v>
      </c>
      <c r="EB27" s="20">
        <f t="shared" si="136"/>
        <v>0</v>
      </c>
      <c r="EG27" s="57">
        <f t="shared" si="137"/>
        <v>0</v>
      </c>
      <c r="EH27" s="57">
        <f t="shared" si="138"/>
        <v>0</v>
      </c>
      <c r="EI27" s="17"/>
      <c r="EJ27" s="17"/>
      <c r="EK27" s="17"/>
      <c r="EL27" s="17"/>
      <c r="EM27" s="17"/>
      <c r="EN27" s="17"/>
      <c r="EO27" s="17"/>
      <c r="EP27" s="17"/>
      <c r="EQ27" s="17"/>
      <c r="ER27" s="189"/>
      <c r="ES27" s="189"/>
      <c r="ET27" s="189"/>
      <c r="EU27" s="189"/>
      <c r="EV27" s="189"/>
      <c r="EW27" s="17"/>
      <c r="EX27" s="17"/>
      <c r="EY27" s="17"/>
      <c r="EZ27" s="189"/>
      <c r="FA27" s="17"/>
      <c r="FB27" s="17"/>
      <c r="FC27" s="17"/>
      <c r="FD27" s="17"/>
      <c r="FE27" s="17"/>
      <c r="FF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X27" s="80">
        <v>1</v>
      </c>
      <c r="FY27" s="17">
        <f t="shared" si="139"/>
        <v>80</v>
      </c>
      <c r="FZ27" s="17">
        <f t="shared" si="309"/>
        <v>80</v>
      </c>
      <c r="GA27" s="17">
        <f t="shared" si="310"/>
        <v>0</v>
      </c>
      <c r="GB27" s="17">
        <f t="shared" si="311"/>
        <v>0</v>
      </c>
      <c r="GC27" s="17">
        <f t="shared" si="312"/>
        <v>0</v>
      </c>
      <c r="GD27" s="17">
        <f t="shared" si="313"/>
        <v>0</v>
      </c>
      <c r="GE27" s="17">
        <f t="shared" si="314"/>
        <v>0</v>
      </c>
      <c r="GF27" s="67"/>
      <c r="GG27" s="17">
        <v>0</v>
      </c>
      <c r="GH27" s="17">
        <v>0</v>
      </c>
      <c r="GI27" s="67"/>
      <c r="GJ27" s="62">
        <f t="shared" si="140"/>
        <v>0</v>
      </c>
      <c r="GK27" s="62">
        <f t="shared" si="141"/>
        <v>0</v>
      </c>
      <c r="GO27" s="17">
        <f t="shared" si="315"/>
        <v>0</v>
      </c>
      <c r="GP27" s="17">
        <f t="shared" si="316"/>
        <v>0</v>
      </c>
      <c r="GQ27" s="17">
        <f t="shared" si="317"/>
        <v>0</v>
      </c>
      <c r="GR27" s="17">
        <f t="shared" si="318"/>
        <v>0</v>
      </c>
      <c r="GS27" s="17">
        <f t="shared" si="319"/>
        <v>0</v>
      </c>
      <c r="GT27" s="17">
        <f t="shared" si="142"/>
        <v>1</v>
      </c>
      <c r="GU27" s="101">
        <f t="shared" si="143"/>
        <v>43243</v>
      </c>
      <c r="GV27" s="17" t="str">
        <f t="shared" si="144"/>
        <v>SELESAI</v>
      </c>
      <c r="GW27" s="17">
        <f t="shared" si="145"/>
        <v>0</v>
      </c>
      <c r="GX27" s="66" t="str">
        <f t="shared" si="146"/>
        <v>SELESAI</v>
      </c>
      <c r="GY27" s="66">
        <f t="shared" si="147"/>
        <v>0</v>
      </c>
      <c r="GZ27" s="102" t="str">
        <f t="shared" si="148"/>
        <v>SELESAI</v>
      </c>
      <c r="HA27" s="83"/>
      <c r="HB27" s="83"/>
      <c r="HC27" s="17">
        <f t="shared" si="320"/>
        <v>0</v>
      </c>
      <c r="HD27" s="17">
        <f t="shared" si="321"/>
        <v>0</v>
      </c>
      <c r="HE27" s="17">
        <f t="shared" si="149"/>
        <v>0</v>
      </c>
      <c r="HF27" s="17">
        <f t="shared" si="150"/>
        <v>0</v>
      </c>
      <c r="HG27" s="17">
        <f t="shared" si="151"/>
        <v>0</v>
      </c>
      <c r="HH27" s="101" t="str">
        <f t="shared" si="58"/>
        <v>TIDAK KONSINYASI</v>
      </c>
      <c r="HI27" s="101" t="str">
        <f t="shared" si="152"/>
        <v>SELESAI</v>
      </c>
      <c r="HJ27" s="27"/>
      <c r="HK27" s="101">
        <f t="shared" si="59"/>
        <v>0</v>
      </c>
      <c r="HL27" s="83"/>
      <c r="HM27" s="83"/>
      <c r="HN27" s="83"/>
      <c r="HO27" s="83"/>
      <c r="HP27" s="102">
        <f t="shared" si="153"/>
        <v>0</v>
      </c>
      <c r="HQ27" s="66">
        <f t="shared" si="154"/>
        <v>0</v>
      </c>
      <c r="HR27" s="66">
        <f t="shared" si="322"/>
        <v>0</v>
      </c>
      <c r="HS27" s="102">
        <f t="shared" si="155"/>
        <v>0</v>
      </c>
      <c r="HT27" s="66">
        <f t="shared" si="156"/>
        <v>0</v>
      </c>
      <c r="HU27" s="66">
        <f t="shared" si="323"/>
        <v>0</v>
      </c>
      <c r="HV27" s="102">
        <f t="shared" si="157"/>
        <v>0</v>
      </c>
      <c r="HW27" s="66">
        <f t="shared" si="62"/>
        <v>0</v>
      </c>
      <c r="HX27" s="66">
        <f t="shared" si="324"/>
        <v>0</v>
      </c>
      <c r="HY27" s="102">
        <f t="shared" si="64"/>
        <v>0</v>
      </c>
      <c r="HZ27" s="66">
        <f t="shared" si="158"/>
        <v>0</v>
      </c>
      <c r="IA27" s="66">
        <f t="shared" si="325"/>
        <v>0</v>
      </c>
      <c r="IB27" s="102">
        <f t="shared" si="159"/>
        <v>0</v>
      </c>
      <c r="IC27" s="66">
        <f t="shared" si="66"/>
        <v>0</v>
      </c>
      <c r="ID27" s="66">
        <f t="shared" si="326"/>
        <v>0</v>
      </c>
      <c r="IE27" s="102">
        <f t="shared" si="68"/>
        <v>0</v>
      </c>
      <c r="IF27" s="66">
        <f t="shared" si="69"/>
        <v>0</v>
      </c>
      <c r="IG27" s="66">
        <f t="shared" si="327"/>
        <v>0</v>
      </c>
      <c r="IH27" s="102">
        <f t="shared" si="160"/>
        <v>0</v>
      </c>
      <c r="II27" s="66">
        <f t="shared" si="161"/>
        <v>0</v>
      </c>
      <c r="IJ27" s="66">
        <f t="shared" si="328"/>
        <v>0</v>
      </c>
      <c r="IK27" s="102">
        <f t="shared" si="72"/>
        <v>0</v>
      </c>
      <c r="IL27" s="66">
        <f t="shared" si="73"/>
        <v>0</v>
      </c>
      <c r="IM27" s="66">
        <f t="shared" si="329"/>
        <v>0</v>
      </c>
      <c r="IN27" s="83"/>
      <c r="IO27" s="102">
        <f t="shared" si="75"/>
        <v>0</v>
      </c>
      <c r="IP27" s="66">
        <f t="shared" si="330"/>
        <v>0</v>
      </c>
      <c r="IQ27" s="66">
        <f t="shared" si="331"/>
        <v>0</v>
      </c>
      <c r="IR27" s="83"/>
      <c r="IS27" s="102"/>
      <c r="IT27" s="66">
        <f t="shared" si="332"/>
        <v>1</v>
      </c>
      <c r="IU27" s="66">
        <f t="shared" si="333"/>
        <v>90</v>
      </c>
      <c r="IV27" s="83"/>
      <c r="IW27" s="102"/>
      <c r="IX27" s="66">
        <f t="shared" si="334"/>
        <v>0</v>
      </c>
      <c r="IY27" s="66">
        <f t="shared" si="335"/>
        <v>0</v>
      </c>
      <c r="IZ27" s="83"/>
      <c r="JA27" s="102"/>
      <c r="JB27" s="66">
        <f t="shared" si="336"/>
        <v>0</v>
      </c>
      <c r="JC27" s="66">
        <f t="shared" si="337"/>
        <v>0</v>
      </c>
      <c r="JD27" s="83"/>
      <c r="JE27" s="102"/>
      <c r="JF27" s="66">
        <f t="shared" si="162"/>
        <v>1</v>
      </c>
      <c r="JG27" s="66">
        <f t="shared" si="84"/>
        <v>90</v>
      </c>
      <c r="JH27" s="83"/>
      <c r="JI27" s="102"/>
      <c r="JJ27" s="66">
        <f t="shared" si="338"/>
        <v>0</v>
      </c>
      <c r="JK27" s="66">
        <f t="shared" si="339"/>
        <v>0</v>
      </c>
      <c r="JM27" s="102">
        <f t="shared" si="163"/>
        <v>0</v>
      </c>
      <c r="JO27" s="29">
        <f t="shared" si="87"/>
        <v>1</v>
      </c>
      <c r="JP27" s="122">
        <f t="shared" si="340"/>
        <v>80</v>
      </c>
      <c r="JQ27" s="122">
        <f t="shared" si="341"/>
        <v>1</v>
      </c>
      <c r="JR27" s="122">
        <f t="shared" si="342"/>
        <v>0</v>
      </c>
      <c r="JS27" s="122">
        <f t="shared" si="343"/>
        <v>0</v>
      </c>
      <c r="JT27" s="122">
        <f t="shared" si="344"/>
        <v>0</v>
      </c>
      <c r="JU27" s="122">
        <f t="shared" si="345"/>
        <v>0</v>
      </c>
      <c r="JV27" s="122">
        <f t="shared" si="346"/>
        <v>0</v>
      </c>
      <c r="JW27" s="122">
        <f t="shared" si="347"/>
        <v>0</v>
      </c>
      <c r="JX27" s="122">
        <f t="shared" si="348"/>
        <v>0</v>
      </c>
      <c r="JY27" s="122">
        <f t="shared" si="349"/>
        <v>0</v>
      </c>
      <c r="JZ27" s="122">
        <f t="shared" si="350"/>
        <v>0</v>
      </c>
      <c r="KA27" s="122">
        <f t="shared" si="351"/>
        <v>0</v>
      </c>
      <c r="KB27" s="122">
        <f t="shared" si="352"/>
        <v>0</v>
      </c>
      <c r="KD27" s="122">
        <f t="shared" si="164"/>
        <v>0</v>
      </c>
      <c r="KE27" s="122">
        <f t="shared" si="102"/>
        <v>0</v>
      </c>
      <c r="KF27" s="122">
        <f t="shared" si="353"/>
        <v>80</v>
      </c>
      <c r="KG27" s="122">
        <f t="shared" si="354"/>
        <v>80</v>
      </c>
      <c r="KH27" s="122">
        <f t="shared" si="355"/>
        <v>0</v>
      </c>
      <c r="KI27" s="122">
        <f t="shared" si="356"/>
        <v>0</v>
      </c>
      <c r="KJ27" s="122">
        <f t="shared" si="357"/>
        <v>0</v>
      </c>
      <c r="KK27" s="122">
        <f t="shared" si="358"/>
        <v>0</v>
      </c>
      <c r="KL27" s="122">
        <f t="shared" si="359"/>
        <v>0</v>
      </c>
      <c r="KM27" s="122">
        <f t="shared" si="360"/>
        <v>0</v>
      </c>
      <c r="KN27" s="123">
        <f t="shared" si="361"/>
        <v>0</v>
      </c>
      <c r="KO27" s="123">
        <f t="shared" si="362"/>
        <v>0</v>
      </c>
      <c r="KP27" s="123">
        <f t="shared" si="363"/>
        <v>0</v>
      </c>
      <c r="KQ27" s="123">
        <f t="shared" si="364"/>
        <v>0</v>
      </c>
      <c r="KR27" s="123">
        <f t="shared" si="365"/>
        <v>0</v>
      </c>
      <c r="KT27">
        <f t="shared" si="366"/>
        <v>0</v>
      </c>
      <c r="KU27" s="123"/>
      <c r="KV27" s="123"/>
      <c r="KW27" s="123"/>
      <c r="KX27" s="123"/>
      <c r="KY27" s="123"/>
      <c r="KZ27" s="123"/>
      <c r="LA27" s="123"/>
      <c r="LB27" s="123"/>
      <c r="LC27" s="123"/>
      <c r="LD27" s="123"/>
      <c r="LE27" s="123"/>
      <c r="LF27" s="123"/>
      <c r="LG27" s="123"/>
      <c r="LH27" s="123"/>
      <c r="LI27" s="123"/>
      <c r="LJ27" s="123"/>
      <c r="LK27" s="123"/>
      <c r="LL27" s="123"/>
      <c r="LM27" s="123"/>
      <c r="LN27" s="123"/>
      <c r="LO27" s="123"/>
      <c r="LP27" s="123"/>
      <c r="LQ27" s="123"/>
      <c r="LR27" s="123"/>
      <c r="LS27" s="123"/>
      <c r="LT27" s="123"/>
      <c r="LU27" s="123"/>
      <c r="LV27" s="123"/>
      <c r="LW27" s="123"/>
      <c r="LX27" s="123"/>
      <c r="LY27" s="123"/>
      <c r="LZ27" s="123"/>
      <c r="MA27" s="123"/>
      <c r="MB27" s="123"/>
      <c r="MC27" s="123"/>
      <c r="MD27" s="123"/>
      <c r="ME27" s="123"/>
      <c r="MF27" s="123"/>
      <c r="MG27" s="123"/>
      <c r="MH27" s="123"/>
      <c r="MI27" s="123"/>
      <c r="MJ27" s="123"/>
      <c r="MK27" s="123"/>
      <c r="ML27" s="123"/>
      <c r="MM27" s="123"/>
      <c r="MN27" s="123"/>
      <c r="MO27" s="123"/>
      <c r="MP27" s="123"/>
      <c r="MQ27" s="123"/>
      <c r="MR27" s="123"/>
      <c r="MS27" s="123"/>
      <c r="MT27" s="123"/>
      <c r="MU27" s="123"/>
      <c r="MV27" s="123"/>
      <c r="MW27" s="123"/>
      <c r="MX27" s="123"/>
      <c r="MY27" s="123"/>
      <c r="MZ27" s="123"/>
      <c r="NA27" s="123"/>
      <c r="NB27" s="123"/>
      <c r="NC27" s="123"/>
      <c r="ND27" s="123"/>
      <c r="NE27" s="123"/>
      <c r="NF27" s="123"/>
      <c r="NG27" s="123"/>
      <c r="NH27" s="123"/>
      <c r="NI27" s="123"/>
      <c r="NJ27" s="123"/>
      <c r="NK27" s="123"/>
      <c r="NM27">
        <f t="shared" si="165"/>
        <v>0</v>
      </c>
      <c r="NN27">
        <f t="shared" si="166"/>
        <v>0</v>
      </c>
      <c r="NO27">
        <f t="shared" si="167"/>
        <v>0</v>
      </c>
      <c r="NP27">
        <f t="shared" si="168"/>
        <v>0</v>
      </c>
      <c r="NQ27">
        <f t="shared" si="169"/>
        <v>0</v>
      </c>
      <c r="NR27">
        <f t="shared" si="170"/>
        <v>0</v>
      </c>
      <c r="NS27">
        <f t="shared" si="171"/>
        <v>0</v>
      </c>
      <c r="NT27">
        <f t="shared" si="172"/>
        <v>0</v>
      </c>
      <c r="NU27" s="29">
        <f t="shared" si="173"/>
        <v>0</v>
      </c>
      <c r="NY27" s="17">
        <f t="shared" si="118"/>
        <v>1</v>
      </c>
      <c r="NZ27" s="152">
        <v>10780000</v>
      </c>
      <c r="OE27" s="155">
        <f t="shared" si="119"/>
        <v>0</v>
      </c>
      <c r="OF27" s="155">
        <f t="shared" si="120"/>
        <v>0</v>
      </c>
      <c r="OG27" s="155">
        <f t="shared" si="121"/>
        <v>0</v>
      </c>
      <c r="OH27" s="155">
        <f t="shared" si="174"/>
        <v>0</v>
      </c>
      <c r="OI27" s="155">
        <f t="shared" si="122"/>
        <v>0</v>
      </c>
      <c r="OJ27" s="67">
        <f t="shared" si="175"/>
        <v>0</v>
      </c>
      <c r="OK27" s="67">
        <f t="shared" si="176"/>
        <v>0</v>
      </c>
      <c r="OL27" s="67">
        <f t="shared" si="177"/>
        <v>0</v>
      </c>
      <c r="OM27" s="67">
        <f t="shared" si="178"/>
        <v>0</v>
      </c>
      <c r="OO27" s="155">
        <f t="shared" si="123"/>
        <v>0</v>
      </c>
      <c r="OP27" s="155">
        <f t="shared" si="124"/>
        <v>0</v>
      </c>
      <c r="OQ27" s="155">
        <f t="shared" si="179"/>
        <v>0</v>
      </c>
      <c r="OR27" s="155">
        <f t="shared" si="180"/>
        <v>0</v>
      </c>
      <c r="OS27" s="155">
        <f t="shared" si="181"/>
        <v>0</v>
      </c>
      <c r="OT27" s="67">
        <f t="shared" si="182"/>
        <v>0</v>
      </c>
      <c r="OU27" s="67">
        <f t="shared" si="183"/>
        <v>0</v>
      </c>
      <c r="OV27" s="67">
        <f t="shared" si="184"/>
        <v>0</v>
      </c>
      <c r="OW27" s="67">
        <f t="shared" si="185"/>
        <v>0</v>
      </c>
      <c r="OZ27" s="163"/>
      <c r="PA27" s="166"/>
      <c r="PB27" s="166"/>
      <c r="PC27" s="166"/>
      <c r="PD27" s="210">
        <f t="shared" si="125"/>
        <v>0</v>
      </c>
      <c r="PE27" s="210"/>
      <c r="PF27" s="210">
        <f t="shared" si="126"/>
        <v>0</v>
      </c>
      <c r="PG27" s="210">
        <f t="shared" si="127"/>
        <v>0</v>
      </c>
      <c r="PH27" s="210">
        <f t="shared" si="127"/>
        <v>0</v>
      </c>
      <c r="PI27" s="210">
        <f t="shared" si="127"/>
        <v>0</v>
      </c>
      <c r="PJ27" s="210">
        <f t="shared" si="127"/>
        <v>0</v>
      </c>
      <c r="PK27" s="210">
        <f t="shared" si="127"/>
        <v>0</v>
      </c>
      <c r="PL27" s="210">
        <f t="shared" si="127"/>
        <v>0</v>
      </c>
      <c r="PM27" s="164"/>
      <c r="PN27" s="164"/>
      <c r="PO27" s="172">
        <f t="shared" si="186"/>
        <v>0</v>
      </c>
      <c r="PP27" s="172">
        <f t="shared" si="187"/>
        <v>0</v>
      </c>
      <c r="PQ27" s="172">
        <f t="shared" si="188"/>
        <v>0</v>
      </c>
      <c r="PR27" s="164"/>
      <c r="PS27" s="164"/>
      <c r="PT27" s="164"/>
      <c r="PU27" s="164"/>
    </row>
    <row r="28" spans="1:437 16383:16383" ht="16" x14ac:dyDescent="0.2">
      <c r="A28" s="19">
        <f t="shared" si="189"/>
        <v>20</v>
      </c>
      <c r="B28" s="138" t="s">
        <v>221</v>
      </c>
      <c r="C28" s="186">
        <v>49</v>
      </c>
      <c r="D28" s="188">
        <v>1</v>
      </c>
      <c r="E28" s="188">
        <v>91</v>
      </c>
      <c r="F28" s="188">
        <v>1</v>
      </c>
      <c r="G28" s="188">
        <f t="shared" si="308"/>
        <v>91</v>
      </c>
      <c r="H28" s="214">
        <f t="shared" si="2"/>
        <v>1</v>
      </c>
      <c r="I28" s="214">
        <f t="shared" si="3"/>
        <v>1</v>
      </c>
      <c r="J28" s="188">
        <v>1</v>
      </c>
      <c r="K28" s="188">
        <f t="shared" si="4"/>
        <v>91</v>
      </c>
      <c r="L28" s="214">
        <f t="shared" si="5"/>
        <v>1</v>
      </c>
      <c r="M28" s="214">
        <f t="shared" si="6"/>
        <v>1</v>
      </c>
      <c r="N28" s="188">
        <v>1</v>
      </c>
      <c r="O28" s="188">
        <f t="shared" si="7"/>
        <v>91</v>
      </c>
      <c r="P28" s="214">
        <f t="shared" si="8"/>
        <v>1</v>
      </c>
      <c r="Q28" s="214">
        <f t="shared" si="9"/>
        <v>1</v>
      </c>
      <c r="R28" s="188">
        <v>1</v>
      </c>
      <c r="S28" s="188">
        <f t="shared" si="10"/>
        <v>91</v>
      </c>
      <c r="T28" s="214">
        <f t="shared" si="11"/>
        <v>1</v>
      </c>
      <c r="U28" s="214">
        <f t="shared" si="12"/>
        <v>1</v>
      </c>
      <c r="V28" s="188">
        <v>1</v>
      </c>
      <c r="W28" s="188">
        <f t="shared" si="13"/>
        <v>91</v>
      </c>
      <c r="X28" s="214">
        <f t="shared" si="14"/>
        <v>1</v>
      </c>
      <c r="Y28" s="214">
        <f t="shared" si="15"/>
        <v>1</v>
      </c>
      <c r="Z28" s="271">
        <f>1293101000/1000000000</f>
        <v>1.2931010000000001</v>
      </c>
      <c r="AA28" s="224"/>
      <c r="AB28" s="189">
        <f t="shared" si="129"/>
        <v>0</v>
      </c>
      <c r="AC28" s="250">
        <f t="shared" si="130"/>
        <v>0</v>
      </c>
      <c r="AD28" s="18">
        <f t="shared" si="131"/>
        <v>0</v>
      </c>
      <c r="AE28" s="38"/>
      <c r="AF28" s="20">
        <f t="shared" si="132"/>
        <v>0</v>
      </c>
      <c r="AG28" s="20"/>
      <c r="AH28" s="31"/>
      <c r="AI28" s="20">
        <v>0</v>
      </c>
      <c r="AJ28" s="20">
        <f t="shared" si="18"/>
        <v>0</v>
      </c>
      <c r="AK28" s="20"/>
      <c r="AL28" s="20">
        <v>0</v>
      </c>
      <c r="AM28" s="20">
        <v>0</v>
      </c>
      <c r="AN28" s="139"/>
      <c r="BB28" s="20">
        <f t="shared" si="133"/>
        <v>0</v>
      </c>
      <c r="BE28" s="20">
        <f t="shared" si="19"/>
        <v>0</v>
      </c>
      <c r="BF28" s="20">
        <f t="shared" si="20"/>
        <v>0</v>
      </c>
      <c r="BG28" s="20">
        <f t="shared" si="21"/>
        <v>0</v>
      </c>
      <c r="BH28" s="20">
        <f t="shared" si="22"/>
        <v>0</v>
      </c>
      <c r="BI28" s="20">
        <f t="shared" si="23"/>
        <v>0</v>
      </c>
      <c r="BJ28" s="20">
        <f t="shared" si="24"/>
        <v>0</v>
      </c>
      <c r="BK28" s="20">
        <f t="shared" si="134"/>
        <v>0</v>
      </c>
      <c r="BN28" s="140">
        <v>73</v>
      </c>
      <c r="BO28">
        <v>1</v>
      </c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B28" s="139"/>
      <c r="CD28" s="17">
        <f t="shared" si="26"/>
        <v>73</v>
      </c>
      <c r="CE28" s="17">
        <f t="shared" si="135"/>
        <v>73</v>
      </c>
      <c r="CF28" s="20">
        <f t="shared" si="27"/>
        <v>0</v>
      </c>
      <c r="CG28" s="20">
        <f t="shared" si="28"/>
        <v>0</v>
      </c>
      <c r="CH28" s="20">
        <f t="shared" si="29"/>
        <v>0</v>
      </c>
      <c r="CI28" s="20">
        <f t="shared" si="30"/>
        <v>0</v>
      </c>
      <c r="CJ28" s="20">
        <f t="shared" si="31"/>
        <v>0</v>
      </c>
      <c r="CK28" s="20">
        <f t="shared" si="32"/>
        <v>0</v>
      </c>
      <c r="CL28" s="20">
        <f t="shared" si="33"/>
        <v>0</v>
      </c>
      <c r="CM28" s="20">
        <f t="shared" si="34"/>
        <v>0</v>
      </c>
      <c r="CN28" s="20">
        <f t="shared" si="35"/>
        <v>0</v>
      </c>
      <c r="CO28" s="20">
        <f t="shared" si="36"/>
        <v>0</v>
      </c>
      <c r="CP28" s="20">
        <f t="shared" si="37"/>
        <v>0</v>
      </c>
      <c r="DV28" s="20">
        <f t="shared" si="38"/>
        <v>0</v>
      </c>
      <c r="DW28" s="20">
        <f t="shared" si="39"/>
        <v>0</v>
      </c>
      <c r="DX28" s="20">
        <f t="shared" si="40"/>
        <v>0</v>
      </c>
      <c r="DY28" s="20">
        <f t="shared" si="41"/>
        <v>0</v>
      </c>
      <c r="DZ28" s="20">
        <f t="shared" si="42"/>
        <v>0</v>
      </c>
      <c r="EA28" s="20">
        <f t="shared" si="43"/>
        <v>0</v>
      </c>
      <c r="EB28" s="20">
        <f t="shared" si="136"/>
        <v>0</v>
      </c>
      <c r="EG28" s="57">
        <f t="shared" si="137"/>
        <v>0</v>
      </c>
      <c r="EH28" s="57">
        <f t="shared" si="138"/>
        <v>0</v>
      </c>
      <c r="EI28" s="17"/>
      <c r="EJ28" s="17"/>
      <c r="EK28" s="17"/>
      <c r="EL28" s="17"/>
      <c r="EM28" s="17"/>
      <c r="EN28" s="17"/>
      <c r="EO28" s="17"/>
      <c r="EP28" s="17"/>
      <c r="EQ28" s="17"/>
      <c r="ER28" s="189"/>
      <c r="ES28" s="189"/>
      <c r="ET28" s="189"/>
      <c r="EU28" s="189"/>
      <c r="EV28" s="189"/>
      <c r="EW28" s="17"/>
      <c r="EX28" s="17"/>
      <c r="EY28" s="17"/>
      <c r="EZ28" s="189"/>
      <c r="FA28" s="17"/>
      <c r="FB28" s="17"/>
      <c r="FC28" s="17"/>
      <c r="FD28" s="17"/>
      <c r="FE28" s="17"/>
      <c r="FF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X28" s="80">
        <v>1</v>
      </c>
      <c r="FY28" s="17">
        <f t="shared" si="139"/>
        <v>73</v>
      </c>
      <c r="FZ28" s="17">
        <f t="shared" si="309"/>
        <v>73</v>
      </c>
      <c r="GA28" s="17">
        <f t="shared" si="310"/>
        <v>0</v>
      </c>
      <c r="GB28" s="17">
        <f t="shared" si="311"/>
        <v>0</v>
      </c>
      <c r="GC28" s="17">
        <f t="shared" si="312"/>
        <v>0</v>
      </c>
      <c r="GD28" s="17">
        <f t="shared" si="313"/>
        <v>0</v>
      </c>
      <c r="GE28" s="17">
        <f t="shared" si="314"/>
        <v>0</v>
      </c>
      <c r="GF28" s="67"/>
      <c r="GG28" s="17">
        <v>0</v>
      </c>
      <c r="GH28" s="17">
        <v>0</v>
      </c>
      <c r="GI28" s="67"/>
      <c r="GJ28" s="62">
        <f t="shared" si="140"/>
        <v>0</v>
      </c>
      <c r="GK28" s="62">
        <f t="shared" si="141"/>
        <v>0</v>
      </c>
      <c r="GO28" s="17">
        <f t="shared" si="315"/>
        <v>0</v>
      </c>
      <c r="GP28" s="17">
        <f t="shared" si="316"/>
        <v>0</v>
      </c>
      <c r="GQ28" s="17">
        <f t="shared" si="317"/>
        <v>0</v>
      </c>
      <c r="GR28" s="17">
        <f t="shared" si="318"/>
        <v>0</v>
      </c>
      <c r="GS28" s="17">
        <f t="shared" si="319"/>
        <v>0</v>
      </c>
      <c r="GT28" s="17">
        <f t="shared" si="142"/>
        <v>1</v>
      </c>
      <c r="GU28" s="101">
        <f t="shared" si="143"/>
        <v>43243</v>
      </c>
      <c r="GV28" s="17" t="str">
        <f t="shared" si="144"/>
        <v>SELESAI</v>
      </c>
      <c r="GW28" s="17">
        <f t="shared" si="145"/>
        <v>0</v>
      </c>
      <c r="GX28" s="66" t="str">
        <f t="shared" si="146"/>
        <v>SELESAI</v>
      </c>
      <c r="GY28" s="66">
        <f t="shared" si="147"/>
        <v>0</v>
      </c>
      <c r="GZ28" s="102" t="str">
        <f t="shared" si="148"/>
        <v>SELESAI</v>
      </c>
      <c r="HA28" s="83"/>
      <c r="HB28" s="83"/>
      <c r="HC28" s="17">
        <f t="shared" si="320"/>
        <v>0</v>
      </c>
      <c r="HD28" s="17">
        <f t="shared" si="321"/>
        <v>0</v>
      </c>
      <c r="HE28" s="17">
        <f t="shared" si="149"/>
        <v>0</v>
      </c>
      <c r="HF28" s="17">
        <f t="shared" si="150"/>
        <v>0</v>
      </c>
      <c r="HG28" s="17">
        <f t="shared" si="151"/>
        <v>0</v>
      </c>
      <c r="HH28" s="101" t="str">
        <f t="shared" si="58"/>
        <v>TIDAK KONSINYASI</v>
      </c>
      <c r="HI28" s="101" t="str">
        <f t="shared" si="152"/>
        <v>SELESAI</v>
      </c>
      <c r="HJ28" s="27"/>
      <c r="HK28" s="101">
        <f t="shared" si="59"/>
        <v>0</v>
      </c>
      <c r="HL28" s="83"/>
      <c r="HM28" s="83"/>
      <c r="HN28" s="83"/>
      <c r="HO28" s="83"/>
      <c r="HP28" s="102">
        <f t="shared" si="153"/>
        <v>0</v>
      </c>
      <c r="HQ28" s="66">
        <f t="shared" si="154"/>
        <v>0</v>
      </c>
      <c r="HR28" s="66">
        <f t="shared" si="322"/>
        <v>0</v>
      </c>
      <c r="HS28" s="102">
        <f t="shared" si="155"/>
        <v>0</v>
      </c>
      <c r="HT28" s="66">
        <f t="shared" si="156"/>
        <v>0</v>
      </c>
      <c r="HU28" s="66">
        <f t="shared" si="323"/>
        <v>0</v>
      </c>
      <c r="HV28" s="102">
        <f t="shared" si="157"/>
        <v>0</v>
      </c>
      <c r="HW28" s="66">
        <f t="shared" si="62"/>
        <v>0</v>
      </c>
      <c r="HX28" s="66">
        <f t="shared" si="324"/>
        <v>0</v>
      </c>
      <c r="HY28" s="102">
        <f t="shared" si="64"/>
        <v>0</v>
      </c>
      <c r="HZ28" s="66">
        <f t="shared" si="158"/>
        <v>0</v>
      </c>
      <c r="IA28" s="66">
        <f t="shared" si="325"/>
        <v>0</v>
      </c>
      <c r="IB28" s="102">
        <f t="shared" si="159"/>
        <v>0</v>
      </c>
      <c r="IC28" s="66">
        <f t="shared" si="66"/>
        <v>0</v>
      </c>
      <c r="ID28" s="66">
        <f t="shared" si="326"/>
        <v>0</v>
      </c>
      <c r="IE28" s="102">
        <f t="shared" si="68"/>
        <v>0</v>
      </c>
      <c r="IF28" s="66">
        <f t="shared" si="69"/>
        <v>0</v>
      </c>
      <c r="IG28" s="66">
        <f t="shared" si="327"/>
        <v>0</v>
      </c>
      <c r="IH28" s="102">
        <f t="shared" si="160"/>
        <v>0</v>
      </c>
      <c r="II28" s="66">
        <f t="shared" si="161"/>
        <v>0</v>
      </c>
      <c r="IJ28" s="66">
        <f t="shared" si="328"/>
        <v>0</v>
      </c>
      <c r="IK28" s="102">
        <f t="shared" si="72"/>
        <v>0</v>
      </c>
      <c r="IL28" s="66">
        <f t="shared" si="73"/>
        <v>0</v>
      </c>
      <c r="IM28" s="66">
        <f t="shared" si="329"/>
        <v>0</v>
      </c>
      <c r="IN28" s="83"/>
      <c r="IO28" s="102">
        <f t="shared" si="75"/>
        <v>0</v>
      </c>
      <c r="IP28" s="66">
        <f t="shared" si="330"/>
        <v>0</v>
      </c>
      <c r="IQ28" s="66">
        <f t="shared" si="331"/>
        <v>0</v>
      </c>
      <c r="IR28" s="83"/>
      <c r="IS28" s="102"/>
      <c r="IT28" s="66">
        <f t="shared" si="332"/>
        <v>1</v>
      </c>
      <c r="IU28" s="66">
        <f t="shared" si="333"/>
        <v>91</v>
      </c>
      <c r="IV28" s="83"/>
      <c r="IW28" s="102"/>
      <c r="IX28" s="66">
        <f t="shared" si="334"/>
        <v>0</v>
      </c>
      <c r="IY28" s="66">
        <f t="shared" si="335"/>
        <v>0</v>
      </c>
      <c r="IZ28" s="83"/>
      <c r="JA28" s="102"/>
      <c r="JB28" s="66">
        <f t="shared" si="336"/>
        <v>0</v>
      </c>
      <c r="JC28" s="66">
        <f t="shared" si="337"/>
        <v>0</v>
      </c>
      <c r="JD28" s="83"/>
      <c r="JE28" s="102"/>
      <c r="JF28" s="66">
        <f t="shared" si="162"/>
        <v>1</v>
      </c>
      <c r="JG28" s="66">
        <f t="shared" si="84"/>
        <v>91</v>
      </c>
      <c r="JH28" s="83"/>
      <c r="JI28" s="102"/>
      <c r="JJ28" s="66">
        <f t="shared" si="338"/>
        <v>0</v>
      </c>
      <c r="JK28" s="66">
        <f t="shared" si="339"/>
        <v>0</v>
      </c>
      <c r="JM28" s="102">
        <f t="shared" si="163"/>
        <v>0</v>
      </c>
      <c r="JO28" s="29">
        <f t="shared" si="87"/>
        <v>1</v>
      </c>
      <c r="JP28" s="122">
        <f t="shared" si="340"/>
        <v>73</v>
      </c>
      <c r="JQ28" s="122">
        <f t="shared" si="341"/>
        <v>1</v>
      </c>
      <c r="JR28" s="122">
        <f t="shared" si="342"/>
        <v>0</v>
      </c>
      <c r="JS28" s="122">
        <f t="shared" si="343"/>
        <v>0</v>
      </c>
      <c r="JT28" s="122">
        <f t="shared" si="344"/>
        <v>0</v>
      </c>
      <c r="JU28" s="122">
        <f t="shared" si="345"/>
        <v>0</v>
      </c>
      <c r="JV28" s="122">
        <f t="shared" si="346"/>
        <v>0</v>
      </c>
      <c r="JW28" s="122">
        <f t="shared" si="347"/>
        <v>0</v>
      </c>
      <c r="JX28" s="122">
        <f t="shared" si="348"/>
        <v>0</v>
      </c>
      <c r="JY28" s="122">
        <f t="shared" si="349"/>
        <v>0</v>
      </c>
      <c r="JZ28" s="122">
        <f t="shared" si="350"/>
        <v>0</v>
      </c>
      <c r="KA28" s="122">
        <f t="shared" si="351"/>
        <v>0</v>
      </c>
      <c r="KB28" s="122">
        <f t="shared" si="352"/>
        <v>0</v>
      </c>
      <c r="KD28" s="122">
        <f t="shared" si="164"/>
        <v>0</v>
      </c>
      <c r="KE28" s="122">
        <f t="shared" si="102"/>
        <v>0</v>
      </c>
      <c r="KF28" s="122">
        <f t="shared" si="353"/>
        <v>73</v>
      </c>
      <c r="KG28" s="122">
        <f t="shared" si="354"/>
        <v>73</v>
      </c>
      <c r="KH28" s="122">
        <f t="shared" si="355"/>
        <v>0</v>
      </c>
      <c r="KI28" s="122">
        <f t="shared" si="356"/>
        <v>0</v>
      </c>
      <c r="KJ28" s="122">
        <f t="shared" si="357"/>
        <v>0</v>
      </c>
      <c r="KK28" s="122">
        <f t="shared" si="358"/>
        <v>0</v>
      </c>
      <c r="KL28" s="122">
        <f t="shared" si="359"/>
        <v>0</v>
      </c>
      <c r="KM28" s="122">
        <f t="shared" si="360"/>
        <v>0</v>
      </c>
      <c r="KN28" s="123">
        <f t="shared" si="361"/>
        <v>0</v>
      </c>
      <c r="KO28" s="123">
        <f t="shared" si="362"/>
        <v>0</v>
      </c>
      <c r="KP28" s="123">
        <f t="shared" si="363"/>
        <v>0</v>
      </c>
      <c r="KQ28" s="123">
        <f t="shared" si="364"/>
        <v>0</v>
      </c>
      <c r="KR28" s="123">
        <f t="shared" si="365"/>
        <v>0</v>
      </c>
      <c r="KT28">
        <f t="shared" si="366"/>
        <v>0</v>
      </c>
      <c r="KU28" s="123"/>
      <c r="KV28" s="123"/>
      <c r="KW28" s="123"/>
      <c r="KX28" s="123"/>
      <c r="KY28" s="123"/>
      <c r="KZ28" s="123"/>
      <c r="LA28" s="123"/>
      <c r="LB28" s="123"/>
      <c r="LC28" s="123"/>
      <c r="LD28" s="123"/>
      <c r="LE28" s="123"/>
      <c r="LF28" s="123"/>
      <c r="LG28" s="123"/>
      <c r="LH28" s="123"/>
      <c r="LI28" s="123"/>
      <c r="LJ28" s="123"/>
      <c r="LK28" s="123"/>
      <c r="LL28" s="123"/>
      <c r="LM28" s="123"/>
      <c r="LN28" s="123"/>
      <c r="LO28" s="123"/>
      <c r="LP28" s="123"/>
      <c r="LQ28" s="123"/>
      <c r="LR28" s="123"/>
      <c r="LS28" s="123"/>
      <c r="LT28" s="123"/>
      <c r="LU28" s="123"/>
      <c r="LV28" s="123"/>
      <c r="LW28" s="123"/>
      <c r="LX28" s="123"/>
      <c r="LY28" s="123"/>
      <c r="LZ28" s="123"/>
      <c r="MA28" s="123"/>
      <c r="MB28" s="123"/>
      <c r="MC28" s="123"/>
      <c r="MD28" s="123"/>
      <c r="ME28" s="123"/>
      <c r="MF28" s="123"/>
      <c r="MG28" s="123"/>
      <c r="MH28" s="123"/>
      <c r="MI28" s="123"/>
      <c r="MJ28" s="123"/>
      <c r="MK28" s="123"/>
      <c r="ML28" s="123"/>
      <c r="MM28" s="123"/>
      <c r="MN28" s="123"/>
      <c r="MO28" s="123"/>
      <c r="MP28" s="123"/>
      <c r="MQ28" s="123"/>
      <c r="MR28" s="123"/>
      <c r="MS28" s="123"/>
      <c r="MT28" s="123"/>
      <c r="MU28" s="123"/>
      <c r="MV28" s="123"/>
      <c r="MW28" s="123"/>
      <c r="MX28" s="123"/>
      <c r="MY28" s="123"/>
      <c r="MZ28" s="123"/>
      <c r="NA28" s="123"/>
      <c r="NB28" s="123"/>
      <c r="NC28" s="123"/>
      <c r="ND28" s="123"/>
      <c r="NE28" s="123"/>
      <c r="NF28" s="123"/>
      <c r="NG28" s="123"/>
      <c r="NH28" s="123"/>
      <c r="NI28" s="123"/>
      <c r="NJ28" s="123"/>
      <c r="NK28" s="123"/>
      <c r="NM28">
        <f t="shared" si="165"/>
        <v>0</v>
      </c>
      <c r="NN28">
        <f t="shared" si="166"/>
        <v>0</v>
      </c>
      <c r="NO28">
        <f t="shared" si="167"/>
        <v>0</v>
      </c>
      <c r="NP28">
        <f t="shared" si="168"/>
        <v>0</v>
      </c>
      <c r="NQ28">
        <f t="shared" si="169"/>
        <v>0</v>
      </c>
      <c r="NR28">
        <f t="shared" si="170"/>
        <v>0</v>
      </c>
      <c r="NS28">
        <f t="shared" si="171"/>
        <v>0</v>
      </c>
      <c r="NT28">
        <f t="shared" si="172"/>
        <v>0</v>
      </c>
      <c r="NU28" s="29">
        <f t="shared" si="173"/>
        <v>0</v>
      </c>
      <c r="NY28" s="17">
        <f t="shared" si="118"/>
        <v>1</v>
      </c>
      <c r="NZ28" s="152">
        <v>11000000</v>
      </c>
      <c r="OE28" s="155">
        <f t="shared" si="119"/>
        <v>0</v>
      </c>
      <c r="OF28" s="155">
        <f t="shared" si="120"/>
        <v>0</v>
      </c>
      <c r="OG28" s="155">
        <f t="shared" si="121"/>
        <v>0</v>
      </c>
      <c r="OH28" s="155">
        <f t="shared" si="174"/>
        <v>0</v>
      </c>
      <c r="OI28" s="155">
        <f t="shared" si="122"/>
        <v>0</v>
      </c>
      <c r="OJ28" s="67">
        <f t="shared" si="175"/>
        <v>0</v>
      </c>
      <c r="OK28" s="67">
        <f t="shared" si="176"/>
        <v>0</v>
      </c>
      <c r="OL28" s="67">
        <f t="shared" si="177"/>
        <v>0</v>
      </c>
      <c r="OM28" s="67">
        <f t="shared" si="178"/>
        <v>0</v>
      </c>
      <c r="OO28" s="155">
        <f t="shared" si="123"/>
        <v>0</v>
      </c>
      <c r="OP28" s="155">
        <f t="shared" si="124"/>
        <v>0</v>
      </c>
      <c r="OQ28" s="155">
        <f t="shared" si="179"/>
        <v>0</v>
      </c>
      <c r="OR28" s="155">
        <f t="shared" si="180"/>
        <v>0</v>
      </c>
      <c r="OS28" s="155">
        <f t="shared" si="181"/>
        <v>0</v>
      </c>
      <c r="OT28" s="67">
        <f t="shared" si="182"/>
        <v>0</v>
      </c>
      <c r="OU28" s="67">
        <f t="shared" si="183"/>
        <v>0</v>
      </c>
      <c r="OV28" s="67">
        <f t="shared" si="184"/>
        <v>0</v>
      </c>
      <c r="OW28" s="67">
        <f t="shared" si="185"/>
        <v>0</v>
      </c>
      <c r="OZ28" s="163"/>
      <c r="PA28" s="166"/>
      <c r="PB28" s="166"/>
      <c r="PC28" s="166"/>
      <c r="PD28" s="210">
        <f t="shared" si="125"/>
        <v>0</v>
      </c>
      <c r="PE28" s="210"/>
      <c r="PF28" s="210">
        <f t="shared" si="126"/>
        <v>0</v>
      </c>
      <c r="PG28" s="210">
        <f t="shared" si="127"/>
        <v>0</v>
      </c>
      <c r="PH28" s="210">
        <f t="shared" si="127"/>
        <v>0</v>
      </c>
      <c r="PI28" s="210">
        <f t="shared" si="127"/>
        <v>0</v>
      </c>
      <c r="PJ28" s="210">
        <f t="shared" si="127"/>
        <v>0</v>
      </c>
      <c r="PK28" s="210">
        <f t="shared" si="127"/>
        <v>0</v>
      </c>
      <c r="PL28" s="210">
        <f t="shared" si="127"/>
        <v>0</v>
      </c>
      <c r="PM28" s="164"/>
      <c r="PN28" s="164"/>
      <c r="PO28" s="172">
        <f t="shared" si="186"/>
        <v>0</v>
      </c>
      <c r="PP28" s="172">
        <f t="shared" si="187"/>
        <v>0</v>
      </c>
      <c r="PQ28" s="172">
        <f t="shared" si="188"/>
        <v>0</v>
      </c>
      <c r="PR28" s="164"/>
      <c r="PS28" s="164"/>
      <c r="PT28" s="164"/>
      <c r="PU28" s="164"/>
    </row>
    <row r="29" spans="1:437 16383:16383" ht="16" x14ac:dyDescent="0.2">
      <c r="A29" s="19">
        <f t="shared" si="189"/>
        <v>21</v>
      </c>
      <c r="B29" s="138" t="s">
        <v>222</v>
      </c>
      <c r="C29" s="186">
        <v>50</v>
      </c>
      <c r="D29" s="188">
        <v>1</v>
      </c>
      <c r="E29" s="188">
        <v>56</v>
      </c>
      <c r="F29" s="188">
        <v>1</v>
      </c>
      <c r="G29" s="188">
        <f t="shared" si="308"/>
        <v>56</v>
      </c>
      <c r="H29" s="214">
        <f t="shared" si="2"/>
        <v>1</v>
      </c>
      <c r="I29" s="214">
        <f t="shared" si="3"/>
        <v>1</v>
      </c>
      <c r="J29" s="188">
        <v>1</v>
      </c>
      <c r="K29" s="188">
        <f t="shared" si="4"/>
        <v>56</v>
      </c>
      <c r="L29" s="214">
        <f t="shared" si="5"/>
        <v>1</v>
      </c>
      <c r="M29" s="214">
        <f t="shared" si="6"/>
        <v>1</v>
      </c>
      <c r="N29" s="188">
        <v>1</v>
      </c>
      <c r="O29" s="188">
        <f t="shared" si="7"/>
        <v>56</v>
      </c>
      <c r="P29" s="214">
        <f t="shared" si="8"/>
        <v>1</v>
      </c>
      <c r="Q29" s="214">
        <f t="shared" si="9"/>
        <v>1</v>
      </c>
      <c r="R29" s="188">
        <v>1</v>
      </c>
      <c r="S29" s="188">
        <f t="shared" si="10"/>
        <v>56</v>
      </c>
      <c r="T29" s="214">
        <f t="shared" si="11"/>
        <v>1</v>
      </c>
      <c r="U29" s="214">
        <f t="shared" si="12"/>
        <v>1</v>
      </c>
      <c r="V29" s="188">
        <v>1</v>
      </c>
      <c r="W29" s="188">
        <f t="shared" si="13"/>
        <v>56</v>
      </c>
      <c r="X29" s="214">
        <f t="shared" si="14"/>
        <v>1</v>
      </c>
      <c r="Y29" s="214">
        <f t="shared" si="15"/>
        <v>1</v>
      </c>
      <c r="Z29" s="271">
        <f>642694000/1000000000</f>
        <v>0.64269399999999999</v>
      </c>
      <c r="AA29" s="188"/>
      <c r="AB29" s="189">
        <f t="shared" si="129"/>
        <v>0</v>
      </c>
      <c r="AC29" s="250">
        <f t="shared" si="130"/>
        <v>0</v>
      </c>
      <c r="AD29" s="18">
        <f t="shared" si="131"/>
        <v>0</v>
      </c>
      <c r="AE29" s="20"/>
      <c r="AF29" s="20">
        <f t="shared" si="132"/>
        <v>0</v>
      </c>
      <c r="AG29" s="20"/>
      <c r="AH29" s="20"/>
      <c r="AI29" s="20">
        <v>0</v>
      </c>
      <c r="AJ29" s="20">
        <f t="shared" si="18"/>
        <v>0</v>
      </c>
      <c r="AK29" s="20"/>
      <c r="AL29" s="20">
        <v>0</v>
      </c>
      <c r="AM29" s="20">
        <v>0</v>
      </c>
      <c r="AN29" s="139"/>
      <c r="BB29" s="20">
        <f t="shared" si="133"/>
        <v>0</v>
      </c>
      <c r="BE29" s="20">
        <f t="shared" si="19"/>
        <v>0</v>
      </c>
      <c r="BF29" s="20">
        <f t="shared" si="20"/>
        <v>0</v>
      </c>
      <c r="BG29" s="20">
        <f t="shared" si="21"/>
        <v>0</v>
      </c>
      <c r="BH29" s="20">
        <f t="shared" si="22"/>
        <v>0</v>
      </c>
      <c r="BI29" s="20">
        <f t="shared" si="23"/>
        <v>0</v>
      </c>
      <c r="BJ29" s="20">
        <f t="shared" si="24"/>
        <v>0</v>
      </c>
      <c r="BK29" s="20">
        <f t="shared" si="134"/>
        <v>0</v>
      </c>
      <c r="BN29" s="143"/>
      <c r="BO29" s="126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B29" s="139"/>
      <c r="CD29" s="17">
        <f t="shared" si="26"/>
        <v>0</v>
      </c>
      <c r="CE29" s="17">
        <f t="shared" si="135"/>
        <v>0</v>
      </c>
      <c r="CF29" s="20">
        <f t="shared" si="27"/>
        <v>0</v>
      </c>
      <c r="CG29" s="20">
        <f t="shared" si="28"/>
        <v>0</v>
      </c>
      <c r="CH29" s="20">
        <f t="shared" si="29"/>
        <v>0</v>
      </c>
      <c r="CI29" s="20">
        <f t="shared" si="30"/>
        <v>0</v>
      </c>
      <c r="CJ29" s="20">
        <f t="shared" si="31"/>
        <v>0</v>
      </c>
      <c r="CK29" s="20">
        <f t="shared" si="32"/>
        <v>0</v>
      </c>
      <c r="CL29" s="20">
        <f t="shared" si="33"/>
        <v>0</v>
      </c>
      <c r="CM29" s="20">
        <f t="shared" si="34"/>
        <v>0</v>
      </c>
      <c r="CN29" s="20">
        <f t="shared" si="35"/>
        <v>0</v>
      </c>
      <c r="CO29" s="20">
        <f t="shared" si="36"/>
        <v>0</v>
      </c>
      <c r="CP29" s="20">
        <f t="shared" si="37"/>
        <v>0</v>
      </c>
      <c r="DV29" s="20">
        <f t="shared" si="38"/>
        <v>0</v>
      </c>
      <c r="DW29" s="20">
        <f t="shared" si="39"/>
        <v>0</v>
      </c>
      <c r="DX29" s="20">
        <f t="shared" si="40"/>
        <v>0</v>
      </c>
      <c r="DY29" s="20">
        <f t="shared" si="41"/>
        <v>0</v>
      </c>
      <c r="DZ29" s="20">
        <f t="shared" si="42"/>
        <v>0</v>
      </c>
      <c r="EA29" s="20">
        <f t="shared" si="43"/>
        <v>0</v>
      </c>
      <c r="EB29" s="20">
        <f t="shared" si="136"/>
        <v>0</v>
      </c>
      <c r="EG29" s="57">
        <f t="shared" si="137"/>
        <v>0</v>
      </c>
      <c r="EH29" s="57">
        <f t="shared" si="138"/>
        <v>0</v>
      </c>
      <c r="EI29" s="17"/>
      <c r="EJ29" s="17"/>
      <c r="EK29" s="17"/>
      <c r="EL29" s="17"/>
      <c r="EM29" s="17"/>
      <c r="EN29" s="17"/>
      <c r="EO29" s="17"/>
      <c r="EP29" s="17"/>
      <c r="EQ29" s="17"/>
      <c r="ER29" s="189"/>
      <c r="ES29" s="189"/>
      <c r="ET29" s="189"/>
      <c r="EU29" s="189"/>
      <c r="EV29" s="189"/>
      <c r="EW29" s="17"/>
      <c r="EX29" s="17"/>
      <c r="EY29" s="17"/>
      <c r="EZ29" s="189"/>
      <c r="FA29" s="17"/>
      <c r="FB29" s="17"/>
      <c r="FC29" s="17"/>
      <c r="FD29" s="17"/>
      <c r="FE29" s="17"/>
      <c r="FF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X29" s="80"/>
      <c r="FY29" s="17">
        <f t="shared" si="139"/>
        <v>0</v>
      </c>
      <c r="FZ29" s="17">
        <f t="shared" si="309"/>
        <v>0</v>
      </c>
      <c r="GA29" s="17">
        <f t="shared" si="310"/>
        <v>0</v>
      </c>
      <c r="GB29" s="17">
        <f t="shared" si="311"/>
        <v>0</v>
      </c>
      <c r="GC29" s="17">
        <f t="shared" si="312"/>
        <v>0</v>
      </c>
      <c r="GD29" s="17">
        <f t="shared" si="313"/>
        <v>0</v>
      </c>
      <c r="GE29" s="17">
        <f t="shared" si="314"/>
        <v>0</v>
      </c>
      <c r="GF29" s="67"/>
      <c r="GG29" s="17">
        <v>0</v>
      </c>
      <c r="GH29" s="17">
        <v>0</v>
      </c>
      <c r="GI29" s="67"/>
      <c r="GJ29" s="62">
        <f t="shared" si="140"/>
        <v>0</v>
      </c>
      <c r="GK29" s="62">
        <f t="shared" si="141"/>
        <v>0</v>
      </c>
      <c r="GO29" s="17">
        <f t="shared" si="315"/>
        <v>0</v>
      </c>
      <c r="GP29" s="17">
        <f t="shared" si="316"/>
        <v>0</v>
      </c>
      <c r="GQ29" s="17">
        <f t="shared" si="317"/>
        <v>0</v>
      </c>
      <c r="GR29" s="17">
        <f t="shared" si="318"/>
        <v>0</v>
      </c>
      <c r="GS29" s="17">
        <f t="shared" si="319"/>
        <v>0</v>
      </c>
      <c r="GT29" s="17">
        <f t="shared" si="142"/>
        <v>1</v>
      </c>
      <c r="GU29" s="101">
        <f t="shared" si="143"/>
        <v>43243</v>
      </c>
      <c r="GV29" s="17" t="str">
        <f t="shared" si="144"/>
        <v>SELESAI</v>
      </c>
      <c r="GW29" s="17">
        <f t="shared" si="145"/>
        <v>0</v>
      </c>
      <c r="GX29" s="66" t="str">
        <f t="shared" si="146"/>
        <v>SELESAI</v>
      </c>
      <c r="GY29" s="66">
        <f t="shared" si="147"/>
        <v>0</v>
      </c>
      <c r="GZ29" s="102" t="str">
        <f t="shared" si="148"/>
        <v>SELESAI</v>
      </c>
      <c r="HA29" s="83"/>
      <c r="HB29" s="83"/>
      <c r="HC29" s="17">
        <f t="shared" si="320"/>
        <v>0</v>
      </c>
      <c r="HD29" s="17">
        <f t="shared" si="321"/>
        <v>0</v>
      </c>
      <c r="HE29" s="17">
        <f t="shared" si="149"/>
        <v>0</v>
      </c>
      <c r="HF29" s="17">
        <f t="shared" si="150"/>
        <v>0</v>
      </c>
      <c r="HG29" s="17">
        <f t="shared" si="151"/>
        <v>0</v>
      </c>
      <c r="HH29" s="101" t="str">
        <f t="shared" si="58"/>
        <v>TIDAK KONSINYASI</v>
      </c>
      <c r="HI29" s="101" t="str">
        <f t="shared" si="152"/>
        <v>SELESAI</v>
      </c>
      <c r="HJ29" s="27"/>
      <c r="HK29" s="101">
        <f t="shared" si="59"/>
        <v>0</v>
      </c>
      <c r="HL29" s="83"/>
      <c r="HM29" s="83"/>
      <c r="HN29" s="83"/>
      <c r="HO29" s="83"/>
      <c r="HP29" s="102">
        <f t="shared" si="153"/>
        <v>0</v>
      </c>
      <c r="HQ29" s="66">
        <f t="shared" si="154"/>
        <v>0</v>
      </c>
      <c r="HR29" s="66">
        <f t="shared" si="322"/>
        <v>0</v>
      </c>
      <c r="HS29" s="102">
        <f t="shared" si="155"/>
        <v>0</v>
      </c>
      <c r="HT29" s="66">
        <f t="shared" si="156"/>
        <v>0</v>
      </c>
      <c r="HU29" s="66">
        <f t="shared" si="323"/>
        <v>0</v>
      </c>
      <c r="HV29" s="102">
        <f t="shared" si="157"/>
        <v>0</v>
      </c>
      <c r="HW29" s="66">
        <f t="shared" si="62"/>
        <v>0</v>
      </c>
      <c r="HX29" s="66">
        <f t="shared" si="324"/>
        <v>0</v>
      </c>
      <c r="HY29" s="102">
        <f t="shared" si="64"/>
        <v>0</v>
      </c>
      <c r="HZ29" s="66">
        <f t="shared" si="158"/>
        <v>0</v>
      </c>
      <c r="IA29" s="66">
        <f t="shared" si="325"/>
        <v>0</v>
      </c>
      <c r="IB29" s="102">
        <f t="shared" si="159"/>
        <v>0</v>
      </c>
      <c r="IC29" s="66">
        <f t="shared" si="66"/>
        <v>0</v>
      </c>
      <c r="ID29" s="66">
        <f t="shared" si="326"/>
        <v>0</v>
      </c>
      <c r="IE29" s="102">
        <f t="shared" si="68"/>
        <v>0</v>
      </c>
      <c r="IF29" s="66">
        <f t="shared" si="69"/>
        <v>0</v>
      </c>
      <c r="IG29" s="66">
        <f t="shared" si="327"/>
        <v>0</v>
      </c>
      <c r="IH29" s="102">
        <f t="shared" si="160"/>
        <v>0</v>
      </c>
      <c r="II29" s="66">
        <f t="shared" si="161"/>
        <v>0</v>
      </c>
      <c r="IJ29" s="66">
        <f t="shared" si="328"/>
        <v>0</v>
      </c>
      <c r="IK29" s="102">
        <f t="shared" si="72"/>
        <v>0</v>
      </c>
      <c r="IL29" s="66">
        <f t="shared" si="73"/>
        <v>0</v>
      </c>
      <c r="IM29" s="66">
        <f t="shared" si="329"/>
        <v>0</v>
      </c>
      <c r="IN29" s="83"/>
      <c r="IO29" s="102">
        <f t="shared" si="75"/>
        <v>0</v>
      </c>
      <c r="IP29" s="66">
        <f t="shared" si="330"/>
        <v>0</v>
      </c>
      <c r="IQ29" s="66">
        <f t="shared" si="331"/>
        <v>0</v>
      </c>
      <c r="IR29" s="83"/>
      <c r="IS29" s="102"/>
      <c r="IT29" s="66">
        <f t="shared" si="332"/>
        <v>1</v>
      </c>
      <c r="IU29" s="66">
        <f t="shared" si="333"/>
        <v>56</v>
      </c>
      <c r="IV29" s="83"/>
      <c r="IW29" s="102"/>
      <c r="IX29" s="66">
        <f t="shared" si="334"/>
        <v>0</v>
      </c>
      <c r="IY29" s="66">
        <f t="shared" si="335"/>
        <v>0</v>
      </c>
      <c r="IZ29" s="83"/>
      <c r="JA29" s="102"/>
      <c r="JB29" s="66">
        <f t="shared" si="336"/>
        <v>0</v>
      </c>
      <c r="JC29" s="66">
        <f t="shared" si="337"/>
        <v>0</v>
      </c>
      <c r="JD29" s="83"/>
      <c r="JE29" s="102"/>
      <c r="JF29" s="66">
        <f t="shared" si="162"/>
        <v>1</v>
      </c>
      <c r="JG29" s="66">
        <f t="shared" si="84"/>
        <v>56</v>
      </c>
      <c r="JH29" s="83"/>
      <c r="JI29" s="102"/>
      <c r="JJ29" s="66">
        <f t="shared" si="338"/>
        <v>0</v>
      </c>
      <c r="JK29" s="66">
        <f t="shared" si="339"/>
        <v>0</v>
      </c>
      <c r="JM29" s="102">
        <f t="shared" si="163"/>
        <v>0</v>
      </c>
      <c r="JO29" s="29">
        <f t="shared" si="87"/>
        <v>0</v>
      </c>
      <c r="JP29" s="122">
        <f t="shared" si="340"/>
        <v>0</v>
      </c>
      <c r="JQ29" s="122">
        <f t="shared" si="341"/>
        <v>0</v>
      </c>
      <c r="JR29" s="122">
        <f t="shared" si="342"/>
        <v>0</v>
      </c>
      <c r="JS29" s="122">
        <f t="shared" si="343"/>
        <v>0</v>
      </c>
      <c r="JT29" s="122">
        <f t="shared" si="344"/>
        <v>0</v>
      </c>
      <c r="JU29" s="122">
        <f t="shared" si="345"/>
        <v>0</v>
      </c>
      <c r="JV29" s="122">
        <f t="shared" si="346"/>
        <v>0</v>
      </c>
      <c r="JW29" s="122">
        <f t="shared" si="347"/>
        <v>0</v>
      </c>
      <c r="JX29" s="122">
        <f t="shared" si="348"/>
        <v>0</v>
      </c>
      <c r="JY29" s="122">
        <f t="shared" si="349"/>
        <v>0</v>
      </c>
      <c r="JZ29" s="122">
        <f t="shared" si="350"/>
        <v>0</v>
      </c>
      <c r="KA29" s="122">
        <f t="shared" si="351"/>
        <v>0</v>
      </c>
      <c r="KB29" s="122">
        <f t="shared" si="352"/>
        <v>0</v>
      </c>
      <c r="KD29" s="122">
        <f t="shared" si="164"/>
        <v>0</v>
      </c>
      <c r="KE29" s="122">
        <f t="shared" si="102"/>
        <v>0</v>
      </c>
      <c r="KF29" s="122">
        <f t="shared" si="353"/>
        <v>0</v>
      </c>
      <c r="KG29" s="122">
        <f t="shared" si="354"/>
        <v>0</v>
      </c>
      <c r="KH29" s="122">
        <f t="shared" si="355"/>
        <v>0</v>
      </c>
      <c r="KI29" s="122">
        <f t="shared" si="356"/>
        <v>0</v>
      </c>
      <c r="KJ29" s="122">
        <f t="shared" si="357"/>
        <v>0</v>
      </c>
      <c r="KK29" s="122">
        <f t="shared" si="358"/>
        <v>0</v>
      </c>
      <c r="KL29" s="122">
        <f t="shared" si="359"/>
        <v>0</v>
      </c>
      <c r="KM29" s="122">
        <f t="shared" si="360"/>
        <v>0</v>
      </c>
      <c r="KN29" s="123">
        <f t="shared" si="361"/>
        <v>0</v>
      </c>
      <c r="KO29" s="123">
        <f t="shared" si="362"/>
        <v>0</v>
      </c>
      <c r="KP29" s="123">
        <f t="shared" si="363"/>
        <v>0</v>
      </c>
      <c r="KQ29" s="123">
        <f t="shared" si="364"/>
        <v>0</v>
      </c>
      <c r="KR29" s="123">
        <f t="shared" si="365"/>
        <v>0</v>
      </c>
      <c r="KT29">
        <f t="shared" si="366"/>
        <v>0</v>
      </c>
      <c r="KU29" s="123"/>
      <c r="KV29" s="123"/>
      <c r="KW29" s="123"/>
      <c r="KX29" s="123"/>
      <c r="KY29" s="123"/>
      <c r="KZ29" s="123"/>
      <c r="LA29" s="123"/>
      <c r="LB29" s="123"/>
      <c r="LC29" s="123"/>
      <c r="LD29" s="123"/>
      <c r="LE29" s="123"/>
      <c r="LF29" s="123"/>
      <c r="LG29" s="123"/>
      <c r="LH29" s="123"/>
      <c r="LI29" s="123"/>
      <c r="LJ29" s="123"/>
      <c r="LK29" s="123"/>
      <c r="LL29" s="123"/>
      <c r="LM29" s="123"/>
      <c r="LN29" s="123"/>
      <c r="LO29" s="123"/>
      <c r="LP29" s="123"/>
      <c r="LQ29" s="123"/>
      <c r="LR29" s="123"/>
      <c r="LS29" s="123"/>
      <c r="LT29" s="123"/>
      <c r="LU29" s="123"/>
      <c r="LV29" s="123"/>
      <c r="LW29" s="123"/>
      <c r="LX29" s="123"/>
      <c r="LY29" s="123"/>
      <c r="LZ29" s="123"/>
      <c r="MA29" s="123"/>
      <c r="MB29" s="123"/>
      <c r="MC29" s="123"/>
      <c r="MD29" s="123"/>
      <c r="ME29" s="123"/>
      <c r="MF29" s="123"/>
      <c r="MG29" s="123"/>
      <c r="MH29" s="123"/>
      <c r="MI29" s="123"/>
      <c r="MJ29" s="123"/>
      <c r="MK29" s="123"/>
      <c r="ML29" s="123"/>
      <c r="MM29" s="123"/>
      <c r="MN29" s="123"/>
      <c r="MO29" s="123"/>
      <c r="MP29" s="123"/>
      <c r="MQ29" s="123"/>
      <c r="MR29" s="123"/>
      <c r="MS29" s="123"/>
      <c r="MT29" s="123"/>
      <c r="MU29" s="123"/>
      <c r="MV29" s="123"/>
      <c r="MW29" s="123"/>
      <c r="MX29" s="123"/>
      <c r="MY29" s="123"/>
      <c r="MZ29" s="123"/>
      <c r="NA29" s="123"/>
      <c r="NB29" s="123"/>
      <c r="NC29" s="123"/>
      <c r="ND29" s="123"/>
      <c r="NE29" s="123"/>
      <c r="NF29" s="123"/>
      <c r="NG29" s="123"/>
      <c r="NH29" s="123"/>
      <c r="NI29" s="123"/>
      <c r="NJ29" s="123"/>
      <c r="NK29" s="123"/>
      <c r="NM29">
        <f t="shared" si="165"/>
        <v>0</v>
      </c>
      <c r="NN29">
        <f t="shared" si="166"/>
        <v>0</v>
      </c>
      <c r="NO29">
        <f t="shared" si="167"/>
        <v>0</v>
      </c>
      <c r="NP29">
        <f t="shared" si="168"/>
        <v>0</v>
      </c>
      <c r="NQ29">
        <f t="shared" si="169"/>
        <v>0</v>
      </c>
      <c r="NR29">
        <f t="shared" si="170"/>
        <v>0</v>
      </c>
      <c r="NS29">
        <f t="shared" si="171"/>
        <v>0</v>
      </c>
      <c r="NT29">
        <f t="shared" si="172"/>
        <v>0</v>
      </c>
      <c r="NU29" s="29">
        <f t="shared" si="173"/>
        <v>0</v>
      </c>
      <c r="NY29" s="17">
        <f t="shared" si="118"/>
        <v>1</v>
      </c>
      <c r="NZ29" s="152">
        <v>10780000</v>
      </c>
      <c r="OE29" s="155">
        <f t="shared" si="119"/>
        <v>0</v>
      </c>
      <c r="OF29" s="155">
        <f t="shared" si="120"/>
        <v>0</v>
      </c>
      <c r="OG29" s="155">
        <f t="shared" si="121"/>
        <v>0</v>
      </c>
      <c r="OH29" s="155">
        <f t="shared" si="174"/>
        <v>0</v>
      </c>
      <c r="OI29" s="155">
        <f t="shared" si="122"/>
        <v>0</v>
      </c>
      <c r="OJ29" s="67">
        <f t="shared" si="175"/>
        <v>0</v>
      </c>
      <c r="OK29" s="67">
        <f t="shared" si="176"/>
        <v>0</v>
      </c>
      <c r="OL29" s="67">
        <f t="shared" si="177"/>
        <v>0</v>
      </c>
      <c r="OM29" s="67">
        <f t="shared" si="178"/>
        <v>0</v>
      </c>
      <c r="OO29" s="155">
        <f t="shared" si="123"/>
        <v>0</v>
      </c>
      <c r="OP29" s="155">
        <f t="shared" si="124"/>
        <v>0</v>
      </c>
      <c r="OQ29" s="155">
        <f t="shared" si="179"/>
        <v>0</v>
      </c>
      <c r="OR29" s="155">
        <f t="shared" si="180"/>
        <v>0</v>
      </c>
      <c r="OS29" s="155">
        <f t="shared" si="181"/>
        <v>0</v>
      </c>
      <c r="OT29" s="67">
        <f t="shared" si="182"/>
        <v>0</v>
      </c>
      <c r="OU29" s="67">
        <f t="shared" si="183"/>
        <v>0</v>
      </c>
      <c r="OV29" s="67">
        <f t="shared" si="184"/>
        <v>0</v>
      </c>
      <c r="OW29" s="67">
        <f t="shared" si="185"/>
        <v>0</v>
      </c>
      <c r="OZ29" s="163"/>
      <c r="PA29" s="166"/>
      <c r="PB29" s="166"/>
      <c r="PC29" s="166"/>
      <c r="PD29" s="210">
        <f t="shared" si="125"/>
        <v>0</v>
      </c>
      <c r="PE29" s="210"/>
      <c r="PF29" s="210">
        <f t="shared" si="126"/>
        <v>0</v>
      </c>
      <c r="PG29" s="210">
        <f t="shared" si="127"/>
        <v>0</v>
      </c>
      <c r="PH29" s="210">
        <f t="shared" si="127"/>
        <v>0</v>
      </c>
      <c r="PI29" s="210">
        <f t="shared" si="127"/>
        <v>0</v>
      </c>
      <c r="PJ29" s="210">
        <f t="shared" si="127"/>
        <v>0</v>
      </c>
      <c r="PK29" s="210">
        <f t="shared" si="127"/>
        <v>0</v>
      </c>
      <c r="PL29" s="210">
        <f t="shared" si="127"/>
        <v>0</v>
      </c>
      <c r="PM29" s="164"/>
      <c r="PN29" s="164"/>
      <c r="PO29" s="172">
        <f t="shared" si="186"/>
        <v>0</v>
      </c>
      <c r="PP29" s="172">
        <f t="shared" si="187"/>
        <v>0</v>
      </c>
      <c r="PQ29" s="172">
        <f t="shared" si="188"/>
        <v>0</v>
      </c>
      <c r="PR29" s="164"/>
      <c r="PS29" s="164"/>
      <c r="PT29" s="164"/>
      <c r="PU29" s="164"/>
    </row>
    <row r="30" spans="1:437 16383:16383" ht="16" x14ac:dyDescent="0.2">
      <c r="A30" s="19">
        <f t="shared" si="189"/>
        <v>22</v>
      </c>
      <c r="B30" s="138" t="s">
        <v>222</v>
      </c>
      <c r="C30" s="186">
        <v>51</v>
      </c>
      <c r="D30" s="188">
        <v>1</v>
      </c>
      <c r="E30" s="188">
        <v>1667</v>
      </c>
      <c r="F30" s="188">
        <v>1</v>
      </c>
      <c r="G30" s="188">
        <f t="shared" si="308"/>
        <v>1667</v>
      </c>
      <c r="H30" s="214">
        <f t="shared" si="2"/>
        <v>1</v>
      </c>
      <c r="I30" s="214">
        <f t="shared" si="3"/>
        <v>1</v>
      </c>
      <c r="J30" s="188">
        <v>1</v>
      </c>
      <c r="K30" s="188">
        <f t="shared" si="4"/>
        <v>1667</v>
      </c>
      <c r="L30" s="214">
        <f t="shared" si="5"/>
        <v>1</v>
      </c>
      <c r="M30" s="214">
        <f t="shared" si="6"/>
        <v>1</v>
      </c>
      <c r="N30" s="188">
        <v>1</v>
      </c>
      <c r="O30" s="188">
        <f t="shared" si="7"/>
        <v>1667</v>
      </c>
      <c r="P30" s="214">
        <f t="shared" si="8"/>
        <v>1</v>
      </c>
      <c r="Q30" s="214">
        <f t="shared" si="9"/>
        <v>1</v>
      </c>
      <c r="R30" s="188">
        <v>1</v>
      </c>
      <c r="S30" s="188">
        <f t="shared" si="10"/>
        <v>1667</v>
      </c>
      <c r="T30" s="214">
        <f t="shared" si="11"/>
        <v>1</v>
      </c>
      <c r="U30" s="214">
        <f t="shared" si="12"/>
        <v>1</v>
      </c>
      <c r="V30" s="188">
        <v>1</v>
      </c>
      <c r="W30" s="188">
        <f t="shared" si="13"/>
        <v>1667</v>
      </c>
      <c r="X30" s="214">
        <f t="shared" si="14"/>
        <v>1</v>
      </c>
      <c r="Y30" s="214">
        <f t="shared" si="15"/>
        <v>1</v>
      </c>
      <c r="Z30" s="271">
        <f>17792409000/1000000000</f>
        <v>17.792408999999999</v>
      </c>
      <c r="AA30" s="188"/>
      <c r="AB30" s="189">
        <f t="shared" si="129"/>
        <v>0</v>
      </c>
      <c r="AC30" s="250">
        <f t="shared" si="130"/>
        <v>0</v>
      </c>
      <c r="AD30" s="18">
        <f t="shared" si="131"/>
        <v>0</v>
      </c>
      <c r="AE30" s="20"/>
      <c r="AF30" s="20">
        <f t="shared" si="132"/>
        <v>0</v>
      </c>
      <c r="AG30" s="20"/>
      <c r="AH30" s="20"/>
      <c r="AI30" s="20">
        <v>0</v>
      </c>
      <c r="AJ30" s="20">
        <f t="shared" si="18"/>
        <v>0</v>
      </c>
      <c r="AK30" s="20"/>
      <c r="AL30" s="20">
        <v>0</v>
      </c>
      <c r="AM30" s="20">
        <v>0</v>
      </c>
      <c r="AN30" s="139"/>
      <c r="BB30" s="20">
        <f t="shared" si="133"/>
        <v>0</v>
      </c>
      <c r="BE30" s="20">
        <f t="shared" si="19"/>
        <v>0</v>
      </c>
      <c r="BF30" s="20">
        <f t="shared" si="20"/>
        <v>0</v>
      </c>
      <c r="BG30" s="20">
        <f t="shared" si="21"/>
        <v>0</v>
      </c>
      <c r="BH30" s="20">
        <f t="shared" si="22"/>
        <v>0</v>
      </c>
      <c r="BI30" s="20">
        <f t="shared" si="23"/>
        <v>0</v>
      </c>
      <c r="BJ30" s="20">
        <f t="shared" si="24"/>
        <v>0</v>
      </c>
      <c r="BK30" s="20">
        <f t="shared" si="134"/>
        <v>0</v>
      </c>
      <c r="BN30" s="143"/>
      <c r="BO30" s="126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B30" s="139"/>
      <c r="CD30" s="17">
        <f t="shared" si="26"/>
        <v>0</v>
      </c>
      <c r="CE30" s="17">
        <f t="shared" si="135"/>
        <v>0</v>
      </c>
      <c r="CF30" s="20">
        <f t="shared" si="27"/>
        <v>0</v>
      </c>
      <c r="CG30" s="20">
        <f t="shared" si="28"/>
        <v>0</v>
      </c>
      <c r="CH30" s="20">
        <f t="shared" si="29"/>
        <v>0</v>
      </c>
      <c r="CI30" s="20">
        <f t="shared" si="30"/>
        <v>0</v>
      </c>
      <c r="CJ30" s="20">
        <f t="shared" si="31"/>
        <v>0</v>
      </c>
      <c r="CK30" s="20">
        <f t="shared" si="32"/>
        <v>0</v>
      </c>
      <c r="CL30" s="20">
        <f t="shared" si="33"/>
        <v>0</v>
      </c>
      <c r="CM30" s="20">
        <f t="shared" si="34"/>
        <v>0</v>
      </c>
      <c r="CN30" s="20">
        <f t="shared" si="35"/>
        <v>0</v>
      </c>
      <c r="CO30" s="20">
        <f t="shared" si="36"/>
        <v>0</v>
      </c>
      <c r="CP30" s="20">
        <f t="shared" si="37"/>
        <v>0</v>
      </c>
      <c r="DV30" s="20">
        <f t="shared" si="38"/>
        <v>0</v>
      </c>
      <c r="DW30" s="20">
        <f t="shared" si="39"/>
        <v>0</v>
      </c>
      <c r="DX30" s="20">
        <f t="shared" si="40"/>
        <v>0</v>
      </c>
      <c r="DY30" s="20">
        <f t="shared" si="41"/>
        <v>0</v>
      </c>
      <c r="DZ30" s="20">
        <f t="shared" si="42"/>
        <v>0</v>
      </c>
      <c r="EA30" s="20">
        <f t="shared" si="43"/>
        <v>0</v>
      </c>
      <c r="EB30" s="20">
        <f t="shared" si="136"/>
        <v>0</v>
      </c>
      <c r="EG30" s="57">
        <f t="shared" si="137"/>
        <v>0</v>
      </c>
      <c r="EH30" s="57">
        <f t="shared" si="138"/>
        <v>0</v>
      </c>
      <c r="EI30" s="17"/>
      <c r="EJ30" s="17"/>
      <c r="EK30" s="17"/>
      <c r="EL30" s="17"/>
      <c r="EM30" s="17"/>
      <c r="EN30" s="17"/>
      <c r="EO30" s="17"/>
      <c r="EP30" s="17"/>
      <c r="EQ30" s="17"/>
      <c r="ER30" s="189"/>
      <c r="ES30" s="189"/>
      <c r="ET30" s="189"/>
      <c r="EU30" s="189"/>
      <c r="EV30" s="189"/>
      <c r="EW30" s="17"/>
      <c r="EX30" s="17"/>
      <c r="EY30" s="17"/>
      <c r="EZ30" s="189"/>
      <c r="FA30" s="17"/>
      <c r="FB30" s="17"/>
      <c r="FC30" s="17"/>
      <c r="FD30" s="17"/>
      <c r="FE30" s="17"/>
      <c r="FF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X30" s="80"/>
      <c r="FY30" s="17">
        <f t="shared" si="139"/>
        <v>0</v>
      </c>
      <c r="FZ30" s="17">
        <f t="shared" si="309"/>
        <v>0</v>
      </c>
      <c r="GA30" s="17">
        <f t="shared" si="310"/>
        <v>0</v>
      </c>
      <c r="GB30" s="17">
        <f t="shared" si="311"/>
        <v>0</v>
      </c>
      <c r="GC30" s="17">
        <f t="shared" si="312"/>
        <v>0</v>
      </c>
      <c r="GD30" s="17">
        <f t="shared" si="313"/>
        <v>0</v>
      </c>
      <c r="GE30" s="17">
        <f t="shared" si="314"/>
        <v>0</v>
      </c>
      <c r="GF30" s="67"/>
      <c r="GG30" s="17">
        <v>0</v>
      </c>
      <c r="GH30" s="17">
        <v>0</v>
      </c>
      <c r="GI30" s="67"/>
      <c r="GJ30" s="62">
        <f t="shared" si="140"/>
        <v>0</v>
      </c>
      <c r="GK30" s="62">
        <f t="shared" si="141"/>
        <v>0</v>
      </c>
      <c r="GO30" s="17">
        <f t="shared" si="315"/>
        <v>0</v>
      </c>
      <c r="GP30" s="17">
        <f t="shared" si="316"/>
        <v>0</v>
      </c>
      <c r="GQ30" s="17">
        <f t="shared" si="317"/>
        <v>0</v>
      </c>
      <c r="GR30" s="17">
        <f t="shared" si="318"/>
        <v>0</v>
      </c>
      <c r="GS30" s="17">
        <f t="shared" si="319"/>
        <v>0</v>
      </c>
      <c r="GT30" s="17">
        <f t="shared" si="142"/>
        <v>1</v>
      </c>
      <c r="GU30" s="101">
        <f t="shared" si="143"/>
        <v>43243</v>
      </c>
      <c r="GV30" s="17" t="str">
        <f t="shared" si="144"/>
        <v>SELESAI</v>
      </c>
      <c r="GW30" s="17">
        <f t="shared" si="145"/>
        <v>0</v>
      </c>
      <c r="GX30" s="66" t="str">
        <f t="shared" si="146"/>
        <v>SELESAI</v>
      </c>
      <c r="GY30" s="66">
        <f t="shared" si="147"/>
        <v>0</v>
      </c>
      <c r="GZ30" s="102" t="str">
        <f t="shared" si="148"/>
        <v>SELESAI</v>
      </c>
      <c r="HA30" s="83"/>
      <c r="HB30" s="83"/>
      <c r="HC30" s="17">
        <f t="shared" si="320"/>
        <v>0</v>
      </c>
      <c r="HD30" s="17">
        <f t="shared" si="321"/>
        <v>0</v>
      </c>
      <c r="HE30" s="17">
        <f t="shared" si="149"/>
        <v>0</v>
      </c>
      <c r="HF30" s="17">
        <f t="shared" si="150"/>
        <v>0</v>
      </c>
      <c r="HG30" s="17">
        <f t="shared" si="151"/>
        <v>0</v>
      </c>
      <c r="HH30" s="101" t="str">
        <f t="shared" si="58"/>
        <v>TIDAK KONSINYASI</v>
      </c>
      <c r="HI30" s="101" t="str">
        <f t="shared" si="152"/>
        <v>SELESAI</v>
      </c>
      <c r="HJ30" s="27"/>
      <c r="HK30" s="101">
        <f t="shared" si="59"/>
        <v>0</v>
      </c>
      <c r="HL30" s="83"/>
      <c r="HM30" s="83"/>
      <c r="HN30" s="83"/>
      <c r="HO30" s="83"/>
      <c r="HP30" s="102">
        <f t="shared" si="153"/>
        <v>0</v>
      </c>
      <c r="HQ30" s="66">
        <f t="shared" si="154"/>
        <v>0</v>
      </c>
      <c r="HR30" s="66">
        <f t="shared" si="322"/>
        <v>0</v>
      </c>
      <c r="HS30" s="102">
        <f t="shared" si="155"/>
        <v>0</v>
      </c>
      <c r="HT30" s="66">
        <f t="shared" si="156"/>
        <v>0</v>
      </c>
      <c r="HU30" s="66">
        <f t="shared" si="323"/>
        <v>0</v>
      </c>
      <c r="HV30" s="102">
        <f t="shared" si="157"/>
        <v>0</v>
      </c>
      <c r="HW30" s="66">
        <f t="shared" si="62"/>
        <v>0</v>
      </c>
      <c r="HX30" s="66">
        <f t="shared" si="324"/>
        <v>0</v>
      </c>
      <c r="HY30" s="102">
        <f t="shared" si="64"/>
        <v>0</v>
      </c>
      <c r="HZ30" s="66">
        <f t="shared" si="158"/>
        <v>0</v>
      </c>
      <c r="IA30" s="66">
        <f t="shared" si="325"/>
        <v>0</v>
      </c>
      <c r="IB30" s="102">
        <f t="shared" si="159"/>
        <v>0</v>
      </c>
      <c r="IC30" s="66">
        <f t="shared" si="66"/>
        <v>0</v>
      </c>
      <c r="ID30" s="66">
        <f t="shared" si="326"/>
        <v>0</v>
      </c>
      <c r="IE30" s="102">
        <f t="shared" si="68"/>
        <v>0</v>
      </c>
      <c r="IF30" s="66">
        <f t="shared" si="69"/>
        <v>0</v>
      </c>
      <c r="IG30" s="66">
        <f t="shared" si="327"/>
        <v>0</v>
      </c>
      <c r="IH30" s="102">
        <f t="shared" si="160"/>
        <v>0</v>
      </c>
      <c r="II30" s="66">
        <f t="shared" si="161"/>
        <v>0</v>
      </c>
      <c r="IJ30" s="66">
        <f t="shared" si="328"/>
        <v>0</v>
      </c>
      <c r="IK30" s="102">
        <f t="shared" si="72"/>
        <v>0</v>
      </c>
      <c r="IL30" s="66">
        <f t="shared" si="73"/>
        <v>0</v>
      </c>
      <c r="IM30" s="66">
        <f t="shared" si="329"/>
        <v>0</v>
      </c>
      <c r="IN30" s="83"/>
      <c r="IO30" s="102">
        <f t="shared" si="75"/>
        <v>0</v>
      </c>
      <c r="IP30" s="66">
        <f t="shared" si="330"/>
        <v>0</v>
      </c>
      <c r="IQ30" s="66">
        <f t="shared" si="331"/>
        <v>0</v>
      </c>
      <c r="IR30" s="83"/>
      <c r="IS30" s="102"/>
      <c r="IT30" s="66">
        <f t="shared" si="332"/>
        <v>1</v>
      </c>
      <c r="IU30" s="66">
        <f t="shared" si="333"/>
        <v>1667</v>
      </c>
      <c r="IV30" s="83"/>
      <c r="IW30" s="102"/>
      <c r="IX30" s="66">
        <f t="shared" si="334"/>
        <v>0</v>
      </c>
      <c r="IY30" s="66">
        <f t="shared" si="335"/>
        <v>0</v>
      </c>
      <c r="IZ30" s="83"/>
      <c r="JA30" s="102"/>
      <c r="JB30" s="66">
        <f t="shared" si="336"/>
        <v>0</v>
      </c>
      <c r="JC30" s="66">
        <f t="shared" si="337"/>
        <v>0</v>
      </c>
      <c r="JD30" s="83"/>
      <c r="JE30" s="102"/>
      <c r="JF30" s="66">
        <f t="shared" si="162"/>
        <v>1</v>
      </c>
      <c r="JG30" s="66">
        <f t="shared" si="84"/>
        <v>1667</v>
      </c>
      <c r="JH30" s="83"/>
      <c r="JI30" s="102"/>
      <c r="JJ30" s="66">
        <f t="shared" si="338"/>
        <v>0</v>
      </c>
      <c r="JK30" s="66">
        <f t="shared" si="339"/>
        <v>0</v>
      </c>
      <c r="JM30" s="102">
        <f t="shared" si="163"/>
        <v>0</v>
      </c>
      <c r="JO30" s="29">
        <f t="shared" si="87"/>
        <v>0</v>
      </c>
      <c r="JP30" s="122">
        <f t="shared" si="340"/>
        <v>0</v>
      </c>
      <c r="JQ30" s="122">
        <f t="shared" si="341"/>
        <v>0</v>
      </c>
      <c r="JR30" s="122">
        <f t="shared" si="342"/>
        <v>0</v>
      </c>
      <c r="JS30" s="122">
        <f t="shared" si="343"/>
        <v>0</v>
      </c>
      <c r="JT30" s="122">
        <f t="shared" si="344"/>
        <v>0</v>
      </c>
      <c r="JU30" s="122">
        <f t="shared" si="345"/>
        <v>0</v>
      </c>
      <c r="JV30" s="122">
        <f t="shared" si="346"/>
        <v>0</v>
      </c>
      <c r="JW30" s="122">
        <f t="shared" si="347"/>
        <v>0</v>
      </c>
      <c r="JX30" s="122">
        <f t="shared" si="348"/>
        <v>0</v>
      </c>
      <c r="JY30" s="122">
        <f t="shared" si="349"/>
        <v>0</v>
      </c>
      <c r="JZ30" s="122">
        <f t="shared" si="350"/>
        <v>0</v>
      </c>
      <c r="KA30" s="122">
        <f t="shared" si="351"/>
        <v>0</v>
      </c>
      <c r="KB30" s="122">
        <f t="shared" si="352"/>
        <v>0</v>
      </c>
      <c r="KD30" s="122">
        <f t="shared" si="164"/>
        <v>0</v>
      </c>
      <c r="KE30" s="122">
        <f t="shared" si="102"/>
        <v>0</v>
      </c>
      <c r="KF30" s="122">
        <f t="shared" si="353"/>
        <v>0</v>
      </c>
      <c r="KG30" s="122">
        <f t="shared" si="354"/>
        <v>0</v>
      </c>
      <c r="KH30" s="122">
        <f t="shared" si="355"/>
        <v>0</v>
      </c>
      <c r="KI30" s="122">
        <f t="shared" si="356"/>
        <v>0</v>
      </c>
      <c r="KJ30" s="122">
        <f t="shared" si="357"/>
        <v>0</v>
      </c>
      <c r="KK30" s="122">
        <f t="shared" si="358"/>
        <v>0</v>
      </c>
      <c r="KL30" s="122">
        <f t="shared" si="359"/>
        <v>0</v>
      </c>
      <c r="KM30" s="122">
        <f t="shared" si="360"/>
        <v>0</v>
      </c>
      <c r="KN30" s="123">
        <f t="shared" si="361"/>
        <v>0</v>
      </c>
      <c r="KO30" s="123">
        <f t="shared" si="362"/>
        <v>0</v>
      </c>
      <c r="KP30" s="123">
        <f t="shared" si="363"/>
        <v>0</v>
      </c>
      <c r="KQ30" s="123">
        <f t="shared" si="364"/>
        <v>0</v>
      </c>
      <c r="KR30" s="123">
        <f t="shared" si="365"/>
        <v>0</v>
      </c>
      <c r="KT30">
        <f t="shared" si="366"/>
        <v>0</v>
      </c>
      <c r="KU30" s="123"/>
      <c r="KV30" s="123"/>
      <c r="KW30" s="123"/>
      <c r="KX30" s="123"/>
      <c r="KY30" s="123"/>
      <c r="KZ30" s="123"/>
      <c r="LA30" s="123"/>
      <c r="LB30" s="123"/>
      <c r="LC30" s="123"/>
      <c r="LD30" s="123"/>
      <c r="LE30" s="123"/>
      <c r="LF30" s="123"/>
      <c r="LG30" s="123"/>
      <c r="LH30" s="123"/>
      <c r="LI30" s="123"/>
      <c r="LJ30" s="123"/>
      <c r="LK30" s="123"/>
      <c r="LL30" s="123"/>
      <c r="LM30" s="123"/>
      <c r="LN30" s="123"/>
      <c r="LO30" s="123"/>
      <c r="LP30" s="123"/>
      <c r="LQ30" s="123"/>
      <c r="LR30" s="123"/>
      <c r="LS30" s="123"/>
      <c r="LT30" s="123"/>
      <c r="LU30" s="123"/>
      <c r="LV30" s="123"/>
      <c r="LW30" s="123"/>
      <c r="LX30" s="123"/>
      <c r="LY30" s="123"/>
      <c r="LZ30" s="123"/>
      <c r="MA30" s="123"/>
      <c r="MB30" s="123"/>
      <c r="MC30" s="123"/>
      <c r="MD30" s="123"/>
      <c r="ME30" s="123"/>
      <c r="MF30" s="123"/>
      <c r="MG30" s="123"/>
      <c r="MH30" s="123"/>
      <c r="MI30" s="123"/>
      <c r="MJ30" s="123"/>
      <c r="MK30" s="123"/>
      <c r="ML30" s="123"/>
      <c r="MM30" s="123"/>
      <c r="MN30" s="123"/>
      <c r="MO30" s="123"/>
      <c r="MP30" s="123"/>
      <c r="MQ30" s="123"/>
      <c r="MR30" s="123"/>
      <c r="MS30" s="123"/>
      <c r="MT30" s="123"/>
      <c r="MU30" s="123"/>
      <c r="MV30" s="123"/>
      <c r="MW30" s="123"/>
      <c r="MX30" s="123"/>
      <c r="MY30" s="123"/>
      <c r="MZ30" s="123"/>
      <c r="NA30" s="123"/>
      <c r="NB30" s="123"/>
      <c r="NC30" s="123"/>
      <c r="ND30" s="123"/>
      <c r="NE30" s="123"/>
      <c r="NF30" s="123"/>
      <c r="NG30" s="123"/>
      <c r="NH30" s="123"/>
      <c r="NI30" s="123"/>
      <c r="NJ30" s="123"/>
      <c r="NK30" s="123"/>
      <c r="NM30">
        <f t="shared" si="165"/>
        <v>0</v>
      </c>
      <c r="NN30">
        <f t="shared" si="166"/>
        <v>0</v>
      </c>
      <c r="NO30">
        <f t="shared" si="167"/>
        <v>0</v>
      </c>
      <c r="NP30">
        <f t="shared" si="168"/>
        <v>0</v>
      </c>
      <c r="NQ30">
        <f t="shared" si="169"/>
        <v>0</v>
      </c>
      <c r="NR30">
        <f t="shared" si="170"/>
        <v>0</v>
      </c>
      <c r="NS30">
        <f t="shared" si="171"/>
        <v>0</v>
      </c>
      <c r="NT30">
        <f t="shared" si="172"/>
        <v>0</v>
      </c>
      <c r="NU30" s="29">
        <f t="shared" si="173"/>
        <v>0</v>
      </c>
      <c r="NY30" s="17">
        <f t="shared" si="118"/>
        <v>1</v>
      </c>
      <c r="NZ30" s="152">
        <v>10780000</v>
      </c>
      <c r="OE30" s="155">
        <f t="shared" si="119"/>
        <v>0</v>
      </c>
      <c r="OF30" s="155">
        <f t="shared" si="120"/>
        <v>0</v>
      </c>
      <c r="OG30" s="155">
        <f t="shared" si="121"/>
        <v>0</v>
      </c>
      <c r="OH30" s="155">
        <f t="shared" si="174"/>
        <v>0</v>
      </c>
      <c r="OI30" s="155">
        <f t="shared" si="122"/>
        <v>0</v>
      </c>
      <c r="OJ30" s="67">
        <f t="shared" si="175"/>
        <v>0</v>
      </c>
      <c r="OK30" s="67">
        <f t="shared" si="176"/>
        <v>0</v>
      </c>
      <c r="OL30" s="67">
        <f t="shared" si="177"/>
        <v>0</v>
      </c>
      <c r="OM30" s="67">
        <f t="shared" si="178"/>
        <v>0</v>
      </c>
      <c r="OO30" s="155">
        <f t="shared" si="123"/>
        <v>0</v>
      </c>
      <c r="OP30" s="155">
        <f t="shared" si="124"/>
        <v>0</v>
      </c>
      <c r="OQ30" s="155">
        <f t="shared" si="179"/>
        <v>0</v>
      </c>
      <c r="OR30" s="155">
        <f t="shared" si="180"/>
        <v>0</v>
      </c>
      <c r="OS30" s="155">
        <f t="shared" si="181"/>
        <v>0</v>
      </c>
      <c r="OT30" s="67">
        <f t="shared" si="182"/>
        <v>0</v>
      </c>
      <c r="OU30" s="67">
        <f t="shared" si="183"/>
        <v>0</v>
      </c>
      <c r="OV30" s="67">
        <f t="shared" si="184"/>
        <v>0</v>
      </c>
      <c r="OW30" s="67">
        <f t="shared" si="185"/>
        <v>0</v>
      </c>
      <c r="OZ30" s="163"/>
      <c r="PA30" s="166"/>
      <c r="PB30" s="166"/>
      <c r="PC30" s="166"/>
      <c r="PD30" s="210">
        <f t="shared" si="125"/>
        <v>0</v>
      </c>
      <c r="PE30" s="210"/>
      <c r="PF30" s="210">
        <f t="shared" si="126"/>
        <v>0</v>
      </c>
      <c r="PG30" s="210">
        <f t="shared" si="127"/>
        <v>0</v>
      </c>
      <c r="PH30" s="210">
        <f t="shared" si="127"/>
        <v>0</v>
      </c>
      <c r="PI30" s="210">
        <f t="shared" si="127"/>
        <v>0</v>
      </c>
      <c r="PJ30" s="210">
        <f t="shared" si="127"/>
        <v>0</v>
      </c>
      <c r="PK30" s="210">
        <f t="shared" si="127"/>
        <v>0</v>
      </c>
      <c r="PL30" s="210">
        <f t="shared" si="127"/>
        <v>0</v>
      </c>
      <c r="PM30" s="164"/>
      <c r="PN30" s="164"/>
      <c r="PO30" s="172">
        <f t="shared" si="186"/>
        <v>0</v>
      </c>
      <c r="PP30" s="172">
        <f t="shared" si="187"/>
        <v>0</v>
      </c>
      <c r="PQ30" s="172">
        <f t="shared" si="188"/>
        <v>0</v>
      </c>
      <c r="PR30" s="164"/>
      <c r="PS30" s="164"/>
      <c r="PT30" s="164"/>
      <c r="PU30" s="164"/>
    </row>
    <row r="31" spans="1:437 16383:16383" ht="16" x14ac:dyDescent="0.2">
      <c r="A31" s="19">
        <f t="shared" si="189"/>
        <v>23</v>
      </c>
      <c r="B31" s="173" t="s">
        <v>621</v>
      </c>
      <c r="C31" s="186">
        <v>53</v>
      </c>
      <c r="D31" s="188">
        <v>1</v>
      </c>
      <c r="E31" s="188">
        <v>584</v>
      </c>
      <c r="F31" s="188">
        <v>1</v>
      </c>
      <c r="G31" s="188">
        <f t="shared" si="308"/>
        <v>584</v>
      </c>
      <c r="H31" s="214">
        <f t="shared" si="2"/>
        <v>1</v>
      </c>
      <c r="I31" s="214">
        <f t="shared" si="3"/>
        <v>1</v>
      </c>
      <c r="J31" s="188">
        <v>1</v>
      </c>
      <c r="K31" s="188">
        <f t="shared" si="4"/>
        <v>584</v>
      </c>
      <c r="L31" s="214">
        <f t="shared" si="5"/>
        <v>1</v>
      </c>
      <c r="M31" s="214">
        <f t="shared" si="6"/>
        <v>1</v>
      </c>
      <c r="N31" s="188">
        <v>1</v>
      </c>
      <c r="O31" s="188">
        <f t="shared" si="7"/>
        <v>584</v>
      </c>
      <c r="P31" s="214">
        <f t="shared" si="8"/>
        <v>1</v>
      </c>
      <c r="Q31" s="214">
        <f t="shared" si="9"/>
        <v>1</v>
      </c>
      <c r="R31" s="188">
        <v>0</v>
      </c>
      <c r="S31" s="188">
        <f t="shared" si="10"/>
        <v>0</v>
      </c>
      <c r="T31" s="214">
        <f t="shared" si="11"/>
        <v>0</v>
      </c>
      <c r="U31" s="214">
        <f t="shared" si="12"/>
        <v>0</v>
      </c>
      <c r="V31" s="188">
        <v>0</v>
      </c>
      <c r="W31" s="188">
        <f t="shared" si="13"/>
        <v>0</v>
      </c>
      <c r="X31" s="214">
        <f t="shared" si="14"/>
        <v>0</v>
      </c>
      <c r="Y31" s="214">
        <f t="shared" si="15"/>
        <v>0</v>
      </c>
      <c r="Z31" s="271">
        <v>0</v>
      </c>
      <c r="AA31" s="188"/>
      <c r="AB31" s="189">
        <f t="shared" si="129"/>
        <v>0</v>
      </c>
      <c r="AC31" s="250">
        <f t="shared" si="130"/>
        <v>0</v>
      </c>
      <c r="AD31" s="18">
        <f t="shared" si="131"/>
        <v>0</v>
      </c>
      <c r="AE31" s="20"/>
      <c r="AF31" s="20">
        <f t="shared" si="132"/>
        <v>0</v>
      </c>
      <c r="AG31" s="20"/>
      <c r="AH31" s="20"/>
      <c r="AI31" s="20">
        <v>0</v>
      </c>
      <c r="AJ31" s="20">
        <f t="shared" si="18"/>
        <v>0</v>
      </c>
      <c r="AK31" s="20"/>
      <c r="AL31" s="20">
        <v>0</v>
      </c>
      <c r="AM31" s="20">
        <v>0</v>
      </c>
      <c r="AN31" s="139">
        <v>1</v>
      </c>
      <c r="BB31" s="20">
        <f t="shared" si="133"/>
        <v>584</v>
      </c>
      <c r="BE31" s="20">
        <f t="shared" si="19"/>
        <v>0</v>
      </c>
      <c r="BF31" s="20">
        <f t="shared" si="20"/>
        <v>0</v>
      </c>
      <c r="BG31" s="20">
        <f t="shared" si="21"/>
        <v>0</v>
      </c>
      <c r="BH31" s="20">
        <f t="shared" si="22"/>
        <v>0</v>
      </c>
      <c r="BI31" s="20">
        <f t="shared" si="23"/>
        <v>0</v>
      </c>
      <c r="BJ31" s="20">
        <f t="shared" si="24"/>
        <v>0</v>
      </c>
      <c r="BK31" s="20">
        <f t="shared" si="134"/>
        <v>0</v>
      </c>
      <c r="BN31" s="143"/>
      <c r="BO31" s="126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B31" s="139"/>
      <c r="CD31" s="17">
        <f t="shared" si="26"/>
        <v>0</v>
      </c>
      <c r="CE31" s="17">
        <f t="shared" si="135"/>
        <v>0</v>
      </c>
      <c r="CF31" s="20">
        <f t="shared" si="27"/>
        <v>0</v>
      </c>
      <c r="CG31" s="20">
        <f t="shared" si="28"/>
        <v>0</v>
      </c>
      <c r="CH31" s="20">
        <f t="shared" si="29"/>
        <v>0</v>
      </c>
      <c r="CI31" s="20">
        <f t="shared" si="30"/>
        <v>0</v>
      </c>
      <c r="CJ31" s="20">
        <f t="shared" si="31"/>
        <v>0</v>
      </c>
      <c r="CK31" s="20">
        <f t="shared" si="32"/>
        <v>0</v>
      </c>
      <c r="CL31" s="20">
        <f t="shared" si="33"/>
        <v>0</v>
      </c>
      <c r="CM31" s="20">
        <f t="shared" si="34"/>
        <v>0</v>
      </c>
      <c r="CN31" s="20">
        <f t="shared" si="35"/>
        <v>0</v>
      </c>
      <c r="CO31" s="20">
        <f t="shared" si="36"/>
        <v>0</v>
      </c>
      <c r="CP31" s="20">
        <f t="shared" si="37"/>
        <v>0</v>
      </c>
      <c r="DV31" s="20">
        <f t="shared" si="38"/>
        <v>0</v>
      </c>
      <c r="DW31" s="20">
        <f t="shared" si="39"/>
        <v>0</v>
      </c>
      <c r="DX31" s="20">
        <f t="shared" si="40"/>
        <v>0</v>
      </c>
      <c r="DY31" s="20">
        <f t="shared" si="41"/>
        <v>0</v>
      </c>
      <c r="DZ31" s="20">
        <f t="shared" si="42"/>
        <v>0</v>
      </c>
      <c r="EA31" s="20">
        <f t="shared" si="43"/>
        <v>0</v>
      </c>
      <c r="EB31" s="20">
        <f t="shared" si="136"/>
        <v>0</v>
      </c>
      <c r="EG31" s="57">
        <f t="shared" si="137"/>
        <v>0</v>
      </c>
      <c r="EH31" s="57">
        <f t="shared" si="138"/>
        <v>0</v>
      </c>
      <c r="EI31" s="17"/>
      <c r="EJ31" s="17"/>
      <c r="EK31" s="17"/>
      <c r="EL31" s="17"/>
      <c r="EM31" s="17"/>
      <c r="EN31" s="17"/>
      <c r="EO31" s="17"/>
      <c r="EP31" s="17"/>
      <c r="EQ31" s="17"/>
      <c r="ER31" s="189"/>
      <c r="ES31" s="189"/>
      <c r="ET31" s="189"/>
      <c r="EU31" s="189"/>
      <c r="EV31" s="189"/>
      <c r="EW31" s="17"/>
      <c r="EX31" s="17"/>
      <c r="EY31" s="17"/>
      <c r="EZ31" s="189"/>
      <c r="FA31" s="17"/>
      <c r="FB31" s="17"/>
      <c r="FC31" s="17"/>
      <c r="FD31" s="17"/>
      <c r="FE31" s="17"/>
      <c r="FF31" s="17">
        <v>1</v>
      </c>
      <c r="FG31" t="s">
        <v>697</v>
      </c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X31" s="80"/>
      <c r="FY31" s="17">
        <f t="shared" si="139"/>
        <v>0</v>
      </c>
      <c r="FZ31" s="17">
        <f t="shared" si="309"/>
        <v>0</v>
      </c>
      <c r="GA31" s="17">
        <f t="shared" si="310"/>
        <v>0</v>
      </c>
      <c r="GB31" s="17">
        <f t="shared" si="311"/>
        <v>0</v>
      </c>
      <c r="GC31" s="17">
        <f t="shared" si="312"/>
        <v>0</v>
      </c>
      <c r="GD31" s="17">
        <f t="shared" si="313"/>
        <v>0</v>
      </c>
      <c r="GE31" s="17">
        <f t="shared" si="314"/>
        <v>0</v>
      </c>
      <c r="GF31" s="67"/>
      <c r="GG31" s="17">
        <v>0</v>
      </c>
      <c r="GH31" s="17">
        <v>0</v>
      </c>
      <c r="GI31" s="67"/>
      <c r="GJ31" s="62">
        <f t="shared" si="140"/>
        <v>0</v>
      </c>
      <c r="GK31" s="62">
        <f t="shared" si="141"/>
        <v>0</v>
      </c>
      <c r="GO31" s="17">
        <f t="shared" si="315"/>
        <v>0</v>
      </c>
      <c r="GP31" s="17">
        <f t="shared" si="316"/>
        <v>0</v>
      </c>
      <c r="GQ31" s="17">
        <f t="shared" si="317"/>
        <v>0</v>
      </c>
      <c r="GR31" s="17">
        <f t="shared" si="318"/>
        <v>1</v>
      </c>
      <c r="GS31" s="17">
        <f t="shared" si="319"/>
        <v>1</v>
      </c>
      <c r="GT31" s="17">
        <f t="shared" si="142"/>
        <v>0</v>
      </c>
      <c r="GU31" s="101">
        <f t="shared" si="143"/>
        <v>43243</v>
      </c>
      <c r="GV31" s="17" t="str">
        <f t="shared" si="144"/>
        <v>Musyawarah</v>
      </c>
      <c r="GW31" s="17">
        <f t="shared" si="145"/>
        <v>1</v>
      </c>
      <c r="GX31" s="66" t="str">
        <f t="shared" si="146"/>
        <v>Musyawarah</v>
      </c>
      <c r="GY31" s="66">
        <f t="shared" si="147"/>
        <v>24</v>
      </c>
      <c r="GZ31" s="102">
        <f t="shared" si="148"/>
        <v>43267</v>
      </c>
      <c r="HA31" s="83"/>
      <c r="HB31" s="83"/>
      <c r="HC31" s="17">
        <f t="shared" si="320"/>
        <v>0</v>
      </c>
      <c r="HD31" s="17">
        <f t="shared" si="321"/>
        <v>0</v>
      </c>
      <c r="HE31" s="17">
        <f t="shared" si="149"/>
        <v>0</v>
      </c>
      <c r="HF31" s="17">
        <f t="shared" si="150"/>
        <v>0</v>
      </c>
      <c r="HG31" s="17">
        <f t="shared" si="151"/>
        <v>0</v>
      </c>
      <c r="HH31" s="101" t="str">
        <f t="shared" si="58"/>
        <v>TIDAK KONSINYASI</v>
      </c>
      <c r="HI31" s="101">
        <f t="shared" si="152"/>
        <v>43312</v>
      </c>
      <c r="HJ31" s="27"/>
      <c r="HK31" s="101">
        <f t="shared" si="59"/>
        <v>43312</v>
      </c>
      <c r="HL31" s="83"/>
      <c r="HM31" s="83"/>
      <c r="HN31" s="83"/>
      <c r="HO31" s="83"/>
      <c r="HP31" s="102">
        <f t="shared" si="153"/>
        <v>0</v>
      </c>
      <c r="HQ31" s="66">
        <f t="shared" si="154"/>
        <v>0</v>
      </c>
      <c r="HR31" s="66">
        <f t="shared" si="322"/>
        <v>0</v>
      </c>
      <c r="HS31" s="102">
        <f t="shared" si="155"/>
        <v>0</v>
      </c>
      <c r="HT31" s="66">
        <f t="shared" si="156"/>
        <v>0</v>
      </c>
      <c r="HU31" s="66">
        <f t="shared" si="323"/>
        <v>0</v>
      </c>
      <c r="HV31" s="102">
        <f t="shared" si="157"/>
        <v>0</v>
      </c>
      <c r="HW31" s="66">
        <f t="shared" si="62"/>
        <v>0</v>
      </c>
      <c r="HX31" s="66">
        <f t="shared" si="324"/>
        <v>0</v>
      </c>
      <c r="HY31" s="102">
        <f t="shared" si="64"/>
        <v>0</v>
      </c>
      <c r="HZ31" s="66">
        <f t="shared" si="158"/>
        <v>0</v>
      </c>
      <c r="IA31" s="66">
        <f t="shared" si="325"/>
        <v>0</v>
      </c>
      <c r="IB31" s="102">
        <f t="shared" si="159"/>
        <v>0</v>
      </c>
      <c r="IC31" s="66">
        <f t="shared" si="66"/>
        <v>0</v>
      </c>
      <c r="ID31" s="66">
        <f t="shared" si="326"/>
        <v>0</v>
      </c>
      <c r="IE31" s="102">
        <f t="shared" si="68"/>
        <v>0</v>
      </c>
      <c r="IF31" s="66">
        <f t="shared" si="69"/>
        <v>0</v>
      </c>
      <c r="IG31" s="66">
        <f t="shared" si="327"/>
        <v>0</v>
      </c>
      <c r="IH31" s="102">
        <f t="shared" si="160"/>
        <v>0</v>
      </c>
      <c r="II31" s="66">
        <f t="shared" si="161"/>
        <v>0</v>
      </c>
      <c r="IJ31" s="66">
        <f t="shared" si="328"/>
        <v>0</v>
      </c>
      <c r="IK31" s="102">
        <f t="shared" si="72"/>
        <v>0</v>
      </c>
      <c r="IL31" s="66">
        <f t="shared" si="73"/>
        <v>0</v>
      </c>
      <c r="IM31" s="66">
        <f t="shared" si="329"/>
        <v>0</v>
      </c>
      <c r="IN31" s="83"/>
      <c r="IO31" s="102">
        <f t="shared" si="75"/>
        <v>0</v>
      </c>
      <c r="IP31" s="66">
        <f t="shared" si="330"/>
        <v>0</v>
      </c>
      <c r="IQ31" s="66">
        <f t="shared" si="331"/>
        <v>0</v>
      </c>
      <c r="IR31" s="83"/>
      <c r="IS31" s="102"/>
      <c r="IT31" s="66">
        <f t="shared" si="332"/>
        <v>0</v>
      </c>
      <c r="IU31" s="66">
        <f t="shared" si="333"/>
        <v>0</v>
      </c>
      <c r="IV31" s="83"/>
      <c r="IW31" s="102"/>
      <c r="IX31" s="66">
        <f t="shared" si="334"/>
        <v>0</v>
      </c>
      <c r="IY31" s="66">
        <f t="shared" si="335"/>
        <v>0</v>
      </c>
      <c r="IZ31" s="83"/>
      <c r="JA31" s="102"/>
      <c r="JB31" s="66">
        <f t="shared" si="336"/>
        <v>1</v>
      </c>
      <c r="JC31" s="66">
        <f t="shared" si="337"/>
        <v>584</v>
      </c>
      <c r="JD31" s="83"/>
      <c r="JE31" s="102"/>
      <c r="JF31" s="66">
        <f t="shared" si="162"/>
        <v>1</v>
      </c>
      <c r="JG31" s="66">
        <f t="shared" si="84"/>
        <v>584</v>
      </c>
      <c r="JH31" s="83"/>
      <c r="JI31" s="102"/>
      <c r="JJ31" s="66">
        <f t="shared" si="338"/>
        <v>0</v>
      </c>
      <c r="JK31" s="66">
        <f t="shared" si="339"/>
        <v>0</v>
      </c>
      <c r="JM31" s="102">
        <f t="shared" si="163"/>
        <v>0</v>
      </c>
      <c r="JO31" s="29">
        <f t="shared" si="87"/>
        <v>0</v>
      </c>
      <c r="JP31" s="122">
        <f t="shared" si="340"/>
        <v>0</v>
      </c>
      <c r="JQ31" s="122">
        <f t="shared" si="341"/>
        <v>0</v>
      </c>
      <c r="JR31" s="122">
        <f t="shared" si="342"/>
        <v>0</v>
      </c>
      <c r="JS31" s="122">
        <f t="shared" si="343"/>
        <v>0</v>
      </c>
      <c r="JT31" s="122">
        <f t="shared" si="344"/>
        <v>0</v>
      </c>
      <c r="JU31" s="122">
        <f t="shared" si="345"/>
        <v>0</v>
      </c>
      <c r="JV31" s="122">
        <f t="shared" si="346"/>
        <v>0</v>
      </c>
      <c r="JW31" s="122">
        <f t="shared" si="347"/>
        <v>0</v>
      </c>
      <c r="JX31" s="122">
        <f t="shared" si="348"/>
        <v>0</v>
      </c>
      <c r="JY31" s="122">
        <f t="shared" si="349"/>
        <v>0</v>
      </c>
      <c r="JZ31" s="122">
        <f t="shared" si="350"/>
        <v>0</v>
      </c>
      <c r="KA31" s="122">
        <f t="shared" si="351"/>
        <v>0</v>
      </c>
      <c r="KB31" s="122">
        <f t="shared" si="352"/>
        <v>0</v>
      </c>
      <c r="KD31" s="122">
        <f t="shared" si="164"/>
        <v>0</v>
      </c>
      <c r="KE31" s="122">
        <f t="shared" si="102"/>
        <v>0</v>
      </c>
      <c r="KF31" s="122">
        <f t="shared" si="353"/>
        <v>0</v>
      </c>
      <c r="KG31" s="122">
        <f t="shared" si="354"/>
        <v>0</v>
      </c>
      <c r="KH31" s="122">
        <f t="shared" si="355"/>
        <v>0</v>
      </c>
      <c r="KI31" s="122">
        <f t="shared" si="356"/>
        <v>0</v>
      </c>
      <c r="KJ31" s="122">
        <f t="shared" si="357"/>
        <v>0</v>
      </c>
      <c r="KK31" s="122">
        <f t="shared" si="358"/>
        <v>0</v>
      </c>
      <c r="KL31" s="122">
        <f t="shared" si="359"/>
        <v>0</v>
      </c>
      <c r="KM31" s="122">
        <f t="shared" si="360"/>
        <v>0</v>
      </c>
      <c r="KN31" s="123">
        <f t="shared" si="361"/>
        <v>0</v>
      </c>
      <c r="KO31" s="123">
        <f t="shared" si="362"/>
        <v>0</v>
      </c>
      <c r="KP31" s="123">
        <f t="shared" si="363"/>
        <v>0</v>
      </c>
      <c r="KQ31" s="123">
        <f t="shared" si="364"/>
        <v>0</v>
      </c>
      <c r="KR31" s="123">
        <f t="shared" si="365"/>
        <v>0</v>
      </c>
      <c r="KS31">
        <v>2</v>
      </c>
      <c r="KT31">
        <f t="shared" si="366"/>
        <v>1</v>
      </c>
      <c r="KU31" s="123"/>
      <c r="KV31" s="123"/>
      <c r="KW31" s="123"/>
      <c r="KX31" s="123"/>
      <c r="KY31" s="123"/>
      <c r="KZ31" s="123"/>
      <c r="LA31" s="123"/>
      <c r="LB31" s="123"/>
      <c r="LC31" s="123"/>
      <c r="LD31" s="123"/>
      <c r="LE31" s="123"/>
      <c r="LF31" s="123"/>
      <c r="LG31" s="123"/>
      <c r="LH31" s="123"/>
      <c r="LI31" s="123"/>
      <c r="LJ31" s="123"/>
      <c r="LK31" s="123"/>
      <c r="LL31" s="123"/>
      <c r="LM31" s="123">
        <v>1</v>
      </c>
      <c r="LN31" s="123">
        <v>1</v>
      </c>
      <c r="LO31" s="123"/>
      <c r="LP31" s="123"/>
      <c r="LQ31" s="123"/>
      <c r="LR31" s="123"/>
      <c r="LS31" s="123"/>
      <c r="LT31" s="123"/>
      <c r="LU31" s="123"/>
      <c r="LV31" s="123"/>
      <c r="LW31" s="123"/>
      <c r="LX31" s="123"/>
      <c r="LY31" s="123"/>
      <c r="LZ31" s="123"/>
      <c r="MA31" s="123"/>
      <c r="MB31" s="123"/>
      <c r="MC31" s="123"/>
      <c r="MD31" s="123"/>
      <c r="ME31" s="123"/>
      <c r="MF31" s="123"/>
      <c r="MG31" s="123"/>
      <c r="MH31" s="123"/>
      <c r="MI31" s="123"/>
      <c r="MJ31" s="123"/>
      <c r="MK31" s="123"/>
      <c r="ML31" s="123"/>
      <c r="MM31" s="123"/>
      <c r="MN31" s="123"/>
      <c r="MO31" s="123"/>
      <c r="MP31" s="123"/>
      <c r="MQ31" s="123"/>
      <c r="MR31" s="123"/>
      <c r="MS31" s="123"/>
      <c r="MT31" s="123"/>
      <c r="MU31" s="123"/>
      <c r="MV31" s="123"/>
      <c r="MW31" s="123"/>
      <c r="MX31" s="123"/>
      <c r="MY31" s="123"/>
      <c r="MZ31" s="123"/>
      <c r="NA31" s="123"/>
      <c r="NB31" s="123"/>
      <c r="NC31" s="123"/>
      <c r="ND31" s="123"/>
      <c r="NE31" s="123"/>
      <c r="NF31" s="123"/>
      <c r="NG31" s="123"/>
      <c r="NH31" s="123"/>
      <c r="NI31" s="123"/>
      <c r="NJ31" s="123"/>
      <c r="NK31" s="123"/>
      <c r="NM31">
        <f t="shared" si="165"/>
        <v>0</v>
      </c>
      <c r="NN31">
        <f t="shared" si="166"/>
        <v>1</v>
      </c>
      <c r="NO31">
        <f t="shared" si="167"/>
        <v>0</v>
      </c>
      <c r="NP31">
        <f t="shared" si="168"/>
        <v>0</v>
      </c>
      <c r="NQ31">
        <f t="shared" si="169"/>
        <v>0</v>
      </c>
      <c r="NR31">
        <f t="shared" si="170"/>
        <v>0</v>
      </c>
      <c r="NS31">
        <f t="shared" si="171"/>
        <v>0</v>
      </c>
      <c r="NT31">
        <f t="shared" si="172"/>
        <v>1</v>
      </c>
      <c r="NU31" s="29">
        <f t="shared" si="173"/>
        <v>0</v>
      </c>
      <c r="NY31" s="17">
        <f t="shared" si="118"/>
        <v>0</v>
      </c>
      <c r="OE31" s="155">
        <f t="shared" si="119"/>
        <v>0</v>
      </c>
      <c r="OF31" s="155">
        <f t="shared" si="120"/>
        <v>0</v>
      </c>
      <c r="OG31" s="155">
        <f t="shared" si="121"/>
        <v>1</v>
      </c>
      <c r="OH31" s="155">
        <f t="shared" si="174"/>
        <v>0</v>
      </c>
      <c r="OI31" s="155">
        <f t="shared" si="122"/>
        <v>1</v>
      </c>
      <c r="OJ31" s="67">
        <f t="shared" si="175"/>
        <v>0</v>
      </c>
      <c r="OK31" s="67">
        <f t="shared" si="176"/>
        <v>0</v>
      </c>
      <c r="OL31" s="67">
        <f t="shared" si="177"/>
        <v>0</v>
      </c>
      <c r="OM31" s="67">
        <f t="shared" si="178"/>
        <v>0</v>
      </c>
      <c r="OO31" s="155">
        <f t="shared" si="123"/>
        <v>0</v>
      </c>
      <c r="OP31" s="155">
        <f t="shared" si="124"/>
        <v>0</v>
      </c>
      <c r="OQ31" s="155">
        <f t="shared" si="179"/>
        <v>1</v>
      </c>
      <c r="OR31" s="155">
        <f t="shared" si="180"/>
        <v>0</v>
      </c>
      <c r="OS31" s="155">
        <f t="shared" si="181"/>
        <v>1</v>
      </c>
      <c r="OT31" s="67">
        <f t="shared" si="182"/>
        <v>0</v>
      </c>
      <c r="OU31" s="67">
        <f t="shared" si="183"/>
        <v>0</v>
      </c>
      <c r="OV31" s="67">
        <f t="shared" si="184"/>
        <v>0</v>
      </c>
      <c r="OW31" s="67">
        <f t="shared" si="185"/>
        <v>0</v>
      </c>
      <c r="OZ31" s="163"/>
      <c r="PA31" s="166"/>
      <c r="PB31" s="166">
        <v>1</v>
      </c>
      <c r="PC31" s="166">
        <v>1</v>
      </c>
      <c r="PD31" s="210">
        <f t="shared" si="125"/>
        <v>0</v>
      </c>
      <c r="PE31" s="210"/>
      <c r="PF31" s="210">
        <f t="shared" si="126"/>
        <v>0</v>
      </c>
      <c r="PG31" s="210">
        <f t="shared" si="127"/>
        <v>0</v>
      </c>
      <c r="PH31" s="210">
        <f t="shared" si="127"/>
        <v>584</v>
      </c>
      <c r="PI31" s="210">
        <f t="shared" si="127"/>
        <v>584</v>
      </c>
      <c r="PJ31" s="210">
        <f t="shared" si="127"/>
        <v>0</v>
      </c>
      <c r="PK31" s="210">
        <f t="shared" si="127"/>
        <v>0</v>
      </c>
      <c r="PL31" s="210">
        <f t="shared" si="127"/>
        <v>0</v>
      </c>
      <c r="PM31" s="164"/>
      <c r="PN31" s="164"/>
      <c r="PO31" s="172">
        <f t="shared" si="186"/>
        <v>0</v>
      </c>
      <c r="PP31" s="172">
        <f t="shared" si="187"/>
        <v>0</v>
      </c>
      <c r="PQ31" s="172">
        <f t="shared" si="188"/>
        <v>0</v>
      </c>
      <c r="PR31" s="164"/>
      <c r="PS31" s="164"/>
      <c r="PT31" s="164"/>
      <c r="PU31" s="164"/>
      <c r="XFC31">
        <v>29469074000</v>
      </c>
    </row>
    <row r="32" spans="1:437 16383:16383" ht="16" x14ac:dyDescent="0.2">
      <c r="A32" s="19">
        <f t="shared" si="189"/>
        <v>24</v>
      </c>
      <c r="B32" s="138" t="s">
        <v>223</v>
      </c>
      <c r="C32" s="186">
        <v>54</v>
      </c>
      <c r="D32" s="188">
        <v>1</v>
      </c>
      <c r="E32" s="188">
        <v>2567</v>
      </c>
      <c r="F32" s="188">
        <v>1</v>
      </c>
      <c r="G32" s="188">
        <f t="shared" si="308"/>
        <v>2567</v>
      </c>
      <c r="H32" s="214">
        <f>F32/$D32</f>
        <v>1</v>
      </c>
      <c r="I32" s="214">
        <f>G32/$E32</f>
        <v>1</v>
      </c>
      <c r="J32" s="188">
        <v>1</v>
      </c>
      <c r="K32" s="188">
        <f>IF(J32=D32,E32,0)</f>
        <v>2567</v>
      </c>
      <c r="L32" s="214">
        <f>J32/$D32</f>
        <v>1</v>
      </c>
      <c r="M32" s="214">
        <f>K32/$E32</f>
        <v>1</v>
      </c>
      <c r="N32" s="188">
        <v>1</v>
      </c>
      <c r="O32" s="188">
        <f>IF(N32=D32,E32,0)</f>
        <v>2567</v>
      </c>
      <c r="P32" s="214">
        <f>N32/$D32</f>
        <v>1</v>
      </c>
      <c r="Q32" s="214">
        <f>O32/$E32</f>
        <v>1</v>
      </c>
      <c r="R32" s="188">
        <v>0</v>
      </c>
      <c r="S32" s="188">
        <f>IF(R32=D32,E32,0)</f>
        <v>0</v>
      </c>
      <c r="T32" s="214">
        <f>R32/$D32</f>
        <v>0</v>
      </c>
      <c r="U32" s="214">
        <f>S32/$E32</f>
        <v>0</v>
      </c>
      <c r="V32" s="188">
        <v>0</v>
      </c>
      <c r="W32" s="188">
        <f>IF(V32=D32,E32,0)</f>
        <v>0</v>
      </c>
      <c r="X32" s="214">
        <f>V32/$D32</f>
        <v>0</v>
      </c>
      <c r="Y32" s="214">
        <f>W32/$E32</f>
        <v>0</v>
      </c>
      <c r="Z32" s="271">
        <v>0</v>
      </c>
      <c r="AA32" s="188">
        <v>1</v>
      </c>
      <c r="AB32" s="189">
        <f>IF(AA32=D32,E32,0)</f>
        <v>2567</v>
      </c>
      <c r="AC32" s="250">
        <f>AA32/$D32</f>
        <v>1</v>
      </c>
      <c r="AD32" s="18">
        <f>AB32/$E32</f>
        <v>1</v>
      </c>
      <c r="AE32" s="38">
        <f>29469074000/1000000000</f>
        <v>29.469073999999999</v>
      </c>
      <c r="AF32" s="20">
        <f>R32-V32</f>
        <v>0</v>
      </c>
      <c r="AG32" s="20"/>
      <c r="AH32" s="20" t="s">
        <v>303</v>
      </c>
      <c r="AI32" s="20">
        <v>0</v>
      </c>
      <c r="AJ32" s="20">
        <f>IF(AI32=D32,E32,0)</f>
        <v>0</v>
      </c>
      <c r="AK32" s="20"/>
      <c r="AL32" s="20">
        <v>0</v>
      </c>
      <c r="AM32" s="20">
        <v>0</v>
      </c>
      <c r="AN32" s="139"/>
      <c r="BB32" s="20">
        <f>IF(AN32=1,G32,0)</f>
        <v>0</v>
      </c>
      <c r="BE32" s="20">
        <f>IF(AF32=1,S32,0)</f>
        <v>0</v>
      </c>
      <c r="BF32" s="20">
        <f>IF(AG32="A",S32,0)</f>
        <v>0</v>
      </c>
      <c r="BG32" s="20">
        <f>IF(AG32="B",S32,0)</f>
        <v>0</v>
      </c>
      <c r="BH32" s="20">
        <f>IF(AG32="C",S32,0)</f>
        <v>0</v>
      </c>
      <c r="BI32" s="20">
        <f>IF(AG32="D",S32,0)</f>
        <v>0</v>
      </c>
      <c r="BJ32" s="20">
        <f>IF(AG32="E",S32,0)</f>
        <v>0</v>
      </c>
      <c r="BK32" s="20">
        <f>SUM(BF32:BJ32)</f>
        <v>0</v>
      </c>
      <c r="BN32" s="143"/>
      <c r="BO32" s="126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B32" s="139">
        <v>1</v>
      </c>
      <c r="CC32" t="s">
        <v>302</v>
      </c>
      <c r="CD32" s="17">
        <f>BN32</f>
        <v>0</v>
      </c>
      <c r="CE32" s="17">
        <f t="shared" ref="CE32:CP32" si="367">IF(BO32=1,$CD32,0)</f>
        <v>0</v>
      </c>
      <c r="CF32" s="20">
        <f t="shared" si="367"/>
        <v>0</v>
      </c>
      <c r="CG32" s="20">
        <f t="shared" si="367"/>
        <v>0</v>
      </c>
      <c r="CH32" s="20">
        <f t="shared" si="367"/>
        <v>0</v>
      </c>
      <c r="CI32" s="20">
        <f t="shared" si="367"/>
        <v>0</v>
      </c>
      <c r="CJ32" s="20">
        <f t="shared" si="367"/>
        <v>0</v>
      </c>
      <c r="CK32" s="20">
        <f t="shared" si="367"/>
        <v>0</v>
      </c>
      <c r="CL32" s="20">
        <f t="shared" si="367"/>
        <v>0</v>
      </c>
      <c r="CM32" s="20">
        <f t="shared" si="367"/>
        <v>0</v>
      </c>
      <c r="CN32" s="20">
        <f t="shared" si="367"/>
        <v>0</v>
      </c>
      <c r="CO32" s="20">
        <f t="shared" si="367"/>
        <v>0</v>
      </c>
      <c r="CP32" s="20">
        <f t="shared" si="367"/>
        <v>0</v>
      </c>
      <c r="DV32" s="20">
        <f>IF(CB32=1,G32,0)</f>
        <v>2567</v>
      </c>
      <c r="DW32" s="20">
        <f>IF(CC32="A",G32,0)</f>
        <v>0</v>
      </c>
      <c r="DX32" s="20">
        <f>IF(CC32="B",G32,0)</f>
        <v>0</v>
      </c>
      <c r="DY32" s="20">
        <f>IF(CC32="C",G32,0)</f>
        <v>0</v>
      </c>
      <c r="DZ32" s="20">
        <f>IF(CC32="D",G32,0)</f>
        <v>2567</v>
      </c>
      <c r="EA32" s="20">
        <f>IF(CC32="E",G32,0)</f>
        <v>0</v>
      </c>
      <c r="EB32" s="20">
        <f>SUM(DW32:EA32)</f>
        <v>2567</v>
      </c>
      <c r="EG32" s="57">
        <f>IF(AG32="C","C",IF(AG32="D","D",0))</f>
        <v>0</v>
      </c>
      <c r="EH32" s="57" t="str">
        <f>CC32</f>
        <v>D</v>
      </c>
      <c r="EI32" s="17">
        <v>1</v>
      </c>
      <c r="EJ32" s="17">
        <v>1</v>
      </c>
      <c r="EK32" s="17"/>
      <c r="EL32" s="17"/>
      <c r="EM32" s="17"/>
      <c r="EN32" s="17"/>
      <c r="EO32" s="17"/>
      <c r="EP32" s="17"/>
      <c r="EQ32" s="17">
        <v>1</v>
      </c>
      <c r="ER32" s="189">
        <v>1</v>
      </c>
      <c r="ES32" s="189">
        <v>1</v>
      </c>
      <c r="ET32" s="189"/>
      <c r="EU32" s="189"/>
      <c r="EV32" s="189">
        <v>1</v>
      </c>
      <c r="EW32" s="17"/>
      <c r="EX32" s="17"/>
      <c r="EY32" s="17"/>
      <c r="EZ32" s="188">
        <v>1</v>
      </c>
      <c r="FA32" s="188">
        <v>1</v>
      </c>
      <c r="FB32" s="188">
        <v>1</v>
      </c>
      <c r="FC32" s="17"/>
      <c r="FD32" s="17"/>
      <c r="FE32" s="168">
        <v>1</v>
      </c>
      <c r="FF32" s="168">
        <v>1</v>
      </c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X32" s="80"/>
      <c r="FY32" s="17">
        <f>SUM(FZ32:GE32)</f>
        <v>0</v>
      </c>
      <c r="FZ32" s="17">
        <f t="shared" si="309"/>
        <v>0</v>
      </c>
      <c r="GA32" s="17">
        <f t="shared" si="310"/>
        <v>0</v>
      </c>
      <c r="GB32" s="17">
        <f t="shared" si="311"/>
        <v>0</v>
      </c>
      <c r="GC32" s="17">
        <f t="shared" si="312"/>
        <v>0</v>
      </c>
      <c r="GD32" s="17">
        <f t="shared" si="313"/>
        <v>0</v>
      </c>
      <c r="GE32" s="17">
        <f t="shared" si="314"/>
        <v>0</v>
      </c>
      <c r="GF32" s="67"/>
      <c r="GG32" s="17">
        <v>0</v>
      </c>
      <c r="GH32" s="17">
        <v>0</v>
      </c>
      <c r="GI32" s="67"/>
      <c r="GJ32" s="62">
        <f>FY32*GG32/1000000000</f>
        <v>0</v>
      </c>
      <c r="GK32" s="62">
        <f>FY32*GH32/1000000000</f>
        <v>0</v>
      </c>
      <c r="GO32" s="17">
        <f t="shared" si="315"/>
        <v>0</v>
      </c>
      <c r="GP32" s="17">
        <f t="shared" si="316"/>
        <v>0</v>
      </c>
      <c r="GQ32" s="17">
        <f t="shared" si="317"/>
        <v>0</v>
      </c>
      <c r="GR32" s="17">
        <f t="shared" si="318"/>
        <v>1</v>
      </c>
      <c r="GS32" s="17">
        <f t="shared" si="319"/>
        <v>1</v>
      </c>
      <c r="GT32" s="17">
        <f>IF(SUM(GO32:GS32)=0,1,0)</f>
        <v>0</v>
      </c>
      <c r="GU32" s="101">
        <f t="shared" si="143"/>
        <v>43243</v>
      </c>
      <c r="GV32" s="17" t="str">
        <f>IF(GO32&gt;0,$GO$6,IF(GP32&gt;0,$GP$6,IF(GQ32&gt;0,$GQ$6,IF(GR32&gt;0,$GR$6,IF(GS32&gt;0,$GS$6,IF(GT32&gt;0,$GT$6,0))))))</f>
        <v>Musyawarah</v>
      </c>
      <c r="GW32" s="17">
        <f>IF(GV32=$GO$6,GO32,IF(GV32=$GP$6,GP32,IF(GV32=$GQ$6,GQ32,IF(GV32=$GR$6,GR32,IF(GV32=$GS$6,GS32,0)))))</f>
        <v>1</v>
      </c>
      <c r="GX32" s="66" t="str">
        <f>GV32</f>
        <v>Musyawarah</v>
      </c>
      <c r="GY32" s="66">
        <f>IF(GX32="DNP",SUM($GY$4:$GY$8),IF(GX32="Survey KJPP",SUM($GY$5:$GY$8),IF(GX32="Hasil Valuasi",SUM($GY$6:$GY$8),IF(GX32="Musyawarah",SUM($GY$7:$GY$8),IF(GX32="UGR",$GY$8,0)))))</f>
        <v>24</v>
      </c>
      <c r="GZ32" s="102">
        <f>IF(GW32=0,"SELESAI",GU32+GY32)</f>
        <v>43267</v>
      </c>
      <c r="HA32" s="83"/>
      <c r="HB32" s="83"/>
      <c r="HC32" s="17">
        <f t="shared" si="320"/>
        <v>0</v>
      </c>
      <c r="HD32" s="17">
        <f t="shared" si="321"/>
        <v>1</v>
      </c>
      <c r="HE32" s="17">
        <f>HC32+HD32</f>
        <v>1</v>
      </c>
      <c r="HF32" s="17">
        <f>FQ32</f>
        <v>0</v>
      </c>
      <c r="HG32" s="17">
        <f>HE32-HF32</f>
        <v>1</v>
      </c>
      <c r="HH32" s="101">
        <f>IF(HG32=1,GU32+$HH$8,"TIDAK KONSINYASI")</f>
        <v>43288</v>
      </c>
      <c r="HI32" s="101">
        <f>IF(GW32=0,"SELESAI",GZ32+$HI$8)</f>
        <v>43312</v>
      </c>
      <c r="HJ32" s="27"/>
      <c r="HK32" s="101">
        <f>MAX(GZ32,HH32,HI32)</f>
        <v>43312</v>
      </c>
      <c r="HL32" s="83"/>
      <c r="HM32" s="83"/>
      <c r="HN32" s="83"/>
      <c r="HO32" s="83"/>
      <c r="HP32" s="102">
        <f>IF(HQ32=1,GZ32,0)</f>
        <v>0</v>
      </c>
      <c r="HQ32" s="66">
        <f>IF(IX32=0,IF(HT32=0,IF(IP32=0,IF(GV32="UGR",GS32,0),0),0),0)</f>
        <v>0</v>
      </c>
      <c r="HR32" s="66">
        <f t="shared" si="322"/>
        <v>0</v>
      </c>
      <c r="HS32" s="102">
        <f>IF(HT32=1,HH32,0)</f>
        <v>43288</v>
      </c>
      <c r="HT32" s="66">
        <f>HG32</f>
        <v>1</v>
      </c>
      <c r="HU32" s="66">
        <f t="shared" si="323"/>
        <v>2567</v>
      </c>
      <c r="HV32" s="102">
        <f>IF(HW32=1,GZ32,0)</f>
        <v>0</v>
      </c>
      <c r="HW32" s="66">
        <f>IF(JB32=0,IF(IX32=0,IF(HT32=0,IF(GV32="MUSYAWARAH",GR32,0),0),0),0)</f>
        <v>0</v>
      </c>
      <c r="HX32" s="66">
        <f t="shared" si="324"/>
        <v>0</v>
      </c>
      <c r="HY32" s="102">
        <f>IF(HZ32=1,HV32+$HI$8,0)</f>
        <v>0</v>
      </c>
      <c r="HZ32" s="66">
        <f>HW32</f>
        <v>0</v>
      </c>
      <c r="IA32" s="66">
        <f t="shared" si="325"/>
        <v>0</v>
      </c>
      <c r="IB32" s="102">
        <f>IF(IC32=1,$GU$3+SUM($GY$6:$GY$8),0)</f>
        <v>0</v>
      </c>
      <c r="IC32" s="66">
        <f>IF(GV32="Hasil Valuasi",GQ32,0)</f>
        <v>0</v>
      </c>
      <c r="ID32" s="66">
        <f t="shared" si="326"/>
        <v>0</v>
      </c>
      <c r="IE32" s="102">
        <f>IF(IF32=1,IB32+$HI$8,0)</f>
        <v>0</v>
      </c>
      <c r="IF32" s="66">
        <f>IC32</f>
        <v>0</v>
      </c>
      <c r="IG32" s="66">
        <f t="shared" si="327"/>
        <v>0</v>
      </c>
      <c r="IH32" s="102">
        <f>IF(II32=1,$GU$3+SUM($GY$5:$GY$8),0)</f>
        <v>0</v>
      </c>
      <c r="II32" s="66">
        <f>IF(GV32="Survey KJPP",GP32,0)</f>
        <v>0</v>
      </c>
      <c r="IJ32" s="66">
        <f t="shared" si="328"/>
        <v>0</v>
      </c>
      <c r="IK32" s="102">
        <f>IF(IL32=1,IH32+$HI$8,0)</f>
        <v>0</v>
      </c>
      <c r="IL32" s="66">
        <f>II32</f>
        <v>0</v>
      </c>
      <c r="IM32" s="66">
        <f t="shared" si="329"/>
        <v>0</v>
      </c>
      <c r="IN32" s="83"/>
      <c r="IO32" s="102">
        <f>IF(IP32=1,+$GU$3+$HH$8,0)</f>
        <v>0</v>
      </c>
      <c r="IP32" s="66">
        <f t="shared" si="330"/>
        <v>0</v>
      </c>
      <c r="IQ32" s="66">
        <f t="shared" si="331"/>
        <v>0</v>
      </c>
      <c r="IR32" s="83"/>
      <c r="IS32" s="102"/>
      <c r="IT32" s="66">
        <f t="shared" si="332"/>
        <v>0</v>
      </c>
      <c r="IU32" s="66">
        <f t="shared" si="333"/>
        <v>0</v>
      </c>
      <c r="IV32" s="83"/>
      <c r="IW32" s="102"/>
      <c r="IX32" s="66">
        <f t="shared" si="334"/>
        <v>1</v>
      </c>
      <c r="IY32" s="66">
        <f t="shared" si="335"/>
        <v>2567</v>
      </c>
      <c r="IZ32" s="83"/>
      <c r="JA32" s="102"/>
      <c r="JB32" s="66">
        <f t="shared" si="336"/>
        <v>0</v>
      </c>
      <c r="JC32" s="66">
        <f t="shared" si="337"/>
        <v>0</v>
      </c>
      <c r="JD32" s="83"/>
      <c r="JE32" s="102"/>
      <c r="JF32" s="66">
        <f>IT32+HQ32+HT32+HZ32+IF32+IL32+IP32+IX32+JB32</f>
        <v>2</v>
      </c>
      <c r="JG32" s="66">
        <f>IU32+HR32+HU32+IA32+IG32+IM32+IQ32+IY32+JC32</f>
        <v>5134</v>
      </c>
      <c r="JH32" s="83"/>
      <c r="JI32" s="102"/>
      <c r="JJ32" s="66">
        <f t="shared" si="338"/>
        <v>1</v>
      </c>
      <c r="JK32" s="66">
        <f t="shared" si="339"/>
        <v>2567</v>
      </c>
      <c r="JM32" s="102">
        <f>MAX(IW32,IS32,IO32,IK32,IE32,HY32,HS32,HP32)</f>
        <v>43288</v>
      </c>
      <c r="JO32" s="29">
        <f>SUM(JQ32:KB32)</f>
        <v>0</v>
      </c>
      <c r="JP32" s="122">
        <f t="shared" si="340"/>
        <v>0</v>
      </c>
      <c r="JQ32" s="122">
        <f t="shared" si="341"/>
        <v>0</v>
      </c>
      <c r="JR32" s="122">
        <f t="shared" si="342"/>
        <v>0</v>
      </c>
      <c r="JS32" s="122">
        <f t="shared" si="343"/>
        <v>0</v>
      </c>
      <c r="JT32" s="122">
        <f t="shared" si="344"/>
        <v>0</v>
      </c>
      <c r="JU32" s="122">
        <f t="shared" si="345"/>
        <v>0</v>
      </c>
      <c r="JV32" s="122">
        <f t="shared" si="346"/>
        <v>0</v>
      </c>
      <c r="JW32" s="122">
        <f t="shared" si="347"/>
        <v>0</v>
      </c>
      <c r="JX32" s="122">
        <f t="shared" si="348"/>
        <v>0</v>
      </c>
      <c r="JY32" s="122">
        <f t="shared" si="349"/>
        <v>0</v>
      </c>
      <c r="JZ32" s="122">
        <f t="shared" si="350"/>
        <v>0</v>
      </c>
      <c r="KA32" s="122">
        <f t="shared" si="351"/>
        <v>0</v>
      </c>
      <c r="KB32" s="122">
        <f t="shared" si="352"/>
        <v>0</v>
      </c>
      <c r="KD32" s="122">
        <f t="shared" si="164"/>
        <v>0</v>
      </c>
      <c r="KE32" s="122">
        <f t="shared" si="102"/>
        <v>0</v>
      </c>
      <c r="KF32" s="122">
        <f t="shared" si="353"/>
        <v>0</v>
      </c>
      <c r="KG32" s="122">
        <f t="shared" si="354"/>
        <v>0</v>
      </c>
      <c r="KH32" s="122">
        <f t="shared" si="355"/>
        <v>0</v>
      </c>
      <c r="KI32" s="122">
        <f t="shared" si="356"/>
        <v>0</v>
      </c>
      <c r="KJ32" s="122">
        <f t="shared" si="357"/>
        <v>0</v>
      </c>
      <c r="KK32" s="122">
        <f t="shared" si="358"/>
        <v>0</v>
      </c>
      <c r="KL32" s="122">
        <f t="shared" si="359"/>
        <v>0</v>
      </c>
      <c r="KM32" s="122">
        <f t="shared" si="360"/>
        <v>0</v>
      </c>
      <c r="KN32" s="123">
        <f t="shared" si="361"/>
        <v>0</v>
      </c>
      <c r="KO32" s="123">
        <f t="shared" si="362"/>
        <v>0</v>
      </c>
      <c r="KP32" s="123">
        <f t="shared" si="363"/>
        <v>0</v>
      </c>
      <c r="KQ32" s="123">
        <f t="shared" si="364"/>
        <v>0</v>
      </c>
      <c r="KR32" s="123">
        <f t="shared" si="365"/>
        <v>0</v>
      </c>
      <c r="KT32">
        <f t="shared" si="366"/>
        <v>0</v>
      </c>
      <c r="KU32" s="123"/>
      <c r="KV32" s="123"/>
      <c r="KW32" s="123"/>
      <c r="KX32" s="123"/>
      <c r="KY32" s="123"/>
      <c r="KZ32" s="123"/>
      <c r="LA32" s="123"/>
      <c r="LB32" s="123"/>
      <c r="LC32" s="123"/>
      <c r="LD32" s="123"/>
      <c r="LE32" s="123"/>
      <c r="LF32" s="123"/>
      <c r="LG32" s="123"/>
      <c r="LH32" s="123"/>
      <c r="LI32" s="123"/>
      <c r="LJ32" s="123"/>
      <c r="LK32" s="123"/>
      <c r="LL32" s="123"/>
      <c r="LM32" s="123"/>
      <c r="LN32" s="123"/>
      <c r="LO32" s="123"/>
      <c r="LP32" s="123"/>
      <c r="LQ32" s="123"/>
      <c r="LR32" s="123"/>
      <c r="LS32" s="123"/>
      <c r="LT32" s="123"/>
      <c r="LU32" s="123"/>
      <c r="LV32" s="123"/>
      <c r="LW32" s="123"/>
      <c r="LX32" s="123"/>
      <c r="LY32" s="123"/>
      <c r="LZ32" s="123"/>
      <c r="MA32" s="123"/>
      <c r="MB32" s="123"/>
      <c r="MC32" s="123"/>
      <c r="MD32" s="123"/>
      <c r="ME32" s="123"/>
      <c r="MF32" s="123"/>
      <c r="MG32" s="123"/>
      <c r="MH32" s="123"/>
      <c r="MI32" s="123"/>
      <c r="MJ32" s="123"/>
      <c r="MK32" s="123"/>
      <c r="ML32" s="123"/>
      <c r="MM32" s="123"/>
      <c r="MN32" s="123"/>
      <c r="MO32" s="123"/>
      <c r="MP32" s="123"/>
      <c r="MQ32" s="123"/>
      <c r="MR32" s="123"/>
      <c r="MS32" s="123"/>
      <c r="MT32" s="123"/>
      <c r="MU32" s="123"/>
      <c r="MV32" s="123"/>
      <c r="MW32" s="123"/>
      <c r="MX32" s="123"/>
      <c r="MY32" s="123"/>
      <c r="MZ32" s="123"/>
      <c r="NA32" s="123"/>
      <c r="NB32" s="123"/>
      <c r="NC32" s="123"/>
      <c r="ND32" s="123"/>
      <c r="NE32" s="123"/>
      <c r="NF32" s="123"/>
      <c r="NG32" s="123"/>
      <c r="NH32" s="123"/>
      <c r="NI32" s="123"/>
      <c r="NJ32" s="123"/>
      <c r="NK32" s="123"/>
      <c r="NM32">
        <f>IF(KS32=1,1,0)</f>
        <v>0</v>
      </c>
      <c r="NN32">
        <f>IF(KS32=2,1,0)</f>
        <v>0</v>
      </c>
      <c r="NO32">
        <f>IF(KS32=3,1,0)</f>
        <v>0</v>
      </c>
      <c r="NP32">
        <f>IF(KS32=4,1,0)</f>
        <v>0</v>
      </c>
      <c r="NQ32">
        <f>IF(KS32=5,1,0)</f>
        <v>0</v>
      </c>
      <c r="NR32">
        <f>IF(KS32=6,1,0)</f>
        <v>0</v>
      </c>
      <c r="NS32">
        <f>IF(KS32=7,1,0)</f>
        <v>0</v>
      </c>
      <c r="NT32">
        <f>SUM(NM32:NS32)</f>
        <v>0</v>
      </c>
      <c r="NU32" s="29">
        <f>NT32-KT32</f>
        <v>0</v>
      </c>
      <c r="NY32" s="17">
        <f t="shared" si="118"/>
        <v>0</v>
      </c>
      <c r="OE32" s="155">
        <f t="shared" si="119"/>
        <v>0</v>
      </c>
      <c r="OF32" s="155">
        <f t="shared" si="120"/>
        <v>0</v>
      </c>
      <c r="OG32" s="155">
        <f t="shared" si="121"/>
        <v>0</v>
      </c>
      <c r="OH32" s="155">
        <f>HE32</f>
        <v>1</v>
      </c>
      <c r="OI32" s="155">
        <f t="shared" si="122"/>
        <v>1</v>
      </c>
      <c r="OJ32" s="67">
        <f>IF(OG32=1,OF32,0)</f>
        <v>0</v>
      </c>
      <c r="OK32" s="67">
        <f>IF(OH32=1,OF32,0)</f>
        <v>0</v>
      </c>
      <c r="OL32" s="67">
        <f>IF((OG32+OH32)=0,OF32,0)</f>
        <v>0</v>
      </c>
      <c r="OM32" s="67">
        <f>SUM(OJ32:OL32)</f>
        <v>0</v>
      </c>
      <c r="OO32" s="155">
        <f t="shared" si="123"/>
        <v>0</v>
      </c>
      <c r="OP32" s="155">
        <f t="shared" si="124"/>
        <v>0</v>
      </c>
      <c r="OQ32" s="155">
        <f>OG32</f>
        <v>0</v>
      </c>
      <c r="OR32" s="155">
        <f>OH32</f>
        <v>1</v>
      </c>
      <c r="OS32" s="155">
        <f>OI32</f>
        <v>1</v>
      </c>
      <c r="OT32" s="67">
        <f>IF(OQ32=1,OP32,0)</f>
        <v>0</v>
      </c>
      <c r="OU32" s="67">
        <f>IF(OR32=1,OP32,0)</f>
        <v>0</v>
      </c>
      <c r="OV32" s="67">
        <f>IF((OQ32+OR32)=0,OP32,0)</f>
        <v>0</v>
      </c>
      <c r="OW32" s="67">
        <f>SUM(OT32:OV32)</f>
        <v>0</v>
      </c>
      <c r="OZ32" s="163"/>
      <c r="PA32" s="166"/>
      <c r="PB32" s="166"/>
      <c r="PC32" s="166"/>
      <c r="PD32" s="210">
        <f t="shared" si="125"/>
        <v>0</v>
      </c>
      <c r="PE32" s="210"/>
      <c r="PF32" s="210">
        <f t="shared" si="126"/>
        <v>0</v>
      </c>
      <c r="PG32" s="210">
        <f t="shared" si="127"/>
        <v>0</v>
      </c>
      <c r="PH32" s="210">
        <f t="shared" si="127"/>
        <v>0</v>
      </c>
      <c r="PI32" s="210">
        <f t="shared" si="127"/>
        <v>0</v>
      </c>
      <c r="PJ32" s="210">
        <f t="shared" si="127"/>
        <v>0</v>
      </c>
      <c r="PK32" s="210">
        <f t="shared" si="127"/>
        <v>0</v>
      </c>
      <c r="PL32" s="210">
        <f t="shared" si="127"/>
        <v>0</v>
      </c>
      <c r="PM32" s="164"/>
      <c r="PN32" s="164"/>
      <c r="PO32" s="172">
        <f t="shared" si="186"/>
        <v>0</v>
      </c>
      <c r="PP32" s="172">
        <f t="shared" si="187"/>
        <v>2567</v>
      </c>
      <c r="PQ32" s="172">
        <f t="shared" si="188"/>
        <v>0</v>
      </c>
      <c r="PR32" s="164"/>
      <c r="PS32" s="164"/>
      <c r="PT32" s="164"/>
      <c r="PU32" s="164"/>
      <c r="XFC32">
        <v>8279774000</v>
      </c>
    </row>
    <row r="33" spans="1:437" ht="16" x14ac:dyDescent="0.2">
      <c r="A33" s="19">
        <f t="shared" si="189"/>
        <v>25</v>
      </c>
      <c r="B33" s="158" t="s">
        <v>687</v>
      </c>
      <c r="C33" s="186">
        <v>1</v>
      </c>
      <c r="D33" s="188">
        <v>1</v>
      </c>
      <c r="E33" s="188">
        <v>3300</v>
      </c>
      <c r="F33" s="188">
        <v>1</v>
      </c>
      <c r="G33" s="188">
        <f t="shared" si="308"/>
        <v>3300</v>
      </c>
      <c r="H33" s="214">
        <f t="shared" ref="H33:H59" si="368">F33/$D33</f>
        <v>1</v>
      </c>
      <c r="I33" s="214">
        <f t="shared" ref="I33:I59" si="369">G33/$E33</f>
        <v>1</v>
      </c>
      <c r="J33" s="188">
        <v>1</v>
      </c>
      <c r="K33" s="188">
        <f t="shared" ref="K33:K59" si="370">IF(J33=D33,E33,0)</f>
        <v>3300</v>
      </c>
      <c r="L33" s="214">
        <f t="shared" ref="L33:L59" si="371">J33/$D33</f>
        <v>1</v>
      </c>
      <c r="M33" s="214">
        <f t="shared" ref="M33:M59" si="372">K33/$E33</f>
        <v>1</v>
      </c>
      <c r="N33" s="188">
        <v>1</v>
      </c>
      <c r="O33" s="188">
        <f t="shared" ref="O33:O59" si="373">IF(N33=D33,E33,0)</f>
        <v>3300</v>
      </c>
      <c r="P33" s="214">
        <f t="shared" ref="P33:P59" si="374">N33/$D33</f>
        <v>1</v>
      </c>
      <c r="Q33" s="214">
        <f t="shared" ref="Q33:Q59" si="375">O33/$E33</f>
        <v>1</v>
      </c>
      <c r="R33" s="188">
        <v>0</v>
      </c>
      <c r="S33" s="188">
        <f t="shared" ref="S33:S59" si="376">IF(R33=D33,E33,0)</f>
        <v>0</v>
      </c>
      <c r="T33" s="214">
        <f t="shared" ref="T33:T59" si="377">R33/$D33</f>
        <v>0</v>
      </c>
      <c r="U33" s="214">
        <f t="shared" ref="U33:U59" si="378">S33/$E33</f>
        <v>0</v>
      </c>
      <c r="V33" s="188">
        <v>0</v>
      </c>
      <c r="W33" s="188">
        <f t="shared" ref="W33:W59" si="379">IF(V33=D33,E33,0)</f>
        <v>0</v>
      </c>
      <c r="X33" s="214">
        <f t="shared" ref="X33:X59" si="380">V33/$D33</f>
        <v>0</v>
      </c>
      <c r="Y33" s="214">
        <f t="shared" ref="Y33:Y59" si="381">W33/$E33</f>
        <v>0</v>
      </c>
      <c r="Z33" s="271">
        <v>0</v>
      </c>
      <c r="AA33" s="188"/>
      <c r="AB33" s="189">
        <f t="shared" ref="AB33:AB59" si="382">IF(AA33=D33,E33,0)</f>
        <v>0</v>
      </c>
      <c r="AC33" s="250">
        <f t="shared" ref="AC33:AC59" si="383">AA33/$D33</f>
        <v>0</v>
      </c>
      <c r="AD33" s="18">
        <f t="shared" ref="AD33:AD59" si="384">AB33/$E33</f>
        <v>0</v>
      </c>
      <c r="AE33" s="20"/>
      <c r="AF33" s="20">
        <f t="shared" ref="AF33:AF59" si="385">R33-V33</f>
        <v>0</v>
      </c>
      <c r="AG33" s="20"/>
      <c r="AH33" s="20"/>
      <c r="AI33" s="20">
        <v>0</v>
      </c>
      <c r="AJ33" s="20">
        <f t="shared" ref="AJ33:AJ59" si="386">IF(AI33=D33,E33,0)</f>
        <v>0</v>
      </c>
      <c r="AK33" s="20"/>
      <c r="AL33" s="20">
        <v>0</v>
      </c>
      <c r="AM33" s="20">
        <v>0</v>
      </c>
      <c r="AN33" s="139">
        <v>1</v>
      </c>
      <c r="BB33" s="20">
        <f>IF(AN33=1,E33,0)</f>
        <v>3300</v>
      </c>
      <c r="BE33" s="20">
        <f t="shared" ref="BE33:BE59" si="387">IF(AF33=1,S33,0)</f>
        <v>0</v>
      </c>
      <c r="BF33" s="20">
        <f t="shared" ref="BF33:BF59" si="388">IF(AG33="A",S33,0)</f>
        <v>0</v>
      </c>
      <c r="BG33" s="20">
        <f t="shared" ref="BG33:BG59" si="389">IF(AG33="B",S33,0)</f>
        <v>0</v>
      </c>
      <c r="BH33" s="20">
        <f t="shared" ref="BH33:BH59" si="390">IF(AG33="C",S33,0)</f>
        <v>0</v>
      </c>
      <c r="BI33" s="20">
        <f t="shared" ref="BI33:BI59" si="391">IF(AG33="D",S33,0)</f>
        <v>0</v>
      </c>
      <c r="BJ33" s="20">
        <f t="shared" ref="BJ33:BJ59" si="392">IF(AG33="E",S33,0)</f>
        <v>0</v>
      </c>
      <c r="BK33" s="20">
        <f t="shared" ref="BK33:BK59" si="393">SUM(BF33:BJ33)</f>
        <v>0</v>
      </c>
      <c r="BN33" s="143"/>
      <c r="BO33" s="126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B33" s="139"/>
      <c r="CD33" s="17">
        <f t="shared" ref="CD33:CD59" si="394">BN33</f>
        <v>0</v>
      </c>
      <c r="CE33" s="17">
        <f t="shared" ref="CE33:CE59" si="395">IF(BO33=1,$CD33,0)</f>
        <v>0</v>
      </c>
      <c r="CF33" s="20">
        <f t="shared" ref="CF33:CF59" si="396">IF(BP33=1,$CD33,0)</f>
        <v>0</v>
      </c>
      <c r="CG33" s="20">
        <f t="shared" ref="CG33:CG59" si="397">IF(BQ33=1,$CD33,0)</f>
        <v>0</v>
      </c>
      <c r="CH33" s="20">
        <f t="shared" ref="CH33:CH59" si="398">IF(BR33=1,$CD33,0)</f>
        <v>0</v>
      </c>
      <c r="CI33" s="20">
        <f t="shared" ref="CI33:CI59" si="399">IF(BS33=1,$CD33,0)</f>
        <v>0</v>
      </c>
      <c r="CJ33" s="20">
        <f t="shared" ref="CJ33:CJ59" si="400">IF(BT33=1,$CD33,0)</f>
        <v>0</v>
      </c>
      <c r="CK33" s="20">
        <f t="shared" ref="CK33:CK59" si="401">IF(BU33=1,$CD33,0)</f>
        <v>0</v>
      </c>
      <c r="CL33" s="20">
        <f t="shared" ref="CL33:CL59" si="402">IF(BV33=1,$CD33,0)</f>
        <v>0</v>
      </c>
      <c r="CM33" s="20">
        <f t="shared" ref="CM33:CM59" si="403">IF(BW33=1,$CD33,0)</f>
        <v>0</v>
      </c>
      <c r="CN33" s="20">
        <f t="shared" ref="CN33:CN59" si="404">IF(BX33=1,$CD33,0)</f>
        <v>0</v>
      </c>
      <c r="CO33" s="20">
        <f t="shared" ref="CO33:CO59" si="405">IF(BY33=1,$CD33,0)</f>
        <v>0</v>
      </c>
      <c r="CP33" s="20">
        <f t="shared" ref="CP33:CP59" si="406">IF(BZ33=1,$CD33,0)</f>
        <v>0</v>
      </c>
      <c r="DV33" s="20">
        <f t="shared" ref="DV33:DV59" si="407">IF(CB33=1,G33,0)</f>
        <v>0</v>
      </c>
      <c r="DW33" s="20">
        <f t="shared" ref="DW33:DW59" si="408">IF(CC33="A",G33,0)</f>
        <v>0</v>
      </c>
      <c r="DX33" s="20">
        <f t="shared" ref="DX33:DX59" si="409">IF(CC33="B",G33,0)</f>
        <v>0</v>
      </c>
      <c r="DY33" s="20">
        <f t="shared" ref="DY33:DY59" si="410">IF(CC33="C",G33,0)</f>
        <v>0</v>
      </c>
      <c r="DZ33" s="20">
        <f t="shared" ref="DZ33:DZ59" si="411">IF(CC33="D",G33,0)</f>
        <v>0</v>
      </c>
      <c r="EA33" s="20">
        <f t="shared" ref="EA33:EA59" si="412">IF(CC33="E",G33,0)</f>
        <v>0</v>
      </c>
      <c r="EB33" s="20">
        <f t="shared" ref="EB33:EB59" si="413">SUM(DW33:EA33)</f>
        <v>0</v>
      </c>
      <c r="EG33" s="57">
        <f t="shared" ref="EG33:EG59" si="414">IF(AG33="C","C",IF(AG33="D","D",0))</f>
        <v>0</v>
      </c>
      <c r="EH33" s="57">
        <f t="shared" ref="EH33:EH59" si="415">CC33</f>
        <v>0</v>
      </c>
      <c r="EI33" s="17"/>
      <c r="EJ33" s="17"/>
      <c r="EK33" s="17"/>
      <c r="EL33" s="17"/>
      <c r="EM33" s="17"/>
      <c r="EN33" s="17"/>
      <c r="EO33" s="17"/>
      <c r="EP33" s="17"/>
      <c r="EQ33" s="17"/>
      <c r="ER33" s="189"/>
      <c r="ES33" s="189"/>
      <c r="ET33" s="189"/>
      <c r="EU33" s="189"/>
      <c r="EV33" s="189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X33" s="80"/>
      <c r="FY33" s="17">
        <f t="shared" ref="FY33:FY59" si="416">SUM(FZ33:GE33)</f>
        <v>0</v>
      </c>
      <c r="FZ33" s="17">
        <f t="shared" si="309"/>
        <v>0</v>
      </c>
      <c r="GA33" s="17">
        <f t="shared" si="310"/>
        <v>0</v>
      </c>
      <c r="GB33" s="17">
        <f t="shared" si="311"/>
        <v>0</v>
      </c>
      <c r="GC33" s="17">
        <f t="shared" si="312"/>
        <v>0</v>
      </c>
      <c r="GD33" s="17">
        <f t="shared" si="313"/>
        <v>0</v>
      </c>
      <c r="GE33" s="17">
        <f t="shared" si="314"/>
        <v>0</v>
      </c>
      <c r="GF33" s="67"/>
      <c r="GG33" s="17">
        <v>0</v>
      </c>
      <c r="GH33" s="17">
        <v>0</v>
      </c>
      <c r="GI33" s="67"/>
      <c r="GJ33" s="62">
        <f t="shared" ref="GJ33:GJ59" si="417">FY33*GG33/1000000000</f>
        <v>0</v>
      </c>
      <c r="GK33" s="62">
        <f t="shared" ref="GK33:GK59" si="418">FY33*GH33/1000000000</f>
        <v>0</v>
      </c>
      <c r="GO33" s="17">
        <f t="shared" si="315"/>
        <v>0</v>
      </c>
      <c r="GP33" s="17">
        <f t="shared" si="316"/>
        <v>0</v>
      </c>
      <c r="GQ33" s="17">
        <f t="shared" si="317"/>
        <v>0</v>
      </c>
      <c r="GR33" s="17">
        <f t="shared" si="318"/>
        <v>1</v>
      </c>
      <c r="GS33" s="17">
        <f t="shared" si="319"/>
        <v>1</v>
      </c>
      <c r="GT33" s="17">
        <f t="shared" ref="GT33:GT59" si="419">IF(SUM(GO33:GS33)=0,1,0)</f>
        <v>0</v>
      </c>
      <c r="GU33" s="101">
        <f t="shared" si="143"/>
        <v>43243</v>
      </c>
      <c r="GV33" s="17" t="str">
        <f t="shared" ref="GV33:GV59" si="420">IF(GO33&gt;0,$GO$6,IF(GP33&gt;0,$GP$6,IF(GQ33&gt;0,$GQ$6,IF(GR33&gt;0,$GR$6,IF(GS33&gt;0,$GS$6,IF(GT33&gt;0,$GT$6,0))))))</f>
        <v>Musyawarah</v>
      </c>
      <c r="GW33" s="17">
        <f t="shared" ref="GW33:GW59" si="421">IF(GV33=$GO$6,GO33,IF(GV33=$GP$6,GP33,IF(GV33=$GQ$6,GQ33,IF(GV33=$GR$6,GR33,IF(GV33=$GS$6,GS33,0)))))</f>
        <v>1</v>
      </c>
      <c r="GX33" s="66" t="str">
        <f t="shared" ref="GX33:GX59" si="422">GV33</f>
        <v>Musyawarah</v>
      </c>
      <c r="GY33" s="66">
        <f t="shared" ref="GY33:GY59" si="423">IF(GX33="DNP",SUM($GY$4:$GY$8),IF(GX33="Survey KJPP",SUM($GY$5:$GY$8),IF(GX33="Hasil Valuasi",SUM($GY$6:$GY$8),IF(GX33="Musyawarah",SUM($GY$7:$GY$8),IF(GX33="UGR",$GY$8,0)))))</f>
        <v>24</v>
      </c>
      <c r="GZ33" s="102">
        <f t="shared" ref="GZ33:GZ59" si="424">IF(GW33=0,"SELESAI",GU33+GY33)</f>
        <v>43267</v>
      </c>
      <c r="HA33" s="83"/>
      <c r="HB33" s="83"/>
      <c r="HC33" s="17">
        <f t="shared" si="320"/>
        <v>0</v>
      </c>
      <c r="HD33" s="17">
        <f t="shared" si="321"/>
        <v>0</v>
      </c>
      <c r="HE33" s="17">
        <f t="shared" ref="HE33:HE59" si="425">HC33+HD33</f>
        <v>0</v>
      </c>
      <c r="HF33" s="17">
        <f t="shared" ref="HF33:HF59" si="426">FQ33</f>
        <v>0</v>
      </c>
      <c r="HG33" s="17">
        <f t="shared" ref="HG33:HG59" si="427">HE33-HF33</f>
        <v>0</v>
      </c>
      <c r="HH33" s="101" t="str">
        <f t="shared" ref="HH33:HH59" si="428">IF(HG33=1,GU33+$HH$8,"TIDAK KONSINYASI")</f>
        <v>TIDAK KONSINYASI</v>
      </c>
      <c r="HI33" s="101">
        <f t="shared" ref="HI33:HI59" si="429">IF(GW33=0,"SELESAI",GZ33+$HI$8)</f>
        <v>43312</v>
      </c>
      <c r="HJ33" s="27"/>
      <c r="HK33" s="101">
        <f t="shared" ref="HK33:HK59" si="430">MAX(GZ33,HH33,HI33)</f>
        <v>43312</v>
      </c>
      <c r="HL33" s="83"/>
      <c r="HM33" s="83"/>
      <c r="HN33" s="83"/>
      <c r="HO33" s="83"/>
      <c r="HP33" s="102">
        <f t="shared" ref="HP33:HP59" si="431">IF(HQ33=1,GZ33,0)</f>
        <v>0</v>
      </c>
      <c r="HQ33" s="66">
        <f t="shared" ref="HQ33:HQ59" si="432">IF(IX33=0,IF(HT33=0,IF(IP33=0,IF(GV33="UGR",GS33,0),0),0),0)</f>
        <v>0</v>
      </c>
      <c r="HR33" s="66">
        <f t="shared" si="322"/>
        <v>0</v>
      </c>
      <c r="HS33" s="102">
        <f t="shared" ref="HS33:HS59" si="433">IF(HT33=1,HH33,0)</f>
        <v>0</v>
      </c>
      <c r="HT33" s="66">
        <f t="shared" ref="HT33:HT59" si="434">HG33</f>
        <v>0</v>
      </c>
      <c r="HU33" s="66">
        <f t="shared" si="323"/>
        <v>0</v>
      </c>
      <c r="HV33" s="102">
        <f t="shared" ref="HV33:HV59" si="435">IF(HW33=1,GZ33,0)</f>
        <v>0</v>
      </c>
      <c r="HW33" s="66">
        <f t="shared" ref="HW33:HW59" si="436">IF(JB33=0,IF(IX33=0,IF(HT33=0,IF(GV33="MUSYAWARAH",GR33,0),0),0),0)</f>
        <v>0</v>
      </c>
      <c r="HX33" s="66">
        <f t="shared" si="324"/>
        <v>0</v>
      </c>
      <c r="HY33" s="102">
        <f t="shared" ref="HY33:HY59" si="437">IF(HZ33=1,HV33+$HI$8,0)</f>
        <v>0</v>
      </c>
      <c r="HZ33" s="66">
        <f t="shared" ref="HZ33:HZ59" si="438">HW33</f>
        <v>0</v>
      </c>
      <c r="IA33" s="66">
        <f t="shared" si="325"/>
        <v>0</v>
      </c>
      <c r="IB33" s="102">
        <f t="shared" ref="IB33:IB59" si="439">IF(IC33=1,$GU$3+SUM($GY$6:$GY$8),0)</f>
        <v>0</v>
      </c>
      <c r="IC33" s="66">
        <f t="shared" ref="IC33:IC59" si="440">IF(GV33="Hasil Valuasi",GQ33,0)</f>
        <v>0</v>
      </c>
      <c r="ID33" s="66">
        <f t="shared" si="326"/>
        <v>0</v>
      </c>
      <c r="IE33" s="102">
        <f t="shared" ref="IE33:IE59" si="441">IF(IF33=1,IB33+$HI$8,0)</f>
        <v>0</v>
      </c>
      <c r="IF33" s="66">
        <f t="shared" ref="IF33:IF59" si="442">IC33</f>
        <v>0</v>
      </c>
      <c r="IG33" s="66">
        <f t="shared" si="327"/>
        <v>0</v>
      </c>
      <c r="IH33" s="102">
        <f t="shared" ref="IH33:IH59" si="443">IF(II33=1,$GU$3+SUM($GY$5:$GY$8),0)</f>
        <v>0</v>
      </c>
      <c r="II33" s="66">
        <f t="shared" ref="II33:II59" si="444">IF(GV33="Survey KJPP",GP33,0)</f>
        <v>0</v>
      </c>
      <c r="IJ33" s="66">
        <f t="shared" si="328"/>
        <v>0</v>
      </c>
      <c r="IK33" s="102">
        <f t="shared" ref="IK33:IK59" si="445">IF(IL33=1,IH33+$HI$8,0)</f>
        <v>0</v>
      </c>
      <c r="IL33" s="66">
        <f t="shared" ref="IL33:IL59" si="446">II33</f>
        <v>0</v>
      </c>
      <c r="IM33" s="66">
        <f t="shared" si="329"/>
        <v>0</v>
      </c>
      <c r="IN33" s="83"/>
      <c r="IO33" s="102">
        <f t="shared" ref="IO33:IO59" si="447">IF(IP33=1,+$GU$3+$HH$8,0)</f>
        <v>0</v>
      </c>
      <c r="IP33" s="66">
        <f t="shared" si="330"/>
        <v>0</v>
      </c>
      <c r="IQ33" s="66">
        <f t="shared" si="331"/>
        <v>0</v>
      </c>
      <c r="IR33" s="83"/>
      <c r="IS33" s="102"/>
      <c r="IT33" s="66">
        <f t="shared" si="332"/>
        <v>0</v>
      </c>
      <c r="IU33" s="66">
        <f t="shared" si="333"/>
        <v>0</v>
      </c>
      <c r="IV33" s="83"/>
      <c r="IW33" s="102"/>
      <c r="IX33" s="66">
        <f t="shared" si="334"/>
        <v>0</v>
      </c>
      <c r="IY33" s="66">
        <f t="shared" si="335"/>
        <v>0</v>
      </c>
      <c r="IZ33" s="83"/>
      <c r="JA33" s="102"/>
      <c r="JB33" s="66">
        <f t="shared" si="336"/>
        <v>1</v>
      </c>
      <c r="JC33" s="66">
        <f t="shared" si="337"/>
        <v>3300</v>
      </c>
      <c r="JD33" s="83"/>
      <c r="JE33" s="102"/>
      <c r="JF33" s="66">
        <f t="shared" ref="JF33:JF59" si="448">IT33+HQ33+HT33+HZ33+IF33+IL33+IP33+IX33+JB33</f>
        <v>1</v>
      </c>
      <c r="JG33" s="66">
        <f t="shared" ref="JG33:JG59" si="449">IU33+HR33+HU33+IA33+IG33+IM33+IQ33+IY33+JC33</f>
        <v>3300</v>
      </c>
      <c r="JH33" s="83"/>
      <c r="JI33" s="102"/>
      <c r="JJ33" s="66">
        <f t="shared" si="338"/>
        <v>0</v>
      </c>
      <c r="JK33" s="66">
        <f t="shared" si="339"/>
        <v>0</v>
      </c>
      <c r="JM33" s="102">
        <f t="shared" ref="JM33:JM59" si="450">MAX(IW33,IS33,IO33,IK33,IE33,HY33,HS33,HP33)</f>
        <v>0</v>
      </c>
      <c r="JO33" s="29">
        <f t="shared" ref="JO33:JO59" si="451">SUM(JQ33:KB33)</f>
        <v>0</v>
      </c>
      <c r="JP33" s="122">
        <f t="shared" si="340"/>
        <v>0</v>
      </c>
      <c r="JQ33" s="122">
        <f t="shared" si="341"/>
        <v>0</v>
      </c>
      <c r="JR33" s="122">
        <f t="shared" si="342"/>
        <v>0</v>
      </c>
      <c r="JS33" s="122">
        <f t="shared" si="343"/>
        <v>0</v>
      </c>
      <c r="JT33" s="122">
        <f t="shared" si="344"/>
        <v>0</v>
      </c>
      <c r="JU33" s="122">
        <f t="shared" si="345"/>
        <v>0</v>
      </c>
      <c r="JV33" s="122">
        <f t="shared" si="346"/>
        <v>0</v>
      </c>
      <c r="JW33" s="122">
        <f t="shared" si="347"/>
        <v>0</v>
      </c>
      <c r="JX33" s="122">
        <f t="shared" si="348"/>
        <v>0</v>
      </c>
      <c r="JY33" s="122">
        <f t="shared" si="349"/>
        <v>0</v>
      </c>
      <c r="JZ33" s="122">
        <f t="shared" si="350"/>
        <v>0</v>
      </c>
      <c r="KA33" s="122">
        <f t="shared" si="351"/>
        <v>0</v>
      </c>
      <c r="KB33" s="122">
        <f t="shared" si="352"/>
        <v>0</v>
      </c>
      <c r="KD33" s="122">
        <f t="shared" si="164"/>
        <v>0</v>
      </c>
      <c r="KE33" s="122">
        <f t="shared" si="102"/>
        <v>0</v>
      </c>
      <c r="KF33" s="122">
        <f t="shared" si="353"/>
        <v>0</v>
      </c>
      <c r="KG33" s="122">
        <f t="shared" si="354"/>
        <v>0</v>
      </c>
      <c r="KH33" s="122">
        <f t="shared" si="355"/>
        <v>0</v>
      </c>
      <c r="KI33" s="122">
        <f t="shared" si="356"/>
        <v>0</v>
      </c>
      <c r="KJ33" s="122">
        <f t="shared" si="357"/>
        <v>0</v>
      </c>
      <c r="KK33" s="122">
        <f t="shared" si="358"/>
        <v>0</v>
      </c>
      <c r="KL33" s="122">
        <f t="shared" si="359"/>
        <v>0</v>
      </c>
      <c r="KM33" s="122">
        <f t="shared" si="360"/>
        <v>0</v>
      </c>
      <c r="KN33" s="123">
        <f t="shared" si="361"/>
        <v>0</v>
      </c>
      <c r="KO33" s="123">
        <f t="shared" si="362"/>
        <v>0</v>
      </c>
      <c r="KP33" s="123">
        <f t="shared" si="363"/>
        <v>0</v>
      </c>
      <c r="KQ33" s="123">
        <f t="shared" si="364"/>
        <v>0</v>
      </c>
      <c r="KR33" s="123">
        <f t="shared" si="365"/>
        <v>0</v>
      </c>
      <c r="KS33">
        <v>2</v>
      </c>
      <c r="KT33">
        <f t="shared" si="366"/>
        <v>1</v>
      </c>
      <c r="KU33" s="123"/>
      <c r="KV33" s="123"/>
      <c r="KW33" s="123"/>
      <c r="KX33" s="123"/>
      <c r="KY33" s="123"/>
      <c r="KZ33" s="123"/>
      <c r="LA33" s="123"/>
      <c r="LB33" s="123"/>
      <c r="LC33" s="123"/>
      <c r="LD33" s="123"/>
      <c r="LE33" s="123"/>
      <c r="LF33" s="123"/>
      <c r="LG33" s="123"/>
      <c r="LH33" s="123"/>
      <c r="LI33" s="123"/>
      <c r="LJ33" s="123"/>
      <c r="LK33" s="123"/>
      <c r="LL33" s="123"/>
      <c r="LM33" s="123"/>
      <c r="LN33" s="123"/>
      <c r="LO33" s="123"/>
      <c r="LP33" s="123"/>
      <c r="LQ33" s="123"/>
      <c r="LR33" s="123"/>
      <c r="LS33" s="123"/>
      <c r="LT33" s="123"/>
      <c r="LU33" s="123"/>
      <c r="LV33" s="123"/>
      <c r="LW33" s="123"/>
      <c r="LX33" s="123"/>
      <c r="LY33" s="123"/>
      <c r="LZ33" s="123"/>
      <c r="MA33" s="123"/>
      <c r="MB33" s="123"/>
      <c r="MC33" s="123"/>
      <c r="MD33" s="123"/>
      <c r="ME33" s="123"/>
      <c r="MF33" s="123"/>
      <c r="MG33" s="123"/>
      <c r="MH33" s="123"/>
      <c r="MI33" s="123"/>
      <c r="MJ33" s="123"/>
      <c r="MK33" s="123"/>
      <c r="ML33" s="123"/>
      <c r="MM33" s="123"/>
      <c r="MN33" s="123"/>
      <c r="MO33" s="123"/>
      <c r="MP33" s="123"/>
      <c r="MQ33" s="123"/>
      <c r="MR33" s="123"/>
      <c r="MS33" s="123"/>
      <c r="MT33" s="123"/>
      <c r="MU33" s="123"/>
      <c r="MV33" s="123"/>
      <c r="MW33" s="123"/>
      <c r="MX33" s="123"/>
      <c r="MY33" s="123"/>
      <c r="MZ33" s="123"/>
      <c r="NA33" s="123"/>
      <c r="NB33" s="123"/>
      <c r="NC33" s="123"/>
      <c r="ND33" s="123"/>
      <c r="NE33" s="123"/>
      <c r="NF33" s="123"/>
      <c r="NG33" s="123"/>
      <c r="NH33" s="123"/>
      <c r="NI33" s="123"/>
      <c r="NJ33" s="123"/>
      <c r="NK33" s="123"/>
      <c r="NM33">
        <f t="shared" ref="NM33:NM59" si="452">IF(KS33=1,1,0)</f>
        <v>0</v>
      </c>
      <c r="NN33">
        <f t="shared" ref="NN33:NN59" si="453">IF(KS33=2,1,0)</f>
        <v>1</v>
      </c>
      <c r="NO33">
        <f t="shared" ref="NO33:NO59" si="454">IF(KS33=3,1,0)</f>
        <v>0</v>
      </c>
      <c r="NP33">
        <f t="shared" ref="NP33:NP59" si="455">IF(KS33=4,1,0)</f>
        <v>0</v>
      </c>
      <c r="NQ33">
        <f t="shared" ref="NQ33:NQ59" si="456">IF(KS33=5,1,0)</f>
        <v>0</v>
      </c>
      <c r="NR33">
        <f t="shared" ref="NR33:NR59" si="457">IF(KS33=6,1,0)</f>
        <v>0</v>
      </c>
      <c r="NS33">
        <f t="shared" ref="NS33:NS59" si="458">IF(KS33=7,1,0)</f>
        <v>0</v>
      </c>
      <c r="NT33">
        <f t="shared" ref="NT33:NT59" si="459">SUM(NM33:NS33)</f>
        <v>1</v>
      </c>
      <c r="NU33" s="29">
        <f t="shared" ref="NU33:NU59" si="460">NT33-KT33</f>
        <v>0</v>
      </c>
      <c r="NY33" s="17">
        <f t="shared" si="118"/>
        <v>0</v>
      </c>
      <c r="OE33" s="155">
        <f t="shared" si="119"/>
        <v>0</v>
      </c>
      <c r="OF33" s="155">
        <f t="shared" ref="OF33:OF59" si="461">D33-N33</f>
        <v>0</v>
      </c>
      <c r="OG33" s="155">
        <f t="shared" ref="OG33:OG59" si="462">AN33</f>
        <v>1</v>
      </c>
      <c r="OH33" s="155">
        <f t="shared" ref="OH33:OH59" si="463">HE33</f>
        <v>0</v>
      </c>
      <c r="OI33" s="155">
        <f t="shared" ref="OI33:OI59" si="464">D33-R33</f>
        <v>1</v>
      </c>
      <c r="OJ33" s="67">
        <f t="shared" ref="OJ33:OJ59" si="465">IF(OG33=1,OF33,0)</f>
        <v>0</v>
      </c>
      <c r="OK33" s="67">
        <f t="shared" ref="OK33:OK59" si="466">IF(OH33=1,OF33,0)</f>
        <v>0</v>
      </c>
      <c r="OL33" s="67">
        <f t="shared" ref="OL33:OL59" si="467">IF((OG33+OH33)=0,OF33,0)</f>
        <v>0</v>
      </c>
      <c r="OM33" s="67">
        <f t="shared" ref="OM33:OM59" si="468">SUM(OJ33:OL33)</f>
        <v>0</v>
      </c>
      <c r="OO33" s="155">
        <f t="shared" ref="OO33:OO59" si="469">E33-K33</f>
        <v>0</v>
      </c>
      <c r="OP33" s="155">
        <f t="shared" ref="OP33:OP59" si="470">E33-O33</f>
        <v>0</v>
      </c>
      <c r="OQ33" s="155">
        <f t="shared" ref="OQ33:OQ59" si="471">OG33</f>
        <v>1</v>
      </c>
      <c r="OR33" s="155">
        <f t="shared" ref="OR33:OR59" si="472">OH33</f>
        <v>0</v>
      </c>
      <c r="OS33" s="155">
        <f t="shared" ref="OS33:OS59" si="473">OI33</f>
        <v>1</v>
      </c>
      <c r="OT33" s="67">
        <f t="shared" ref="OT33:OT59" si="474">IF(OQ33=1,OP33,0)</f>
        <v>0</v>
      </c>
      <c r="OU33" s="67">
        <f t="shared" ref="OU33:OU59" si="475">IF(OR33=1,OP33,0)</f>
        <v>0</v>
      </c>
      <c r="OV33" s="67">
        <f t="shared" ref="OV33:OV59" si="476">IF((OQ33+OR33)=0,OP33,0)</f>
        <v>0</v>
      </c>
      <c r="OW33" s="67">
        <f t="shared" ref="OW33:OW59" si="477">SUM(OT33:OV33)</f>
        <v>0</v>
      </c>
      <c r="OZ33" s="163"/>
      <c r="PA33" s="166"/>
      <c r="PB33" s="166">
        <v>1</v>
      </c>
      <c r="PC33" s="166">
        <v>1</v>
      </c>
      <c r="PD33" s="210">
        <f t="shared" si="125"/>
        <v>0</v>
      </c>
      <c r="PE33" s="210"/>
      <c r="PF33" s="210">
        <f t="shared" si="126"/>
        <v>0</v>
      </c>
      <c r="PG33" s="210">
        <f t="shared" si="127"/>
        <v>0</v>
      </c>
      <c r="PH33" s="210">
        <f t="shared" si="127"/>
        <v>3300</v>
      </c>
      <c r="PI33" s="210">
        <f t="shared" si="127"/>
        <v>3300</v>
      </c>
      <c r="PJ33" s="210">
        <f t="shared" si="127"/>
        <v>0</v>
      </c>
      <c r="PK33" s="210">
        <f t="shared" si="127"/>
        <v>0</v>
      </c>
      <c r="PL33" s="210">
        <f t="shared" si="127"/>
        <v>0</v>
      </c>
      <c r="PM33" s="164"/>
      <c r="PN33" s="164"/>
      <c r="PO33" s="172">
        <f t="shared" si="186"/>
        <v>0</v>
      </c>
      <c r="PP33" s="172">
        <f t="shared" si="187"/>
        <v>0</v>
      </c>
      <c r="PQ33" s="172">
        <f t="shared" si="188"/>
        <v>0</v>
      </c>
      <c r="PR33" s="164"/>
      <c r="PS33" s="164"/>
      <c r="PT33" s="164"/>
      <c r="PU33" s="164"/>
    </row>
    <row r="34" spans="1:437" ht="16" x14ac:dyDescent="0.2">
      <c r="A34" s="19">
        <f t="shared" si="189"/>
        <v>26</v>
      </c>
      <c r="B34" s="158" t="s">
        <v>688</v>
      </c>
      <c r="C34" s="186">
        <v>2</v>
      </c>
      <c r="D34" s="188">
        <v>1</v>
      </c>
      <c r="E34" s="188">
        <v>529</v>
      </c>
      <c r="F34" s="188">
        <v>1</v>
      </c>
      <c r="G34" s="188">
        <f t="shared" ref="G34:G59" si="478">E34</f>
        <v>529</v>
      </c>
      <c r="H34" s="214">
        <f t="shared" si="368"/>
        <v>1</v>
      </c>
      <c r="I34" s="214">
        <f t="shared" si="369"/>
        <v>1</v>
      </c>
      <c r="J34" s="188">
        <v>1</v>
      </c>
      <c r="K34" s="188">
        <f t="shared" si="370"/>
        <v>529</v>
      </c>
      <c r="L34" s="214">
        <f t="shared" si="371"/>
        <v>1</v>
      </c>
      <c r="M34" s="214">
        <f t="shared" si="372"/>
        <v>1</v>
      </c>
      <c r="N34" s="188">
        <v>1</v>
      </c>
      <c r="O34" s="188">
        <f t="shared" si="373"/>
        <v>529</v>
      </c>
      <c r="P34" s="214">
        <f t="shared" si="374"/>
        <v>1</v>
      </c>
      <c r="Q34" s="214">
        <f t="shared" si="375"/>
        <v>1</v>
      </c>
      <c r="R34" s="188">
        <v>0</v>
      </c>
      <c r="S34" s="188">
        <f t="shared" si="376"/>
        <v>0</v>
      </c>
      <c r="T34" s="214">
        <f t="shared" si="377"/>
        <v>0</v>
      </c>
      <c r="U34" s="214">
        <f t="shared" si="378"/>
        <v>0</v>
      </c>
      <c r="V34" s="188">
        <v>0</v>
      </c>
      <c r="W34" s="188">
        <f t="shared" si="379"/>
        <v>0</v>
      </c>
      <c r="X34" s="214">
        <f t="shared" si="380"/>
        <v>0</v>
      </c>
      <c r="Y34" s="214">
        <f t="shared" si="381"/>
        <v>0</v>
      </c>
      <c r="Z34" s="271">
        <v>0</v>
      </c>
      <c r="AA34" s="188"/>
      <c r="AB34" s="189">
        <f t="shared" si="382"/>
        <v>0</v>
      </c>
      <c r="AC34" s="250">
        <f t="shared" si="383"/>
        <v>0</v>
      </c>
      <c r="AD34" s="18">
        <f t="shared" si="384"/>
        <v>0</v>
      </c>
      <c r="AE34" s="20"/>
      <c r="AF34" s="20">
        <f t="shared" si="385"/>
        <v>0</v>
      </c>
      <c r="AG34" s="20"/>
      <c r="AH34" s="20"/>
      <c r="AI34" s="20">
        <v>0</v>
      </c>
      <c r="AJ34" s="20">
        <f t="shared" si="386"/>
        <v>0</v>
      </c>
      <c r="AK34" s="20"/>
      <c r="AL34" s="20">
        <v>0</v>
      </c>
      <c r="AM34" s="20">
        <v>0</v>
      </c>
      <c r="AN34" s="139">
        <v>1</v>
      </c>
      <c r="BB34" s="20">
        <f t="shared" ref="BB34:BB59" si="479">IF(AN34=1,E34,0)</f>
        <v>529</v>
      </c>
      <c r="BE34" s="20">
        <f t="shared" si="387"/>
        <v>0</v>
      </c>
      <c r="BF34" s="20">
        <f t="shared" si="388"/>
        <v>0</v>
      </c>
      <c r="BG34" s="20">
        <f t="shared" si="389"/>
        <v>0</v>
      </c>
      <c r="BH34" s="20">
        <f t="shared" si="390"/>
        <v>0</v>
      </c>
      <c r="BI34" s="20">
        <f t="shared" si="391"/>
        <v>0</v>
      </c>
      <c r="BJ34" s="20">
        <f t="shared" si="392"/>
        <v>0</v>
      </c>
      <c r="BK34" s="20">
        <f t="shared" si="393"/>
        <v>0</v>
      </c>
      <c r="BN34" s="143"/>
      <c r="BO34" s="126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B34" s="139"/>
      <c r="CD34" s="17">
        <f t="shared" si="394"/>
        <v>0</v>
      </c>
      <c r="CE34" s="17">
        <f t="shared" si="395"/>
        <v>0</v>
      </c>
      <c r="CF34" s="20">
        <f t="shared" si="396"/>
        <v>0</v>
      </c>
      <c r="CG34" s="20">
        <f t="shared" si="397"/>
        <v>0</v>
      </c>
      <c r="CH34" s="20">
        <f t="shared" si="398"/>
        <v>0</v>
      </c>
      <c r="CI34" s="20">
        <f t="shared" si="399"/>
        <v>0</v>
      </c>
      <c r="CJ34" s="20">
        <f t="shared" si="400"/>
        <v>0</v>
      </c>
      <c r="CK34" s="20">
        <f t="shared" si="401"/>
        <v>0</v>
      </c>
      <c r="CL34" s="20">
        <f t="shared" si="402"/>
        <v>0</v>
      </c>
      <c r="CM34" s="20">
        <f t="shared" si="403"/>
        <v>0</v>
      </c>
      <c r="CN34" s="20">
        <f t="shared" si="404"/>
        <v>0</v>
      </c>
      <c r="CO34" s="20">
        <f t="shared" si="405"/>
        <v>0</v>
      </c>
      <c r="CP34" s="20">
        <f t="shared" si="406"/>
        <v>0</v>
      </c>
      <c r="DV34" s="20">
        <f t="shared" si="407"/>
        <v>0</v>
      </c>
      <c r="DW34" s="20">
        <f t="shared" si="408"/>
        <v>0</v>
      </c>
      <c r="DX34" s="20">
        <f t="shared" si="409"/>
        <v>0</v>
      </c>
      <c r="DY34" s="20">
        <f t="shared" si="410"/>
        <v>0</v>
      </c>
      <c r="DZ34" s="20">
        <f t="shared" si="411"/>
        <v>0</v>
      </c>
      <c r="EA34" s="20">
        <f t="shared" si="412"/>
        <v>0</v>
      </c>
      <c r="EB34" s="20">
        <f t="shared" si="413"/>
        <v>0</v>
      </c>
      <c r="EG34" s="57">
        <f t="shared" si="414"/>
        <v>0</v>
      </c>
      <c r="EH34" s="57">
        <f t="shared" si="415"/>
        <v>0</v>
      </c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X34" s="80"/>
      <c r="FY34" s="17">
        <f t="shared" si="416"/>
        <v>0</v>
      </c>
      <c r="FZ34" s="17">
        <f t="shared" si="309"/>
        <v>0</v>
      </c>
      <c r="GA34" s="17">
        <f t="shared" si="310"/>
        <v>0</v>
      </c>
      <c r="GB34" s="17">
        <f t="shared" si="311"/>
        <v>0</v>
      </c>
      <c r="GC34" s="17">
        <f t="shared" si="312"/>
        <v>0</v>
      </c>
      <c r="GD34" s="17">
        <f t="shared" si="313"/>
        <v>0</v>
      </c>
      <c r="GE34" s="17">
        <f t="shared" si="314"/>
        <v>0</v>
      </c>
      <c r="GF34" s="67"/>
      <c r="GG34" s="17">
        <v>0</v>
      </c>
      <c r="GH34" s="17">
        <v>0</v>
      </c>
      <c r="GI34" s="67"/>
      <c r="GJ34" s="62">
        <f t="shared" si="417"/>
        <v>0</v>
      </c>
      <c r="GK34" s="62">
        <f t="shared" si="418"/>
        <v>0</v>
      </c>
      <c r="GO34" s="17">
        <f t="shared" si="315"/>
        <v>0</v>
      </c>
      <c r="GP34" s="17">
        <f t="shared" si="316"/>
        <v>0</v>
      </c>
      <c r="GQ34" s="17">
        <f t="shared" si="317"/>
        <v>0</v>
      </c>
      <c r="GR34" s="17">
        <f t="shared" si="318"/>
        <v>1</v>
      </c>
      <c r="GS34" s="17">
        <f t="shared" si="319"/>
        <v>1</v>
      </c>
      <c r="GT34" s="17">
        <f t="shared" si="419"/>
        <v>0</v>
      </c>
      <c r="GU34" s="101">
        <f t="shared" si="143"/>
        <v>43243</v>
      </c>
      <c r="GV34" s="17" t="str">
        <f t="shared" si="420"/>
        <v>Musyawarah</v>
      </c>
      <c r="GW34" s="17">
        <f t="shared" si="421"/>
        <v>1</v>
      </c>
      <c r="GX34" s="66" t="str">
        <f t="shared" si="422"/>
        <v>Musyawarah</v>
      </c>
      <c r="GY34" s="66">
        <f t="shared" si="423"/>
        <v>24</v>
      </c>
      <c r="GZ34" s="102">
        <f t="shared" si="424"/>
        <v>43267</v>
      </c>
      <c r="HA34" s="83"/>
      <c r="HB34" s="83"/>
      <c r="HC34" s="17">
        <f t="shared" si="320"/>
        <v>0</v>
      </c>
      <c r="HD34" s="17">
        <f t="shared" si="321"/>
        <v>0</v>
      </c>
      <c r="HE34" s="17">
        <f t="shared" si="425"/>
        <v>0</v>
      </c>
      <c r="HF34" s="17">
        <f t="shared" si="426"/>
        <v>0</v>
      </c>
      <c r="HG34" s="17">
        <f t="shared" si="427"/>
        <v>0</v>
      </c>
      <c r="HH34" s="101" t="str">
        <f t="shared" si="428"/>
        <v>TIDAK KONSINYASI</v>
      </c>
      <c r="HI34" s="101">
        <f t="shared" si="429"/>
        <v>43312</v>
      </c>
      <c r="HJ34" s="27"/>
      <c r="HK34" s="101">
        <f t="shared" si="430"/>
        <v>43312</v>
      </c>
      <c r="HL34" s="83"/>
      <c r="HM34" s="83"/>
      <c r="HN34" s="83"/>
      <c r="HO34" s="83"/>
      <c r="HP34" s="102">
        <f t="shared" si="431"/>
        <v>0</v>
      </c>
      <c r="HQ34" s="66">
        <f t="shared" si="432"/>
        <v>0</v>
      </c>
      <c r="HR34" s="66">
        <f t="shared" si="322"/>
        <v>0</v>
      </c>
      <c r="HS34" s="102">
        <f t="shared" si="433"/>
        <v>0</v>
      </c>
      <c r="HT34" s="66">
        <f t="shared" si="434"/>
        <v>0</v>
      </c>
      <c r="HU34" s="66">
        <f t="shared" si="323"/>
        <v>0</v>
      </c>
      <c r="HV34" s="102">
        <f t="shared" si="435"/>
        <v>0</v>
      </c>
      <c r="HW34" s="66">
        <f t="shared" si="436"/>
        <v>0</v>
      </c>
      <c r="HX34" s="66">
        <f t="shared" si="324"/>
        <v>0</v>
      </c>
      <c r="HY34" s="102">
        <f t="shared" si="437"/>
        <v>0</v>
      </c>
      <c r="HZ34" s="66">
        <f t="shared" si="438"/>
        <v>0</v>
      </c>
      <c r="IA34" s="66">
        <f t="shared" si="325"/>
        <v>0</v>
      </c>
      <c r="IB34" s="102">
        <f t="shared" si="439"/>
        <v>0</v>
      </c>
      <c r="IC34" s="66">
        <f t="shared" si="440"/>
        <v>0</v>
      </c>
      <c r="ID34" s="66">
        <f t="shared" si="326"/>
        <v>0</v>
      </c>
      <c r="IE34" s="102">
        <f t="shared" si="441"/>
        <v>0</v>
      </c>
      <c r="IF34" s="66">
        <f t="shared" si="442"/>
        <v>0</v>
      </c>
      <c r="IG34" s="66">
        <f t="shared" si="327"/>
        <v>0</v>
      </c>
      <c r="IH34" s="102">
        <f t="shared" si="443"/>
        <v>0</v>
      </c>
      <c r="II34" s="66">
        <f t="shared" si="444"/>
        <v>0</v>
      </c>
      <c r="IJ34" s="66">
        <f t="shared" si="328"/>
        <v>0</v>
      </c>
      <c r="IK34" s="102">
        <f t="shared" si="445"/>
        <v>0</v>
      </c>
      <c r="IL34" s="66">
        <f t="shared" si="446"/>
        <v>0</v>
      </c>
      <c r="IM34" s="66">
        <f t="shared" si="329"/>
        <v>0</v>
      </c>
      <c r="IN34" s="83"/>
      <c r="IO34" s="102">
        <f t="shared" si="447"/>
        <v>0</v>
      </c>
      <c r="IP34" s="66">
        <f t="shared" si="330"/>
        <v>0</v>
      </c>
      <c r="IQ34" s="66">
        <f t="shared" si="331"/>
        <v>0</v>
      </c>
      <c r="IR34" s="83"/>
      <c r="IS34" s="102"/>
      <c r="IT34" s="66">
        <f t="shared" si="332"/>
        <v>0</v>
      </c>
      <c r="IU34" s="66">
        <f t="shared" si="333"/>
        <v>0</v>
      </c>
      <c r="IV34" s="83"/>
      <c r="IW34" s="102"/>
      <c r="IX34" s="66">
        <f t="shared" si="334"/>
        <v>0</v>
      </c>
      <c r="IY34" s="66">
        <f t="shared" si="335"/>
        <v>0</v>
      </c>
      <c r="IZ34" s="83"/>
      <c r="JA34" s="102"/>
      <c r="JB34" s="66">
        <f t="shared" si="336"/>
        <v>1</v>
      </c>
      <c r="JC34" s="66">
        <f t="shared" si="337"/>
        <v>529</v>
      </c>
      <c r="JD34" s="83"/>
      <c r="JE34" s="102"/>
      <c r="JF34" s="66">
        <f t="shared" si="448"/>
        <v>1</v>
      </c>
      <c r="JG34" s="66">
        <f t="shared" si="449"/>
        <v>529</v>
      </c>
      <c r="JH34" s="83"/>
      <c r="JI34" s="102"/>
      <c r="JJ34" s="66">
        <f t="shared" si="338"/>
        <v>0</v>
      </c>
      <c r="JK34" s="66">
        <f t="shared" si="339"/>
        <v>0</v>
      </c>
      <c r="JM34" s="102">
        <f t="shared" si="450"/>
        <v>0</v>
      </c>
      <c r="JO34" s="29">
        <f t="shared" si="451"/>
        <v>0</v>
      </c>
      <c r="JP34" s="122">
        <f t="shared" si="340"/>
        <v>0</v>
      </c>
      <c r="JQ34" s="122">
        <f t="shared" si="341"/>
        <v>0</v>
      </c>
      <c r="JR34" s="122">
        <f t="shared" si="342"/>
        <v>0</v>
      </c>
      <c r="JS34" s="122">
        <f t="shared" si="343"/>
        <v>0</v>
      </c>
      <c r="JT34" s="122">
        <f t="shared" si="344"/>
        <v>0</v>
      </c>
      <c r="JU34" s="122">
        <f t="shared" si="345"/>
        <v>0</v>
      </c>
      <c r="JV34" s="122">
        <f t="shared" si="346"/>
        <v>0</v>
      </c>
      <c r="JW34" s="122">
        <f t="shared" si="347"/>
        <v>0</v>
      </c>
      <c r="JX34" s="122">
        <f t="shared" si="348"/>
        <v>0</v>
      </c>
      <c r="JY34" s="122">
        <f t="shared" si="349"/>
        <v>0</v>
      </c>
      <c r="JZ34" s="122">
        <f t="shared" si="350"/>
        <v>0</v>
      </c>
      <c r="KA34" s="122">
        <f t="shared" si="351"/>
        <v>0</v>
      </c>
      <c r="KB34" s="122">
        <f t="shared" si="352"/>
        <v>0</v>
      </c>
      <c r="KD34" s="122">
        <f t="shared" si="164"/>
        <v>0</v>
      </c>
      <c r="KE34" s="122">
        <f t="shared" si="102"/>
        <v>0</v>
      </c>
      <c r="KF34" s="122">
        <f t="shared" si="353"/>
        <v>0</v>
      </c>
      <c r="KG34" s="122">
        <f t="shared" si="354"/>
        <v>0</v>
      </c>
      <c r="KH34" s="122">
        <f t="shared" si="355"/>
        <v>0</v>
      </c>
      <c r="KI34" s="122">
        <f t="shared" si="356"/>
        <v>0</v>
      </c>
      <c r="KJ34" s="122">
        <f t="shared" si="357"/>
        <v>0</v>
      </c>
      <c r="KK34" s="122">
        <f t="shared" si="358"/>
        <v>0</v>
      </c>
      <c r="KL34" s="122">
        <f t="shared" si="359"/>
        <v>0</v>
      </c>
      <c r="KM34" s="122">
        <f t="shared" si="360"/>
        <v>0</v>
      </c>
      <c r="KN34" s="123">
        <f t="shared" si="361"/>
        <v>0</v>
      </c>
      <c r="KO34" s="123">
        <f t="shared" si="362"/>
        <v>0</v>
      </c>
      <c r="KP34" s="123">
        <f t="shared" si="363"/>
        <v>0</v>
      </c>
      <c r="KQ34" s="123">
        <f t="shared" si="364"/>
        <v>0</v>
      </c>
      <c r="KR34" s="123">
        <f t="shared" si="365"/>
        <v>0</v>
      </c>
      <c r="KS34">
        <v>7</v>
      </c>
      <c r="KT34">
        <f t="shared" si="366"/>
        <v>1</v>
      </c>
      <c r="KU34" s="123"/>
      <c r="KV34" s="123"/>
      <c r="KW34" s="123"/>
      <c r="KX34" s="123"/>
      <c r="KY34" s="123"/>
      <c r="KZ34" s="123"/>
      <c r="LA34" s="123"/>
      <c r="LB34" s="123"/>
      <c r="LC34" s="123"/>
      <c r="LD34" s="123"/>
      <c r="LE34" s="123"/>
      <c r="LF34" s="123"/>
      <c r="LG34" s="123"/>
      <c r="LH34" s="123"/>
      <c r="LI34" s="123"/>
      <c r="LJ34" s="123"/>
      <c r="LK34" s="123"/>
      <c r="LL34" s="123"/>
      <c r="LM34" s="123"/>
      <c r="LN34" s="123"/>
      <c r="LO34" s="123"/>
      <c r="LP34" s="123"/>
      <c r="LQ34" s="123"/>
      <c r="LR34" s="123"/>
      <c r="LS34" s="123"/>
      <c r="LT34" s="123"/>
      <c r="LU34" s="123"/>
      <c r="LV34" s="123"/>
      <c r="LW34" s="123"/>
      <c r="LX34" s="123"/>
      <c r="LY34" s="123"/>
      <c r="LZ34" s="123"/>
      <c r="MA34" s="123"/>
      <c r="MB34" s="123"/>
      <c r="MC34" s="123"/>
      <c r="MD34" s="123"/>
      <c r="ME34" s="123"/>
      <c r="MF34" s="123"/>
      <c r="MG34" s="123"/>
      <c r="MH34" s="123"/>
      <c r="MI34" s="123"/>
      <c r="MJ34" s="123"/>
      <c r="MK34" s="123"/>
      <c r="ML34" s="123"/>
      <c r="MM34" s="123"/>
      <c r="MN34" s="123"/>
      <c r="MO34" s="123"/>
      <c r="MP34" s="123"/>
      <c r="MQ34" s="123"/>
      <c r="MR34" s="123"/>
      <c r="MS34" s="123"/>
      <c r="MT34" s="123"/>
      <c r="MU34" s="123"/>
      <c r="MV34" s="123"/>
      <c r="MW34" s="123"/>
      <c r="MX34" s="123"/>
      <c r="MY34" s="123"/>
      <c r="MZ34" s="123"/>
      <c r="NA34" s="123"/>
      <c r="NB34" s="123"/>
      <c r="NC34" s="123"/>
      <c r="ND34" s="123"/>
      <c r="NE34" s="123"/>
      <c r="NF34" s="123"/>
      <c r="NG34" s="123"/>
      <c r="NH34" s="123"/>
      <c r="NI34" s="123"/>
      <c r="NJ34" s="123"/>
      <c r="NK34" s="123"/>
      <c r="NM34">
        <f t="shared" si="452"/>
        <v>0</v>
      </c>
      <c r="NN34">
        <f t="shared" si="453"/>
        <v>0</v>
      </c>
      <c r="NO34">
        <f t="shared" si="454"/>
        <v>0</v>
      </c>
      <c r="NP34">
        <f t="shared" si="455"/>
        <v>0</v>
      </c>
      <c r="NQ34">
        <f t="shared" si="456"/>
        <v>0</v>
      </c>
      <c r="NR34">
        <f t="shared" si="457"/>
        <v>0</v>
      </c>
      <c r="NS34">
        <f t="shared" si="458"/>
        <v>1</v>
      </c>
      <c r="NT34">
        <f t="shared" si="459"/>
        <v>1</v>
      </c>
      <c r="NU34" s="29">
        <f t="shared" si="460"/>
        <v>0</v>
      </c>
      <c r="NY34" s="17">
        <f t="shared" si="118"/>
        <v>0</v>
      </c>
      <c r="OE34" s="155"/>
      <c r="OF34" s="155">
        <f t="shared" si="461"/>
        <v>0</v>
      </c>
      <c r="OG34" s="155">
        <f t="shared" si="462"/>
        <v>1</v>
      </c>
      <c r="OH34" s="155">
        <f t="shared" si="463"/>
        <v>0</v>
      </c>
      <c r="OI34" s="155">
        <f t="shared" si="464"/>
        <v>1</v>
      </c>
      <c r="OJ34" s="67">
        <f t="shared" si="465"/>
        <v>0</v>
      </c>
      <c r="OK34" s="67">
        <f t="shared" si="466"/>
        <v>0</v>
      </c>
      <c r="OL34" s="67">
        <f t="shared" si="467"/>
        <v>0</v>
      </c>
      <c r="OM34" s="67">
        <f t="shared" si="468"/>
        <v>0</v>
      </c>
      <c r="OO34" s="155">
        <f t="shared" si="469"/>
        <v>0</v>
      </c>
      <c r="OP34" s="155">
        <f t="shared" si="470"/>
        <v>0</v>
      </c>
      <c r="OQ34" s="155">
        <f t="shared" si="471"/>
        <v>1</v>
      </c>
      <c r="OR34" s="155">
        <f t="shared" si="472"/>
        <v>0</v>
      </c>
      <c r="OS34" s="155">
        <f t="shared" si="473"/>
        <v>1</v>
      </c>
      <c r="OT34" s="67">
        <f t="shared" si="474"/>
        <v>0</v>
      </c>
      <c r="OU34" s="67">
        <f t="shared" si="475"/>
        <v>0</v>
      </c>
      <c r="OV34" s="67">
        <f t="shared" si="476"/>
        <v>0</v>
      </c>
      <c r="OW34" s="67">
        <f t="shared" si="477"/>
        <v>0</v>
      </c>
      <c r="OZ34" s="163"/>
      <c r="PA34" s="166"/>
      <c r="PB34" s="166">
        <v>1</v>
      </c>
      <c r="PC34" s="166"/>
      <c r="PD34" s="210">
        <f t="shared" si="125"/>
        <v>1</v>
      </c>
      <c r="PE34" s="210">
        <v>1</v>
      </c>
      <c r="PF34" s="210">
        <f t="shared" si="126"/>
        <v>0</v>
      </c>
      <c r="PG34" s="210">
        <f t="shared" si="127"/>
        <v>0</v>
      </c>
      <c r="PH34" s="210">
        <f t="shared" si="127"/>
        <v>529</v>
      </c>
      <c r="PI34" s="210">
        <f t="shared" si="127"/>
        <v>0</v>
      </c>
      <c r="PJ34" s="210">
        <f t="shared" si="127"/>
        <v>529</v>
      </c>
      <c r="PK34" s="210">
        <f t="shared" si="127"/>
        <v>529</v>
      </c>
      <c r="PL34" s="210">
        <f t="shared" si="127"/>
        <v>0</v>
      </c>
      <c r="PM34" s="164"/>
      <c r="PN34" s="164"/>
      <c r="PO34" s="172">
        <f t="shared" si="186"/>
        <v>0</v>
      </c>
      <c r="PP34" s="172">
        <f t="shared" si="187"/>
        <v>0</v>
      </c>
      <c r="PQ34" s="172">
        <f t="shared" si="188"/>
        <v>0</v>
      </c>
      <c r="PR34" s="164"/>
      <c r="PS34" s="164"/>
      <c r="PT34" s="164"/>
      <c r="PU34" s="164"/>
    </row>
    <row r="35" spans="1:437" ht="16" x14ac:dyDescent="0.2">
      <c r="A35" s="19">
        <f t="shared" si="189"/>
        <v>27</v>
      </c>
      <c r="B35" s="158" t="s">
        <v>689</v>
      </c>
      <c r="C35" s="186">
        <v>3</v>
      </c>
      <c r="D35" s="188">
        <v>1</v>
      </c>
      <c r="E35" s="188">
        <v>240</v>
      </c>
      <c r="F35" s="188">
        <v>1</v>
      </c>
      <c r="G35" s="188">
        <f t="shared" si="478"/>
        <v>240</v>
      </c>
      <c r="H35" s="214">
        <f t="shared" si="368"/>
        <v>1</v>
      </c>
      <c r="I35" s="214">
        <f t="shared" si="369"/>
        <v>1</v>
      </c>
      <c r="J35" s="165">
        <v>1</v>
      </c>
      <c r="K35" s="188">
        <f t="shared" si="370"/>
        <v>240</v>
      </c>
      <c r="L35" s="214">
        <f t="shared" si="371"/>
        <v>1</v>
      </c>
      <c r="M35" s="214">
        <f t="shared" si="372"/>
        <v>1</v>
      </c>
      <c r="N35" s="165">
        <v>1</v>
      </c>
      <c r="O35" s="188">
        <f t="shared" si="373"/>
        <v>240</v>
      </c>
      <c r="P35" s="214">
        <f t="shared" si="374"/>
        <v>1</v>
      </c>
      <c r="Q35" s="214">
        <f t="shared" si="375"/>
        <v>1</v>
      </c>
      <c r="R35" s="188">
        <v>0</v>
      </c>
      <c r="S35" s="188">
        <f t="shared" si="376"/>
        <v>0</v>
      </c>
      <c r="T35" s="214">
        <f t="shared" si="377"/>
        <v>0</v>
      </c>
      <c r="U35" s="214">
        <f t="shared" si="378"/>
        <v>0</v>
      </c>
      <c r="V35" s="188">
        <v>0</v>
      </c>
      <c r="W35" s="188">
        <f t="shared" si="379"/>
        <v>0</v>
      </c>
      <c r="X35" s="214">
        <f t="shared" si="380"/>
        <v>0</v>
      </c>
      <c r="Y35" s="214">
        <f t="shared" si="381"/>
        <v>0</v>
      </c>
      <c r="Z35" s="271">
        <v>0</v>
      </c>
      <c r="AA35" s="188"/>
      <c r="AB35" s="189">
        <f t="shared" si="382"/>
        <v>0</v>
      </c>
      <c r="AC35" s="250">
        <f t="shared" si="383"/>
        <v>0</v>
      </c>
      <c r="AD35" s="18">
        <f t="shared" si="384"/>
        <v>0</v>
      </c>
      <c r="AE35" s="20"/>
      <c r="AF35" s="20">
        <f t="shared" si="385"/>
        <v>0</v>
      </c>
      <c r="AG35" s="20"/>
      <c r="AH35" s="20"/>
      <c r="AI35" s="20">
        <v>0</v>
      </c>
      <c r="AJ35" s="20">
        <f t="shared" si="386"/>
        <v>0</v>
      </c>
      <c r="AK35" s="20"/>
      <c r="AL35" s="20">
        <v>0</v>
      </c>
      <c r="AM35" s="20">
        <v>0</v>
      </c>
      <c r="AN35" s="139">
        <v>1</v>
      </c>
      <c r="BB35" s="20">
        <f t="shared" si="479"/>
        <v>240</v>
      </c>
      <c r="BE35" s="20">
        <f t="shared" si="387"/>
        <v>0</v>
      </c>
      <c r="BF35" s="20">
        <f t="shared" si="388"/>
        <v>0</v>
      </c>
      <c r="BG35" s="20">
        <f t="shared" si="389"/>
        <v>0</v>
      </c>
      <c r="BH35" s="20">
        <f t="shared" si="390"/>
        <v>0</v>
      </c>
      <c r="BI35" s="20">
        <f t="shared" si="391"/>
        <v>0</v>
      </c>
      <c r="BJ35" s="20">
        <f t="shared" si="392"/>
        <v>0</v>
      </c>
      <c r="BK35" s="20">
        <f t="shared" si="393"/>
        <v>0</v>
      </c>
      <c r="BN35" s="143"/>
      <c r="BO35" s="126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B35" s="139"/>
      <c r="CD35" s="17">
        <f t="shared" si="394"/>
        <v>0</v>
      </c>
      <c r="CE35" s="17">
        <f t="shared" si="395"/>
        <v>0</v>
      </c>
      <c r="CF35" s="20">
        <f t="shared" si="396"/>
        <v>0</v>
      </c>
      <c r="CG35" s="20">
        <f t="shared" si="397"/>
        <v>0</v>
      </c>
      <c r="CH35" s="20">
        <f t="shared" si="398"/>
        <v>0</v>
      </c>
      <c r="CI35" s="20">
        <f t="shared" si="399"/>
        <v>0</v>
      </c>
      <c r="CJ35" s="20">
        <f t="shared" si="400"/>
        <v>0</v>
      </c>
      <c r="CK35" s="20">
        <f t="shared" si="401"/>
        <v>0</v>
      </c>
      <c r="CL35" s="20">
        <f t="shared" si="402"/>
        <v>0</v>
      </c>
      <c r="CM35" s="20">
        <f t="shared" si="403"/>
        <v>0</v>
      </c>
      <c r="CN35" s="20">
        <f t="shared" si="404"/>
        <v>0</v>
      </c>
      <c r="CO35" s="20">
        <f t="shared" si="405"/>
        <v>0</v>
      </c>
      <c r="CP35" s="20">
        <f t="shared" si="406"/>
        <v>0</v>
      </c>
      <c r="DV35" s="20">
        <f t="shared" si="407"/>
        <v>0</v>
      </c>
      <c r="DW35" s="20">
        <f t="shared" si="408"/>
        <v>0</v>
      </c>
      <c r="DX35" s="20">
        <f t="shared" si="409"/>
        <v>0</v>
      </c>
      <c r="DY35" s="20">
        <f t="shared" si="410"/>
        <v>0</v>
      </c>
      <c r="DZ35" s="20">
        <f t="shared" si="411"/>
        <v>0</v>
      </c>
      <c r="EA35" s="20">
        <f t="shared" si="412"/>
        <v>0</v>
      </c>
      <c r="EB35" s="20">
        <f t="shared" si="413"/>
        <v>0</v>
      </c>
      <c r="EG35" s="57">
        <f t="shared" si="414"/>
        <v>0</v>
      </c>
      <c r="EH35" s="57">
        <f t="shared" si="415"/>
        <v>0</v>
      </c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X35" s="80"/>
      <c r="FY35" s="17">
        <f t="shared" si="416"/>
        <v>0</v>
      </c>
      <c r="FZ35" s="17">
        <f t="shared" si="309"/>
        <v>0</v>
      </c>
      <c r="GA35" s="17">
        <f t="shared" si="310"/>
        <v>0</v>
      </c>
      <c r="GB35" s="17">
        <f t="shared" si="311"/>
        <v>0</v>
      </c>
      <c r="GC35" s="17">
        <f t="shared" si="312"/>
        <v>0</v>
      </c>
      <c r="GD35" s="17">
        <f t="shared" si="313"/>
        <v>0</v>
      </c>
      <c r="GE35" s="17">
        <f t="shared" si="314"/>
        <v>0</v>
      </c>
      <c r="GF35" s="67"/>
      <c r="GG35" s="17">
        <v>0</v>
      </c>
      <c r="GH35" s="17">
        <v>0</v>
      </c>
      <c r="GI35" s="67"/>
      <c r="GJ35" s="62">
        <f t="shared" si="417"/>
        <v>0</v>
      </c>
      <c r="GK35" s="62">
        <f t="shared" si="418"/>
        <v>0</v>
      </c>
      <c r="GO35" s="17">
        <f t="shared" si="315"/>
        <v>0</v>
      </c>
      <c r="GP35" s="17">
        <f t="shared" si="316"/>
        <v>0</v>
      </c>
      <c r="GQ35" s="17">
        <f t="shared" si="317"/>
        <v>0</v>
      </c>
      <c r="GR35" s="17">
        <f t="shared" si="318"/>
        <v>1</v>
      </c>
      <c r="GS35" s="17">
        <f t="shared" si="319"/>
        <v>1</v>
      </c>
      <c r="GT35" s="17">
        <f t="shared" si="419"/>
        <v>0</v>
      </c>
      <c r="GU35" s="101">
        <f t="shared" si="143"/>
        <v>43243</v>
      </c>
      <c r="GV35" s="17" t="str">
        <f t="shared" si="420"/>
        <v>Musyawarah</v>
      </c>
      <c r="GW35" s="17">
        <f t="shared" si="421"/>
        <v>1</v>
      </c>
      <c r="GX35" s="66" t="str">
        <f t="shared" si="422"/>
        <v>Musyawarah</v>
      </c>
      <c r="GY35" s="66">
        <f t="shared" si="423"/>
        <v>24</v>
      </c>
      <c r="GZ35" s="102">
        <f t="shared" si="424"/>
        <v>43267</v>
      </c>
      <c r="HA35" s="83"/>
      <c r="HB35" s="83"/>
      <c r="HC35" s="17">
        <f t="shared" si="320"/>
        <v>0</v>
      </c>
      <c r="HD35" s="17">
        <f t="shared" si="321"/>
        <v>0</v>
      </c>
      <c r="HE35" s="17">
        <f t="shared" si="425"/>
        <v>0</v>
      </c>
      <c r="HF35" s="17">
        <f t="shared" si="426"/>
        <v>0</v>
      </c>
      <c r="HG35" s="17">
        <f t="shared" si="427"/>
        <v>0</v>
      </c>
      <c r="HH35" s="101" t="str">
        <f t="shared" si="428"/>
        <v>TIDAK KONSINYASI</v>
      </c>
      <c r="HI35" s="101">
        <f t="shared" si="429"/>
        <v>43312</v>
      </c>
      <c r="HJ35" s="27"/>
      <c r="HK35" s="101">
        <f t="shared" si="430"/>
        <v>43312</v>
      </c>
      <c r="HL35" s="83"/>
      <c r="HM35" s="83"/>
      <c r="HN35" s="83"/>
      <c r="HO35" s="83"/>
      <c r="HP35" s="102">
        <f t="shared" si="431"/>
        <v>0</v>
      </c>
      <c r="HQ35" s="66">
        <f t="shared" si="432"/>
        <v>0</v>
      </c>
      <c r="HR35" s="66">
        <f t="shared" si="322"/>
        <v>0</v>
      </c>
      <c r="HS35" s="102">
        <f t="shared" si="433"/>
        <v>0</v>
      </c>
      <c r="HT35" s="66">
        <f t="shared" si="434"/>
        <v>0</v>
      </c>
      <c r="HU35" s="66">
        <f t="shared" si="323"/>
        <v>0</v>
      </c>
      <c r="HV35" s="102">
        <f t="shared" si="435"/>
        <v>0</v>
      </c>
      <c r="HW35" s="66">
        <f t="shared" si="436"/>
        <v>0</v>
      </c>
      <c r="HX35" s="66">
        <f t="shared" si="324"/>
        <v>0</v>
      </c>
      <c r="HY35" s="102">
        <f t="shared" si="437"/>
        <v>0</v>
      </c>
      <c r="HZ35" s="66">
        <f t="shared" si="438"/>
        <v>0</v>
      </c>
      <c r="IA35" s="66">
        <f t="shared" si="325"/>
        <v>0</v>
      </c>
      <c r="IB35" s="102">
        <f t="shared" si="439"/>
        <v>0</v>
      </c>
      <c r="IC35" s="66">
        <f t="shared" si="440"/>
        <v>0</v>
      </c>
      <c r="ID35" s="66">
        <f t="shared" si="326"/>
        <v>0</v>
      </c>
      <c r="IE35" s="102">
        <f t="shared" si="441"/>
        <v>0</v>
      </c>
      <c r="IF35" s="66">
        <f t="shared" si="442"/>
        <v>0</v>
      </c>
      <c r="IG35" s="66">
        <f t="shared" si="327"/>
        <v>0</v>
      </c>
      <c r="IH35" s="102">
        <f t="shared" si="443"/>
        <v>0</v>
      </c>
      <c r="II35" s="66">
        <f t="shared" si="444"/>
        <v>0</v>
      </c>
      <c r="IJ35" s="66">
        <f t="shared" si="328"/>
        <v>0</v>
      </c>
      <c r="IK35" s="102">
        <f t="shared" si="445"/>
        <v>0</v>
      </c>
      <c r="IL35" s="66">
        <f t="shared" si="446"/>
        <v>0</v>
      </c>
      <c r="IM35" s="66">
        <f t="shared" si="329"/>
        <v>0</v>
      </c>
      <c r="IN35" s="83"/>
      <c r="IO35" s="102">
        <f t="shared" si="447"/>
        <v>0</v>
      </c>
      <c r="IP35" s="66">
        <f t="shared" si="330"/>
        <v>0</v>
      </c>
      <c r="IQ35" s="66">
        <f t="shared" si="331"/>
        <v>0</v>
      </c>
      <c r="IR35" s="83"/>
      <c r="IS35" s="102"/>
      <c r="IT35" s="66">
        <f t="shared" si="332"/>
        <v>0</v>
      </c>
      <c r="IU35" s="66">
        <f t="shared" si="333"/>
        <v>0</v>
      </c>
      <c r="IV35" s="83"/>
      <c r="IW35" s="102"/>
      <c r="IX35" s="66">
        <f t="shared" si="334"/>
        <v>0</v>
      </c>
      <c r="IY35" s="66">
        <f t="shared" si="335"/>
        <v>0</v>
      </c>
      <c r="IZ35" s="83"/>
      <c r="JA35" s="102"/>
      <c r="JB35" s="66">
        <f t="shared" si="336"/>
        <v>1</v>
      </c>
      <c r="JC35" s="66">
        <f t="shared" si="337"/>
        <v>240</v>
      </c>
      <c r="JD35" s="83"/>
      <c r="JE35" s="102"/>
      <c r="JF35" s="66">
        <f t="shared" si="448"/>
        <v>1</v>
      </c>
      <c r="JG35" s="66">
        <f t="shared" si="449"/>
        <v>240</v>
      </c>
      <c r="JH35" s="83"/>
      <c r="JI35" s="102"/>
      <c r="JJ35" s="66">
        <f t="shared" si="338"/>
        <v>0</v>
      </c>
      <c r="JK35" s="66">
        <f t="shared" si="339"/>
        <v>0</v>
      </c>
      <c r="JM35" s="102">
        <f t="shared" si="450"/>
        <v>0</v>
      </c>
      <c r="JO35" s="29">
        <f t="shared" si="451"/>
        <v>0</v>
      </c>
      <c r="JP35" s="122">
        <f t="shared" si="340"/>
        <v>0</v>
      </c>
      <c r="JQ35" s="122">
        <f t="shared" si="341"/>
        <v>0</v>
      </c>
      <c r="JR35" s="122">
        <f t="shared" si="342"/>
        <v>0</v>
      </c>
      <c r="JS35" s="122">
        <f t="shared" si="343"/>
        <v>0</v>
      </c>
      <c r="JT35" s="122">
        <f t="shared" si="344"/>
        <v>0</v>
      </c>
      <c r="JU35" s="122">
        <f t="shared" si="345"/>
        <v>0</v>
      </c>
      <c r="JV35" s="122">
        <f t="shared" si="346"/>
        <v>0</v>
      </c>
      <c r="JW35" s="122">
        <f t="shared" si="347"/>
        <v>0</v>
      </c>
      <c r="JX35" s="122">
        <f t="shared" si="348"/>
        <v>0</v>
      </c>
      <c r="JY35" s="122">
        <f t="shared" si="349"/>
        <v>0</v>
      </c>
      <c r="JZ35" s="122">
        <f t="shared" si="350"/>
        <v>0</v>
      </c>
      <c r="KA35" s="122">
        <f t="shared" si="351"/>
        <v>0</v>
      </c>
      <c r="KB35" s="122">
        <f t="shared" si="352"/>
        <v>0</v>
      </c>
      <c r="KD35" s="122">
        <f t="shared" si="164"/>
        <v>0</v>
      </c>
      <c r="KE35" s="122">
        <f t="shared" si="102"/>
        <v>0</v>
      </c>
      <c r="KF35" s="122">
        <f t="shared" si="353"/>
        <v>0</v>
      </c>
      <c r="KG35" s="122">
        <f t="shared" si="354"/>
        <v>0</v>
      </c>
      <c r="KH35" s="122">
        <f t="shared" si="355"/>
        <v>0</v>
      </c>
      <c r="KI35" s="122">
        <f t="shared" si="356"/>
        <v>0</v>
      </c>
      <c r="KJ35" s="122">
        <f t="shared" si="357"/>
        <v>0</v>
      </c>
      <c r="KK35" s="122">
        <f t="shared" si="358"/>
        <v>0</v>
      </c>
      <c r="KL35" s="122">
        <f t="shared" si="359"/>
        <v>0</v>
      </c>
      <c r="KM35" s="122">
        <f t="shared" si="360"/>
        <v>0</v>
      </c>
      <c r="KN35" s="123">
        <f t="shared" si="361"/>
        <v>0</v>
      </c>
      <c r="KO35" s="123">
        <f t="shared" si="362"/>
        <v>0</v>
      </c>
      <c r="KP35" s="123">
        <f t="shared" si="363"/>
        <v>0</v>
      </c>
      <c r="KQ35" s="123">
        <f t="shared" si="364"/>
        <v>0</v>
      </c>
      <c r="KR35" s="123">
        <f t="shared" si="365"/>
        <v>0</v>
      </c>
      <c r="KS35">
        <v>7</v>
      </c>
      <c r="KT35">
        <f t="shared" si="366"/>
        <v>1</v>
      </c>
      <c r="KU35" s="123"/>
      <c r="KV35" s="123"/>
      <c r="KW35" s="123"/>
      <c r="KX35" s="123"/>
      <c r="KY35" s="123"/>
      <c r="KZ35" s="123"/>
      <c r="LA35" s="123"/>
      <c r="LB35" s="123"/>
      <c r="LC35" s="123"/>
      <c r="LD35" s="123"/>
      <c r="LE35" s="123"/>
      <c r="LF35" s="123"/>
      <c r="LG35" s="123"/>
      <c r="LH35" s="123"/>
      <c r="LI35" s="123"/>
      <c r="LJ35" s="123"/>
      <c r="LK35" s="123"/>
      <c r="LL35" s="123"/>
      <c r="LM35" s="123"/>
      <c r="LN35" s="123"/>
      <c r="LO35" s="123"/>
      <c r="LP35" s="123"/>
      <c r="LQ35" s="123"/>
      <c r="LR35" s="123"/>
      <c r="LS35" s="123"/>
      <c r="LT35" s="123"/>
      <c r="LU35" s="123"/>
      <c r="LV35" s="123"/>
      <c r="LW35" s="123"/>
      <c r="LX35" s="123"/>
      <c r="LY35" s="123"/>
      <c r="LZ35" s="123"/>
      <c r="MA35" s="123"/>
      <c r="MB35" s="123"/>
      <c r="MC35" s="123"/>
      <c r="MD35" s="123"/>
      <c r="ME35" s="123"/>
      <c r="MF35" s="123"/>
      <c r="MG35" s="123"/>
      <c r="MH35" s="123"/>
      <c r="MI35" s="123"/>
      <c r="MJ35" s="123"/>
      <c r="MK35" s="123"/>
      <c r="ML35" s="123"/>
      <c r="MM35" s="123"/>
      <c r="MN35" s="123"/>
      <c r="MO35" s="123"/>
      <c r="MP35" s="123"/>
      <c r="MQ35" s="123"/>
      <c r="MR35" s="123"/>
      <c r="MS35" s="123"/>
      <c r="MT35" s="123"/>
      <c r="MU35" s="123"/>
      <c r="MV35" s="123"/>
      <c r="MW35" s="123"/>
      <c r="MX35" s="123"/>
      <c r="MY35" s="123"/>
      <c r="MZ35" s="123"/>
      <c r="NA35" s="123"/>
      <c r="NB35" s="123"/>
      <c r="NC35" s="123"/>
      <c r="ND35" s="123"/>
      <c r="NE35" s="123"/>
      <c r="NF35" s="123"/>
      <c r="NG35" s="123"/>
      <c r="NH35" s="123"/>
      <c r="NI35" s="123"/>
      <c r="NJ35" s="123"/>
      <c r="NK35" s="123"/>
      <c r="NM35">
        <f t="shared" si="452"/>
        <v>0</v>
      </c>
      <c r="NN35">
        <f t="shared" si="453"/>
        <v>0</v>
      </c>
      <c r="NO35">
        <f t="shared" si="454"/>
        <v>0</v>
      </c>
      <c r="NP35">
        <f t="shared" si="455"/>
        <v>0</v>
      </c>
      <c r="NQ35">
        <f t="shared" si="456"/>
        <v>0</v>
      </c>
      <c r="NR35">
        <f t="shared" si="457"/>
        <v>0</v>
      </c>
      <c r="NS35">
        <f t="shared" si="458"/>
        <v>1</v>
      </c>
      <c r="NT35">
        <f t="shared" si="459"/>
        <v>1</v>
      </c>
      <c r="NU35" s="29">
        <f t="shared" si="460"/>
        <v>0</v>
      </c>
      <c r="NY35" s="17">
        <f t="shared" si="118"/>
        <v>0</v>
      </c>
      <c r="OE35" s="155"/>
      <c r="OF35" s="155">
        <f t="shared" si="461"/>
        <v>0</v>
      </c>
      <c r="OG35" s="155">
        <f t="shared" si="462"/>
        <v>1</v>
      </c>
      <c r="OH35" s="155">
        <f t="shared" si="463"/>
        <v>0</v>
      </c>
      <c r="OI35" s="155">
        <f t="shared" si="464"/>
        <v>1</v>
      </c>
      <c r="OJ35" s="67">
        <f t="shared" si="465"/>
        <v>0</v>
      </c>
      <c r="OK35" s="67">
        <f t="shared" si="466"/>
        <v>0</v>
      </c>
      <c r="OL35" s="67">
        <f t="shared" si="467"/>
        <v>0</v>
      </c>
      <c r="OM35" s="67">
        <f t="shared" si="468"/>
        <v>0</v>
      </c>
      <c r="OO35" s="155">
        <f t="shared" si="469"/>
        <v>0</v>
      </c>
      <c r="OP35" s="155">
        <f t="shared" si="470"/>
        <v>0</v>
      </c>
      <c r="OQ35" s="155">
        <f t="shared" si="471"/>
        <v>1</v>
      </c>
      <c r="OR35" s="155">
        <f t="shared" si="472"/>
        <v>0</v>
      </c>
      <c r="OS35" s="155">
        <f t="shared" si="473"/>
        <v>1</v>
      </c>
      <c r="OT35" s="67">
        <f t="shared" si="474"/>
        <v>0</v>
      </c>
      <c r="OU35" s="67">
        <f t="shared" si="475"/>
        <v>0</v>
      </c>
      <c r="OV35" s="67">
        <f t="shared" si="476"/>
        <v>0</v>
      </c>
      <c r="OW35" s="67">
        <f t="shared" si="477"/>
        <v>0</v>
      </c>
      <c r="OZ35" s="163"/>
      <c r="PA35" s="166">
        <v>1</v>
      </c>
      <c r="PB35" s="166"/>
      <c r="PC35" s="166"/>
      <c r="PD35" s="210">
        <f t="shared" si="125"/>
        <v>0</v>
      </c>
      <c r="PE35" s="210"/>
      <c r="PF35" s="210">
        <f t="shared" si="126"/>
        <v>0</v>
      </c>
      <c r="PG35" s="210">
        <f t="shared" si="127"/>
        <v>240</v>
      </c>
      <c r="PH35" s="210">
        <f t="shared" si="127"/>
        <v>0</v>
      </c>
      <c r="PI35" s="210">
        <f t="shared" si="127"/>
        <v>0</v>
      </c>
      <c r="PJ35" s="210">
        <f t="shared" si="127"/>
        <v>0</v>
      </c>
      <c r="PK35" s="210">
        <f t="shared" si="127"/>
        <v>0</v>
      </c>
      <c r="PL35" s="210">
        <f t="shared" si="127"/>
        <v>0</v>
      </c>
      <c r="PM35" s="164"/>
      <c r="PN35" s="164"/>
      <c r="PO35" s="172">
        <f t="shared" si="186"/>
        <v>0</v>
      </c>
      <c r="PP35" s="172">
        <f t="shared" si="187"/>
        <v>0</v>
      </c>
      <c r="PQ35" s="172">
        <f t="shared" si="188"/>
        <v>0</v>
      </c>
      <c r="PR35" s="164"/>
      <c r="PS35" s="164"/>
      <c r="PT35" s="164"/>
      <c r="PU35" s="164"/>
    </row>
    <row r="36" spans="1:437" ht="16" x14ac:dyDescent="0.2">
      <c r="A36" s="19">
        <f t="shared" si="189"/>
        <v>28</v>
      </c>
      <c r="B36" s="158" t="s">
        <v>690</v>
      </c>
      <c r="C36" s="186">
        <v>4</v>
      </c>
      <c r="D36" s="188">
        <v>1</v>
      </c>
      <c r="E36" s="188">
        <v>1490</v>
      </c>
      <c r="F36" s="188">
        <v>1</v>
      </c>
      <c r="G36" s="188">
        <f t="shared" si="478"/>
        <v>1490</v>
      </c>
      <c r="H36" s="214">
        <f t="shared" si="368"/>
        <v>1</v>
      </c>
      <c r="I36" s="214">
        <f t="shared" si="369"/>
        <v>1</v>
      </c>
      <c r="J36" s="188">
        <v>1</v>
      </c>
      <c r="K36" s="188">
        <f t="shared" si="370"/>
        <v>1490</v>
      </c>
      <c r="L36" s="214">
        <f t="shared" si="371"/>
        <v>1</v>
      </c>
      <c r="M36" s="214">
        <f t="shared" si="372"/>
        <v>1</v>
      </c>
      <c r="N36" s="188">
        <v>1</v>
      </c>
      <c r="O36" s="188">
        <f t="shared" si="373"/>
        <v>1490</v>
      </c>
      <c r="P36" s="214">
        <f t="shared" si="374"/>
        <v>1</v>
      </c>
      <c r="Q36" s="214">
        <f t="shared" si="375"/>
        <v>1</v>
      </c>
      <c r="R36" s="188">
        <v>0</v>
      </c>
      <c r="S36" s="188">
        <f t="shared" si="376"/>
        <v>0</v>
      </c>
      <c r="T36" s="214">
        <f t="shared" si="377"/>
        <v>0</v>
      </c>
      <c r="U36" s="214">
        <f t="shared" si="378"/>
        <v>0</v>
      </c>
      <c r="V36" s="188">
        <v>0</v>
      </c>
      <c r="W36" s="188">
        <f t="shared" si="379"/>
        <v>0</v>
      </c>
      <c r="X36" s="214">
        <f t="shared" si="380"/>
        <v>0</v>
      </c>
      <c r="Y36" s="214">
        <f t="shared" si="381"/>
        <v>0</v>
      </c>
      <c r="Z36" s="271">
        <v>0</v>
      </c>
      <c r="AA36" s="188"/>
      <c r="AB36" s="189">
        <f t="shared" si="382"/>
        <v>0</v>
      </c>
      <c r="AC36" s="250">
        <f t="shared" si="383"/>
        <v>0</v>
      </c>
      <c r="AD36" s="18">
        <f t="shared" si="384"/>
        <v>0</v>
      </c>
      <c r="AE36" s="20"/>
      <c r="AF36" s="20">
        <f t="shared" si="385"/>
        <v>0</v>
      </c>
      <c r="AG36" s="20"/>
      <c r="AH36" s="20"/>
      <c r="AI36" s="20">
        <v>0</v>
      </c>
      <c r="AJ36" s="20">
        <f t="shared" si="386"/>
        <v>0</v>
      </c>
      <c r="AK36" s="20"/>
      <c r="AL36" s="20">
        <v>0</v>
      </c>
      <c r="AM36" s="20">
        <v>0</v>
      </c>
      <c r="AN36" s="139">
        <v>1</v>
      </c>
      <c r="BB36" s="20">
        <f t="shared" si="479"/>
        <v>1490</v>
      </c>
      <c r="BE36" s="20">
        <f t="shared" si="387"/>
        <v>0</v>
      </c>
      <c r="BF36" s="20">
        <f t="shared" si="388"/>
        <v>0</v>
      </c>
      <c r="BG36" s="20">
        <f t="shared" si="389"/>
        <v>0</v>
      </c>
      <c r="BH36" s="20">
        <f t="shared" si="390"/>
        <v>0</v>
      </c>
      <c r="BI36" s="20">
        <f t="shared" si="391"/>
        <v>0</v>
      </c>
      <c r="BJ36" s="20">
        <f t="shared" si="392"/>
        <v>0</v>
      </c>
      <c r="BK36" s="20">
        <f t="shared" si="393"/>
        <v>0</v>
      </c>
      <c r="BN36" s="143"/>
      <c r="BO36" s="126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B36" s="139"/>
      <c r="CD36" s="17">
        <f t="shared" si="394"/>
        <v>0</v>
      </c>
      <c r="CE36" s="17">
        <f t="shared" si="395"/>
        <v>0</v>
      </c>
      <c r="CF36" s="20">
        <f t="shared" si="396"/>
        <v>0</v>
      </c>
      <c r="CG36" s="20">
        <f t="shared" si="397"/>
        <v>0</v>
      </c>
      <c r="CH36" s="20">
        <f t="shared" si="398"/>
        <v>0</v>
      </c>
      <c r="CI36" s="20">
        <f t="shared" si="399"/>
        <v>0</v>
      </c>
      <c r="CJ36" s="20">
        <f t="shared" si="400"/>
        <v>0</v>
      </c>
      <c r="CK36" s="20">
        <f t="shared" si="401"/>
        <v>0</v>
      </c>
      <c r="CL36" s="20">
        <f t="shared" si="402"/>
        <v>0</v>
      </c>
      <c r="CM36" s="20">
        <f t="shared" si="403"/>
        <v>0</v>
      </c>
      <c r="CN36" s="20">
        <f t="shared" si="404"/>
        <v>0</v>
      </c>
      <c r="CO36" s="20">
        <f t="shared" si="405"/>
        <v>0</v>
      </c>
      <c r="CP36" s="20">
        <f t="shared" si="406"/>
        <v>0</v>
      </c>
      <c r="DV36" s="20">
        <f t="shared" si="407"/>
        <v>0</v>
      </c>
      <c r="DW36" s="20">
        <f t="shared" si="408"/>
        <v>0</v>
      </c>
      <c r="DX36" s="20">
        <f t="shared" si="409"/>
        <v>0</v>
      </c>
      <c r="DY36" s="20">
        <f t="shared" si="410"/>
        <v>0</v>
      </c>
      <c r="DZ36" s="20">
        <f t="shared" si="411"/>
        <v>0</v>
      </c>
      <c r="EA36" s="20">
        <f t="shared" si="412"/>
        <v>0</v>
      </c>
      <c r="EB36" s="20">
        <f t="shared" si="413"/>
        <v>0</v>
      </c>
      <c r="EG36" s="57">
        <f t="shared" si="414"/>
        <v>0</v>
      </c>
      <c r="EH36" s="57">
        <f t="shared" si="415"/>
        <v>0</v>
      </c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X36" s="80"/>
      <c r="FY36" s="17">
        <f t="shared" si="416"/>
        <v>0</v>
      </c>
      <c r="FZ36" s="17">
        <f t="shared" si="309"/>
        <v>0</v>
      </c>
      <c r="GA36" s="17">
        <f t="shared" si="310"/>
        <v>0</v>
      </c>
      <c r="GB36" s="17">
        <f t="shared" si="311"/>
        <v>0</v>
      </c>
      <c r="GC36" s="17">
        <f t="shared" si="312"/>
        <v>0</v>
      </c>
      <c r="GD36" s="17">
        <f t="shared" si="313"/>
        <v>0</v>
      </c>
      <c r="GE36" s="17">
        <f t="shared" si="314"/>
        <v>0</v>
      </c>
      <c r="GF36" s="67"/>
      <c r="GG36" s="17">
        <v>0</v>
      </c>
      <c r="GH36" s="17">
        <v>0</v>
      </c>
      <c r="GI36" s="67"/>
      <c r="GJ36" s="62">
        <f t="shared" si="417"/>
        <v>0</v>
      </c>
      <c r="GK36" s="62">
        <f t="shared" si="418"/>
        <v>0</v>
      </c>
      <c r="GO36" s="17">
        <f t="shared" si="315"/>
        <v>0</v>
      </c>
      <c r="GP36" s="17">
        <f t="shared" si="316"/>
        <v>0</v>
      </c>
      <c r="GQ36" s="17">
        <f t="shared" si="317"/>
        <v>0</v>
      </c>
      <c r="GR36" s="17">
        <f t="shared" si="318"/>
        <v>1</v>
      </c>
      <c r="GS36" s="17">
        <f t="shared" si="319"/>
        <v>1</v>
      </c>
      <c r="GT36" s="17">
        <f t="shared" si="419"/>
        <v>0</v>
      </c>
      <c r="GU36" s="101">
        <f t="shared" si="143"/>
        <v>43243</v>
      </c>
      <c r="GV36" s="17" t="str">
        <f t="shared" si="420"/>
        <v>Musyawarah</v>
      </c>
      <c r="GW36" s="17">
        <f t="shared" si="421"/>
        <v>1</v>
      </c>
      <c r="GX36" s="66" t="str">
        <f t="shared" si="422"/>
        <v>Musyawarah</v>
      </c>
      <c r="GY36" s="66">
        <f t="shared" si="423"/>
        <v>24</v>
      </c>
      <c r="GZ36" s="102">
        <f t="shared" si="424"/>
        <v>43267</v>
      </c>
      <c r="HA36" s="83"/>
      <c r="HB36" s="83"/>
      <c r="HC36" s="17">
        <f t="shared" si="320"/>
        <v>0</v>
      </c>
      <c r="HD36" s="17">
        <f t="shared" si="321"/>
        <v>0</v>
      </c>
      <c r="HE36" s="17">
        <f t="shared" si="425"/>
        <v>0</v>
      </c>
      <c r="HF36" s="17">
        <f t="shared" si="426"/>
        <v>0</v>
      </c>
      <c r="HG36" s="17">
        <f t="shared" si="427"/>
        <v>0</v>
      </c>
      <c r="HH36" s="101" t="str">
        <f t="shared" si="428"/>
        <v>TIDAK KONSINYASI</v>
      </c>
      <c r="HI36" s="101">
        <f t="shared" si="429"/>
        <v>43312</v>
      </c>
      <c r="HJ36" s="27"/>
      <c r="HK36" s="101">
        <f t="shared" si="430"/>
        <v>43312</v>
      </c>
      <c r="HL36" s="83"/>
      <c r="HM36" s="83"/>
      <c r="HN36" s="83"/>
      <c r="HO36" s="83"/>
      <c r="HP36" s="102">
        <f t="shared" si="431"/>
        <v>0</v>
      </c>
      <c r="HQ36" s="66">
        <f t="shared" si="432"/>
        <v>0</v>
      </c>
      <c r="HR36" s="66">
        <f t="shared" si="322"/>
        <v>0</v>
      </c>
      <c r="HS36" s="102">
        <f t="shared" si="433"/>
        <v>0</v>
      </c>
      <c r="HT36" s="66">
        <f t="shared" si="434"/>
        <v>0</v>
      </c>
      <c r="HU36" s="66">
        <f t="shared" si="323"/>
        <v>0</v>
      </c>
      <c r="HV36" s="102">
        <f t="shared" si="435"/>
        <v>0</v>
      </c>
      <c r="HW36" s="66">
        <f t="shared" si="436"/>
        <v>0</v>
      </c>
      <c r="HX36" s="66">
        <f t="shared" si="324"/>
        <v>0</v>
      </c>
      <c r="HY36" s="102">
        <f t="shared" si="437"/>
        <v>0</v>
      </c>
      <c r="HZ36" s="66">
        <f t="shared" si="438"/>
        <v>0</v>
      </c>
      <c r="IA36" s="66">
        <f t="shared" si="325"/>
        <v>0</v>
      </c>
      <c r="IB36" s="102">
        <f t="shared" si="439"/>
        <v>0</v>
      </c>
      <c r="IC36" s="66">
        <f t="shared" si="440"/>
        <v>0</v>
      </c>
      <c r="ID36" s="66">
        <f t="shared" si="326"/>
        <v>0</v>
      </c>
      <c r="IE36" s="102">
        <f t="shared" si="441"/>
        <v>0</v>
      </c>
      <c r="IF36" s="66">
        <f t="shared" si="442"/>
        <v>0</v>
      </c>
      <c r="IG36" s="66">
        <f t="shared" si="327"/>
        <v>0</v>
      </c>
      <c r="IH36" s="102">
        <f t="shared" si="443"/>
        <v>0</v>
      </c>
      <c r="II36" s="66">
        <f t="shared" si="444"/>
        <v>0</v>
      </c>
      <c r="IJ36" s="66">
        <f t="shared" si="328"/>
        <v>0</v>
      </c>
      <c r="IK36" s="102">
        <f t="shared" si="445"/>
        <v>0</v>
      </c>
      <c r="IL36" s="66">
        <f t="shared" si="446"/>
        <v>0</v>
      </c>
      <c r="IM36" s="66">
        <f t="shared" si="329"/>
        <v>0</v>
      </c>
      <c r="IN36" s="83"/>
      <c r="IO36" s="102">
        <f t="shared" si="447"/>
        <v>0</v>
      </c>
      <c r="IP36" s="66">
        <f t="shared" si="330"/>
        <v>0</v>
      </c>
      <c r="IQ36" s="66">
        <f t="shared" si="331"/>
        <v>0</v>
      </c>
      <c r="IR36" s="83"/>
      <c r="IS36" s="102"/>
      <c r="IT36" s="66">
        <f t="shared" si="332"/>
        <v>0</v>
      </c>
      <c r="IU36" s="66">
        <f t="shared" si="333"/>
        <v>0</v>
      </c>
      <c r="IV36" s="83"/>
      <c r="IW36" s="102"/>
      <c r="IX36" s="66">
        <f t="shared" si="334"/>
        <v>0</v>
      </c>
      <c r="IY36" s="66">
        <f t="shared" si="335"/>
        <v>0</v>
      </c>
      <c r="IZ36" s="83"/>
      <c r="JA36" s="102"/>
      <c r="JB36" s="66">
        <f t="shared" si="336"/>
        <v>1</v>
      </c>
      <c r="JC36" s="66">
        <f t="shared" si="337"/>
        <v>1490</v>
      </c>
      <c r="JD36" s="83"/>
      <c r="JE36" s="102"/>
      <c r="JF36" s="66">
        <f t="shared" si="448"/>
        <v>1</v>
      </c>
      <c r="JG36" s="66">
        <f t="shared" si="449"/>
        <v>1490</v>
      </c>
      <c r="JH36" s="83"/>
      <c r="JI36" s="102"/>
      <c r="JJ36" s="66">
        <f t="shared" si="338"/>
        <v>0</v>
      </c>
      <c r="JK36" s="66">
        <f t="shared" si="339"/>
        <v>0</v>
      </c>
      <c r="JM36" s="102">
        <f t="shared" si="450"/>
        <v>0</v>
      </c>
      <c r="JO36" s="29">
        <f t="shared" si="451"/>
        <v>0</v>
      </c>
      <c r="JP36" s="122">
        <f t="shared" si="340"/>
        <v>0</v>
      </c>
      <c r="JQ36" s="122">
        <f t="shared" si="341"/>
        <v>0</v>
      </c>
      <c r="JR36" s="122">
        <f t="shared" si="342"/>
        <v>0</v>
      </c>
      <c r="JS36" s="122">
        <f t="shared" si="343"/>
        <v>0</v>
      </c>
      <c r="JT36" s="122">
        <f t="shared" si="344"/>
        <v>0</v>
      </c>
      <c r="JU36" s="122">
        <f t="shared" si="345"/>
        <v>0</v>
      </c>
      <c r="JV36" s="122">
        <f t="shared" si="346"/>
        <v>0</v>
      </c>
      <c r="JW36" s="122">
        <f t="shared" si="347"/>
        <v>0</v>
      </c>
      <c r="JX36" s="122">
        <f t="shared" si="348"/>
        <v>0</v>
      </c>
      <c r="JY36" s="122">
        <f t="shared" si="349"/>
        <v>0</v>
      </c>
      <c r="JZ36" s="122">
        <f t="shared" si="350"/>
        <v>0</v>
      </c>
      <c r="KA36" s="122">
        <f t="shared" si="351"/>
        <v>0</v>
      </c>
      <c r="KB36" s="122">
        <f t="shared" si="352"/>
        <v>0</v>
      </c>
      <c r="KD36" s="122">
        <f t="shared" si="164"/>
        <v>0</v>
      </c>
      <c r="KE36" s="122">
        <f t="shared" si="102"/>
        <v>0</v>
      </c>
      <c r="KF36" s="122">
        <f t="shared" si="353"/>
        <v>0</v>
      </c>
      <c r="KG36" s="122">
        <f t="shared" si="354"/>
        <v>0</v>
      </c>
      <c r="KH36" s="122">
        <f t="shared" si="355"/>
        <v>0</v>
      </c>
      <c r="KI36" s="122">
        <f t="shared" si="356"/>
        <v>0</v>
      </c>
      <c r="KJ36" s="122">
        <f t="shared" si="357"/>
        <v>0</v>
      </c>
      <c r="KK36" s="122">
        <f t="shared" si="358"/>
        <v>0</v>
      </c>
      <c r="KL36" s="122">
        <f t="shared" si="359"/>
        <v>0</v>
      </c>
      <c r="KM36" s="122">
        <f t="shared" si="360"/>
        <v>0</v>
      </c>
      <c r="KN36" s="123">
        <f t="shared" si="361"/>
        <v>0</v>
      </c>
      <c r="KO36" s="123">
        <f t="shared" si="362"/>
        <v>0</v>
      </c>
      <c r="KP36" s="123">
        <f t="shared" si="363"/>
        <v>0</v>
      </c>
      <c r="KQ36" s="123">
        <f t="shared" si="364"/>
        <v>0</v>
      </c>
      <c r="KR36" s="123">
        <f t="shared" si="365"/>
        <v>0</v>
      </c>
      <c r="KS36">
        <v>7</v>
      </c>
      <c r="KT36">
        <f t="shared" si="366"/>
        <v>1</v>
      </c>
      <c r="KU36" s="123"/>
      <c r="KV36" s="123"/>
      <c r="KW36" s="123"/>
      <c r="KX36" s="123"/>
      <c r="KY36" s="123"/>
      <c r="KZ36" s="123"/>
      <c r="LA36" s="123"/>
      <c r="LB36" s="123"/>
      <c r="LC36" s="123"/>
      <c r="LD36" s="123"/>
      <c r="LE36" s="123"/>
      <c r="LF36" s="123"/>
      <c r="LG36" s="123"/>
      <c r="LH36" s="123"/>
      <c r="LI36" s="123"/>
      <c r="LJ36" s="123"/>
      <c r="LK36" s="123"/>
      <c r="LL36" s="123"/>
      <c r="LM36" s="123"/>
      <c r="LN36" s="123"/>
      <c r="LO36" s="123"/>
      <c r="LP36" s="123"/>
      <c r="LQ36" s="123"/>
      <c r="LR36" s="123"/>
      <c r="LS36" s="123"/>
      <c r="LT36" s="123"/>
      <c r="LU36" s="123"/>
      <c r="LV36" s="123"/>
      <c r="LW36" s="123"/>
      <c r="LX36" s="123"/>
      <c r="LY36" s="123"/>
      <c r="LZ36" s="123"/>
      <c r="MA36" s="123"/>
      <c r="MB36" s="123"/>
      <c r="MC36" s="123"/>
      <c r="MD36" s="123"/>
      <c r="ME36" s="123"/>
      <c r="MF36" s="123"/>
      <c r="MG36" s="123"/>
      <c r="MH36" s="123"/>
      <c r="MI36" s="123"/>
      <c r="MJ36" s="123"/>
      <c r="MK36" s="123"/>
      <c r="ML36" s="123"/>
      <c r="MM36" s="123"/>
      <c r="MN36" s="123"/>
      <c r="MO36" s="123"/>
      <c r="MP36" s="123"/>
      <c r="MQ36" s="123"/>
      <c r="MR36" s="123"/>
      <c r="MS36" s="123"/>
      <c r="MT36" s="123"/>
      <c r="MU36" s="123"/>
      <c r="MV36" s="123"/>
      <c r="MW36" s="123"/>
      <c r="MX36" s="123"/>
      <c r="MY36" s="123"/>
      <c r="MZ36" s="123"/>
      <c r="NA36" s="123"/>
      <c r="NB36" s="123"/>
      <c r="NC36" s="123"/>
      <c r="ND36" s="123"/>
      <c r="NE36" s="123"/>
      <c r="NF36" s="123"/>
      <c r="NG36" s="123"/>
      <c r="NH36" s="123"/>
      <c r="NI36" s="123"/>
      <c r="NJ36" s="123"/>
      <c r="NK36" s="123"/>
      <c r="NM36">
        <f t="shared" si="452"/>
        <v>0</v>
      </c>
      <c r="NN36">
        <f t="shared" si="453"/>
        <v>0</v>
      </c>
      <c r="NO36">
        <f t="shared" si="454"/>
        <v>0</v>
      </c>
      <c r="NP36">
        <f t="shared" si="455"/>
        <v>0</v>
      </c>
      <c r="NQ36">
        <f t="shared" si="456"/>
        <v>0</v>
      </c>
      <c r="NR36">
        <f t="shared" si="457"/>
        <v>0</v>
      </c>
      <c r="NS36">
        <f t="shared" si="458"/>
        <v>1</v>
      </c>
      <c r="NT36">
        <f t="shared" si="459"/>
        <v>1</v>
      </c>
      <c r="NU36" s="29">
        <f t="shared" si="460"/>
        <v>0</v>
      </c>
      <c r="NY36" s="17">
        <f t="shared" si="118"/>
        <v>0</v>
      </c>
      <c r="OE36" s="155"/>
      <c r="OF36" s="155">
        <f t="shared" si="461"/>
        <v>0</v>
      </c>
      <c r="OG36" s="155">
        <f t="shared" si="462"/>
        <v>1</v>
      </c>
      <c r="OH36" s="155">
        <f t="shared" si="463"/>
        <v>0</v>
      </c>
      <c r="OI36" s="155">
        <f t="shared" si="464"/>
        <v>1</v>
      </c>
      <c r="OJ36" s="67">
        <f t="shared" si="465"/>
        <v>0</v>
      </c>
      <c r="OK36" s="67">
        <f t="shared" si="466"/>
        <v>0</v>
      </c>
      <c r="OL36" s="67">
        <f t="shared" si="467"/>
        <v>0</v>
      </c>
      <c r="OM36" s="67">
        <f t="shared" si="468"/>
        <v>0</v>
      </c>
      <c r="OO36" s="155">
        <f t="shared" si="469"/>
        <v>0</v>
      </c>
      <c r="OP36" s="155">
        <f t="shared" si="470"/>
        <v>0</v>
      </c>
      <c r="OQ36" s="155">
        <f t="shared" si="471"/>
        <v>1</v>
      </c>
      <c r="OR36" s="155">
        <f t="shared" si="472"/>
        <v>0</v>
      </c>
      <c r="OS36" s="155">
        <f t="shared" si="473"/>
        <v>1</v>
      </c>
      <c r="OT36" s="67">
        <f t="shared" si="474"/>
        <v>0</v>
      </c>
      <c r="OU36" s="67">
        <f t="shared" si="475"/>
        <v>0</v>
      </c>
      <c r="OV36" s="67">
        <f t="shared" si="476"/>
        <v>0</v>
      </c>
      <c r="OW36" s="67">
        <f t="shared" si="477"/>
        <v>0</v>
      </c>
      <c r="OZ36" s="163"/>
      <c r="PA36" s="166"/>
      <c r="PB36" s="166">
        <v>1</v>
      </c>
      <c r="PC36" s="166"/>
      <c r="PD36" s="210">
        <f t="shared" si="125"/>
        <v>1</v>
      </c>
      <c r="PE36" s="210">
        <v>1</v>
      </c>
      <c r="PF36" s="210">
        <f t="shared" si="126"/>
        <v>0</v>
      </c>
      <c r="PG36" s="210">
        <f t="shared" si="127"/>
        <v>0</v>
      </c>
      <c r="PH36" s="210">
        <f t="shared" si="127"/>
        <v>1490</v>
      </c>
      <c r="PI36" s="210">
        <f t="shared" si="127"/>
        <v>0</v>
      </c>
      <c r="PJ36" s="210">
        <f t="shared" si="127"/>
        <v>1490</v>
      </c>
      <c r="PK36" s="210">
        <f t="shared" si="127"/>
        <v>1490</v>
      </c>
      <c r="PL36" s="210">
        <f t="shared" si="127"/>
        <v>0</v>
      </c>
      <c r="PM36" s="164"/>
      <c r="PN36" s="164"/>
      <c r="PO36" s="172">
        <f t="shared" si="186"/>
        <v>0</v>
      </c>
      <c r="PP36" s="172">
        <f t="shared" si="187"/>
        <v>0</v>
      </c>
      <c r="PQ36" s="172">
        <f t="shared" si="188"/>
        <v>0</v>
      </c>
      <c r="PR36" s="164"/>
      <c r="PS36" s="164"/>
      <c r="PT36" s="164"/>
      <c r="PU36" s="164"/>
    </row>
    <row r="37" spans="1:437" ht="16" x14ac:dyDescent="0.2">
      <c r="A37" s="19">
        <f t="shared" si="189"/>
        <v>29</v>
      </c>
      <c r="B37" s="158" t="s">
        <v>661</v>
      </c>
      <c r="C37" s="186">
        <v>5</v>
      </c>
      <c r="D37" s="188">
        <v>1</v>
      </c>
      <c r="E37" s="188">
        <v>258</v>
      </c>
      <c r="F37" s="188">
        <v>1</v>
      </c>
      <c r="G37" s="188">
        <f t="shared" si="478"/>
        <v>258</v>
      </c>
      <c r="H37" s="214">
        <f>F37/$D37</f>
        <v>1</v>
      </c>
      <c r="I37" s="214">
        <f>G37/$E37</f>
        <v>1</v>
      </c>
      <c r="J37" s="188">
        <v>1</v>
      </c>
      <c r="K37" s="188">
        <f>IF(J37=D37,E37,0)</f>
        <v>258</v>
      </c>
      <c r="L37" s="214">
        <f>J37/$D37</f>
        <v>1</v>
      </c>
      <c r="M37" s="214">
        <f>K37/$E37</f>
        <v>1</v>
      </c>
      <c r="N37" s="188">
        <v>1</v>
      </c>
      <c r="O37" s="188">
        <f>IF(N37=D37,E37,0)</f>
        <v>258</v>
      </c>
      <c r="P37" s="214">
        <f>N37/$D37</f>
        <v>1</v>
      </c>
      <c r="Q37" s="214">
        <f>O37/$E37</f>
        <v>1</v>
      </c>
      <c r="R37" s="188">
        <v>0</v>
      </c>
      <c r="S37" s="188">
        <f>IF(R37=D37,E37,0)</f>
        <v>0</v>
      </c>
      <c r="T37" s="214">
        <f>R37/$D37</f>
        <v>0</v>
      </c>
      <c r="U37" s="214">
        <f>S37/$E37</f>
        <v>0</v>
      </c>
      <c r="V37" s="188">
        <v>0</v>
      </c>
      <c r="W37" s="188">
        <f>IF(V37=D37,E37,0)</f>
        <v>0</v>
      </c>
      <c r="X37" s="214">
        <f>V37/$D37</f>
        <v>0</v>
      </c>
      <c r="Y37" s="214">
        <f>W37/$E37</f>
        <v>0</v>
      </c>
      <c r="Z37" s="271">
        <v>0</v>
      </c>
      <c r="AA37" s="188"/>
      <c r="AB37" s="189">
        <f>IF(AA37=D37,E37,0)</f>
        <v>0</v>
      </c>
      <c r="AC37" s="250">
        <f>AA37/$D37</f>
        <v>0</v>
      </c>
      <c r="AD37" s="18">
        <f>AB37/$E37</f>
        <v>0</v>
      </c>
      <c r="AE37" s="20"/>
      <c r="AF37" s="20">
        <f>R37-V37</f>
        <v>0</v>
      </c>
      <c r="AG37" s="20"/>
      <c r="AH37" s="20"/>
      <c r="AI37" s="20">
        <v>0</v>
      </c>
      <c r="AJ37" s="20">
        <f>IF(AI37=D37,E37,0)</f>
        <v>0</v>
      </c>
      <c r="AK37" s="20"/>
      <c r="AL37" s="20">
        <v>0</v>
      </c>
      <c r="AM37" s="20">
        <v>0</v>
      </c>
      <c r="AN37" s="139">
        <v>1</v>
      </c>
      <c r="BB37" s="20">
        <f>IF(AN37=1,E37,0)</f>
        <v>258</v>
      </c>
      <c r="BE37" s="20">
        <f>IF(AF37=1,S37,0)</f>
        <v>0</v>
      </c>
      <c r="BF37" s="20">
        <f>IF(AG37="A",S37,0)</f>
        <v>0</v>
      </c>
      <c r="BG37" s="20">
        <f>IF(AG37="B",S37,0)</f>
        <v>0</v>
      </c>
      <c r="BH37" s="20">
        <f>IF(AG37="C",S37,0)</f>
        <v>0</v>
      </c>
      <c r="BI37" s="20">
        <f>IF(AG37="D",S37,0)</f>
        <v>0</v>
      </c>
      <c r="BJ37" s="20">
        <f>IF(AG37="E",S37,0)</f>
        <v>0</v>
      </c>
      <c r="BK37" s="20">
        <f>SUM(BF37:BJ37)</f>
        <v>0</v>
      </c>
      <c r="BN37" s="143"/>
      <c r="BO37" s="126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B37" s="139"/>
      <c r="CD37" s="17">
        <f>BN37</f>
        <v>0</v>
      </c>
      <c r="CE37" s="17">
        <f t="shared" ref="CE37:CP38" si="480">IF(BO37=1,$CD37,0)</f>
        <v>0</v>
      </c>
      <c r="CF37" s="20">
        <f t="shared" si="480"/>
        <v>0</v>
      </c>
      <c r="CG37" s="20">
        <f t="shared" si="480"/>
        <v>0</v>
      </c>
      <c r="CH37" s="20">
        <f t="shared" si="480"/>
        <v>0</v>
      </c>
      <c r="CI37" s="20">
        <f t="shared" si="480"/>
        <v>0</v>
      </c>
      <c r="CJ37" s="20">
        <f t="shared" si="480"/>
        <v>0</v>
      </c>
      <c r="CK37" s="20">
        <f t="shared" si="480"/>
        <v>0</v>
      </c>
      <c r="CL37" s="20">
        <f t="shared" si="480"/>
        <v>0</v>
      </c>
      <c r="CM37" s="20">
        <f t="shared" si="480"/>
        <v>0</v>
      </c>
      <c r="CN37" s="20">
        <f t="shared" si="480"/>
        <v>0</v>
      </c>
      <c r="CO37" s="20">
        <f t="shared" si="480"/>
        <v>0</v>
      </c>
      <c r="CP37" s="20">
        <f t="shared" si="480"/>
        <v>0</v>
      </c>
      <c r="DV37" s="20">
        <f>IF(CB37=1,G37,0)</f>
        <v>0</v>
      </c>
      <c r="DW37" s="20">
        <f>IF(CC37="A",G37,0)</f>
        <v>0</v>
      </c>
      <c r="DX37" s="20">
        <f>IF(CC37="B",G37,0)</f>
        <v>0</v>
      </c>
      <c r="DY37" s="20">
        <f>IF(CC37="C",G37,0)</f>
        <v>0</v>
      </c>
      <c r="DZ37" s="20">
        <f>IF(CC37="D",G37,0)</f>
        <v>0</v>
      </c>
      <c r="EA37" s="20">
        <f>IF(CC37="E",G37,0)</f>
        <v>0</v>
      </c>
      <c r="EB37" s="20">
        <f>SUM(DW37:EA37)</f>
        <v>0</v>
      </c>
      <c r="EG37" s="57">
        <f>IF(AG37="C","C",IF(AG37="D","D",0))</f>
        <v>0</v>
      </c>
      <c r="EH37" s="57">
        <f>CC37</f>
        <v>0</v>
      </c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X37" s="80"/>
      <c r="FY37" s="17">
        <f>SUM(FZ37:GE37)</f>
        <v>0</v>
      </c>
      <c r="FZ37" s="17">
        <f t="shared" ref="FZ37:GB38" si="481">DI37+CE37</f>
        <v>0</v>
      </c>
      <c r="GA37" s="17">
        <f t="shared" si="481"/>
        <v>0</v>
      </c>
      <c r="GB37" s="17">
        <f t="shared" si="481"/>
        <v>0</v>
      </c>
      <c r="GC37" s="17">
        <f>DM37+CI37</f>
        <v>0</v>
      </c>
      <c r="GD37" s="17">
        <f>DO37+CK37</f>
        <v>0</v>
      </c>
      <c r="GE37" s="17">
        <f>DT37+CP37</f>
        <v>0</v>
      </c>
      <c r="GF37" s="67"/>
      <c r="GG37" s="17">
        <v>0</v>
      </c>
      <c r="GH37" s="17">
        <v>0</v>
      </c>
      <c r="GI37" s="67"/>
      <c r="GJ37" s="62">
        <f>FY37*GG37/1000000000</f>
        <v>0</v>
      </c>
      <c r="GK37" s="62">
        <f>FY37*GH37/1000000000</f>
        <v>0</v>
      </c>
      <c r="GO37" s="17">
        <f>D37-F37</f>
        <v>0</v>
      </c>
      <c r="GP37" s="17">
        <f>D37-J37</f>
        <v>0</v>
      </c>
      <c r="GQ37" s="17">
        <f>D37-N37</f>
        <v>0</v>
      </c>
      <c r="GR37" s="17">
        <f>D37-R37</f>
        <v>1</v>
      </c>
      <c r="GS37" s="17">
        <f>D37-V37</f>
        <v>1</v>
      </c>
      <c r="GT37" s="17">
        <f>IF(SUM(GO37:GS37)=0,1,0)</f>
        <v>0</v>
      </c>
      <c r="GU37" s="101">
        <f t="shared" si="143"/>
        <v>43243</v>
      </c>
      <c r="GV37" s="17" t="str">
        <f>IF(GO37&gt;0,$GO$6,IF(GP37&gt;0,$GP$6,IF(GQ37&gt;0,$GQ$6,IF(GR37&gt;0,$GR$6,IF(GS37&gt;0,$GS$6,IF(GT37&gt;0,$GT$6,0))))))</f>
        <v>Musyawarah</v>
      </c>
      <c r="GW37" s="17">
        <f>IF(GV37=$GO$6,GO37,IF(GV37=$GP$6,GP37,IF(GV37=$GQ$6,GQ37,IF(GV37=$GR$6,GR37,IF(GV37=$GS$6,GS37,0)))))</f>
        <v>1</v>
      </c>
      <c r="GX37" s="66" t="str">
        <f>GV37</f>
        <v>Musyawarah</v>
      </c>
      <c r="GY37" s="66">
        <f>IF(GX37="DNP",SUM($GY$4:$GY$8),IF(GX37="Survey KJPP",SUM($GY$5:$GY$8),IF(GX37="Hasil Valuasi",SUM($GY$6:$GY$8),IF(GX37="Musyawarah",SUM($GY$7:$GY$8),IF(GX37="UGR",$GY$8,0)))))</f>
        <v>24</v>
      </c>
      <c r="GZ37" s="102">
        <f>IF(GW37=0,"SELESAI",GU37+GY37)</f>
        <v>43267</v>
      </c>
      <c r="HA37" s="83"/>
      <c r="HB37" s="83"/>
      <c r="HC37" s="17">
        <f>IF(BH37&gt;0,1,IF(BI37&gt;0,1,0))</f>
        <v>0</v>
      </c>
      <c r="HD37" s="17">
        <f>IF(CB37&gt;0,1,0)</f>
        <v>0</v>
      </c>
      <c r="HE37" s="17">
        <f>HC37+HD37</f>
        <v>0</v>
      </c>
      <c r="HF37" s="17">
        <f>FQ37</f>
        <v>0</v>
      </c>
      <c r="HG37" s="17">
        <f>HE37-HF37</f>
        <v>0</v>
      </c>
      <c r="HH37" s="101" t="str">
        <f>IF(HG37=1,GU37+$HH$8,"TIDAK KONSINYASI")</f>
        <v>TIDAK KONSINYASI</v>
      </c>
      <c r="HI37" s="101">
        <f>IF(GW37=0,"SELESAI",GZ37+$HI$8)</f>
        <v>43312</v>
      </c>
      <c r="HJ37" s="27"/>
      <c r="HK37" s="101">
        <f>MAX(GZ37,HH37,HI37)</f>
        <v>43312</v>
      </c>
      <c r="HL37" s="83"/>
      <c r="HM37" s="83"/>
      <c r="HN37" s="83"/>
      <c r="HO37" s="83"/>
      <c r="HP37" s="102">
        <f>IF(HQ37=1,GZ37,0)</f>
        <v>0</v>
      </c>
      <c r="HQ37" s="66">
        <f>IF(IX37=0,IF(HT37=0,IF(IP37=0,IF(GV37="UGR",GS37,0),0),0),0)</f>
        <v>0</v>
      </c>
      <c r="HR37" s="66">
        <f>IF(HQ37=1,E37,0)</f>
        <v>0</v>
      </c>
      <c r="HS37" s="102">
        <f>IF(HT37=1,HH37,0)</f>
        <v>0</v>
      </c>
      <c r="HT37" s="66">
        <f>HG37</f>
        <v>0</v>
      </c>
      <c r="HU37" s="66">
        <f>IF(HT37=1,E37,0)</f>
        <v>0</v>
      </c>
      <c r="HV37" s="102">
        <f>IF(HW37=1,GZ37,0)</f>
        <v>0</v>
      </c>
      <c r="HW37" s="66">
        <f>IF(JB37=0,IF(IX37=0,IF(HT37=0,IF(GV37="MUSYAWARAH",GR37,0),0),0),0)</f>
        <v>0</v>
      </c>
      <c r="HX37" s="66">
        <f>IF(HW37=1,E37,0)</f>
        <v>0</v>
      </c>
      <c r="HY37" s="102">
        <f>IF(HZ37=1,HV37+$HI$8,0)</f>
        <v>0</v>
      </c>
      <c r="HZ37" s="66">
        <f>HW37</f>
        <v>0</v>
      </c>
      <c r="IA37" s="66">
        <f>IF(HZ37=1,E37,0)</f>
        <v>0</v>
      </c>
      <c r="IB37" s="102">
        <f>IF(IC37=1,$GU$3+SUM($GY$6:$GY$8),0)</f>
        <v>0</v>
      </c>
      <c r="IC37" s="66">
        <f>IF(GV37="Hasil Valuasi",GQ37,0)</f>
        <v>0</v>
      </c>
      <c r="ID37" s="66">
        <f>IF(IC37=1,E37,0)</f>
        <v>0</v>
      </c>
      <c r="IE37" s="102">
        <f>IF(IF37=1,IB37+$HI$8,0)</f>
        <v>0</v>
      </c>
      <c r="IF37" s="66">
        <f>IC37</f>
        <v>0</v>
      </c>
      <c r="IG37" s="66">
        <f>IF(IF37=1,E37,0)</f>
        <v>0</v>
      </c>
      <c r="IH37" s="102">
        <f>IF(II37=1,$GU$3+SUM($GY$5:$GY$8),0)</f>
        <v>0</v>
      </c>
      <c r="II37" s="66">
        <f>IF(GV37="Survey KJPP",GP37,0)</f>
        <v>0</v>
      </c>
      <c r="IJ37" s="66">
        <f>IF(II37=1,E37,0)</f>
        <v>0</v>
      </c>
      <c r="IK37" s="102">
        <f>IF(IL37=1,IH37+$HI$8,0)</f>
        <v>0</v>
      </c>
      <c r="IL37" s="66">
        <f>II37</f>
        <v>0</v>
      </c>
      <c r="IM37" s="66">
        <f>IF(IL37=1,E37,0)</f>
        <v>0</v>
      </c>
      <c r="IN37" s="83"/>
      <c r="IO37" s="102">
        <f>IF(IP37=1,+$GU$3+$HH$8,0)</f>
        <v>0</v>
      </c>
      <c r="IP37" s="66">
        <f>IF(BG37&gt;0,1,0)</f>
        <v>0</v>
      </c>
      <c r="IQ37" s="66">
        <f>IF(IP37=1,E37,0)</f>
        <v>0</v>
      </c>
      <c r="IR37" s="83"/>
      <c r="IS37" s="102"/>
      <c r="IT37" s="66">
        <f>V37</f>
        <v>0</v>
      </c>
      <c r="IU37" s="66">
        <f>W37</f>
        <v>0</v>
      </c>
      <c r="IV37" s="83"/>
      <c r="IW37" s="102"/>
      <c r="IX37" s="66">
        <f>AA37</f>
        <v>0</v>
      </c>
      <c r="IY37" s="66">
        <f>AB37</f>
        <v>0</v>
      </c>
      <c r="IZ37" s="83"/>
      <c r="JA37" s="102"/>
      <c r="JB37" s="66">
        <f>AN37</f>
        <v>1</v>
      </c>
      <c r="JC37" s="66">
        <f>BB37</f>
        <v>258</v>
      </c>
      <c r="JD37" s="83"/>
      <c r="JE37" s="102"/>
      <c r="JF37" s="66">
        <f>IT37+HQ37+HT37+HZ37+IF37+IL37+IP37+IX37+JB37</f>
        <v>1</v>
      </c>
      <c r="JG37" s="66">
        <f>IU37+HR37+HU37+IA37+IG37+IM37+IQ37+IY37+JC37</f>
        <v>258</v>
      </c>
      <c r="JH37" s="83"/>
      <c r="JI37" s="102"/>
      <c r="JJ37" s="66">
        <f>JF37-D37</f>
        <v>0</v>
      </c>
      <c r="JK37" s="66">
        <f>JG37-E37</f>
        <v>0</v>
      </c>
      <c r="JM37" s="102">
        <f>MAX(IW37,IS37,IO37,IK37,IE37,HY37,HS37,HP37)</f>
        <v>0</v>
      </c>
      <c r="JO37" s="29">
        <f>SUM(JQ37:KB37)</f>
        <v>0</v>
      </c>
      <c r="JP37" s="122">
        <f>BN37+CR37</f>
        <v>0</v>
      </c>
      <c r="JQ37" s="122">
        <f t="shared" ref="JQ37:KB38" si="482">IF(BO37+CS37=2,1,IF(BO37+CS37=1,1,0))</f>
        <v>0</v>
      </c>
      <c r="JR37" s="122">
        <f t="shared" si="482"/>
        <v>0</v>
      </c>
      <c r="JS37" s="122">
        <f t="shared" si="482"/>
        <v>0</v>
      </c>
      <c r="JT37" s="122">
        <f t="shared" si="482"/>
        <v>0</v>
      </c>
      <c r="JU37" s="122">
        <f t="shared" si="482"/>
        <v>0</v>
      </c>
      <c r="JV37" s="122">
        <f t="shared" si="482"/>
        <v>0</v>
      </c>
      <c r="JW37" s="122">
        <f t="shared" si="482"/>
        <v>0</v>
      </c>
      <c r="JX37" s="122">
        <f t="shared" si="482"/>
        <v>0</v>
      </c>
      <c r="JY37" s="122">
        <f t="shared" si="482"/>
        <v>0</v>
      </c>
      <c r="JZ37" s="122">
        <f t="shared" si="482"/>
        <v>0</v>
      </c>
      <c r="KA37" s="122">
        <f t="shared" si="482"/>
        <v>0</v>
      </c>
      <c r="KB37" s="122">
        <f t="shared" si="482"/>
        <v>0</v>
      </c>
      <c r="KD37" s="122">
        <f>IF(IF(SUM(GA37:GE37)&gt;100,1,0)+IF(FX37=1,1,0)=2,1,0)</f>
        <v>0</v>
      </c>
      <c r="KE37" s="122">
        <f>IF(KD37=1,KF37,0)</f>
        <v>0</v>
      </c>
      <c r="KF37" s="122">
        <f t="shared" ref="KF37:KR38" si="483">CD37+DH37</f>
        <v>0</v>
      </c>
      <c r="KG37" s="122">
        <f t="shared" si="483"/>
        <v>0</v>
      </c>
      <c r="KH37" s="122">
        <f t="shared" si="483"/>
        <v>0</v>
      </c>
      <c r="KI37" s="122">
        <f t="shared" si="483"/>
        <v>0</v>
      </c>
      <c r="KJ37" s="122">
        <f t="shared" si="483"/>
        <v>0</v>
      </c>
      <c r="KK37" s="122">
        <f t="shared" si="483"/>
        <v>0</v>
      </c>
      <c r="KL37" s="122">
        <f t="shared" si="483"/>
        <v>0</v>
      </c>
      <c r="KM37" s="122">
        <f t="shared" si="483"/>
        <v>0</v>
      </c>
      <c r="KN37" s="123">
        <f t="shared" si="483"/>
        <v>0</v>
      </c>
      <c r="KO37" s="123">
        <f t="shared" si="483"/>
        <v>0</v>
      </c>
      <c r="KP37" s="123">
        <f t="shared" si="483"/>
        <v>0</v>
      </c>
      <c r="KQ37" s="123">
        <f t="shared" si="483"/>
        <v>0</v>
      </c>
      <c r="KR37" s="123">
        <f t="shared" si="483"/>
        <v>0</v>
      </c>
      <c r="KS37">
        <v>7</v>
      </c>
      <c r="KT37">
        <f>AN37</f>
        <v>1</v>
      </c>
      <c r="KU37" s="123"/>
      <c r="KV37" s="123"/>
      <c r="KW37" s="123"/>
      <c r="KX37" s="123"/>
      <c r="KY37" s="123"/>
      <c r="KZ37" s="123"/>
      <c r="LA37" s="123"/>
      <c r="LB37" s="123"/>
      <c r="LC37" s="123"/>
      <c r="LD37" s="123"/>
      <c r="LE37" s="123"/>
      <c r="LF37" s="123"/>
      <c r="LG37" s="123"/>
      <c r="LH37" s="123"/>
      <c r="LI37" s="123"/>
      <c r="LJ37" s="123"/>
      <c r="LK37" s="123"/>
      <c r="LL37" s="123"/>
      <c r="LM37" s="123"/>
      <c r="LN37" s="123"/>
      <c r="LO37" s="123"/>
      <c r="LP37" s="123"/>
      <c r="LQ37" s="123"/>
      <c r="LR37" s="123"/>
      <c r="LS37" s="123"/>
      <c r="LT37" s="123"/>
      <c r="LU37" s="123"/>
      <c r="LV37" s="123"/>
      <c r="LW37" s="123"/>
      <c r="LX37" s="123"/>
      <c r="LY37" s="123"/>
      <c r="LZ37" s="123"/>
      <c r="MA37" s="123"/>
      <c r="MB37" s="123"/>
      <c r="MC37" s="123"/>
      <c r="MD37" s="123"/>
      <c r="ME37" s="123"/>
      <c r="MF37" s="123"/>
      <c r="MG37" s="123"/>
      <c r="MH37" s="123"/>
      <c r="MI37" s="123"/>
      <c r="MJ37" s="123"/>
      <c r="MK37" s="123"/>
      <c r="ML37" s="123"/>
      <c r="MM37" s="123"/>
      <c r="MN37" s="123"/>
      <c r="MO37" s="123"/>
      <c r="MP37" s="123"/>
      <c r="MQ37" s="123"/>
      <c r="MR37" s="123"/>
      <c r="MS37" s="123"/>
      <c r="MT37" s="123"/>
      <c r="MU37" s="123"/>
      <c r="MV37" s="123"/>
      <c r="MW37" s="123"/>
      <c r="MX37" s="123"/>
      <c r="MY37" s="123"/>
      <c r="MZ37" s="123"/>
      <c r="NA37" s="123"/>
      <c r="NB37" s="123"/>
      <c r="NC37" s="123"/>
      <c r="ND37" s="123"/>
      <c r="NE37" s="123"/>
      <c r="NF37" s="123"/>
      <c r="NG37" s="123"/>
      <c r="NH37" s="123"/>
      <c r="NI37" s="123"/>
      <c r="NJ37" s="123"/>
      <c r="NK37" s="123"/>
      <c r="NM37">
        <f>IF(KS37=1,1,0)</f>
        <v>0</v>
      </c>
      <c r="NN37">
        <f>IF(KS37=2,1,0)</f>
        <v>0</v>
      </c>
      <c r="NO37">
        <f>IF(KS37=3,1,0)</f>
        <v>0</v>
      </c>
      <c r="NP37">
        <f>IF(KS37=4,1,0)</f>
        <v>0</v>
      </c>
      <c r="NQ37">
        <f>IF(KS37=5,1,0)</f>
        <v>0</v>
      </c>
      <c r="NR37">
        <f>IF(KS37=6,1,0)</f>
        <v>0</v>
      </c>
      <c r="NS37">
        <f>IF(KS37=7,1,0)</f>
        <v>1</v>
      </c>
      <c r="NT37">
        <f>SUM(NM37:NS37)</f>
        <v>1</v>
      </c>
      <c r="NU37" s="29">
        <f>NT37-KT37</f>
        <v>0</v>
      </c>
      <c r="NY37" s="17">
        <f>V37</f>
        <v>0</v>
      </c>
      <c r="OE37" s="155"/>
      <c r="OF37" s="155">
        <f t="shared" si="461"/>
        <v>0</v>
      </c>
      <c r="OG37" s="155">
        <f t="shared" si="462"/>
        <v>1</v>
      </c>
      <c r="OH37" s="155">
        <f t="shared" si="463"/>
        <v>0</v>
      </c>
      <c r="OI37" s="155">
        <f t="shared" si="464"/>
        <v>1</v>
      </c>
      <c r="OJ37" s="67">
        <f t="shared" si="465"/>
        <v>0</v>
      </c>
      <c r="OK37" s="67">
        <f t="shared" si="466"/>
        <v>0</v>
      </c>
      <c r="OL37" s="67">
        <f t="shared" si="467"/>
        <v>0</v>
      </c>
      <c r="OM37" s="67">
        <f t="shared" si="468"/>
        <v>0</v>
      </c>
      <c r="OO37" s="155">
        <f t="shared" si="469"/>
        <v>0</v>
      </c>
      <c r="OP37" s="155">
        <f t="shared" si="470"/>
        <v>0</v>
      </c>
      <c r="OQ37" s="155">
        <f t="shared" si="471"/>
        <v>1</v>
      </c>
      <c r="OR37" s="155">
        <f t="shared" si="472"/>
        <v>0</v>
      </c>
      <c r="OS37" s="155">
        <f t="shared" si="473"/>
        <v>1</v>
      </c>
      <c r="OT37" s="67">
        <f t="shared" si="474"/>
        <v>0</v>
      </c>
      <c r="OU37" s="67">
        <f t="shared" si="475"/>
        <v>0</v>
      </c>
      <c r="OV37" s="67">
        <f t="shared" si="476"/>
        <v>0</v>
      </c>
      <c r="OW37" s="67">
        <f t="shared" si="477"/>
        <v>0</v>
      </c>
      <c r="OZ37" s="163"/>
      <c r="PA37" s="166"/>
      <c r="PB37" s="166">
        <v>1</v>
      </c>
      <c r="PC37" s="166"/>
      <c r="PD37" s="210">
        <f t="shared" si="125"/>
        <v>1</v>
      </c>
      <c r="PE37" s="210">
        <v>1</v>
      </c>
      <c r="PF37" s="210">
        <f t="shared" si="126"/>
        <v>0</v>
      </c>
      <c r="PG37" s="210">
        <f t="shared" si="127"/>
        <v>0</v>
      </c>
      <c r="PH37" s="210">
        <f t="shared" si="127"/>
        <v>258</v>
      </c>
      <c r="PI37" s="210">
        <f t="shared" si="127"/>
        <v>0</v>
      </c>
      <c r="PJ37" s="210">
        <f t="shared" si="127"/>
        <v>258</v>
      </c>
      <c r="PK37" s="210">
        <f t="shared" si="127"/>
        <v>258</v>
      </c>
      <c r="PL37" s="210">
        <f t="shared" si="127"/>
        <v>0</v>
      </c>
      <c r="PM37" s="164"/>
      <c r="PN37" s="164"/>
      <c r="PO37" s="172">
        <f>IF(FC37=1,AB37,0)</f>
        <v>0</v>
      </c>
      <c r="PP37" s="172">
        <f>IF(FF37=1,AB37,0)</f>
        <v>0</v>
      </c>
      <c r="PQ37" s="172">
        <f>AB37-(PO37+PP37)</f>
        <v>0</v>
      </c>
      <c r="PR37" s="164"/>
      <c r="PS37" s="164"/>
      <c r="PT37" s="164"/>
      <c r="PU37" s="164"/>
    </row>
    <row r="38" spans="1:437" ht="16" x14ac:dyDescent="0.2">
      <c r="A38" s="19">
        <f t="shared" si="189"/>
        <v>30</v>
      </c>
      <c r="B38" s="158" t="s">
        <v>662</v>
      </c>
      <c r="C38" s="186">
        <v>6</v>
      </c>
      <c r="D38" s="188">
        <v>1</v>
      </c>
      <c r="E38" s="188">
        <v>202</v>
      </c>
      <c r="F38" s="188">
        <v>1</v>
      </c>
      <c r="G38" s="188">
        <f t="shared" si="478"/>
        <v>202</v>
      </c>
      <c r="H38" s="214">
        <f>F38/$D38</f>
        <v>1</v>
      </c>
      <c r="I38" s="214">
        <f>G38/$E38</f>
        <v>1</v>
      </c>
      <c r="J38" s="188">
        <v>1</v>
      </c>
      <c r="K38" s="188">
        <f>IF(J38=D38,E38,0)</f>
        <v>202</v>
      </c>
      <c r="L38" s="214">
        <f>J38/$D38</f>
        <v>1</v>
      </c>
      <c r="M38" s="214">
        <f>K38/$E38</f>
        <v>1</v>
      </c>
      <c r="N38" s="188">
        <v>1</v>
      </c>
      <c r="O38" s="188">
        <f>IF(N38=D38,E38,0)</f>
        <v>202</v>
      </c>
      <c r="P38" s="137">
        <f>N38/$D38</f>
        <v>1</v>
      </c>
      <c r="Q38" s="137">
        <f>O38/$E38</f>
        <v>1</v>
      </c>
      <c r="R38" s="20">
        <v>0</v>
      </c>
      <c r="S38" s="20">
        <f>IF(R38=D38,E38,0)</f>
        <v>0</v>
      </c>
      <c r="T38" s="137">
        <f>R38/$D38</f>
        <v>0</v>
      </c>
      <c r="U38" s="137">
        <f>S38/$E38</f>
        <v>0</v>
      </c>
      <c r="V38" s="20">
        <v>0</v>
      </c>
      <c r="W38" s="20">
        <f>IF(V38=D38,E38,0)</f>
        <v>0</v>
      </c>
      <c r="X38" s="137">
        <f>V38/$D38</f>
        <v>0</v>
      </c>
      <c r="Y38" s="137">
        <f>W38/$E38</f>
        <v>0</v>
      </c>
      <c r="Z38" s="59">
        <v>0</v>
      </c>
      <c r="AA38" s="20"/>
      <c r="AB38" s="17">
        <f>IF(AA38=D38,E38,0)</f>
        <v>0</v>
      </c>
      <c r="AC38" s="18">
        <f>AA38/$D38</f>
        <v>0</v>
      </c>
      <c r="AD38" s="18">
        <f>AB38/$E38</f>
        <v>0</v>
      </c>
      <c r="AE38" s="20"/>
      <c r="AF38" s="20">
        <f>R38-V38</f>
        <v>0</v>
      </c>
      <c r="AG38" s="20"/>
      <c r="AH38" s="20"/>
      <c r="AI38" s="20">
        <v>0</v>
      </c>
      <c r="AJ38" s="20">
        <f>IF(AI38=D38,E38,0)</f>
        <v>0</v>
      </c>
      <c r="AK38" s="20"/>
      <c r="AL38" s="20">
        <v>0</v>
      </c>
      <c r="AM38" s="20">
        <v>0</v>
      </c>
      <c r="AN38" s="139">
        <v>1</v>
      </c>
      <c r="BB38" s="20">
        <f>IF(AN38=1,E38,0)</f>
        <v>202</v>
      </c>
      <c r="BE38" s="20">
        <f>IF(AF38=1,S38,0)</f>
        <v>0</v>
      </c>
      <c r="BF38" s="20">
        <f>IF(AG38="A",S38,0)</f>
        <v>0</v>
      </c>
      <c r="BG38" s="20">
        <f>IF(AG38="B",S38,0)</f>
        <v>0</v>
      </c>
      <c r="BH38" s="20">
        <f>IF(AG38="C",S38,0)</f>
        <v>0</v>
      </c>
      <c r="BI38" s="20">
        <f>IF(AG38="D",S38,0)</f>
        <v>0</v>
      </c>
      <c r="BJ38" s="20">
        <f>IF(AG38="E",S38,0)</f>
        <v>0</v>
      </c>
      <c r="BK38" s="20">
        <f>SUM(BF38:BJ38)</f>
        <v>0</v>
      </c>
      <c r="BN38" s="143"/>
      <c r="BO38" s="126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B38" s="139"/>
      <c r="CD38" s="17">
        <f>BN38</f>
        <v>0</v>
      </c>
      <c r="CE38" s="17">
        <f t="shared" si="480"/>
        <v>0</v>
      </c>
      <c r="CF38" s="20">
        <f t="shared" si="480"/>
        <v>0</v>
      </c>
      <c r="CG38" s="20">
        <f t="shared" si="480"/>
        <v>0</v>
      </c>
      <c r="CH38" s="20">
        <f t="shared" si="480"/>
        <v>0</v>
      </c>
      <c r="CI38" s="20">
        <f t="shared" si="480"/>
        <v>0</v>
      </c>
      <c r="CJ38" s="20">
        <f t="shared" si="480"/>
        <v>0</v>
      </c>
      <c r="CK38" s="20">
        <f t="shared" si="480"/>
        <v>0</v>
      </c>
      <c r="CL38" s="20">
        <f t="shared" si="480"/>
        <v>0</v>
      </c>
      <c r="CM38" s="20">
        <f t="shared" si="480"/>
        <v>0</v>
      </c>
      <c r="CN38" s="20">
        <f t="shared" si="480"/>
        <v>0</v>
      </c>
      <c r="CO38" s="20">
        <f t="shared" si="480"/>
        <v>0</v>
      </c>
      <c r="CP38" s="20">
        <f t="shared" si="480"/>
        <v>0</v>
      </c>
      <c r="DV38" s="20">
        <f>IF(CB38=1,G38,0)</f>
        <v>0</v>
      </c>
      <c r="DW38" s="20">
        <f>IF(CC38="A",G38,0)</f>
        <v>0</v>
      </c>
      <c r="DX38" s="20">
        <f>IF(CC38="B",G38,0)</f>
        <v>0</v>
      </c>
      <c r="DY38" s="20">
        <f>IF(CC38="C",G38,0)</f>
        <v>0</v>
      </c>
      <c r="DZ38" s="20">
        <f>IF(CC38="D",G38,0)</f>
        <v>0</v>
      </c>
      <c r="EA38" s="20">
        <f>IF(CC38="E",G38,0)</f>
        <v>0</v>
      </c>
      <c r="EB38" s="20">
        <f>SUM(DW38:EA38)</f>
        <v>0</v>
      </c>
      <c r="EG38" s="57">
        <f>IF(AG38="C","C",IF(AG38="D","D",0))</f>
        <v>0</v>
      </c>
      <c r="EH38" s="57">
        <f>CC38</f>
        <v>0</v>
      </c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X38" s="80"/>
      <c r="FY38" s="17">
        <f>SUM(FZ38:GE38)</f>
        <v>0</v>
      </c>
      <c r="FZ38" s="17">
        <f t="shared" si="481"/>
        <v>0</v>
      </c>
      <c r="GA38" s="17">
        <f t="shared" si="481"/>
        <v>0</v>
      </c>
      <c r="GB38" s="17">
        <f t="shared" si="481"/>
        <v>0</v>
      </c>
      <c r="GC38" s="17">
        <f>DM38+CI38</f>
        <v>0</v>
      </c>
      <c r="GD38" s="17">
        <f>DO38+CK38</f>
        <v>0</v>
      </c>
      <c r="GE38" s="17">
        <f>DT38+CP38</f>
        <v>0</v>
      </c>
      <c r="GF38" s="67"/>
      <c r="GG38" s="17">
        <v>0</v>
      </c>
      <c r="GH38" s="17">
        <v>0</v>
      </c>
      <c r="GI38" s="67"/>
      <c r="GJ38" s="62">
        <f>FY38*GG38/1000000000</f>
        <v>0</v>
      </c>
      <c r="GK38" s="62">
        <f>FY38*GH38/1000000000</f>
        <v>0</v>
      </c>
      <c r="GO38" s="17">
        <f>D38-F38</f>
        <v>0</v>
      </c>
      <c r="GP38" s="17">
        <f>D38-J38</f>
        <v>0</v>
      </c>
      <c r="GQ38" s="17">
        <f>D38-N38</f>
        <v>0</v>
      </c>
      <c r="GR38" s="17">
        <f>D38-R38</f>
        <v>1</v>
      </c>
      <c r="GS38" s="17">
        <f>D38-V38</f>
        <v>1</v>
      </c>
      <c r="GT38" s="17">
        <f>IF(SUM(GO38:GS38)=0,1,0)</f>
        <v>0</v>
      </c>
      <c r="GU38" s="101">
        <f t="shared" si="143"/>
        <v>43243</v>
      </c>
      <c r="GV38" s="17" t="str">
        <f>IF(GO38&gt;0,$GO$6,IF(GP38&gt;0,$GP$6,IF(GQ38&gt;0,$GQ$6,IF(GR38&gt;0,$GR$6,IF(GS38&gt;0,$GS$6,IF(GT38&gt;0,$GT$6,0))))))</f>
        <v>Musyawarah</v>
      </c>
      <c r="GW38" s="17">
        <f>IF(GV38=$GO$6,GO38,IF(GV38=$GP$6,GP38,IF(GV38=$GQ$6,GQ38,IF(GV38=$GR$6,GR38,IF(GV38=$GS$6,GS38,0)))))</f>
        <v>1</v>
      </c>
      <c r="GX38" s="66" t="str">
        <f>GV38</f>
        <v>Musyawarah</v>
      </c>
      <c r="GY38" s="66">
        <f>IF(GX38="DNP",SUM($GY$4:$GY$8),IF(GX38="Survey KJPP",SUM($GY$5:$GY$8),IF(GX38="Hasil Valuasi",SUM($GY$6:$GY$8),IF(GX38="Musyawarah",SUM($GY$7:$GY$8),IF(GX38="UGR",$GY$8,0)))))</f>
        <v>24</v>
      </c>
      <c r="GZ38" s="102">
        <f>IF(GW38=0,"SELESAI",GU38+GY38)</f>
        <v>43267</v>
      </c>
      <c r="HA38" s="83"/>
      <c r="HB38" s="83"/>
      <c r="HC38" s="17">
        <f>IF(BH38&gt;0,1,IF(BI38&gt;0,1,0))</f>
        <v>0</v>
      </c>
      <c r="HD38" s="17">
        <f>IF(CB38&gt;0,1,0)</f>
        <v>0</v>
      </c>
      <c r="HE38" s="17">
        <f>HC38+HD38</f>
        <v>0</v>
      </c>
      <c r="HF38" s="17">
        <f>FQ38</f>
        <v>0</v>
      </c>
      <c r="HG38" s="17">
        <f>HE38-HF38</f>
        <v>0</v>
      </c>
      <c r="HH38" s="101" t="str">
        <f>IF(HG38=1,GU38+$HH$8,"TIDAK KONSINYASI")</f>
        <v>TIDAK KONSINYASI</v>
      </c>
      <c r="HI38" s="101">
        <f>IF(GW38=0,"SELESAI",GZ38+$HI$8)</f>
        <v>43312</v>
      </c>
      <c r="HJ38" s="27"/>
      <c r="HK38" s="101">
        <f>MAX(GZ38,HH38,HI38)</f>
        <v>43312</v>
      </c>
      <c r="HL38" s="83"/>
      <c r="HM38" s="83"/>
      <c r="HN38" s="83"/>
      <c r="HO38" s="83"/>
      <c r="HP38" s="102">
        <f>IF(HQ38=1,GZ38,0)</f>
        <v>0</v>
      </c>
      <c r="HQ38" s="66">
        <f>IF(IX38=0,IF(HT38=0,IF(IP38=0,IF(GV38="UGR",GS38,0),0),0),0)</f>
        <v>0</v>
      </c>
      <c r="HR38" s="66">
        <f>IF(HQ38=1,E38,0)</f>
        <v>0</v>
      </c>
      <c r="HS38" s="102">
        <f>IF(HT38=1,HH38,0)</f>
        <v>0</v>
      </c>
      <c r="HT38" s="66">
        <f>HG38</f>
        <v>0</v>
      </c>
      <c r="HU38" s="66">
        <f>IF(HT38=1,E38,0)</f>
        <v>0</v>
      </c>
      <c r="HV38" s="102">
        <f>IF(HW38=1,GZ38,0)</f>
        <v>0</v>
      </c>
      <c r="HW38" s="66">
        <f>IF(JB38=0,IF(IX38=0,IF(HT38=0,IF(GV38="MUSYAWARAH",GR38,0),0),0),0)</f>
        <v>0</v>
      </c>
      <c r="HX38" s="66">
        <f>IF(HW38=1,E38,0)</f>
        <v>0</v>
      </c>
      <c r="HY38" s="102">
        <f>IF(HZ38=1,HV38+$HI$8,0)</f>
        <v>0</v>
      </c>
      <c r="HZ38" s="66">
        <f>HW38</f>
        <v>0</v>
      </c>
      <c r="IA38" s="66">
        <f>IF(HZ38=1,E38,0)</f>
        <v>0</v>
      </c>
      <c r="IB38" s="102">
        <f>IF(IC38=1,$GU$3+SUM($GY$6:$GY$8),0)</f>
        <v>0</v>
      </c>
      <c r="IC38" s="66">
        <f>IF(GV38="Hasil Valuasi",GQ38,0)</f>
        <v>0</v>
      </c>
      <c r="ID38" s="66">
        <f>IF(IC38=1,E38,0)</f>
        <v>0</v>
      </c>
      <c r="IE38" s="102">
        <f>IF(IF38=1,IB38+$HI$8,0)</f>
        <v>0</v>
      </c>
      <c r="IF38" s="66">
        <f>IC38</f>
        <v>0</v>
      </c>
      <c r="IG38" s="66">
        <f>IF(IF38=1,E38,0)</f>
        <v>0</v>
      </c>
      <c r="IH38" s="102">
        <f>IF(II38=1,$GU$3+SUM($GY$5:$GY$8),0)</f>
        <v>0</v>
      </c>
      <c r="II38" s="66">
        <f>IF(GV38="Survey KJPP",GP38,0)</f>
        <v>0</v>
      </c>
      <c r="IJ38" s="66">
        <f>IF(II38=1,E38,0)</f>
        <v>0</v>
      </c>
      <c r="IK38" s="102">
        <f>IF(IL38=1,IH38+$HI$8,0)</f>
        <v>0</v>
      </c>
      <c r="IL38" s="66">
        <f>II38</f>
        <v>0</v>
      </c>
      <c r="IM38" s="66">
        <f>IF(IL38=1,E38,0)</f>
        <v>0</v>
      </c>
      <c r="IN38" s="83"/>
      <c r="IO38" s="102">
        <f>IF(IP38=1,+$GU$3+$HH$8,0)</f>
        <v>0</v>
      </c>
      <c r="IP38" s="66">
        <f>IF(BG38&gt;0,1,0)</f>
        <v>0</v>
      </c>
      <c r="IQ38" s="66">
        <f>IF(IP38=1,E38,0)</f>
        <v>0</v>
      </c>
      <c r="IR38" s="83"/>
      <c r="IS38" s="102"/>
      <c r="IT38" s="66">
        <f>V38</f>
        <v>0</v>
      </c>
      <c r="IU38" s="66">
        <f>W38</f>
        <v>0</v>
      </c>
      <c r="IV38" s="83"/>
      <c r="IW38" s="102"/>
      <c r="IX38" s="66">
        <f>AA38</f>
        <v>0</v>
      </c>
      <c r="IY38" s="66">
        <f>AB38</f>
        <v>0</v>
      </c>
      <c r="IZ38" s="83"/>
      <c r="JA38" s="102"/>
      <c r="JB38" s="66">
        <f>AN38</f>
        <v>1</v>
      </c>
      <c r="JC38" s="66">
        <f>BB38</f>
        <v>202</v>
      </c>
      <c r="JD38" s="83"/>
      <c r="JE38" s="102"/>
      <c r="JF38" s="66">
        <f>IT38+HQ38+HT38+HZ38+IF38+IL38+IP38+IX38+JB38</f>
        <v>1</v>
      </c>
      <c r="JG38" s="66">
        <f>IU38+HR38+HU38+IA38+IG38+IM38+IQ38+IY38+JC38</f>
        <v>202</v>
      </c>
      <c r="JH38" s="83"/>
      <c r="JI38" s="102"/>
      <c r="JJ38" s="66">
        <f>JF38-D38</f>
        <v>0</v>
      </c>
      <c r="JK38" s="66">
        <f>JG38-E38</f>
        <v>0</v>
      </c>
      <c r="JM38" s="102">
        <f>MAX(IW38,IS38,IO38,IK38,IE38,HY38,HS38,HP38)</f>
        <v>0</v>
      </c>
      <c r="JO38" s="29">
        <f>SUM(JQ38:KB38)</f>
        <v>0</v>
      </c>
      <c r="JP38" s="122">
        <f>BN38+CR38</f>
        <v>0</v>
      </c>
      <c r="JQ38" s="122">
        <f t="shared" si="482"/>
        <v>0</v>
      </c>
      <c r="JR38" s="122">
        <f t="shared" si="482"/>
        <v>0</v>
      </c>
      <c r="JS38" s="122">
        <f t="shared" si="482"/>
        <v>0</v>
      </c>
      <c r="JT38" s="122">
        <f t="shared" si="482"/>
        <v>0</v>
      </c>
      <c r="JU38" s="122">
        <f t="shared" si="482"/>
        <v>0</v>
      </c>
      <c r="JV38" s="122">
        <f t="shared" si="482"/>
        <v>0</v>
      </c>
      <c r="JW38" s="122">
        <f t="shared" si="482"/>
        <v>0</v>
      </c>
      <c r="JX38" s="122">
        <f t="shared" si="482"/>
        <v>0</v>
      </c>
      <c r="JY38" s="122">
        <f t="shared" si="482"/>
        <v>0</v>
      </c>
      <c r="JZ38" s="122">
        <f t="shared" si="482"/>
        <v>0</v>
      </c>
      <c r="KA38" s="122">
        <f t="shared" si="482"/>
        <v>0</v>
      </c>
      <c r="KB38" s="122">
        <f t="shared" si="482"/>
        <v>0</v>
      </c>
      <c r="KD38" s="122">
        <f>IF(IF(SUM(GA38:GE38)&gt;100,1,0)+IF(FX38=1,1,0)=2,1,0)</f>
        <v>0</v>
      </c>
      <c r="KE38" s="122">
        <f>IF(KD38=1,KF38,0)</f>
        <v>0</v>
      </c>
      <c r="KF38" s="122">
        <f t="shared" si="483"/>
        <v>0</v>
      </c>
      <c r="KG38" s="122">
        <f t="shared" si="483"/>
        <v>0</v>
      </c>
      <c r="KH38" s="122">
        <f t="shared" si="483"/>
        <v>0</v>
      </c>
      <c r="KI38" s="122">
        <f t="shared" si="483"/>
        <v>0</v>
      </c>
      <c r="KJ38" s="122">
        <f t="shared" si="483"/>
        <v>0</v>
      </c>
      <c r="KK38" s="122">
        <f t="shared" si="483"/>
        <v>0</v>
      </c>
      <c r="KL38" s="122">
        <f t="shared" si="483"/>
        <v>0</v>
      </c>
      <c r="KM38" s="122">
        <f t="shared" si="483"/>
        <v>0</v>
      </c>
      <c r="KN38" s="123">
        <f t="shared" si="483"/>
        <v>0</v>
      </c>
      <c r="KO38" s="123">
        <f t="shared" si="483"/>
        <v>0</v>
      </c>
      <c r="KP38" s="123">
        <f t="shared" si="483"/>
        <v>0</v>
      </c>
      <c r="KQ38" s="123">
        <f t="shared" si="483"/>
        <v>0</v>
      </c>
      <c r="KR38" s="123">
        <f t="shared" si="483"/>
        <v>0</v>
      </c>
      <c r="KS38">
        <v>7</v>
      </c>
      <c r="KT38">
        <f>AN38</f>
        <v>1</v>
      </c>
      <c r="KU38" s="123"/>
      <c r="KV38" s="123"/>
      <c r="KW38" s="123"/>
      <c r="KX38" s="123"/>
      <c r="KY38" s="123"/>
      <c r="KZ38" s="123"/>
      <c r="LA38" s="123"/>
      <c r="LB38" s="123"/>
      <c r="LC38" s="123"/>
      <c r="LD38" s="123"/>
      <c r="LE38" s="123"/>
      <c r="LF38" s="123"/>
      <c r="LG38" s="123"/>
      <c r="LH38" s="123"/>
      <c r="LI38" s="123"/>
      <c r="LJ38" s="123"/>
      <c r="LK38" s="123"/>
      <c r="LL38" s="123"/>
      <c r="LM38" s="123"/>
      <c r="LN38" s="123"/>
      <c r="LO38" s="123"/>
      <c r="LP38" s="123"/>
      <c r="LQ38" s="123"/>
      <c r="LR38" s="123"/>
      <c r="LS38" s="123"/>
      <c r="LT38" s="123"/>
      <c r="LU38" s="123"/>
      <c r="LV38" s="123"/>
      <c r="LW38" s="123"/>
      <c r="LX38" s="123"/>
      <c r="LY38" s="123"/>
      <c r="LZ38" s="123"/>
      <c r="MA38" s="123"/>
      <c r="MB38" s="123"/>
      <c r="MC38" s="123"/>
      <c r="MD38" s="123"/>
      <c r="ME38" s="123"/>
      <c r="MF38" s="123"/>
      <c r="MG38" s="123"/>
      <c r="MH38" s="123"/>
      <c r="MI38" s="123"/>
      <c r="MJ38" s="123"/>
      <c r="MK38" s="123"/>
      <c r="ML38" s="123"/>
      <c r="MM38" s="123"/>
      <c r="MN38" s="123"/>
      <c r="MO38" s="123"/>
      <c r="MP38" s="123"/>
      <c r="MQ38" s="123"/>
      <c r="MR38" s="123"/>
      <c r="MS38" s="123"/>
      <c r="MT38" s="123"/>
      <c r="MU38" s="123"/>
      <c r="MV38" s="123"/>
      <c r="MW38" s="123"/>
      <c r="MX38" s="123"/>
      <c r="MY38" s="123"/>
      <c r="MZ38" s="123"/>
      <c r="NA38" s="123"/>
      <c r="NB38" s="123"/>
      <c r="NC38" s="123"/>
      <c r="ND38" s="123"/>
      <c r="NE38" s="123"/>
      <c r="NF38" s="123"/>
      <c r="NG38" s="123"/>
      <c r="NH38" s="123"/>
      <c r="NI38" s="123"/>
      <c r="NJ38" s="123"/>
      <c r="NK38" s="123"/>
      <c r="NM38">
        <f>IF(KS38=1,1,0)</f>
        <v>0</v>
      </c>
      <c r="NN38">
        <f>IF(KS38=2,1,0)</f>
        <v>0</v>
      </c>
      <c r="NO38">
        <f>IF(KS38=3,1,0)</f>
        <v>0</v>
      </c>
      <c r="NP38">
        <f>IF(KS38=4,1,0)</f>
        <v>0</v>
      </c>
      <c r="NQ38">
        <f>IF(KS38=5,1,0)</f>
        <v>0</v>
      </c>
      <c r="NR38">
        <f>IF(KS38=6,1,0)</f>
        <v>0</v>
      </c>
      <c r="NS38">
        <f>IF(KS38=7,1,0)</f>
        <v>1</v>
      </c>
      <c r="NT38">
        <f>SUM(NM38:NS38)</f>
        <v>1</v>
      </c>
      <c r="NU38" s="29">
        <f>NT38-KT38</f>
        <v>0</v>
      </c>
      <c r="NY38" s="17">
        <f>V38</f>
        <v>0</v>
      </c>
      <c r="OE38" s="155"/>
      <c r="OF38" s="155">
        <f t="shared" si="461"/>
        <v>0</v>
      </c>
      <c r="OG38" s="155">
        <f t="shared" si="462"/>
        <v>1</v>
      </c>
      <c r="OH38" s="155">
        <f t="shared" si="463"/>
        <v>0</v>
      </c>
      <c r="OI38" s="155">
        <f t="shared" si="464"/>
        <v>1</v>
      </c>
      <c r="OJ38" s="67">
        <f t="shared" si="465"/>
        <v>0</v>
      </c>
      <c r="OK38" s="67">
        <f t="shared" si="466"/>
        <v>0</v>
      </c>
      <c r="OL38" s="67">
        <f t="shared" si="467"/>
        <v>0</v>
      </c>
      <c r="OM38" s="67">
        <f t="shared" si="468"/>
        <v>0</v>
      </c>
      <c r="OO38" s="155">
        <f t="shared" si="469"/>
        <v>0</v>
      </c>
      <c r="OP38" s="155">
        <f t="shared" si="470"/>
        <v>0</v>
      </c>
      <c r="OQ38" s="155">
        <f t="shared" si="471"/>
        <v>1</v>
      </c>
      <c r="OR38" s="155">
        <f t="shared" si="472"/>
        <v>0</v>
      </c>
      <c r="OS38" s="155">
        <f t="shared" si="473"/>
        <v>1</v>
      </c>
      <c r="OT38" s="67">
        <f t="shared" si="474"/>
        <v>0</v>
      </c>
      <c r="OU38" s="67">
        <f t="shared" si="475"/>
        <v>0</v>
      </c>
      <c r="OV38" s="67">
        <f t="shared" si="476"/>
        <v>0</v>
      </c>
      <c r="OW38" s="67">
        <f t="shared" si="477"/>
        <v>0</v>
      </c>
      <c r="OZ38" s="163"/>
      <c r="PA38" s="166"/>
      <c r="PB38" s="166">
        <v>1</v>
      </c>
      <c r="PC38" s="166"/>
      <c r="PD38" s="210">
        <f t="shared" si="125"/>
        <v>1</v>
      </c>
      <c r="PE38" s="210">
        <v>1</v>
      </c>
      <c r="PF38" s="210">
        <f t="shared" si="126"/>
        <v>0</v>
      </c>
      <c r="PG38" s="210">
        <f t="shared" si="127"/>
        <v>0</v>
      </c>
      <c r="PH38" s="210">
        <f t="shared" si="127"/>
        <v>202</v>
      </c>
      <c r="PI38" s="210">
        <f t="shared" si="127"/>
        <v>0</v>
      </c>
      <c r="PJ38" s="210">
        <f t="shared" si="127"/>
        <v>202</v>
      </c>
      <c r="PK38" s="210">
        <f t="shared" si="127"/>
        <v>202</v>
      </c>
      <c r="PL38" s="210">
        <f t="shared" si="127"/>
        <v>0</v>
      </c>
      <c r="PM38" s="164"/>
      <c r="PN38" s="164"/>
      <c r="PO38" s="172">
        <f>IF(FC38=1,AB38,0)</f>
        <v>0</v>
      </c>
      <c r="PP38" s="172">
        <f>IF(FF38=1,AB38,0)</f>
        <v>0</v>
      </c>
      <c r="PQ38" s="172">
        <f>AB38-(PO38+PP38)</f>
        <v>0</v>
      </c>
      <c r="PR38" s="164"/>
      <c r="PS38" s="164"/>
      <c r="PT38" s="164"/>
      <c r="PU38" s="164"/>
    </row>
    <row r="39" spans="1:437" ht="16" x14ac:dyDescent="0.2">
      <c r="A39" s="19">
        <f t="shared" si="189"/>
        <v>31</v>
      </c>
      <c r="B39" s="158" t="s">
        <v>691</v>
      </c>
      <c r="C39" s="186">
        <v>7</v>
      </c>
      <c r="D39" s="188">
        <v>1</v>
      </c>
      <c r="E39" s="188">
        <v>32</v>
      </c>
      <c r="F39" s="188">
        <v>1</v>
      </c>
      <c r="G39" s="188">
        <f t="shared" si="478"/>
        <v>32</v>
      </c>
      <c r="H39" s="214">
        <f t="shared" si="368"/>
        <v>1</v>
      </c>
      <c r="I39" s="214">
        <f t="shared" si="369"/>
        <v>1</v>
      </c>
      <c r="J39" s="188">
        <v>1</v>
      </c>
      <c r="K39" s="188">
        <f t="shared" ref="K39:K42" si="484">IF(J39=D39,E39,0)</f>
        <v>32</v>
      </c>
      <c r="L39" s="214">
        <f t="shared" ref="L39:L42" si="485">J39/$D39</f>
        <v>1</v>
      </c>
      <c r="M39" s="214">
        <f t="shared" ref="M39:M42" si="486">K39/$E39</f>
        <v>1</v>
      </c>
      <c r="N39" s="188">
        <v>1</v>
      </c>
      <c r="O39" s="188">
        <f t="shared" si="373"/>
        <v>32</v>
      </c>
      <c r="P39" s="214">
        <f t="shared" si="374"/>
        <v>1</v>
      </c>
      <c r="Q39" s="214">
        <f t="shared" si="375"/>
        <v>1</v>
      </c>
      <c r="R39" s="188">
        <v>0</v>
      </c>
      <c r="S39" s="188">
        <f t="shared" si="376"/>
        <v>0</v>
      </c>
      <c r="T39" s="214">
        <f t="shared" si="377"/>
        <v>0</v>
      </c>
      <c r="U39" s="214">
        <f t="shared" si="378"/>
        <v>0</v>
      </c>
      <c r="V39" s="188">
        <v>0</v>
      </c>
      <c r="W39" s="188">
        <f t="shared" si="379"/>
        <v>0</v>
      </c>
      <c r="X39" s="214">
        <f t="shared" si="380"/>
        <v>0</v>
      </c>
      <c r="Y39" s="214">
        <f t="shared" si="381"/>
        <v>0</v>
      </c>
      <c r="Z39" s="271">
        <v>0</v>
      </c>
      <c r="AA39" s="188"/>
      <c r="AB39" s="189">
        <f t="shared" si="382"/>
        <v>0</v>
      </c>
      <c r="AC39" s="250">
        <f t="shared" si="383"/>
        <v>0</v>
      </c>
      <c r="AD39" s="18">
        <f t="shared" si="384"/>
        <v>0</v>
      </c>
      <c r="AE39" s="20"/>
      <c r="AF39" s="20">
        <f t="shared" si="385"/>
        <v>0</v>
      </c>
      <c r="AG39" s="20"/>
      <c r="AH39" s="20"/>
      <c r="AI39" s="20">
        <v>0</v>
      </c>
      <c r="AJ39" s="20">
        <f t="shared" si="386"/>
        <v>0</v>
      </c>
      <c r="AK39" s="20"/>
      <c r="AL39" s="20">
        <v>0</v>
      </c>
      <c r="AM39" s="20">
        <v>0</v>
      </c>
      <c r="AN39" s="139">
        <v>1</v>
      </c>
      <c r="BB39" s="20">
        <f t="shared" si="479"/>
        <v>32</v>
      </c>
      <c r="BE39" s="20">
        <f t="shared" si="387"/>
        <v>0</v>
      </c>
      <c r="BF39" s="20">
        <f t="shared" si="388"/>
        <v>0</v>
      </c>
      <c r="BG39" s="20">
        <f t="shared" si="389"/>
        <v>0</v>
      </c>
      <c r="BH39" s="20">
        <f t="shared" si="390"/>
        <v>0</v>
      </c>
      <c r="BI39" s="20">
        <f t="shared" si="391"/>
        <v>0</v>
      </c>
      <c r="BJ39" s="20">
        <f t="shared" si="392"/>
        <v>0</v>
      </c>
      <c r="BK39" s="20">
        <f t="shared" si="393"/>
        <v>0</v>
      </c>
      <c r="BN39" s="143"/>
      <c r="BO39" s="126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B39" s="139"/>
      <c r="CD39" s="17">
        <f t="shared" si="394"/>
        <v>0</v>
      </c>
      <c r="CE39" s="17">
        <f t="shared" si="395"/>
        <v>0</v>
      </c>
      <c r="CF39" s="20">
        <f t="shared" si="396"/>
        <v>0</v>
      </c>
      <c r="CG39" s="20">
        <f t="shared" si="397"/>
        <v>0</v>
      </c>
      <c r="CH39" s="20">
        <f t="shared" si="398"/>
        <v>0</v>
      </c>
      <c r="CI39" s="20">
        <f t="shared" si="399"/>
        <v>0</v>
      </c>
      <c r="CJ39" s="20">
        <f t="shared" si="400"/>
        <v>0</v>
      </c>
      <c r="CK39" s="20">
        <f t="shared" si="401"/>
        <v>0</v>
      </c>
      <c r="CL39" s="20">
        <f t="shared" si="402"/>
        <v>0</v>
      </c>
      <c r="CM39" s="20">
        <f t="shared" si="403"/>
        <v>0</v>
      </c>
      <c r="CN39" s="20">
        <f t="shared" si="404"/>
        <v>0</v>
      </c>
      <c r="CO39" s="20">
        <f t="shared" si="405"/>
        <v>0</v>
      </c>
      <c r="CP39" s="20">
        <f t="shared" si="406"/>
        <v>0</v>
      </c>
      <c r="DV39" s="20">
        <f t="shared" si="407"/>
        <v>0</v>
      </c>
      <c r="DW39" s="20">
        <f t="shared" si="408"/>
        <v>0</v>
      </c>
      <c r="DX39" s="20">
        <f t="shared" si="409"/>
        <v>0</v>
      </c>
      <c r="DY39" s="20">
        <f t="shared" si="410"/>
        <v>0</v>
      </c>
      <c r="DZ39" s="20">
        <f t="shared" si="411"/>
        <v>0</v>
      </c>
      <c r="EA39" s="20">
        <f t="shared" si="412"/>
        <v>0</v>
      </c>
      <c r="EB39" s="20">
        <f t="shared" si="413"/>
        <v>0</v>
      </c>
      <c r="EG39" s="57">
        <f t="shared" si="414"/>
        <v>0</v>
      </c>
      <c r="EH39" s="57">
        <f t="shared" si="415"/>
        <v>0</v>
      </c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X39" s="80"/>
      <c r="FY39" s="17">
        <f t="shared" si="416"/>
        <v>0</v>
      </c>
      <c r="FZ39" s="17">
        <f t="shared" si="309"/>
        <v>0</v>
      </c>
      <c r="GA39" s="17">
        <f t="shared" si="310"/>
        <v>0</v>
      </c>
      <c r="GB39" s="17">
        <f t="shared" si="311"/>
        <v>0</v>
      </c>
      <c r="GC39" s="17">
        <f t="shared" si="312"/>
        <v>0</v>
      </c>
      <c r="GD39" s="17">
        <f t="shared" si="313"/>
        <v>0</v>
      </c>
      <c r="GE39" s="17">
        <f t="shared" si="314"/>
        <v>0</v>
      </c>
      <c r="GF39" s="67"/>
      <c r="GG39" s="17">
        <v>0</v>
      </c>
      <c r="GH39" s="17">
        <v>0</v>
      </c>
      <c r="GI39" s="67"/>
      <c r="GJ39" s="62">
        <f t="shared" si="417"/>
        <v>0</v>
      </c>
      <c r="GK39" s="62">
        <f t="shared" si="418"/>
        <v>0</v>
      </c>
      <c r="GO39" s="17">
        <f t="shared" si="315"/>
        <v>0</v>
      </c>
      <c r="GP39" s="17">
        <f t="shared" si="316"/>
        <v>0</v>
      </c>
      <c r="GQ39" s="17">
        <f t="shared" si="317"/>
        <v>0</v>
      </c>
      <c r="GR39" s="17">
        <f t="shared" si="318"/>
        <v>1</v>
      </c>
      <c r="GS39" s="17">
        <f t="shared" si="319"/>
        <v>1</v>
      </c>
      <c r="GT39" s="17">
        <f t="shared" si="419"/>
        <v>0</v>
      </c>
      <c r="GU39" s="101">
        <f t="shared" si="143"/>
        <v>43243</v>
      </c>
      <c r="GV39" s="17" t="str">
        <f t="shared" si="420"/>
        <v>Musyawarah</v>
      </c>
      <c r="GW39" s="17">
        <f t="shared" si="421"/>
        <v>1</v>
      </c>
      <c r="GX39" s="66" t="str">
        <f t="shared" si="422"/>
        <v>Musyawarah</v>
      </c>
      <c r="GY39" s="66">
        <f t="shared" si="423"/>
        <v>24</v>
      </c>
      <c r="GZ39" s="102">
        <f t="shared" si="424"/>
        <v>43267</v>
      </c>
      <c r="HA39" s="83"/>
      <c r="HB39" s="83"/>
      <c r="HC39" s="17">
        <f t="shared" si="320"/>
        <v>0</v>
      </c>
      <c r="HD39" s="17">
        <f t="shared" si="321"/>
        <v>0</v>
      </c>
      <c r="HE39" s="17">
        <f t="shared" si="425"/>
        <v>0</v>
      </c>
      <c r="HF39" s="17">
        <f t="shared" si="426"/>
        <v>0</v>
      </c>
      <c r="HG39" s="17">
        <f t="shared" si="427"/>
        <v>0</v>
      </c>
      <c r="HH39" s="101" t="str">
        <f t="shared" si="428"/>
        <v>TIDAK KONSINYASI</v>
      </c>
      <c r="HI39" s="101">
        <f t="shared" si="429"/>
        <v>43312</v>
      </c>
      <c r="HJ39" s="27"/>
      <c r="HK39" s="101">
        <f t="shared" si="430"/>
        <v>43312</v>
      </c>
      <c r="HL39" s="83"/>
      <c r="HM39" s="83"/>
      <c r="HN39" s="83"/>
      <c r="HO39" s="83"/>
      <c r="HP39" s="102">
        <f t="shared" si="431"/>
        <v>0</v>
      </c>
      <c r="HQ39" s="66">
        <f t="shared" si="432"/>
        <v>0</v>
      </c>
      <c r="HR39" s="66">
        <f t="shared" si="322"/>
        <v>0</v>
      </c>
      <c r="HS39" s="102">
        <f t="shared" si="433"/>
        <v>0</v>
      </c>
      <c r="HT39" s="66">
        <f t="shared" si="434"/>
        <v>0</v>
      </c>
      <c r="HU39" s="66">
        <f t="shared" si="323"/>
        <v>0</v>
      </c>
      <c r="HV39" s="102">
        <f t="shared" si="435"/>
        <v>0</v>
      </c>
      <c r="HW39" s="66">
        <f t="shared" si="436"/>
        <v>0</v>
      </c>
      <c r="HX39" s="66">
        <f t="shared" si="324"/>
        <v>0</v>
      </c>
      <c r="HY39" s="102">
        <f t="shared" si="437"/>
        <v>0</v>
      </c>
      <c r="HZ39" s="66">
        <f t="shared" si="438"/>
        <v>0</v>
      </c>
      <c r="IA39" s="66">
        <f t="shared" si="325"/>
        <v>0</v>
      </c>
      <c r="IB39" s="102">
        <f t="shared" si="439"/>
        <v>0</v>
      </c>
      <c r="IC39" s="66">
        <f t="shared" si="440"/>
        <v>0</v>
      </c>
      <c r="ID39" s="66">
        <f t="shared" si="326"/>
        <v>0</v>
      </c>
      <c r="IE39" s="102">
        <f t="shared" si="441"/>
        <v>0</v>
      </c>
      <c r="IF39" s="66">
        <f t="shared" si="442"/>
        <v>0</v>
      </c>
      <c r="IG39" s="66">
        <f t="shared" si="327"/>
        <v>0</v>
      </c>
      <c r="IH39" s="102">
        <f t="shared" si="443"/>
        <v>0</v>
      </c>
      <c r="II39" s="66">
        <f t="shared" si="444"/>
        <v>0</v>
      </c>
      <c r="IJ39" s="66">
        <f t="shared" si="328"/>
        <v>0</v>
      </c>
      <c r="IK39" s="102">
        <f t="shared" si="445"/>
        <v>0</v>
      </c>
      <c r="IL39" s="66">
        <f t="shared" si="446"/>
        <v>0</v>
      </c>
      <c r="IM39" s="66">
        <f t="shared" si="329"/>
        <v>0</v>
      </c>
      <c r="IN39" s="83"/>
      <c r="IO39" s="102">
        <f t="shared" si="447"/>
        <v>0</v>
      </c>
      <c r="IP39" s="66">
        <f t="shared" si="330"/>
        <v>0</v>
      </c>
      <c r="IQ39" s="66">
        <f t="shared" si="331"/>
        <v>0</v>
      </c>
      <c r="IR39" s="83"/>
      <c r="IS39" s="102"/>
      <c r="IT39" s="66">
        <f t="shared" si="332"/>
        <v>0</v>
      </c>
      <c r="IU39" s="66">
        <f t="shared" si="333"/>
        <v>0</v>
      </c>
      <c r="IV39" s="83"/>
      <c r="IW39" s="102"/>
      <c r="IX39" s="66">
        <f t="shared" si="334"/>
        <v>0</v>
      </c>
      <c r="IY39" s="66">
        <f t="shared" si="335"/>
        <v>0</v>
      </c>
      <c r="IZ39" s="83"/>
      <c r="JA39" s="102"/>
      <c r="JB39" s="66">
        <f t="shared" si="336"/>
        <v>1</v>
      </c>
      <c r="JC39" s="66">
        <f t="shared" si="337"/>
        <v>32</v>
      </c>
      <c r="JD39" s="83"/>
      <c r="JE39" s="102"/>
      <c r="JF39" s="66">
        <f t="shared" si="448"/>
        <v>1</v>
      </c>
      <c r="JG39" s="66">
        <f t="shared" si="449"/>
        <v>32</v>
      </c>
      <c r="JH39" s="83"/>
      <c r="JI39" s="102"/>
      <c r="JJ39" s="66">
        <f t="shared" si="338"/>
        <v>0</v>
      </c>
      <c r="JK39" s="66">
        <f t="shared" si="339"/>
        <v>0</v>
      </c>
      <c r="JM39" s="102">
        <f t="shared" si="450"/>
        <v>0</v>
      </c>
      <c r="JO39" s="29">
        <f t="shared" si="451"/>
        <v>0</v>
      </c>
      <c r="JP39" s="122">
        <f t="shared" si="340"/>
        <v>0</v>
      </c>
      <c r="JQ39" s="122">
        <f t="shared" si="341"/>
        <v>0</v>
      </c>
      <c r="JR39" s="122">
        <f t="shared" si="342"/>
        <v>0</v>
      </c>
      <c r="JS39" s="122">
        <f t="shared" si="343"/>
        <v>0</v>
      </c>
      <c r="JT39" s="122">
        <f t="shared" si="344"/>
        <v>0</v>
      </c>
      <c r="JU39" s="122">
        <f t="shared" si="345"/>
        <v>0</v>
      </c>
      <c r="JV39" s="122">
        <f t="shared" si="346"/>
        <v>0</v>
      </c>
      <c r="JW39" s="122">
        <f t="shared" si="347"/>
        <v>0</v>
      </c>
      <c r="JX39" s="122">
        <f t="shared" si="348"/>
        <v>0</v>
      </c>
      <c r="JY39" s="122">
        <f t="shared" si="349"/>
        <v>0</v>
      </c>
      <c r="JZ39" s="122">
        <f t="shared" si="350"/>
        <v>0</v>
      </c>
      <c r="KA39" s="122">
        <f t="shared" si="351"/>
        <v>0</v>
      </c>
      <c r="KB39" s="122">
        <f t="shared" si="352"/>
        <v>0</v>
      </c>
      <c r="KD39" s="122">
        <f t="shared" si="164"/>
        <v>0</v>
      </c>
      <c r="KE39" s="122">
        <f t="shared" si="102"/>
        <v>0</v>
      </c>
      <c r="KF39" s="122">
        <f t="shared" si="353"/>
        <v>0</v>
      </c>
      <c r="KG39" s="122">
        <f t="shared" si="354"/>
        <v>0</v>
      </c>
      <c r="KH39" s="122">
        <f t="shared" si="355"/>
        <v>0</v>
      </c>
      <c r="KI39" s="122">
        <f t="shared" si="356"/>
        <v>0</v>
      </c>
      <c r="KJ39" s="122">
        <f t="shared" si="357"/>
        <v>0</v>
      </c>
      <c r="KK39" s="122">
        <f t="shared" si="358"/>
        <v>0</v>
      </c>
      <c r="KL39" s="122">
        <f t="shared" si="359"/>
        <v>0</v>
      </c>
      <c r="KM39" s="122">
        <f t="shared" si="360"/>
        <v>0</v>
      </c>
      <c r="KN39" s="123">
        <f t="shared" si="361"/>
        <v>0</v>
      </c>
      <c r="KO39" s="123">
        <f t="shared" si="362"/>
        <v>0</v>
      </c>
      <c r="KP39" s="123">
        <f t="shared" si="363"/>
        <v>0</v>
      </c>
      <c r="KQ39" s="123">
        <f t="shared" si="364"/>
        <v>0</v>
      </c>
      <c r="KR39" s="123">
        <f t="shared" si="365"/>
        <v>0</v>
      </c>
      <c r="KS39">
        <v>7</v>
      </c>
      <c r="KT39">
        <f t="shared" si="366"/>
        <v>1</v>
      </c>
      <c r="KU39" s="123"/>
      <c r="KV39" s="123"/>
      <c r="KW39" s="123"/>
      <c r="KX39" s="123"/>
      <c r="KY39" s="123"/>
      <c r="KZ39" s="123"/>
      <c r="LA39" s="123"/>
      <c r="LB39" s="123"/>
      <c r="LC39" s="123"/>
      <c r="LD39" s="123"/>
      <c r="LE39" s="123"/>
      <c r="LF39" s="123"/>
      <c r="LG39" s="123"/>
      <c r="LH39" s="123"/>
      <c r="LI39" s="123"/>
      <c r="LJ39" s="123"/>
      <c r="LK39" s="123"/>
      <c r="LL39" s="123"/>
      <c r="LM39" s="123"/>
      <c r="LN39" s="123"/>
      <c r="LO39" s="123"/>
      <c r="LP39" s="123"/>
      <c r="LQ39" s="123"/>
      <c r="LR39" s="123"/>
      <c r="LS39" s="123"/>
      <c r="LT39" s="123"/>
      <c r="LU39" s="123"/>
      <c r="LV39" s="123"/>
      <c r="LW39" s="123"/>
      <c r="LX39" s="123"/>
      <c r="LY39" s="123"/>
      <c r="LZ39" s="123"/>
      <c r="MA39" s="123"/>
      <c r="MB39" s="123"/>
      <c r="MC39" s="123"/>
      <c r="MD39" s="123"/>
      <c r="ME39" s="123"/>
      <c r="MF39" s="123"/>
      <c r="MG39" s="123"/>
      <c r="MH39" s="123"/>
      <c r="MI39" s="123"/>
      <c r="MJ39" s="123"/>
      <c r="MK39" s="123"/>
      <c r="ML39" s="123"/>
      <c r="MM39" s="123"/>
      <c r="MN39" s="123"/>
      <c r="MO39" s="123"/>
      <c r="MP39" s="123"/>
      <c r="MQ39" s="123"/>
      <c r="MR39" s="123"/>
      <c r="MS39" s="123"/>
      <c r="MT39" s="123"/>
      <c r="MU39" s="123"/>
      <c r="MV39" s="123"/>
      <c r="MW39" s="123"/>
      <c r="MX39" s="123"/>
      <c r="MY39" s="123"/>
      <c r="MZ39" s="123"/>
      <c r="NA39" s="123"/>
      <c r="NB39" s="123"/>
      <c r="NC39" s="123"/>
      <c r="ND39" s="123"/>
      <c r="NE39" s="123"/>
      <c r="NF39" s="123"/>
      <c r="NG39" s="123"/>
      <c r="NH39" s="123"/>
      <c r="NI39" s="123"/>
      <c r="NJ39" s="123"/>
      <c r="NK39" s="123"/>
      <c r="NM39">
        <f t="shared" si="452"/>
        <v>0</v>
      </c>
      <c r="NN39">
        <f t="shared" si="453"/>
        <v>0</v>
      </c>
      <c r="NO39">
        <f t="shared" si="454"/>
        <v>0</v>
      </c>
      <c r="NP39">
        <f t="shared" si="455"/>
        <v>0</v>
      </c>
      <c r="NQ39">
        <f t="shared" si="456"/>
        <v>0</v>
      </c>
      <c r="NR39">
        <f t="shared" si="457"/>
        <v>0</v>
      </c>
      <c r="NS39">
        <f t="shared" si="458"/>
        <v>1</v>
      </c>
      <c r="NT39">
        <f t="shared" si="459"/>
        <v>1</v>
      </c>
      <c r="NU39" s="29">
        <f t="shared" si="460"/>
        <v>0</v>
      </c>
      <c r="NY39" s="17">
        <f t="shared" si="118"/>
        <v>0</v>
      </c>
      <c r="OE39" s="155"/>
      <c r="OF39" s="155">
        <f t="shared" si="461"/>
        <v>0</v>
      </c>
      <c r="OG39" s="155">
        <f t="shared" si="462"/>
        <v>1</v>
      </c>
      <c r="OH39" s="155">
        <f t="shared" si="463"/>
        <v>0</v>
      </c>
      <c r="OI39" s="155">
        <f t="shared" si="464"/>
        <v>1</v>
      </c>
      <c r="OJ39" s="67">
        <f t="shared" si="465"/>
        <v>0</v>
      </c>
      <c r="OK39" s="67">
        <f t="shared" si="466"/>
        <v>0</v>
      </c>
      <c r="OL39" s="67">
        <f t="shared" si="467"/>
        <v>0</v>
      </c>
      <c r="OM39" s="67">
        <f t="shared" si="468"/>
        <v>0</v>
      </c>
      <c r="OO39" s="155">
        <f t="shared" si="469"/>
        <v>0</v>
      </c>
      <c r="OP39" s="155">
        <f t="shared" si="470"/>
        <v>0</v>
      </c>
      <c r="OQ39" s="155">
        <f t="shared" si="471"/>
        <v>1</v>
      </c>
      <c r="OR39" s="155">
        <f t="shared" si="472"/>
        <v>0</v>
      </c>
      <c r="OS39" s="155">
        <f t="shared" si="473"/>
        <v>1</v>
      </c>
      <c r="OT39" s="67">
        <f t="shared" si="474"/>
        <v>0</v>
      </c>
      <c r="OU39" s="67">
        <f t="shared" si="475"/>
        <v>0</v>
      </c>
      <c r="OV39" s="67">
        <f t="shared" si="476"/>
        <v>0</v>
      </c>
      <c r="OW39" s="67">
        <f t="shared" si="477"/>
        <v>0</v>
      </c>
      <c r="OZ39" s="163"/>
      <c r="PA39" s="166">
        <v>1</v>
      </c>
      <c r="PB39" s="166"/>
      <c r="PC39" s="166"/>
      <c r="PD39" s="210">
        <f t="shared" si="125"/>
        <v>0</v>
      </c>
      <c r="PE39" s="210"/>
      <c r="PF39" s="210">
        <f t="shared" si="126"/>
        <v>0</v>
      </c>
      <c r="PG39" s="210">
        <f t="shared" si="127"/>
        <v>32</v>
      </c>
      <c r="PH39" s="210">
        <f t="shared" si="127"/>
        <v>0</v>
      </c>
      <c r="PI39" s="210">
        <f t="shared" si="127"/>
        <v>0</v>
      </c>
      <c r="PJ39" s="210">
        <f t="shared" si="127"/>
        <v>0</v>
      </c>
      <c r="PK39" s="210">
        <f t="shared" si="127"/>
        <v>0</v>
      </c>
      <c r="PL39" s="210">
        <f t="shared" si="127"/>
        <v>0</v>
      </c>
      <c r="PM39" s="164"/>
      <c r="PN39" s="164"/>
      <c r="PO39" s="172">
        <f t="shared" si="186"/>
        <v>0</v>
      </c>
      <c r="PP39" s="172">
        <f t="shared" si="187"/>
        <v>0</v>
      </c>
      <c r="PQ39" s="172">
        <f t="shared" si="188"/>
        <v>0</v>
      </c>
      <c r="PR39" s="164"/>
      <c r="PS39" s="164"/>
      <c r="PT39" s="164"/>
      <c r="PU39" s="164"/>
    </row>
    <row r="40" spans="1:437" ht="16" x14ac:dyDescent="0.2">
      <c r="A40" s="19">
        <f t="shared" si="189"/>
        <v>32</v>
      </c>
      <c r="B40" s="158" t="s">
        <v>692</v>
      </c>
      <c r="C40" s="186">
        <v>8</v>
      </c>
      <c r="D40" s="188">
        <v>1</v>
      </c>
      <c r="E40" s="188">
        <v>50</v>
      </c>
      <c r="F40" s="188">
        <v>1</v>
      </c>
      <c r="G40" s="188">
        <f t="shared" si="478"/>
        <v>50</v>
      </c>
      <c r="H40" s="214">
        <f t="shared" si="368"/>
        <v>1</v>
      </c>
      <c r="I40" s="214">
        <f t="shared" si="369"/>
        <v>1</v>
      </c>
      <c r="J40" s="188">
        <v>1</v>
      </c>
      <c r="K40" s="188">
        <f t="shared" si="484"/>
        <v>50</v>
      </c>
      <c r="L40" s="214">
        <f t="shared" si="485"/>
        <v>1</v>
      </c>
      <c r="M40" s="214">
        <f t="shared" si="486"/>
        <v>1</v>
      </c>
      <c r="N40" s="188">
        <v>1</v>
      </c>
      <c r="O40" s="188">
        <f t="shared" si="373"/>
        <v>50</v>
      </c>
      <c r="P40" s="214">
        <f t="shared" si="374"/>
        <v>1</v>
      </c>
      <c r="Q40" s="214">
        <f t="shared" si="375"/>
        <v>1</v>
      </c>
      <c r="R40" s="188">
        <v>0</v>
      </c>
      <c r="S40" s="188">
        <f t="shared" si="376"/>
        <v>0</v>
      </c>
      <c r="T40" s="214">
        <f t="shared" si="377"/>
        <v>0</v>
      </c>
      <c r="U40" s="214">
        <f t="shared" si="378"/>
        <v>0</v>
      </c>
      <c r="V40" s="188">
        <v>0</v>
      </c>
      <c r="W40" s="188">
        <f t="shared" si="379"/>
        <v>0</v>
      </c>
      <c r="X40" s="214">
        <f t="shared" si="380"/>
        <v>0</v>
      </c>
      <c r="Y40" s="214">
        <f t="shared" si="381"/>
        <v>0</v>
      </c>
      <c r="Z40" s="271">
        <v>0</v>
      </c>
      <c r="AA40" s="188"/>
      <c r="AB40" s="189">
        <f t="shared" si="382"/>
        <v>0</v>
      </c>
      <c r="AC40" s="250">
        <f t="shared" si="383"/>
        <v>0</v>
      </c>
      <c r="AD40" s="18">
        <f t="shared" si="384"/>
        <v>0</v>
      </c>
      <c r="AE40" s="20"/>
      <c r="AF40" s="20">
        <f t="shared" si="385"/>
        <v>0</v>
      </c>
      <c r="AG40" s="20"/>
      <c r="AH40" s="20"/>
      <c r="AI40" s="20">
        <v>0</v>
      </c>
      <c r="AJ40" s="20">
        <f t="shared" si="386"/>
        <v>0</v>
      </c>
      <c r="AK40" s="20"/>
      <c r="AL40" s="20">
        <v>0</v>
      </c>
      <c r="AM40" s="20">
        <v>0</v>
      </c>
      <c r="AN40" s="139">
        <v>1</v>
      </c>
      <c r="BB40" s="20">
        <f t="shared" si="479"/>
        <v>50</v>
      </c>
      <c r="BE40" s="20">
        <f t="shared" si="387"/>
        <v>0</v>
      </c>
      <c r="BF40" s="20">
        <f t="shared" si="388"/>
        <v>0</v>
      </c>
      <c r="BG40" s="20">
        <f t="shared" si="389"/>
        <v>0</v>
      </c>
      <c r="BH40" s="20">
        <f t="shared" si="390"/>
        <v>0</v>
      </c>
      <c r="BI40" s="20">
        <f t="shared" si="391"/>
        <v>0</v>
      </c>
      <c r="BJ40" s="20">
        <f t="shared" si="392"/>
        <v>0</v>
      </c>
      <c r="BK40" s="20">
        <f t="shared" si="393"/>
        <v>0</v>
      </c>
      <c r="BN40" s="143"/>
      <c r="BO40" s="126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B40" s="139"/>
      <c r="CD40" s="17">
        <f t="shared" si="394"/>
        <v>0</v>
      </c>
      <c r="CE40" s="17">
        <f t="shared" si="395"/>
        <v>0</v>
      </c>
      <c r="CF40" s="20">
        <f t="shared" si="396"/>
        <v>0</v>
      </c>
      <c r="CG40" s="20">
        <f t="shared" si="397"/>
        <v>0</v>
      </c>
      <c r="CH40" s="20">
        <f t="shared" si="398"/>
        <v>0</v>
      </c>
      <c r="CI40" s="20">
        <f t="shared" si="399"/>
        <v>0</v>
      </c>
      <c r="CJ40" s="20">
        <f t="shared" si="400"/>
        <v>0</v>
      </c>
      <c r="CK40" s="20">
        <f t="shared" si="401"/>
        <v>0</v>
      </c>
      <c r="CL40" s="20">
        <f t="shared" si="402"/>
        <v>0</v>
      </c>
      <c r="CM40" s="20">
        <f t="shared" si="403"/>
        <v>0</v>
      </c>
      <c r="CN40" s="20">
        <f t="shared" si="404"/>
        <v>0</v>
      </c>
      <c r="CO40" s="20">
        <f t="shared" si="405"/>
        <v>0</v>
      </c>
      <c r="CP40" s="20">
        <f t="shared" si="406"/>
        <v>0</v>
      </c>
      <c r="DV40" s="20">
        <f t="shared" si="407"/>
        <v>0</v>
      </c>
      <c r="DW40" s="20">
        <f t="shared" si="408"/>
        <v>0</v>
      </c>
      <c r="DX40" s="20">
        <f t="shared" si="409"/>
        <v>0</v>
      </c>
      <c r="DY40" s="20">
        <f t="shared" si="410"/>
        <v>0</v>
      </c>
      <c r="DZ40" s="20">
        <f t="shared" si="411"/>
        <v>0</v>
      </c>
      <c r="EA40" s="20">
        <f t="shared" si="412"/>
        <v>0</v>
      </c>
      <c r="EB40" s="20">
        <f t="shared" si="413"/>
        <v>0</v>
      </c>
      <c r="EG40" s="57">
        <f t="shared" si="414"/>
        <v>0</v>
      </c>
      <c r="EH40" s="57">
        <f t="shared" si="415"/>
        <v>0</v>
      </c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X40" s="80"/>
      <c r="FY40" s="17">
        <f t="shared" si="416"/>
        <v>0</v>
      </c>
      <c r="FZ40" s="17">
        <f t="shared" si="309"/>
        <v>0</v>
      </c>
      <c r="GA40" s="17">
        <f t="shared" si="310"/>
        <v>0</v>
      </c>
      <c r="GB40" s="17">
        <f t="shared" si="311"/>
        <v>0</v>
      </c>
      <c r="GC40" s="17">
        <f t="shared" si="312"/>
        <v>0</v>
      </c>
      <c r="GD40" s="17">
        <f t="shared" si="313"/>
        <v>0</v>
      </c>
      <c r="GE40" s="17">
        <f t="shared" si="314"/>
        <v>0</v>
      </c>
      <c r="GF40" s="67"/>
      <c r="GG40" s="17">
        <v>0</v>
      </c>
      <c r="GH40" s="17">
        <v>0</v>
      </c>
      <c r="GI40" s="67"/>
      <c r="GJ40" s="62">
        <f t="shared" si="417"/>
        <v>0</v>
      </c>
      <c r="GK40" s="62">
        <f t="shared" si="418"/>
        <v>0</v>
      </c>
      <c r="GO40" s="17">
        <f t="shared" si="315"/>
        <v>0</v>
      </c>
      <c r="GP40" s="17">
        <f t="shared" si="316"/>
        <v>0</v>
      </c>
      <c r="GQ40" s="17">
        <f t="shared" si="317"/>
        <v>0</v>
      </c>
      <c r="GR40" s="17">
        <f t="shared" si="318"/>
        <v>1</v>
      </c>
      <c r="GS40" s="17">
        <f t="shared" si="319"/>
        <v>1</v>
      </c>
      <c r="GT40" s="17">
        <f t="shared" si="419"/>
        <v>0</v>
      </c>
      <c r="GU40" s="101">
        <f t="shared" si="143"/>
        <v>43243</v>
      </c>
      <c r="GV40" s="17" t="str">
        <f t="shared" si="420"/>
        <v>Musyawarah</v>
      </c>
      <c r="GW40" s="17">
        <f t="shared" si="421"/>
        <v>1</v>
      </c>
      <c r="GX40" s="66" t="str">
        <f t="shared" si="422"/>
        <v>Musyawarah</v>
      </c>
      <c r="GY40" s="66">
        <f t="shared" si="423"/>
        <v>24</v>
      </c>
      <c r="GZ40" s="102">
        <f t="shared" si="424"/>
        <v>43267</v>
      </c>
      <c r="HA40" s="83"/>
      <c r="HB40" s="83"/>
      <c r="HC40" s="17">
        <f t="shared" si="320"/>
        <v>0</v>
      </c>
      <c r="HD40" s="17">
        <f t="shared" si="321"/>
        <v>0</v>
      </c>
      <c r="HE40" s="17">
        <f t="shared" si="425"/>
        <v>0</v>
      </c>
      <c r="HF40" s="17">
        <f t="shared" si="426"/>
        <v>0</v>
      </c>
      <c r="HG40" s="17">
        <f t="shared" si="427"/>
        <v>0</v>
      </c>
      <c r="HH40" s="101" t="str">
        <f t="shared" si="428"/>
        <v>TIDAK KONSINYASI</v>
      </c>
      <c r="HI40" s="101">
        <f t="shared" si="429"/>
        <v>43312</v>
      </c>
      <c r="HJ40" s="27"/>
      <c r="HK40" s="101">
        <f t="shared" si="430"/>
        <v>43312</v>
      </c>
      <c r="HL40" s="83"/>
      <c r="HM40" s="83"/>
      <c r="HN40" s="83"/>
      <c r="HO40" s="83"/>
      <c r="HP40" s="102">
        <f t="shared" si="431"/>
        <v>0</v>
      </c>
      <c r="HQ40" s="66">
        <f t="shared" si="432"/>
        <v>0</v>
      </c>
      <c r="HR40" s="66">
        <f t="shared" si="322"/>
        <v>0</v>
      </c>
      <c r="HS40" s="102">
        <f t="shared" si="433"/>
        <v>0</v>
      </c>
      <c r="HT40" s="66">
        <f t="shared" si="434"/>
        <v>0</v>
      </c>
      <c r="HU40" s="66">
        <f t="shared" si="323"/>
        <v>0</v>
      </c>
      <c r="HV40" s="102">
        <f t="shared" si="435"/>
        <v>0</v>
      </c>
      <c r="HW40" s="66">
        <f t="shared" si="436"/>
        <v>0</v>
      </c>
      <c r="HX40" s="66">
        <f t="shared" si="324"/>
        <v>0</v>
      </c>
      <c r="HY40" s="102">
        <f t="shared" si="437"/>
        <v>0</v>
      </c>
      <c r="HZ40" s="66">
        <f t="shared" si="438"/>
        <v>0</v>
      </c>
      <c r="IA40" s="66">
        <f t="shared" si="325"/>
        <v>0</v>
      </c>
      <c r="IB40" s="102">
        <f t="shared" si="439"/>
        <v>0</v>
      </c>
      <c r="IC40" s="66">
        <f t="shared" si="440"/>
        <v>0</v>
      </c>
      <c r="ID40" s="66">
        <f t="shared" si="326"/>
        <v>0</v>
      </c>
      <c r="IE40" s="102">
        <f t="shared" si="441"/>
        <v>0</v>
      </c>
      <c r="IF40" s="66">
        <f t="shared" si="442"/>
        <v>0</v>
      </c>
      <c r="IG40" s="66">
        <f t="shared" si="327"/>
        <v>0</v>
      </c>
      <c r="IH40" s="102">
        <f t="shared" si="443"/>
        <v>0</v>
      </c>
      <c r="II40" s="66">
        <f t="shared" si="444"/>
        <v>0</v>
      </c>
      <c r="IJ40" s="66">
        <f t="shared" si="328"/>
        <v>0</v>
      </c>
      <c r="IK40" s="102">
        <f t="shared" si="445"/>
        <v>0</v>
      </c>
      <c r="IL40" s="66">
        <f t="shared" si="446"/>
        <v>0</v>
      </c>
      <c r="IM40" s="66">
        <f t="shared" si="329"/>
        <v>0</v>
      </c>
      <c r="IN40" s="83"/>
      <c r="IO40" s="102">
        <f t="shared" si="447"/>
        <v>0</v>
      </c>
      <c r="IP40" s="66">
        <f t="shared" si="330"/>
        <v>0</v>
      </c>
      <c r="IQ40" s="66">
        <f t="shared" si="331"/>
        <v>0</v>
      </c>
      <c r="IR40" s="83"/>
      <c r="IS40" s="102"/>
      <c r="IT40" s="66">
        <f t="shared" si="332"/>
        <v>0</v>
      </c>
      <c r="IU40" s="66">
        <f t="shared" si="333"/>
        <v>0</v>
      </c>
      <c r="IV40" s="83"/>
      <c r="IW40" s="102"/>
      <c r="IX40" s="66">
        <f t="shared" si="334"/>
        <v>0</v>
      </c>
      <c r="IY40" s="66">
        <f t="shared" si="335"/>
        <v>0</v>
      </c>
      <c r="IZ40" s="83"/>
      <c r="JA40" s="102"/>
      <c r="JB40" s="66">
        <f t="shared" si="336"/>
        <v>1</v>
      </c>
      <c r="JC40" s="66">
        <f t="shared" si="337"/>
        <v>50</v>
      </c>
      <c r="JD40" s="83"/>
      <c r="JE40" s="102"/>
      <c r="JF40" s="66">
        <f t="shared" si="448"/>
        <v>1</v>
      </c>
      <c r="JG40" s="66">
        <f t="shared" si="449"/>
        <v>50</v>
      </c>
      <c r="JH40" s="83"/>
      <c r="JI40" s="102"/>
      <c r="JJ40" s="66">
        <f t="shared" si="338"/>
        <v>0</v>
      </c>
      <c r="JK40" s="66">
        <f t="shared" si="339"/>
        <v>0</v>
      </c>
      <c r="JM40" s="102">
        <f t="shared" si="450"/>
        <v>0</v>
      </c>
      <c r="JO40" s="29">
        <f t="shared" si="451"/>
        <v>0</v>
      </c>
      <c r="JP40" s="122">
        <f t="shared" si="340"/>
        <v>0</v>
      </c>
      <c r="JQ40" s="122">
        <f t="shared" si="341"/>
        <v>0</v>
      </c>
      <c r="JR40" s="122">
        <f t="shared" si="342"/>
        <v>0</v>
      </c>
      <c r="JS40" s="122">
        <f t="shared" si="343"/>
        <v>0</v>
      </c>
      <c r="JT40" s="122">
        <f t="shared" si="344"/>
        <v>0</v>
      </c>
      <c r="JU40" s="122">
        <f t="shared" si="345"/>
        <v>0</v>
      </c>
      <c r="JV40" s="122">
        <f t="shared" si="346"/>
        <v>0</v>
      </c>
      <c r="JW40" s="122">
        <f t="shared" si="347"/>
        <v>0</v>
      </c>
      <c r="JX40" s="122">
        <f t="shared" si="348"/>
        <v>0</v>
      </c>
      <c r="JY40" s="122">
        <f t="shared" si="349"/>
        <v>0</v>
      </c>
      <c r="JZ40" s="122">
        <f t="shared" si="350"/>
        <v>0</v>
      </c>
      <c r="KA40" s="122">
        <f t="shared" si="351"/>
        <v>0</v>
      </c>
      <c r="KB40" s="122">
        <f t="shared" si="352"/>
        <v>0</v>
      </c>
      <c r="KD40" s="122">
        <f t="shared" si="164"/>
        <v>0</v>
      </c>
      <c r="KE40" s="122">
        <f t="shared" si="102"/>
        <v>0</v>
      </c>
      <c r="KF40" s="122">
        <f t="shared" si="353"/>
        <v>0</v>
      </c>
      <c r="KG40" s="122">
        <f t="shared" si="354"/>
        <v>0</v>
      </c>
      <c r="KH40" s="122">
        <f t="shared" si="355"/>
        <v>0</v>
      </c>
      <c r="KI40" s="122">
        <f t="shared" si="356"/>
        <v>0</v>
      </c>
      <c r="KJ40" s="122">
        <f t="shared" si="357"/>
        <v>0</v>
      </c>
      <c r="KK40" s="122">
        <f t="shared" si="358"/>
        <v>0</v>
      </c>
      <c r="KL40" s="122">
        <f t="shared" si="359"/>
        <v>0</v>
      </c>
      <c r="KM40" s="122">
        <f t="shared" si="360"/>
        <v>0</v>
      </c>
      <c r="KN40" s="123">
        <f t="shared" si="361"/>
        <v>0</v>
      </c>
      <c r="KO40" s="123">
        <f t="shared" si="362"/>
        <v>0</v>
      </c>
      <c r="KP40" s="123">
        <f t="shared" si="363"/>
        <v>0</v>
      </c>
      <c r="KQ40" s="123">
        <f t="shared" si="364"/>
        <v>0</v>
      </c>
      <c r="KR40" s="123">
        <f t="shared" si="365"/>
        <v>0</v>
      </c>
      <c r="KS40">
        <v>7</v>
      </c>
      <c r="KT40">
        <f t="shared" si="366"/>
        <v>1</v>
      </c>
      <c r="KU40" s="123"/>
      <c r="KV40" s="123"/>
      <c r="KW40" s="123"/>
      <c r="KX40" s="123"/>
      <c r="KY40" s="123"/>
      <c r="KZ40" s="123"/>
      <c r="LA40" s="123"/>
      <c r="LB40" s="123"/>
      <c r="LC40" s="123"/>
      <c r="LD40" s="123"/>
      <c r="LE40" s="123"/>
      <c r="LF40" s="123"/>
      <c r="LG40" s="123"/>
      <c r="LH40" s="123"/>
      <c r="LI40" s="123"/>
      <c r="LJ40" s="123"/>
      <c r="LK40" s="123"/>
      <c r="LL40" s="123"/>
      <c r="LM40" s="123"/>
      <c r="LN40" s="123"/>
      <c r="LO40" s="123"/>
      <c r="LP40" s="123"/>
      <c r="LQ40" s="123"/>
      <c r="LR40" s="123"/>
      <c r="LS40" s="123"/>
      <c r="LT40" s="123"/>
      <c r="LU40" s="123"/>
      <c r="LV40" s="123"/>
      <c r="LW40" s="123"/>
      <c r="LX40" s="123"/>
      <c r="LY40" s="123"/>
      <c r="LZ40" s="123"/>
      <c r="MA40" s="123"/>
      <c r="MB40" s="123"/>
      <c r="MC40" s="123"/>
      <c r="MD40" s="123"/>
      <c r="ME40" s="123"/>
      <c r="MF40" s="123"/>
      <c r="MG40" s="123"/>
      <c r="MH40" s="123"/>
      <c r="MI40" s="123"/>
      <c r="MJ40" s="123"/>
      <c r="MK40" s="123"/>
      <c r="ML40" s="123"/>
      <c r="MM40" s="123"/>
      <c r="MN40" s="123"/>
      <c r="MO40" s="123"/>
      <c r="MP40" s="123"/>
      <c r="MQ40" s="123"/>
      <c r="MR40" s="123"/>
      <c r="MS40" s="123"/>
      <c r="MT40" s="123"/>
      <c r="MU40" s="123"/>
      <c r="MV40" s="123"/>
      <c r="MW40" s="123"/>
      <c r="MX40" s="123"/>
      <c r="MY40" s="123"/>
      <c r="MZ40" s="123"/>
      <c r="NA40" s="123"/>
      <c r="NB40" s="123"/>
      <c r="NC40" s="123"/>
      <c r="ND40" s="123"/>
      <c r="NE40" s="123"/>
      <c r="NF40" s="123"/>
      <c r="NG40" s="123"/>
      <c r="NH40" s="123"/>
      <c r="NI40" s="123"/>
      <c r="NJ40" s="123"/>
      <c r="NK40" s="123"/>
      <c r="NM40">
        <f t="shared" si="452"/>
        <v>0</v>
      </c>
      <c r="NN40">
        <f t="shared" si="453"/>
        <v>0</v>
      </c>
      <c r="NO40">
        <f t="shared" si="454"/>
        <v>0</v>
      </c>
      <c r="NP40">
        <f t="shared" si="455"/>
        <v>0</v>
      </c>
      <c r="NQ40">
        <f t="shared" si="456"/>
        <v>0</v>
      </c>
      <c r="NR40">
        <f t="shared" si="457"/>
        <v>0</v>
      </c>
      <c r="NS40">
        <f t="shared" si="458"/>
        <v>1</v>
      </c>
      <c r="NT40">
        <f t="shared" si="459"/>
        <v>1</v>
      </c>
      <c r="NU40" s="29">
        <f t="shared" si="460"/>
        <v>0</v>
      </c>
      <c r="NY40" s="17">
        <f t="shared" si="118"/>
        <v>0</v>
      </c>
      <c r="OE40" s="155"/>
      <c r="OF40" s="155">
        <f t="shared" si="461"/>
        <v>0</v>
      </c>
      <c r="OG40" s="155">
        <f t="shared" si="462"/>
        <v>1</v>
      </c>
      <c r="OH40" s="155">
        <f t="shared" si="463"/>
        <v>0</v>
      </c>
      <c r="OI40" s="155">
        <f t="shared" si="464"/>
        <v>1</v>
      </c>
      <c r="OJ40" s="67">
        <f t="shared" si="465"/>
        <v>0</v>
      </c>
      <c r="OK40" s="67">
        <f t="shared" si="466"/>
        <v>0</v>
      </c>
      <c r="OL40" s="67">
        <f t="shared" si="467"/>
        <v>0</v>
      </c>
      <c r="OM40" s="67">
        <f t="shared" si="468"/>
        <v>0</v>
      </c>
      <c r="OO40" s="155">
        <f t="shared" si="469"/>
        <v>0</v>
      </c>
      <c r="OP40" s="155">
        <f t="shared" si="470"/>
        <v>0</v>
      </c>
      <c r="OQ40" s="155">
        <f t="shared" si="471"/>
        <v>1</v>
      </c>
      <c r="OR40" s="155">
        <f t="shared" si="472"/>
        <v>0</v>
      </c>
      <c r="OS40" s="155">
        <f t="shared" si="473"/>
        <v>1</v>
      </c>
      <c r="OT40" s="67">
        <f t="shared" si="474"/>
        <v>0</v>
      </c>
      <c r="OU40" s="67">
        <f t="shared" si="475"/>
        <v>0</v>
      </c>
      <c r="OV40" s="67">
        <f t="shared" si="476"/>
        <v>0</v>
      </c>
      <c r="OW40" s="67">
        <f t="shared" si="477"/>
        <v>0</v>
      </c>
      <c r="OZ40" s="163"/>
      <c r="PA40" s="166">
        <v>1</v>
      </c>
      <c r="PB40" s="166"/>
      <c r="PC40" s="166"/>
      <c r="PD40" s="210">
        <f t="shared" si="125"/>
        <v>0</v>
      </c>
      <c r="PE40" s="210"/>
      <c r="PF40" s="210">
        <f t="shared" si="126"/>
        <v>0</v>
      </c>
      <c r="PG40" s="210">
        <f t="shared" si="127"/>
        <v>50</v>
      </c>
      <c r="PH40" s="210">
        <f t="shared" si="127"/>
        <v>0</v>
      </c>
      <c r="PI40" s="210">
        <f t="shared" si="127"/>
        <v>0</v>
      </c>
      <c r="PJ40" s="210">
        <f t="shared" si="127"/>
        <v>0</v>
      </c>
      <c r="PK40" s="210">
        <f t="shared" si="127"/>
        <v>0</v>
      </c>
      <c r="PL40" s="210">
        <f t="shared" si="127"/>
        <v>0</v>
      </c>
      <c r="PM40" s="164"/>
      <c r="PN40" s="164"/>
      <c r="PO40" s="172">
        <f t="shared" si="186"/>
        <v>0</v>
      </c>
      <c r="PP40" s="172">
        <f t="shared" si="187"/>
        <v>0</v>
      </c>
      <c r="PQ40" s="172">
        <f t="shared" si="188"/>
        <v>0</v>
      </c>
      <c r="PR40" s="164"/>
      <c r="PS40" s="164"/>
      <c r="PT40" s="164"/>
      <c r="PU40" s="164"/>
    </row>
    <row r="41" spans="1:437" ht="16" x14ac:dyDescent="0.2">
      <c r="A41" s="19">
        <f t="shared" si="189"/>
        <v>33</v>
      </c>
      <c r="B41" s="158" t="s">
        <v>693</v>
      </c>
      <c r="C41" s="186">
        <v>9</v>
      </c>
      <c r="D41" s="188">
        <v>1</v>
      </c>
      <c r="E41" s="188">
        <v>65</v>
      </c>
      <c r="F41" s="188">
        <v>1</v>
      </c>
      <c r="G41" s="188">
        <f t="shared" si="478"/>
        <v>65</v>
      </c>
      <c r="H41" s="214">
        <f t="shared" si="368"/>
        <v>1</v>
      </c>
      <c r="I41" s="214">
        <f t="shared" si="369"/>
        <v>1</v>
      </c>
      <c r="J41" s="188">
        <v>1</v>
      </c>
      <c r="K41" s="188">
        <f t="shared" si="484"/>
        <v>65</v>
      </c>
      <c r="L41" s="214">
        <f t="shared" si="485"/>
        <v>1</v>
      </c>
      <c r="M41" s="214">
        <f t="shared" si="486"/>
        <v>1</v>
      </c>
      <c r="N41" s="188">
        <v>1</v>
      </c>
      <c r="O41" s="188">
        <f t="shared" si="373"/>
        <v>65</v>
      </c>
      <c r="P41" s="214">
        <f t="shared" si="374"/>
        <v>1</v>
      </c>
      <c r="Q41" s="214">
        <f t="shared" si="375"/>
        <v>1</v>
      </c>
      <c r="R41" s="188">
        <v>0</v>
      </c>
      <c r="S41" s="188">
        <f t="shared" si="376"/>
        <v>0</v>
      </c>
      <c r="T41" s="214">
        <f t="shared" si="377"/>
        <v>0</v>
      </c>
      <c r="U41" s="214">
        <f t="shared" si="378"/>
        <v>0</v>
      </c>
      <c r="V41" s="188">
        <v>0</v>
      </c>
      <c r="W41" s="188">
        <f t="shared" si="379"/>
        <v>0</v>
      </c>
      <c r="X41" s="214">
        <f t="shared" si="380"/>
        <v>0</v>
      </c>
      <c r="Y41" s="214">
        <f t="shared" si="381"/>
        <v>0</v>
      </c>
      <c r="Z41" s="271">
        <v>0</v>
      </c>
      <c r="AA41" s="188"/>
      <c r="AB41" s="189">
        <f t="shared" si="382"/>
        <v>0</v>
      </c>
      <c r="AC41" s="250">
        <f t="shared" si="383"/>
        <v>0</v>
      </c>
      <c r="AD41" s="18">
        <f t="shared" si="384"/>
        <v>0</v>
      </c>
      <c r="AE41" s="20"/>
      <c r="AF41" s="20">
        <f t="shared" si="385"/>
        <v>0</v>
      </c>
      <c r="AG41" s="20"/>
      <c r="AH41" s="20"/>
      <c r="AI41" s="20">
        <v>0</v>
      </c>
      <c r="AJ41" s="20">
        <f t="shared" si="386"/>
        <v>0</v>
      </c>
      <c r="AK41" s="20"/>
      <c r="AL41" s="20">
        <v>0</v>
      </c>
      <c r="AM41" s="20">
        <v>0</v>
      </c>
      <c r="AN41" s="139">
        <v>1</v>
      </c>
      <c r="BB41" s="20">
        <f t="shared" si="479"/>
        <v>65</v>
      </c>
      <c r="BE41" s="20">
        <f t="shared" si="387"/>
        <v>0</v>
      </c>
      <c r="BF41" s="20">
        <f t="shared" si="388"/>
        <v>0</v>
      </c>
      <c r="BG41" s="20">
        <f t="shared" si="389"/>
        <v>0</v>
      </c>
      <c r="BH41" s="20">
        <f t="shared" si="390"/>
        <v>0</v>
      </c>
      <c r="BI41" s="20">
        <f t="shared" si="391"/>
        <v>0</v>
      </c>
      <c r="BJ41" s="20">
        <f t="shared" si="392"/>
        <v>0</v>
      </c>
      <c r="BK41" s="20">
        <f t="shared" si="393"/>
        <v>0</v>
      </c>
      <c r="BN41" s="143"/>
      <c r="BO41" s="126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B41" s="139"/>
      <c r="CD41" s="17">
        <f t="shared" si="394"/>
        <v>0</v>
      </c>
      <c r="CE41" s="17">
        <f t="shared" si="395"/>
        <v>0</v>
      </c>
      <c r="CF41" s="20">
        <f t="shared" si="396"/>
        <v>0</v>
      </c>
      <c r="CG41" s="20">
        <f t="shared" si="397"/>
        <v>0</v>
      </c>
      <c r="CH41" s="20">
        <f t="shared" si="398"/>
        <v>0</v>
      </c>
      <c r="CI41" s="20">
        <f t="shared" si="399"/>
        <v>0</v>
      </c>
      <c r="CJ41" s="20">
        <f t="shared" si="400"/>
        <v>0</v>
      </c>
      <c r="CK41" s="20">
        <f t="shared" si="401"/>
        <v>0</v>
      </c>
      <c r="CL41" s="20">
        <f t="shared" si="402"/>
        <v>0</v>
      </c>
      <c r="CM41" s="20">
        <f t="shared" si="403"/>
        <v>0</v>
      </c>
      <c r="CN41" s="20">
        <f t="shared" si="404"/>
        <v>0</v>
      </c>
      <c r="CO41" s="20">
        <f t="shared" si="405"/>
        <v>0</v>
      </c>
      <c r="CP41" s="20">
        <f t="shared" si="406"/>
        <v>0</v>
      </c>
      <c r="DV41" s="20">
        <f t="shared" si="407"/>
        <v>0</v>
      </c>
      <c r="DW41" s="20">
        <f t="shared" si="408"/>
        <v>0</v>
      </c>
      <c r="DX41" s="20">
        <f t="shared" si="409"/>
        <v>0</v>
      </c>
      <c r="DY41" s="20">
        <f t="shared" si="410"/>
        <v>0</v>
      </c>
      <c r="DZ41" s="20">
        <f t="shared" si="411"/>
        <v>0</v>
      </c>
      <c r="EA41" s="20">
        <f t="shared" si="412"/>
        <v>0</v>
      </c>
      <c r="EB41" s="20">
        <f t="shared" si="413"/>
        <v>0</v>
      </c>
      <c r="EG41" s="57">
        <f t="shared" si="414"/>
        <v>0</v>
      </c>
      <c r="EH41" s="57">
        <f t="shared" si="415"/>
        <v>0</v>
      </c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X41" s="80"/>
      <c r="FY41" s="17">
        <f t="shared" si="416"/>
        <v>0</v>
      </c>
      <c r="FZ41" s="17">
        <f t="shared" si="309"/>
        <v>0</v>
      </c>
      <c r="GA41" s="17">
        <f t="shared" si="310"/>
        <v>0</v>
      </c>
      <c r="GB41" s="17">
        <f t="shared" si="311"/>
        <v>0</v>
      </c>
      <c r="GC41" s="17">
        <f t="shared" si="312"/>
        <v>0</v>
      </c>
      <c r="GD41" s="17">
        <f t="shared" si="313"/>
        <v>0</v>
      </c>
      <c r="GE41" s="17">
        <f t="shared" si="314"/>
        <v>0</v>
      </c>
      <c r="GF41" s="67"/>
      <c r="GG41" s="17">
        <v>0</v>
      </c>
      <c r="GH41" s="17">
        <v>0</v>
      </c>
      <c r="GI41" s="67"/>
      <c r="GJ41" s="62">
        <f t="shared" si="417"/>
        <v>0</v>
      </c>
      <c r="GK41" s="62">
        <f t="shared" si="418"/>
        <v>0</v>
      </c>
      <c r="GO41" s="17">
        <f t="shared" si="315"/>
        <v>0</v>
      </c>
      <c r="GP41" s="17">
        <f t="shared" si="316"/>
        <v>0</v>
      </c>
      <c r="GQ41" s="17">
        <f t="shared" si="317"/>
        <v>0</v>
      </c>
      <c r="GR41" s="17">
        <f t="shared" si="318"/>
        <v>1</v>
      </c>
      <c r="GS41" s="17">
        <f t="shared" si="319"/>
        <v>1</v>
      </c>
      <c r="GT41" s="17">
        <f t="shared" si="419"/>
        <v>0</v>
      </c>
      <c r="GU41" s="101">
        <f t="shared" si="143"/>
        <v>43243</v>
      </c>
      <c r="GV41" s="17" t="str">
        <f t="shared" si="420"/>
        <v>Musyawarah</v>
      </c>
      <c r="GW41" s="17">
        <f t="shared" si="421"/>
        <v>1</v>
      </c>
      <c r="GX41" s="66" t="str">
        <f t="shared" si="422"/>
        <v>Musyawarah</v>
      </c>
      <c r="GY41" s="66">
        <f t="shared" si="423"/>
        <v>24</v>
      </c>
      <c r="GZ41" s="102">
        <f t="shared" si="424"/>
        <v>43267</v>
      </c>
      <c r="HA41" s="83"/>
      <c r="HB41" s="83"/>
      <c r="HC41" s="17">
        <f t="shared" si="320"/>
        <v>0</v>
      </c>
      <c r="HD41" s="17">
        <f t="shared" si="321"/>
        <v>0</v>
      </c>
      <c r="HE41" s="17">
        <f t="shared" si="425"/>
        <v>0</v>
      </c>
      <c r="HF41" s="17">
        <f t="shared" si="426"/>
        <v>0</v>
      </c>
      <c r="HG41" s="17">
        <f t="shared" si="427"/>
        <v>0</v>
      </c>
      <c r="HH41" s="101" t="str">
        <f t="shared" si="428"/>
        <v>TIDAK KONSINYASI</v>
      </c>
      <c r="HI41" s="101">
        <f t="shared" si="429"/>
        <v>43312</v>
      </c>
      <c r="HJ41" s="27"/>
      <c r="HK41" s="101">
        <f t="shared" si="430"/>
        <v>43312</v>
      </c>
      <c r="HL41" s="83"/>
      <c r="HM41" s="83"/>
      <c r="HN41" s="83"/>
      <c r="HO41" s="83"/>
      <c r="HP41" s="102">
        <f t="shared" si="431"/>
        <v>0</v>
      </c>
      <c r="HQ41" s="66">
        <f t="shared" si="432"/>
        <v>0</v>
      </c>
      <c r="HR41" s="66">
        <f t="shared" si="322"/>
        <v>0</v>
      </c>
      <c r="HS41" s="102">
        <f t="shared" si="433"/>
        <v>0</v>
      </c>
      <c r="HT41" s="66">
        <f t="shared" si="434"/>
        <v>0</v>
      </c>
      <c r="HU41" s="66">
        <f t="shared" si="323"/>
        <v>0</v>
      </c>
      <c r="HV41" s="102">
        <f t="shared" si="435"/>
        <v>0</v>
      </c>
      <c r="HW41" s="66">
        <f t="shared" si="436"/>
        <v>0</v>
      </c>
      <c r="HX41" s="66">
        <f t="shared" si="324"/>
        <v>0</v>
      </c>
      <c r="HY41" s="102">
        <f t="shared" si="437"/>
        <v>0</v>
      </c>
      <c r="HZ41" s="66">
        <f t="shared" si="438"/>
        <v>0</v>
      </c>
      <c r="IA41" s="66">
        <f t="shared" si="325"/>
        <v>0</v>
      </c>
      <c r="IB41" s="102">
        <f t="shared" si="439"/>
        <v>0</v>
      </c>
      <c r="IC41" s="66">
        <f t="shared" si="440"/>
        <v>0</v>
      </c>
      <c r="ID41" s="66">
        <f t="shared" si="326"/>
        <v>0</v>
      </c>
      <c r="IE41" s="102">
        <f t="shared" si="441"/>
        <v>0</v>
      </c>
      <c r="IF41" s="66">
        <f t="shared" si="442"/>
        <v>0</v>
      </c>
      <c r="IG41" s="66">
        <f t="shared" si="327"/>
        <v>0</v>
      </c>
      <c r="IH41" s="102">
        <f t="shared" si="443"/>
        <v>0</v>
      </c>
      <c r="II41" s="66">
        <f t="shared" si="444"/>
        <v>0</v>
      </c>
      <c r="IJ41" s="66">
        <f t="shared" si="328"/>
        <v>0</v>
      </c>
      <c r="IK41" s="102">
        <f t="shared" si="445"/>
        <v>0</v>
      </c>
      <c r="IL41" s="66">
        <f t="shared" si="446"/>
        <v>0</v>
      </c>
      <c r="IM41" s="66">
        <f t="shared" si="329"/>
        <v>0</v>
      </c>
      <c r="IN41" s="83"/>
      <c r="IO41" s="102">
        <f t="shared" si="447"/>
        <v>0</v>
      </c>
      <c r="IP41" s="66">
        <f t="shared" si="330"/>
        <v>0</v>
      </c>
      <c r="IQ41" s="66">
        <f t="shared" si="331"/>
        <v>0</v>
      </c>
      <c r="IR41" s="83"/>
      <c r="IS41" s="102"/>
      <c r="IT41" s="66">
        <f t="shared" si="332"/>
        <v>0</v>
      </c>
      <c r="IU41" s="66">
        <f t="shared" si="333"/>
        <v>0</v>
      </c>
      <c r="IV41" s="83"/>
      <c r="IW41" s="102"/>
      <c r="IX41" s="66">
        <f t="shared" si="334"/>
        <v>0</v>
      </c>
      <c r="IY41" s="66">
        <f t="shared" si="335"/>
        <v>0</v>
      </c>
      <c r="IZ41" s="83"/>
      <c r="JA41" s="102"/>
      <c r="JB41" s="66">
        <f t="shared" si="336"/>
        <v>1</v>
      </c>
      <c r="JC41" s="66">
        <f t="shared" si="337"/>
        <v>65</v>
      </c>
      <c r="JD41" s="83"/>
      <c r="JE41" s="102"/>
      <c r="JF41" s="66">
        <f t="shared" si="448"/>
        <v>1</v>
      </c>
      <c r="JG41" s="66">
        <f t="shared" si="449"/>
        <v>65</v>
      </c>
      <c r="JH41" s="83"/>
      <c r="JI41" s="102"/>
      <c r="JJ41" s="66">
        <f t="shared" si="338"/>
        <v>0</v>
      </c>
      <c r="JK41" s="66">
        <f t="shared" si="339"/>
        <v>0</v>
      </c>
      <c r="JM41" s="102">
        <f t="shared" si="450"/>
        <v>0</v>
      </c>
      <c r="JO41" s="29">
        <f t="shared" si="451"/>
        <v>0</v>
      </c>
      <c r="JP41" s="122">
        <f t="shared" si="340"/>
        <v>0</v>
      </c>
      <c r="JQ41" s="122">
        <f t="shared" si="341"/>
        <v>0</v>
      </c>
      <c r="JR41" s="122">
        <f t="shared" si="342"/>
        <v>0</v>
      </c>
      <c r="JS41" s="122">
        <f t="shared" si="343"/>
        <v>0</v>
      </c>
      <c r="JT41" s="122">
        <f t="shared" si="344"/>
        <v>0</v>
      </c>
      <c r="JU41" s="122">
        <f t="shared" si="345"/>
        <v>0</v>
      </c>
      <c r="JV41" s="122">
        <f t="shared" si="346"/>
        <v>0</v>
      </c>
      <c r="JW41" s="122">
        <f t="shared" si="347"/>
        <v>0</v>
      </c>
      <c r="JX41" s="122">
        <f t="shared" si="348"/>
        <v>0</v>
      </c>
      <c r="JY41" s="122">
        <f t="shared" si="349"/>
        <v>0</v>
      </c>
      <c r="JZ41" s="122">
        <f t="shared" si="350"/>
        <v>0</v>
      </c>
      <c r="KA41" s="122">
        <f t="shared" si="351"/>
        <v>0</v>
      </c>
      <c r="KB41" s="122">
        <f t="shared" si="352"/>
        <v>0</v>
      </c>
      <c r="KD41" s="122">
        <f t="shared" si="164"/>
        <v>0</v>
      </c>
      <c r="KE41" s="122">
        <f t="shared" si="102"/>
        <v>0</v>
      </c>
      <c r="KF41" s="122">
        <f t="shared" si="353"/>
        <v>0</v>
      </c>
      <c r="KG41" s="122">
        <f t="shared" si="354"/>
        <v>0</v>
      </c>
      <c r="KH41" s="122">
        <f t="shared" si="355"/>
        <v>0</v>
      </c>
      <c r="KI41" s="122">
        <f t="shared" si="356"/>
        <v>0</v>
      </c>
      <c r="KJ41" s="122">
        <f t="shared" si="357"/>
        <v>0</v>
      </c>
      <c r="KK41" s="122">
        <f t="shared" si="358"/>
        <v>0</v>
      </c>
      <c r="KL41" s="122">
        <f t="shared" si="359"/>
        <v>0</v>
      </c>
      <c r="KM41" s="122">
        <f t="shared" si="360"/>
        <v>0</v>
      </c>
      <c r="KN41" s="123">
        <f t="shared" si="361"/>
        <v>0</v>
      </c>
      <c r="KO41" s="123">
        <f t="shared" si="362"/>
        <v>0</v>
      </c>
      <c r="KP41" s="123">
        <f t="shared" si="363"/>
        <v>0</v>
      </c>
      <c r="KQ41" s="123">
        <f t="shared" si="364"/>
        <v>0</v>
      </c>
      <c r="KR41" s="123">
        <f t="shared" si="365"/>
        <v>0</v>
      </c>
      <c r="KS41">
        <v>7</v>
      </c>
      <c r="KT41">
        <f t="shared" si="366"/>
        <v>1</v>
      </c>
      <c r="KU41" s="123"/>
      <c r="KV41" s="123"/>
      <c r="KW41" s="123"/>
      <c r="KX41" s="123"/>
      <c r="KY41" s="123"/>
      <c r="KZ41" s="123"/>
      <c r="LA41" s="123"/>
      <c r="LB41" s="123"/>
      <c r="LC41" s="123"/>
      <c r="LD41" s="123"/>
      <c r="LE41" s="123"/>
      <c r="LF41" s="123"/>
      <c r="LG41" s="123"/>
      <c r="LH41" s="123"/>
      <c r="LI41" s="123"/>
      <c r="LJ41" s="123"/>
      <c r="LK41" s="123"/>
      <c r="LL41" s="123"/>
      <c r="LM41" s="123"/>
      <c r="LN41" s="123"/>
      <c r="LO41" s="123"/>
      <c r="LP41" s="123"/>
      <c r="LQ41" s="123"/>
      <c r="LR41" s="123"/>
      <c r="LS41" s="123"/>
      <c r="LT41" s="123"/>
      <c r="LU41" s="123"/>
      <c r="LV41" s="123"/>
      <c r="LW41" s="123"/>
      <c r="LX41" s="123"/>
      <c r="LY41" s="123"/>
      <c r="LZ41" s="123"/>
      <c r="MA41" s="123"/>
      <c r="MB41" s="123"/>
      <c r="MC41" s="123"/>
      <c r="MD41" s="123"/>
      <c r="ME41" s="123"/>
      <c r="MF41" s="123"/>
      <c r="MG41" s="123"/>
      <c r="MH41" s="123"/>
      <c r="MI41" s="123"/>
      <c r="MJ41" s="123"/>
      <c r="MK41" s="123"/>
      <c r="ML41" s="123"/>
      <c r="MM41" s="123"/>
      <c r="MN41" s="123"/>
      <c r="MO41" s="123"/>
      <c r="MP41" s="123"/>
      <c r="MQ41" s="123"/>
      <c r="MR41" s="123"/>
      <c r="MS41" s="123"/>
      <c r="MT41" s="123"/>
      <c r="MU41" s="123"/>
      <c r="MV41" s="123"/>
      <c r="MW41" s="123"/>
      <c r="MX41" s="123"/>
      <c r="MY41" s="123"/>
      <c r="MZ41" s="123"/>
      <c r="NA41" s="123"/>
      <c r="NB41" s="123"/>
      <c r="NC41" s="123"/>
      <c r="ND41" s="123"/>
      <c r="NE41" s="123"/>
      <c r="NF41" s="123"/>
      <c r="NG41" s="123"/>
      <c r="NH41" s="123"/>
      <c r="NI41" s="123"/>
      <c r="NJ41" s="123"/>
      <c r="NK41" s="123"/>
      <c r="NM41">
        <f t="shared" si="452"/>
        <v>0</v>
      </c>
      <c r="NN41">
        <f t="shared" si="453"/>
        <v>0</v>
      </c>
      <c r="NO41">
        <f t="shared" si="454"/>
        <v>0</v>
      </c>
      <c r="NP41">
        <f t="shared" si="455"/>
        <v>0</v>
      </c>
      <c r="NQ41">
        <f t="shared" si="456"/>
        <v>0</v>
      </c>
      <c r="NR41">
        <f t="shared" si="457"/>
        <v>0</v>
      </c>
      <c r="NS41">
        <f t="shared" si="458"/>
        <v>1</v>
      </c>
      <c r="NT41">
        <f t="shared" si="459"/>
        <v>1</v>
      </c>
      <c r="NU41" s="29">
        <f t="shared" si="460"/>
        <v>0</v>
      </c>
      <c r="NY41" s="17">
        <f t="shared" si="118"/>
        <v>0</v>
      </c>
      <c r="OE41" s="155"/>
      <c r="OF41" s="155">
        <f t="shared" si="461"/>
        <v>0</v>
      </c>
      <c r="OG41" s="155">
        <f t="shared" si="462"/>
        <v>1</v>
      </c>
      <c r="OH41" s="155">
        <f t="shared" si="463"/>
        <v>0</v>
      </c>
      <c r="OI41" s="155">
        <f t="shared" si="464"/>
        <v>1</v>
      </c>
      <c r="OJ41" s="67">
        <f t="shared" si="465"/>
        <v>0</v>
      </c>
      <c r="OK41" s="67">
        <f t="shared" si="466"/>
        <v>0</v>
      </c>
      <c r="OL41" s="67">
        <f t="shared" si="467"/>
        <v>0</v>
      </c>
      <c r="OM41" s="67">
        <f t="shared" si="468"/>
        <v>0</v>
      </c>
      <c r="OO41" s="155">
        <f t="shared" si="469"/>
        <v>0</v>
      </c>
      <c r="OP41" s="155">
        <f t="shared" si="470"/>
        <v>0</v>
      </c>
      <c r="OQ41" s="155">
        <f t="shared" si="471"/>
        <v>1</v>
      </c>
      <c r="OR41" s="155">
        <f t="shared" si="472"/>
        <v>0</v>
      </c>
      <c r="OS41" s="155">
        <f t="shared" si="473"/>
        <v>1</v>
      </c>
      <c r="OT41" s="67">
        <f t="shared" si="474"/>
        <v>0</v>
      </c>
      <c r="OU41" s="67">
        <f t="shared" si="475"/>
        <v>0</v>
      </c>
      <c r="OV41" s="67">
        <f t="shared" si="476"/>
        <v>0</v>
      </c>
      <c r="OW41" s="67">
        <f t="shared" si="477"/>
        <v>0</v>
      </c>
      <c r="OZ41" s="163"/>
      <c r="PA41" s="166">
        <v>1</v>
      </c>
      <c r="PB41" s="166"/>
      <c r="PC41" s="166"/>
      <c r="PD41" s="210">
        <f t="shared" si="125"/>
        <v>0</v>
      </c>
      <c r="PE41" s="210"/>
      <c r="PF41" s="210">
        <f t="shared" si="126"/>
        <v>0</v>
      </c>
      <c r="PG41" s="210">
        <f t="shared" si="127"/>
        <v>65</v>
      </c>
      <c r="PH41" s="210">
        <f t="shared" si="127"/>
        <v>0</v>
      </c>
      <c r="PI41" s="210">
        <f t="shared" si="127"/>
        <v>0</v>
      </c>
      <c r="PJ41" s="210">
        <f t="shared" si="127"/>
        <v>0</v>
      </c>
      <c r="PK41" s="210">
        <f t="shared" si="127"/>
        <v>0</v>
      </c>
      <c r="PL41" s="210">
        <f t="shared" si="127"/>
        <v>0</v>
      </c>
      <c r="PM41" s="164"/>
      <c r="PN41" s="164"/>
      <c r="PO41" s="172">
        <f t="shared" si="186"/>
        <v>0</v>
      </c>
      <c r="PP41" s="172">
        <f t="shared" si="187"/>
        <v>0</v>
      </c>
      <c r="PQ41" s="172">
        <f t="shared" si="188"/>
        <v>0</v>
      </c>
      <c r="PR41" s="164"/>
      <c r="PS41" s="164"/>
      <c r="PT41" s="164"/>
      <c r="PU41" s="164"/>
    </row>
    <row r="42" spans="1:437" ht="16" x14ac:dyDescent="0.2">
      <c r="A42" s="19">
        <f t="shared" si="189"/>
        <v>34</v>
      </c>
      <c r="B42" s="158" t="s">
        <v>694</v>
      </c>
      <c r="C42" s="186">
        <v>10</v>
      </c>
      <c r="D42" s="188">
        <v>1</v>
      </c>
      <c r="E42" s="188">
        <v>122</v>
      </c>
      <c r="F42" s="188">
        <v>1</v>
      </c>
      <c r="G42" s="188">
        <f t="shared" si="478"/>
        <v>122</v>
      </c>
      <c r="H42" s="214">
        <f t="shared" si="368"/>
        <v>1</v>
      </c>
      <c r="I42" s="214">
        <f t="shared" si="369"/>
        <v>1</v>
      </c>
      <c r="J42" s="188">
        <v>1</v>
      </c>
      <c r="K42" s="188">
        <f t="shared" si="484"/>
        <v>122</v>
      </c>
      <c r="L42" s="214">
        <f t="shared" si="485"/>
        <v>1</v>
      </c>
      <c r="M42" s="214">
        <f t="shared" si="486"/>
        <v>1</v>
      </c>
      <c r="N42" s="188">
        <v>1</v>
      </c>
      <c r="O42" s="188">
        <f t="shared" si="373"/>
        <v>122</v>
      </c>
      <c r="P42" s="214">
        <f t="shared" si="374"/>
        <v>1</v>
      </c>
      <c r="Q42" s="214">
        <f t="shared" si="375"/>
        <v>1</v>
      </c>
      <c r="R42" s="188">
        <v>0</v>
      </c>
      <c r="S42" s="188">
        <f t="shared" si="376"/>
        <v>0</v>
      </c>
      <c r="T42" s="214">
        <f t="shared" si="377"/>
        <v>0</v>
      </c>
      <c r="U42" s="214">
        <f t="shared" si="378"/>
        <v>0</v>
      </c>
      <c r="V42" s="188">
        <v>0</v>
      </c>
      <c r="W42" s="188">
        <f t="shared" si="379"/>
        <v>0</v>
      </c>
      <c r="X42" s="214">
        <f t="shared" si="380"/>
        <v>0</v>
      </c>
      <c r="Y42" s="214">
        <f t="shared" si="381"/>
        <v>0</v>
      </c>
      <c r="Z42" s="271">
        <v>0</v>
      </c>
      <c r="AA42" s="188"/>
      <c r="AB42" s="189">
        <f t="shared" si="382"/>
        <v>0</v>
      </c>
      <c r="AC42" s="250">
        <f t="shared" si="383"/>
        <v>0</v>
      </c>
      <c r="AD42" s="18">
        <f t="shared" si="384"/>
        <v>0</v>
      </c>
      <c r="AE42" s="20"/>
      <c r="AF42" s="20">
        <f t="shared" si="385"/>
        <v>0</v>
      </c>
      <c r="AG42" s="20"/>
      <c r="AH42" s="20"/>
      <c r="AI42" s="20">
        <v>0</v>
      </c>
      <c r="AJ42" s="20">
        <f t="shared" si="386"/>
        <v>0</v>
      </c>
      <c r="AK42" s="20"/>
      <c r="AL42" s="20">
        <v>0</v>
      </c>
      <c r="AM42" s="20">
        <v>0</v>
      </c>
      <c r="AN42" s="139">
        <v>1</v>
      </c>
      <c r="BB42" s="20">
        <f t="shared" si="479"/>
        <v>122</v>
      </c>
      <c r="BE42" s="20">
        <f t="shared" si="387"/>
        <v>0</v>
      </c>
      <c r="BF42" s="20">
        <f t="shared" si="388"/>
        <v>0</v>
      </c>
      <c r="BG42" s="20">
        <f t="shared" si="389"/>
        <v>0</v>
      </c>
      <c r="BH42" s="20">
        <f t="shared" si="390"/>
        <v>0</v>
      </c>
      <c r="BI42" s="20">
        <f t="shared" si="391"/>
        <v>0</v>
      </c>
      <c r="BJ42" s="20">
        <f t="shared" si="392"/>
        <v>0</v>
      </c>
      <c r="BK42" s="20">
        <f t="shared" si="393"/>
        <v>0</v>
      </c>
      <c r="BN42" s="143"/>
      <c r="BO42" s="126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B42" s="139"/>
      <c r="CD42" s="17">
        <f t="shared" si="394"/>
        <v>0</v>
      </c>
      <c r="CE42" s="17">
        <f t="shared" si="395"/>
        <v>0</v>
      </c>
      <c r="CF42" s="20">
        <f t="shared" si="396"/>
        <v>0</v>
      </c>
      <c r="CG42" s="20">
        <f t="shared" si="397"/>
        <v>0</v>
      </c>
      <c r="CH42" s="20">
        <f t="shared" si="398"/>
        <v>0</v>
      </c>
      <c r="CI42" s="20">
        <f t="shared" si="399"/>
        <v>0</v>
      </c>
      <c r="CJ42" s="20">
        <f t="shared" si="400"/>
        <v>0</v>
      </c>
      <c r="CK42" s="20">
        <f t="shared" si="401"/>
        <v>0</v>
      </c>
      <c r="CL42" s="20">
        <f t="shared" si="402"/>
        <v>0</v>
      </c>
      <c r="CM42" s="20">
        <f t="shared" si="403"/>
        <v>0</v>
      </c>
      <c r="CN42" s="20">
        <f t="shared" si="404"/>
        <v>0</v>
      </c>
      <c r="CO42" s="20">
        <f t="shared" si="405"/>
        <v>0</v>
      </c>
      <c r="CP42" s="20">
        <f t="shared" si="406"/>
        <v>0</v>
      </c>
      <c r="DV42" s="20">
        <f t="shared" si="407"/>
        <v>0</v>
      </c>
      <c r="DW42" s="20">
        <f t="shared" si="408"/>
        <v>0</v>
      </c>
      <c r="DX42" s="20">
        <f t="shared" si="409"/>
        <v>0</v>
      </c>
      <c r="DY42" s="20">
        <f t="shared" si="410"/>
        <v>0</v>
      </c>
      <c r="DZ42" s="20">
        <f t="shared" si="411"/>
        <v>0</v>
      </c>
      <c r="EA42" s="20">
        <f t="shared" si="412"/>
        <v>0</v>
      </c>
      <c r="EB42" s="20">
        <f t="shared" si="413"/>
        <v>0</v>
      </c>
      <c r="EG42" s="57">
        <f t="shared" si="414"/>
        <v>0</v>
      </c>
      <c r="EH42" s="57">
        <f t="shared" si="415"/>
        <v>0</v>
      </c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X42" s="80"/>
      <c r="FY42" s="17">
        <f t="shared" si="416"/>
        <v>0</v>
      </c>
      <c r="FZ42" s="17">
        <f t="shared" si="309"/>
        <v>0</v>
      </c>
      <c r="GA42" s="17">
        <f t="shared" si="310"/>
        <v>0</v>
      </c>
      <c r="GB42" s="17">
        <f t="shared" si="311"/>
        <v>0</v>
      </c>
      <c r="GC42" s="17">
        <f t="shared" si="312"/>
        <v>0</v>
      </c>
      <c r="GD42" s="17">
        <f t="shared" si="313"/>
        <v>0</v>
      </c>
      <c r="GE42" s="17">
        <f t="shared" si="314"/>
        <v>0</v>
      </c>
      <c r="GF42" s="67"/>
      <c r="GG42" s="17">
        <v>0</v>
      </c>
      <c r="GH42" s="17">
        <v>0</v>
      </c>
      <c r="GI42" s="67"/>
      <c r="GJ42" s="62">
        <f t="shared" si="417"/>
        <v>0</v>
      </c>
      <c r="GK42" s="62">
        <f t="shared" si="418"/>
        <v>0</v>
      </c>
      <c r="GO42" s="17">
        <f t="shared" si="315"/>
        <v>0</v>
      </c>
      <c r="GP42" s="17">
        <f t="shared" si="316"/>
        <v>0</v>
      </c>
      <c r="GQ42" s="17">
        <f t="shared" si="317"/>
        <v>0</v>
      </c>
      <c r="GR42" s="17">
        <f t="shared" si="318"/>
        <v>1</v>
      </c>
      <c r="GS42" s="17">
        <f t="shared" si="319"/>
        <v>1</v>
      </c>
      <c r="GT42" s="17">
        <f t="shared" si="419"/>
        <v>0</v>
      </c>
      <c r="GU42" s="101">
        <f t="shared" si="143"/>
        <v>43243</v>
      </c>
      <c r="GV42" s="17" t="str">
        <f t="shared" si="420"/>
        <v>Musyawarah</v>
      </c>
      <c r="GW42" s="17">
        <f t="shared" si="421"/>
        <v>1</v>
      </c>
      <c r="GX42" s="66" t="str">
        <f t="shared" si="422"/>
        <v>Musyawarah</v>
      </c>
      <c r="GY42" s="66">
        <f t="shared" si="423"/>
        <v>24</v>
      </c>
      <c r="GZ42" s="102">
        <f t="shared" si="424"/>
        <v>43267</v>
      </c>
      <c r="HA42" s="83"/>
      <c r="HB42" s="83"/>
      <c r="HC42" s="17">
        <f t="shared" si="320"/>
        <v>0</v>
      </c>
      <c r="HD42" s="17">
        <f t="shared" si="321"/>
        <v>0</v>
      </c>
      <c r="HE42" s="17">
        <f t="shared" si="425"/>
        <v>0</v>
      </c>
      <c r="HF42" s="17">
        <f t="shared" si="426"/>
        <v>0</v>
      </c>
      <c r="HG42" s="17">
        <f t="shared" si="427"/>
        <v>0</v>
      </c>
      <c r="HH42" s="101" t="str">
        <f t="shared" si="428"/>
        <v>TIDAK KONSINYASI</v>
      </c>
      <c r="HI42" s="101">
        <f t="shared" si="429"/>
        <v>43312</v>
      </c>
      <c r="HJ42" s="27"/>
      <c r="HK42" s="101">
        <f t="shared" si="430"/>
        <v>43312</v>
      </c>
      <c r="HL42" s="83"/>
      <c r="HM42" s="83"/>
      <c r="HN42" s="83"/>
      <c r="HO42" s="83"/>
      <c r="HP42" s="102">
        <f t="shared" si="431"/>
        <v>0</v>
      </c>
      <c r="HQ42" s="66">
        <f t="shared" si="432"/>
        <v>0</v>
      </c>
      <c r="HR42" s="66">
        <f t="shared" si="322"/>
        <v>0</v>
      </c>
      <c r="HS42" s="102">
        <f t="shared" si="433"/>
        <v>0</v>
      </c>
      <c r="HT42" s="66">
        <f t="shared" si="434"/>
        <v>0</v>
      </c>
      <c r="HU42" s="66">
        <f t="shared" si="323"/>
        <v>0</v>
      </c>
      <c r="HV42" s="102">
        <f t="shared" si="435"/>
        <v>0</v>
      </c>
      <c r="HW42" s="66">
        <f t="shared" si="436"/>
        <v>0</v>
      </c>
      <c r="HX42" s="66">
        <f t="shared" si="324"/>
        <v>0</v>
      </c>
      <c r="HY42" s="102">
        <f t="shared" si="437"/>
        <v>0</v>
      </c>
      <c r="HZ42" s="66">
        <f t="shared" si="438"/>
        <v>0</v>
      </c>
      <c r="IA42" s="66">
        <f t="shared" si="325"/>
        <v>0</v>
      </c>
      <c r="IB42" s="102">
        <f t="shared" si="439"/>
        <v>0</v>
      </c>
      <c r="IC42" s="66">
        <f t="shared" si="440"/>
        <v>0</v>
      </c>
      <c r="ID42" s="66">
        <f t="shared" si="326"/>
        <v>0</v>
      </c>
      <c r="IE42" s="102">
        <f t="shared" si="441"/>
        <v>0</v>
      </c>
      <c r="IF42" s="66">
        <f t="shared" si="442"/>
        <v>0</v>
      </c>
      <c r="IG42" s="66">
        <f t="shared" si="327"/>
        <v>0</v>
      </c>
      <c r="IH42" s="102">
        <f t="shared" si="443"/>
        <v>0</v>
      </c>
      <c r="II42" s="66">
        <f t="shared" si="444"/>
        <v>0</v>
      </c>
      <c r="IJ42" s="66">
        <f t="shared" si="328"/>
        <v>0</v>
      </c>
      <c r="IK42" s="102">
        <f t="shared" si="445"/>
        <v>0</v>
      </c>
      <c r="IL42" s="66">
        <f t="shared" si="446"/>
        <v>0</v>
      </c>
      <c r="IM42" s="66">
        <f t="shared" si="329"/>
        <v>0</v>
      </c>
      <c r="IN42" s="83"/>
      <c r="IO42" s="102">
        <f t="shared" si="447"/>
        <v>0</v>
      </c>
      <c r="IP42" s="66">
        <f t="shared" si="330"/>
        <v>0</v>
      </c>
      <c r="IQ42" s="66">
        <f t="shared" si="331"/>
        <v>0</v>
      </c>
      <c r="IR42" s="83"/>
      <c r="IS42" s="102"/>
      <c r="IT42" s="66">
        <f t="shared" si="332"/>
        <v>0</v>
      </c>
      <c r="IU42" s="66">
        <f t="shared" si="333"/>
        <v>0</v>
      </c>
      <c r="IV42" s="83"/>
      <c r="IW42" s="102"/>
      <c r="IX42" s="66">
        <f t="shared" si="334"/>
        <v>0</v>
      </c>
      <c r="IY42" s="66">
        <f t="shared" si="335"/>
        <v>0</v>
      </c>
      <c r="IZ42" s="83"/>
      <c r="JA42" s="102"/>
      <c r="JB42" s="66">
        <f t="shared" si="336"/>
        <v>1</v>
      </c>
      <c r="JC42" s="66">
        <f t="shared" si="337"/>
        <v>122</v>
      </c>
      <c r="JD42" s="83"/>
      <c r="JE42" s="102"/>
      <c r="JF42" s="66">
        <f t="shared" si="448"/>
        <v>1</v>
      </c>
      <c r="JG42" s="66">
        <f t="shared" si="449"/>
        <v>122</v>
      </c>
      <c r="JH42" s="83"/>
      <c r="JI42" s="102"/>
      <c r="JJ42" s="66">
        <f t="shared" si="338"/>
        <v>0</v>
      </c>
      <c r="JK42" s="66">
        <f t="shared" si="339"/>
        <v>0</v>
      </c>
      <c r="JM42" s="102">
        <f t="shared" si="450"/>
        <v>0</v>
      </c>
      <c r="JO42" s="29">
        <f t="shared" si="451"/>
        <v>0</v>
      </c>
      <c r="JP42" s="122">
        <f t="shared" si="340"/>
        <v>0</v>
      </c>
      <c r="JQ42" s="122">
        <f t="shared" si="341"/>
        <v>0</v>
      </c>
      <c r="JR42" s="122">
        <f t="shared" si="342"/>
        <v>0</v>
      </c>
      <c r="JS42" s="122">
        <f t="shared" si="343"/>
        <v>0</v>
      </c>
      <c r="JT42" s="122">
        <f t="shared" si="344"/>
        <v>0</v>
      </c>
      <c r="JU42" s="122">
        <f t="shared" si="345"/>
        <v>0</v>
      </c>
      <c r="JV42" s="122">
        <f t="shared" si="346"/>
        <v>0</v>
      </c>
      <c r="JW42" s="122">
        <f t="shared" si="347"/>
        <v>0</v>
      </c>
      <c r="JX42" s="122">
        <f t="shared" si="348"/>
        <v>0</v>
      </c>
      <c r="JY42" s="122">
        <f t="shared" si="349"/>
        <v>0</v>
      </c>
      <c r="JZ42" s="122">
        <f t="shared" si="350"/>
        <v>0</v>
      </c>
      <c r="KA42" s="122">
        <f t="shared" si="351"/>
        <v>0</v>
      </c>
      <c r="KB42" s="122">
        <f t="shared" si="352"/>
        <v>0</v>
      </c>
      <c r="KD42" s="122">
        <f t="shared" si="164"/>
        <v>0</v>
      </c>
      <c r="KE42" s="122">
        <f t="shared" si="102"/>
        <v>0</v>
      </c>
      <c r="KF42" s="122">
        <f t="shared" si="353"/>
        <v>0</v>
      </c>
      <c r="KG42" s="122">
        <f t="shared" si="354"/>
        <v>0</v>
      </c>
      <c r="KH42" s="122">
        <f t="shared" si="355"/>
        <v>0</v>
      </c>
      <c r="KI42" s="122">
        <f t="shared" si="356"/>
        <v>0</v>
      </c>
      <c r="KJ42" s="122">
        <f t="shared" si="357"/>
        <v>0</v>
      </c>
      <c r="KK42" s="122">
        <f t="shared" si="358"/>
        <v>0</v>
      </c>
      <c r="KL42" s="122">
        <f t="shared" si="359"/>
        <v>0</v>
      </c>
      <c r="KM42" s="122">
        <f t="shared" si="360"/>
        <v>0</v>
      </c>
      <c r="KN42" s="123">
        <f t="shared" si="361"/>
        <v>0</v>
      </c>
      <c r="KO42" s="123">
        <f t="shared" si="362"/>
        <v>0</v>
      </c>
      <c r="KP42" s="123">
        <f t="shared" si="363"/>
        <v>0</v>
      </c>
      <c r="KQ42" s="123">
        <f t="shared" si="364"/>
        <v>0</v>
      </c>
      <c r="KR42" s="123">
        <f t="shared" si="365"/>
        <v>0</v>
      </c>
      <c r="KS42">
        <v>7</v>
      </c>
      <c r="KT42">
        <f t="shared" si="366"/>
        <v>1</v>
      </c>
      <c r="KU42" s="123"/>
      <c r="KV42" s="123"/>
      <c r="KW42" s="123"/>
      <c r="KX42" s="123"/>
      <c r="KY42" s="123"/>
      <c r="KZ42" s="123"/>
      <c r="LA42" s="123"/>
      <c r="LB42" s="123"/>
      <c r="LC42" s="123"/>
      <c r="LD42" s="123"/>
      <c r="LE42" s="123"/>
      <c r="LF42" s="123"/>
      <c r="LG42" s="123"/>
      <c r="LH42" s="123"/>
      <c r="LI42" s="123"/>
      <c r="LJ42" s="123"/>
      <c r="LK42" s="123"/>
      <c r="LL42" s="123"/>
      <c r="LM42" s="123"/>
      <c r="LN42" s="123"/>
      <c r="LO42" s="123"/>
      <c r="LP42" s="123"/>
      <c r="LQ42" s="123"/>
      <c r="LR42" s="123"/>
      <c r="LS42" s="123"/>
      <c r="LT42" s="123"/>
      <c r="LU42" s="123"/>
      <c r="LV42" s="123"/>
      <c r="LW42" s="123"/>
      <c r="LX42" s="123"/>
      <c r="LY42" s="123"/>
      <c r="LZ42" s="123"/>
      <c r="MA42" s="123"/>
      <c r="MB42" s="123"/>
      <c r="MC42" s="123"/>
      <c r="MD42" s="123"/>
      <c r="ME42" s="123"/>
      <c r="MF42" s="123"/>
      <c r="MG42" s="123"/>
      <c r="MH42" s="123"/>
      <c r="MI42" s="123"/>
      <c r="MJ42" s="123"/>
      <c r="MK42" s="123"/>
      <c r="ML42" s="123"/>
      <c r="MM42" s="123"/>
      <c r="MN42" s="123"/>
      <c r="MO42" s="123"/>
      <c r="MP42" s="123"/>
      <c r="MQ42" s="123"/>
      <c r="MR42" s="123"/>
      <c r="MS42" s="123"/>
      <c r="MT42" s="123"/>
      <c r="MU42" s="123"/>
      <c r="MV42" s="123"/>
      <c r="MW42" s="123"/>
      <c r="MX42" s="123"/>
      <c r="MY42" s="123"/>
      <c r="MZ42" s="123"/>
      <c r="NA42" s="123"/>
      <c r="NB42" s="123"/>
      <c r="NC42" s="123"/>
      <c r="ND42" s="123"/>
      <c r="NE42" s="123"/>
      <c r="NF42" s="123"/>
      <c r="NG42" s="123"/>
      <c r="NH42" s="123"/>
      <c r="NI42" s="123"/>
      <c r="NJ42" s="123"/>
      <c r="NK42" s="123"/>
      <c r="NM42">
        <f t="shared" si="452"/>
        <v>0</v>
      </c>
      <c r="NN42">
        <f t="shared" si="453"/>
        <v>0</v>
      </c>
      <c r="NO42">
        <f t="shared" si="454"/>
        <v>0</v>
      </c>
      <c r="NP42">
        <f t="shared" si="455"/>
        <v>0</v>
      </c>
      <c r="NQ42">
        <f t="shared" si="456"/>
        <v>0</v>
      </c>
      <c r="NR42">
        <f t="shared" si="457"/>
        <v>0</v>
      </c>
      <c r="NS42">
        <f t="shared" si="458"/>
        <v>1</v>
      </c>
      <c r="NT42">
        <f t="shared" si="459"/>
        <v>1</v>
      </c>
      <c r="NU42" s="29">
        <f t="shared" si="460"/>
        <v>0</v>
      </c>
      <c r="NY42" s="17">
        <f t="shared" si="118"/>
        <v>0</v>
      </c>
      <c r="OE42" s="155"/>
      <c r="OF42" s="155">
        <f t="shared" si="461"/>
        <v>0</v>
      </c>
      <c r="OG42" s="155">
        <f t="shared" si="462"/>
        <v>1</v>
      </c>
      <c r="OH42" s="155">
        <f t="shared" si="463"/>
        <v>0</v>
      </c>
      <c r="OI42" s="155">
        <f t="shared" si="464"/>
        <v>1</v>
      </c>
      <c r="OJ42" s="67">
        <f t="shared" si="465"/>
        <v>0</v>
      </c>
      <c r="OK42" s="67">
        <f t="shared" si="466"/>
        <v>0</v>
      </c>
      <c r="OL42" s="67">
        <f t="shared" si="467"/>
        <v>0</v>
      </c>
      <c r="OM42" s="67">
        <f t="shared" si="468"/>
        <v>0</v>
      </c>
      <c r="OO42" s="155">
        <f t="shared" si="469"/>
        <v>0</v>
      </c>
      <c r="OP42" s="155">
        <f t="shared" si="470"/>
        <v>0</v>
      </c>
      <c r="OQ42" s="155">
        <f t="shared" si="471"/>
        <v>1</v>
      </c>
      <c r="OR42" s="155">
        <f t="shared" si="472"/>
        <v>0</v>
      </c>
      <c r="OS42" s="155">
        <f t="shared" si="473"/>
        <v>1</v>
      </c>
      <c r="OT42" s="67">
        <f t="shared" si="474"/>
        <v>0</v>
      </c>
      <c r="OU42" s="67">
        <f t="shared" si="475"/>
        <v>0</v>
      </c>
      <c r="OV42" s="67">
        <f t="shared" si="476"/>
        <v>0</v>
      </c>
      <c r="OW42" s="67">
        <f t="shared" si="477"/>
        <v>0</v>
      </c>
      <c r="OZ42" s="163"/>
      <c r="PA42" s="166">
        <v>1</v>
      </c>
      <c r="PB42" s="166"/>
      <c r="PC42" s="166"/>
      <c r="PD42" s="210">
        <f t="shared" si="125"/>
        <v>0</v>
      </c>
      <c r="PE42" s="210"/>
      <c r="PF42" s="210">
        <f t="shared" si="126"/>
        <v>0</v>
      </c>
      <c r="PG42" s="210">
        <f t="shared" si="127"/>
        <v>122</v>
      </c>
      <c r="PH42" s="210">
        <f t="shared" si="127"/>
        <v>0</v>
      </c>
      <c r="PI42" s="210">
        <f t="shared" si="127"/>
        <v>0</v>
      </c>
      <c r="PJ42" s="210">
        <f t="shared" si="127"/>
        <v>0</v>
      </c>
      <c r="PK42" s="210">
        <f t="shared" si="127"/>
        <v>0</v>
      </c>
      <c r="PL42" s="210">
        <f t="shared" si="127"/>
        <v>0</v>
      </c>
      <c r="PM42" s="164"/>
      <c r="PN42" s="164"/>
      <c r="PO42" s="172">
        <f t="shared" si="186"/>
        <v>0</v>
      </c>
      <c r="PP42" s="172">
        <f t="shared" si="187"/>
        <v>0</v>
      </c>
      <c r="PQ42" s="172">
        <f t="shared" si="188"/>
        <v>0</v>
      </c>
      <c r="PR42" s="164"/>
      <c r="PS42" s="164"/>
      <c r="PT42" s="164"/>
      <c r="PU42" s="164"/>
    </row>
    <row r="43" spans="1:437" ht="16" x14ac:dyDescent="0.2">
      <c r="A43" s="19">
        <f t="shared" si="189"/>
        <v>35</v>
      </c>
      <c r="B43" s="158" t="s">
        <v>680</v>
      </c>
      <c r="C43" s="186">
        <v>11</v>
      </c>
      <c r="D43" s="188">
        <v>1</v>
      </c>
      <c r="E43" s="188">
        <v>80</v>
      </c>
      <c r="F43" s="188">
        <v>1</v>
      </c>
      <c r="G43" s="188">
        <f t="shared" si="478"/>
        <v>80</v>
      </c>
      <c r="H43" s="214">
        <f t="shared" si="368"/>
        <v>1</v>
      </c>
      <c r="I43" s="214">
        <f t="shared" si="369"/>
        <v>1</v>
      </c>
      <c r="J43" s="188">
        <v>1</v>
      </c>
      <c r="K43" s="188">
        <f t="shared" si="370"/>
        <v>80</v>
      </c>
      <c r="L43" s="214">
        <f t="shared" si="371"/>
        <v>1</v>
      </c>
      <c r="M43" s="214">
        <f t="shared" si="372"/>
        <v>1</v>
      </c>
      <c r="N43" s="188">
        <v>1</v>
      </c>
      <c r="O43" s="188">
        <f t="shared" si="373"/>
        <v>80</v>
      </c>
      <c r="P43" s="214">
        <f t="shared" si="374"/>
        <v>1</v>
      </c>
      <c r="Q43" s="214">
        <f t="shared" si="375"/>
        <v>1</v>
      </c>
      <c r="R43" s="188">
        <v>0</v>
      </c>
      <c r="S43" s="188">
        <f t="shared" si="376"/>
        <v>0</v>
      </c>
      <c r="T43" s="214">
        <f t="shared" si="377"/>
        <v>0</v>
      </c>
      <c r="U43" s="214">
        <f t="shared" si="378"/>
        <v>0</v>
      </c>
      <c r="V43" s="188">
        <v>0</v>
      </c>
      <c r="W43" s="188">
        <f t="shared" si="379"/>
        <v>0</v>
      </c>
      <c r="X43" s="214">
        <f t="shared" si="380"/>
        <v>0</v>
      </c>
      <c r="Y43" s="214">
        <f t="shared" si="381"/>
        <v>0</v>
      </c>
      <c r="Z43" s="271">
        <v>0</v>
      </c>
      <c r="AA43" s="188"/>
      <c r="AB43" s="189">
        <f t="shared" si="382"/>
        <v>0</v>
      </c>
      <c r="AC43" s="250">
        <f t="shared" si="383"/>
        <v>0</v>
      </c>
      <c r="AD43" s="18">
        <f t="shared" si="384"/>
        <v>0</v>
      </c>
      <c r="AE43" s="20"/>
      <c r="AF43" s="20">
        <f t="shared" si="385"/>
        <v>0</v>
      </c>
      <c r="AG43" s="20"/>
      <c r="AH43" s="20"/>
      <c r="AI43" s="20">
        <v>0</v>
      </c>
      <c r="AJ43" s="20">
        <f t="shared" si="386"/>
        <v>0</v>
      </c>
      <c r="AK43" s="20"/>
      <c r="AL43" s="20">
        <v>0</v>
      </c>
      <c r="AM43" s="20">
        <v>0</v>
      </c>
      <c r="AN43" s="139">
        <v>1</v>
      </c>
      <c r="BB43" s="20">
        <f t="shared" si="479"/>
        <v>80</v>
      </c>
      <c r="BE43" s="20">
        <f t="shared" si="387"/>
        <v>0</v>
      </c>
      <c r="BF43" s="20">
        <f t="shared" si="388"/>
        <v>0</v>
      </c>
      <c r="BG43" s="20">
        <f t="shared" si="389"/>
        <v>0</v>
      </c>
      <c r="BH43" s="20">
        <f t="shared" si="390"/>
        <v>0</v>
      </c>
      <c r="BI43" s="20">
        <f t="shared" si="391"/>
        <v>0</v>
      </c>
      <c r="BJ43" s="20">
        <f t="shared" si="392"/>
        <v>0</v>
      </c>
      <c r="BK43" s="20">
        <f t="shared" si="393"/>
        <v>0</v>
      </c>
      <c r="BN43" s="143"/>
      <c r="BO43" s="126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B43" s="139"/>
      <c r="CD43" s="17">
        <f t="shared" si="394"/>
        <v>0</v>
      </c>
      <c r="CE43" s="17">
        <f t="shared" si="395"/>
        <v>0</v>
      </c>
      <c r="CF43" s="20">
        <f t="shared" si="396"/>
        <v>0</v>
      </c>
      <c r="CG43" s="20">
        <f t="shared" si="397"/>
        <v>0</v>
      </c>
      <c r="CH43" s="20">
        <f t="shared" si="398"/>
        <v>0</v>
      </c>
      <c r="CI43" s="20">
        <f t="shared" si="399"/>
        <v>0</v>
      </c>
      <c r="CJ43" s="20">
        <f t="shared" si="400"/>
        <v>0</v>
      </c>
      <c r="CK43" s="20">
        <f t="shared" si="401"/>
        <v>0</v>
      </c>
      <c r="CL43" s="20">
        <f t="shared" si="402"/>
        <v>0</v>
      </c>
      <c r="CM43" s="20">
        <f t="shared" si="403"/>
        <v>0</v>
      </c>
      <c r="CN43" s="20">
        <f t="shared" si="404"/>
        <v>0</v>
      </c>
      <c r="CO43" s="20">
        <f t="shared" si="405"/>
        <v>0</v>
      </c>
      <c r="CP43" s="20">
        <f t="shared" si="406"/>
        <v>0</v>
      </c>
      <c r="DV43" s="20">
        <f t="shared" si="407"/>
        <v>0</v>
      </c>
      <c r="DW43" s="20">
        <f t="shared" si="408"/>
        <v>0</v>
      </c>
      <c r="DX43" s="20">
        <f t="shared" si="409"/>
        <v>0</v>
      </c>
      <c r="DY43" s="20">
        <f t="shared" si="410"/>
        <v>0</v>
      </c>
      <c r="DZ43" s="20">
        <f t="shared" si="411"/>
        <v>0</v>
      </c>
      <c r="EA43" s="20">
        <f t="shared" si="412"/>
        <v>0</v>
      </c>
      <c r="EB43" s="20">
        <f t="shared" si="413"/>
        <v>0</v>
      </c>
      <c r="EG43" s="57">
        <f t="shared" si="414"/>
        <v>0</v>
      </c>
      <c r="EH43" s="57">
        <f t="shared" si="415"/>
        <v>0</v>
      </c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X43" s="80"/>
      <c r="FY43" s="17">
        <f t="shared" si="416"/>
        <v>0</v>
      </c>
      <c r="FZ43" s="17">
        <f t="shared" si="309"/>
        <v>0</v>
      </c>
      <c r="GA43" s="17">
        <f t="shared" si="310"/>
        <v>0</v>
      </c>
      <c r="GB43" s="17">
        <f t="shared" si="311"/>
        <v>0</v>
      </c>
      <c r="GC43" s="17">
        <f t="shared" si="312"/>
        <v>0</v>
      </c>
      <c r="GD43" s="17">
        <f t="shared" si="313"/>
        <v>0</v>
      </c>
      <c r="GE43" s="17">
        <f t="shared" si="314"/>
        <v>0</v>
      </c>
      <c r="GF43" s="67"/>
      <c r="GG43" s="17">
        <v>0</v>
      </c>
      <c r="GH43" s="17">
        <v>0</v>
      </c>
      <c r="GI43" s="67"/>
      <c r="GJ43" s="62">
        <f t="shared" si="417"/>
        <v>0</v>
      </c>
      <c r="GK43" s="62">
        <f t="shared" si="418"/>
        <v>0</v>
      </c>
      <c r="GO43" s="17">
        <f t="shared" si="315"/>
        <v>0</v>
      </c>
      <c r="GP43" s="17">
        <f t="shared" si="316"/>
        <v>0</v>
      </c>
      <c r="GQ43" s="17">
        <f t="shared" si="317"/>
        <v>0</v>
      </c>
      <c r="GR43" s="17">
        <f t="shared" si="318"/>
        <v>1</v>
      </c>
      <c r="GS43" s="17">
        <f t="shared" si="319"/>
        <v>1</v>
      </c>
      <c r="GT43" s="17">
        <f t="shared" si="419"/>
        <v>0</v>
      </c>
      <c r="GU43" s="101">
        <f t="shared" si="143"/>
        <v>43243</v>
      </c>
      <c r="GV43" s="17" t="str">
        <f t="shared" si="420"/>
        <v>Musyawarah</v>
      </c>
      <c r="GW43" s="17">
        <f t="shared" si="421"/>
        <v>1</v>
      </c>
      <c r="GX43" s="66" t="str">
        <f t="shared" si="422"/>
        <v>Musyawarah</v>
      </c>
      <c r="GY43" s="66">
        <f t="shared" si="423"/>
        <v>24</v>
      </c>
      <c r="GZ43" s="102">
        <f t="shared" si="424"/>
        <v>43267</v>
      </c>
      <c r="HA43" s="83"/>
      <c r="HB43" s="83"/>
      <c r="HC43" s="17">
        <f t="shared" si="320"/>
        <v>0</v>
      </c>
      <c r="HD43" s="17">
        <f t="shared" si="321"/>
        <v>0</v>
      </c>
      <c r="HE43" s="17">
        <f t="shared" si="425"/>
        <v>0</v>
      </c>
      <c r="HF43" s="17">
        <f t="shared" si="426"/>
        <v>0</v>
      </c>
      <c r="HG43" s="17">
        <f t="shared" si="427"/>
        <v>0</v>
      </c>
      <c r="HH43" s="101" t="str">
        <f t="shared" si="428"/>
        <v>TIDAK KONSINYASI</v>
      </c>
      <c r="HI43" s="101">
        <f t="shared" si="429"/>
        <v>43312</v>
      </c>
      <c r="HJ43" s="27"/>
      <c r="HK43" s="101">
        <f t="shared" si="430"/>
        <v>43312</v>
      </c>
      <c r="HL43" s="83"/>
      <c r="HM43" s="83"/>
      <c r="HN43" s="83"/>
      <c r="HO43" s="83"/>
      <c r="HP43" s="102">
        <f t="shared" si="431"/>
        <v>0</v>
      </c>
      <c r="HQ43" s="66">
        <f t="shared" si="432"/>
        <v>0</v>
      </c>
      <c r="HR43" s="66">
        <f t="shared" si="322"/>
        <v>0</v>
      </c>
      <c r="HS43" s="102">
        <f t="shared" si="433"/>
        <v>0</v>
      </c>
      <c r="HT43" s="66">
        <f t="shared" si="434"/>
        <v>0</v>
      </c>
      <c r="HU43" s="66">
        <f t="shared" si="323"/>
        <v>0</v>
      </c>
      <c r="HV43" s="102">
        <f t="shared" si="435"/>
        <v>0</v>
      </c>
      <c r="HW43" s="66">
        <f t="shared" si="436"/>
        <v>0</v>
      </c>
      <c r="HX43" s="66">
        <f t="shared" si="324"/>
        <v>0</v>
      </c>
      <c r="HY43" s="102">
        <f t="shared" si="437"/>
        <v>0</v>
      </c>
      <c r="HZ43" s="66">
        <f t="shared" si="438"/>
        <v>0</v>
      </c>
      <c r="IA43" s="66">
        <f t="shared" si="325"/>
        <v>0</v>
      </c>
      <c r="IB43" s="102">
        <f t="shared" si="439"/>
        <v>0</v>
      </c>
      <c r="IC43" s="66">
        <f t="shared" si="440"/>
        <v>0</v>
      </c>
      <c r="ID43" s="66">
        <f t="shared" si="326"/>
        <v>0</v>
      </c>
      <c r="IE43" s="102">
        <f t="shared" si="441"/>
        <v>0</v>
      </c>
      <c r="IF43" s="66">
        <f t="shared" si="442"/>
        <v>0</v>
      </c>
      <c r="IG43" s="66">
        <f t="shared" si="327"/>
        <v>0</v>
      </c>
      <c r="IH43" s="102">
        <f t="shared" si="443"/>
        <v>0</v>
      </c>
      <c r="II43" s="66">
        <f t="shared" si="444"/>
        <v>0</v>
      </c>
      <c r="IJ43" s="66">
        <f t="shared" si="328"/>
        <v>0</v>
      </c>
      <c r="IK43" s="102">
        <f t="shared" si="445"/>
        <v>0</v>
      </c>
      <c r="IL43" s="66">
        <f t="shared" si="446"/>
        <v>0</v>
      </c>
      <c r="IM43" s="66">
        <f t="shared" si="329"/>
        <v>0</v>
      </c>
      <c r="IN43" s="83"/>
      <c r="IO43" s="102">
        <f t="shared" si="447"/>
        <v>0</v>
      </c>
      <c r="IP43" s="66">
        <f t="shared" si="330"/>
        <v>0</v>
      </c>
      <c r="IQ43" s="66">
        <f t="shared" si="331"/>
        <v>0</v>
      </c>
      <c r="IR43" s="83"/>
      <c r="IS43" s="102"/>
      <c r="IT43" s="66">
        <f t="shared" si="332"/>
        <v>0</v>
      </c>
      <c r="IU43" s="66">
        <f t="shared" si="333"/>
        <v>0</v>
      </c>
      <c r="IV43" s="83"/>
      <c r="IW43" s="102"/>
      <c r="IX43" s="66">
        <f t="shared" si="334"/>
        <v>0</v>
      </c>
      <c r="IY43" s="66">
        <f t="shared" si="335"/>
        <v>0</v>
      </c>
      <c r="IZ43" s="83"/>
      <c r="JA43" s="102"/>
      <c r="JB43" s="66">
        <f t="shared" si="336"/>
        <v>1</v>
      </c>
      <c r="JC43" s="66">
        <f t="shared" si="337"/>
        <v>80</v>
      </c>
      <c r="JD43" s="83"/>
      <c r="JE43" s="102"/>
      <c r="JF43" s="66">
        <f t="shared" si="448"/>
        <v>1</v>
      </c>
      <c r="JG43" s="66">
        <f t="shared" si="449"/>
        <v>80</v>
      </c>
      <c r="JH43" s="83"/>
      <c r="JI43" s="102"/>
      <c r="JJ43" s="66">
        <f t="shared" si="338"/>
        <v>0</v>
      </c>
      <c r="JK43" s="66">
        <f t="shared" si="339"/>
        <v>0</v>
      </c>
      <c r="JM43" s="102">
        <f t="shared" si="450"/>
        <v>0</v>
      </c>
      <c r="JO43" s="29">
        <f t="shared" si="451"/>
        <v>0</v>
      </c>
      <c r="JP43" s="122">
        <f t="shared" si="340"/>
        <v>0</v>
      </c>
      <c r="JQ43" s="122">
        <f t="shared" si="341"/>
        <v>0</v>
      </c>
      <c r="JR43" s="122">
        <f t="shared" si="342"/>
        <v>0</v>
      </c>
      <c r="JS43" s="122">
        <f t="shared" si="343"/>
        <v>0</v>
      </c>
      <c r="JT43" s="122">
        <f t="shared" si="344"/>
        <v>0</v>
      </c>
      <c r="JU43" s="122">
        <f t="shared" si="345"/>
        <v>0</v>
      </c>
      <c r="JV43" s="122">
        <f t="shared" si="346"/>
        <v>0</v>
      </c>
      <c r="JW43" s="122">
        <f t="shared" si="347"/>
        <v>0</v>
      </c>
      <c r="JX43" s="122">
        <f t="shared" si="348"/>
        <v>0</v>
      </c>
      <c r="JY43" s="122">
        <f t="shared" si="349"/>
        <v>0</v>
      </c>
      <c r="JZ43" s="122">
        <f t="shared" si="350"/>
        <v>0</v>
      </c>
      <c r="KA43" s="122">
        <f t="shared" si="351"/>
        <v>0</v>
      </c>
      <c r="KB43" s="122">
        <f t="shared" si="352"/>
        <v>0</v>
      </c>
      <c r="KD43" s="122">
        <f t="shared" si="164"/>
        <v>0</v>
      </c>
      <c r="KE43" s="122">
        <f t="shared" si="102"/>
        <v>0</v>
      </c>
      <c r="KF43" s="122">
        <f t="shared" si="353"/>
        <v>0</v>
      </c>
      <c r="KG43" s="122">
        <f t="shared" si="354"/>
        <v>0</v>
      </c>
      <c r="KH43" s="122">
        <f t="shared" si="355"/>
        <v>0</v>
      </c>
      <c r="KI43" s="122">
        <f t="shared" si="356"/>
        <v>0</v>
      </c>
      <c r="KJ43" s="122">
        <f t="shared" si="357"/>
        <v>0</v>
      </c>
      <c r="KK43" s="122">
        <f t="shared" si="358"/>
        <v>0</v>
      </c>
      <c r="KL43" s="122">
        <f t="shared" si="359"/>
        <v>0</v>
      </c>
      <c r="KM43" s="122">
        <f t="shared" si="360"/>
        <v>0</v>
      </c>
      <c r="KN43" s="123">
        <f t="shared" si="361"/>
        <v>0</v>
      </c>
      <c r="KO43" s="123">
        <f t="shared" si="362"/>
        <v>0</v>
      </c>
      <c r="KP43" s="123">
        <f t="shared" si="363"/>
        <v>0</v>
      </c>
      <c r="KQ43" s="123">
        <f t="shared" si="364"/>
        <v>0</v>
      </c>
      <c r="KR43" s="123">
        <f t="shared" si="365"/>
        <v>0</v>
      </c>
      <c r="KS43">
        <v>7</v>
      </c>
      <c r="KT43">
        <f t="shared" si="366"/>
        <v>1</v>
      </c>
      <c r="KU43" s="123"/>
      <c r="KV43" s="123"/>
      <c r="KW43" s="123"/>
      <c r="KX43" s="123"/>
      <c r="KY43" s="123"/>
      <c r="KZ43" s="123"/>
      <c r="LA43" s="123"/>
      <c r="LB43" s="123"/>
      <c r="LC43" s="123"/>
      <c r="LD43" s="123"/>
      <c r="LE43" s="123"/>
      <c r="LF43" s="123"/>
      <c r="LG43" s="123"/>
      <c r="LH43" s="123"/>
      <c r="LI43" s="123"/>
      <c r="LJ43" s="123"/>
      <c r="LK43" s="123"/>
      <c r="LL43" s="123"/>
      <c r="LM43" s="123"/>
      <c r="LN43" s="123"/>
      <c r="LO43" s="123"/>
      <c r="LP43" s="123"/>
      <c r="LQ43" s="123"/>
      <c r="LR43" s="123"/>
      <c r="LS43" s="123"/>
      <c r="LT43" s="123"/>
      <c r="LU43" s="123"/>
      <c r="LV43" s="123"/>
      <c r="LW43" s="123"/>
      <c r="LX43" s="123"/>
      <c r="LY43" s="123"/>
      <c r="LZ43" s="123"/>
      <c r="MA43" s="123"/>
      <c r="MB43" s="123"/>
      <c r="MC43" s="123"/>
      <c r="MD43" s="123"/>
      <c r="ME43" s="123"/>
      <c r="MF43" s="123"/>
      <c r="MG43" s="123"/>
      <c r="MH43" s="123"/>
      <c r="MI43" s="123"/>
      <c r="MJ43" s="123"/>
      <c r="MK43" s="123"/>
      <c r="ML43" s="123"/>
      <c r="MM43" s="123"/>
      <c r="MN43" s="123"/>
      <c r="MO43" s="123"/>
      <c r="MP43" s="123"/>
      <c r="MQ43" s="123"/>
      <c r="MR43" s="123"/>
      <c r="MS43" s="123"/>
      <c r="MT43" s="123"/>
      <c r="MU43" s="123"/>
      <c r="MV43" s="123"/>
      <c r="MW43" s="123"/>
      <c r="MX43" s="123"/>
      <c r="MY43" s="123"/>
      <c r="MZ43" s="123"/>
      <c r="NA43" s="123"/>
      <c r="NB43" s="123"/>
      <c r="NC43" s="123"/>
      <c r="ND43" s="123"/>
      <c r="NE43" s="123"/>
      <c r="NF43" s="123"/>
      <c r="NG43" s="123"/>
      <c r="NH43" s="123"/>
      <c r="NI43" s="123"/>
      <c r="NJ43" s="123"/>
      <c r="NK43" s="123"/>
      <c r="NM43">
        <f t="shared" si="452"/>
        <v>0</v>
      </c>
      <c r="NN43">
        <f t="shared" si="453"/>
        <v>0</v>
      </c>
      <c r="NO43">
        <f t="shared" si="454"/>
        <v>0</v>
      </c>
      <c r="NP43">
        <f t="shared" si="455"/>
        <v>0</v>
      </c>
      <c r="NQ43">
        <f t="shared" si="456"/>
        <v>0</v>
      </c>
      <c r="NR43">
        <f t="shared" si="457"/>
        <v>0</v>
      </c>
      <c r="NS43">
        <f t="shared" si="458"/>
        <v>1</v>
      </c>
      <c r="NT43">
        <f t="shared" si="459"/>
        <v>1</v>
      </c>
      <c r="NU43" s="29">
        <f t="shared" si="460"/>
        <v>0</v>
      </c>
      <c r="NY43" s="17">
        <f t="shared" si="118"/>
        <v>0</v>
      </c>
      <c r="OE43" s="155"/>
      <c r="OF43" s="155">
        <f t="shared" si="461"/>
        <v>0</v>
      </c>
      <c r="OG43" s="155">
        <f t="shared" si="462"/>
        <v>1</v>
      </c>
      <c r="OH43" s="155">
        <f t="shared" si="463"/>
        <v>0</v>
      </c>
      <c r="OI43" s="155">
        <f t="shared" si="464"/>
        <v>1</v>
      </c>
      <c r="OJ43" s="67">
        <f t="shared" si="465"/>
        <v>0</v>
      </c>
      <c r="OK43" s="67">
        <f t="shared" si="466"/>
        <v>0</v>
      </c>
      <c r="OL43" s="67">
        <f t="shared" si="467"/>
        <v>0</v>
      </c>
      <c r="OM43" s="67">
        <f t="shared" si="468"/>
        <v>0</v>
      </c>
      <c r="OO43" s="155">
        <f t="shared" si="469"/>
        <v>0</v>
      </c>
      <c r="OP43" s="155">
        <f t="shared" si="470"/>
        <v>0</v>
      </c>
      <c r="OQ43" s="155">
        <f t="shared" si="471"/>
        <v>1</v>
      </c>
      <c r="OR43" s="155">
        <f t="shared" si="472"/>
        <v>0</v>
      </c>
      <c r="OS43" s="155">
        <f t="shared" si="473"/>
        <v>1</v>
      </c>
      <c r="OT43" s="67">
        <f t="shared" si="474"/>
        <v>0</v>
      </c>
      <c r="OU43" s="67">
        <f t="shared" si="475"/>
        <v>0</v>
      </c>
      <c r="OV43" s="67">
        <f t="shared" si="476"/>
        <v>0</v>
      </c>
      <c r="OW43" s="67">
        <f t="shared" si="477"/>
        <v>0</v>
      </c>
      <c r="OZ43" s="163"/>
      <c r="PA43" s="166"/>
      <c r="PB43" s="166">
        <v>1</v>
      </c>
      <c r="PC43" s="166"/>
      <c r="PD43" s="210">
        <f t="shared" si="125"/>
        <v>1</v>
      </c>
      <c r="PE43" s="210">
        <v>1</v>
      </c>
      <c r="PF43" s="210">
        <f t="shared" si="126"/>
        <v>0</v>
      </c>
      <c r="PG43" s="210">
        <f t="shared" si="127"/>
        <v>0</v>
      </c>
      <c r="PH43" s="210">
        <f t="shared" si="127"/>
        <v>80</v>
      </c>
      <c r="PI43" s="210">
        <f t="shared" si="127"/>
        <v>0</v>
      </c>
      <c r="PJ43" s="210">
        <f t="shared" si="127"/>
        <v>80</v>
      </c>
      <c r="PK43" s="210">
        <f t="shared" si="127"/>
        <v>80</v>
      </c>
      <c r="PL43" s="210">
        <f t="shared" si="127"/>
        <v>0</v>
      </c>
      <c r="PM43" s="164"/>
      <c r="PN43" s="164"/>
      <c r="PO43" s="172">
        <f t="shared" si="186"/>
        <v>0</v>
      </c>
      <c r="PP43" s="172">
        <f t="shared" si="187"/>
        <v>0</v>
      </c>
      <c r="PQ43" s="172">
        <f t="shared" si="188"/>
        <v>0</v>
      </c>
      <c r="PR43" s="164"/>
      <c r="PS43" s="164"/>
      <c r="PT43" s="164"/>
      <c r="PU43" s="164"/>
    </row>
    <row r="44" spans="1:437" ht="16" x14ac:dyDescent="0.2">
      <c r="A44" s="19">
        <f t="shared" si="189"/>
        <v>36</v>
      </c>
      <c r="B44" s="158" t="s">
        <v>682</v>
      </c>
      <c r="C44" s="186">
        <v>12</v>
      </c>
      <c r="D44" s="188">
        <v>1</v>
      </c>
      <c r="E44" s="188">
        <v>28</v>
      </c>
      <c r="F44" s="188">
        <v>1</v>
      </c>
      <c r="G44" s="188">
        <f t="shared" si="478"/>
        <v>28</v>
      </c>
      <c r="H44" s="214">
        <f t="shared" ref="H44:H56" si="487">F44/$D44</f>
        <v>1</v>
      </c>
      <c r="I44" s="214">
        <f t="shared" ref="I44:I56" si="488">G44/$E44</f>
        <v>1</v>
      </c>
      <c r="J44" s="188">
        <v>1</v>
      </c>
      <c r="K44" s="188">
        <f t="shared" ref="K44:K56" si="489">IF(J44=D44,E44,0)</f>
        <v>28</v>
      </c>
      <c r="L44" s="214">
        <f t="shared" ref="L44:L56" si="490">J44/$D44</f>
        <v>1</v>
      </c>
      <c r="M44" s="214">
        <f t="shared" ref="M44:M56" si="491">K44/$E44</f>
        <v>1</v>
      </c>
      <c r="N44" s="188">
        <v>1</v>
      </c>
      <c r="O44" s="188">
        <f t="shared" ref="O44:O56" si="492">IF(N44=D44,E44,0)</f>
        <v>28</v>
      </c>
      <c r="P44" s="137">
        <f t="shared" ref="P44:P56" si="493">N44/$D44</f>
        <v>1</v>
      </c>
      <c r="Q44" s="137">
        <f t="shared" ref="Q44:Q56" si="494">O44/$E44</f>
        <v>1</v>
      </c>
      <c r="R44" s="20">
        <v>0</v>
      </c>
      <c r="S44" s="20">
        <f t="shared" ref="S44:S56" si="495">IF(R44=D44,E44,0)</f>
        <v>0</v>
      </c>
      <c r="T44" s="137">
        <f t="shared" ref="T44:T56" si="496">R44/$D44</f>
        <v>0</v>
      </c>
      <c r="U44" s="137">
        <f t="shared" ref="U44:U56" si="497">S44/$E44</f>
        <v>0</v>
      </c>
      <c r="V44" s="20">
        <v>0</v>
      </c>
      <c r="W44" s="20">
        <f t="shared" ref="W44:W56" si="498">IF(V44=D44,E44,0)</f>
        <v>0</v>
      </c>
      <c r="X44" s="137">
        <f t="shared" ref="X44:X56" si="499">V44/$D44</f>
        <v>0</v>
      </c>
      <c r="Y44" s="137">
        <f t="shared" ref="Y44:Y56" si="500">W44/$E44</f>
        <v>0</v>
      </c>
      <c r="Z44" s="59">
        <v>0</v>
      </c>
      <c r="AA44" s="20"/>
      <c r="AB44" s="17">
        <f t="shared" ref="AB44:AB56" si="501">IF(AA44=D44,E44,0)</f>
        <v>0</v>
      </c>
      <c r="AC44" s="18">
        <f t="shared" ref="AC44:AC56" si="502">AA44/$D44</f>
        <v>0</v>
      </c>
      <c r="AD44" s="18">
        <f t="shared" ref="AD44:AD56" si="503">AB44/$E44</f>
        <v>0</v>
      </c>
      <c r="AE44" s="20"/>
      <c r="AF44" s="20">
        <f t="shared" ref="AF44:AF56" si="504">R44-V44</f>
        <v>0</v>
      </c>
      <c r="AG44" s="20"/>
      <c r="AH44" s="20"/>
      <c r="AI44" s="20">
        <v>0</v>
      </c>
      <c r="AJ44" s="20">
        <f t="shared" ref="AJ44:AJ56" si="505">IF(AI44=D44,E44,0)</f>
        <v>0</v>
      </c>
      <c r="AK44" s="20"/>
      <c r="AL44" s="20">
        <v>0</v>
      </c>
      <c r="AM44" s="20">
        <v>0</v>
      </c>
      <c r="AN44" s="139">
        <v>1</v>
      </c>
      <c r="BB44" s="20">
        <f t="shared" ref="BB44:BB56" si="506">IF(AN44=1,E44,0)</f>
        <v>28</v>
      </c>
      <c r="BE44" s="20">
        <f t="shared" ref="BE44:BE56" si="507">IF(AF44=1,S44,0)</f>
        <v>0</v>
      </c>
      <c r="BF44" s="20">
        <f t="shared" ref="BF44:BF56" si="508">IF(AG44="A",S44,0)</f>
        <v>0</v>
      </c>
      <c r="BG44" s="20">
        <f t="shared" ref="BG44:BG56" si="509">IF(AG44="B",S44,0)</f>
        <v>0</v>
      </c>
      <c r="BH44" s="20">
        <f t="shared" ref="BH44:BH56" si="510">IF(AG44="C",S44,0)</f>
        <v>0</v>
      </c>
      <c r="BI44" s="20">
        <f t="shared" ref="BI44:BI56" si="511">IF(AG44="D",S44,0)</f>
        <v>0</v>
      </c>
      <c r="BJ44" s="20">
        <f t="shared" ref="BJ44:BJ56" si="512">IF(AG44="E",S44,0)</f>
        <v>0</v>
      </c>
      <c r="BK44" s="20">
        <f t="shared" ref="BK44:BK56" si="513">SUM(BF44:BJ44)</f>
        <v>0</v>
      </c>
      <c r="BN44" s="143"/>
      <c r="BO44" s="126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B44" s="139"/>
      <c r="CD44" s="17">
        <f t="shared" ref="CD44:CD56" si="514">BN44</f>
        <v>0</v>
      </c>
      <c r="CE44" s="17">
        <f t="shared" ref="CE44:CE56" si="515">IF(BO44=1,$CD44,0)</f>
        <v>0</v>
      </c>
      <c r="CF44" s="20">
        <f t="shared" ref="CF44:CF56" si="516">IF(BP44=1,$CD44,0)</f>
        <v>0</v>
      </c>
      <c r="CG44" s="20">
        <f t="shared" ref="CG44:CG56" si="517">IF(BQ44=1,$CD44,0)</f>
        <v>0</v>
      </c>
      <c r="CH44" s="20">
        <f t="shared" ref="CH44:CH56" si="518">IF(BR44=1,$CD44,0)</f>
        <v>0</v>
      </c>
      <c r="CI44" s="20">
        <f t="shared" ref="CI44:CI56" si="519">IF(BS44=1,$CD44,0)</f>
        <v>0</v>
      </c>
      <c r="CJ44" s="20">
        <f t="shared" ref="CJ44:CJ56" si="520">IF(BT44=1,$CD44,0)</f>
        <v>0</v>
      </c>
      <c r="CK44" s="20">
        <f t="shared" ref="CK44:CK56" si="521">IF(BU44=1,$CD44,0)</f>
        <v>0</v>
      </c>
      <c r="CL44" s="20">
        <f t="shared" ref="CL44:CL56" si="522">IF(BV44=1,$CD44,0)</f>
        <v>0</v>
      </c>
      <c r="CM44" s="20">
        <f t="shared" ref="CM44:CM56" si="523">IF(BW44=1,$CD44,0)</f>
        <v>0</v>
      </c>
      <c r="CN44" s="20">
        <f t="shared" ref="CN44:CN56" si="524">IF(BX44=1,$CD44,0)</f>
        <v>0</v>
      </c>
      <c r="CO44" s="20">
        <f t="shared" ref="CO44:CO56" si="525">IF(BY44=1,$CD44,0)</f>
        <v>0</v>
      </c>
      <c r="CP44" s="20">
        <f t="shared" ref="CP44:CP56" si="526">IF(BZ44=1,$CD44,0)</f>
        <v>0</v>
      </c>
      <c r="DV44" s="20">
        <f t="shared" ref="DV44:DV56" si="527">IF(CB44=1,G44,0)</f>
        <v>0</v>
      </c>
      <c r="DW44" s="20">
        <f t="shared" ref="DW44:DW56" si="528">IF(CC44="A",G44,0)</f>
        <v>0</v>
      </c>
      <c r="DX44" s="20">
        <f t="shared" ref="DX44:DX56" si="529">IF(CC44="B",G44,0)</f>
        <v>0</v>
      </c>
      <c r="DY44" s="20">
        <f t="shared" ref="DY44:DY56" si="530">IF(CC44="C",G44,0)</f>
        <v>0</v>
      </c>
      <c r="DZ44" s="20">
        <f t="shared" ref="DZ44:DZ56" si="531">IF(CC44="D",G44,0)</f>
        <v>0</v>
      </c>
      <c r="EA44" s="20">
        <f t="shared" ref="EA44:EA56" si="532">IF(CC44="E",G44,0)</f>
        <v>0</v>
      </c>
      <c r="EB44" s="20">
        <f t="shared" ref="EB44:EB56" si="533">SUM(DW44:EA44)</f>
        <v>0</v>
      </c>
      <c r="EG44" s="57">
        <f t="shared" ref="EG44:EG56" si="534">IF(AG44="C","C",IF(AG44="D","D",0))</f>
        <v>0</v>
      </c>
      <c r="EH44" s="57">
        <f t="shared" ref="EH44:EH56" si="535">CC44</f>
        <v>0</v>
      </c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X44" s="80"/>
      <c r="FY44" s="17">
        <f t="shared" ref="FY44:FY56" si="536">SUM(FZ44:GE44)</f>
        <v>0</v>
      </c>
      <c r="FZ44" s="17">
        <f t="shared" ref="FZ44:FZ56" si="537">DI44+CE44</f>
        <v>0</v>
      </c>
      <c r="GA44" s="17">
        <f t="shared" ref="GA44:GA56" si="538">DJ44+CF44</f>
        <v>0</v>
      </c>
      <c r="GB44" s="17">
        <f t="shared" ref="GB44:GB56" si="539">DK44+CG44</f>
        <v>0</v>
      </c>
      <c r="GC44" s="17">
        <f t="shared" ref="GC44:GC56" si="540">DM44+CI44</f>
        <v>0</v>
      </c>
      <c r="GD44" s="17">
        <f t="shared" ref="GD44:GD56" si="541">DO44+CK44</f>
        <v>0</v>
      </c>
      <c r="GE44" s="17">
        <f t="shared" ref="GE44:GE56" si="542">DT44+CP44</f>
        <v>0</v>
      </c>
      <c r="GF44" s="67"/>
      <c r="GG44" s="17">
        <v>0</v>
      </c>
      <c r="GH44" s="17">
        <v>0</v>
      </c>
      <c r="GI44" s="67"/>
      <c r="GJ44" s="62">
        <f t="shared" ref="GJ44:GJ56" si="543">FY44*GG44/1000000000</f>
        <v>0</v>
      </c>
      <c r="GK44" s="62">
        <f t="shared" ref="GK44:GK56" si="544">FY44*GH44/1000000000</f>
        <v>0</v>
      </c>
      <c r="GO44" s="17">
        <f t="shared" ref="GO44:GO56" si="545">D44-F44</f>
        <v>0</v>
      </c>
      <c r="GP44" s="17">
        <f t="shared" ref="GP44:GP56" si="546">D44-J44</f>
        <v>0</v>
      </c>
      <c r="GQ44" s="17">
        <f t="shared" ref="GQ44:GQ56" si="547">D44-N44</f>
        <v>0</v>
      </c>
      <c r="GR44" s="17">
        <f t="shared" ref="GR44:GR56" si="548">D44-R44</f>
        <v>1</v>
      </c>
      <c r="GS44" s="17">
        <f t="shared" ref="GS44:GS56" si="549">D44-V44</f>
        <v>1</v>
      </c>
      <c r="GT44" s="17">
        <f t="shared" ref="GT44:GT56" si="550">IF(SUM(GO44:GS44)=0,1,0)</f>
        <v>0</v>
      </c>
      <c r="GU44" s="101">
        <f t="shared" si="143"/>
        <v>43243</v>
      </c>
      <c r="GV44" s="17" t="str">
        <f t="shared" ref="GV44:GV56" si="551">IF(GO44&gt;0,$GO$6,IF(GP44&gt;0,$GP$6,IF(GQ44&gt;0,$GQ$6,IF(GR44&gt;0,$GR$6,IF(GS44&gt;0,$GS$6,IF(GT44&gt;0,$GT$6,0))))))</f>
        <v>Musyawarah</v>
      </c>
      <c r="GW44" s="17">
        <f t="shared" ref="GW44:GW56" si="552">IF(GV44=$GO$6,GO44,IF(GV44=$GP$6,GP44,IF(GV44=$GQ$6,GQ44,IF(GV44=$GR$6,GR44,IF(GV44=$GS$6,GS44,0)))))</f>
        <v>1</v>
      </c>
      <c r="GX44" s="66" t="str">
        <f t="shared" ref="GX44:GX56" si="553">GV44</f>
        <v>Musyawarah</v>
      </c>
      <c r="GY44" s="66">
        <f t="shared" ref="GY44:GY56" si="554">IF(GX44="DNP",SUM($GY$4:$GY$8),IF(GX44="Survey KJPP",SUM($GY$5:$GY$8),IF(GX44="Hasil Valuasi",SUM($GY$6:$GY$8),IF(GX44="Musyawarah",SUM($GY$7:$GY$8),IF(GX44="UGR",$GY$8,0)))))</f>
        <v>24</v>
      </c>
      <c r="GZ44" s="102">
        <f t="shared" ref="GZ44:GZ56" si="555">IF(GW44=0,"SELESAI",GU44+GY44)</f>
        <v>43267</v>
      </c>
      <c r="HA44" s="83"/>
      <c r="HB44" s="83"/>
      <c r="HC44" s="17">
        <f t="shared" ref="HC44:HC56" si="556">IF(BH44&gt;0,1,IF(BI44&gt;0,1,0))</f>
        <v>0</v>
      </c>
      <c r="HD44" s="17">
        <f t="shared" ref="HD44:HD56" si="557">IF(CB44&gt;0,1,0)</f>
        <v>0</v>
      </c>
      <c r="HE44" s="17">
        <f t="shared" ref="HE44:HE56" si="558">HC44+HD44</f>
        <v>0</v>
      </c>
      <c r="HF44" s="17">
        <f t="shared" ref="HF44:HF56" si="559">FQ44</f>
        <v>0</v>
      </c>
      <c r="HG44" s="17">
        <f t="shared" ref="HG44:HG56" si="560">HE44-HF44</f>
        <v>0</v>
      </c>
      <c r="HH44" s="101" t="str">
        <f t="shared" ref="HH44:HH56" si="561">IF(HG44=1,GU44+$HH$8,"TIDAK KONSINYASI")</f>
        <v>TIDAK KONSINYASI</v>
      </c>
      <c r="HI44" s="101">
        <f t="shared" ref="HI44:HI56" si="562">IF(GW44=0,"SELESAI",GZ44+$HI$8)</f>
        <v>43312</v>
      </c>
      <c r="HJ44" s="27"/>
      <c r="HK44" s="101">
        <f t="shared" ref="HK44:HK56" si="563">MAX(GZ44,HH44,HI44)</f>
        <v>43312</v>
      </c>
      <c r="HL44" s="83"/>
      <c r="HM44" s="83"/>
      <c r="HN44" s="83"/>
      <c r="HO44" s="83"/>
      <c r="HP44" s="102">
        <f t="shared" ref="HP44:HP56" si="564">IF(HQ44=1,GZ44,0)</f>
        <v>0</v>
      </c>
      <c r="HQ44" s="66">
        <f t="shared" ref="HQ44:HQ56" si="565">IF(IX44=0,IF(HT44=0,IF(IP44=0,IF(GV44="UGR",GS44,0),0),0),0)</f>
        <v>0</v>
      </c>
      <c r="HR44" s="66">
        <f t="shared" ref="HR44:HR56" si="566">IF(HQ44=1,E44,0)</f>
        <v>0</v>
      </c>
      <c r="HS44" s="102">
        <f t="shared" ref="HS44:HS56" si="567">IF(HT44=1,HH44,0)</f>
        <v>0</v>
      </c>
      <c r="HT44" s="66">
        <f t="shared" ref="HT44:HT56" si="568">HG44</f>
        <v>0</v>
      </c>
      <c r="HU44" s="66">
        <f t="shared" ref="HU44:HU56" si="569">IF(HT44=1,E44,0)</f>
        <v>0</v>
      </c>
      <c r="HV44" s="102">
        <f t="shared" ref="HV44:HV56" si="570">IF(HW44=1,GZ44,0)</f>
        <v>0</v>
      </c>
      <c r="HW44" s="66">
        <f t="shared" ref="HW44:HW56" si="571">IF(JB44=0,IF(IX44=0,IF(HT44=0,IF(GV44="MUSYAWARAH",GR44,0),0),0),0)</f>
        <v>0</v>
      </c>
      <c r="HX44" s="66">
        <f t="shared" ref="HX44:HX56" si="572">IF(HW44=1,E44,0)</f>
        <v>0</v>
      </c>
      <c r="HY44" s="102">
        <f t="shared" ref="HY44:HY56" si="573">IF(HZ44=1,HV44+$HI$8,0)</f>
        <v>0</v>
      </c>
      <c r="HZ44" s="66">
        <f t="shared" ref="HZ44:HZ56" si="574">HW44</f>
        <v>0</v>
      </c>
      <c r="IA44" s="66">
        <f t="shared" ref="IA44:IA56" si="575">IF(HZ44=1,E44,0)</f>
        <v>0</v>
      </c>
      <c r="IB44" s="102">
        <f t="shared" ref="IB44:IB56" si="576">IF(IC44=1,$GU$3+SUM($GY$6:$GY$8),0)</f>
        <v>0</v>
      </c>
      <c r="IC44" s="66">
        <f t="shared" ref="IC44:IC56" si="577">IF(GV44="Hasil Valuasi",GQ44,0)</f>
        <v>0</v>
      </c>
      <c r="ID44" s="66">
        <f t="shared" ref="ID44:ID56" si="578">IF(IC44=1,E44,0)</f>
        <v>0</v>
      </c>
      <c r="IE44" s="102">
        <f t="shared" ref="IE44:IE56" si="579">IF(IF44=1,IB44+$HI$8,0)</f>
        <v>0</v>
      </c>
      <c r="IF44" s="66">
        <f t="shared" ref="IF44:IF56" si="580">IC44</f>
        <v>0</v>
      </c>
      <c r="IG44" s="66">
        <f t="shared" ref="IG44:IG56" si="581">IF(IF44=1,E44,0)</f>
        <v>0</v>
      </c>
      <c r="IH44" s="102">
        <f t="shared" ref="IH44:IH56" si="582">IF(II44=1,$GU$3+SUM($GY$5:$GY$8),0)</f>
        <v>0</v>
      </c>
      <c r="II44" s="66">
        <f t="shared" ref="II44:II56" si="583">IF(GV44="Survey KJPP",GP44,0)</f>
        <v>0</v>
      </c>
      <c r="IJ44" s="66">
        <f t="shared" ref="IJ44:IJ56" si="584">IF(II44=1,E44,0)</f>
        <v>0</v>
      </c>
      <c r="IK44" s="102">
        <f t="shared" ref="IK44:IK56" si="585">IF(IL44=1,IH44+$HI$8,0)</f>
        <v>0</v>
      </c>
      <c r="IL44" s="66">
        <f t="shared" ref="IL44:IL56" si="586">II44</f>
        <v>0</v>
      </c>
      <c r="IM44" s="66">
        <f t="shared" ref="IM44:IM56" si="587">IF(IL44=1,E44,0)</f>
        <v>0</v>
      </c>
      <c r="IN44" s="83"/>
      <c r="IO44" s="102">
        <f t="shared" ref="IO44:IO56" si="588">IF(IP44=1,+$GU$3+$HH$8,0)</f>
        <v>0</v>
      </c>
      <c r="IP44" s="66">
        <f t="shared" ref="IP44:IP56" si="589">IF(BG44&gt;0,1,0)</f>
        <v>0</v>
      </c>
      <c r="IQ44" s="66">
        <f t="shared" ref="IQ44:IQ56" si="590">IF(IP44=1,E44,0)</f>
        <v>0</v>
      </c>
      <c r="IR44" s="83"/>
      <c r="IS44" s="102"/>
      <c r="IT44" s="66">
        <f t="shared" ref="IT44:IT56" si="591">V44</f>
        <v>0</v>
      </c>
      <c r="IU44" s="66">
        <f t="shared" ref="IU44:IU56" si="592">W44</f>
        <v>0</v>
      </c>
      <c r="IV44" s="83"/>
      <c r="IW44" s="102"/>
      <c r="IX44" s="66">
        <f t="shared" ref="IX44:IX56" si="593">AA44</f>
        <v>0</v>
      </c>
      <c r="IY44" s="66">
        <f t="shared" ref="IY44:IY56" si="594">AB44</f>
        <v>0</v>
      </c>
      <c r="IZ44" s="83"/>
      <c r="JA44" s="102"/>
      <c r="JB44" s="66">
        <f t="shared" ref="JB44:JB56" si="595">AN44</f>
        <v>1</v>
      </c>
      <c r="JC44" s="66">
        <f t="shared" ref="JC44:JC56" si="596">BB44</f>
        <v>28</v>
      </c>
      <c r="JD44" s="83"/>
      <c r="JE44" s="102"/>
      <c r="JF44" s="66">
        <f t="shared" ref="JF44:JF56" si="597">IT44+HQ44+HT44+HZ44+IF44+IL44+IP44+IX44+JB44</f>
        <v>1</v>
      </c>
      <c r="JG44" s="66">
        <f t="shared" ref="JG44:JG56" si="598">IU44+HR44+HU44+IA44+IG44+IM44+IQ44+IY44+JC44</f>
        <v>28</v>
      </c>
      <c r="JH44" s="83"/>
      <c r="JI44" s="102"/>
      <c r="JJ44" s="66">
        <f t="shared" ref="JJ44:JJ56" si="599">JF44-D44</f>
        <v>0</v>
      </c>
      <c r="JK44" s="66">
        <f t="shared" ref="JK44:JK56" si="600">JG44-E44</f>
        <v>0</v>
      </c>
      <c r="JM44" s="102">
        <f t="shared" ref="JM44:JM56" si="601">MAX(IW44,IS44,IO44,IK44,IE44,HY44,HS44,HP44)</f>
        <v>0</v>
      </c>
      <c r="JO44" s="29">
        <f t="shared" ref="JO44:JO56" si="602">SUM(JQ44:KB44)</f>
        <v>0</v>
      </c>
      <c r="JP44" s="122">
        <f t="shared" ref="JP44:JP56" si="603">BN44+CR44</f>
        <v>0</v>
      </c>
      <c r="JQ44" s="122">
        <f t="shared" ref="JQ44:JQ56" si="604">IF(BO44+CS44=2,1,IF(BO44+CS44=1,1,0))</f>
        <v>0</v>
      </c>
      <c r="JR44" s="122">
        <f t="shared" ref="JR44:JR56" si="605">IF(BP44+CT44=2,1,IF(BP44+CT44=1,1,0))</f>
        <v>0</v>
      </c>
      <c r="JS44" s="122">
        <f t="shared" ref="JS44:JS56" si="606">IF(BQ44+CU44=2,1,IF(BQ44+CU44=1,1,0))</f>
        <v>0</v>
      </c>
      <c r="JT44" s="122">
        <f t="shared" ref="JT44:JT56" si="607">IF(BR44+CV44=2,1,IF(BR44+CV44=1,1,0))</f>
        <v>0</v>
      </c>
      <c r="JU44" s="122">
        <f t="shared" ref="JU44:JU56" si="608">IF(BS44+CW44=2,1,IF(BS44+CW44=1,1,0))</f>
        <v>0</v>
      </c>
      <c r="JV44" s="122">
        <f t="shared" ref="JV44:JV56" si="609">IF(BT44+CX44=2,1,IF(BT44+CX44=1,1,0))</f>
        <v>0</v>
      </c>
      <c r="JW44" s="122">
        <f t="shared" ref="JW44:JW56" si="610">IF(BU44+CY44=2,1,IF(BU44+CY44=1,1,0))</f>
        <v>0</v>
      </c>
      <c r="JX44" s="122">
        <f t="shared" ref="JX44:JX56" si="611">IF(BV44+CZ44=2,1,IF(BV44+CZ44=1,1,0))</f>
        <v>0</v>
      </c>
      <c r="JY44" s="122">
        <f t="shared" ref="JY44:JY56" si="612">IF(BW44+DA44=2,1,IF(BW44+DA44=1,1,0))</f>
        <v>0</v>
      </c>
      <c r="JZ44" s="122">
        <f t="shared" ref="JZ44:JZ56" si="613">IF(BX44+DB44=2,1,IF(BX44+DB44=1,1,0))</f>
        <v>0</v>
      </c>
      <c r="KA44" s="122">
        <f t="shared" ref="KA44:KA56" si="614">IF(BY44+DC44=2,1,IF(BY44+DC44=1,1,0))</f>
        <v>0</v>
      </c>
      <c r="KB44" s="122">
        <f t="shared" ref="KB44:KB56" si="615">IF(BZ44+DD44=2,1,IF(BZ44+DD44=1,1,0))</f>
        <v>0</v>
      </c>
      <c r="KD44" s="122">
        <f t="shared" ref="KD44:KD56" si="616">IF(IF(SUM(GA44:GE44)&gt;100,1,0)+IF(FX44=1,1,0)=2,1,0)</f>
        <v>0</v>
      </c>
      <c r="KE44" s="122">
        <f t="shared" ref="KE44:KE56" si="617">IF(KD44=1,KF44,0)</f>
        <v>0</v>
      </c>
      <c r="KF44" s="122">
        <f t="shared" ref="KF44:KF56" si="618">CD44+DH44</f>
        <v>0</v>
      </c>
      <c r="KG44" s="122">
        <f t="shared" ref="KG44:KG56" si="619">CE44+DI44</f>
        <v>0</v>
      </c>
      <c r="KH44" s="122">
        <f t="shared" ref="KH44:KH56" si="620">CF44+DJ44</f>
        <v>0</v>
      </c>
      <c r="KI44" s="122">
        <f t="shared" ref="KI44:KI56" si="621">CG44+DK44</f>
        <v>0</v>
      </c>
      <c r="KJ44" s="122">
        <f t="shared" ref="KJ44:KJ56" si="622">CH44+DL44</f>
        <v>0</v>
      </c>
      <c r="KK44" s="122">
        <f t="shared" ref="KK44:KK56" si="623">CI44+DM44</f>
        <v>0</v>
      </c>
      <c r="KL44" s="122">
        <f t="shared" ref="KL44:KL56" si="624">CJ44+DN44</f>
        <v>0</v>
      </c>
      <c r="KM44" s="122">
        <f t="shared" ref="KM44:KM56" si="625">CK44+DO44</f>
        <v>0</v>
      </c>
      <c r="KN44" s="123">
        <f t="shared" ref="KN44:KN56" si="626">CL44+DP44</f>
        <v>0</v>
      </c>
      <c r="KO44" s="123">
        <f t="shared" ref="KO44:KO56" si="627">CM44+DQ44</f>
        <v>0</v>
      </c>
      <c r="KP44" s="123">
        <f t="shared" ref="KP44:KP56" si="628">CN44+DR44</f>
        <v>0</v>
      </c>
      <c r="KQ44" s="123">
        <f t="shared" ref="KQ44:KQ56" si="629">CO44+DS44</f>
        <v>0</v>
      </c>
      <c r="KR44" s="123">
        <f t="shared" ref="KR44:KR56" si="630">CP44+DT44</f>
        <v>0</v>
      </c>
      <c r="KS44">
        <v>7</v>
      </c>
      <c r="KT44">
        <f t="shared" ref="KT44:KT56" si="631">AN44</f>
        <v>1</v>
      </c>
      <c r="KU44" s="123"/>
      <c r="KV44" s="123"/>
      <c r="KW44" s="123"/>
      <c r="KX44" s="123"/>
      <c r="KY44" s="123"/>
      <c r="KZ44" s="123"/>
      <c r="LA44" s="123"/>
      <c r="LB44" s="123"/>
      <c r="LC44" s="123"/>
      <c r="LD44" s="123"/>
      <c r="LE44" s="123"/>
      <c r="LF44" s="123"/>
      <c r="LG44" s="123"/>
      <c r="LH44" s="123"/>
      <c r="LI44" s="123"/>
      <c r="LJ44" s="123"/>
      <c r="LK44" s="123"/>
      <c r="LL44" s="123"/>
      <c r="LM44" s="123"/>
      <c r="LN44" s="123"/>
      <c r="LO44" s="123"/>
      <c r="LP44" s="123"/>
      <c r="LQ44" s="123"/>
      <c r="LR44" s="123"/>
      <c r="LS44" s="123"/>
      <c r="LT44" s="123"/>
      <c r="LU44" s="123"/>
      <c r="LV44" s="123"/>
      <c r="LW44" s="123"/>
      <c r="LX44" s="123"/>
      <c r="LY44" s="123"/>
      <c r="LZ44" s="123"/>
      <c r="MA44" s="123"/>
      <c r="MB44" s="123"/>
      <c r="MC44" s="123"/>
      <c r="MD44" s="123"/>
      <c r="ME44" s="123"/>
      <c r="MF44" s="123"/>
      <c r="MG44" s="123"/>
      <c r="MH44" s="123"/>
      <c r="MI44" s="123"/>
      <c r="MJ44" s="123"/>
      <c r="MK44" s="123"/>
      <c r="ML44" s="123"/>
      <c r="MM44" s="123"/>
      <c r="MN44" s="123"/>
      <c r="MO44" s="123"/>
      <c r="MP44" s="123"/>
      <c r="MQ44" s="123"/>
      <c r="MR44" s="123"/>
      <c r="MS44" s="123"/>
      <c r="MT44" s="123"/>
      <c r="MU44" s="123"/>
      <c r="MV44" s="123"/>
      <c r="MW44" s="123"/>
      <c r="MX44" s="123"/>
      <c r="MY44" s="123"/>
      <c r="MZ44" s="123"/>
      <c r="NA44" s="123"/>
      <c r="NB44" s="123"/>
      <c r="NC44" s="123"/>
      <c r="ND44" s="123"/>
      <c r="NE44" s="123"/>
      <c r="NF44" s="123"/>
      <c r="NG44" s="123"/>
      <c r="NH44" s="123"/>
      <c r="NI44" s="123"/>
      <c r="NJ44" s="123"/>
      <c r="NK44" s="123"/>
      <c r="NM44">
        <f t="shared" ref="NM44:NM56" si="632">IF(KS44=1,1,0)</f>
        <v>0</v>
      </c>
      <c r="NN44">
        <f t="shared" ref="NN44:NN56" si="633">IF(KS44=2,1,0)</f>
        <v>0</v>
      </c>
      <c r="NO44">
        <f t="shared" ref="NO44:NO56" si="634">IF(KS44=3,1,0)</f>
        <v>0</v>
      </c>
      <c r="NP44">
        <f t="shared" ref="NP44:NP56" si="635">IF(KS44=4,1,0)</f>
        <v>0</v>
      </c>
      <c r="NQ44">
        <f t="shared" ref="NQ44:NQ56" si="636">IF(KS44=5,1,0)</f>
        <v>0</v>
      </c>
      <c r="NR44">
        <f t="shared" ref="NR44:NR56" si="637">IF(KS44=6,1,0)</f>
        <v>0</v>
      </c>
      <c r="NS44">
        <f t="shared" ref="NS44:NS56" si="638">IF(KS44=7,1,0)</f>
        <v>1</v>
      </c>
      <c r="NT44">
        <f t="shared" ref="NT44:NT56" si="639">SUM(NM44:NS44)</f>
        <v>1</v>
      </c>
      <c r="NU44" s="29">
        <f t="shared" ref="NU44:NU56" si="640">NT44-KT44</f>
        <v>0</v>
      </c>
      <c r="NY44" s="17">
        <f t="shared" ref="NY44:NY56" si="641">V44</f>
        <v>0</v>
      </c>
      <c r="OE44" s="155"/>
      <c r="OF44" s="155">
        <f t="shared" si="461"/>
        <v>0</v>
      </c>
      <c r="OG44" s="155">
        <f t="shared" si="462"/>
        <v>1</v>
      </c>
      <c r="OH44" s="155">
        <f t="shared" si="463"/>
        <v>0</v>
      </c>
      <c r="OI44" s="155">
        <f t="shared" si="464"/>
        <v>1</v>
      </c>
      <c r="OJ44" s="67">
        <f t="shared" si="465"/>
        <v>0</v>
      </c>
      <c r="OK44" s="67">
        <f t="shared" si="466"/>
        <v>0</v>
      </c>
      <c r="OL44" s="67">
        <f t="shared" si="467"/>
        <v>0</v>
      </c>
      <c r="OM44" s="67">
        <f t="shared" si="468"/>
        <v>0</v>
      </c>
      <c r="OO44" s="155">
        <f t="shared" si="469"/>
        <v>0</v>
      </c>
      <c r="OP44" s="155">
        <f t="shared" si="470"/>
        <v>0</v>
      </c>
      <c r="OQ44" s="155">
        <f t="shared" si="471"/>
        <v>1</v>
      </c>
      <c r="OR44" s="155">
        <f t="shared" si="472"/>
        <v>0</v>
      </c>
      <c r="OS44" s="155">
        <f t="shared" si="473"/>
        <v>1</v>
      </c>
      <c r="OT44" s="67">
        <f t="shared" si="474"/>
        <v>0</v>
      </c>
      <c r="OU44" s="67">
        <f t="shared" si="475"/>
        <v>0</v>
      </c>
      <c r="OV44" s="67">
        <f t="shared" si="476"/>
        <v>0</v>
      </c>
      <c r="OW44" s="67">
        <f t="shared" si="477"/>
        <v>0</v>
      </c>
      <c r="OZ44" s="163"/>
      <c r="PA44" s="166"/>
      <c r="PB44" s="166">
        <v>1</v>
      </c>
      <c r="PC44" s="166"/>
      <c r="PD44" s="210">
        <f t="shared" si="125"/>
        <v>1</v>
      </c>
      <c r="PE44" s="210">
        <v>1</v>
      </c>
      <c r="PF44" s="210">
        <f t="shared" si="126"/>
        <v>0</v>
      </c>
      <c r="PG44" s="210">
        <f t="shared" si="127"/>
        <v>0</v>
      </c>
      <c r="PH44" s="210">
        <f t="shared" si="127"/>
        <v>28</v>
      </c>
      <c r="PI44" s="210">
        <f t="shared" si="127"/>
        <v>0</v>
      </c>
      <c r="PJ44" s="210">
        <f t="shared" si="127"/>
        <v>28</v>
      </c>
      <c r="PK44" s="210">
        <f t="shared" si="127"/>
        <v>28</v>
      </c>
      <c r="PL44" s="210">
        <f t="shared" si="127"/>
        <v>0</v>
      </c>
      <c r="PM44" s="164"/>
      <c r="PN44" s="164"/>
      <c r="PO44" s="172">
        <f t="shared" ref="PO44:PO56" si="642">IF(FC44=1,AB44,0)</f>
        <v>0</v>
      </c>
      <c r="PP44" s="172">
        <f t="shared" ref="PP44:PP56" si="643">IF(FF44=1,AB44,0)</f>
        <v>0</v>
      </c>
      <c r="PQ44" s="172">
        <f t="shared" ref="PQ44:PQ56" si="644">AB44-(PO44+PP44)</f>
        <v>0</v>
      </c>
      <c r="PR44" s="164"/>
      <c r="PS44" s="164"/>
      <c r="PT44" s="164"/>
      <c r="PU44" s="164"/>
    </row>
    <row r="45" spans="1:437" ht="16" x14ac:dyDescent="0.2">
      <c r="A45" s="19">
        <f t="shared" si="189"/>
        <v>37</v>
      </c>
      <c r="B45" s="158" t="s">
        <v>680</v>
      </c>
      <c r="C45" s="186">
        <v>13</v>
      </c>
      <c r="D45" s="188">
        <v>1</v>
      </c>
      <c r="E45" s="188">
        <v>101</v>
      </c>
      <c r="F45" s="188">
        <v>1</v>
      </c>
      <c r="G45" s="188">
        <f t="shared" si="478"/>
        <v>101</v>
      </c>
      <c r="H45" s="214">
        <f t="shared" si="487"/>
        <v>1</v>
      </c>
      <c r="I45" s="214">
        <f t="shared" si="488"/>
        <v>1</v>
      </c>
      <c r="J45" s="188">
        <v>1</v>
      </c>
      <c r="K45" s="188">
        <f t="shared" si="489"/>
        <v>101</v>
      </c>
      <c r="L45" s="214">
        <f t="shared" si="490"/>
        <v>1</v>
      </c>
      <c r="M45" s="214">
        <f t="shared" si="491"/>
        <v>1</v>
      </c>
      <c r="N45" s="188">
        <v>1</v>
      </c>
      <c r="O45" s="188">
        <f t="shared" si="492"/>
        <v>101</v>
      </c>
      <c r="P45" s="137">
        <f t="shared" si="493"/>
        <v>1</v>
      </c>
      <c r="Q45" s="137">
        <f t="shared" si="494"/>
        <v>1</v>
      </c>
      <c r="R45" s="20">
        <v>0</v>
      </c>
      <c r="S45" s="20">
        <f t="shared" si="495"/>
        <v>0</v>
      </c>
      <c r="T45" s="137">
        <f t="shared" si="496"/>
        <v>0</v>
      </c>
      <c r="U45" s="137">
        <f t="shared" si="497"/>
        <v>0</v>
      </c>
      <c r="V45" s="20">
        <v>0</v>
      </c>
      <c r="W45" s="20">
        <f t="shared" si="498"/>
        <v>0</v>
      </c>
      <c r="X45" s="137">
        <f t="shared" si="499"/>
        <v>0</v>
      </c>
      <c r="Y45" s="137">
        <f t="shared" si="500"/>
        <v>0</v>
      </c>
      <c r="Z45" s="59">
        <v>0</v>
      </c>
      <c r="AA45" s="20"/>
      <c r="AB45" s="17">
        <f t="shared" si="501"/>
        <v>0</v>
      </c>
      <c r="AC45" s="18">
        <f t="shared" si="502"/>
        <v>0</v>
      </c>
      <c r="AD45" s="18">
        <f t="shared" si="503"/>
        <v>0</v>
      </c>
      <c r="AE45" s="20"/>
      <c r="AF45" s="20">
        <f t="shared" si="504"/>
        <v>0</v>
      </c>
      <c r="AG45" s="20"/>
      <c r="AH45" s="20"/>
      <c r="AI45" s="20">
        <v>0</v>
      </c>
      <c r="AJ45" s="20">
        <f t="shared" si="505"/>
        <v>0</v>
      </c>
      <c r="AK45" s="20"/>
      <c r="AL45" s="20">
        <v>0</v>
      </c>
      <c r="AM45" s="20">
        <v>0</v>
      </c>
      <c r="AN45" s="139">
        <v>1</v>
      </c>
      <c r="BB45" s="20">
        <f t="shared" si="506"/>
        <v>101</v>
      </c>
      <c r="BE45" s="20">
        <f t="shared" si="507"/>
        <v>0</v>
      </c>
      <c r="BF45" s="20">
        <f t="shared" si="508"/>
        <v>0</v>
      </c>
      <c r="BG45" s="20">
        <f t="shared" si="509"/>
        <v>0</v>
      </c>
      <c r="BH45" s="20">
        <f t="shared" si="510"/>
        <v>0</v>
      </c>
      <c r="BI45" s="20">
        <f t="shared" si="511"/>
        <v>0</v>
      </c>
      <c r="BJ45" s="20">
        <f t="shared" si="512"/>
        <v>0</v>
      </c>
      <c r="BK45" s="20">
        <f t="shared" si="513"/>
        <v>0</v>
      </c>
      <c r="BN45" s="143"/>
      <c r="BO45" s="126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B45" s="139"/>
      <c r="CD45" s="17">
        <f t="shared" si="514"/>
        <v>0</v>
      </c>
      <c r="CE45" s="17">
        <f t="shared" si="515"/>
        <v>0</v>
      </c>
      <c r="CF45" s="20">
        <f t="shared" si="516"/>
        <v>0</v>
      </c>
      <c r="CG45" s="20">
        <f t="shared" si="517"/>
        <v>0</v>
      </c>
      <c r="CH45" s="20">
        <f t="shared" si="518"/>
        <v>0</v>
      </c>
      <c r="CI45" s="20">
        <f t="shared" si="519"/>
        <v>0</v>
      </c>
      <c r="CJ45" s="20">
        <f t="shared" si="520"/>
        <v>0</v>
      </c>
      <c r="CK45" s="20">
        <f t="shared" si="521"/>
        <v>0</v>
      </c>
      <c r="CL45" s="20">
        <f t="shared" si="522"/>
        <v>0</v>
      </c>
      <c r="CM45" s="20">
        <f t="shared" si="523"/>
        <v>0</v>
      </c>
      <c r="CN45" s="20">
        <f t="shared" si="524"/>
        <v>0</v>
      </c>
      <c r="CO45" s="20">
        <f t="shared" si="525"/>
        <v>0</v>
      </c>
      <c r="CP45" s="20">
        <f t="shared" si="526"/>
        <v>0</v>
      </c>
      <c r="DV45" s="20">
        <f t="shared" si="527"/>
        <v>0</v>
      </c>
      <c r="DW45" s="20">
        <f t="shared" si="528"/>
        <v>0</v>
      </c>
      <c r="DX45" s="20">
        <f t="shared" si="529"/>
        <v>0</v>
      </c>
      <c r="DY45" s="20">
        <f t="shared" si="530"/>
        <v>0</v>
      </c>
      <c r="DZ45" s="20">
        <f t="shared" si="531"/>
        <v>0</v>
      </c>
      <c r="EA45" s="20">
        <f t="shared" si="532"/>
        <v>0</v>
      </c>
      <c r="EB45" s="20">
        <f t="shared" si="533"/>
        <v>0</v>
      </c>
      <c r="EG45" s="57">
        <f t="shared" si="534"/>
        <v>0</v>
      </c>
      <c r="EH45" s="57">
        <f t="shared" si="535"/>
        <v>0</v>
      </c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X45" s="80"/>
      <c r="FY45" s="17">
        <f t="shared" si="536"/>
        <v>0</v>
      </c>
      <c r="FZ45" s="17">
        <f t="shared" si="537"/>
        <v>0</v>
      </c>
      <c r="GA45" s="17">
        <f t="shared" si="538"/>
        <v>0</v>
      </c>
      <c r="GB45" s="17">
        <f t="shared" si="539"/>
        <v>0</v>
      </c>
      <c r="GC45" s="17">
        <f t="shared" si="540"/>
        <v>0</v>
      </c>
      <c r="GD45" s="17">
        <f t="shared" si="541"/>
        <v>0</v>
      </c>
      <c r="GE45" s="17">
        <f t="shared" si="542"/>
        <v>0</v>
      </c>
      <c r="GF45" s="67"/>
      <c r="GG45" s="17">
        <v>0</v>
      </c>
      <c r="GH45" s="17">
        <v>0</v>
      </c>
      <c r="GI45" s="67"/>
      <c r="GJ45" s="62">
        <f t="shared" si="543"/>
        <v>0</v>
      </c>
      <c r="GK45" s="62">
        <f t="shared" si="544"/>
        <v>0</v>
      </c>
      <c r="GO45" s="17">
        <f t="shared" si="545"/>
        <v>0</v>
      </c>
      <c r="GP45" s="17">
        <f t="shared" si="546"/>
        <v>0</v>
      </c>
      <c r="GQ45" s="17">
        <f t="shared" si="547"/>
        <v>0</v>
      </c>
      <c r="GR45" s="17">
        <f t="shared" si="548"/>
        <v>1</v>
      </c>
      <c r="GS45" s="17">
        <f t="shared" si="549"/>
        <v>1</v>
      </c>
      <c r="GT45" s="17">
        <f t="shared" si="550"/>
        <v>0</v>
      </c>
      <c r="GU45" s="101">
        <f t="shared" si="143"/>
        <v>43243</v>
      </c>
      <c r="GV45" s="17" t="str">
        <f t="shared" si="551"/>
        <v>Musyawarah</v>
      </c>
      <c r="GW45" s="17">
        <f t="shared" si="552"/>
        <v>1</v>
      </c>
      <c r="GX45" s="66" t="str">
        <f t="shared" si="553"/>
        <v>Musyawarah</v>
      </c>
      <c r="GY45" s="66">
        <f t="shared" si="554"/>
        <v>24</v>
      </c>
      <c r="GZ45" s="102">
        <f t="shared" si="555"/>
        <v>43267</v>
      </c>
      <c r="HA45" s="83"/>
      <c r="HB45" s="83"/>
      <c r="HC45" s="17">
        <f t="shared" si="556"/>
        <v>0</v>
      </c>
      <c r="HD45" s="17">
        <f t="shared" si="557"/>
        <v>0</v>
      </c>
      <c r="HE45" s="17">
        <f t="shared" si="558"/>
        <v>0</v>
      </c>
      <c r="HF45" s="17">
        <f t="shared" si="559"/>
        <v>0</v>
      </c>
      <c r="HG45" s="17">
        <f t="shared" si="560"/>
        <v>0</v>
      </c>
      <c r="HH45" s="101" t="str">
        <f t="shared" si="561"/>
        <v>TIDAK KONSINYASI</v>
      </c>
      <c r="HI45" s="101">
        <f t="shared" si="562"/>
        <v>43312</v>
      </c>
      <c r="HJ45" s="27"/>
      <c r="HK45" s="101">
        <f t="shared" si="563"/>
        <v>43312</v>
      </c>
      <c r="HL45" s="83"/>
      <c r="HM45" s="83"/>
      <c r="HN45" s="83"/>
      <c r="HO45" s="83"/>
      <c r="HP45" s="102">
        <f t="shared" si="564"/>
        <v>0</v>
      </c>
      <c r="HQ45" s="66">
        <f t="shared" si="565"/>
        <v>0</v>
      </c>
      <c r="HR45" s="66">
        <f t="shared" si="566"/>
        <v>0</v>
      </c>
      <c r="HS45" s="102">
        <f t="shared" si="567"/>
        <v>0</v>
      </c>
      <c r="HT45" s="66">
        <f t="shared" si="568"/>
        <v>0</v>
      </c>
      <c r="HU45" s="66">
        <f t="shared" si="569"/>
        <v>0</v>
      </c>
      <c r="HV45" s="102">
        <f t="shared" si="570"/>
        <v>0</v>
      </c>
      <c r="HW45" s="66">
        <f t="shared" si="571"/>
        <v>0</v>
      </c>
      <c r="HX45" s="66">
        <f t="shared" si="572"/>
        <v>0</v>
      </c>
      <c r="HY45" s="102">
        <f t="shared" si="573"/>
        <v>0</v>
      </c>
      <c r="HZ45" s="66">
        <f t="shared" si="574"/>
        <v>0</v>
      </c>
      <c r="IA45" s="66">
        <f t="shared" si="575"/>
        <v>0</v>
      </c>
      <c r="IB45" s="102">
        <f t="shared" si="576"/>
        <v>0</v>
      </c>
      <c r="IC45" s="66">
        <f t="shared" si="577"/>
        <v>0</v>
      </c>
      <c r="ID45" s="66">
        <f t="shared" si="578"/>
        <v>0</v>
      </c>
      <c r="IE45" s="102">
        <f t="shared" si="579"/>
        <v>0</v>
      </c>
      <c r="IF45" s="66">
        <f t="shared" si="580"/>
        <v>0</v>
      </c>
      <c r="IG45" s="66">
        <f t="shared" si="581"/>
        <v>0</v>
      </c>
      <c r="IH45" s="102">
        <f t="shared" si="582"/>
        <v>0</v>
      </c>
      <c r="II45" s="66">
        <f t="shared" si="583"/>
        <v>0</v>
      </c>
      <c r="IJ45" s="66">
        <f t="shared" si="584"/>
        <v>0</v>
      </c>
      <c r="IK45" s="102">
        <f t="shared" si="585"/>
        <v>0</v>
      </c>
      <c r="IL45" s="66">
        <f t="shared" si="586"/>
        <v>0</v>
      </c>
      <c r="IM45" s="66">
        <f t="shared" si="587"/>
        <v>0</v>
      </c>
      <c r="IN45" s="83"/>
      <c r="IO45" s="102">
        <f t="shared" si="588"/>
        <v>0</v>
      </c>
      <c r="IP45" s="66">
        <f t="shared" si="589"/>
        <v>0</v>
      </c>
      <c r="IQ45" s="66">
        <f t="shared" si="590"/>
        <v>0</v>
      </c>
      <c r="IR45" s="83"/>
      <c r="IS45" s="102"/>
      <c r="IT45" s="66">
        <f t="shared" si="591"/>
        <v>0</v>
      </c>
      <c r="IU45" s="66">
        <f t="shared" si="592"/>
        <v>0</v>
      </c>
      <c r="IV45" s="83"/>
      <c r="IW45" s="102"/>
      <c r="IX45" s="66">
        <f t="shared" si="593"/>
        <v>0</v>
      </c>
      <c r="IY45" s="66">
        <f t="shared" si="594"/>
        <v>0</v>
      </c>
      <c r="IZ45" s="83"/>
      <c r="JA45" s="102"/>
      <c r="JB45" s="66">
        <f t="shared" si="595"/>
        <v>1</v>
      </c>
      <c r="JC45" s="66">
        <f t="shared" si="596"/>
        <v>101</v>
      </c>
      <c r="JD45" s="83"/>
      <c r="JE45" s="102"/>
      <c r="JF45" s="66">
        <f t="shared" si="597"/>
        <v>1</v>
      </c>
      <c r="JG45" s="66">
        <f t="shared" si="598"/>
        <v>101</v>
      </c>
      <c r="JH45" s="83"/>
      <c r="JI45" s="102"/>
      <c r="JJ45" s="66">
        <f t="shared" si="599"/>
        <v>0</v>
      </c>
      <c r="JK45" s="66">
        <f t="shared" si="600"/>
        <v>0</v>
      </c>
      <c r="JM45" s="102">
        <f t="shared" si="601"/>
        <v>0</v>
      </c>
      <c r="JO45" s="29">
        <f t="shared" si="602"/>
        <v>0</v>
      </c>
      <c r="JP45" s="122">
        <f t="shared" si="603"/>
        <v>0</v>
      </c>
      <c r="JQ45" s="122">
        <f t="shared" si="604"/>
        <v>0</v>
      </c>
      <c r="JR45" s="122">
        <f t="shared" si="605"/>
        <v>0</v>
      </c>
      <c r="JS45" s="122">
        <f t="shared" si="606"/>
        <v>0</v>
      </c>
      <c r="JT45" s="122">
        <f t="shared" si="607"/>
        <v>0</v>
      </c>
      <c r="JU45" s="122">
        <f t="shared" si="608"/>
        <v>0</v>
      </c>
      <c r="JV45" s="122">
        <f t="shared" si="609"/>
        <v>0</v>
      </c>
      <c r="JW45" s="122">
        <f t="shared" si="610"/>
        <v>0</v>
      </c>
      <c r="JX45" s="122">
        <f t="shared" si="611"/>
        <v>0</v>
      </c>
      <c r="JY45" s="122">
        <f t="shared" si="612"/>
        <v>0</v>
      </c>
      <c r="JZ45" s="122">
        <f t="shared" si="613"/>
        <v>0</v>
      </c>
      <c r="KA45" s="122">
        <f t="shared" si="614"/>
        <v>0</v>
      </c>
      <c r="KB45" s="122">
        <f t="shared" si="615"/>
        <v>0</v>
      </c>
      <c r="KD45" s="122">
        <f t="shared" si="616"/>
        <v>0</v>
      </c>
      <c r="KE45" s="122">
        <f t="shared" si="617"/>
        <v>0</v>
      </c>
      <c r="KF45" s="122">
        <f t="shared" si="618"/>
        <v>0</v>
      </c>
      <c r="KG45" s="122">
        <f t="shared" si="619"/>
        <v>0</v>
      </c>
      <c r="KH45" s="122">
        <f t="shared" si="620"/>
        <v>0</v>
      </c>
      <c r="KI45" s="122">
        <f t="shared" si="621"/>
        <v>0</v>
      </c>
      <c r="KJ45" s="122">
        <f t="shared" si="622"/>
        <v>0</v>
      </c>
      <c r="KK45" s="122">
        <f t="shared" si="623"/>
        <v>0</v>
      </c>
      <c r="KL45" s="122">
        <f t="shared" si="624"/>
        <v>0</v>
      </c>
      <c r="KM45" s="122">
        <f t="shared" si="625"/>
        <v>0</v>
      </c>
      <c r="KN45" s="123">
        <f t="shared" si="626"/>
        <v>0</v>
      </c>
      <c r="KO45" s="123">
        <f t="shared" si="627"/>
        <v>0</v>
      </c>
      <c r="KP45" s="123">
        <f t="shared" si="628"/>
        <v>0</v>
      </c>
      <c r="KQ45" s="123">
        <f t="shared" si="629"/>
        <v>0</v>
      </c>
      <c r="KR45" s="123">
        <f t="shared" si="630"/>
        <v>0</v>
      </c>
      <c r="KS45">
        <v>7</v>
      </c>
      <c r="KT45">
        <f t="shared" si="631"/>
        <v>1</v>
      </c>
      <c r="KU45" s="123"/>
      <c r="KV45" s="123"/>
      <c r="KW45" s="123"/>
      <c r="KX45" s="123"/>
      <c r="KY45" s="123"/>
      <c r="KZ45" s="123"/>
      <c r="LA45" s="123"/>
      <c r="LB45" s="123"/>
      <c r="LC45" s="123"/>
      <c r="LD45" s="123"/>
      <c r="LE45" s="123"/>
      <c r="LF45" s="123"/>
      <c r="LG45" s="123"/>
      <c r="LH45" s="123"/>
      <c r="LI45" s="123"/>
      <c r="LJ45" s="123"/>
      <c r="LK45" s="123"/>
      <c r="LL45" s="123"/>
      <c r="LM45" s="123"/>
      <c r="LN45" s="123"/>
      <c r="LO45" s="123"/>
      <c r="LP45" s="123"/>
      <c r="LQ45" s="123"/>
      <c r="LR45" s="123"/>
      <c r="LS45" s="123"/>
      <c r="LT45" s="123"/>
      <c r="LU45" s="123"/>
      <c r="LV45" s="123"/>
      <c r="LW45" s="123"/>
      <c r="LX45" s="123"/>
      <c r="LY45" s="123"/>
      <c r="LZ45" s="123"/>
      <c r="MA45" s="123"/>
      <c r="MB45" s="123"/>
      <c r="MC45" s="123"/>
      <c r="MD45" s="123"/>
      <c r="ME45" s="123"/>
      <c r="MF45" s="123"/>
      <c r="MG45" s="123"/>
      <c r="MH45" s="123"/>
      <c r="MI45" s="123"/>
      <c r="MJ45" s="123"/>
      <c r="MK45" s="123"/>
      <c r="ML45" s="123"/>
      <c r="MM45" s="123"/>
      <c r="MN45" s="123"/>
      <c r="MO45" s="123"/>
      <c r="MP45" s="123"/>
      <c r="MQ45" s="123"/>
      <c r="MR45" s="123"/>
      <c r="MS45" s="123"/>
      <c r="MT45" s="123"/>
      <c r="MU45" s="123"/>
      <c r="MV45" s="123"/>
      <c r="MW45" s="123"/>
      <c r="MX45" s="123"/>
      <c r="MY45" s="123"/>
      <c r="MZ45" s="123"/>
      <c r="NA45" s="123"/>
      <c r="NB45" s="123"/>
      <c r="NC45" s="123"/>
      <c r="ND45" s="123"/>
      <c r="NE45" s="123"/>
      <c r="NF45" s="123"/>
      <c r="NG45" s="123"/>
      <c r="NH45" s="123"/>
      <c r="NI45" s="123"/>
      <c r="NJ45" s="123"/>
      <c r="NK45" s="123"/>
      <c r="NM45">
        <f t="shared" si="632"/>
        <v>0</v>
      </c>
      <c r="NN45">
        <f t="shared" si="633"/>
        <v>0</v>
      </c>
      <c r="NO45">
        <f t="shared" si="634"/>
        <v>0</v>
      </c>
      <c r="NP45">
        <f t="shared" si="635"/>
        <v>0</v>
      </c>
      <c r="NQ45">
        <f t="shared" si="636"/>
        <v>0</v>
      </c>
      <c r="NR45">
        <f t="shared" si="637"/>
        <v>0</v>
      </c>
      <c r="NS45">
        <f t="shared" si="638"/>
        <v>1</v>
      </c>
      <c r="NT45">
        <f t="shared" si="639"/>
        <v>1</v>
      </c>
      <c r="NU45" s="29">
        <f t="shared" si="640"/>
        <v>0</v>
      </c>
      <c r="NY45" s="17">
        <f t="shared" si="641"/>
        <v>0</v>
      </c>
      <c r="OE45" s="155"/>
      <c r="OF45" s="155">
        <f t="shared" si="461"/>
        <v>0</v>
      </c>
      <c r="OG45" s="155">
        <f t="shared" si="462"/>
        <v>1</v>
      </c>
      <c r="OH45" s="155">
        <f t="shared" si="463"/>
        <v>0</v>
      </c>
      <c r="OI45" s="155">
        <f t="shared" si="464"/>
        <v>1</v>
      </c>
      <c r="OJ45" s="67">
        <f t="shared" si="465"/>
        <v>0</v>
      </c>
      <c r="OK45" s="67">
        <f t="shared" si="466"/>
        <v>0</v>
      </c>
      <c r="OL45" s="67">
        <f t="shared" si="467"/>
        <v>0</v>
      </c>
      <c r="OM45" s="67">
        <f t="shared" si="468"/>
        <v>0</v>
      </c>
      <c r="OO45" s="155">
        <f t="shared" si="469"/>
        <v>0</v>
      </c>
      <c r="OP45" s="155">
        <f t="shared" si="470"/>
        <v>0</v>
      </c>
      <c r="OQ45" s="155">
        <f t="shared" si="471"/>
        <v>1</v>
      </c>
      <c r="OR45" s="155">
        <f t="shared" si="472"/>
        <v>0</v>
      </c>
      <c r="OS45" s="155">
        <f t="shared" si="473"/>
        <v>1</v>
      </c>
      <c r="OT45" s="67">
        <f t="shared" si="474"/>
        <v>0</v>
      </c>
      <c r="OU45" s="67">
        <f t="shared" si="475"/>
        <v>0</v>
      </c>
      <c r="OV45" s="67">
        <f t="shared" si="476"/>
        <v>0</v>
      </c>
      <c r="OW45" s="67">
        <f t="shared" si="477"/>
        <v>0</v>
      </c>
      <c r="OZ45" s="163"/>
      <c r="PA45" s="166"/>
      <c r="PB45" s="166">
        <v>1</v>
      </c>
      <c r="PC45" s="166"/>
      <c r="PD45" s="210">
        <f t="shared" si="125"/>
        <v>1</v>
      </c>
      <c r="PE45" s="210">
        <v>1</v>
      </c>
      <c r="PF45" s="210">
        <f t="shared" si="126"/>
        <v>0</v>
      </c>
      <c r="PG45" s="210">
        <f t="shared" si="127"/>
        <v>0</v>
      </c>
      <c r="PH45" s="210">
        <f t="shared" si="127"/>
        <v>101</v>
      </c>
      <c r="PI45" s="210">
        <f t="shared" si="127"/>
        <v>0</v>
      </c>
      <c r="PJ45" s="210">
        <f t="shared" si="127"/>
        <v>101</v>
      </c>
      <c r="PK45" s="210">
        <f t="shared" si="127"/>
        <v>101</v>
      </c>
      <c r="PL45" s="210">
        <f t="shared" si="127"/>
        <v>0</v>
      </c>
      <c r="PM45" s="164"/>
      <c r="PN45" s="164"/>
      <c r="PO45" s="172">
        <f t="shared" si="642"/>
        <v>0</v>
      </c>
      <c r="PP45" s="172">
        <f t="shared" si="643"/>
        <v>0</v>
      </c>
      <c r="PQ45" s="172">
        <f t="shared" si="644"/>
        <v>0</v>
      </c>
      <c r="PR45" s="164"/>
      <c r="PS45" s="164"/>
      <c r="PT45" s="164"/>
      <c r="PU45" s="164"/>
    </row>
    <row r="46" spans="1:437" ht="16" x14ac:dyDescent="0.2">
      <c r="A46" s="19">
        <f t="shared" si="189"/>
        <v>38</v>
      </c>
      <c r="B46" s="158" t="s">
        <v>682</v>
      </c>
      <c r="C46" s="186">
        <v>14</v>
      </c>
      <c r="D46" s="188">
        <v>1</v>
      </c>
      <c r="E46" s="188">
        <v>24</v>
      </c>
      <c r="F46" s="188">
        <v>1</v>
      </c>
      <c r="G46" s="188">
        <f t="shared" si="478"/>
        <v>24</v>
      </c>
      <c r="H46" s="214">
        <f t="shared" si="487"/>
        <v>1</v>
      </c>
      <c r="I46" s="214">
        <f t="shared" si="488"/>
        <v>1</v>
      </c>
      <c r="J46" s="188">
        <v>1</v>
      </c>
      <c r="K46" s="188">
        <f t="shared" si="489"/>
        <v>24</v>
      </c>
      <c r="L46" s="214">
        <f t="shared" si="490"/>
        <v>1</v>
      </c>
      <c r="M46" s="214">
        <f t="shared" si="491"/>
        <v>1</v>
      </c>
      <c r="N46" s="188">
        <v>1</v>
      </c>
      <c r="O46" s="188">
        <f t="shared" si="492"/>
        <v>24</v>
      </c>
      <c r="P46" s="137">
        <f t="shared" si="493"/>
        <v>1</v>
      </c>
      <c r="Q46" s="137">
        <f t="shared" si="494"/>
        <v>1</v>
      </c>
      <c r="R46" s="20">
        <v>0</v>
      </c>
      <c r="S46" s="20">
        <f t="shared" si="495"/>
        <v>0</v>
      </c>
      <c r="T46" s="137">
        <f t="shared" si="496"/>
        <v>0</v>
      </c>
      <c r="U46" s="137">
        <f t="shared" si="497"/>
        <v>0</v>
      </c>
      <c r="V46" s="20">
        <v>0</v>
      </c>
      <c r="W46" s="20">
        <f t="shared" si="498"/>
        <v>0</v>
      </c>
      <c r="X46" s="137">
        <f t="shared" si="499"/>
        <v>0</v>
      </c>
      <c r="Y46" s="137">
        <f t="shared" si="500"/>
        <v>0</v>
      </c>
      <c r="Z46" s="59">
        <v>0</v>
      </c>
      <c r="AA46" s="20"/>
      <c r="AB46" s="17">
        <f t="shared" si="501"/>
        <v>0</v>
      </c>
      <c r="AC46" s="18">
        <f t="shared" si="502"/>
        <v>0</v>
      </c>
      <c r="AD46" s="18">
        <f t="shared" si="503"/>
        <v>0</v>
      </c>
      <c r="AE46" s="20"/>
      <c r="AF46" s="20">
        <f t="shared" si="504"/>
        <v>0</v>
      </c>
      <c r="AG46" s="20"/>
      <c r="AH46" s="20"/>
      <c r="AI46" s="20">
        <v>0</v>
      </c>
      <c r="AJ46" s="20">
        <f t="shared" si="505"/>
        <v>0</v>
      </c>
      <c r="AK46" s="20"/>
      <c r="AL46" s="20">
        <v>0</v>
      </c>
      <c r="AM46" s="20">
        <v>0</v>
      </c>
      <c r="AN46" s="139">
        <v>1</v>
      </c>
      <c r="BB46" s="20">
        <f t="shared" si="506"/>
        <v>24</v>
      </c>
      <c r="BE46" s="20">
        <f t="shared" si="507"/>
        <v>0</v>
      </c>
      <c r="BF46" s="20">
        <f t="shared" si="508"/>
        <v>0</v>
      </c>
      <c r="BG46" s="20">
        <f t="shared" si="509"/>
        <v>0</v>
      </c>
      <c r="BH46" s="20">
        <f t="shared" si="510"/>
        <v>0</v>
      </c>
      <c r="BI46" s="20">
        <f t="shared" si="511"/>
        <v>0</v>
      </c>
      <c r="BJ46" s="20">
        <f t="shared" si="512"/>
        <v>0</v>
      </c>
      <c r="BK46" s="20">
        <f t="shared" si="513"/>
        <v>0</v>
      </c>
      <c r="BN46" s="143"/>
      <c r="BO46" s="126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B46" s="139"/>
      <c r="CD46" s="17">
        <f t="shared" si="514"/>
        <v>0</v>
      </c>
      <c r="CE46" s="17">
        <f t="shared" si="515"/>
        <v>0</v>
      </c>
      <c r="CF46" s="20">
        <f t="shared" si="516"/>
        <v>0</v>
      </c>
      <c r="CG46" s="20">
        <f t="shared" si="517"/>
        <v>0</v>
      </c>
      <c r="CH46" s="20">
        <f t="shared" si="518"/>
        <v>0</v>
      </c>
      <c r="CI46" s="20">
        <f t="shared" si="519"/>
        <v>0</v>
      </c>
      <c r="CJ46" s="20">
        <f t="shared" si="520"/>
        <v>0</v>
      </c>
      <c r="CK46" s="20">
        <f t="shared" si="521"/>
        <v>0</v>
      </c>
      <c r="CL46" s="20">
        <f t="shared" si="522"/>
        <v>0</v>
      </c>
      <c r="CM46" s="20">
        <f t="shared" si="523"/>
        <v>0</v>
      </c>
      <c r="CN46" s="20">
        <f t="shared" si="524"/>
        <v>0</v>
      </c>
      <c r="CO46" s="20">
        <f t="shared" si="525"/>
        <v>0</v>
      </c>
      <c r="CP46" s="20">
        <f t="shared" si="526"/>
        <v>0</v>
      </c>
      <c r="DV46" s="20">
        <f t="shared" si="527"/>
        <v>0</v>
      </c>
      <c r="DW46" s="20">
        <f t="shared" si="528"/>
        <v>0</v>
      </c>
      <c r="DX46" s="20">
        <f t="shared" si="529"/>
        <v>0</v>
      </c>
      <c r="DY46" s="20">
        <f t="shared" si="530"/>
        <v>0</v>
      </c>
      <c r="DZ46" s="20">
        <f t="shared" si="531"/>
        <v>0</v>
      </c>
      <c r="EA46" s="20">
        <f t="shared" si="532"/>
        <v>0</v>
      </c>
      <c r="EB46" s="20">
        <f t="shared" si="533"/>
        <v>0</v>
      </c>
      <c r="EG46" s="57">
        <f t="shared" si="534"/>
        <v>0</v>
      </c>
      <c r="EH46" s="57">
        <f t="shared" si="535"/>
        <v>0</v>
      </c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X46" s="80"/>
      <c r="FY46" s="17">
        <f t="shared" si="536"/>
        <v>0</v>
      </c>
      <c r="FZ46" s="17">
        <f t="shared" si="537"/>
        <v>0</v>
      </c>
      <c r="GA46" s="17">
        <f t="shared" si="538"/>
        <v>0</v>
      </c>
      <c r="GB46" s="17">
        <f t="shared" si="539"/>
        <v>0</v>
      </c>
      <c r="GC46" s="17">
        <f t="shared" si="540"/>
        <v>0</v>
      </c>
      <c r="GD46" s="17">
        <f t="shared" si="541"/>
        <v>0</v>
      </c>
      <c r="GE46" s="17">
        <f t="shared" si="542"/>
        <v>0</v>
      </c>
      <c r="GF46" s="67"/>
      <c r="GG46" s="17">
        <v>0</v>
      </c>
      <c r="GH46" s="17">
        <v>0</v>
      </c>
      <c r="GI46" s="67"/>
      <c r="GJ46" s="62">
        <f t="shared" si="543"/>
        <v>0</v>
      </c>
      <c r="GK46" s="62">
        <f t="shared" si="544"/>
        <v>0</v>
      </c>
      <c r="GO46" s="17">
        <f t="shared" si="545"/>
        <v>0</v>
      </c>
      <c r="GP46" s="17">
        <f t="shared" si="546"/>
        <v>0</v>
      </c>
      <c r="GQ46" s="17">
        <f t="shared" si="547"/>
        <v>0</v>
      </c>
      <c r="GR46" s="17">
        <f t="shared" si="548"/>
        <v>1</v>
      </c>
      <c r="GS46" s="17">
        <f t="shared" si="549"/>
        <v>1</v>
      </c>
      <c r="GT46" s="17">
        <f t="shared" si="550"/>
        <v>0</v>
      </c>
      <c r="GU46" s="101">
        <f t="shared" si="143"/>
        <v>43243</v>
      </c>
      <c r="GV46" s="17" t="str">
        <f t="shared" si="551"/>
        <v>Musyawarah</v>
      </c>
      <c r="GW46" s="17">
        <f t="shared" si="552"/>
        <v>1</v>
      </c>
      <c r="GX46" s="66" t="str">
        <f t="shared" si="553"/>
        <v>Musyawarah</v>
      </c>
      <c r="GY46" s="66">
        <f t="shared" si="554"/>
        <v>24</v>
      </c>
      <c r="GZ46" s="102">
        <f t="shared" si="555"/>
        <v>43267</v>
      </c>
      <c r="HA46" s="83"/>
      <c r="HB46" s="83"/>
      <c r="HC46" s="17">
        <f t="shared" si="556"/>
        <v>0</v>
      </c>
      <c r="HD46" s="17">
        <f t="shared" si="557"/>
        <v>0</v>
      </c>
      <c r="HE46" s="17">
        <f t="shared" si="558"/>
        <v>0</v>
      </c>
      <c r="HF46" s="17">
        <f t="shared" si="559"/>
        <v>0</v>
      </c>
      <c r="HG46" s="17">
        <f t="shared" si="560"/>
        <v>0</v>
      </c>
      <c r="HH46" s="101" t="str">
        <f t="shared" si="561"/>
        <v>TIDAK KONSINYASI</v>
      </c>
      <c r="HI46" s="101">
        <f t="shared" si="562"/>
        <v>43312</v>
      </c>
      <c r="HJ46" s="27"/>
      <c r="HK46" s="101">
        <f t="shared" si="563"/>
        <v>43312</v>
      </c>
      <c r="HL46" s="83"/>
      <c r="HM46" s="83"/>
      <c r="HN46" s="83"/>
      <c r="HO46" s="83"/>
      <c r="HP46" s="102">
        <f t="shared" si="564"/>
        <v>0</v>
      </c>
      <c r="HQ46" s="66">
        <f t="shared" si="565"/>
        <v>0</v>
      </c>
      <c r="HR46" s="66">
        <f t="shared" si="566"/>
        <v>0</v>
      </c>
      <c r="HS46" s="102">
        <f t="shared" si="567"/>
        <v>0</v>
      </c>
      <c r="HT46" s="66">
        <f t="shared" si="568"/>
        <v>0</v>
      </c>
      <c r="HU46" s="66">
        <f t="shared" si="569"/>
        <v>0</v>
      </c>
      <c r="HV46" s="102">
        <f t="shared" si="570"/>
        <v>0</v>
      </c>
      <c r="HW46" s="66">
        <f t="shared" si="571"/>
        <v>0</v>
      </c>
      <c r="HX46" s="66">
        <f t="shared" si="572"/>
        <v>0</v>
      </c>
      <c r="HY46" s="102">
        <f t="shared" si="573"/>
        <v>0</v>
      </c>
      <c r="HZ46" s="66">
        <f t="shared" si="574"/>
        <v>0</v>
      </c>
      <c r="IA46" s="66">
        <f t="shared" si="575"/>
        <v>0</v>
      </c>
      <c r="IB46" s="102">
        <f t="shared" si="576"/>
        <v>0</v>
      </c>
      <c r="IC46" s="66">
        <f t="shared" si="577"/>
        <v>0</v>
      </c>
      <c r="ID46" s="66">
        <f t="shared" si="578"/>
        <v>0</v>
      </c>
      <c r="IE46" s="102">
        <f t="shared" si="579"/>
        <v>0</v>
      </c>
      <c r="IF46" s="66">
        <f t="shared" si="580"/>
        <v>0</v>
      </c>
      <c r="IG46" s="66">
        <f t="shared" si="581"/>
        <v>0</v>
      </c>
      <c r="IH46" s="102">
        <f t="shared" si="582"/>
        <v>0</v>
      </c>
      <c r="II46" s="66">
        <f t="shared" si="583"/>
        <v>0</v>
      </c>
      <c r="IJ46" s="66">
        <f t="shared" si="584"/>
        <v>0</v>
      </c>
      <c r="IK46" s="102">
        <f t="shared" si="585"/>
        <v>0</v>
      </c>
      <c r="IL46" s="66">
        <f t="shared" si="586"/>
        <v>0</v>
      </c>
      <c r="IM46" s="66">
        <f t="shared" si="587"/>
        <v>0</v>
      </c>
      <c r="IN46" s="83"/>
      <c r="IO46" s="102">
        <f t="shared" si="588"/>
        <v>0</v>
      </c>
      <c r="IP46" s="66">
        <f t="shared" si="589"/>
        <v>0</v>
      </c>
      <c r="IQ46" s="66">
        <f t="shared" si="590"/>
        <v>0</v>
      </c>
      <c r="IR46" s="83"/>
      <c r="IS46" s="102"/>
      <c r="IT46" s="66">
        <f t="shared" si="591"/>
        <v>0</v>
      </c>
      <c r="IU46" s="66">
        <f t="shared" si="592"/>
        <v>0</v>
      </c>
      <c r="IV46" s="83"/>
      <c r="IW46" s="102"/>
      <c r="IX46" s="66">
        <f t="shared" si="593"/>
        <v>0</v>
      </c>
      <c r="IY46" s="66">
        <f t="shared" si="594"/>
        <v>0</v>
      </c>
      <c r="IZ46" s="83"/>
      <c r="JA46" s="102"/>
      <c r="JB46" s="66">
        <f t="shared" si="595"/>
        <v>1</v>
      </c>
      <c r="JC46" s="66">
        <f t="shared" si="596"/>
        <v>24</v>
      </c>
      <c r="JD46" s="83"/>
      <c r="JE46" s="102"/>
      <c r="JF46" s="66">
        <f t="shared" si="597"/>
        <v>1</v>
      </c>
      <c r="JG46" s="66">
        <f t="shared" si="598"/>
        <v>24</v>
      </c>
      <c r="JH46" s="83"/>
      <c r="JI46" s="102"/>
      <c r="JJ46" s="66">
        <f t="shared" si="599"/>
        <v>0</v>
      </c>
      <c r="JK46" s="66">
        <f t="shared" si="600"/>
        <v>0</v>
      </c>
      <c r="JM46" s="102">
        <f t="shared" si="601"/>
        <v>0</v>
      </c>
      <c r="JO46" s="29">
        <f t="shared" si="602"/>
        <v>0</v>
      </c>
      <c r="JP46" s="122">
        <f t="shared" si="603"/>
        <v>0</v>
      </c>
      <c r="JQ46" s="122">
        <f t="shared" si="604"/>
        <v>0</v>
      </c>
      <c r="JR46" s="122">
        <f t="shared" si="605"/>
        <v>0</v>
      </c>
      <c r="JS46" s="122">
        <f t="shared" si="606"/>
        <v>0</v>
      </c>
      <c r="JT46" s="122">
        <f t="shared" si="607"/>
        <v>0</v>
      </c>
      <c r="JU46" s="122">
        <f t="shared" si="608"/>
        <v>0</v>
      </c>
      <c r="JV46" s="122">
        <f t="shared" si="609"/>
        <v>0</v>
      </c>
      <c r="JW46" s="122">
        <f t="shared" si="610"/>
        <v>0</v>
      </c>
      <c r="JX46" s="122">
        <f t="shared" si="611"/>
        <v>0</v>
      </c>
      <c r="JY46" s="122">
        <f t="shared" si="612"/>
        <v>0</v>
      </c>
      <c r="JZ46" s="122">
        <f t="shared" si="613"/>
        <v>0</v>
      </c>
      <c r="KA46" s="122">
        <f t="shared" si="614"/>
        <v>0</v>
      </c>
      <c r="KB46" s="122">
        <f t="shared" si="615"/>
        <v>0</v>
      </c>
      <c r="KD46" s="122">
        <f t="shared" si="616"/>
        <v>0</v>
      </c>
      <c r="KE46" s="122">
        <f t="shared" si="617"/>
        <v>0</v>
      </c>
      <c r="KF46" s="122">
        <f t="shared" si="618"/>
        <v>0</v>
      </c>
      <c r="KG46" s="122">
        <f t="shared" si="619"/>
        <v>0</v>
      </c>
      <c r="KH46" s="122">
        <f t="shared" si="620"/>
        <v>0</v>
      </c>
      <c r="KI46" s="122">
        <f t="shared" si="621"/>
        <v>0</v>
      </c>
      <c r="KJ46" s="122">
        <f t="shared" si="622"/>
        <v>0</v>
      </c>
      <c r="KK46" s="122">
        <f t="shared" si="623"/>
        <v>0</v>
      </c>
      <c r="KL46" s="122">
        <f t="shared" si="624"/>
        <v>0</v>
      </c>
      <c r="KM46" s="122">
        <f t="shared" si="625"/>
        <v>0</v>
      </c>
      <c r="KN46" s="123">
        <f t="shared" si="626"/>
        <v>0</v>
      </c>
      <c r="KO46" s="123">
        <f t="shared" si="627"/>
        <v>0</v>
      </c>
      <c r="KP46" s="123">
        <f t="shared" si="628"/>
        <v>0</v>
      </c>
      <c r="KQ46" s="123">
        <f t="shared" si="629"/>
        <v>0</v>
      </c>
      <c r="KR46" s="123">
        <f t="shared" si="630"/>
        <v>0</v>
      </c>
      <c r="KS46">
        <v>7</v>
      </c>
      <c r="KT46">
        <f t="shared" si="631"/>
        <v>1</v>
      </c>
      <c r="KU46" s="123"/>
      <c r="KV46" s="123"/>
      <c r="KW46" s="123"/>
      <c r="KX46" s="123"/>
      <c r="KY46" s="123"/>
      <c r="KZ46" s="123"/>
      <c r="LA46" s="123"/>
      <c r="LB46" s="123"/>
      <c r="LC46" s="123"/>
      <c r="LD46" s="123"/>
      <c r="LE46" s="123"/>
      <c r="LF46" s="123"/>
      <c r="LG46" s="123"/>
      <c r="LH46" s="123"/>
      <c r="LI46" s="123"/>
      <c r="LJ46" s="123"/>
      <c r="LK46" s="123"/>
      <c r="LL46" s="123"/>
      <c r="LM46" s="123"/>
      <c r="LN46" s="123"/>
      <c r="LO46" s="123"/>
      <c r="LP46" s="123"/>
      <c r="LQ46" s="123"/>
      <c r="LR46" s="123"/>
      <c r="LS46" s="123"/>
      <c r="LT46" s="123"/>
      <c r="LU46" s="123"/>
      <c r="LV46" s="123"/>
      <c r="LW46" s="123"/>
      <c r="LX46" s="123"/>
      <c r="LY46" s="123"/>
      <c r="LZ46" s="123"/>
      <c r="MA46" s="123"/>
      <c r="MB46" s="123"/>
      <c r="MC46" s="123"/>
      <c r="MD46" s="123"/>
      <c r="ME46" s="123"/>
      <c r="MF46" s="123"/>
      <c r="MG46" s="123"/>
      <c r="MH46" s="123"/>
      <c r="MI46" s="123"/>
      <c r="MJ46" s="123"/>
      <c r="MK46" s="123"/>
      <c r="ML46" s="123"/>
      <c r="MM46" s="123"/>
      <c r="MN46" s="123"/>
      <c r="MO46" s="123"/>
      <c r="MP46" s="123"/>
      <c r="MQ46" s="123"/>
      <c r="MR46" s="123"/>
      <c r="MS46" s="123"/>
      <c r="MT46" s="123"/>
      <c r="MU46" s="123"/>
      <c r="MV46" s="123"/>
      <c r="MW46" s="123"/>
      <c r="MX46" s="123"/>
      <c r="MY46" s="123"/>
      <c r="MZ46" s="123"/>
      <c r="NA46" s="123"/>
      <c r="NB46" s="123"/>
      <c r="NC46" s="123"/>
      <c r="ND46" s="123"/>
      <c r="NE46" s="123"/>
      <c r="NF46" s="123"/>
      <c r="NG46" s="123"/>
      <c r="NH46" s="123"/>
      <c r="NI46" s="123"/>
      <c r="NJ46" s="123"/>
      <c r="NK46" s="123"/>
      <c r="NM46">
        <f t="shared" si="632"/>
        <v>0</v>
      </c>
      <c r="NN46">
        <f t="shared" si="633"/>
        <v>0</v>
      </c>
      <c r="NO46">
        <f t="shared" si="634"/>
        <v>0</v>
      </c>
      <c r="NP46">
        <f t="shared" si="635"/>
        <v>0</v>
      </c>
      <c r="NQ46">
        <f t="shared" si="636"/>
        <v>0</v>
      </c>
      <c r="NR46">
        <f t="shared" si="637"/>
        <v>0</v>
      </c>
      <c r="NS46">
        <f t="shared" si="638"/>
        <v>1</v>
      </c>
      <c r="NT46">
        <f t="shared" si="639"/>
        <v>1</v>
      </c>
      <c r="NU46" s="29">
        <f t="shared" si="640"/>
        <v>0</v>
      </c>
      <c r="NY46" s="17">
        <f t="shared" si="641"/>
        <v>0</v>
      </c>
      <c r="OE46" s="155"/>
      <c r="OF46" s="155">
        <f t="shared" si="461"/>
        <v>0</v>
      </c>
      <c r="OG46" s="155">
        <f t="shared" si="462"/>
        <v>1</v>
      </c>
      <c r="OH46" s="155">
        <f t="shared" si="463"/>
        <v>0</v>
      </c>
      <c r="OI46" s="155">
        <f t="shared" si="464"/>
        <v>1</v>
      </c>
      <c r="OJ46" s="67">
        <f t="shared" si="465"/>
        <v>0</v>
      </c>
      <c r="OK46" s="67">
        <f t="shared" si="466"/>
        <v>0</v>
      </c>
      <c r="OL46" s="67">
        <f t="shared" si="467"/>
        <v>0</v>
      </c>
      <c r="OM46" s="67">
        <f t="shared" si="468"/>
        <v>0</v>
      </c>
      <c r="OO46" s="155">
        <f t="shared" si="469"/>
        <v>0</v>
      </c>
      <c r="OP46" s="155">
        <f t="shared" si="470"/>
        <v>0</v>
      </c>
      <c r="OQ46" s="155">
        <f t="shared" si="471"/>
        <v>1</v>
      </c>
      <c r="OR46" s="155">
        <f t="shared" si="472"/>
        <v>0</v>
      </c>
      <c r="OS46" s="155">
        <f t="shared" si="473"/>
        <v>1</v>
      </c>
      <c r="OT46" s="67">
        <f t="shared" si="474"/>
        <v>0</v>
      </c>
      <c r="OU46" s="67">
        <f t="shared" si="475"/>
        <v>0</v>
      </c>
      <c r="OV46" s="67">
        <f t="shared" si="476"/>
        <v>0</v>
      </c>
      <c r="OW46" s="67">
        <f t="shared" si="477"/>
        <v>0</v>
      </c>
      <c r="OZ46" s="163"/>
      <c r="PA46" s="166"/>
      <c r="PB46" s="166">
        <v>1</v>
      </c>
      <c r="PC46" s="166"/>
      <c r="PD46" s="210">
        <f t="shared" si="125"/>
        <v>1</v>
      </c>
      <c r="PE46" s="210">
        <v>1</v>
      </c>
      <c r="PF46" s="210">
        <f t="shared" si="126"/>
        <v>0</v>
      </c>
      <c r="PG46" s="210">
        <f t="shared" si="127"/>
        <v>0</v>
      </c>
      <c r="PH46" s="210">
        <f t="shared" si="127"/>
        <v>24</v>
      </c>
      <c r="PI46" s="210">
        <f t="shared" si="127"/>
        <v>0</v>
      </c>
      <c r="PJ46" s="210">
        <f t="shared" si="127"/>
        <v>24</v>
      </c>
      <c r="PK46" s="210">
        <f t="shared" si="127"/>
        <v>24</v>
      </c>
      <c r="PL46" s="210">
        <f t="shared" si="127"/>
        <v>0</v>
      </c>
      <c r="PM46" s="164"/>
      <c r="PN46" s="164"/>
      <c r="PO46" s="172">
        <f t="shared" si="642"/>
        <v>0</v>
      </c>
      <c r="PP46" s="172">
        <f t="shared" si="643"/>
        <v>0</v>
      </c>
      <c r="PQ46" s="172">
        <f t="shared" si="644"/>
        <v>0</v>
      </c>
      <c r="PR46" s="164"/>
      <c r="PS46" s="164"/>
      <c r="PT46" s="164"/>
      <c r="PU46" s="164"/>
    </row>
    <row r="47" spans="1:437" ht="16" x14ac:dyDescent="0.2">
      <c r="A47" s="19">
        <f t="shared" si="189"/>
        <v>39</v>
      </c>
      <c r="B47" s="158" t="s">
        <v>680</v>
      </c>
      <c r="C47" s="186">
        <v>15</v>
      </c>
      <c r="D47" s="188">
        <v>1</v>
      </c>
      <c r="E47" s="188">
        <v>111</v>
      </c>
      <c r="F47" s="188">
        <v>1</v>
      </c>
      <c r="G47" s="188">
        <f t="shared" si="478"/>
        <v>111</v>
      </c>
      <c r="H47" s="214">
        <f t="shared" si="487"/>
        <v>1</v>
      </c>
      <c r="I47" s="214">
        <f t="shared" si="488"/>
        <v>1</v>
      </c>
      <c r="J47" s="188">
        <v>1</v>
      </c>
      <c r="K47" s="188">
        <f t="shared" si="489"/>
        <v>111</v>
      </c>
      <c r="L47" s="214">
        <f t="shared" si="490"/>
        <v>1</v>
      </c>
      <c r="M47" s="214">
        <f t="shared" si="491"/>
        <v>1</v>
      </c>
      <c r="N47" s="188">
        <v>1</v>
      </c>
      <c r="O47" s="188">
        <f t="shared" si="492"/>
        <v>111</v>
      </c>
      <c r="P47" s="137">
        <f t="shared" si="493"/>
        <v>1</v>
      </c>
      <c r="Q47" s="137">
        <f t="shared" si="494"/>
        <v>1</v>
      </c>
      <c r="R47" s="20">
        <v>0</v>
      </c>
      <c r="S47" s="20">
        <f t="shared" si="495"/>
        <v>0</v>
      </c>
      <c r="T47" s="137">
        <f t="shared" si="496"/>
        <v>0</v>
      </c>
      <c r="U47" s="137">
        <f t="shared" si="497"/>
        <v>0</v>
      </c>
      <c r="V47" s="20">
        <v>0</v>
      </c>
      <c r="W47" s="20">
        <f t="shared" si="498"/>
        <v>0</v>
      </c>
      <c r="X47" s="137">
        <f t="shared" si="499"/>
        <v>0</v>
      </c>
      <c r="Y47" s="137">
        <f t="shared" si="500"/>
        <v>0</v>
      </c>
      <c r="Z47" s="59">
        <v>0</v>
      </c>
      <c r="AA47" s="20"/>
      <c r="AB47" s="17">
        <f t="shared" si="501"/>
        <v>0</v>
      </c>
      <c r="AC47" s="18">
        <f t="shared" si="502"/>
        <v>0</v>
      </c>
      <c r="AD47" s="18">
        <f t="shared" si="503"/>
        <v>0</v>
      </c>
      <c r="AE47" s="20"/>
      <c r="AF47" s="20">
        <f t="shared" si="504"/>
        <v>0</v>
      </c>
      <c r="AG47" s="20"/>
      <c r="AH47" s="20"/>
      <c r="AI47" s="20">
        <v>0</v>
      </c>
      <c r="AJ47" s="20">
        <f t="shared" si="505"/>
        <v>0</v>
      </c>
      <c r="AK47" s="20"/>
      <c r="AL47" s="20">
        <v>0</v>
      </c>
      <c r="AM47" s="20">
        <v>0</v>
      </c>
      <c r="AN47" s="139">
        <v>1</v>
      </c>
      <c r="BB47" s="20">
        <f t="shared" si="506"/>
        <v>111</v>
      </c>
      <c r="BE47" s="20">
        <f t="shared" si="507"/>
        <v>0</v>
      </c>
      <c r="BF47" s="20">
        <f t="shared" si="508"/>
        <v>0</v>
      </c>
      <c r="BG47" s="20">
        <f t="shared" si="509"/>
        <v>0</v>
      </c>
      <c r="BH47" s="20">
        <f t="shared" si="510"/>
        <v>0</v>
      </c>
      <c r="BI47" s="20">
        <f t="shared" si="511"/>
        <v>0</v>
      </c>
      <c r="BJ47" s="20">
        <f t="shared" si="512"/>
        <v>0</v>
      </c>
      <c r="BK47" s="20">
        <f t="shared" si="513"/>
        <v>0</v>
      </c>
      <c r="BN47" s="143"/>
      <c r="BO47" s="126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B47" s="139"/>
      <c r="CD47" s="17">
        <f t="shared" si="514"/>
        <v>0</v>
      </c>
      <c r="CE47" s="17">
        <f t="shared" si="515"/>
        <v>0</v>
      </c>
      <c r="CF47" s="20">
        <f t="shared" si="516"/>
        <v>0</v>
      </c>
      <c r="CG47" s="20">
        <f t="shared" si="517"/>
        <v>0</v>
      </c>
      <c r="CH47" s="20">
        <f t="shared" si="518"/>
        <v>0</v>
      </c>
      <c r="CI47" s="20">
        <f t="shared" si="519"/>
        <v>0</v>
      </c>
      <c r="CJ47" s="20">
        <f t="shared" si="520"/>
        <v>0</v>
      </c>
      <c r="CK47" s="20">
        <f t="shared" si="521"/>
        <v>0</v>
      </c>
      <c r="CL47" s="20">
        <f t="shared" si="522"/>
        <v>0</v>
      </c>
      <c r="CM47" s="20">
        <f t="shared" si="523"/>
        <v>0</v>
      </c>
      <c r="CN47" s="20">
        <f t="shared" si="524"/>
        <v>0</v>
      </c>
      <c r="CO47" s="20">
        <f t="shared" si="525"/>
        <v>0</v>
      </c>
      <c r="CP47" s="20">
        <f t="shared" si="526"/>
        <v>0</v>
      </c>
      <c r="DV47" s="20">
        <f t="shared" si="527"/>
        <v>0</v>
      </c>
      <c r="DW47" s="20">
        <f t="shared" si="528"/>
        <v>0</v>
      </c>
      <c r="DX47" s="20">
        <f t="shared" si="529"/>
        <v>0</v>
      </c>
      <c r="DY47" s="20">
        <f t="shared" si="530"/>
        <v>0</v>
      </c>
      <c r="DZ47" s="20">
        <f t="shared" si="531"/>
        <v>0</v>
      </c>
      <c r="EA47" s="20">
        <f t="shared" si="532"/>
        <v>0</v>
      </c>
      <c r="EB47" s="20">
        <f t="shared" si="533"/>
        <v>0</v>
      </c>
      <c r="EG47" s="57">
        <f t="shared" si="534"/>
        <v>0</v>
      </c>
      <c r="EH47" s="57">
        <f t="shared" si="535"/>
        <v>0</v>
      </c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X47" s="80"/>
      <c r="FY47" s="17">
        <f t="shared" si="536"/>
        <v>0</v>
      </c>
      <c r="FZ47" s="17">
        <f t="shared" si="537"/>
        <v>0</v>
      </c>
      <c r="GA47" s="17">
        <f t="shared" si="538"/>
        <v>0</v>
      </c>
      <c r="GB47" s="17">
        <f t="shared" si="539"/>
        <v>0</v>
      </c>
      <c r="GC47" s="17">
        <f t="shared" si="540"/>
        <v>0</v>
      </c>
      <c r="GD47" s="17">
        <f t="shared" si="541"/>
        <v>0</v>
      </c>
      <c r="GE47" s="17">
        <f t="shared" si="542"/>
        <v>0</v>
      </c>
      <c r="GF47" s="67"/>
      <c r="GG47" s="17">
        <v>0</v>
      </c>
      <c r="GH47" s="17">
        <v>0</v>
      </c>
      <c r="GI47" s="67"/>
      <c r="GJ47" s="62">
        <f t="shared" si="543"/>
        <v>0</v>
      </c>
      <c r="GK47" s="62">
        <f t="shared" si="544"/>
        <v>0</v>
      </c>
      <c r="GO47" s="17">
        <f t="shared" si="545"/>
        <v>0</v>
      </c>
      <c r="GP47" s="17">
        <f t="shared" si="546"/>
        <v>0</v>
      </c>
      <c r="GQ47" s="17">
        <f t="shared" si="547"/>
        <v>0</v>
      </c>
      <c r="GR47" s="17">
        <f t="shared" si="548"/>
        <v>1</v>
      </c>
      <c r="GS47" s="17">
        <f t="shared" si="549"/>
        <v>1</v>
      </c>
      <c r="GT47" s="17">
        <f t="shared" si="550"/>
        <v>0</v>
      </c>
      <c r="GU47" s="101">
        <f t="shared" si="143"/>
        <v>43243</v>
      </c>
      <c r="GV47" s="17" t="str">
        <f t="shared" si="551"/>
        <v>Musyawarah</v>
      </c>
      <c r="GW47" s="17">
        <f t="shared" si="552"/>
        <v>1</v>
      </c>
      <c r="GX47" s="66" t="str">
        <f t="shared" si="553"/>
        <v>Musyawarah</v>
      </c>
      <c r="GY47" s="66">
        <f t="shared" si="554"/>
        <v>24</v>
      </c>
      <c r="GZ47" s="102">
        <f t="shared" si="555"/>
        <v>43267</v>
      </c>
      <c r="HA47" s="83"/>
      <c r="HB47" s="83"/>
      <c r="HC47" s="17">
        <f t="shared" si="556"/>
        <v>0</v>
      </c>
      <c r="HD47" s="17">
        <f t="shared" si="557"/>
        <v>0</v>
      </c>
      <c r="HE47" s="17">
        <f t="shared" si="558"/>
        <v>0</v>
      </c>
      <c r="HF47" s="17">
        <f t="shared" si="559"/>
        <v>0</v>
      </c>
      <c r="HG47" s="17">
        <f t="shared" si="560"/>
        <v>0</v>
      </c>
      <c r="HH47" s="101" t="str">
        <f t="shared" si="561"/>
        <v>TIDAK KONSINYASI</v>
      </c>
      <c r="HI47" s="101">
        <f t="shared" si="562"/>
        <v>43312</v>
      </c>
      <c r="HJ47" s="27"/>
      <c r="HK47" s="101">
        <f t="shared" si="563"/>
        <v>43312</v>
      </c>
      <c r="HL47" s="83"/>
      <c r="HM47" s="83"/>
      <c r="HN47" s="83"/>
      <c r="HO47" s="83"/>
      <c r="HP47" s="102">
        <f t="shared" si="564"/>
        <v>0</v>
      </c>
      <c r="HQ47" s="66">
        <f t="shared" si="565"/>
        <v>0</v>
      </c>
      <c r="HR47" s="66">
        <f t="shared" si="566"/>
        <v>0</v>
      </c>
      <c r="HS47" s="102">
        <f t="shared" si="567"/>
        <v>0</v>
      </c>
      <c r="HT47" s="66">
        <f t="shared" si="568"/>
        <v>0</v>
      </c>
      <c r="HU47" s="66">
        <f t="shared" si="569"/>
        <v>0</v>
      </c>
      <c r="HV47" s="102">
        <f t="shared" si="570"/>
        <v>0</v>
      </c>
      <c r="HW47" s="66">
        <f t="shared" si="571"/>
        <v>0</v>
      </c>
      <c r="HX47" s="66">
        <f t="shared" si="572"/>
        <v>0</v>
      </c>
      <c r="HY47" s="102">
        <f t="shared" si="573"/>
        <v>0</v>
      </c>
      <c r="HZ47" s="66">
        <f t="shared" si="574"/>
        <v>0</v>
      </c>
      <c r="IA47" s="66">
        <f t="shared" si="575"/>
        <v>0</v>
      </c>
      <c r="IB47" s="102">
        <f t="shared" si="576"/>
        <v>0</v>
      </c>
      <c r="IC47" s="66">
        <f t="shared" si="577"/>
        <v>0</v>
      </c>
      <c r="ID47" s="66">
        <f t="shared" si="578"/>
        <v>0</v>
      </c>
      <c r="IE47" s="102">
        <f t="shared" si="579"/>
        <v>0</v>
      </c>
      <c r="IF47" s="66">
        <f t="shared" si="580"/>
        <v>0</v>
      </c>
      <c r="IG47" s="66">
        <f t="shared" si="581"/>
        <v>0</v>
      </c>
      <c r="IH47" s="102">
        <f t="shared" si="582"/>
        <v>0</v>
      </c>
      <c r="II47" s="66">
        <f t="shared" si="583"/>
        <v>0</v>
      </c>
      <c r="IJ47" s="66">
        <f t="shared" si="584"/>
        <v>0</v>
      </c>
      <c r="IK47" s="102">
        <f t="shared" si="585"/>
        <v>0</v>
      </c>
      <c r="IL47" s="66">
        <f t="shared" si="586"/>
        <v>0</v>
      </c>
      <c r="IM47" s="66">
        <f t="shared" si="587"/>
        <v>0</v>
      </c>
      <c r="IN47" s="83"/>
      <c r="IO47" s="102">
        <f t="shared" si="588"/>
        <v>0</v>
      </c>
      <c r="IP47" s="66">
        <f t="shared" si="589"/>
        <v>0</v>
      </c>
      <c r="IQ47" s="66">
        <f t="shared" si="590"/>
        <v>0</v>
      </c>
      <c r="IR47" s="83"/>
      <c r="IS47" s="102"/>
      <c r="IT47" s="66">
        <f t="shared" si="591"/>
        <v>0</v>
      </c>
      <c r="IU47" s="66">
        <f t="shared" si="592"/>
        <v>0</v>
      </c>
      <c r="IV47" s="83"/>
      <c r="IW47" s="102"/>
      <c r="IX47" s="66">
        <f t="shared" si="593"/>
        <v>0</v>
      </c>
      <c r="IY47" s="66">
        <f t="shared" si="594"/>
        <v>0</v>
      </c>
      <c r="IZ47" s="83"/>
      <c r="JA47" s="102"/>
      <c r="JB47" s="66">
        <f t="shared" si="595"/>
        <v>1</v>
      </c>
      <c r="JC47" s="66">
        <f t="shared" si="596"/>
        <v>111</v>
      </c>
      <c r="JD47" s="83"/>
      <c r="JE47" s="102"/>
      <c r="JF47" s="66">
        <f t="shared" si="597"/>
        <v>1</v>
      </c>
      <c r="JG47" s="66">
        <f t="shared" si="598"/>
        <v>111</v>
      </c>
      <c r="JH47" s="83"/>
      <c r="JI47" s="102"/>
      <c r="JJ47" s="66">
        <f t="shared" si="599"/>
        <v>0</v>
      </c>
      <c r="JK47" s="66">
        <f t="shared" si="600"/>
        <v>0</v>
      </c>
      <c r="JM47" s="102">
        <f t="shared" si="601"/>
        <v>0</v>
      </c>
      <c r="JO47" s="29">
        <f t="shared" si="602"/>
        <v>0</v>
      </c>
      <c r="JP47" s="122">
        <f t="shared" si="603"/>
        <v>0</v>
      </c>
      <c r="JQ47" s="122">
        <f t="shared" si="604"/>
        <v>0</v>
      </c>
      <c r="JR47" s="122">
        <f t="shared" si="605"/>
        <v>0</v>
      </c>
      <c r="JS47" s="122">
        <f t="shared" si="606"/>
        <v>0</v>
      </c>
      <c r="JT47" s="122">
        <f t="shared" si="607"/>
        <v>0</v>
      </c>
      <c r="JU47" s="122">
        <f t="shared" si="608"/>
        <v>0</v>
      </c>
      <c r="JV47" s="122">
        <f t="shared" si="609"/>
        <v>0</v>
      </c>
      <c r="JW47" s="122">
        <f t="shared" si="610"/>
        <v>0</v>
      </c>
      <c r="JX47" s="122">
        <f t="shared" si="611"/>
        <v>0</v>
      </c>
      <c r="JY47" s="122">
        <f t="shared" si="612"/>
        <v>0</v>
      </c>
      <c r="JZ47" s="122">
        <f t="shared" si="613"/>
        <v>0</v>
      </c>
      <c r="KA47" s="122">
        <f t="shared" si="614"/>
        <v>0</v>
      </c>
      <c r="KB47" s="122">
        <f t="shared" si="615"/>
        <v>0</v>
      </c>
      <c r="KD47" s="122">
        <f t="shared" si="616"/>
        <v>0</v>
      </c>
      <c r="KE47" s="122">
        <f t="shared" si="617"/>
        <v>0</v>
      </c>
      <c r="KF47" s="122">
        <f t="shared" si="618"/>
        <v>0</v>
      </c>
      <c r="KG47" s="122">
        <f t="shared" si="619"/>
        <v>0</v>
      </c>
      <c r="KH47" s="122">
        <f t="shared" si="620"/>
        <v>0</v>
      </c>
      <c r="KI47" s="122">
        <f t="shared" si="621"/>
        <v>0</v>
      </c>
      <c r="KJ47" s="122">
        <f t="shared" si="622"/>
        <v>0</v>
      </c>
      <c r="KK47" s="122">
        <f t="shared" si="623"/>
        <v>0</v>
      </c>
      <c r="KL47" s="122">
        <f t="shared" si="624"/>
        <v>0</v>
      </c>
      <c r="KM47" s="122">
        <f t="shared" si="625"/>
        <v>0</v>
      </c>
      <c r="KN47" s="123">
        <f t="shared" si="626"/>
        <v>0</v>
      </c>
      <c r="KO47" s="123">
        <f t="shared" si="627"/>
        <v>0</v>
      </c>
      <c r="KP47" s="123">
        <f t="shared" si="628"/>
        <v>0</v>
      </c>
      <c r="KQ47" s="123">
        <f t="shared" si="629"/>
        <v>0</v>
      </c>
      <c r="KR47" s="123">
        <f t="shared" si="630"/>
        <v>0</v>
      </c>
      <c r="KS47">
        <v>7</v>
      </c>
      <c r="KT47">
        <f t="shared" si="631"/>
        <v>1</v>
      </c>
      <c r="KU47" s="123"/>
      <c r="KV47" s="123"/>
      <c r="KW47" s="123"/>
      <c r="KX47" s="123"/>
      <c r="KY47" s="123"/>
      <c r="KZ47" s="123"/>
      <c r="LA47" s="123"/>
      <c r="LB47" s="123"/>
      <c r="LC47" s="123"/>
      <c r="LD47" s="123"/>
      <c r="LE47" s="123"/>
      <c r="LF47" s="123"/>
      <c r="LG47" s="123"/>
      <c r="LH47" s="123"/>
      <c r="LI47" s="123"/>
      <c r="LJ47" s="123"/>
      <c r="LK47" s="123"/>
      <c r="LL47" s="123"/>
      <c r="LM47" s="123"/>
      <c r="LN47" s="123"/>
      <c r="LO47" s="123"/>
      <c r="LP47" s="123"/>
      <c r="LQ47" s="123"/>
      <c r="LR47" s="123"/>
      <c r="LS47" s="123"/>
      <c r="LT47" s="123"/>
      <c r="LU47" s="123"/>
      <c r="LV47" s="123"/>
      <c r="LW47" s="123"/>
      <c r="LX47" s="123"/>
      <c r="LY47" s="123"/>
      <c r="LZ47" s="123"/>
      <c r="MA47" s="123"/>
      <c r="MB47" s="123"/>
      <c r="MC47" s="123"/>
      <c r="MD47" s="123"/>
      <c r="ME47" s="123"/>
      <c r="MF47" s="123"/>
      <c r="MG47" s="123"/>
      <c r="MH47" s="123"/>
      <c r="MI47" s="123"/>
      <c r="MJ47" s="123"/>
      <c r="MK47" s="123"/>
      <c r="ML47" s="123"/>
      <c r="MM47" s="123"/>
      <c r="MN47" s="123"/>
      <c r="MO47" s="123"/>
      <c r="MP47" s="123"/>
      <c r="MQ47" s="123"/>
      <c r="MR47" s="123"/>
      <c r="MS47" s="123"/>
      <c r="MT47" s="123"/>
      <c r="MU47" s="123"/>
      <c r="MV47" s="123"/>
      <c r="MW47" s="123"/>
      <c r="MX47" s="123"/>
      <c r="MY47" s="123"/>
      <c r="MZ47" s="123"/>
      <c r="NA47" s="123"/>
      <c r="NB47" s="123"/>
      <c r="NC47" s="123"/>
      <c r="ND47" s="123"/>
      <c r="NE47" s="123"/>
      <c r="NF47" s="123"/>
      <c r="NG47" s="123"/>
      <c r="NH47" s="123"/>
      <c r="NI47" s="123"/>
      <c r="NJ47" s="123"/>
      <c r="NK47" s="123"/>
      <c r="NM47">
        <f t="shared" si="632"/>
        <v>0</v>
      </c>
      <c r="NN47">
        <f t="shared" si="633"/>
        <v>0</v>
      </c>
      <c r="NO47">
        <f t="shared" si="634"/>
        <v>0</v>
      </c>
      <c r="NP47">
        <f t="shared" si="635"/>
        <v>0</v>
      </c>
      <c r="NQ47">
        <f t="shared" si="636"/>
        <v>0</v>
      </c>
      <c r="NR47">
        <f t="shared" si="637"/>
        <v>0</v>
      </c>
      <c r="NS47">
        <f t="shared" si="638"/>
        <v>1</v>
      </c>
      <c r="NT47">
        <f t="shared" si="639"/>
        <v>1</v>
      </c>
      <c r="NU47" s="29">
        <f t="shared" si="640"/>
        <v>0</v>
      </c>
      <c r="NY47" s="17">
        <f t="shared" si="641"/>
        <v>0</v>
      </c>
      <c r="OE47" s="155"/>
      <c r="OF47" s="155">
        <f t="shared" si="461"/>
        <v>0</v>
      </c>
      <c r="OG47" s="155">
        <f t="shared" si="462"/>
        <v>1</v>
      </c>
      <c r="OH47" s="155">
        <f t="shared" si="463"/>
        <v>0</v>
      </c>
      <c r="OI47" s="155">
        <f t="shared" si="464"/>
        <v>1</v>
      </c>
      <c r="OJ47" s="67">
        <f t="shared" si="465"/>
        <v>0</v>
      </c>
      <c r="OK47" s="67">
        <f t="shared" si="466"/>
        <v>0</v>
      </c>
      <c r="OL47" s="67">
        <f t="shared" si="467"/>
        <v>0</v>
      </c>
      <c r="OM47" s="67">
        <f t="shared" si="468"/>
        <v>0</v>
      </c>
      <c r="OO47" s="155">
        <f t="shared" si="469"/>
        <v>0</v>
      </c>
      <c r="OP47" s="155">
        <f t="shared" si="470"/>
        <v>0</v>
      </c>
      <c r="OQ47" s="155">
        <f t="shared" si="471"/>
        <v>1</v>
      </c>
      <c r="OR47" s="155">
        <f t="shared" si="472"/>
        <v>0</v>
      </c>
      <c r="OS47" s="155">
        <f t="shared" si="473"/>
        <v>1</v>
      </c>
      <c r="OT47" s="67">
        <f t="shared" si="474"/>
        <v>0</v>
      </c>
      <c r="OU47" s="67">
        <f t="shared" si="475"/>
        <v>0</v>
      </c>
      <c r="OV47" s="67">
        <f t="shared" si="476"/>
        <v>0</v>
      </c>
      <c r="OW47" s="67">
        <f t="shared" si="477"/>
        <v>0</v>
      </c>
      <c r="OZ47" s="163"/>
      <c r="PA47" s="166"/>
      <c r="PB47" s="166">
        <v>1</v>
      </c>
      <c r="PC47" s="166"/>
      <c r="PD47" s="210">
        <f t="shared" si="125"/>
        <v>1</v>
      </c>
      <c r="PE47" s="210">
        <v>1</v>
      </c>
      <c r="PF47" s="210">
        <f t="shared" si="126"/>
        <v>0</v>
      </c>
      <c r="PG47" s="210">
        <f t="shared" si="127"/>
        <v>0</v>
      </c>
      <c r="PH47" s="210">
        <f t="shared" si="127"/>
        <v>111</v>
      </c>
      <c r="PI47" s="210">
        <f t="shared" si="127"/>
        <v>0</v>
      </c>
      <c r="PJ47" s="210">
        <f t="shared" si="127"/>
        <v>111</v>
      </c>
      <c r="PK47" s="210">
        <f t="shared" si="127"/>
        <v>111</v>
      </c>
      <c r="PL47" s="210">
        <f t="shared" si="127"/>
        <v>0</v>
      </c>
      <c r="PM47" s="164"/>
      <c r="PN47" s="164"/>
      <c r="PO47" s="172">
        <f t="shared" si="642"/>
        <v>0</v>
      </c>
      <c r="PP47" s="172">
        <f t="shared" si="643"/>
        <v>0</v>
      </c>
      <c r="PQ47" s="172">
        <f t="shared" si="644"/>
        <v>0</v>
      </c>
      <c r="PR47" s="164"/>
      <c r="PS47" s="164"/>
      <c r="PT47" s="164"/>
      <c r="PU47" s="164"/>
    </row>
    <row r="48" spans="1:437" ht="16" x14ac:dyDescent="0.2">
      <c r="A48" s="19">
        <f t="shared" si="189"/>
        <v>40</v>
      </c>
      <c r="B48" s="158" t="s">
        <v>682</v>
      </c>
      <c r="C48" s="186">
        <v>16</v>
      </c>
      <c r="D48" s="188">
        <v>1</v>
      </c>
      <c r="E48" s="188">
        <v>27</v>
      </c>
      <c r="F48" s="188">
        <v>1</v>
      </c>
      <c r="G48" s="188">
        <f t="shared" si="478"/>
        <v>27</v>
      </c>
      <c r="H48" s="214">
        <f t="shared" si="487"/>
        <v>1</v>
      </c>
      <c r="I48" s="214">
        <f t="shared" si="488"/>
        <v>1</v>
      </c>
      <c r="J48" s="188">
        <v>1</v>
      </c>
      <c r="K48" s="188">
        <f t="shared" si="489"/>
        <v>27</v>
      </c>
      <c r="L48" s="214">
        <f t="shared" si="490"/>
        <v>1</v>
      </c>
      <c r="M48" s="214">
        <f t="shared" si="491"/>
        <v>1</v>
      </c>
      <c r="N48" s="188">
        <v>1</v>
      </c>
      <c r="O48" s="188">
        <f t="shared" si="492"/>
        <v>27</v>
      </c>
      <c r="P48" s="137">
        <f t="shared" si="493"/>
        <v>1</v>
      </c>
      <c r="Q48" s="137">
        <f t="shared" si="494"/>
        <v>1</v>
      </c>
      <c r="R48" s="20">
        <v>0</v>
      </c>
      <c r="S48" s="20">
        <f t="shared" si="495"/>
        <v>0</v>
      </c>
      <c r="T48" s="137">
        <f t="shared" si="496"/>
        <v>0</v>
      </c>
      <c r="U48" s="137">
        <f t="shared" si="497"/>
        <v>0</v>
      </c>
      <c r="V48" s="20">
        <v>0</v>
      </c>
      <c r="W48" s="20">
        <f t="shared" si="498"/>
        <v>0</v>
      </c>
      <c r="X48" s="137">
        <f t="shared" si="499"/>
        <v>0</v>
      </c>
      <c r="Y48" s="137">
        <f t="shared" si="500"/>
        <v>0</v>
      </c>
      <c r="Z48" s="59">
        <v>0</v>
      </c>
      <c r="AA48" s="20"/>
      <c r="AB48" s="17">
        <f t="shared" si="501"/>
        <v>0</v>
      </c>
      <c r="AC48" s="18">
        <f t="shared" si="502"/>
        <v>0</v>
      </c>
      <c r="AD48" s="18">
        <f t="shared" si="503"/>
        <v>0</v>
      </c>
      <c r="AE48" s="20"/>
      <c r="AF48" s="20">
        <f t="shared" si="504"/>
        <v>0</v>
      </c>
      <c r="AG48" s="20"/>
      <c r="AH48" s="20"/>
      <c r="AI48" s="20">
        <v>0</v>
      </c>
      <c r="AJ48" s="20">
        <f t="shared" si="505"/>
        <v>0</v>
      </c>
      <c r="AK48" s="20"/>
      <c r="AL48" s="20">
        <v>0</v>
      </c>
      <c r="AM48" s="20">
        <v>0</v>
      </c>
      <c r="AN48" s="139">
        <v>1</v>
      </c>
      <c r="BB48" s="20">
        <f t="shared" si="506"/>
        <v>27</v>
      </c>
      <c r="BE48" s="20">
        <f t="shared" si="507"/>
        <v>0</v>
      </c>
      <c r="BF48" s="20">
        <f t="shared" si="508"/>
        <v>0</v>
      </c>
      <c r="BG48" s="20">
        <f t="shared" si="509"/>
        <v>0</v>
      </c>
      <c r="BH48" s="20">
        <f t="shared" si="510"/>
        <v>0</v>
      </c>
      <c r="BI48" s="20">
        <f t="shared" si="511"/>
        <v>0</v>
      </c>
      <c r="BJ48" s="20">
        <f t="shared" si="512"/>
        <v>0</v>
      </c>
      <c r="BK48" s="20">
        <f t="shared" si="513"/>
        <v>0</v>
      </c>
      <c r="BN48" s="143"/>
      <c r="BO48" s="126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B48" s="139"/>
      <c r="CD48" s="17">
        <f t="shared" si="514"/>
        <v>0</v>
      </c>
      <c r="CE48" s="17">
        <f t="shared" si="515"/>
        <v>0</v>
      </c>
      <c r="CF48" s="20">
        <f t="shared" si="516"/>
        <v>0</v>
      </c>
      <c r="CG48" s="20">
        <f t="shared" si="517"/>
        <v>0</v>
      </c>
      <c r="CH48" s="20">
        <f t="shared" si="518"/>
        <v>0</v>
      </c>
      <c r="CI48" s="20">
        <f t="shared" si="519"/>
        <v>0</v>
      </c>
      <c r="CJ48" s="20">
        <f t="shared" si="520"/>
        <v>0</v>
      </c>
      <c r="CK48" s="20">
        <f t="shared" si="521"/>
        <v>0</v>
      </c>
      <c r="CL48" s="20">
        <f t="shared" si="522"/>
        <v>0</v>
      </c>
      <c r="CM48" s="20">
        <f t="shared" si="523"/>
        <v>0</v>
      </c>
      <c r="CN48" s="20">
        <f t="shared" si="524"/>
        <v>0</v>
      </c>
      <c r="CO48" s="20">
        <f t="shared" si="525"/>
        <v>0</v>
      </c>
      <c r="CP48" s="20">
        <f t="shared" si="526"/>
        <v>0</v>
      </c>
      <c r="DV48" s="20">
        <f t="shared" si="527"/>
        <v>0</v>
      </c>
      <c r="DW48" s="20">
        <f t="shared" si="528"/>
        <v>0</v>
      </c>
      <c r="DX48" s="20">
        <f t="shared" si="529"/>
        <v>0</v>
      </c>
      <c r="DY48" s="20">
        <f t="shared" si="530"/>
        <v>0</v>
      </c>
      <c r="DZ48" s="20">
        <f t="shared" si="531"/>
        <v>0</v>
      </c>
      <c r="EA48" s="20">
        <f t="shared" si="532"/>
        <v>0</v>
      </c>
      <c r="EB48" s="20">
        <f t="shared" si="533"/>
        <v>0</v>
      </c>
      <c r="EG48" s="57">
        <f t="shared" si="534"/>
        <v>0</v>
      </c>
      <c r="EH48" s="57">
        <f t="shared" si="535"/>
        <v>0</v>
      </c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X48" s="80"/>
      <c r="FY48" s="17">
        <f t="shared" si="536"/>
        <v>0</v>
      </c>
      <c r="FZ48" s="17">
        <f t="shared" si="537"/>
        <v>0</v>
      </c>
      <c r="GA48" s="17">
        <f t="shared" si="538"/>
        <v>0</v>
      </c>
      <c r="GB48" s="17">
        <f t="shared" si="539"/>
        <v>0</v>
      </c>
      <c r="GC48" s="17">
        <f t="shared" si="540"/>
        <v>0</v>
      </c>
      <c r="GD48" s="17">
        <f t="shared" si="541"/>
        <v>0</v>
      </c>
      <c r="GE48" s="17">
        <f t="shared" si="542"/>
        <v>0</v>
      </c>
      <c r="GF48" s="67"/>
      <c r="GG48" s="17">
        <v>0</v>
      </c>
      <c r="GH48" s="17">
        <v>0</v>
      </c>
      <c r="GI48" s="67"/>
      <c r="GJ48" s="62">
        <f t="shared" si="543"/>
        <v>0</v>
      </c>
      <c r="GK48" s="62">
        <f t="shared" si="544"/>
        <v>0</v>
      </c>
      <c r="GO48" s="17">
        <f t="shared" si="545"/>
        <v>0</v>
      </c>
      <c r="GP48" s="17">
        <f t="shared" si="546"/>
        <v>0</v>
      </c>
      <c r="GQ48" s="17">
        <f t="shared" si="547"/>
        <v>0</v>
      </c>
      <c r="GR48" s="17">
        <f t="shared" si="548"/>
        <v>1</v>
      </c>
      <c r="GS48" s="17">
        <f t="shared" si="549"/>
        <v>1</v>
      </c>
      <c r="GT48" s="17">
        <f t="shared" si="550"/>
        <v>0</v>
      </c>
      <c r="GU48" s="101">
        <f t="shared" si="143"/>
        <v>43243</v>
      </c>
      <c r="GV48" s="17" t="str">
        <f t="shared" si="551"/>
        <v>Musyawarah</v>
      </c>
      <c r="GW48" s="17">
        <f t="shared" si="552"/>
        <v>1</v>
      </c>
      <c r="GX48" s="66" t="str">
        <f t="shared" si="553"/>
        <v>Musyawarah</v>
      </c>
      <c r="GY48" s="66">
        <f t="shared" si="554"/>
        <v>24</v>
      </c>
      <c r="GZ48" s="102">
        <f t="shared" si="555"/>
        <v>43267</v>
      </c>
      <c r="HA48" s="83"/>
      <c r="HB48" s="83"/>
      <c r="HC48" s="17">
        <f t="shared" si="556"/>
        <v>0</v>
      </c>
      <c r="HD48" s="17">
        <f t="shared" si="557"/>
        <v>0</v>
      </c>
      <c r="HE48" s="17">
        <f t="shared" si="558"/>
        <v>0</v>
      </c>
      <c r="HF48" s="17">
        <f t="shared" si="559"/>
        <v>0</v>
      </c>
      <c r="HG48" s="17">
        <f t="shared" si="560"/>
        <v>0</v>
      </c>
      <c r="HH48" s="101" t="str">
        <f t="shared" si="561"/>
        <v>TIDAK KONSINYASI</v>
      </c>
      <c r="HI48" s="101">
        <f t="shared" si="562"/>
        <v>43312</v>
      </c>
      <c r="HJ48" s="27"/>
      <c r="HK48" s="101">
        <f t="shared" si="563"/>
        <v>43312</v>
      </c>
      <c r="HL48" s="83"/>
      <c r="HM48" s="83"/>
      <c r="HN48" s="83"/>
      <c r="HO48" s="83"/>
      <c r="HP48" s="102">
        <f t="shared" si="564"/>
        <v>0</v>
      </c>
      <c r="HQ48" s="66">
        <f t="shared" si="565"/>
        <v>0</v>
      </c>
      <c r="HR48" s="66">
        <f t="shared" si="566"/>
        <v>0</v>
      </c>
      <c r="HS48" s="102">
        <f t="shared" si="567"/>
        <v>0</v>
      </c>
      <c r="HT48" s="66">
        <f t="shared" si="568"/>
        <v>0</v>
      </c>
      <c r="HU48" s="66">
        <f t="shared" si="569"/>
        <v>0</v>
      </c>
      <c r="HV48" s="102">
        <f t="shared" si="570"/>
        <v>0</v>
      </c>
      <c r="HW48" s="66">
        <f t="shared" si="571"/>
        <v>0</v>
      </c>
      <c r="HX48" s="66">
        <f t="shared" si="572"/>
        <v>0</v>
      </c>
      <c r="HY48" s="102">
        <f t="shared" si="573"/>
        <v>0</v>
      </c>
      <c r="HZ48" s="66">
        <f t="shared" si="574"/>
        <v>0</v>
      </c>
      <c r="IA48" s="66">
        <f t="shared" si="575"/>
        <v>0</v>
      </c>
      <c r="IB48" s="102">
        <f t="shared" si="576"/>
        <v>0</v>
      </c>
      <c r="IC48" s="66">
        <f t="shared" si="577"/>
        <v>0</v>
      </c>
      <c r="ID48" s="66">
        <f t="shared" si="578"/>
        <v>0</v>
      </c>
      <c r="IE48" s="102">
        <f t="shared" si="579"/>
        <v>0</v>
      </c>
      <c r="IF48" s="66">
        <f t="shared" si="580"/>
        <v>0</v>
      </c>
      <c r="IG48" s="66">
        <f t="shared" si="581"/>
        <v>0</v>
      </c>
      <c r="IH48" s="102">
        <f t="shared" si="582"/>
        <v>0</v>
      </c>
      <c r="II48" s="66">
        <f t="shared" si="583"/>
        <v>0</v>
      </c>
      <c r="IJ48" s="66">
        <f t="shared" si="584"/>
        <v>0</v>
      </c>
      <c r="IK48" s="102">
        <f t="shared" si="585"/>
        <v>0</v>
      </c>
      <c r="IL48" s="66">
        <f t="shared" si="586"/>
        <v>0</v>
      </c>
      <c r="IM48" s="66">
        <f t="shared" si="587"/>
        <v>0</v>
      </c>
      <c r="IN48" s="83"/>
      <c r="IO48" s="102">
        <f t="shared" si="588"/>
        <v>0</v>
      </c>
      <c r="IP48" s="66">
        <f t="shared" si="589"/>
        <v>0</v>
      </c>
      <c r="IQ48" s="66">
        <f t="shared" si="590"/>
        <v>0</v>
      </c>
      <c r="IR48" s="83"/>
      <c r="IS48" s="102"/>
      <c r="IT48" s="66">
        <f t="shared" si="591"/>
        <v>0</v>
      </c>
      <c r="IU48" s="66">
        <f t="shared" si="592"/>
        <v>0</v>
      </c>
      <c r="IV48" s="83"/>
      <c r="IW48" s="102"/>
      <c r="IX48" s="66">
        <f t="shared" si="593"/>
        <v>0</v>
      </c>
      <c r="IY48" s="66">
        <f t="shared" si="594"/>
        <v>0</v>
      </c>
      <c r="IZ48" s="83"/>
      <c r="JA48" s="102"/>
      <c r="JB48" s="66">
        <f t="shared" si="595"/>
        <v>1</v>
      </c>
      <c r="JC48" s="66">
        <f t="shared" si="596"/>
        <v>27</v>
      </c>
      <c r="JD48" s="83"/>
      <c r="JE48" s="102"/>
      <c r="JF48" s="66">
        <f t="shared" si="597"/>
        <v>1</v>
      </c>
      <c r="JG48" s="66">
        <f t="shared" si="598"/>
        <v>27</v>
      </c>
      <c r="JH48" s="83"/>
      <c r="JI48" s="102"/>
      <c r="JJ48" s="66">
        <f t="shared" si="599"/>
        <v>0</v>
      </c>
      <c r="JK48" s="66">
        <f t="shared" si="600"/>
        <v>0</v>
      </c>
      <c r="JM48" s="102">
        <f t="shared" si="601"/>
        <v>0</v>
      </c>
      <c r="JO48" s="29">
        <f t="shared" si="602"/>
        <v>0</v>
      </c>
      <c r="JP48" s="122">
        <f t="shared" si="603"/>
        <v>0</v>
      </c>
      <c r="JQ48" s="122">
        <f t="shared" si="604"/>
        <v>0</v>
      </c>
      <c r="JR48" s="122">
        <f t="shared" si="605"/>
        <v>0</v>
      </c>
      <c r="JS48" s="122">
        <f t="shared" si="606"/>
        <v>0</v>
      </c>
      <c r="JT48" s="122">
        <f t="shared" si="607"/>
        <v>0</v>
      </c>
      <c r="JU48" s="122">
        <f t="shared" si="608"/>
        <v>0</v>
      </c>
      <c r="JV48" s="122">
        <f t="shared" si="609"/>
        <v>0</v>
      </c>
      <c r="JW48" s="122">
        <f t="shared" si="610"/>
        <v>0</v>
      </c>
      <c r="JX48" s="122">
        <f t="shared" si="611"/>
        <v>0</v>
      </c>
      <c r="JY48" s="122">
        <f t="shared" si="612"/>
        <v>0</v>
      </c>
      <c r="JZ48" s="122">
        <f t="shared" si="613"/>
        <v>0</v>
      </c>
      <c r="KA48" s="122">
        <f t="shared" si="614"/>
        <v>0</v>
      </c>
      <c r="KB48" s="122">
        <f t="shared" si="615"/>
        <v>0</v>
      </c>
      <c r="KD48" s="122">
        <f t="shared" si="616"/>
        <v>0</v>
      </c>
      <c r="KE48" s="122">
        <f t="shared" si="617"/>
        <v>0</v>
      </c>
      <c r="KF48" s="122">
        <f t="shared" si="618"/>
        <v>0</v>
      </c>
      <c r="KG48" s="122">
        <f t="shared" si="619"/>
        <v>0</v>
      </c>
      <c r="KH48" s="122">
        <f t="shared" si="620"/>
        <v>0</v>
      </c>
      <c r="KI48" s="122">
        <f t="shared" si="621"/>
        <v>0</v>
      </c>
      <c r="KJ48" s="122">
        <f t="shared" si="622"/>
        <v>0</v>
      </c>
      <c r="KK48" s="122">
        <f t="shared" si="623"/>
        <v>0</v>
      </c>
      <c r="KL48" s="122">
        <f t="shared" si="624"/>
        <v>0</v>
      </c>
      <c r="KM48" s="122">
        <f t="shared" si="625"/>
        <v>0</v>
      </c>
      <c r="KN48" s="123">
        <f t="shared" si="626"/>
        <v>0</v>
      </c>
      <c r="KO48" s="123">
        <f t="shared" si="627"/>
        <v>0</v>
      </c>
      <c r="KP48" s="123">
        <f t="shared" si="628"/>
        <v>0</v>
      </c>
      <c r="KQ48" s="123">
        <f t="shared" si="629"/>
        <v>0</v>
      </c>
      <c r="KR48" s="123">
        <f t="shared" si="630"/>
        <v>0</v>
      </c>
      <c r="KS48">
        <v>7</v>
      </c>
      <c r="KT48">
        <f t="shared" si="631"/>
        <v>1</v>
      </c>
      <c r="KU48" s="123"/>
      <c r="KV48" s="123"/>
      <c r="KW48" s="123"/>
      <c r="KX48" s="123"/>
      <c r="KY48" s="123"/>
      <c r="KZ48" s="123"/>
      <c r="LA48" s="123"/>
      <c r="LB48" s="123"/>
      <c r="LC48" s="123"/>
      <c r="LD48" s="123"/>
      <c r="LE48" s="123"/>
      <c r="LF48" s="123"/>
      <c r="LG48" s="123"/>
      <c r="LH48" s="123"/>
      <c r="LI48" s="123"/>
      <c r="LJ48" s="123"/>
      <c r="LK48" s="123"/>
      <c r="LL48" s="123"/>
      <c r="LM48" s="123"/>
      <c r="LN48" s="123"/>
      <c r="LO48" s="123"/>
      <c r="LP48" s="123"/>
      <c r="LQ48" s="123"/>
      <c r="LR48" s="123"/>
      <c r="LS48" s="123"/>
      <c r="LT48" s="123"/>
      <c r="LU48" s="123"/>
      <c r="LV48" s="123"/>
      <c r="LW48" s="123"/>
      <c r="LX48" s="123"/>
      <c r="LY48" s="123"/>
      <c r="LZ48" s="123"/>
      <c r="MA48" s="123"/>
      <c r="MB48" s="123"/>
      <c r="MC48" s="123"/>
      <c r="MD48" s="123"/>
      <c r="ME48" s="123"/>
      <c r="MF48" s="123"/>
      <c r="MG48" s="123"/>
      <c r="MH48" s="123"/>
      <c r="MI48" s="123"/>
      <c r="MJ48" s="123"/>
      <c r="MK48" s="123"/>
      <c r="ML48" s="123"/>
      <c r="MM48" s="123"/>
      <c r="MN48" s="123"/>
      <c r="MO48" s="123"/>
      <c r="MP48" s="123"/>
      <c r="MQ48" s="123"/>
      <c r="MR48" s="123"/>
      <c r="MS48" s="123"/>
      <c r="MT48" s="123"/>
      <c r="MU48" s="123"/>
      <c r="MV48" s="123"/>
      <c r="MW48" s="123"/>
      <c r="MX48" s="123"/>
      <c r="MY48" s="123"/>
      <c r="MZ48" s="123"/>
      <c r="NA48" s="123"/>
      <c r="NB48" s="123"/>
      <c r="NC48" s="123"/>
      <c r="ND48" s="123"/>
      <c r="NE48" s="123"/>
      <c r="NF48" s="123"/>
      <c r="NG48" s="123"/>
      <c r="NH48" s="123"/>
      <c r="NI48" s="123"/>
      <c r="NJ48" s="123"/>
      <c r="NK48" s="123"/>
      <c r="NM48">
        <f t="shared" si="632"/>
        <v>0</v>
      </c>
      <c r="NN48">
        <f t="shared" si="633"/>
        <v>0</v>
      </c>
      <c r="NO48">
        <f t="shared" si="634"/>
        <v>0</v>
      </c>
      <c r="NP48">
        <f t="shared" si="635"/>
        <v>0</v>
      </c>
      <c r="NQ48">
        <f t="shared" si="636"/>
        <v>0</v>
      </c>
      <c r="NR48">
        <f t="shared" si="637"/>
        <v>0</v>
      </c>
      <c r="NS48">
        <f t="shared" si="638"/>
        <v>1</v>
      </c>
      <c r="NT48">
        <f t="shared" si="639"/>
        <v>1</v>
      </c>
      <c r="NU48" s="29">
        <f t="shared" si="640"/>
        <v>0</v>
      </c>
      <c r="NY48" s="17">
        <f t="shared" si="641"/>
        <v>0</v>
      </c>
      <c r="OE48" s="155"/>
      <c r="OF48" s="155">
        <f t="shared" si="461"/>
        <v>0</v>
      </c>
      <c r="OG48" s="155">
        <f t="shared" si="462"/>
        <v>1</v>
      </c>
      <c r="OH48" s="155">
        <f t="shared" si="463"/>
        <v>0</v>
      </c>
      <c r="OI48" s="155">
        <f t="shared" si="464"/>
        <v>1</v>
      </c>
      <c r="OJ48" s="67">
        <f t="shared" si="465"/>
        <v>0</v>
      </c>
      <c r="OK48" s="67">
        <f t="shared" si="466"/>
        <v>0</v>
      </c>
      <c r="OL48" s="67">
        <f t="shared" si="467"/>
        <v>0</v>
      </c>
      <c r="OM48" s="67">
        <f t="shared" si="468"/>
        <v>0</v>
      </c>
      <c r="OO48" s="155">
        <f t="shared" si="469"/>
        <v>0</v>
      </c>
      <c r="OP48" s="155">
        <f t="shared" si="470"/>
        <v>0</v>
      </c>
      <c r="OQ48" s="155">
        <f t="shared" si="471"/>
        <v>1</v>
      </c>
      <c r="OR48" s="155">
        <f t="shared" si="472"/>
        <v>0</v>
      </c>
      <c r="OS48" s="155">
        <f t="shared" si="473"/>
        <v>1</v>
      </c>
      <c r="OT48" s="67">
        <f t="shared" si="474"/>
        <v>0</v>
      </c>
      <c r="OU48" s="67">
        <f t="shared" si="475"/>
        <v>0</v>
      </c>
      <c r="OV48" s="67">
        <f t="shared" si="476"/>
        <v>0</v>
      </c>
      <c r="OW48" s="67">
        <f t="shared" si="477"/>
        <v>0</v>
      </c>
      <c r="OZ48" s="163"/>
      <c r="PA48" s="166"/>
      <c r="PB48" s="166">
        <v>1</v>
      </c>
      <c r="PC48" s="166"/>
      <c r="PD48" s="210">
        <f t="shared" si="125"/>
        <v>1</v>
      </c>
      <c r="PE48" s="210">
        <v>1</v>
      </c>
      <c r="PF48" s="210">
        <f t="shared" si="126"/>
        <v>0</v>
      </c>
      <c r="PG48" s="210">
        <f t="shared" si="127"/>
        <v>0</v>
      </c>
      <c r="PH48" s="210">
        <f t="shared" si="127"/>
        <v>27</v>
      </c>
      <c r="PI48" s="210">
        <f t="shared" si="127"/>
        <v>0</v>
      </c>
      <c r="PJ48" s="210">
        <f t="shared" si="127"/>
        <v>27</v>
      </c>
      <c r="PK48" s="210">
        <f t="shared" si="127"/>
        <v>27</v>
      </c>
      <c r="PL48" s="210">
        <f t="shared" si="127"/>
        <v>0</v>
      </c>
      <c r="PM48" s="164"/>
      <c r="PN48" s="164"/>
      <c r="PO48" s="172">
        <f t="shared" si="642"/>
        <v>0</v>
      </c>
      <c r="PP48" s="172">
        <f t="shared" si="643"/>
        <v>0</v>
      </c>
      <c r="PQ48" s="172">
        <f t="shared" si="644"/>
        <v>0</v>
      </c>
      <c r="PR48" s="164"/>
      <c r="PS48" s="164"/>
      <c r="PT48" s="164"/>
      <c r="PU48" s="164"/>
    </row>
    <row r="49" spans="1:437 16383:16384" ht="16" x14ac:dyDescent="0.2">
      <c r="A49" s="19">
        <f t="shared" si="189"/>
        <v>41</v>
      </c>
      <c r="B49" s="158" t="s">
        <v>680</v>
      </c>
      <c r="C49" s="186">
        <v>17</v>
      </c>
      <c r="D49" s="188">
        <v>1</v>
      </c>
      <c r="E49" s="188">
        <v>87</v>
      </c>
      <c r="F49" s="188">
        <v>1</v>
      </c>
      <c r="G49" s="188">
        <f t="shared" si="478"/>
        <v>87</v>
      </c>
      <c r="H49" s="214">
        <f t="shared" si="487"/>
        <v>1</v>
      </c>
      <c r="I49" s="214">
        <f t="shared" si="488"/>
        <v>1</v>
      </c>
      <c r="J49" s="188">
        <v>1</v>
      </c>
      <c r="K49" s="188">
        <f t="shared" si="489"/>
        <v>87</v>
      </c>
      <c r="L49" s="214">
        <f t="shared" si="490"/>
        <v>1</v>
      </c>
      <c r="M49" s="214">
        <f t="shared" si="491"/>
        <v>1</v>
      </c>
      <c r="N49" s="188">
        <v>1</v>
      </c>
      <c r="O49" s="188">
        <f t="shared" si="492"/>
        <v>87</v>
      </c>
      <c r="P49" s="137">
        <f t="shared" si="493"/>
        <v>1</v>
      </c>
      <c r="Q49" s="137">
        <f t="shared" si="494"/>
        <v>1</v>
      </c>
      <c r="R49" s="20">
        <v>0</v>
      </c>
      <c r="S49" s="20">
        <f t="shared" si="495"/>
        <v>0</v>
      </c>
      <c r="T49" s="137">
        <f t="shared" si="496"/>
        <v>0</v>
      </c>
      <c r="U49" s="137">
        <f t="shared" si="497"/>
        <v>0</v>
      </c>
      <c r="V49" s="20">
        <v>0</v>
      </c>
      <c r="W49" s="20">
        <f t="shared" si="498"/>
        <v>0</v>
      </c>
      <c r="X49" s="137">
        <f t="shared" si="499"/>
        <v>0</v>
      </c>
      <c r="Y49" s="137">
        <f t="shared" si="500"/>
        <v>0</v>
      </c>
      <c r="Z49" s="59">
        <v>0</v>
      </c>
      <c r="AA49" s="20"/>
      <c r="AB49" s="17">
        <f t="shared" si="501"/>
        <v>0</v>
      </c>
      <c r="AC49" s="18">
        <f t="shared" si="502"/>
        <v>0</v>
      </c>
      <c r="AD49" s="18">
        <f t="shared" si="503"/>
        <v>0</v>
      </c>
      <c r="AE49" s="20"/>
      <c r="AF49" s="20">
        <f t="shared" si="504"/>
        <v>0</v>
      </c>
      <c r="AG49" s="20"/>
      <c r="AH49" s="20"/>
      <c r="AI49" s="20">
        <v>0</v>
      </c>
      <c r="AJ49" s="20">
        <f t="shared" si="505"/>
        <v>0</v>
      </c>
      <c r="AK49" s="20"/>
      <c r="AL49" s="20">
        <v>0</v>
      </c>
      <c r="AM49" s="20">
        <v>0</v>
      </c>
      <c r="AN49" s="139">
        <v>1</v>
      </c>
      <c r="BB49" s="20">
        <f t="shared" si="506"/>
        <v>87</v>
      </c>
      <c r="BE49" s="20">
        <f t="shared" si="507"/>
        <v>0</v>
      </c>
      <c r="BF49" s="20">
        <f t="shared" si="508"/>
        <v>0</v>
      </c>
      <c r="BG49" s="20">
        <f t="shared" si="509"/>
        <v>0</v>
      </c>
      <c r="BH49" s="20">
        <f t="shared" si="510"/>
        <v>0</v>
      </c>
      <c r="BI49" s="20">
        <f t="shared" si="511"/>
        <v>0</v>
      </c>
      <c r="BJ49" s="20">
        <f t="shared" si="512"/>
        <v>0</v>
      </c>
      <c r="BK49" s="20">
        <f t="shared" si="513"/>
        <v>0</v>
      </c>
      <c r="BN49" s="143"/>
      <c r="BO49" s="126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B49" s="139"/>
      <c r="CD49" s="17">
        <f t="shared" si="514"/>
        <v>0</v>
      </c>
      <c r="CE49" s="17">
        <f t="shared" si="515"/>
        <v>0</v>
      </c>
      <c r="CF49" s="20">
        <f t="shared" si="516"/>
        <v>0</v>
      </c>
      <c r="CG49" s="20">
        <f t="shared" si="517"/>
        <v>0</v>
      </c>
      <c r="CH49" s="20">
        <f t="shared" si="518"/>
        <v>0</v>
      </c>
      <c r="CI49" s="20">
        <f t="shared" si="519"/>
        <v>0</v>
      </c>
      <c r="CJ49" s="20">
        <f t="shared" si="520"/>
        <v>0</v>
      </c>
      <c r="CK49" s="20">
        <f t="shared" si="521"/>
        <v>0</v>
      </c>
      <c r="CL49" s="20">
        <f t="shared" si="522"/>
        <v>0</v>
      </c>
      <c r="CM49" s="20">
        <f t="shared" si="523"/>
        <v>0</v>
      </c>
      <c r="CN49" s="20">
        <f t="shared" si="524"/>
        <v>0</v>
      </c>
      <c r="CO49" s="20">
        <f t="shared" si="525"/>
        <v>0</v>
      </c>
      <c r="CP49" s="20">
        <f t="shared" si="526"/>
        <v>0</v>
      </c>
      <c r="DV49" s="20">
        <f t="shared" si="527"/>
        <v>0</v>
      </c>
      <c r="DW49" s="20">
        <f t="shared" si="528"/>
        <v>0</v>
      </c>
      <c r="DX49" s="20">
        <f t="shared" si="529"/>
        <v>0</v>
      </c>
      <c r="DY49" s="20">
        <f t="shared" si="530"/>
        <v>0</v>
      </c>
      <c r="DZ49" s="20">
        <f t="shared" si="531"/>
        <v>0</v>
      </c>
      <c r="EA49" s="20">
        <f t="shared" si="532"/>
        <v>0</v>
      </c>
      <c r="EB49" s="20">
        <f t="shared" si="533"/>
        <v>0</v>
      </c>
      <c r="EG49" s="57">
        <f t="shared" si="534"/>
        <v>0</v>
      </c>
      <c r="EH49" s="57">
        <f t="shared" si="535"/>
        <v>0</v>
      </c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X49" s="80"/>
      <c r="FY49" s="17">
        <f t="shared" si="536"/>
        <v>0</v>
      </c>
      <c r="FZ49" s="17">
        <f t="shared" si="537"/>
        <v>0</v>
      </c>
      <c r="GA49" s="17">
        <f t="shared" si="538"/>
        <v>0</v>
      </c>
      <c r="GB49" s="17">
        <f t="shared" si="539"/>
        <v>0</v>
      </c>
      <c r="GC49" s="17">
        <f t="shared" si="540"/>
        <v>0</v>
      </c>
      <c r="GD49" s="17">
        <f t="shared" si="541"/>
        <v>0</v>
      </c>
      <c r="GE49" s="17">
        <f t="shared" si="542"/>
        <v>0</v>
      </c>
      <c r="GF49" s="67"/>
      <c r="GG49" s="17">
        <v>0</v>
      </c>
      <c r="GH49" s="17">
        <v>0</v>
      </c>
      <c r="GI49" s="67"/>
      <c r="GJ49" s="62">
        <f t="shared" si="543"/>
        <v>0</v>
      </c>
      <c r="GK49" s="62">
        <f t="shared" si="544"/>
        <v>0</v>
      </c>
      <c r="GO49" s="17">
        <f t="shared" si="545"/>
        <v>0</v>
      </c>
      <c r="GP49" s="17">
        <f t="shared" si="546"/>
        <v>0</v>
      </c>
      <c r="GQ49" s="17">
        <f t="shared" si="547"/>
        <v>0</v>
      </c>
      <c r="GR49" s="17">
        <f t="shared" si="548"/>
        <v>1</v>
      </c>
      <c r="GS49" s="17">
        <f t="shared" si="549"/>
        <v>1</v>
      </c>
      <c r="GT49" s="17">
        <f t="shared" si="550"/>
        <v>0</v>
      </c>
      <c r="GU49" s="101">
        <f t="shared" si="143"/>
        <v>43243</v>
      </c>
      <c r="GV49" s="17" t="str">
        <f t="shared" si="551"/>
        <v>Musyawarah</v>
      </c>
      <c r="GW49" s="17">
        <f t="shared" si="552"/>
        <v>1</v>
      </c>
      <c r="GX49" s="66" t="str">
        <f t="shared" si="553"/>
        <v>Musyawarah</v>
      </c>
      <c r="GY49" s="66">
        <f t="shared" si="554"/>
        <v>24</v>
      </c>
      <c r="GZ49" s="102">
        <f t="shared" si="555"/>
        <v>43267</v>
      </c>
      <c r="HA49" s="83"/>
      <c r="HB49" s="83"/>
      <c r="HC49" s="17">
        <f t="shared" si="556"/>
        <v>0</v>
      </c>
      <c r="HD49" s="17">
        <f t="shared" si="557"/>
        <v>0</v>
      </c>
      <c r="HE49" s="17">
        <f t="shared" si="558"/>
        <v>0</v>
      </c>
      <c r="HF49" s="17">
        <f t="shared" si="559"/>
        <v>0</v>
      </c>
      <c r="HG49" s="17">
        <f t="shared" si="560"/>
        <v>0</v>
      </c>
      <c r="HH49" s="101" t="str">
        <f t="shared" si="561"/>
        <v>TIDAK KONSINYASI</v>
      </c>
      <c r="HI49" s="101">
        <f t="shared" si="562"/>
        <v>43312</v>
      </c>
      <c r="HJ49" s="27"/>
      <c r="HK49" s="101">
        <f t="shared" si="563"/>
        <v>43312</v>
      </c>
      <c r="HL49" s="83"/>
      <c r="HM49" s="83"/>
      <c r="HN49" s="83"/>
      <c r="HO49" s="83"/>
      <c r="HP49" s="102">
        <f t="shared" si="564"/>
        <v>0</v>
      </c>
      <c r="HQ49" s="66">
        <f t="shared" si="565"/>
        <v>0</v>
      </c>
      <c r="HR49" s="66">
        <f t="shared" si="566"/>
        <v>0</v>
      </c>
      <c r="HS49" s="102">
        <f t="shared" si="567"/>
        <v>0</v>
      </c>
      <c r="HT49" s="66">
        <f t="shared" si="568"/>
        <v>0</v>
      </c>
      <c r="HU49" s="66">
        <f t="shared" si="569"/>
        <v>0</v>
      </c>
      <c r="HV49" s="102">
        <f t="shared" si="570"/>
        <v>0</v>
      </c>
      <c r="HW49" s="66">
        <f t="shared" si="571"/>
        <v>0</v>
      </c>
      <c r="HX49" s="66">
        <f t="shared" si="572"/>
        <v>0</v>
      </c>
      <c r="HY49" s="102">
        <f t="shared" si="573"/>
        <v>0</v>
      </c>
      <c r="HZ49" s="66">
        <f t="shared" si="574"/>
        <v>0</v>
      </c>
      <c r="IA49" s="66">
        <f t="shared" si="575"/>
        <v>0</v>
      </c>
      <c r="IB49" s="102">
        <f t="shared" si="576"/>
        <v>0</v>
      </c>
      <c r="IC49" s="66">
        <f t="shared" si="577"/>
        <v>0</v>
      </c>
      <c r="ID49" s="66">
        <f t="shared" si="578"/>
        <v>0</v>
      </c>
      <c r="IE49" s="102">
        <f t="shared" si="579"/>
        <v>0</v>
      </c>
      <c r="IF49" s="66">
        <f t="shared" si="580"/>
        <v>0</v>
      </c>
      <c r="IG49" s="66">
        <f t="shared" si="581"/>
        <v>0</v>
      </c>
      <c r="IH49" s="102">
        <f t="shared" si="582"/>
        <v>0</v>
      </c>
      <c r="II49" s="66">
        <f t="shared" si="583"/>
        <v>0</v>
      </c>
      <c r="IJ49" s="66">
        <f t="shared" si="584"/>
        <v>0</v>
      </c>
      <c r="IK49" s="102">
        <f t="shared" si="585"/>
        <v>0</v>
      </c>
      <c r="IL49" s="66">
        <f t="shared" si="586"/>
        <v>0</v>
      </c>
      <c r="IM49" s="66">
        <f t="shared" si="587"/>
        <v>0</v>
      </c>
      <c r="IN49" s="83"/>
      <c r="IO49" s="102">
        <f t="shared" si="588"/>
        <v>0</v>
      </c>
      <c r="IP49" s="66">
        <f t="shared" si="589"/>
        <v>0</v>
      </c>
      <c r="IQ49" s="66">
        <f t="shared" si="590"/>
        <v>0</v>
      </c>
      <c r="IR49" s="83"/>
      <c r="IS49" s="102"/>
      <c r="IT49" s="66">
        <f t="shared" si="591"/>
        <v>0</v>
      </c>
      <c r="IU49" s="66">
        <f t="shared" si="592"/>
        <v>0</v>
      </c>
      <c r="IV49" s="83"/>
      <c r="IW49" s="102"/>
      <c r="IX49" s="66">
        <f t="shared" si="593"/>
        <v>0</v>
      </c>
      <c r="IY49" s="66">
        <f t="shared" si="594"/>
        <v>0</v>
      </c>
      <c r="IZ49" s="83"/>
      <c r="JA49" s="102"/>
      <c r="JB49" s="66">
        <f t="shared" si="595"/>
        <v>1</v>
      </c>
      <c r="JC49" s="66">
        <f t="shared" si="596"/>
        <v>87</v>
      </c>
      <c r="JD49" s="83"/>
      <c r="JE49" s="102"/>
      <c r="JF49" s="66">
        <f t="shared" si="597"/>
        <v>1</v>
      </c>
      <c r="JG49" s="66">
        <f t="shared" si="598"/>
        <v>87</v>
      </c>
      <c r="JH49" s="83"/>
      <c r="JI49" s="102"/>
      <c r="JJ49" s="66">
        <f t="shared" si="599"/>
        <v>0</v>
      </c>
      <c r="JK49" s="66">
        <f t="shared" si="600"/>
        <v>0</v>
      </c>
      <c r="JM49" s="102">
        <f t="shared" si="601"/>
        <v>0</v>
      </c>
      <c r="JO49" s="29">
        <f t="shared" si="602"/>
        <v>0</v>
      </c>
      <c r="JP49" s="122">
        <f t="shared" si="603"/>
        <v>0</v>
      </c>
      <c r="JQ49" s="122">
        <f t="shared" si="604"/>
        <v>0</v>
      </c>
      <c r="JR49" s="122">
        <f t="shared" si="605"/>
        <v>0</v>
      </c>
      <c r="JS49" s="122">
        <f t="shared" si="606"/>
        <v>0</v>
      </c>
      <c r="JT49" s="122">
        <f t="shared" si="607"/>
        <v>0</v>
      </c>
      <c r="JU49" s="122">
        <f t="shared" si="608"/>
        <v>0</v>
      </c>
      <c r="JV49" s="122">
        <f t="shared" si="609"/>
        <v>0</v>
      </c>
      <c r="JW49" s="122">
        <f t="shared" si="610"/>
        <v>0</v>
      </c>
      <c r="JX49" s="122">
        <f t="shared" si="611"/>
        <v>0</v>
      </c>
      <c r="JY49" s="122">
        <f t="shared" si="612"/>
        <v>0</v>
      </c>
      <c r="JZ49" s="122">
        <f t="shared" si="613"/>
        <v>0</v>
      </c>
      <c r="KA49" s="122">
        <f t="shared" si="614"/>
        <v>0</v>
      </c>
      <c r="KB49" s="122">
        <f t="shared" si="615"/>
        <v>0</v>
      </c>
      <c r="KD49" s="122">
        <f t="shared" si="616"/>
        <v>0</v>
      </c>
      <c r="KE49" s="122">
        <f t="shared" si="617"/>
        <v>0</v>
      </c>
      <c r="KF49" s="122">
        <f t="shared" si="618"/>
        <v>0</v>
      </c>
      <c r="KG49" s="122">
        <f t="shared" si="619"/>
        <v>0</v>
      </c>
      <c r="KH49" s="122">
        <f t="shared" si="620"/>
        <v>0</v>
      </c>
      <c r="KI49" s="122">
        <f t="shared" si="621"/>
        <v>0</v>
      </c>
      <c r="KJ49" s="122">
        <f t="shared" si="622"/>
        <v>0</v>
      </c>
      <c r="KK49" s="122">
        <f t="shared" si="623"/>
        <v>0</v>
      </c>
      <c r="KL49" s="122">
        <f t="shared" si="624"/>
        <v>0</v>
      </c>
      <c r="KM49" s="122">
        <f t="shared" si="625"/>
        <v>0</v>
      </c>
      <c r="KN49" s="123">
        <f t="shared" si="626"/>
        <v>0</v>
      </c>
      <c r="KO49" s="123">
        <f t="shared" si="627"/>
        <v>0</v>
      </c>
      <c r="KP49" s="123">
        <f t="shared" si="628"/>
        <v>0</v>
      </c>
      <c r="KQ49" s="123">
        <f t="shared" si="629"/>
        <v>0</v>
      </c>
      <c r="KR49" s="123">
        <f t="shared" si="630"/>
        <v>0</v>
      </c>
      <c r="KS49">
        <v>7</v>
      </c>
      <c r="KT49">
        <f t="shared" si="631"/>
        <v>1</v>
      </c>
      <c r="KU49" s="123"/>
      <c r="KV49" s="123"/>
      <c r="KW49" s="123"/>
      <c r="KX49" s="123"/>
      <c r="KY49" s="123"/>
      <c r="KZ49" s="123"/>
      <c r="LA49" s="123"/>
      <c r="LB49" s="123"/>
      <c r="LC49" s="123"/>
      <c r="LD49" s="123"/>
      <c r="LE49" s="123"/>
      <c r="LF49" s="123"/>
      <c r="LG49" s="123"/>
      <c r="LH49" s="123"/>
      <c r="LI49" s="123"/>
      <c r="LJ49" s="123"/>
      <c r="LK49" s="123"/>
      <c r="LL49" s="123"/>
      <c r="LM49" s="123"/>
      <c r="LN49" s="123"/>
      <c r="LO49" s="123"/>
      <c r="LP49" s="123"/>
      <c r="LQ49" s="123"/>
      <c r="LR49" s="123"/>
      <c r="LS49" s="123"/>
      <c r="LT49" s="123"/>
      <c r="LU49" s="123"/>
      <c r="LV49" s="123"/>
      <c r="LW49" s="123"/>
      <c r="LX49" s="123"/>
      <c r="LY49" s="123"/>
      <c r="LZ49" s="123"/>
      <c r="MA49" s="123"/>
      <c r="MB49" s="123"/>
      <c r="MC49" s="123"/>
      <c r="MD49" s="123"/>
      <c r="ME49" s="123"/>
      <c r="MF49" s="123"/>
      <c r="MG49" s="123"/>
      <c r="MH49" s="123"/>
      <c r="MI49" s="123"/>
      <c r="MJ49" s="123"/>
      <c r="MK49" s="123"/>
      <c r="ML49" s="123"/>
      <c r="MM49" s="123"/>
      <c r="MN49" s="123"/>
      <c r="MO49" s="123"/>
      <c r="MP49" s="123"/>
      <c r="MQ49" s="123"/>
      <c r="MR49" s="123"/>
      <c r="MS49" s="123"/>
      <c r="MT49" s="123"/>
      <c r="MU49" s="123"/>
      <c r="MV49" s="123"/>
      <c r="MW49" s="123"/>
      <c r="MX49" s="123"/>
      <c r="MY49" s="123"/>
      <c r="MZ49" s="123"/>
      <c r="NA49" s="123"/>
      <c r="NB49" s="123"/>
      <c r="NC49" s="123"/>
      <c r="ND49" s="123"/>
      <c r="NE49" s="123"/>
      <c r="NF49" s="123"/>
      <c r="NG49" s="123"/>
      <c r="NH49" s="123"/>
      <c r="NI49" s="123"/>
      <c r="NJ49" s="123"/>
      <c r="NK49" s="123"/>
      <c r="NM49">
        <f t="shared" si="632"/>
        <v>0</v>
      </c>
      <c r="NN49">
        <f t="shared" si="633"/>
        <v>0</v>
      </c>
      <c r="NO49">
        <f t="shared" si="634"/>
        <v>0</v>
      </c>
      <c r="NP49">
        <f t="shared" si="635"/>
        <v>0</v>
      </c>
      <c r="NQ49">
        <f t="shared" si="636"/>
        <v>0</v>
      </c>
      <c r="NR49">
        <f t="shared" si="637"/>
        <v>0</v>
      </c>
      <c r="NS49">
        <f t="shared" si="638"/>
        <v>1</v>
      </c>
      <c r="NT49">
        <f t="shared" si="639"/>
        <v>1</v>
      </c>
      <c r="NU49" s="29">
        <f t="shared" si="640"/>
        <v>0</v>
      </c>
      <c r="NY49" s="17">
        <f t="shared" si="641"/>
        <v>0</v>
      </c>
      <c r="OE49" s="155"/>
      <c r="OF49" s="155">
        <f t="shared" si="461"/>
        <v>0</v>
      </c>
      <c r="OG49" s="155">
        <f t="shared" si="462"/>
        <v>1</v>
      </c>
      <c r="OH49" s="155">
        <f t="shared" si="463"/>
        <v>0</v>
      </c>
      <c r="OI49" s="155">
        <f t="shared" si="464"/>
        <v>1</v>
      </c>
      <c r="OJ49" s="67">
        <f t="shared" si="465"/>
        <v>0</v>
      </c>
      <c r="OK49" s="67">
        <f t="shared" si="466"/>
        <v>0</v>
      </c>
      <c r="OL49" s="67">
        <f t="shared" si="467"/>
        <v>0</v>
      </c>
      <c r="OM49" s="67">
        <f t="shared" si="468"/>
        <v>0</v>
      </c>
      <c r="OO49" s="155">
        <f t="shared" si="469"/>
        <v>0</v>
      </c>
      <c r="OP49" s="155">
        <f t="shared" si="470"/>
        <v>0</v>
      </c>
      <c r="OQ49" s="155">
        <f t="shared" si="471"/>
        <v>1</v>
      </c>
      <c r="OR49" s="155">
        <f t="shared" si="472"/>
        <v>0</v>
      </c>
      <c r="OS49" s="155">
        <f t="shared" si="473"/>
        <v>1</v>
      </c>
      <c r="OT49" s="67">
        <f t="shared" si="474"/>
        <v>0</v>
      </c>
      <c r="OU49" s="67">
        <f t="shared" si="475"/>
        <v>0</v>
      </c>
      <c r="OV49" s="67">
        <f t="shared" si="476"/>
        <v>0</v>
      </c>
      <c r="OW49" s="67">
        <f t="shared" si="477"/>
        <v>0</v>
      </c>
      <c r="OZ49" s="163"/>
      <c r="PA49" s="166"/>
      <c r="PB49" s="166">
        <v>1</v>
      </c>
      <c r="PC49" s="166"/>
      <c r="PD49" s="210">
        <f t="shared" si="125"/>
        <v>1</v>
      </c>
      <c r="PE49" s="210">
        <v>1</v>
      </c>
      <c r="PF49" s="210">
        <f t="shared" si="126"/>
        <v>0</v>
      </c>
      <c r="PG49" s="210">
        <f t="shared" si="127"/>
        <v>0</v>
      </c>
      <c r="PH49" s="210">
        <f t="shared" si="127"/>
        <v>87</v>
      </c>
      <c r="PI49" s="210">
        <f t="shared" si="127"/>
        <v>0</v>
      </c>
      <c r="PJ49" s="210">
        <f t="shared" si="127"/>
        <v>87</v>
      </c>
      <c r="PK49" s="210">
        <f t="shared" si="127"/>
        <v>87</v>
      </c>
      <c r="PL49" s="210">
        <f t="shared" si="127"/>
        <v>0</v>
      </c>
      <c r="PM49" s="164"/>
      <c r="PN49" s="164"/>
      <c r="PO49" s="172">
        <f t="shared" si="642"/>
        <v>0</v>
      </c>
      <c r="PP49" s="172">
        <f t="shared" si="643"/>
        <v>0</v>
      </c>
      <c r="PQ49" s="172">
        <f t="shared" si="644"/>
        <v>0</v>
      </c>
      <c r="PR49" s="164"/>
      <c r="PS49" s="164"/>
      <c r="PT49" s="164"/>
      <c r="PU49" s="164"/>
    </row>
    <row r="50" spans="1:437 16383:16384" ht="16" x14ac:dyDescent="0.2">
      <c r="A50" s="19">
        <f t="shared" si="189"/>
        <v>42</v>
      </c>
      <c r="B50" s="158" t="s">
        <v>682</v>
      </c>
      <c r="C50" s="186">
        <v>18</v>
      </c>
      <c r="D50" s="188">
        <v>1</v>
      </c>
      <c r="E50" s="188">
        <v>27</v>
      </c>
      <c r="F50" s="188">
        <v>1</v>
      </c>
      <c r="G50" s="188">
        <f t="shared" si="478"/>
        <v>27</v>
      </c>
      <c r="H50" s="214">
        <f t="shared" si="487"/>
        <v>1</v>
      </c>
      <c r="I50" s="214">
        <f t="shared" si="488"/>
        <v>1</v>
      </c>
      <c r="J50" s="188">
        <v>1</v>
      </c>
      <c r="K50" s="188">
        <f t="shared" si="489"/>
        <v>27</v>
      </c>
      <c r="L50" s="214">
        <f t="shared" si="490"/>
        <v>1</v>
      </c>
      <c r="M50" s="214">
        <f t="shared" si="491"/>
        <v>1</v>
      </c>
      <c r="N50" s="188">
        <v>1</v>
      </c>
      <c r="O50" s="188">
        <f t="shared" si="492"/>
        <v>27</v>
      </c>
      <c r="P50" s="137">
        <f t="shared" si="493"/>
        <v>1</v>
      </c>
      <c r="Q50" s="137">
        <f t="shared" si="494"/>
        <v>1</v>
      </c>
      <c r="R50" s="20">
        <v>0</v>
      </c>
      <c r="S50" s="20">
        <f t="shared" si="495"/>
        <v>0</v>
      </c>
      <c r="T50" s="137">
        <f t="shared" si="496"/>
        <v>0</v>
      </c>
      <c r="U50" s="137">
        <f t="shared" si="497"/>
        <v>0</v>
      </c>
      <c r="V50" s="20">
        <v>0</v>
      </c>
      <c r="W50" s="20">
        <f t="shared" si="498"/>
        <v>0</v>
      </c>
      <c r="X50" s="137">
        <f t="shared" si="499"/>
        <v>0</v>
      </c>
      <c r="Y50" s="137">
        <f t="shared" si="500"/>
        <v>0</v>
      </c>
      <c r="Z50" s="59">
        <v>0</v>
      </c>
      <c r="AA50" s="20"/>
      <c r="AB50" s="17">
        <f t="shared" si="501"/>
        <v>0</v>
      </c>
      <c r="AC50" s="18">
        <f t="shared" si="502"/>
        <v>0</v>
      </c>
      <c r="AD50" s="18">
        <f t="shared" si="503"/>
        <v>0</v>
      </c>
      <c r="AE50" s="20"/>
      <c r="AF50" s="20">
        <f t="shared" si="504"/>
        <v>0</v>
      </c>
      <c r="AG50" s="20"/>
      <c r="AH50" s="20"/>
      <c r="AI50" s="20">
        <v>0</v>
      </c>
      <c r="AJ50" s="20">
        <f t="shared" si="505"/>
        <v>0</v>
      </c>
      <c r="AK50" s="20"/>
      <c r="AL50" s="20">
        <v>0</v>
      </c>
      <c r="AM50" s="20">
        <v>0</v>
      </c>
      <c r="AN50" s="139">
        <v>1</v>
      </c>
      <c r="BB50" s="20">
        <f t="shared" si="506"/>
        <v>27</v>
      </c>
      <c r="BE50" s="20">
        <f t="shared" si="507"/>
        <v>0</v>
      </c>
      <c r="BF50" s="20">
        <f t="shared" si="508"/>
        <v>0</v>
      </c>
      <c r="BG50" s="20">
        <f t="shared" si="509"/>
        <v>0</v>
      </c>
      <c r="BH50" s="20">
        <f t="shared" si="510"/>
        <v>0</v>
      </c>
      <c r="BI50" s="20">
        <f t="shared" si="511"/>
        <v>0</v>
      </c>
      <c r="BJ50" s="20">
        <f t="shared" si="512"/>
        <v>0</v>
      </c>
      <c r="BK50" s="20">
        <f t="shared" si="513"/>
        <v>0</v>
      </c>
      <c r="BN50" s="143"/>
      <c r="BO50" s="126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B50" s="139"/>
      <c r="CD50" s="17">
        <f t="shared" si="514"/>
        <v>0</v>
      </c>
      <c r="CE50" s="17">
        <f t="shared" si="515"/>
        <v>0</v>
      </c>
      <c r="CF50" s="20">
        <f t="shared" si="516"/>
        <v>0</v>
      </c>
      <c r="CG50" s="20">
        <f t="shared" si="517"/>
        <v>0</v>
      </c>
      <c r="CH50" s="20">
        <f t="shared" si="518"/>
        <v>0</v>
      </c>
      <c r="CI50" s="20">
        <f t="shared" si="519"/>
        <v>0</v>
      </c>
      <c r="CJ50" s="20">
        <f t="shared" si="520"/>
        <v>0</v>
      </c>
      <c r="CK50" s="20">
        <f t="shared" si="521"/>
        <v>0</v>
      </c>
      <c r="CL50" s="20">
        <f t="shared" si="522"/>
        <v>0</v>
      </c>
      <c r="CM50" s="20">
        <f t="shared" si="523"/>
        <v>0</v>
      </c>
      <c r="CN50" s="20">
        <f t="shared" si="524"/>
        <v>0</v>
      </c>
      <c r="CO50" s="20">
        <f t="shared" si="525"/>
        <v>0</v>
      </c>
      <c r="CP50" s="20">
        <f t="shared" si="526"/>
        <v>0</v>
      </c>
      <c r="DV50" s="20">
        <f t="shared" si="527"/>
        <v>0</v>
      </c>
      <c r="DW50" s="20">
        <f t="shared" si="528"/>
        <v>0</v>
      </c>
      <c r="DX50" s="20">
        <f t="shared" si="529"/>
        <v>0</v>
      </c>
      <c r="DY50" s="20">
        <f t="shared" si="530"/>
        <v>0</v>
      </c>
      <c r="DZ50" s="20">
        <f t="shared" si="531"/>
        <v>0</v>
      </c>
      <c r="EA50" s="20">
        <f t="shared" si="532"/>
        <v>0</v>
      </c>
      <c r="EB50" s="20">
        <f t="shared" si="533"/>
        <v>0</v>
      </c>
      <c r="EG50" s="57">
        <f t="shared" si="534"/>
        <v>0</v>
      </c>
      <c r="EH50" s="57">
        <f t="shared" si="535"/>
        <v>0</v>
      </c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X50" s="80"/>
      <c r="FY50" s="17">
        <f t="shared" si="536"/>
        <v>0</v>
      </c>
      <c r="FZ50" s="17">
        <f t="shared" si="537"/>
        <v>0</v>
      </c>
      <c r="GA50" s="17">
        <f t="shared" si="538"/>
        <v>0</v>
      </c>
      <c r="GB50" s="17">
        <f t="shared" si="539"/>
        <v>0</v>
      </c>
      <c r="GC50" s="17">
        <f t="shared" si="540"/>
        <v>0</v>
      </c>
      <c r="GD50" s="17">
        <f t="shared" si="541"/>
        <v>0</v>
      </c>
      <c r="GE50" s="17">
        <f t="shared" si="542"/>
        <v>0</v>
      </c>
      <c r="GF50" s="67"/>
      <c r="GG50" s="17">
        <v>0</v>
      </c>
      <c r="GH50" s="17">
        <v>0</v>
      </c>
      <c r="GI50" s="67"/>
      <c r="GJ50" s="62">
        <f t="shared" si="543"/>
        <v>0</v>
      </c>
      <c r="GK50" s="62">
        <f t="shared" si="544"/>
        <v>0</v>
      </c>
      <c r="GO50" s="17">
        <f t="shared" si="545"/>
        <v>0</v>
      </c>
      <c r="GP50" s="17">
        <f t="shared" si="546"/>
        <v>0</v>
      </c>
      <c r="GQ50" s="17">
        <f t="shared" si="547"/>
        <v>0</v>
      </c>
      <c r="GR50" s="17">
        <f t="shared" si="548"/>
        <v>1</v>
      </c>
      <c r="GS50" s="17">
        <f t="shared" si="549"/>
        <v>1</v>
      </c>
      <c r="GT50" s="17">
        <f t="shared" si="550"/>
        <v>0</v>
      </c>
      <c r="GU50" s="101">
        <f t="shared" si="143"/>
        <v>43243</v>
      </c>
      <c r="GV50" s="17" t="str">
        <f t="shared" si="551"/>
        <v>Musyawarah</v>
      </c>
      <c r="GW50" s="17">
        <f t="shared" si="552"/>
        <v>1</v>
      </c>
      <c r="GX50" s="66" t="str">
        <f t="shared" si="553"/>
        <v>Musyawarah</v>
      </c>
      <c r="GY50" s="66">
        <f t="shared" si="554"/>
        <v>24</v>
      </c>
      <c r="GZ50" s="102">
        <f t="shared" si="555"/>
        <v>43267</v>
      </c>
      <c r="HA50" s="83"/>
      <c r="HB50" s="83"/>
      <c r="HC50" s="17">
        <f t="shared" si="556"/>
        <v>0</v>
      </c>
      <c r="HD50" s="17">
        <f t="shared" si="557"/>
        <v>0</v>
      </c>
      <c r="HE50" s="17">
        <f t="shared" si="558"/>
        <v>0</v>
      </c>
      <c r="HF50" s="17">
        <f t="shared" si="559"/>
        <v>0</v>
      </c>
      <c r="HG50" s="17">
        <f t="shared" si="560"/>
        <v>0</v>
      </c>
      <c r="HH50" s="101" t="str">
        <f t="shared" si="561"/>
        <v>TIDAK KONSINYASI</v>
      </c>
      <c r="HI50" s="101">
        <f t="shared" si="562"/>
        <v>43312</v>
      </c>
      <c r="HJ50" s="27"/>
      <c r="HK50" s="101">
        <f t="shared" si="563"/>
        <v>43312</v>
      </c>
      <c r="HL50" s="83"/>
      <c r="HM50" s="83"/>
      <c r="HN50" s="83"/>
      <c r="HO50" s="83"/>
      <c r="HP50" s="102">
        <f t="shared" si="564"/>
        <v>0</v>
      </c>
      <c r="HQ50" s="66">
        <f t="shared" si="565"/>
        <v>0</v>
      </c>
      <c r="HR50" s="66">
        <f t="shared" si="566"/>
        <v>0</v>
      </c>
      <c r="HS50" s="102">
        <f t="shared" si="567"/>
        <v>0</v>
      </c>
      <c r="HT50" s="66">
        <f t="shared" si="568"/>
        <v>0</v>
      </c>
      <c r="HU50" s="66">
        <f t="shared" si="569"/>
        <v>0</v>
      </c>
      <c r="HV50" s="102">
        <f t="shared" si="570"/>
        <v>0</v>
      </c>
      <c r="HW50" s="66">
        <f t="shared" si="571"/>
        <v>0</v>
      </c>
      <c r="HX50" s="66">
        <f t="shared" si="572"/>
        <v>0</v>
      </c>
      <c r="HY50" s="102">
        <f t="shared" si="573"/>
        <v>0</v>
      </c>
      <c r="HZ50" s="66">
        <f t="shared" si="574"/>
        <v>0</v>
      </c>
      <c r="IA50" s="66">
        <f t="shared" si="575"/>
        <v>0</v>
      </c>
      <c r="IB50" s="102">
        <f t="shared" si="576"/>
        <v>0</v>
      </c>
      <c r="IC50" s="66">
        <f t="shared" si="577"/>
        <v>0</v>
      </c>
      <c r="ID50" s="66">
        <f t="shared" si="578"/>
        <v>0</v>
      </c>
      <c r="IE50" s="102">
        <f t="shared" si="579"/>
        <v>0</v>
      </c>
      <c r="IF50" s="66">
        <f t="shared" si="580"/>
        <v>0</v>
      </c>
      <c r="IG50" s="66">
        <f t="shared" si="581"/>
        <v>0</v>
      </c>
      <c r="IH50" s="102">
        <f t="shared" si="582"/>
        <v>0</v>
      </c>
      <c r="II50" s="66">
        <f t="shared" si="583"/>
        <v>0</v>
      </c>
      <c r="IJ50" s="66">
        <f t="shared" si="584"/>
        <v>0</v>
      </c>
      <c r="IK50" s="102">
        <f t="shared" si="585"/>
        <v>0</v>
      </c>
      <c r="IL50" s="66">
        <f t="shared" si="586"/>
        <v>0</v>
      </c>
      <c r="IM50" s="66">
        <f t="shared" si="587"/>
        <v>0</v>
      </c>
      <c r="IN50" s="83"/>
      <c r="IO50" s="102">
        <f t="shared" si="588"/>
        <v>0</v>
      </c>
      <c r="IP50" s="66">
        <f t="shared" si="589"/>
        <v>0</v>
      </c>
      <c r="IQ50" s="66">
        <f t="shared" si="590"/>
        <v>0</v>
      </c>
      <c r="IR50" s="83"/>
      <c r="IS50" s="102"/>
      <c r="IT50" s="66">
        <f t="shared" si="591"/>
        <v>0</v>
      </c>
      <c r="IU50" s="66">
        <f t="shared" si="592"/>
        <v>0</v>
      </c>
      <c r="IV50" s="83"/>
      <c r="IW50" s="102"/>
      <c r="IX50" s="66">
        <f t="shared" si="593"/>
        <v>0</v>
      </c>
      <c r="IY50" s="66">
        <f t="shared" si="594"/>
        <v>0</v>
      </c>
      <c r="IZ50" s="83"/>
      <c r="JA50" s="102"/>
      <c r="JB50" s="66">
        <f t="shared" si="595"/>
        <v>1</v>
      </c>
      <c r="JC50" s="66">
        <f t="shared" si="596"/>
        <v>27</v>
      </c>
      <c r="JD50" s="83"/>
      <c r="JE50" s="102"/>
      <c r="JF50" s="66">
        <f t="shared" si="597"/>
        <v>1</v>
      </c>
      <c r="JG50" s="66">
        <f t="shared" si="598"/>
        <v>27</v>
      </c>
      <c r="JH50" s="83"/>
      <c r="JI50" s="102"/>
      <c r="JJ50" s="66">
        <f t="shared" si="599"/>
        <v>0</v>
      </c>
      <c r="JK50" s="66">
        <f t="shared" si="600"/>
        <v>0</v>
      </c>
      <c r="JM50" s="102">
        <f t="shared" si="601"/>
        <v>0</v>
      </c>
      <c r="JO50" s="29">
        <f t="shared" si="602"/>
        <v>0</v>
      </c>
      <c r="JP50" s="122">
        <f t="shared" si="603"/>
        <v>0</v>
      </c>
      <c r="JQ50" s="122">
        <f t="shared" si="604"/>
        <v>0</v>
      </c>
      <c r="JR50" s="122">
        <f t="shared" si="605"/>
        <v>0</v>
      </c>
      <c r="JS50" s="122">
        <f t="shared" si="606"/>
        <v>0</v>
      </c>
      <c r="JT50" s="122">
        <f t="shared" si="607"/>
        <v>0</v>
      </c>
      <c r="JU50" s="122">
        <f t="shared" si="608"/>
        <v>0</v>
      </c>
      <c r="JV50" s="122">
        <f t="shared" si="609"/>
        <v>0</v>
      </c>
      <c r="JW50" s="122">
        <f t="shared" si="610"/>
        <v>0</v>
      </c>
      <c r="JX50" s="122">
        <f t="shared" si="611"/>
        <v>0</v>
      </c>
      <c r="JY50" s="122">
        <f t="shared" si="612"/>
        <v>0</v>
      </c>
      <c r="JZ50" s="122">
        <f t="shared" si="613"/>
        <v>0</v>
      </c>
      <c r="KA50" s="122">
        <f t="shared" si="614"/>
        <v>0</v>
      </c>
      <c r="KB50" s="122">
        <f t="shared" si="615"/>
        <v>0</v>
      </c>
      <c r="KD50" s="122">
        <f t="shared" si="616"/>
        <v>0</v>
      </c>
      <c r="KE50" s="122">
        <f t="shared" si="617"/>
        <v>0</v>
      </c>
      <c r="KF50" s="122">
        <f t="shared" si="618"/>
        <v>0</v>
      </c>
      <c r="KG50" s="122">
        <f t="shared" si="619"/>
        <v>0</v>
      </c>
      <c r="KH50" s="122">
        <f t="shared" si="620"/>
        <v>0</v>
      </c>
      <c r="KI50" s="122">
        <f t="shared" si="621"/>
        <v>0</v>
      </c>
      <c r="KJ50" s="122">
        <f t="shared" si="622"/>
        <v>0</v>
      </c>
      <c r="KK50" s="122">
        <f t="shared" si="623"/>
        <v>0</v>
      </c>
      <c r="KL50" s="122">
        <f t="shared" si="624"/>
        <v>0</v>
      </c>
      <c r="KM50" s="122">
        <f t="shared" si="625"/>
        <v>0</v>
      </c>
      <c r="KN50" s="123">
        <f t="shared" si="626"/>
        <v>0</v>
      </c>
      <c r="KO50" s="123">
        <f t="shared" si="627"/>
        <v>0</v>
      </c>
      <c r="KP50" s="123">
        <f t="shared" si="628"/>
        <v>0</v>
      </c>
      <c r="KQ50" s="123">
        <f t="shared" si="629"/>
        <v>0</v>
      </c>
      <c r="KR50" s="123">
        <f t="shared" si="630"/>
        <v>0</v>
      </c>
      <c r="KS50">
        <v>7</v>
      </c>
      <c r="KT50">
        <f t="shared" si="631"/>
        <v>1</v>
      </c>
      <c r="KU50" s="123"/>
      <c r="KV50" s="123"/>
      <c r="KW50" s="123"/>
      <c r="KX50" s="123"/>
      <c r="KY50" s="123"/>
      <c r="KZ50" s="123"/>
      <c r="LA50" s="123"/>
      <c r="LB50" s="123"/>
      <c r="LC50" s="123"/>
      <c r="LD50" s="123"/>
      <c r="LE50" s="123"/>
      <c r="LF50" s="123"/>
      <c r="LG50" s="123"/>
      <c r="LH50" s="123"/>
      <c r="LI50" s="123"/>
      <c r="LJ50" s="123"/>
      <c r="LK50" s="123"/>
      <c r="LL50" s="123"/>
      <c r="LM50" s="123"/>
      <c r="LN50" s="123"/>
      <c r="LO50" s="123"/>
      <c r="LP50" s="123"/>
      <c r="LQ50" s="123"/>
      <c r="LR50" s="123"/>
      <c r="LS50" s="123"/>
      <c r="LT50" s="123"/>
      <c r="LU50" s="123"/>
      <c r="LV50" s="123"/>
      <c r="LW50" s="123"/>
      <c r="LX50" s="123"/>
      <c r="LY50" s="123"/>
      <c r="LZ50" s="123"/>
      <c r="MA50" s="123"/>
      <c r="MB50" s="123"/>
      <c r="MC50" s="123"/>
      <c r="MD50" s="123"/>
      <c r="ME50" s="123"/>
      <c r="MF50" s="123"/>
      <c r="MG50" s="123"/>
      <c r="MH50" s="123"/>
      <c r="MI50" s="123"/>
      <c r="MJ50" s="123"/>
      <c r="MK50" s="123"/>
      <c r="ML50" s="123"/>
      <c r="MM50" s="123"/>
      <c r="MN50" s="123"/>
      <c r="MO50" s="123"/>
      <c r="MP50" s="123"/>
      <c r="MQ50" s="123"/>
      <c r="MR50" s="123"/>
      <c r="MS50" s="123"/>
      <c r="MT50" s="123"/>
      <c r="MU50" s="123"/>
      <c r="MV50" s="123"/>
      <c r="MW50" s="123"/>
      <c r="MX50" s="123"/>
      <c r="MY50" s="123"/>
      <c r="MZ50" s="123"/>
      <c r="NA50" s="123"/>
      <c r="NB50" s="123"/>
      <c r="NC50" s="123"/>
      <c r="ND50" s="123"/>
      <c r="NE50" s="123"/>
      <c r="NF50" s="123"/>
      <c r="NG50" s="123"/>
      <c r="NH50" s="123"/>
      <c r="NI50" s="123"/>
      <c r="NJ50" s="123"/>
      <c r="NK50" s="123"/>
      <c r="NM50">
        <f t="shared" si="632"/>
        <v>0</v>
      </c>
      <c r="NN50">
        <f t="shared" si="633"/>
        <v>0</v>
      </c>
      <c r="NO50">
        <f t="shared" si="634"/>
        <v>0</v>
      </c>
      <c r="NP50">
        <f t="shared" si="635"/>
        <v>0</v>
      </c>
      <c r="NQ50">
        <f t="shared" si="636"/>
        <v>0</v>
      </c>
      <c r="NR50">
        <f t="shared" si="637"/>
        <v>0</v>
      </c>
      <c r="NS50">
        <f t="shared" si="638"/>
        <v>1</v>
      </c>
      <c r="NT50">
        <f t="shared" si="639"/>
        <v>1</v>
      </c>
      <c r="NU50" s="29">
        <f t="shared" si="640"/>
        <v>0</v>
      </c>
      <c r="NY50" s="17">
        <f t="shared" si="641"/>
        <v>0</v>
      </c>
      <c r="OE50" s="155"/>
      <c r="OF50" s="155">
        <f t="shared" si="461"/>
        <v>0</v>
      </c>
      <c r="OG50" s="155">
        <f t="shared" si="462"/>
        <v>1</v>
      </c>
      <c r="OH50" s="155">
        <f t="shared" si="463"/>
        <v>0</v>
      </c>
      <c r="OI50" s="155">
        <f t="shared" si="464"/>
        <v>1</v>
      </c>
      <c r="OJ50" s="67">
        <f t="shared" si="465"/>
        <v>0</v>
      </c>
      <c r="OK50" s="67">
        <f t="shared" si="466"/>
        <v>0</v>
      </c>
      <c r="OL50" s="67">
        <f t="shared" si="467"/>
        <v>0</v>
      </c>
      <c r="OM50" s="67">
        <f t="shared" si="468"/>
        <v>0</v>
      </c>
      <c r="OO50" s="155">
        <f t="shared" si="469"/>
        <v>0</v>
      </c>
      <c r="OP50" s="155">
        <f t="shared" si="470"/>
        <v>0</v>
      </c>
      <c r="OQ50" s="155">
        <f t="shared" si="471"/>
        <v>1</v>
      </c>
      <c r="OR50" s="155">
        <f t="shared" si="472"/>
        <v>0</v>
      </c>
      <c r="OS50" s="155">
        <f t="shared" si="473"/>
        <v>1</v>
      </c>
      <c r="OT50" s="67">
        <f t="shared" si="474"/>
        <v>0</v>
      </c>
      <c r="OU50" s="67">
        <f t="shared" si="475"/>
        <v>0</v>
      </c>
      <c r="OV50" s="67">
        <f t="shared" si="476"/>
        <v>0</v>
      </c>
      <c r="OW50" s="67">
        <f t="shared" si="477"/>
        <v>0</v>
      </c>
      <c r="OZ50" s="163"/>
      <c r="PA50" s="166"/>
      <c r="PB50" s="166">
        <v>1</v>
      </c>
      <c r="PC50" s="166"/>
      <c r="PD50" s="210">
        <f t="shared" si="125"/>
        <v>1</v>
      </c>
      <c r="PE50" s="210">
        <v>1</v>
      </c>
      <c r="PF50" s="210">
        <f t="shared" si="126"/>
        <v>0</v>
      </c>
      <c r="PG50" s="210">
        <f t="shared" si="127"/>
        <v>0</v>
      </c>
      <c r="PH50" s="210">
        <f t="shared" si="127"/>
        <v>27</v>
      </c>
      <c r="PI50" s="210">
        <f t="shared" si="127"/>
        <v>0</v>
      </c>
      <c r="PJ50" s="210">
        <f t="shared" si="127"/>
        <v>27</v>
      </c>
      <c r="PK50" s="210">
        <f t="shared" si="127"/>
        <v>27</v>
      </c>
      <c r="PL50" s="210">
        <f t="shared" si="127"/>
        <v>0</v>
      </c>
      <c r="PM50" s="164"/>
      <c r="PN50" s="164"/>
      <c r="PO50" s="172">
        <f t="shared" si="642"/>
        <v>0</v>
      </c>
      <c r="PP50" s="172">
        <f t="shared" si="643"/>
        <v>0</v>
      </c>
      <c r="PQ50" s="172">
        <f t="shared" si="644"/>
        <v>0</v>
      </c>
      <c r="PR50" s="164"/>
      <c r="PS50" s="164"/>
      <c r="PT50" s="164"/>
      <c r="PU50" s="164"/>
    </row>
    <row r="51" spans="1:437 16383:16384" ht="16" x14ac:dyDescent="0.2">
      <c r="A51" s="19">
        <f t="shared" si="189"/>
        <v>43</v>
      </c>
      <c r="B51" s="158" t="s">
        <v>695</v>
      </c>
      <c r="C51" s="186">
        <v>19</v>
      </c>
      <c r="D51" s="188">
        <v>1</v>
      </c>
      <c r="E51" s="188">
        <v>23</v>
      </c>
      <c r="F51" s="188">
        <v>1</v>
      </c>
      <c r="G51" s="188">
        <f t="shared" si="478"/>
        <v>23</v>
      </c>
      <c r="H51" s="214">
        <f t="shared" si="487"/>
        <v>1</v>
      </c>
      <c r="I51" s="214">
        <f t="shared" si="488"/>
        <v>1</v>
      </c>
      <c r="J51" s="188">
        <v>1</v>
      </c>
      <c r="K51" s="188">
        <f t="shared" si="489"/>
        <v>23</v>
      </c>
      <c r="L51" s="214">
        <f t="shared" si="490"/>
        <v>1</v>
      </c>
      <c r="M51" s="214">
        <f t="shared" si="491"/>
        <v>1</v>
      </c>
      <c r="N51" s="188">
        <v>1</v>
      </c>
      <c r="O51" s="188">
        <f t="shared" si="492"/>
        <v>23</v>
      </c>
      <c r="P51" s="137">
        <f t="shared" si="493"/>
        <v>1</v>
      </c>
      <c r="Q51" s="137">
        <f t="shared" si="494"/>
        <v>1</v>
      </c>
      <c r="R51" s="20">
        <v>0</v>
      </c>
      <c r="S51" s="20">
        <f t="shared" si="495"/>
        <v>0</v>
      </c>
      <c r="T51" s="137">
        <f t="shared" si="496"/>
        <v>0</v>
      </c>
      <c r="U51" s="137">
        <f t="shared" si="497"/>
        <v>0</v>
      </c>
      <c r="V51" s="20">
        <v>0</v>
      </c>
      <c r="W51" s="20">
        <f t="shared" si="498"/>
        <v>0</v>
      </c>
      <c r="X51" s="137">
        <f t="shared" si="499"/>
        <v>0</v>
      </c>
      <c r="Y51" s="137">
        <f t="shared" si="500"/>
        <v>0</v>
      </c>
      <c r="Z51" s="59">
        <v>0</v>
      </c>
      <c r="AA51" s="20"/>
      <c r="AB51" s="17">
        <f t="shared" si="501"/>
        <v>0</v>
      </c>
      <c r="AC51" s="18">
        <f t="shared" si="502"/>
        <v>0</v>
      </c>
      <c r="AD51" s="18">
        <f t="shared" si="503"/>
        <v>0</v>
      </c>
      <c r="AE51" s="20"/>
      <c r="AF51" s="20">
        <f t="shared" si="504"/>
        <v>0</v>
      </c>
      <c r="AG51" s="20"/>
      <c r="AH51" s="20"/>
      <c r="AI51" s="20">
        <v>0</v>
      </c>
      <c r="AJ51" s="20">
        <f t="shared" si="505"/>
        <v>0</v>
      </c>
      <c r="AK51" s="20"/>
      <c r="AL51" s="20">
        <v>0</v>
      </c>
      <c r="AM51" s="20">
        <v>0</v>
      </c>
      <c r="AN51" s="139">
        <v>1</v>
      </c>
      <c r="BB51" s="20">
        <f t="shared" si="506"/>
        <v>23</v>
      </c>
      <c r="BE51" s="20">
        <f t="shared" si="507"/>
        <v>0</v>
      </c>
      <c r="BF51" s="20">
        <f t="shared" si="508"/>
        <v>0</v>
      </c>
      <c r="BG51" s="20">
        <f t="shared" si="509"/>
        <v>0</v>
      </c>
      <c r="BH51" s="20">
        <f t="shared" si="510"/>
        <v>0</v>
      </c>
      <c r="BI51" s="20">
        <f t="shared" si="511"/>
        <v>0</v>
      </c>
      <c r="BJ51" s="20">
        <f t="shared" si="512"/>
        <v>0</v>
      </c>
      <c r="BK51" s="20">
        <f t="shared" si="513"/>
        <v>0</v>
      </c>
      <c r="BN51" s="143"/>
      <c r="BO51" s="126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B51" s="139"/>
      <c r="CD51" s="17">
        <f t="shared" si="514"/>
        <v>0</v>
      </c>
      <c r="CE51" s="17">
        <f t="shared" si="515"/>
        <v>0</v>
      </c>
      <c r="CF51" s="20">
        <f t="shared" si="516"/>
        <v>0</v>
      </c>
      <c r="CG51" s="20">
        <f t="shared" si="517"/>
        <v>0</v>
      </c>
      <c r="CH51" s="20">
        <f t="shared" si="518"/>
        <v>0</v>
      </c>
      <c r="CI51" s="20">
        <f t="shared" si="519"/>
        <v>0</v>
      </c>
      <c r="CJ51" s="20">
        <f t="shared" si="520"/>
        <v>0</v>
      </c>
      <c r="CK51" s="20">
        <f t="shared" si="521"/>
        <v>0</v>
      </c>
      <c r="CL51" s="20">
        <f t="shared" si="522"/>
        <v>0</v>
      </c>
      <c r="CM51" s="20">
        <f t="shared" si="523"/>
        <v>0</v>
      </c>
      <c r="CN51" s="20">
        <f t="shared" si="524"/>
        <v>0</v>
      </c>
      <c r="CO51" s="20">
        <f t="shared" si="525"/>
        <v>0</v>
      </c>
      <c r="CP51" s="20">
        <f t="shared" si="526"/>
        <v>0</v>
      </c>
      <c r="DV51" s="20">
        <f t="shared" si="527"/>
        <v>0</v>
      </c>
      <c r="DW51" s="20">
        <f t="shared" si="528"/>
        <v>0</v>
      </c>
      <c r="DX51" s="20">
        <f t="shared" si="529"/>
        <v>0</v>
      </c>
      <c r="DY51" s="20">
        <f t="shared" si="530"/>
        <v>0</v>
      </c>
      <c r="DZ51" s="20">
        <f t="shared" si="531"/>
        <v>0</v>
      </c>
      <c r="EA51" s="20">
        <f t="shared" si="532"/>
        <v>0</v>
      </c>
      <c r="EB51" s="20">
        <f t="shared" si="533"/>
        <v>0</v>
      </c>
      <c r="EG51" s="57">
        <f t="shared" si="534"/>
        <v>0</v>
      </c>
      <c r="EH51" s="57">
        <f t="shared" si="535"/>
        <v>0</v>
      </c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X51" s="80"/>
      <c r="FY51" s="17">
        <f t="shared" si="536"/>
        <v>0</v>
      </c>
      <c r="FZ51" s="17">
        <f t="shared" si="537"/>
        <v>0</v>
      </c>
      <c r="GA51" s="17">
        <f t="shared" si="538"/>
        <v>0</v>
      </c>
      <c r="GB51" s="17">
        <f t="shared" si="539"/>
        <v>0</v>
      </c>
      <c r="GC51" s="17">
        <f t="shared" si="540"/>
        <v>0</v>
      </c>
      <c r="GD51" s="17">
        <f t="shared" si="541"/>
        <v>0</v>
      </c>
      <c r="GE51" s="17">
        <f t="shared" si="542"/>
        <v>0</v>
      </c>
      <c r="GF51" s="67"/>
      <c r="GG51" s="17">
        <v>0</v>
      </c>
      <c r="GH51" s="17">
        <v>0</v>
      </c>
      <c r="GI51" s="67"/>
      <c r="GJ51" s="62">
        <f t="shared" si="543"/>
        <v>0</v>
      </c>
      <c r="GK51" s="62">
        <f t="shared" si="544"/>
        <v>0</v>
      </c>
      <c r="GO51" s="17">
        <f t="shared" si="545"/>
        <v>0</v>
      </c>
      <c r="GP51" s="17">
        <f t="shared" si="546"/>
        <v>0</v>
      </c>
      <c r="GQ51" s="17">
        <f t="shared" si="547"/>
        <v>0</v>
      </c>
      <c r="GR51" s="17">
        <f t="shared" si="548"/>
        <v>1</v>
      </c>
      <c r="GS51" s="17">
        <f t="shared" si="549"/>
        <v>1</v>
      </c>
      <c r="GT51" s="17">
        <f t="shared" si="550"/>
        <v>0</v>
      </c>
      <c r="GU51" s="101">
        <f t="shared" si="143"/>
        <v>43243</v>
      </c>
      <c r="GV51" s="17" t="str">
        <f t="shared" si="551"/>
        <v>Musyawarah</v>
      </c>
      <c r="GW51" s="17">
        <f t="shared" si="552"/>
        <v>1</v>
      </c>
      <c r="GX51" s="66" t="str">
        <f t="shared" si="553"/>
        <v>Musyawarah</v>
      </c>
      <c r="GY51" s="66">
        <f t="shared" si="554"/>
        <v>24</v>
      </c>
      <c r="GZ51" s="102">
        <f t="shared" si="555"/>
        <v>43267</v>
      </c>
      <c r="HA51" s="83"/>
      <c r="HB51" s="83"/>
      <c r="HC51" s="17">
        <f t="shared" si="556"/>
        <v>0</v>
      </c>
      <c r="HD51" s="17">
        <f t="shared" si="557"/>
        <v>0</v>
      </c>
      <c r="HE51" s="17">
        <f t="shared" si="558"/>
        <v>0</v>
      </c>
      <c r="HF51" s="17">
        <f t="shared" si="559"/>
        <v>0</v>
      </c>
      <c r="HG51" s="17">
        <f t="shared" si="560"/>
        <v>0</v>
      </c>
      <c r="HH51" s="101" t="str">
        <f t="shared" si="561"/>
        <v>TIDAK KONSINYASI</v>
      </c>
      <c r="HI51" s="101">
        <f t="shared" si="562"/>
        <v>43312</v>
      </c>
      <c r="HJ51" s="27"/>
      <c r="HK51" s="101">
        <f t="shared" si="563"/>
        <v>43312</v>
      </c>
      <c r="HL51" s="83"/>
      <c r="HM51" s="83"/>
      <c r="HN51" s="83"/>
      <c r="HO51" s="83"/>
      <c r="HP51" s="102">
        <f t="shared" si="564"/>
        <v>0</v>
      </c>
      <c r="HQ51" s="66">
        <f t="shared" si="565"/>
        <v>0</v>
      </c>
      <c r="HR51" s="66">
        <f t="shared" si="566"/>
        <v>0</v>
      </c>
      <c r="HS51" s="102">
        <f t="shared" si="567"/>
        <v>0</v>
      </c>
      <c r="HT51" s="66">
        <f t="shared" si="568"/>
        <v>0</v>
      </c>
      <c r="HU51" s="66">
        <f t="shared" si="569"/>
        <v>0</v>
      </c>
      <c r="HV51" s="102">
        <f t="shared" si="570"/>
        <v>0</v>
      </c>
      <c r="HW51" s="66">
        <f t="shared" si="571"/>
        <v>0</v>
      </c>
      <c r="HX51" s="66">
        <f t="shared" si="572"/>
        <v>0</v>
      </c>
      <c r="HY51" s="102">
        <f t="shared" si="573"/>
        <v>0</v>
      </c>
      <c r="HZ51" s="66">
        <f t="shared" si="574"/>
        <v>0</v>
      </c>
      <c r="IA51" s="66">
        <f t="shared" si="575"/>
        <v>0</v>
      </c>
      <c r="IB51" s="102">
        <f t="shared" si="576"/>
        <v>0</v>
      </c>
      <c r="IC51" s="66">
        <f t="shared" si="577"/>
        <v>0</v>
      </c>
      <c r="ID51" s="66">
        <f t="shared" si="578"/>
        <v>0</v>
      </c>
      <c r="IE51" s="102">
        <f t="shared" si="579"/>
        <v>0</v>
      </c>
      <c r="IF51" s="66">
        <f t="shared" si="580"/>
        <v>0</v>
      </c>
      <c r="IG51" s="66">
        <f t="shared" si="581"/>
        <v>0</v>
      </c>
      <c r="IH51" s="102">
        <f t="shared" si="582"/>
        <v>0</v>
      </c>
      <c r="II51" s="66">
        <f t="shared" si="583"/>
        <v>0</v>
      </c>
      <c r="IJ51" s="66">
        <f t="shared" si="584"/>
        <v>0</v>
      </c>
      <c r="IK51" s="102">
        <f t="shared" si="585"/>
        <v>0</v>
      </c>
      <c r="IL51" s="66">
        <f t="shared" si="586"/>
        <v>0</v>
      </c>
      <c r="IM51" s="66">
        <f t="shared" si="587"/>
        <v>0</v>
      </c>
      <c r="IN51" s="83"/>
      <c r="IO51" s="102">
        <f t="shared" si="588"/>
        <v>0</v>
      </c>
      <c r="IP51" s="66">
        <f t="shared" si="589"/>
        <v>0</v>
      </c>
      <c r="IQ51" s="66">
        <f t="shared" si="590"/>
        <v>0</v>
      </c>
      <c r="IR51" s="83"/>
      <c r="IS51" s="102"/>
      <c r="IT51" s="66">
        <f t="shared" si="591"/>
        <v>0</v>
      </c>
      <c r="IU51" s="66">
        <f t="shared" si="592"/>
        <v>0</v>
      </c>
      <c r="IV51" s="83"/>
      <c r="IW51" s="102"/>
      <c r="IX51" s="66">
        <f t="shared" si="593"/>
        <v>0</v>
      </c>
      <c r="IY51" s="66">
        <f t="shared" si="594"/>
        <v>0</v>
      </c>
      <c r="IZ51" s="83"/>
      <c r="JA51" s="102"/>
      <c r="JB51" s="66">
        <f t="shared" si="595"/>
        <v>1</v>
      </c>
      <c r="JC51" s="66">
        <f t="shared" si="596"/>
        <v>23</v>
      </c>
      <c r="JD51" s="83"/>
      <c r="JE51" s="102"/>
      <c r="JF51" s="66">
        <f t="shared" si="597"/>
        <v>1</v>
      </c>
      <c r="JG51" s="66">
        <f t="shared" si="598"/>
        <v>23</v>
      </c>
      <c r="JH51" s="83"/>
      <c r="JI51" s="102"/>
      <c r="JJ51" s="66">
        <f t="shared" si="599"/>
        <v>0</v>
      </c>
      <c r="JK51" s="66">
        <f t="shared" si="600"/>
        <v>0</v>
      </c>
      <c r="JM51" s="102">
        <f t="shared" si="601"/>
        <v>0</v>
      </c>
      <c r="JO51" s="29">
        <f t="shared" si="602"/>
        <v>0</v>
      </c>
      <c r="JP51" s="122">
        <f t="shared" si="603"/>
        <v>0</v>
      </c>
      <c r="JQ51" s="122">
        <f t="shared" si="604"/>
        <v>0</v>
      </c>
      <c r="JR51" s="122">
        <f t="shared" si="605"/>
        <v>0</v>
      </c>
      <c r="JS51" s="122">
        <f t="shared" si="606"/>
        <v>0</v>
      </c>
      <c r="JT51" s="122">
        <f t="shared" si="607"/>
        <v>0</v>
      </c>
      <c r="JU51" s="122">
        <f t="shared" si="608"/>
        <v>0</v>
      </c>
      <c r="JV51" s="122">
        <f t="shared" si="609"/>
        <v>0</v>
      </c>
      <c r="JW51" s="122">
        <f t="shared" si="610"/>
        <v>0</v>
      </c>
      <c r="JX51" s="122">
        <f t="shared" si="611"/>
        <v>0</v>
      </c>
      <c r="JY51" s="122">
        <f t="shared" si="612"/>
        <v>0</v>
      </c>
      <c r="JZ51" s="122">
        <f t="shared" si="613"/>
        <v>0</v>
      </c>
      <c r="KA51" s="122">
        <f t="shared" si="614"/>
        <v>0</v>
      </c>
      <c r="KB51" s="122">
        <f t="shared" si="615"/>
        <v>0</v>
      </c>
      <c r="KD51" s="122">
        <f t="shared" si="616"/>
        <v>0</v>
      </c>
      <c r="KE51" s="122">
        <f t="shared" si="617"/>
        <v>0</v>
      </c>
      <c r="KF51" s="122">
        <f t="shared" si="618"/>
        <v>0</v>
      </c>
      <c r="KG51" s="122">
        <f t="shared" si="619"/>
        <v>0</v>
      </c>
      <c r="KH51" s="122">
        <f t="shared" si="620"/>
        <v>0</v>
      </c>
      <c r="KI51" s="122">
        <f t="shared" si="621"/>
        <v>0</v>
      </c>
      <c r="KJ51" s="122">
        <f t="shared" si="622"/>
        <v>0</v>
      </c>
      <c r="KK51" s="122">
        <f t="shared" si="623"/>
        <v>0</v>
      </c>
      <c r="KL51" s="122">
        <f t="shared" si="624"/>
        <v>0</v>
      </c>
      <c r="KM51" s="122">
        <f t="shared" si="625"/>
        <v>0</v>
      </c>
      <c r="KN51" s="123">
        <f t="shared" si="626"/>
        <v>0</v>
      </c>
      <c r="KO51" s="123">
        <f t="shared" si="627"/>
        <v>0</v>
      </c>
      <c r="KP51" s="123">
        <f t="shared" si="628"/>
        <v>0</v>
      </c>
      <c r="KQ51" s="123">
        <f t="shared" si="629"/>
        <v>0</v>
      </c>
      <c r="KR51" s="123">
        <f t="shared" si="630"/>
        <v>0</v>
      </c>
      <c r="KS51">
        <v>7</v>
      </c>
      <c r="KT51">
        <f t="shared" si="631"/>
        <v>1</v>
      </c>
      <c r="KU51" s="123"/>
      <c r="KV51" s="123"/>
      <c r="KW51" s="123"/>
      <c r="KX51" s="123"/>
      <c r="KY51" s="123"/>
      <c r="KZ51" s="123"/>
      <c r="LA51" s="123"/>
      <c r="LB51" s="123"/>
      <c r="LC51" s="123"/>
      <c r="LD51" s="123"/>
      <c r="LE51" s="123"/>
      <c r="LF51" s="123"/>
      <c r="LG51" s="123"/>
      <c r="LH51" s="123"/>
      <c r="LI51" s="123"/>
      <c r="LJ51" s="123"/>
      <c r="LK51" s="123"/>
      <c r="LL51" s="123"/>
      <c r="LM51" s="123"/>
      <c r="LN51" s="123"/>
      <c r="LO51" s="123"/>
      <c r="LP51" s="123"/>
      <c r="LQ51" s="123"/>
      <c r="LR51" s="123"/>
      <c r="LS51" s="123"/>
      <c r="LT51" s="123"/>
      <c r="LU51" s="123"/>
      <c r="LV51" s="123"/>
      <c r="LW51" s="123"/>
      <c r="LX51" s="123"/>
      <c r="LY51" s="123"/>
      <c r="LZ51" s="123"/>
      <c r="MA51" s="123"/>
      <c r="MB51" s="123"/>
      <c r="MC51" s="123"/>
      <c r="MD51" s="123"/>
      <c r="ME51" s="123"/>
      <c r="MF51" s="123"/>
      <c r="MG51" s="123"/>
      <c r="MH51" s="123"/>
      <c r="MI51" s="123"/>
      <c r="MJ51" s="123"/>
      <c r="MK51" s="123"/>
      <c r="ML51" s="123"/>
      <c r="MM51" s="123"/>
      <c r="MN51" s="123"/>
      <c r="MO51" s="123"/>
      <c r="MP51" s="123"/>
      <c r="MQ51" s="123"/>
      <c r="MR51" s="123"/>
      <c r="MS51" s="123"/>
      <c r="MT51" s="123"/>
      <c r="MU51" s="123"/>
      <c r="MV51" s="123"/>
      <c r="MW51" s="123"/>
      <c r="MX51" s="123"/>
      <c r="MY51" s="123"/>
      <c r="MZ51" s="123"/>
      <c r="NA51" s="123"/>
      <c r="NB51" s="123"/>
      <c r="NC51" s="123"/>
      <c r="ND51" s="123"/>
      <c r="NE51" s="123"/>
      <c r="NF51" s="123"/>
      <c r="NG51" s="123"/>
      <c r="NH51" s="123"/>
      <c r="NI51" s="123"/>
      <c r="NJ51" s="123"/>
      <c r="NK51" s="123"/>
      <c r="NM51">
        <f t="shared" si="632"/>
        <v>0</v>
      </c>
      <c r="NN51">
        <f t="shared" si="633"/>
        <v>0</v>
      </c>
      <c r="NO51">
        <f t="shared" si="634"/>
        <v>0</v>
      </c>
      <c r="NP51">
        <f t="shared" si="635"/>
        <v>0</v>
      </c>
      <c r="NQ51">
        <f t="shared" si="636"/>
        <v>0</v>
      </c>
      <c r="NR51">
        <f t="shared" si="637"/>
        <v>0</v>
      </c>
      <c r="NS51">
        <f t="shared" si="638"/>
        <v>1</v>
      </c>
      <c r="NT51">
        <f t="shared" si="639"/>
        <v>1</v>
      </c>
      <c r="NU51" s="29">
        <f t="shared" si="640"/>
        <v>0</v>
      </c>
      <c r="NY51" s="17">
        <f t="shared" si="641"/>
        <v>0</v>
      </c>
      <c r="OE51" s="155"/>
      <c r="OF51" s="155">
        <f t="shared" si="461"/>
        <v>0</v>
      </c>
      <c r="OG51" s="155">
        <f t="shared" si="462"/>
        <v>1</v>
      </c>
      <c r="OH51" s="155">
        <f t="shared" si="463"/>
        <v>0</v>
      </c>
      <c r="OI51" s="155">
        <f t="shared" si="464"/>
        <v>1</v>
      </c>
      <c r="OJ51" s="67">
        <f t="shared" si="465"/>
        <v>0</v>
      </c>
      <c r="OK51" s="67">
        <f t="shared" si="466"/>
        <v>0</v>
      </c>
      <c r="OL51" s="67">
        <f t="shared" si="467"/>
        <v>0</v>
      </c>
      <c r="OM51" s="67">
        <f t="shared" si="468"/>
        <v>0</v>
      </c>
      <c r="OO51" s="155">
        <f t="shared" si="469"/>
        <v>0</v>
      </c>
      <c r="OP51" s="155">
        <f t="shared" si="470"/>
        <v>0</v>
      </c>
      <c r="OQ51" s="155">
        <f t="shared" si="471"/>
        <v>1</v>
      </c>
      <c r="OR51" s="155">
        <f t="shared" si="472"/>
        <v>0</v>
      </c>
      <c r="OS51" s="155">
        <f t="shared" si="473"/>
        <v>1</v>
      </c>
      <c r="OT51" s="67">
        <f t="shared" si="474"/>
        <v>0</v>
      </c>
      <c r="OU51" s="67">
        <f t="shared" si="475"/>
        <v>0</v>
      </c>
      <c r="OV51" s="67">
        <f t="shared" si="476"/>
        <v>0</v>
      </c>
      <c r="OW51" s="67">
        <f t="shared" si="477"/>
        <v>0</v>
      </c>
      <c r="OZ51" s="163"/>
      <c r="PA51" s="166">
        <v>1</v>
      </c>
      <c r="PB51" s="166"/>
      <c r="PC51" s="166"/>
      <c r="PD51" s="210">
        <f t="shared" si="125"/>
        <v>0</v>
      </c>
      <c r="PE51" s="210"/>
      <c r="PF51" s="210">
        <f t="shared" si="126"/>
        <v>0</v>
      </c>
      <c r="PG51" s="210">
        <f t="shared" si="127"/>
        <v>23</v>
      </c>
      <c r="PH51" s="210">
        <f t="shared" si="127"/>
        <v>0</v>
      </c>
      <c r="PI51" s="210">
        <f t="shared" si="127"/>
        <v>0</v>
      </c>
      <c r="PJ51" s="210">
        <f t="shared" ref="PJ51:PL59" si="645">IF(PD51=1,$BB51,0)</f>
        <v>0</v>
      </c>
      <c r="PK51" s="210">
        <f t="shared" si="645"/>
        <v>0</v>
      </c>
      <c r="PL51" s="210">
        <f t="shared" si="645"/>
        <v>0</v>
      </c>
      <c r="PM51" s="164"/>
      <c r="PN51" s="164"/>
      <c r="PO51" s="172">
        <f t="shared" si="642"/>
        <v>0</v>
      </c>
      <c r="PP51" s="172">
        <f t="shared" si="643"/>
        <v>0</v>
      </c>
      <c r="PQ51" s="172">
        <f t="shared" si="644"/>
        <v>0</v>
      </c>
      <c r="PR51" s="164"/>
      <c r="PS51" s="164"/>
      <c r="PT51" s="164"/>
      <c r="PU51" s="164"/>
    </row>
    <row r="52" spans="1:437 16383:16384" ht="16" x14ac:dyDescent="0.2">
      <c r="A52" s="19">
        <f t="shared" si="189"/>
        <v>44</v>
      </c>
      <c r="B52" s="158" t="s">
        <v>680</v>
      </c>
      <c r="C52" s="186">
        <v>20</v>
      </c>
      <c r="D52" s="188">
        <v>1</v>
      </c>
      <c r="E52" s="188">
        <v>552</v>
      </c>
      <c r="F52" s="188">
        <v>1</v>
      </c>
      <c r="G52" s="188">
        <f t="shared" si="478"/>
        <v>552</v>
      </c>
      <c r="H52" s="214">
        <f t="shared" si="487"/>
        <v>1</v>
      </c>
      <c r="I52" s="214">
        <f t="shared" si="488"/>
        <v>1</v>
      </c>
      <c r="J52" s="188">
        <v>1</v>
      </c>
      <c r="K52" s="188">
        <f t="shared" si="489"/>
        <v>552</v>
      </c>
      <c r="L52" s="214">
        <f t="shared" si="490"/>
        <v>1</v>
      </c>
      <c r="M52" s="214">
        <f t="shared" si="491"/>
        <v>1</v>
      </c>
      <c r="N52" s="188">
        <v>1</v>
      </c>
      <c r="O52" s="188">
        <f t="shared" si="492"/>
        <v>552</v>
      </c>
      <c r="P52" s="137">
        <f t="shared" si="493"/>
        <v>1</v>
      </c>
      <c r="Q52" s="137">
        <f t="shared" si="494"/>
        <v>1</v>
      </c>
      <c r="R52" s="20">
        <v>0</v>
      </c>
      <c r="S52" s="20">
        <f t="shared" si="495"/>
        <v>0</v>
      </c>
      <c r="T52" s="137">
        <f t="shared" si="496"/>
        <v>0</v>
      </c>
      <c r="U52" s="137">
        <f t="shared" si="497"/>
        <v>0</v>
      </c>
      <c r="V52" s="20">
        <v>0</v>
      </c>
      <c r="W52" s="20">
        <f t="shared" si="498"/>
        <v>0</v>
      </c>
      <c r="X52" s="137">
        <f t="shared" si="499"/>
        <v>0</v>
      </c>
      <c r="Y52" s="137">
        <f t="shared" si="500"/>
        <v>0</v>
      </c>
      <c r="Z52" s="59">
        <v>0</v>
      </c>
      <c r="AA52" s="20"/>
      <c r="AB52" s="17">
        <f t="shared" si="501"/>
        <v>0</v>
      </c>
      <c r="AC52" s="18">
        <f t="shared" si="502"/>
        <v>0</v>
      </c>
      <c r="AD52" s="18">
        <f t="shared" si="503"/>
        <v>0</v>
      </c>
      <c r="AE52" s="20"/>
      <c r="AF52" s="20">
        <f t="shared" si="504"/>
        <v>0</v>
      </c>
      <c r="AG52" s="20"/>
      <c r="AH52" s="20"/>
      <c r="AI52" s="20">
        <v>0</v>
      </c>
      <c r="AJ52" s="20">
        <f t="shared" si="505"/>
        <v>0</v>
      </c>
      <c r="AK52" s="20"/>
      <c r="AL52" s="20">
        <v>0</v>
      </c>
      <c r="AM52" s="20">
        <v>0</v>
      </c>
      <c r="AN52" s="139">
        <v>1</v>
      </c>
      <c r="BB52" s="20">
        <f t="shared" si="506"/>
        <v>552</v>
      </c>
      <c r="BE52" s="20">
        <f t="shared" si="507"/>
        <v>0</v>
      </c>
      <c r="BF52" s="20">
        <f t="shared" si="508"/>
        <v>0</v>
      </c>
      <c r="BG52" s="20">
        <f t="shared" si="509"/>
        <v>0</v>
      </c>
      <c r="BH52" s="20">
        <f t="shared" si="510"/>
        <v>0</v>
      </c>
      <c r="BI52" s="20">
        <f t="shared" si="511"/>
        <v>0</v>
      </c>
      <c r="BJ52" s="20">
        <f t="shared" si="512"/>
        <v>0</v>
      </c>
      <c r="BK52" s="20">
        <f t="shared" si="513"/>
        <v>0</v>
      </c>
      <c r="BN52" s="143"/>
      <c r="BO52" s="126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B52" s="139"/>
      <c r="CD52" s="17">
        <f t="shared" si="514"/>
        <v>0</v>
      </c>
      <c r="CE52" s="17">
        <f t="shared" si="515"/>
        <v>0</v>
      </c>
      <c r="CF52" s="20">
        <f t="shared" si="516"/>
        <v>0</v>
      </c>
      <c r="CG52" s="20">
        <f t="shared" si="517"/>
        <v>0</v>
      </c>
      <c r="CH52" s="20">
        <f t="shared" si="518"/>
        <v>0</v>
      </c>
      <c r="CI52" s="20">
        <f t="shared" si="519"/>
        <v>0</v>
      </c>
      <c r="CJ52" s="20">
        <f t="shared" si="520"/>
        <v>0</v>
      </c>
      <c r="CK52" s="20">
        <f t="shared" si="521"/>
        <v>0</v>
      </c>
      <c r="CL52" s="20">
        <f t="shared" si="522"/>
        <v>0</v>
      </c>
      <c r="CM52" s="20">
        <f t="shared" si="523"/>
        <v>0</v>
      </c>
      <c r="CN52" s="20">
        <f t="shared" si="524"/>
        <v>0</v>
      </c>
      <c r="CO52" s="20">
        <f t="shared" si="525"/>
        <v>0</v>
      </c>
      <c r="CP52" s="20">
        <f t="shared" si="526"/>
        <v>0</v>
      </c>
      <c r="DV52" s="20">
        <f t="shared" si="527"/>
        <v>0</v>
      </c>
      <c r="DW52" s="20">
        <f t="shared" si="528"/>
        <v>0</v>
      </c>
      <c r="DX52" s="20">
        <f t="shared" si="529"/>
        <v>0</v>
      </c>
      <c r="DY52" s="20">
        <f t="shared" si="530"/>
        <v>0</v>
      </c>
      <c r="DZ52" s="20">
        <f t="shared" si="531"/>
        <v>0</v>
      </c>
      <c r="EA52" s="20">
        <f t="shared" si="532"/>
        <v>0</v>
      </c>
      <c r="EB52" s="20">
        <f t="shared" si="533"/>
        <v>0</v>
      </c>
      <c r="EG52" s="57">
        <f t="shared" si="534"/>
        <v>0</v>
      </c>
      <c r="EH52" s="57">
        <f t="shared" si="535"/>
        <v>0</v>
      </c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X52" s="80"/>
      <c r="FY52" s="17">
        <f t="shared" si="536"/>
        <v>0</v>
      </c>
      <c r="FZ52" s="17">
        <f t="shared" si="537"/>
        <v>0</v>
      </c>
      <c r="GA52" s="17">
        <f t="shared" si="538"/>
        <v>0</v>
      </c>
      <c r="GB52" s="17">
        <f t="shared" si="539"/>
        <v>0</v>
      </c>
      <c r="GC52" s="17">
        <f t="shared" si="540"/>
        <v>0</v>
      </c>
      <c r="GD52" s="17">
        <f t="shared" si="541"/>
        <v>0</v>
      </c>
      <c r="GE52" s="17">
        <f t="shared" si="542"/>
        <v>0</v>
      </c>
      <c r="GF52" s="67"/>
      <c r="GG52" s="17">
        <v>0</v>
      </c>
      <c r="GH52" s="17">
        <v>0</v>
      </c>
      <c r="GI52" s="67"/>
      <c r="GJ52" s="62">
        <f t="shared" si="543"/>
        <v>0</v>
      </c>
      <c r="GK52" s="62">
        <f t="shared" si="544"/>
        <v>0</v>
      </c>
      <c r="GO52" s="17">
        <f t="shared" si="545"/>
        <v>0</v>
      </c>
      <c r="GP52" s="17">
        <f t="shared" si="546"/>
        <v>0</v>
      </c>
      <c r="GQ52" s="17">
        <f t="shared" si="547"/>
        <v>0</v>
      </c>
      <c r="GR52" s="17">
        <f t="shared" si="548"/>
        <v>1</v>
      </c>
      <c r="GS52" s="17">
        <f t="shared" si="549"/>
        <v>1</v>
      </c>
      <c r="GT52" s="17">
        <f t="shared" si="550"/>
        <v>0</v>
      </c>
      <c r="GU52" s="101">
        <f t="shared" si="143"/>
        <v>43243</v>
      </c>
      <c r="GV52" s="17" t="str">
        <f t="shared" si="551"/>
        <v>Musyawarah</v>
      </c>
      <c r="GW52" s="17">
        <f t="shared" si="552"/>
        <v>1</v>
      </c>
      <c r="GX52" s="66" t="str">
        <f t="shared" si="553"/>
        <v>Musyawarah</v>
      </c>
      <c r="GY52" s="66">
        <f t="shared" si="554"/>
        <v>24</v>
      </c>
      <c r="GZ52" s="102">
        <f t="shared" si="555"/>
        <v>43267</v>
      </c>
      <c r="HA52" s="83"/>
      <c r="HB52" s="83"/>
      <c r="HC52" s="17">
        <f t="shared" si="556"/>
        <v>0</v>
      </c>
      <c r="HD52" s="17">
        <f t="shared" si="557"/>
        <v>0</v>
      </c>
      <c r="HE52" s="17">
        <f t="shared" si="558"/>
        <v>0</v>
      </c>
      <c r="HF52" s="17">
        <f t="shared" si="559"/>
        <v>0</v>
      </c>
      <c r="HG52" s="17">
        <f t="shared" si="560"/>
        <v>0</v>
      </c>
      <c r="HH52" s="101" t="str">
        <f t="shared" si="561"/>
        <v>TIDAK KONSINYASI</v>
      </c>
      <c r="HI52" s="101">
        <f t="shared" si="562"/>
        <v>43312</v>
      </c>
      <c r="HJ52" s="27"/>
      <c r="HK52" s="101">
        <f t="shared" si="563"/>
        <v>43312</v>
      </c>
      <c r="HL52" s="83"/>
      <c r="HM52" s="83"/>
      <c r="HN52" s="83"/>
      <c r="HO52" s="83"/>
      <c r="HP52" s="102">
        <f t="shared" si="564"/>
        <v>0</v>
      </c>
      <c r="HQ52" s="66">
        <f t="shared" si="565"/>
        <v>0</v>
      </c>
      <c r="HR52" s="66">
        <f t="shared" si="566"/>
        <v>0</v>
      </c>
      <c r="HS52" s="102">
        <f t="shared" si="567"/>
        <v>0</v>
      </c>
      <c r="HT52" s="66">
        <f t="shared" si="568"/>
        <v>0</v>
      </c>
      <c r="HU52" s="66">
        <f t="shared" si="569"/>
        <v>0</v>
      </c>
      <c r="HV52" s="102">
        <f t="shared" si="570"/>
        <v>0</v>
      </c>
      <c r="HW52" s="66">
        <f t="shared" si="571"/>
        <v>0</v>
      </c>
      <c r="HX52" s="66">
        <f t="shared" si="572"/>
        <v>0</v>
      </c>
      <c r="HY52" s="102">
        <f t="shared" si="573"/>
        <v>0</v>
      </c>
      <c r="HZ52" s="66">
        <f t="shared" si="574"/>
        <v>0</v>
      </c>
      <c r="IA52" s="66">
        <f t="shared" si="575"/>
        <v>0</v>
      </c>
      <c r="IB52" s="102">
        <f t="shared" si="576"/>
        <v>0</v>
      </c>
      <c r="IC52" s="66">
        <f t="shared" si="577"/>
        <v>0</v>
      </c>
      <c r="ID52" s="66">
        <f t="shared" si="578"/>
        <v>0</v>
      </c>
      <c r="IE52" s="102">
        <f t="shared" si="579"/>
        <v>0</v>
      </c>
      <c r="IF52" s="66">
        <f t="shared" si="580"/>
        <v>0</v>
      </c>
      <c r="IG52" s="66">
        <f t="shared" si="581"/>
        <v>0</v>
      </c>
      <c r="IH52" s="102">
        <f t="shared" si="582"/>
        <v>0</v>
      </c>
      <c r="II52" s="66">
        <f t="shared" si="583"/>
        <v>0</v>
      </c>
      <c r="IJ52" s="66">
        <f t="shared" si="584"/>
        <v>0</v>
      </c>
      <c r="IK52" s="102">
        <f t="shared" si="585"/>
        <v>0</v>
      </c>
      <c r="IL52" s="66">
        <f t="shared" si="586"/>
        <v>0</v>
      </c>
      <c r="IM52" s="66">
        <f t="shared" si="587"/>
        <v>0</v>
      </c>
      <c r="IN52" s="83"/>
      <c r="IO52" s="102">
        <f t="shared" si="588"/>
        <v>0</v>
      </c>
      <c r="IP52" s="66">
        <f t="shared" si="589"/>
        <v>0</v>
      </c>
      <c r="IQ52" s="66">
        <f t="shared" si="590"/>
        <v>0</v>
      </c>
      <c r="IR52" s="83"/>
      <c r="IS52" s="102"/>
      <c r="IT52" s="66">
        <f t="shared" si="591"/>
        <v>0</v>
      </c>
      <c r="IU52" s="66">
        <f t="shared" si="592"/>
        <v>0</v>
      </c>
      <c r="IV52" s="83"/>
      <c r="IW52" s="102"/>
      <c r="IX52" s="66">
        <f t="shared" si="593"/>
        <v>0</v>
      </c>
      <c r="IY52" s="66">
        <f t="shared" si="594"/>
        <v>0</v>
      </c>
      <c r="IZ52" s="83"/>
      <c r="JA52" s="102"/>
      <c r="JB52" s="66">
        <f t="shared" si="595"/>
        <v>1</v>
      </c>
      <c r="JC52" s="66">
        <f t="shared" si="596"/>
        <v>552</v>
      </c>
      <c r="JD52" s="83"/>
      <c r="JE52" s="102"/>
      <c r="JF52" s="66">
        <f t="shared" si="597"/>
        <v>1</v>
      </c>
      <c r="JG52" s="66">
        <f t="shared" si="598"/>
        <v>552</v>
      </c>
      <c r="JH52" s="83"/>
      <c r="JI52" s="102"/>
      <c r="JJ52" s="66">
        <f t="shared" si="599"/>
        <v>0</v>
      </c>
      <c r="JK52" s="66">
        <f t="shared" si="600"/>
        <v>0</v>
      </c>
      <c r="JM52" s="102">
        <f t="shared" si="601"/>
        <v>0</v>
      </c>
      <c r="JO52" s="29">
        <f t="shared" si="602"/>
        <v>0</v>
      </c>
      <c r="JP52" s="122">
        <f t="shared" si="603"/>
        <v>0</v>
      </c>
      <c r="JQ52" s="122">
        <f t="shared" si="604"/>
        <v>0</v>
      </c>
      <c r="JR52" s="122">
        <f t="shared" si="605"/>
        <v>0</v>
      </c>
      <c r="JS52" s="122">
        <f t="shared" si="606"/>
        <v>0</v>
      </c>
      <c r="JT52" s="122">
        <f t="shared" si="607"/>
        <v>0</v>
      </c>
      <c r="JU52" s="122">
        <f t="shared" si="608"/>
        <v>0</v>
      </c>
      <c r="JV52" s="122">
        <f t="shared" si="609"/>
        <v>0</v>
      </c>
      <c r="JW52" s="122">
        <f t="shared" si="610"/>
        <v>0</v>
      </c>
      <c r="JX52" s="122">
        <f t="shared" si="611"/>
        <v>0</v>
      </c>
      <c r="JY52" s="122">
        <f t="shared" si="612"/>
        <v>0</v>
      </c>
      <c r="JZ52" s="122">
        <f t="shared" si="613"/>
        <v>0</v>
      </c>
      <c r="KA52" s="122">
        <f t="shared" si="614"/>
        <v>0</v>
      </c>
      <c r="KB52" s="122">
        <f t="shared" si="615"/>
        <v>0</v>
      </c>
      <c r="KD52" s="122">
        <f t="shared" si="616"/>
        <v>0</v>
      </c>
      <c r="KE52" s="122">
        <f t="shared" si="617"/>
        <v>0</v>
      </c>
      <c r="KF52" s="122">
        <f t="shared" si="618"/>
        <v>0</v>
      </c>
      <c r="KG52" s="122">
        <f t="shared" si="619"/>
        <v>0</v>
      </c>
      <c r="KH52" s="122">
        <f t="shared" si="620"/>
        <v>0</v>
      </c>
      <c r="KI52" s="122">
        <f t="shared" si="621"/>
        <v>0</v>
      </c>
      <c r="KJ52" s="122">
        <f t="shared" si="622"/>
        <v>0</v>
      </c>
      <c r="KK52" s="122">
        <f t="shared" si="623"/>
        <v>0</v>
      </c>
      <c r="KL52" s="122">
        <f t="shared" si="624"/>
        <v>0</v>
      </c>
      <c r="KM52" s="122">
        <f t="shared" si="625"/>
        <v>0</v>
      </c>
      <c r="KN52" s="123">
        <f t="shared" si="626"/>
        <v>0</v>
      </c>
      <c r="KO52" s="123">
        <f t="shared" si="627"/>
        <v>0</v>
      </c>
      <c r="KP52" s="123">
        <f t="shared" si="628"/>
        <v>0</v>
      </c>
      <c r="KQ52" s="123">
        <f t="shared" si="629"/>
        <v>0</v>
      </c>
      <c r="KR52" s="123">
        <f t="shared" si="630"/>
        <v>0</v>
      </c>
      <c r="KS52">
        <v>7</v>
      </c>
      <c r="KT52">
        <f t="shared" si="631"/>
        <v>1</v>
      </c>
      <c r="KU52" s="123"/>
      <c r="KV52" s="123"/>
      <c r="KW52" s="123"/>
      <c r="KX52" s="123"/>
      <c r="KY52" s="123"/>
      <c r="KZ52" s="123"/>
      <c r="LA52" s="123"/>
      <c r="LB52" s="123"/>
      <c r="LC52" s="123"/>
      <c r="LD52" s="123"/>
      <c r="LE52" s="123"/>
      <c r="LF52" s="123"/>
      <c r="LG52" s="123"/>
      <c r="LH52" s="123"/>
      <c r="LI52" s="123"/>
      <c r="LJ52" s="123"/>
      <c r="LK52" s="123"/>
      <c r="LL52" s="123"/>
      <c r="LM52" s="123"/>
      <c r="LN52" s="123"/>
      <c r="LO52" s="123"/>
      <c r="LP52" s="123"/>
      <c r="LQ52" s="123"/>
      <c r="LR52" s="123"/>
      <c r="LS52" s="123"/>
      <c r="LT52" s="123"/>
      <c r="LU52" s="123"/>
      <c r="LV52" s="123"/>
      <c r="LW52" s="123"/>
      <c r="LX52" s="123"/>
      <c r="LY52" s="123"/>
      <c r="LZ52" s="123"/>
      <c r="MA52" s="123"/>
      <c r="MB52" s="123"/>
      <c r="MC52" s="123"/>
      <c r="MD52" s="123"/>
      <c r="ME52" s="123"/>
      <c r="MF52" s="123"/>
      <c r="MG52" s="123"/>
      <c r="MH52" s="123"/>
      <c r="MI52" s="123"/>
      <c r="MJ52" s="123"/>
      <c r="MK52" s="123"/>
      <c r="ML52" s="123"/>
      <c r="MM52" s="123"/>
      <c r="MN52" s="123"/>
      <c r="MO52" s="123"/>
      <c r="MP52" s="123"/>
      <c r="MQ52" s="123"/>
      <c r="MR52" s="123"/>
      <c r="MS52" s="123"/>
      <c r="MT52" s="123"/>
      <c r="MU52" s="123"/>
      <c r="MV52" s="123"/>
      <c r="MW52" s="123"/>
      <c r="MX52" s="123"/>
      <c r="MY52" s="123"/>
      <c r="MZ52" s="123"/>
      <c r="NA52" s="123"/>
      <c r="NB52" s="123"/>
      <c r="NC52" s="123"/>
      <c r="ND52" s="123"/>
      <c r="NE52" s="123"/>
      <c r="NF52" s="123"/>
      <c r="NG52" s="123"/>
      <c r="NH52" s="123"/>
      <c r="NI52" s="123"/>
      <c r="NJ52" s="123"/>
      <c r="NK52" s="123"/>
      <c r="NM52">
        <f t="shared" si="632"/>
        <v>0</v>
      </c>
      <c r="NN52">
        <f t="shared" si="633"/>
        <v>0</v>
      </c>
      <c r="NO52">
        <f t="shared" si="634"/>
        <v>0</v>
      </c>
      <c r="NP52">
        <f t="shared" si="635"/>
        <v>0</v>
      </c>
      <c r="NQ52">
        <f t="shared" si="636"/>
        <v>0</v>
      </c>
      <c r="NR52">
        <f t="shared" si="637"/>
        <v>0</v>
      </c>
      <c r="NS52">
        <f t="shared" si="638"/>
        <v>1</v>
      </c>
      <c r="NT52">
        <f t="shared" si="639"/>
        <v>1</v>
      </c>
      <c r="NU52" s="29">
        <f t="shared" si="640"/>
        <v>0</v>
      </c>
      <c r="NY52" s="17">
        <f t="shared" si="641"/>
        <v>0</v>
      </c>
      <c r="OE52" s="155"/>
      <c r="OF52" s="155">
        <f t="shared" si="461"/>
        <v>0</v>
      </c>
      <c r="OG52" s="155">
        <f t="shared" si="462"/>
        <v>1</v>
      </c>
      <c r="OH52" s="155">
        <f t="shared" si="463"/>
        <v>0</v>
      </c>
      <c r="OI52" s="155">
        <f t="shared" si="464"/>
        <v>1</v>
      </c>
      <c r="OJ52" s="67">
        <f t="shared" si="465"/>
        <v>0</v>
      </c>
      <c r="OK52" s="67">
        <f t="shared" si="466"/>
        <v>0</v>
      </c>
      <c r="OL52" s="67">
        <f t="shared" si="467"/>
        <v>0</v>
      </c>
      <c r="OM52" s="67">
        <f t="shared" si="468"/>
        <v>0</v>
      </c>
      <c r="OO52" s="155">
        <f t="shared" si="469"/>
        <v>0</v>
      </c>
      <c r="OP52" s="155">
        <f t="shared" si="470"/>
        <v>0</v>
      </c>
      <c r="OQ52" s="155">
        <f t="shared" si="471"/>
        <v>1</v>
      </c>
      <c r="OR52" s="155">
        <f t="shared" si="472"/>
        <v>0</v>
      </c>
      <c r="OS52" s="155">
        <f t="shared" si="473"/>
        <v>1</v>
      </c>
      <c r="OT52" s="67">
        <f t="shared" si="474"/>
        <v>0</v>
      </c>
      <c r="OU52" s="67">
        <f t="shared" si="475"/>
        <v>0</v>
      </c>
      <c r="OV52" s="67">
        <f t="shared" si="476"/>
        <v>0</v>
      </c>
      <c r="OW52" s="67">
        <f t="shared" si="477"/>
        <v>0</v>
      </c>
      <c r="OZ52" s="163"/>
      <c r="PA52" s="166"/>
      <c r="PB52" s="166">
        <v>1</v>
      </c>
      <c r="PC52" s="166"/>
      <c r="PD52" s="210">
        <f t="shared" si="125"/>
        <v>1</v>
      </c>
      <c r="PE52" s="210">
        <v>1</v>
      </c>
      <c r="PF52" s="210">
        <f t="shared" si="126"/>
        <v>0</v>
      </c>
      <c r="PG52" s="210">
        <f t="shared" ref="PG52:PI59" si="646">IF(PA52=1,$BB52,0)</f>
        <v>0</v>
      </c>
      <c r="PH52" s="210">
        <f t="shared" si="646"/>
        <v>552</v>
      </c>
      <c r="PI52" s="210">
        <f t="shared" si="646"/>
        <v>0</v>
      </c>
      <c r="PJ52" s="210">
        <f t="shared" si="645"/>
        <v>552</v>
      </c>
      <c r="PK52" s="210">
        <f t="shared" si="645"/>
        <v>552</v>
      </c>
      <c r="PL52" s="210">
        <f t="shared" si="645"/>
        <v>0</v>
      </c>
      <c r="PM52" s="164"/>
      <c r="PN52" s="164"/>
      <c r="PO52" s="172">
        <f t="shared" si="642"/>
        <v>0</v>
      </c>
      <c r="PP52" s="172">
        <f t="shared" si="643"/>
        <v>0</v>
      </c>
      <c r="PQ52" s="172">
        <f t="shared" si="644"/>
        <v>0</v>
      </c>
      <c r="PR52" s="164"/>
      <c r="PS52" s="164"/>
      <c r="PT52" s="164"/>
      <c r="PU52" s="164"/>
    </row>
    <row r="53" spans="1:437 16383:16384" ht="16" x14ac:dyDescent="0.2">
      <c r="A53" s="19">
        <f t="shared" si="189"/>
        <v>45</v>
      </c>
      <c r="B53" s="158" t="s">
        <v>682</v>
      </c>
      <c r="C53" s="186">
        <v>21</v>
      </c>
      <c r="D53" s="188">
        <v>1</v>
      </c>
      <c r="E53" s="188">
        <v>234</v>
      </c>
      <c r="F53" s="188">
        <v>1</v>
      </c>
      <c r="G53" s="188">
        <f t="shared" si="478"/>
        <v>234</v>
      </c>
      <c r="H53" s="214">
        <f t="shared" si="487"/>
        <v>1</v>
      </c>
      <c r="I53" s="214">
        <f t="shared" si="488"/>
        <v>1</v>
      </c>
      <c r="J53" s="188">
        <v>1</v>
      </c>
      <c r="K53" s="188">
        <f t="shared" si="489"/>
        <v>234</v>
      </c>
      <c r="L53" s="214">
        <f t="shared" si="490"/>
        <v>1</v>
      </c>
      <c r="M53" s="214">
        <f t="shared" si="491"/>
        <v>1</v>
      </c>
      <c r="N53" s="188">
        <v>1</v>
      </c>
      <c r="O53" s="188">
        <f t="shared" si="492"/>
        <v>234</v>
      </c>
      <c r="P53" s="137">
        <f t="shared" si="493"/>
        <v>1</v>
      </c>
      <c r="Q53" s="137">
        <f t="shared" si="494"/>
        <v>1</v>
      </c>
      <c r="R53" s="20">
        <v>0</v>
      </c>
      <c r="S53" s="20">
        <f t="shared" si="495"/>
        <v>0</v>
      </c>
      <c r="T53" s="137">
        <f t="shared" si="496"/>
        <v>0</v>
      </c>
      <c r="U53" s="137">
        <f t="shared" si="497"/>
        <v>0</v>
      </c>
      <c r="V53" s="20">
        <v>0</v>
      </c>
      <c r="W53" s="20">
        <f t="shared" si="498"/>
        <v>0</v>
      </c>
      <c r="X53" s="137">
        <f t="shared" si="499"/>
        <v>0</v>
      </c>
      <c r="Y53" s="137">
        <f t="shared" si="500"/>
        <v>0</v>
      </c>
      <c r="Z53" s="59">
        <v>0</v>
      </c>
      <c r="AA53" s="20"/>
      <c r="AB53" s="17">
        <f t="shared" si="501"/>
        <v>0</v>
      </c>
      <c r="AC53" s="18">
        <f t="shared" si="502"/>
        <v>0</v>
      </c>
      <c r="AD53" s="18">
        <f t="shared" si="503"/>
        <v>0</v>
      </c>
      <c r="AE53" s="20"/>
      <c r="AF53" s="20">
        <f t="shared" si="504"/>
        <v>0</v>
      </c>
      <c r="AG53" s="20"/>
      <c r="AH53" s="20"/>
      <c r="AI53" s="20">
        <v>0</v>
      </c>
      <c r="AJ53" s="20">
        <f t="shared" si="505"/>
        <v>0</v>
      </c>
      <c r="AK53" s="20"/>
      <c r="AL53" s="20">
        <v>0</v>
      </c>
      <c r="AM53" s="20">
        <v>0</v>
      </c>
      <c r="AN53" s="139">
        <v>1</v>
      </c>
      <c r="BB53" s="20">
        <f t="shared" si="506"/>
        <v>234</v>
      </c>
      <c r="BE53" s="20">
        <f t="shared" si="507"/>
        <v>0</v>
      </c>
      <c r="BF53" s="20">
        <f t="shared" si="508"/>
        <v>0</v>
      </c>
      <c r="BG53" s="20">
        <f t="shared" si="509"/>
        <v>0</v>
      </c>
      <c r="BH53" s="20">
        <f t="shared" si="510"/>
        <v>0</v>
      </c>
      <c r="BI53" s="20">
        <f t="shared" si="511"/>
        <v>0</v>
      </c>
      <c r="BJ53" s="20">
        <f t="shared" si="512"/>
        <v>0</v>
      </c>
      <c r="BK53" s="20">
        <f t="shared" si="513"/>
        <v>0</v>
      </c>
      <c r="BN53" s="143"/>
      <c r="BO53" s="126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B53" s="139"/>
      <c r="CD53" s="17">
        <f t="shared" si="514"/>
        <v>0</v>
      </c>
      <c r="CE53" s="17">
        <f t="shared" si="515"/>
        <v>0</v>
      </c>
      <c r="CF53" s="20">
        <f t="shared" si="516"/>
        <v>0</v>
      </c>
      <c r="CG53" s="20">
        <f t="shared" si="517"/>
        <v>0</v>
      </c>
      <c r="CH53" s="20">
        <f t="shared" si="518"/>
        <v>0</v>
      </c>
      <c r="CI53" s="20">
        <f t="shared" si="519"/>
        <v>0</v>
      </c>
      <c r="CJ53" s="20">
        <f t="shared" si="520"/>
        <v>0</v>
      </c>
      <c r="CK53" s="20">
        <f t="shared" si="521"/>
        <v>0</v>
      </c>
      <c r="CL53" s="20">
        <f t="shared" si="522"/>
        <v>0</v>
      </c>
      <c r="CM53" s="20">
        <f t="shared" si="523"/>
        <v>0</v>
      </c>
      <c r="CN53" s="20">
        <f t="shared" si="524"/>
        <v>0</v>
      </c>
      <c r="CO53" s="20">
        <f t="shared" si="525"/>
        <v>0</v>
      </c>
      <c r="CP53" s="20">
        <f t="shared" si="526"/>
        <v>0</v>
      </c>
      <c r="DV53" s="20">
        <f t="shared" si="527"/>
        <v>0</v>
      </c>
      <c r="DW53" s="20">
        <f t="shared" si="528"/>
        <v>0</v>
      </c>
      <c r="DX53" s="20">
        <f t="shared" si="529"/>
        <v>0</v>
      </c>
      <c r="DY53" s="20">
        <f t="shared" si="530"/>
        <v>0</v>
      </c>
      <c r="DZ53" s="20">
        <f t="shared" si="531"/>
        <v>0</v>
      </c>
      <c r="EA53" s="20">
        <f t="shared" si="532"/>
        <v>0</v>
      </c>
      <c r="EB53" s="20">
        <f t="shared" si="533"/>
        <v>0</v>
      </c>
      <c r="EG53" s="57">
        <f t="shared" si="534"/>
        <v>0</v>
      </c>
      <c r="EH53" s="57">
        <f t="shared" si="535"/>
        <v>0</v>
      </c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X53" s="80"/>
      <c r="FY53" s="17">
        <f t="shared" si="536"/>
        <v>0</v>
      </c>
      <c r="FZ53" s="17">
        <f t="shared" si="537"/>
        <v>0</v>
      </c>
      <c r="GA53" s="17">
        <f t="shared" si="538"/>
        <v>0</v>
      </c>
      <c r="GB53" s="17">
        <f t="shared" si="539"/>
        <v>0</v>
      </c>
      <c r="GC53" s="17">
        <f t="shared" si="540"/>
        <v>0</v>
      </c>
      <c r="GD53" s="17">
        <f t="shared" si="541"/>
        <v>0</v>
      </c>
      <c r="GE53" s="17">
        <f t="shared" si="542"/>
        <v>0</v>
      </c>
      <c r="GF53" s="67"/>
      <c r="GG53" s="17">
        <v>0</v>
      </c>
      <c r="GH53" s="17">
        <v>0</v>
      </c>
      <c r="GI53" s="67"/>
      <c r="GJ53" s="62">
        <f t="shared" si="543"/>
        <v>0</v>
      </c>
      <c r="GK53" s="62">
        <f t="shared" si="544"/>
        <v>0</v>
      </c>
      <c r="GO53" s="17">
        <f t="shared" si="545"/>
        <v>0</v>
      </c>
      <c r="GP53" s="17">
        <f t="shared" si="546"/>
        <v>0</v>
      </c>
      <c r="GQ53" s="17">
        <f t="shared" si="547"/>
        <v>0</v>
      </c>
      <c r="GR53" s="17">
        <f t="shared" si="548"/>
        <v>1</v>
      </c>
      <c r="GS53" s="17">
        <f t="shared" si="549"/>
        <v>1</v>
      </c>
      <c r="GT53" s="17">
        <f t="shared" si="550"/>
        <v>0</v>
      </c>
      <c r="GU53" s="101">
        <f t="shared" si="143"/>
        <v>43243</v>
      </c>
      <c r="GV53" s="17" t="str">
        <f t="shared" si="551"/>
        <v>Musyawarah</v>
      </c>
      <c r="GW53" s="17">
        <f t="shared" si="552"/>
        <v>1</v>
      </c>
      <c r="GX53" s="66" t="str">
        <f t="shared" si="553"/>
        <v>Musyawarah</v>
      </c>
      <c r="GY53" s="66">
        <f t="shared" si="554"/>
        <v>24</v>
      </c>
      <c r="GZ53" s="102">
        <f t="shared" si="555"/>
        <v>43267</v>
      </c>
      <c r="HA53" s="83"/>
      <c r="HB53" s="83"/>
      <c r="HC53" s="17">
        <f t="shared" si="556"/>
        <v>0</v>
      </c>
      <c r="HD53" s="17">
        <f t="shared" si="557"/>
        <v>0</v>
      </c>
      <c r="HE53" s="17">
        <f t="shared" si="558"/>
        <v>0</v>
      </c>
      <c r="HF53" s="17">
        <f t="shared" si="559"/>
        <v>0</v>
      </c>
      <c r="HG53" s="17">
        <f t="shared" si="560"/>
        <v>0</v>
      </c>
      <c r="HH53" s="101" t="str">
        <f t="shared" si="561"/>
        <v>TIDAK KONSINYASI</v>
      </c>
      <c r="HI53" s="101">
        <f t="shared" si="562"/>
        <v>43312</v>
      </c>
      <c r="HJ53" s="27"/>
      <c r="HK53" s="101">
        <f t="shared" si="563"/>
        <v>43312</v>
      </c>
      <c r="HL53" s="83"/>
      <c r="HM53" s="83"/>
      <c r="HN53" s="83"/>
      <c r="HO53" s="83"/>
      <c r="HP53" s="102">
        <f t="shared" si="564"/>
        <v>0</v>
      </c>
      <c r="HQ53" s="66">
        <f t="shared" si="565"/>
        <v>0</v>
      </c>
      <c r="HR53" s="66">
        <f t="shared" si="566"/>
        <v>0</v>
      </c>
      <c r="HS53" s="102">
        <f t="shared" si="567"/>
        <v>0</v>
      </c>
      <c r="HT53" s="66">
        <f t="shared" si="568"/>
        <v>0</v>
      </c>
      <c r="HU53" s="66">
        <f t="shared" si="569"/>
        <v>0</v>
      </c>
      <c r="HV53" s="102">
        <f t="shared" si="570"/>
        <v>0</v>
      </c>
      <c r="HW53" s="66">
        <f t="shared" si="571"/>
        <v>0</v>
      </c>
      <c r="HX53" s="66">
        <f t="shared" si="572"/>
        <v>0</v>
      </c>
      <c r="HY53" s="102">
        <f t="shared" si="573"/>
        <v>0</v>
      </c>
      <c r="HZ53" s="66">
        <f t="shared" si="574"/>
        <v>0</v>
      </c>
      <c r="IA53" s="66">
        <f t="shared" si="575"/>
        <v>0</v>
      </c>
      <c r="IB53" s="102">
        <f t="shared" si="576"/>
        <v>0</v>
      </c>
      <c r="IC53" s="66">
        <f t="shared" si="577"/>
        <v>0</v>
      </c>
      <c r="ID53" s="66">
        <f t="shared" si="578"/>
        <v>0</v>
      </c>
      <c r="IE53" s="102">
        <f t="shared" si="579"/>
        <v>0</v>
      </c>
      <c r="IF53" s="66">
        <f t="shared" si="580"/>
        <v>0</v>
      </c>
      <c r="IG53" s="66">
        <f t="shared" si="581"/>
        <v>0</v>
      </c>
      <c r="IH53" s="102">
        <f t="shared" si="582"/>
        <v>0</v>
      </c>
      <c r="II53" s="66">
        <f t="shared" si="583"/>
        <v>0</v>
      </c>
      <c r="IJ53" s="66">
        <f t="shared" si="584"/>
        <v>0</v>
      </c>
      <c r="IK53" s="102">
        <f t="shared" si="585"/>
        <v>0</v>
      </c>
      <c r="IL53" s="66">
        <f t="shared" si="586"/>
        <v>0</v>
      </c>
      <c r="IM53" s="66">
        <f t="shared" si="587"/>
        <v>0</v>
      </c>
      <c r="IN53" s="83"/>
      <c r="IO53" s="102">
        <f t="shared" si="588"/>
        <v>0</v>
      </c>
      <c r="IP53" s="66">
        <f t="shared" si="589"/>
        <v>0</v>
      </c>
      <c r="IQ53" s="66">
        <f t="shared" si="590"/>
        <v>0</v>
      </c>
      <c r="IR53" s="83"/>
      <c r="IS53" s="102"/>
      <c r="IT53" s="66">
        <f t="shared" si="591"/>
        <v>0</v>
      </c>
      <c r="IU53" s="66">
        <f t="shared" si="592"/>
        <v>0</v>
      </c>
      <c r="IV53" s="83"/>
      <c r="IW53" s="102"/>
      <c r="IX53" s="66">
        <f t="shared" si="593"/>
        <v>0</v>
      </c>
      <c r="IY53" s="66">
        <f t="shared" si="594"/>
        <v>0</v>
      </c>
      <c r="IZ53" s="83"/>
      <c r="JA53" s="102"/>
      <c r="JB53" s="66">
        <f t="shared" si="595"/>
        <v>1</v>
      </c>
      <c r="JC53" s="66">
        <f t="shared" si="596"/>
        <v>234</v>
      </c>
      <c r="JD53" s="83"/>
      <c r="JE53" s="102"/>
      <c r="JF53" s="66">
        <f t="shared" si="597"/>
        <v>1</v>
      </c>
      <c r="JG53" s="66">
        <f t="shared" si="598"/>
        <v>234</v>
      </c>
      <c r="JH53" s="83"/>
      <c r="JI53" s="102"/>
      <c r="JJ53" s="66">
        <f t="shared" si="599"/>
        <v>0</v>
      </c>
      <c r="JK53" s="66">
        <f t="shared" si="600"/>
        <v>0</v>
      </c>
      <c r="JM53" s="102">
        <f t="shared" si="601"/>
        <v>0</v>
      </c>
      <c r="JO53" s="29">
        <f t="shared" si="602"/>
        <v>0</v>
      </c>
      <c r="JP53" s="122">
        <f t="shared" si="603"/>
        <v>0</v>
      </c>
      <c r="JQ53" s="122">
        <f t="shared" si="604"/>
        <v>0</v>
      </c>
      <c r="JR53" s="122">
        <f t="shared" si="605"/>
        <v>0</v>
      </c>
      <c r="JS53" s="122">
        <f t="shared" si="606"/>
        <v>0</v>
      </c>
      <c r="JT53" s="122">
        <f t="shared" si="607"/>
        <v>0</v>
      </c>
      <c r="JU53" s="122">
        <f t="shared" si="608"/>
        <v>0</v>
      </c>
      <c r="JV53" s="122">
        <f t="shared" si="609"/>
        <v>0</v>
      </c>
      <c r="JW53" s="122">
        <f t="shared" si="610"/>
        <v>0</v>
      </c>
      <c r="JX53" s="122">
        <f t="shared" si="611"/>
        <v>0</v>
      </c>
      <c r="JY53" s="122">
        <f t="shared" si="612"/>
        <v>0</v>
      </c>
      <c r="JZ53" s="122">
        <f t="shared" si="613"/>
        <v>0</v>
      </c>
      <c r="KA53" s="122">
        <f t="shared" si="614"/>
        <v>0</v>
      </c>
      <c r="KB53" s="122">
        <f t="shared" si="615"/>
        <v>0</v>
      </c>
      <c r="KD53" s="122">
        <f t="shared" si="616"/>
        <v>0</v>
      </c>
      <c r="KE53" s="122">
        <f t="shared" si="617"/>
        <v>0</v>
      </c>
      <c r="KF53" s="122">
        <f t="shared" si="618"/>
        <v>0</v>
      </c>
      <c r="KG53" s="122">
        <f t="shared" si="619"/>
        <v>0</v>
      </c>
      <c r="KH53" s="122">
        <f t="shared" si="620"/>
        <v>0</v>
      </c>
      <c r="KI53" s="122">
        <f t="shared" si="621"/>
        <v>0</v>
      </c>
      <c r="KJ53" s="122">
        <f t="shared" si="622"/>
        <v>0</v>
      </c>
      <c r="KK53" s="122">
        <f t="shared" si="623"/>
        <v>0</v>
      </c>
      <c r="KL53" s="122">
        <f t="shared" si="624"/>
        <v>0</v>
      </c>
      <c r="KM53" s="122">
        <f t="shared" si="625"/>
        <v>0</v>
      </c>
      <c r="KN53" s="123">
        <f t="shared" si="626"/>
        <v>0</v>
      </c>
      <c r="KO53" s="123">
        <f t="shared" si="627"/>
        <v>0</v>
      </c>
      <c r="KP53" s="123">
        <f t="shared" si="628"/>
        <v>0</v>
      </c>
      <c r="KQ53" s="123">
        <f t="shared" si="629"/>
        <v>0</v>
      </c>
      <c r="KR53" s="123">
        <f t="shared" si="630"/>
        <v>0</v>
      </c>
      <c r="KS53">
        <v>7</v>
      </c>
      <c r="KT53">
        <f t="shared" si="631"/>
        <v>1</v>
      </c>
      <c r="KU53" s="123"/>
      <c r="KV53" s="123"/>
      <c r="KW53" s="123"/>
      <c r="KX53" s="123"/>
      <c r="KY53" s="123"/>
      <c r="KZ53" s="123"/>
      <c r="LA53" s="123"/>
      <c r="LB53" s="123"/>
      <c r="LC53" s="123"/>
      <c r="LD53" s="123"/>
      <c r="LE53" s="123"/>
      <c r="LF53" s="123"/>
      <c r="LG53" s="123"/>
      <c r="LH53" s="123"/>
      <c r="LI53" s="123"/>
      <c r="LJ53" s="123"/>
      <c r="LK53" s="123"/>
      <c r="LL53" s="123"/>
      <c r="LM53" s="123"/>
      <c r="LN53" s="123"/>
      <c r="LO53" s="123"/>
      <c r="LP53" s="123"/>
      <c r="LQ53" s="123"/>
      <c r="LR53" s="123"/>
      <c r="LS53" s="123"/>
      <c r="LT53" s="123"/>
      <c r="LU53" s="123"/>
      <c r="LV53" s="123"/>
      <c r="LW53" s="123"/>
      <c r="LX53" s="123"/>
      <c r="LY53" s="123"/>
      <c r="LZ53" s="123"/>
      <c r="MA53" s="123"/>
      <c r="MB53" s="123"/>
      <c r="MC53" s="123"/>
      <c r="MD53" s="123"/>
      <c r="ME53" s="123"/>
      <c r="MF53" s="123"/>
      <c r="MG53" s="123"/>
      <c r="MH53" s="123"/>
      <c r="MI53" s="123"/>
      <c r="MJ53" s="123"/>
      <c r="MK53" s="123"/>
      <c r="ML53" s="123"/>
      <c r="MM53" s="123"/>
      <c r="MN53" s="123"/>
      <c r="MO53" s="123"/>
      <c r="MP53" s="123"/>
      <c r="MQ53" s="123"/>
      <c r="MR53" s="123"/>
      <c r="MS53" s="123"/>
      <c r="MT53" s="123"/>
      <c r="MU53" s="123"/>
      <c r="MV53" s="123"/>
      <c r="MW53" s="123"/>
      <c r="MX53" s="123"/>
      <c r="MY53" s="123"/>
      <c r="MZ53" s="123"/>
      <c r="NA53" s="123"/>
      <c r="NB53" s="123"/>
      <c r="NC53" s="123"/>
      <c r="ND53" s="123"/>
      <c r="NE53" s="123"/>
      <c r="NF53" s="123"/>
      <c r="NG53" s="123"/>
      <c r="NH53" s="123"/>
      <c r="NI53" s="123"/>
      <c r="NJ53" s="123"/>
      <c r="NK53" s="123"/>
      <c r="NM53">
        <f t="shared" si="632"/>
        <v>0</v>
      </c>
      <c r="NN53">
        <f t="shared" si="633"/>
        <v>0</v>
      </c>
      <c r="NO53">
        <f t="shared" si="634"/>
        <v>0</v>
      </c>
      <c r="NP53">
        <f t="shared" si="635"/>
        <v>0</v>
      </c>
      <c r="NQ53">
        <f t="shared" si="636"/>
        <v>0</v>
      </c>
      <c r="NR53">
        <f t="shared" si="637"/>
        <v>0</v>
      </c>
      <c r="NS53">
        <f t="shared" si="638"/>
        <v>1</v>
      </c>
      <c r="NT53">
        <f t="shared" si="639"/>
        <v>1</v>
      </c>
      <c r="NU53" s="29">
        <f t="shared" si="640"/>
        <v>0</v>
      </c>
      <c r="NY53" s="17">
        <f t="shared" si="641"/>
        <v>0</v>
      </c>
      <c r="OE53" s="155"/>
      <c r="OF53" s="155">
        <f t="shared" si="461"/>
        <v>0</v>
      </c>
      <c r="OG53" s="155">
        <f t="shared" si="462"/>
        <v>1</v>
      </c>
      <c r="OH53" s="155">
        <f t="shared" si="463"/>
        <v>0</v>
      </c>
      <c r="OI53" s="155">
        <f t="shared" si="464"/>
        <v>1</v>
      </c>
      <c r="OJ53" s="67">
        <f t="shared" si="465"/>
        <v>0</v>
      </c>
      <c r="OK53" s="67">
        <f t="shared" si="466"/>
        <v>0</v>
      </c>
      <c r="OL53" s="67">
        <f t="shared" si="467"/>
        <v>0</v>
      </c>
      <c r="OM53" s="67">
        <f t="shared" si="468"/>
        <v>0</v>
      </c>
      <c r="OO53" s="155">
        <f t="shared" si="469"/>
        <v>0</v>
      </c>
      <c r="OP53" s="155">
        <f t="shared" si="470"/>
        <v>0</v>
      </c>
      <c r="OQ53" s="155">
        <f t="shared" si="471"/>
        <v>1</v>
      </c>
      <c r="OR53" s="155">
        <f t="shared" si="472"/>
        <v>0</v>
      </c>
      <c r="OS53" s="155">
        <f t="shared" si="473"/>
        <v>1</v>
      </c>
      <c r="OT53" s="67">
        <f t="shared" si="474"/>
        <v>0</v>
      </c>
      <c r="OU53" s="67">
        <f t="shared" si="475"/>
        <v>0</v>
      </c>
      <c r="OV53" s="67">
        <f t="shared" si="476"/>
        <v>0</v>
      </c>
      <c r="OW53" s="67">
        <f t="shared" si="477"/>
        <v>0</v>
      </c>
      <c r="OZ53" s="163"/>
      <c r="PA53" s="166"/>
      <c r="PB53" s="166">
        <v>1</v>
      </c>
      <c r="PC53" s="166"/>
      <c r="PD53" s="210">
        <f t="shared" si="125"/>
        <v>1</v>
      </c>
      <c r="PE53" s="210">
        <v>1</v>
      </c>
      <c r="PF53" s="210">
        <f t="shared" si="126"/>
        <v>0</v>
      </c>
      <c r="PG53" s="210">
        <f t="shared" si="646"/>
        <v>0</v>
      </c>
      <c r="PH53" s="210">
        <f t="shared" si="646"/>
        <v>234</v>
      </c>
      <c r="PI53" s="210">
        <f t="shared" si="646"/>
        <v>0</v>
      </c>
      <c r="PJ53" s="210">
        <f t="shared" si="645"/>
        <v>234</v>
      </c>
      <c r="PK53" s="210">
        <f t="shared" si="645"/>
        <v>234</v>
      </c>
      <c r="PL53" s="210">
        <f t="shared" si="645"/>
        <v>0</v>
      </c>
      <c r="PM53" s="164"/>
      <c r="PN53" s="164"/>
      <c r="PO53" s="172">
        <f t="shared" si="642"/>
        <v>0</v>
      </c>
      <c r="PP53" s="172">
        <f t="shared" si="643"/>
        <v>0</v>
      </c>
      <c r="PQ53" s="172">
        <f t="shared" si="644"/>
        <v>0</v>
      </c>
      <c r="PR53" s="164"/>
      <c r="PS53" s="164"/>
      <c r="PT53" s="164"/>
      <c r="PU53" s="164"/>
    </row>
    <row r="54" spans="1:437 16383:16384" ht="16" x14ac:dyDescent="0.2">
      <c r="A54" s="19">
        <f t="shared" si="189"/>
        <v>46</v>
      </c>
      <c r="B54" s="158" t="s">
        <v>680</v>
      </c>
      <c r="C54" s="186">
        <v>22</v>
      </c>
      <c r="D54" s="188">
        <v>1</v>
      </c>
      <c r="E54" s="188">
        <v>458</v>
      </c>
      <c r="F54" s="188">
        <v>1</v>
      </c>
      <c r="G54" s="188">
        <f t="shared" si="478"/>
        <v>458</v>
      </c>
      <c r="H54" s="214">
        <f t="shared" si="487"/>
        <v>1</v>
      </c>
      <c r="I54" s="214">
        <f t="shared" si="488"/>
        <v>1</v>
      </c>
      <c r="J54" s="188">
        <v>1</v>
      </c>
      <c r="K54" s="188">
        <f t="shared" si="489"/>
        <v>458</v>
      </c>
      <c r="L54" s="214">
        <f t="shared" si="490"/>
        <v>1</v>
      </c>
      <c r="M54" s="214">
        <f t="shared" si="491"/>
        <v>1</v>
      </c>
      <c r="N54" s="188">
        <v>1</v>
      </c>
      <c r="O54" s="188">
        <f t="shared" si="492"/>
        <v>458</v>
      </c>
      <c r="P54" s="137">
        <f t="shared" si="493"/>
        <v>1</v>
      </c>
      <c r="Q54" s="137">
        <f t="shared" si="494"/>
        <v>1</v>
      </c>
      <c r="R54" s="20">
        <v>0</v>
      </c>
      <c r="S54" s="20">
        <f t="shared" si="495"/>
        <v>0</v>
      </c>
      <c r="T54" s="137">
        <f t="shared" si="496"/>
        <v>0</v>
      </c>
      <c r="U54" s="137">
        <f t="shared" si="497"/>
        <v>0</v>
      </c>
      <c r="V54" s="20">
        <v>0</v>
      </c>
      <c r="W54" s="20">
        <f t="shared" si="498"/>
        <v>0</v>
      </c>
      <c r="X54" s="137">
        <f t="shared" si="499"/>
        <v>0</v>
      </c>
      <c r="Y54" s="137">
        <f t="shared" si="500"/>
        <v>0</v>
      </c>
      <c r="Z54" s="59">
        <v>0</v>
      </c>
      <c r="AA54" s="20"/>
      <c r="AB54" s="17">
        <f t="shared" si="501"/>
        <v>0</v>
      </c>
      <c r="AC54" s="18">
        <f t="shared" si="502"/>
        <v>0</v>
      </c>
      <c r="AD54" s="18">
        <f t="shared" si="503"/>
        <v>0</v>
      </c>
      <c r="AE54" s="20"/>
      <c r="AF54" s="20">
        <f t="shared" si="504"/>
        <v>0</v>
      </c>
      <c r="AG54" s="20"/>
      <c r="AH54" s="20"/>
      <c r="AI54" s="20">
        <v>0</v>
      </c>
      <c r="AJ54" s="20">
        <f t="shared" si="505"/>
        <v>0</v>
      </c>
      <c r="AK54" s="20"/>
      <c r="AL54" s="20">
        <v>0</v>
      </c>
      <c r="AM54" s="20">
        <v>0</v>
      </c>
      <c r="AN54" s="139">
        <v>1</v>
      </c>
      <c r="BB54" s="20">
        <f t="shared" si="506"/>
        <v>458</v>
      </c>
      <c r="BE54" s="20">
        <f t="shared" si="507"/>
        <v>0</v>
      </c>
      <c r="BF54" s="20">
        <f t="shared" si="508"/>
        <v>0</v>
      </c>
      <c r="BG54" s="20">
        <f t="shared" si="509"/>
        <v>0</v>
      </c>
      <c r="BH54" s="20">
        <f t="shared" si="510"/>
        <v>0</v>
      </c>
      <c r="BI54" s="20">
        <f t="shared" si="511"/>
        <v>0</v>
      </c>
      <c r="BJ54" s="20">
        <f t="shared" si="512"/>
        <v>0</v>
      </c>
      <c r="BK54" s="20">
        <f t="shared" si="513"/>
        <v>0</v>
      </c>
      <c r="BN54" s="143"/>
      <c r="BO54" s="126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B54" s="139"/>
      <c r="CD54" s="17">
        <f t="shared" si="514"/>
        <v>0</v>
      </c>
      <c r="CE54" s="17">
        <f t="shared" si="515"/>
        <v>0</v>
      </c>
      <c r="CF54" s="20">
        <f t="shared" si="516"/>
        <v>0</v>
      </c>
      <c r="CG54" s="20">
        <f t="shared" si="517"/>
        <v>0</v>
      </c>
      <c r="CH54" s="20">
        <f t="shared" si="518"/>
        <v>0</v>
      </c>
      <c r="CI54" s="20">
        <f t="shared" si="519"/>
        <v>0</v>
      </c>
      <c r="CJ54" s="20">
        <f t="shared" si="520"/>
        <v>0</v>
      </c>
      <c r="CK54" s="20">
        <f t="shared" si="521"/>
        <v>0</v>
      </c>
      <c r="CL54" s="20">
        <f t="shared" si="522"/>
        <v>0</v>
      </c>
      <c r="CM54" s="20">
        <f t="shared" si="523"/>
        <v>0</v>
      </c>
      <c r="CN54" s="20">
        <f t="shared" si="524"/>
        <v>0</v>
      </c>
      <c r="CO54" s="20">
        <f t="shared" si="525"/>
        <v>0</v>
      </c>
      <c r="CP54" s="20">
        <f t="shared" si="526"/>
        <v>0</v>
      </c>
      <c r="DV54" s="20">
        <f t="shared" si="527"/>
        <v>0</v>
      </c>
      <c r="DW54" s="20">
        <f t="shared" si="528"/>
        <v>0</v>
      </c>
      <c r="DX54" s="20">
        <f t="shared" si="529"/>
        <v>0</v>
      </c>
      <c r="DY54" s="20">
        <f t="shared" si="530"/>
        <v>0</v>
      </c>
      <c r="DZ54" s="20">
        <f t="shared" si="531"/>
        <v>0</v>
      </c>
      <c r="EA54" s="20">
        <f t="shared" si="532"/>
        <v>0</v>
      </c>
      <c r="EB54" s="20">
        <f t="shared" si="533"/>
        <v>0</v>
      </c>
      <c r="EG54" s="57">
        <f t="shared" si="534"/>
        <v>0</v>
      </c>
      <c r="EH54" s="57">
        <f t="shared" si="535"/>
        <v>0</v>
      </c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X54" s="80"/>
      <c r="FY54" s="17">
        <f t="shared" si="536"/>
        <v>0</v>
      </c>
      <c r="FZ54" s="17">
        <f t="shared" si="537"/>
        <v>0</v>
      </c>
      <c r="GA54" s="17">
        <f t="shared" si="538"/>
        <v>0</v>
      </c>
      <c r="GB54" s="17">
        <f t="shared" si="539"/>
        <v>0</v>
      </c>
      <c r="GC54" s="17">
        <f t="shared" si="540"/>
        <v>0</v>
      </c>
      <c r="GD54" s="17">
        <f t="shared" si="541"/>
        <v>0</v>
      </c>
      <c r="GE54" s="17">
        <f t="shared" si="542"/>
        <v>0</v>
      </c>
      <c r="GF54" s="67"/>
      <c r="GG54" s="17">
        <v>0</v>
      </c>
      <c r="GH54" s="17">
        <v>0</v>
      </c>
      <c r="GI54" s="67"/>
      <c r="GJ54" s="62">
        <f t="shared" si="543"/>
        <v>0</v>
      </c>
      <c r="GK54" s="62">
        <f t="shared" si="544"/>
        <v>0</v>
      </c>
      <c r="GO54" s="17">
        <f t="shared" si="545"/>
        <v>0</v>
      </c>
      <c r="GP54" s="17">
        <f t="shared" si="546"/>
        <v>0</v>
      </c>
      <c r="GQ54" s="17">
        <f t="shared" si="547"/>
        <v>0</v>
      </c>
      <c r="GR54" s="17">
        <f t="shared" si="548"/>
        <v>1</v>
      </c>
      <c r="GS54" s="17">
        <f t="shared" si="549"/>
        <v>1</v>
      </c>
      <c r="GT54" s="17">
        <f t="shared" si="550"/>
        <v>0</v>
      </c>
      <c r="GU54" s="101">
        <f t="shared" si="143"/>
        <v>43243</v>
      </c>
      <c r="GV54" s="17" t="str">
        <f t="shared" si="551"/>
        <v>Musyawarah</v>
      </c>
      <c r="GW54" s="17">
        <f t="shared" si="552"/>
        <v>1</v>
      </c>
      <c r="GX54" s="66" t="str">
        <f t="shared" si="553"/>
        <v>Musyawarah</v>
      </c>
      <c r="GY54" s="66">
        <f t="shared" si="554"/>
        <v>24</v>
      </c>
      <c r="GZ54" s="102">
        <f t="shared" si="555"/>
        <v>43267</v>
      </c>
      <c r="HA54" s="83"/>
      <c r="HB54" s="83"/>
      <c r="HC54" s="17">
        <f t="shared" si="556"/>
        <v>0</v>
      </c>
      <c r="HD54" s="17">
        <f t="shared" si="557"/>
        <v>0</v>
      </c>
      <c r="HE54" s="17">
        <f t="shared" si="558"/>
        <v>0</v>
      </c>
      <c r="HF54" s="17">
        <f t="shared" si="559"/>
        <v>0</v>
      </c>
      <c r="HG54" s="17">
        <f t="shared" si="560"/>
        <v>0</v>
      </c>
      <c r="HH54" s="101" t="str">
        <f t="shared" si="561"/>
        <v>TIDAK KONSINYASI</v>
      </c>
      <c r="HI54" s="101">
        <f t="shared" si="562"/>
        <v>43312</v>
      </c>
      <c r="HJ54" s="27"/>
      <c r="HK54" s="101">
        <f t="shared" si="563"/>
        <v>43312</v>
      </c>
      <c r="HL54" s="83"/>
      <c r="HM54" s="83"/>
      <c r="HN54" s="83"/>
      <c r="HO54" s="83"/>
      <c r="HP54" s="102">
        <f t="shared" si="564"/>
        <v>0</v>
      </c>
      <c r="HQ54" s="66">
        <f t="shared" si="565"/>
        <v>0</v>
      </c>
      <c r="HR54" s="66">
        <f t="shared" si="566"/>
        <v>0</v>
      </c>
      <c r="HS54" s="102">
        <f t="shared" si="567"/>
        <v>0</v>
      </c>
      <c r="HT54" s="66">
        <f t="shared" si="568"/>
        <v>0</v>
      </c>
      <c r="HU54" s="66">
        <f t="shared" si="569"/>
        <v>0</v>
      </c>
      <c r="HV54" s="102">
        <f t="shared" si="570"/>
        <v>0</v>
      </c>
      <c r="HW54" s="66">
        <f t="shared" si="571"/>
        <v>0</v>
      </c>
      <c r="HX54" s="66">
        <f t="shared" si="572"/>
        <v>0</v>
      </c>
      <c r="HY54" s="102">
        <f t="shared" si="573"/>
        <v>0</v>
      </c>
      <c r="HZ54" s="66">
        <f t="shared" si="574"/>
        <v>0</v>
      </c>
      <c r="IA54" s="66">
        <f t="shared" si="575"/>
        <v>0</v>
      </c>
      <c r="IB54" s="102">
        <f t="shared" si="576"/>
        <v>0</v>
      </c>
      <c r="IC54" s="66">
        <f t="shared" si="577"/>
        <v>0</v>
      </c>
      <c r="ID54" s="66">
        <f t="shared" si="578"/>
        <v>0</v>
      </c>
      <c r="IE54" s="102">
        <f t="shared" si="579"/>
        <v>0</v>
      </c>
      <c r="IF54" s="66">
        <f t="shared" si="580"/>
        <v>0</v>
      </c>
      <c r="IG54" s="66">
        <f t="shared" si="581"/>
        <v>0</v>
      </c>
      <c r="IH54" s="102">
        <f t="shared" si="582"/>
        <v>0</v>
      </c>
      <c r="II54" s="66">
        <f t="shared" si="583"/>
        <v>0</v>
      </c>
      <c r="IJ54" s="66">
        <f t="shared" si="584"/>
        <v>0</v>
      </c>
      <c r="IK54" s="102">
        <f t="shared" si="585"/>
        <v>0</v>
      </c>
      <c r="IL54" s="66">
        <f t="shared" si="586"/>
        <v>0</v>
      </c>
      <c r="IM54" s="66">
        <f t="shared" si="587"/>
        <v>0</v>
      </c>
      <c r="IN54" s="83"/>
      <c r="IO54" s="102">
        <f t="shared" si="588"/>
        <v>0</v>
      </c>
      <c r="IP54" s="66">
        <f t="shared" si="589"/>
        <v>0</v>
      </c>
      <c r="IQ54" s="66">
        <f t="shared" si="590"/>
        <v>0</v>
      </c>
      <c r="IR54" s="83"/>
      <c r="IS54" s="102"/>
      <c r="IT54" s="66">
        <f t="shared" si="591"/>
        <v>0</v>
      </c>
      <c r="IU54" s="66">
        <f t="shared" si="592"/>
        <v>0</v>
      </c>
      <c r="IV54" s="83"/>
      <c r="IW54" s="102"/>
      <c r="IX54" s="66">
        <f t="shared" si="593"/>
        <v>0</v>
      </c>
      <c r="IY54" s="66">
        <f t="shared" si="594"/>
        <v>0</v>
      </c>
      <c r="IZ54" s="83"/>
      <c r="JA54" s="102"/>
      <c r="JB54" s="66">
        <f t="shared" si="595"/>
        <v>1</v>
      </c>
      <c r="JC54" s="66">
        <f t="shared" si="596"/>
        <v>458</v>
      </c>
      <c r="JD54" s="83"/>
      <c r="JE54" s="102"/>
      <c r="JF54" s="66">
        <f t="shared" si="597"/>
        <v>1</v>
      </c>
      <c r="JG54" s="66">
        <f t="shared" si="598"/>
        <v>458</v>
      </c>
      <c r="JH54" s="83"/>
      <c r="JI54" s="102"/>
      <c r="JJ54" s="66">
        <f t="shared" si="599"/>
        <v>0</v>
      </c>
      <c r="JK54" s="66">
        <f t="shared" si="600"/>
        <v>0</v>
      </c>
      <c r="JM54" s="102">
        <f t="shared" si="601"/>
        <v>0</v>
      </c>
      <c r="JO54" s="29">
        <f t="shared" si="602"/>
        <v>0</v>
      </c>
      <c r="JP54" s="122">
        <f t="shared" si="603"/>
        <v>0</v>
      </c>
      <c r="JQ54" s="122">
        <f t="shared" si="604"/>
        <v>0</v>
      </c>
      <c r="JR54" s="122">
        <f t="shared" si="605"/>
        <v>0</v>
      </c>
      <c r="JS54" s="122">
        <f t="shared" si="606"/>
        <v>0</v>
      </c>
      <c r="JT54" s="122">
        <f t="shared" si="607"/>
        <v>0</v>
      </c>
      <c r="JU54" s="122">
        <f t="shared" si="608"/>
        <v>0</v>
      </c>
      <c r="JV54" s="122">
        <f t="shared" si="609"/>
        <v>0</v>
      </c>
      <c r="JW54" s="122">
        <f t="shared" si="610"/>
        <v>0</v>
      </c>
      <c r="JX54" s="122">
        <f t="shared" si="611"/>
        <v>0</v>
      </c>
      <c r="JY54" s="122">
        <f t="shared" si="612"/>
        <v>0</v>
      </c>
      <c r="JZ54" s="122">
        <f t="shared" si="613"/>
        <v>0</v>
      </c>
      <c r="KA54" s="122">
        <f t="shared" si="614"/>
        <v>0</v>
      </c>
      <c r="KB54" s="122">
        <f t="shared" si="615"/>
        <v>0</v>
      </c>
      <c r="KD54" s="122">
        <f t="shared" si="616"/>
        <v>0</v>
      </c>
      <c r="KE54" s="122">
        <f t="shared" si="617"/>
        <v>0</v>
      </c>
      <c r="KF54" s="122">
        <f t="shared" si="618"/>
        <v>0</v>
      </c>
      <c r="KG54" s="122">
        <f t="shared" si="619"/>
        <v>0</v>
      </c>
      <c r="KH54" s="122">
        <f t="shared" si="620"/>
        <v>0</v>
      </c>
      <c r="KI54" s="122">
        <f t="shared" si="621"/>
        <v>0</v>
      </c>
      <c r="KJ54" s="122">
        <f t="shared" si="622"/>
        <v>0</v>
      </c>
      <c r="KK54" s="122">
        <f t="shared" si="623"/>
        <v>0</v>
      </c>
      <c r="KL54" s="122">
        <f t="shared" si="624"/>
        <v>0</v>
      </c>
      <c r="KM54" s="122">
        <f t="shared" si="625"/>
        <v>0</v>
      </c>
      <c r="KN54" s="123">
        <f t="shared" si="626"/>
        <v>0</v>
      </c>
      <c r="KO54" s="123">
        <f t="shared" si="627"/>
        <v>0</v>
      </c>
      <c r="KP54" s="123">
        <f t="shared" si="628"/>
        <v>0</v>
      </c>
      <c r="KQ54" s="123">
        <f t="shared" si="629"/>
        <v>0</v>
      </c>
      <c r="KR54" s="123">
        <f t="shared" si="630"/>
        <v>0</v>
      </c>
      <c r="KS54">
        <v>7</v>
      </c>
      <c r="KT54">
        <f t="shared" si="631"/>
        <v>1</v>
      </c>
      <c r="KU54" s="123"/>
      <c r="KV54" s="123"/>
      <c r="KW54" s="123"/>
      <c r="KX54" s="123"/>
      <c r="KY54" s="123"/>
      <c r="KZ54" s="123"/>
      <c r="LA54" s="123"/>
      <c r="LB54" s="123"/>
      <c r="LC54" s="123"/>
      <c r="LD54" s="123"/>
      <c r="LE54" s="123"/>
      <c r="LF54" s="123"/>
      <c r="LG54" s="123"/>
      <c r="LH54" s="123"/>
      <c r="LI54" s="123"/>
      <c r="LJ54" s="123"/>
      <c r="LK54" s="123"/>
      <c r="LL54" s="123"/>
      <c r="LM54" s="123"/>
      <c r="LN54" s="123"/>
      <c r="LO54" s="123"/>
      <c r="LP54" s="123"/>
      <c r="LQ54" s="123"/>
      <c r="LR54" s="123"/>
      <c r="LS54" s="123"/>
      <c r="LT54" s="123"/>
      <c r="LU54" s="123"/>
      <c r="LV54" s="123"/>
      <c r="LW54" s="123"/>
      <c r="LX54" s="123"/>
      <c r="LY54" s="123"/>
      <c r="LZ54" s="123"/>
      <c r="MA54" s="123"/>
      <c r="MB54" s="123"/>
      <c r="MC54" s="123"/>
      <c r="MD54" s="123"/>
      <c r="ME54" s="123"/>
      <c r="MF54" s="123"/>
      <c r="MG54" s="123"/>
      <c r="MH54" s="123"/>
      <c r="MI54" s="123"/>
      <c r="MJ54" s="123"/>
      <c r="MK54" s="123"/>
      <c r="ML54" s="123"/>
      <c r="MM54" s="123"/>
      <c r="MN54" s="123"/>
      <c r="MO54" s="123"/>
      <c r="MP54" s="123"/>
      <c r="MQ54" s="123"/>
      <c r="MR54" s="123"/>
      <c r="MS54" s="123"/>
      <c r="MT54" s="123"/>
      <c r="MU54" s="123"/>
      <c r="MV54" s="123"/>
      <c r="MW54" s="123"/>
      <c r="MX54" s="123"/>
      <c r="MY54" s="123"/>
      <c r="MZ54" s="123"/>
      <c r="NA54" s="123"/>
      <c r="NB54" s="123"/>
      <c r="NC54" s="123"/>
      <c r="ND54" s="123"/>
      <c r="NE54" s="123"/>
      <c r="NF54" s="123"/>
      <c r="NG54" s="123"/>
      <c r="NH54" s="123"/>
      <c r="NI54" s="123"/>
      <c r="NJ54" s="123"/>
      <c r="NK54" s="123"/>
      <c r="NM54">
        <f t="shared" si="632"/>
        <v>0</v>
      </c>
      <c r="NN54">
        <f t="shared" si="633"/>
        <v>0</v>
      </c>
      <c r="NO54">
        <f t="shared" si="634"/>
        <v>0</v>
      </c>
      <c r="NP54">
        <f t="shared" si="635"/>
        <v>0</v>
      </c>
      <c r="NQ54">
        <f t="shared" si="636"/>
        <v>0</v>
      </c>
      <c r="NR54">
        <f t="shared" si="637"/>
        <v>0</v>
      </c>
      <c r="NS54">
        <f t="shared" si="638"/>
        <v>1</v>
      </c>
      <c r="NT54">
        <f t="shared" si="639"/>
        <v>1</v>
      </c>
      <c r="NU54" s="29">
        <f t="shared" si="640"/>
        <v>0</v>
      </c>
      <c r="NY54" s="17">
        <f t="shared" si="641"/>
        <v>0</v>
      </c>
      <c r="OE54" s="155"/>
      <c r="OF54" s="155">
        <f t="shared" si="461"/>
        <v>0</v>
      </c>
      <c r="OG54" s="155">
        <f t="shared" si="462"/>
        <v>1</v>
      </c>
      <c r="OH54" s="155">
        <f t="shared" si="463"/>
        <v>0</v>
      </c>
      <c r="OI54" s="155">
        <f t="shared" si="464"/>
        <v>1</v>
      </c>
      <c r="OJ54" s="67">
        <f t="shared" si="465"/>
        <v>0</v>
      </c>
      <c r="OK54" s="67">
        <f t="shared" si="466"/>
        <v>0</v>
      </c>
      <c r="OL54" s="67">
        <f t="shared" si="467"/>
        <v>0</v>
      </c>
      <c r="OM54" s="67">
        <f t="shared" si="468"/>
        <v>0</v>
      </c>
      <c r="OO54" s="155">
        <f t="shared" si="469"/>
        <v>0</v>
      </c>
      <c r="OP54" s="155">
        <f t="shared" si="470"/>
        <v>0</v>
      </c>
      <c r="OQ54" s="155">
        <f t="shared" si="471"/>
        <v>1</v>
      </c>
      <c r="OR54" s="155">
        <f t="shared" si="472"/>
        <v>0</v>
      </c>
      <c r="OS54" s="155">
        <f t="shared" si="473"/>
        <v>1</v>
      </c>
      <c r="OT54" s="67">
        <f t="shared" si="474"/>
        <v>0</v>
      </c>
      <c r="OU54" s="67">
        <f t="shared" si="475"/>
        <v>0</v>
      </c>
      <c r="OV54" s="67">
        <f t="shared" si="476"/>
        <v>0</v>
      </c>
      <c r="OW54" s="67">
        <f t="shared" si="477"/>
        <v>0</v>
      </c>
      <c r="OZ54" s="163"/>
      <c r="PA54" s="166"/>
      <c r="PB54" s="166">
        <v>1</v>
      </c>
      <c r="PC54" s="166"/>
      <c r="PD54" s="210">
        <f t="shared" si="125"/>
        <v>1</v>
      </c>
      <c r="PE54" s="210">
        <v>1</v>
      </c>
      <c r="PF54" s="210">
        <f t="shared" si="126"/>
        <v>0</v>
      </c>
      <c r="PG54" s="210">
        <f t="shared" si="646"/>
        <v>0</v>
      </c>
      <c r="PH54" s="210">
        <f t="shared" si="646"/>
        <v>458</v>
      </c>
      <c r="PI54" s="210">
        <f t="shared" si="646"/>
        <v>0</v>
      </c>
      <c r="PJ54" s="210">
        <f t="shared" si="645"/>
        <v>458</v>
      </c>
      <c r="PK54" s="210">
        <f t="shared" si="645"/>
        <v>458</v>
      </c>
      <c r="PL54" s="210">
        <f t="shared" si="645"/>
        <v>0</v>
      </c>
      <c r="PM54" s="164"/>
      <c r="PN54" s="164"/>
      <c r="PO54" s="172">
        <f t="shared" si="642"/>
        <v>0</v>
      </c>
      <c r="PP54" s="172">
        <f t="shared" si="643"/>
        <v>0</v>
      </c>
      <c r="PQ54" s="172">
        <f t="shared" si="644"/>
        <v>0</v>
      </c>
      <c r="PR54" s="164"/>
      <c r="PS54" s="164"/>
      <c r="PT54" s="164"/>
      <c r="PU54" s="164"/>
    </row>
    <row r="55" spans="1:437 16383:16384" ht="16" x14ac:dyDescent="0.2">
      <c r="A55" s="19">
        <f t="shared" si="189"/>
        <v>47</v>
      </c>
      <c r="B55" s="158" t="s">
        <v>682</v>
      </c>
      <c r="C55" s="186">
        <v>23</v>
      </c>
      <c r="D55" s="188">
        <v>1</v>
      </c>
      <c r="E55" s="188">
        <v>117</v>
      </c>
      <c r="F55" s="188">
        <v>1</v>
      </c>
      <c r="G55" s="188">
        <f t="shared" si="478"/>
        <v>117</v>
      </c>
      <c r="H55" s="214">
        <f t="shared" si="487"/>
        <v>1</v>
      </c>
      <c r="I55" s="214">
        <f t="shared" si="488"/>
        <v>1</v>
      </c>
      <c r="J55" s="188">
        <v>1</v>
      </c>
      <c r="K55" s="188">
        <f t="shared" si="489"/>
        <v>117</v>
      </c>
      <c r="L55" s="214">
        <f t="shared" si="490"/>
        <v>1</v>
      </c>
      <c r="M55" s="214">
        <f t="shared" si="491"/>
        <v>1</v>
      </c>
      <c r="N55" s="188">
        <v>1</v>
      </c>
      <c r="O55" s="188">
        <f t="shared" si="492"/>
        <v>117</v>
      </c>
      <c r="P55" s="137">
        <f t="shared" si="493"/>
        <v>1</v>
      </c>
      <c r="Q55" s="137">
        <f t="shared" si="494"/>
        <v>1</v>
      </c>
      <c r="R55" s="20">
        <v>0</v>
      </c>
      <c r="S55" s="20">
        <f t="shared" si="495"/>
        <v>0</v>
      </c>
      <c r="T55" s="137">
        <f t="shared" si="496"/>
        <v>0</v>
      </c>
      <c r="U55" s="137">
        <f t="shared" si="497"/>
        <v>0</v>
      </c>
      <c r="V55" s="20">
        <v>0</v>
      </c>
      <c r="W55" s="20">
        <f t="shared" si="498"/>
        <v>0</v>
      </c>
      <c r="X55" s="137">
        <f t="shared" si="499"/>
        <v>0</v>
      </c>
      <c r="Y55" s="137">
        <f t="shared" si="500"/>
        <v>0</v>
      </c>
      <c r="Z55" s="59">
        <v>0</v>
      </c>
      <c r="AA55" s="20"/>
      <c r="AB55" s="17">
        <f t="shared" si="501"/>
        <v>0</v>
      </c>
      <c r="AC55" s="18">
        <f t="shared" si="502"/>
        <v>0</v>
      </c>
      <c r="AD55" s="18">
        <f t="shared" si="503"/>
        <v>0</v>
      </c>
      <c r="AE55" s="20"/>
      <c r="AF55" s="20">
        <f t="shared" si="504"/>
        <v>0</v>
      </c>
      <c r="AG55" s="20"/>
      <c r="AH55" s="20"/>
      <c r="AI55" s="20">
        <v>0</v>
      </c>
      <c r="AJ55" s="20">
        <f t="shared" si="505"/>
        <v>0</v>
      </c>
      <c r="AK55" s="20"/>
      <c r="AL55" s="20">
        <v>0</v>
      </c>
      <c r="AM55" s="20">
        <v>0</v>
      </c>
      <c r="AN55" s="139">
        <v>1</v>
      </c>
      <c r="BB55" s="20">
        <f t="shared" si="506"/>
        <v>117</v>
      </c>
      <c r="BE55" s="20">
        <f t="shared" si="507"/>
        <v>0</v>
      </c>
      <c r="BF55" s="20">
        <f t="shared" si="508"/>
        <v>0</v>
      </c>
      <c r="BG55" s="20">
        <f t="shared" si="509"/>
        <v>0</v>
      </c>
      <c r="BH55" s="20">
        <f t="shared" si="510"/>
        <v>0</v>
      </c>
      <c r="BI55" s="20">
        <f t="shared" si="511"/>
        <v>0</v>
      </c>
      <c r="BJ55" s="20">
        <f t="shared" si="512"/>
        <v>0</v>
      </c>
      <c r="BK55" s="20">
        <f t="shared" si="513"/>
        <v>0</v>
      </c>
      <c r="BN55" s="143"/>
      <c r="BO55" s="126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B55" s="139"/>
      <c r="CD55" s="17">
        <f t="shared" si="514"/>
        <v>0</v>
      </c>
      <c r="CE55" s="17">
        <f t="shared" si="515"/>
        <v>0</v>
      </c>
      <c r="CF55" s="20">
        <f t="shared" si="516"/>
        <v>0</v>
      </c>
      <c r="CG55" s="20">
        <f t="shared" si="517"/>
        <v>0</v>
      </c>
      <c r="CH55" s="20">
        <f t="shared" si="518"/>
        <v>0</v>
      </c>
      <c r="CI55" s="20">
        <f t="shared" si="519"/>
        <v>0</v>
      </c>
      <c r="CJ55" s="20">
        <f t="shared" si="520"/>
        <v>0</v>
      </c>
      <c r="CK55" s="20">
        <f t="shared" si="521"/>
        <v>0</v>
      </c>
      <c r="CL55" s="20">
        <f t="shared" si="522"/>
        <v>0</v>
      </c>
      <c r="CM55" s="20">
        <f t="shared" si="523"/>
        <v>0</v>
      </c>
      <c r="CN55" s="20">
        <f t="shared" si="524"/>
        <v>0</v>
      </c>
      <c r="CO55" s="20">
        <f t="shared" si="525"/>
        <v>0</v>
      </c>
      <c r="CP55" s="20">
        <f t="shared" si="526"/>
        <v>0</v>
      </c>
      <c r="DV55" s="20">
        <f t="shared" si="527"/>
        <v>0</v>
      </c>
      <c r="DW55" s="20">
        <f t="shared" si="528"/>
        <v>0</v>
      </c>
      <c r="DX55" s="20">
        <f t="shared" si="529"/>
        <v>0</v>
      </c>
      <c r="DY55" s="20">
        <f t="shared" si="530"/>
        <v>0</v>
      </c>
      <c r="DZ55" s="20">
        <f t="shared" si="531"/>
        <v>0</v>
      </c>
      <c r="EA55" s="20">
        <f t="shared" si="532"/>
        <v>0</v>
      </c>
      <c r="EB55" s="20">
        <f t="shared" si="533"/>
        <v>0</v>
      </c>
      <c r="EG55" s="57">
        <f t="shared" si="534"/>
        <v>0</v>
      </c>
      <c r="EH55" s="57">
        <f t="shared" si="535"/>
        <v>0</v>
      </c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X55" s="80"/>
      <c r="FY55" s="17">
        <f t="shared" si="536"/>
        <v>0</v>
      </c>
      <c r="FZ55" s="17">
        <f t="shared" si="537"/>
        <v>0</v>
      </c>
      <c r="GA55" s="17">
        <f t="shared" si="538"/>
        <v>0</v>
      </c>
      <c r="GB55" s="17">
        <f t="shared" si="539"/>
        <v>0</v>
      </c>
      <c r="GC55" s="17">
        <f t="shared" si="540"/>
        <v>0</v>
      </c>
      <c r="GD55" s="17">
        <f t="shared" si="541"/>
        <v>0</v>
      </c>
      <c r="GE55" s="17">
        <f t="shared" si="542"/>
        <v>0</v>
      </c>
      <c r="GF55" s="67"/>
      <c r="GG55" s="17">
        <v>0</v>
      </c>
      <c r="GH55" s="17">
        <v>0</v>
      </c>
      <c r="GI55" s="67"/>
      <c r="GJ55" s="62">
        <f t="shared" si="543"/>
        <v>0</v>
      </c>
      <c r="GK55" s="62">
        <f t="shared" si="544"/>
        <v>0</v>
      </c>
      <c r="GO55" s="17">
        <f t="shared" si="545"/>
        <v>0</v>
      </c>
      <c r="GP55" s="17">
        <f t="shared" si="546"/>
        <v>0</v>
      </c>
      <c r="GQ55" s="17">
        <f t="shared" si="547"/>
        <v>0</v>
      </c>
      <c r="GR55" s="17">
        <f t="shared" si="548"/>
        <v>1</v>
      </c>
      <c r="GS55" s="17">
        <f t="shared" si="549"/>
        <v>1</v>
      </c>
      <c r="GT55" s="17">
        <f t="shared" si="550"/>
        <v>0</v>
      </c>
      <c r="GU55" s="101">
        <f t="shared" si="143"/>
        <v>43243</v>
      </c>
      <c r="GV55" s="17" t="str">
        <f t="shared" si="551"/>
        <v>Musyawarah</v>
      </c>
      <c r="GW55" s="17">
        <f t="shared" si="552"/>
        <v>1</v>
      </c>
      <c r="GX55" s="66" t="str">
        <f t="shared" si="553"/>
        <v>Musyawarah</v>
      </c>
      <c r="GY55" s="66">
        <f t="shared" si="554"/>
        <v>24</v>
      </c>
      <c r="GZ55" s="102">
        <f t="shared" si="555"/>
        <v>43267</v>
      </c>
      <c r="HA55" s="83"/>
      <c r="HB55" s="83"/>
      <c r="HC55" s="17">
        <f t="shared" si="556"/>
        <v>0</v>
      </c>
      <c r="HD55" s="17">
        <f t="shared" si="557"/>
        <v>0</v>
      </c>
      <c r="HE55" s="17">
        <f t="shared" si="558"/>
        <v>0</v>
      </c>
      <c r="HF55" s="17">
        <f t="shared" si="559"/>
        <v>0</v>
      </c>
      <c r="HG55" s="17">
        <f t="shared" si="560"/>
        <v>0</v>
      </c>
      <c r="HH55" s="101" t="str">
        <f t="shared" si="561"/>
        <v>TIDAK KONSINYASI</v>
      </c>
      <c r="HI55" s="101">
        <f t="shared" si="562"/>
        <v>43312</v>
      </c>
      <c r="HJ55" s="27"/>
      <c r="HK55" s="101">
        <f t="shared" si="563"/>
        <v>43312</v>
      </c>
      <c r="HL55" s="83"/>
      <c r="HM55" s="83"/>
      <c r="HN55" s="83"/>
      <c r="HO55" s="83"/>
      <c r="HP55" s="102">
        <f t="shared" si="564"/>
        <v>0</v>
      </c>
      <c r="HQ55" s="66">
        <f t="shared" si="565"/>
        <v>0</v>
      </c>
      <c r="HR55" s="66">
        <f t="shared" si="566"/>
        <v>0</v>
      </c>
      <c r="HS55" s="102">
        <f t="shared" si="567"/>
        <v>0</v>
      </c>
      <c r="HT55" s="66">
        <f t="shared" si="568"/>
        <v>0</v>
      </c>
      <c r="HU55" s="66">
        <f t="shared" si="569"/>
        <v>0</v>
      </c>
      <c r="HV55" s="102">
        <f t="shared" si="570"/>
        <v>0</v>
      </c>
      <c r="HW55" s="66">
        <f t="shared" si="571"/>
        <v>0</v>
      </c>
      <c r="HX55" s="66">
        <f t="shared" si="572"/>
        <v>0</v>
      </c>
      <c r="HY55" s="102">
        <f t="shared" si="573"/>
        <v>0</v>
      </c>
      <c r="HZ55" s="66">
        <f t="shared" si="574"/>
        <v>0</v>
      </c>
      <c r="IA55" s="66">
        <f t="shared" si="575"/>
        <v>0</v>
      </c>
      <c r="IB55" s="102">
        <f t="shared" si="576"/>
        <v>0</v>
      </c>
      <c r="IC55" s="66">
        <f t="shared" si="577"/>
        <v>0</v>
      </c>
      <c r="ID55" s="66">
        <f t="shared" si="578"/>
        <v>0</v>
      </c>
      <c r="IE55" s="102">
        <f t="shared" si="579"/>
        <v>0</v>
      </c>
      <c r="IF55" s="66">
        <f t="shared" si="580"/>
        <v>0</v>
      </c>
      <c r="IG55" s="66">
        <f t="shared" si="581"/>
        <v>0</v>
      </c>
      <c r="IH55" s="102">
        <f t="shared" si="582"/>
        <v>0</v>
      </c>
      <c r="II55" s="66">
        <f t="shared" si="583"/>
        <v>0</v>
      </c>
      <c r="IJ55" s="66">
        <f t="shared" si="584"/>
        <v>0</v>
      </c>
      <c r="IK55" s="102">
        <f t="shared" si="585"/>
        <v>0</v>
      </c>
      <c r="IL55" s="66">
        <f t="shared" si="586"/>
        <v>0</v>
      </c>
      <c r="IM55" s="66">
        <f t="shared" si="587"/>
        <v>0</v>
      </c>
      <c r="IN55" s="83"/>
      <c r="IO55" s="102">
        <f t="shared" si="588"/>
        <v>0</v>
      </c>
      <c r="IP55" s="66">
        <f t="shared" si="589"/>
        <v>0</v>
      </c>
      <c r="IQ55" s="66">
        <f t="shared" si="590"/>
        <v>0</v>
      </c>
      <c r="IR55" s="83"/>
      <c r="IS55" s="102"/>
      <c r="IT55" s="66">
        <f t="shared" si="591"/>
        <v>0</v>
      </c>
      <c r="IU55" s="66">
        <f t="shared" si="592"/>
        <v>0</v>
      </c>
      <c r="IV55" s="83"/>
      <c r="IW55" s="102"/>
      <c r="IX55" s="66">
        <f t="shared" si="593"/>
        <v>0</v>
      </c>
      <c r="IY55" s="66">
        <f t="shared" si="594"/>
        <v>0</v>
      </c>
      <c r="IZ55" s="83"/>
      <c r="JA55" s="102"/>
      <c r="JB55" s="66">
        <f t="shared" si="595"/>
        <v>1</v>
      </c>
      <c r="JC55" s="66">
        <f t="shared" si="596"/>
        <v>117</v>
      </c>
      <c r="JD55" s="83"/>
      <c r="JE55" s="102"/>
      <c r="JF55" s="66">
        <f t="shared" si="597"/>
        <v>1</v>
      </c>
      <c r="JG55" s="66">
        <f t="shared" si="598"/>
        <v>117</v>
      </c>
      <c r="JH55" s="83"/>
      <c r="JI55" s="102"/>
      <c r="JJ55" s="66">
        <f t="shared" si="599"/>
        <v>0</v>
      </c>
      <c r="JK55" s="66">
        <f t="shared" si="600"/>
        <v>0</v>
      </c>
      <c r="JM55" s="102">
        <f t="shared" si="601"/>
        <v>0</v>
      </c>
      <c r="JO55" s="29">
        <f t="shared" si="602"/>
        <v>0</v>
      </c>
      <c r="JP55" s="122">
        <f t="shared" si="603"/>
        <v>0</v>
      </c>
      <c r="JQ55" s="122">
        <f t="shared" si="604"/>
        <v>0</v>
      </c>
      <c r="JR55" s="122">
        <f t="shared" si="605"/>
        <v>0</v>
      </c>
      <c r="JS55" s="122">
        <f t="shared" si="606"/>
        <v>0</v>
      </c>
      <c r="JT55" s="122">
        <f t="shared" si="607"/>
        <v>0</v>
      </c>
      <c r="JU55" s="122">
        <f t="shared" si="608"/>
        <v>0</v>
      </c>
      <c r="JV55" s="122">
        <f t="shared" si="609"/>
        <v>0</v>
      </c>
      <c r="JW55" s="122">
        <f t="shared" si="610"/>
        <v>0</v>
      </c>
      <c r="JX55" s="122">
        <f t="shared" si="611"/>
        <v>0</v>
      </c>
      <c r="JY55" s="122">
        <f t="shared" si="612"/>
        <v>0</v>
      </c>
      <c r="JZ55" s="122">
        <f t="shared" si="613"/>
        <v>0</v>
      </c>
      <c r="KA55" s="122">
        <f t="shared" si="614"/>
        <v>0</v>
      </c>
      <c r="KB55" s="122">
        <f t="shared" si="615"/>
        <v>0</v>
      </c>
      <c r="KD55" s="122">
        <f t="shared" si="616"/>
        <v>0</v>
      </c>
      <c r="KE55" s="122">
        <f t="shared" si="617"/>
        <v>0</v>
      </c>
      <c r="KF55" s="122">
        <f t="shared" si="618"/>
        <v>0</v>
      </c>
      <c r="KG55" s="122">
        <f t="shared" si="619"/>
        <v>0</v>
      </c>
      <c r="KH55" s="122">
        <f t="shared" si="620"/>
        <v>0</v>
      </c>
      <c r="KI55" s="122">
        <f t="shared" si="621"/>
        <v>0</v>
      </c>
      <c r="KJ55" s="122">
        <f t="shared" si="622"/>
        <v>0</v>
      </c>
      <c r="KK55" s="122">
        <f t="shared" si="623"/>
        <v>0</v>
      </c>
      <c r="KL55" s="122">
        <f t="shared" si="624"/>
        <v>0</v>
      </c>
      <c r="KM55" s="122">
        <f t="shared" si="625"/>
        <v>0</v>
      </c>
      <c r="KN55" s="123">
        <f t="shared" si="626"/>
        <v>0</v>
      </c>
      <c r="KO55" s="123">
        <f t="shared" si="627"/>
        <v>0</v>
      </c>
      <c r="KP55" s="123">
        <f t="shared" si="628"/>
        <v>0</v>
      </c>
      <c r="KQ55" s="123">
        <f t="shared" si="629"/>
        <v>0</v>
      </c>
      <c r="KR55" s="123">
        <f t="shared" si="630"/>
        <v>0</v>
      </c>
      <c r="KS55">
        <v>7</v>
      </c>
      <c r="KT55">
        <f t="shared" si="631"/>
        <v>1</v>
      </c>
      <c r="KU55" s="123"/>
      <c r="KV55" s="123"/>
      <c r="KW55" s="123"/>
      <c r="KX55" s="123"/>
      <c r="KY55" s="123"/>
      <c r="KZ55" s="123"/>
      <c r="LA55" s="123"/>
      <c r="LB55" s="123"/>
      <c r="LC55" s="123"/>
      <c r="LD55" s="123"/>
      <c r="LE55" s="123"/>
      <c r="LF55" s="123"/>
      <c r="LG55" s="123"/>
      <c r="LH55" s="123"/>
      <c r="LI55" s="123"/>
      <c r="LJ55" s="123"/>
      <c r="LK55" s="123"/>
      <c r="LL55" s="123"/>
      <c r="LM55" s="123"/>
      <c r="LN55" s="123"/>
      <c r="LO55" s="123"/>
      <c r="LP55" s="123"/>
      <c r="LQ55" s="123"/>
      <c r="LR55" s="123"/>
      <c r="LS55" s="123"/>
      <c r="LT55" s="123"/>
      <c r="LU55" s="123"/>
      <c r="LV55" s="123"/>
      <c r="LW55" s="123"/>
      <c r="LX55" s="123"/>
      <c r="LY55" s="123"/>
      <c r="LZ55" s="123"/>
      <c r="MA55" s="123"/>
      <c r="MB55" s="123"/>
      <c r="MC55" s="123"/>
      <c r="MD55" s="123"/>
      <c r="ME55" s="123"/>
      <c r="MF55" s="123"/>
      <c r="MG55" s="123"/>
      <c r="MH55" s="123"/>
      <c r="MI55" s="123"/>
      <c r="MJ55" s="123"/>
      <c r="MK55" s="123"/>
      <c r="ML55" s="123"/>
      <c r="MM55" s="123"/>
      <c r="MN55" s="123"/>
      <c r="MO55" s="123"/>
      <c r="MP55" s="123"/>
      <c r="MQ55" s="123"/>
      <c r="MR55" s="123"/>
      <c r="MS55" s="123"/>
      <c r="MT55" s="123"/>
      <c r="MU55" s="123"/>
      <c r="MV55" s="123"/>
      <c r="MW55" s="123"/>
      <c r="MX55" s="123"/>
      <c r="MY55" s="123"/>
      <c r="MZ55" s="123"/>
      <c r="NA55" s="123"/>
      <c r="NB55" s="123"/>
      <c r="NC55" s="123"/>
      <c r="ND55" s="123"/>
      <c r="NE55" s="123"/>
      <c r="NF55" s="123"/>
      <c r="NG55" s="123"/>
      <c r="NH55" s="123"/>
      <c r="NI55" s="123"/>
      <c r="NJ55" s="123"/>
      <c r="NK55" s="123"/>
      <c r="NM55">
        <f t="shared" si="632"/>
        <v>0</v>
      </c>
      <c r="NN55">
        <f t="shared" si="633"/>
        <v>0</v>
      </c>
      <c r="NO55">
        <f t="shared" si="634"/>
        <v>0</v>
      </c>
      <c r="NP55">
        <f t="shared" si="635"/>
        <v>0</v>
      </c>
      <c r="NQ55">
        <f t="shared" si="636"/>
        <v>0</v>
      </c>
      <c r="NR55">
        <f t="shared" si="637"/>
        <v>0</v>
      </c>
      <c r="NS55">
        <f t="shared" si="638"/>
        <v>1</v>
      </c>
      <c r="NT55">
        <f t="shared" si="639"/>
        <v>1</v>
      </c>
      <c r="NU55" s="29">
        <f t="shared" si="640"/>
        <v>0</v>
      </c>
      <c r="NY55" s="17">
        <f t="shared" si="641"/>
        <v>0</v>
      </c>
      <c r="OE55" s="155"/>
      <c r="OF55" s="155">
        <f t="shared" si="461"/>
        <v>0</v>
      </c>
      <c r="OG55" s="155">
        <f t="shared" si="462"/>
        <v>1</v>
      </c>
      <c r="OH55" s="155">
        <f t="shared" si="463"/>
        <v>0</v>
      </c>
      <c r="OI55" s="155">
        <f t="shared" si="464"/>
        <v>1</v>
      </c>
      <c r="OJ55" s="67">
        <f t="shared" si="465"/>
        <v>0</v>
      </c>
      <c r="OK55" s="67">
        <f t="shared" si="466"/>
        <v>0</v>
      </c>
      <c r="OL55" s="67">
        <f t="shared" si="467"/>
        <v>0</v>
      </c>
      <c r="OM55" s="67">
        <f t="shared" si="468"/>
        <v>0</v>
      </c>
      <c r="OO55" s="155">
        <f t="shared" si="469"/>
        <v>0</v>
      </c>
      <c r="OP55" s="155">
        <f t="shared" si="470"/>
        <v>0</v>
      </c>
      <c r="OQ55" s="155">
        <f t="shared" si="471"/>
        <v>1</v>
      </c>
      <c r="OR55" s="155">
        <f t="shared" si="472"/>
        <v>0</v>
      </c>
      <c r="OS55" s="155">
        <f t="shared" si="473"/>
        <v>1</v>
      </c>
      <c r="OT55" s="67">
        <f t="shared" si="474"/>
        <v>0</v>
      </c>
      <c r="OU55" s="67">
        <f t="shared" si="475"/>
        <v>0</v>
      </c>
      <c r="OV55" s="67">
        <f t="shared" si="476"/>
        <v>0</v>
      </c>
      <c r="OW55" s="67">
        <f t="shared" si="477"/>
        <v>0</v>
      </c>
      <c r="OZ55" s="163"/>
      <c r="PA55" s="166"/>
      <c r="PB55" s="166">
        <v>1</v>
      </c>
      <c r="PC55" s="166"/>
      <c r="PD55" s="210">
        <f t="shared" si="125"/>
        <v>1</v>
      </c>
      <c r="PE55" s="210">
        <v>1</v>
      </c>
      <c r="PF55" s="210">
        <f t="shared" si="126"/>
        <v>0</v>
      </c>
      <c r="PG55" s="210">
        <f t="shared" si="646"/>
        <v>0</v>
      </c>
      <c r="PH55" s="210">
        <f t="shared" si="646"/>
        <v>117</v>
      </c>
      <c r="PI55" s="210">
        <f t="shared" si="646"/>
        <v>0</v>
      </c>
      <c r="PJ55" s="210">
        <f t="shared" si="645"/>
        <v>117</v>
      </c>
      <c r="PK55" s="210">
        <f t="shared" si="645"/>
        <v>117</v>
      </c>
      <c r="PL55" s="210">
        <f t="shared" si="645"/>
        <v>0</v>
      </c>
      <c r="PM55" s="164"/>
      <c r="PN55" s="164"/>
      <c r="PO55" s="172">
        <f t="shared" si="642"/>
        <v>0</v>
      </c>
      <c r="PP55" s="172">
        <f t="shared" si="643"/>
        <v>0</v>
      </c>
      <c r="PQ55" s="172">
        <f t="shared" si="644"/>
        <v>0</v>
      </c>
      <c r="PR55" s="164"/>
      <c r="PS55" s="164"/>
      <c r="PT55" s="164"/>
      <c r="PU55" s="164"/>
    </row>
    <row r="56" spans="1:437 16383:16384" ht="16" x14ac:dyDescent="0.2">
      <c r="A56" s="19">
        <f t="shared" si="189"/>
        <v>48</v>
      </c>
      <c r="B56" s="158" t="s">
        <v>680</v>
      </c>
      <c r="C56" s="186">
        <v>24</v>
      </c>
      <c r="D56" s="188">
        <v>1</v>
      </c>
      <c r="E56" s="188">
        <v>242</v>
      </c>
      <c r="F56" s="188">
        <v>1</v>
      </c>
      <c r="G56" s="188">
        <f t="shared" si="478"/>
        <v>242</v>
      </c>
      <c r="H56" s="214">
        <f t="shared" si="487"/>
        <v>1</v>
      </c>
      <c r="I56" s="214">
        <f t="shared" si="488"/>
        <v>1</v>
      </c>
      <c r="J56" s="188">
        <v>1</v>
      </c>
      <c r="K56" s="188">
        <f t="shared" si="489"/>
        <v>242</v>
      </c>
      <c r="L56" s="214">
        <f t="shared" si="490"/>
        <v>1</v>
      </c>
      <c r="M56" s="214">
        <f t="shared" si="491"/>
        <v>1</v>
      </c>
      <c r="N56" s="188">
        <v>1</v>
      </c>
      <c r="O56" s="188">
        <f t="shared" si="492"/>
        <v>242</v>
      </c>
      <c r="P56" s="137">
        <f t="shared" si="493"/>
        <v>1</v>
      </c>
      <c r="Q56" s="137">
        <f t="shared" si="494"/>
        <v>1</v>
      </c>
      <c r="R56" s="20">
        <v>0</v>
      </c>
      <c r="S56" s="20">
        <f t="shared" si="495"/>
        <v>0</v>
      </c>
      <c r="T56" s="137">
        <f t="shared" si="496"/>
        <v>0</v>
      </c>
      <c r="U56" s="137">
        <f t="shared" si="497"/>
        <v>0</v>
      </c>
      <c r="V56" s="20">
        <v>0</v>
      </c>
      <c r="W56" s="20">
        <f t="shared" si="498"/>
        <v>0</v>
      </c>
      <c r="X56" s="137">
        <f t="shared" si="499"/>
        <v>0</v>
      </c>
      <c r="Y56" s="137">
        <f t="shared" si="500"/>
        <v>0</v>
      </c>
      <c r="Z56" s="59">
        <v>0</v>
      </c>
      <c r="AA56" s="20"/>
      <c r="AB56" s="17">
        <f t="shared" si="501"/>
        <v>0</v>
      </c>
      <c r="AC56" s="18">
        <f t="shared" si="502"/>
        <v>0</v>
      </c>
      <c r="AD56" s="18">
        <f t="shared" si="503"/>
        <v>0</v>
      </c>
      <c r="AE56" s="20"/>
      <c r="AF56" s="20">
        <f t="shared" si="504"/>
        <v>0</v>
      </c>
      <c r="AG56" s="20"/>
      <c r="AH56" s="20"/>
      <c r="AI56" s="20">
        <v>0</v>
      </c>
      <c r="AJ56" s="20">
        <f t="shared" si="505"/>
        <v>0</v>
      </c>
      <c r="AK56" s="20"/>
      <c r="AL56" s="20">
        <v>0</v>
      </c>
      <c r="AM56" s="20">
        <v>0</v>
      </c>
      <c r="AN56" s="139">
        <v>1</v>
      </c>
      <c r="BB56" s="20">
        <f t="shared" si="506"/>
        <v>242</v>
      </c>
      <c r="BE56" s="20">
        <f t="shared" si="507"/>
        <v>0</v>
      </c>
      <c r="BF56" s="20">
        <f t="shared" si="508"/>
        <v>0</v>
      </c>
      <c r="BG56" s="20">
        <f t="shared" si="509"/>
        <v>0</v>
      </c>
      <c r="BH56" s="20">
        <f t="shared" si="510"/>
        <v>0</v>
      </c>
      <c r="BI56" s="20">
        <f t="shared" si="511"/>
        <v>0</v>
      </c>
      <c r="BJ56" s="20">
        <f t="shared" si="512"/>
        <v>0</v>
      </c>
      <c r="BK56" s="20">
        <f t="shared" si="513"/>
        <v>0</v>
      </c>
      <c r="BN56" s="143"/>
      <c r="BO56" s="126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B56" s="139"/>
      <c r="CD56" s="17">
        <f t="shared" si="514"/>
        <v>0</v>
      </c>
      <c r="CE56" s="17">
        <f t="shared" si="515"/>
        <v>0</v>
      </c>
      <c r="CF56" s="20">
        <f t="shared" si="516"/>
        <v>0</v>
      </c>
      <c r="CG56" s="20">
        <f t="shared" si="517"/>
        <v>0</v>
      </c>
      <c r="CH56" s="20">
        <f t="shared" si="518"/>
        <v>0</v>
      </c>
      <c r="CI56" s="20">
        <f t="shared" si="519"/>
        <v>0</v>
      </c>
      <c r="CJ56" s="20">
        <f t="shared" si="520"/>
        <v>0</v>
      </c>
      <c r="CK56" s="20">
        <f t="shared" si="521"/>
        <v>0</v>
      </c>
      <c r="CL56" s="20">
        <f t="shared" si="522"/>
        <v>0</v>
      </c>
      <c r="CM56" s="20">
        <f t="shared" si="523"/>
        <v>0</v>
      </c>
      <c r="CN56" s="20">
        <f t="shared" si="524"/>
        <v>0</v>
      </c>
      <c r="CO56" s="20">
        <f t="shared" si="525"/>
        <v>0</v>
      </c>
      <c r="CP56" s="20">
        <f t="shared" si="526"/>
        <v>0</v>
      </c>
      <c r="DV56" s="20">
        <f t="shared" si="527"/>
        <v>0</v>
      </c>
      <c r="DW56" s="20">
        <f t="shared" si="528"/>
        <v>0</v>
      </c>
      <c r="DX56" s="20">
        <f t="shared" si="529"/>
        <v>0</v>
      </c>
      <c r="DY56" s="20">
        <f t="shared" si="530"/>
        <v>0</v>
      </c>
      <c r="DZ56" s="20">
        <f t="shared" si="531"/>
        <v>0</v>
      </c>
      <c r="EA56" s="20">
        <f t="shared" si="532"/>
        <v>0</v>
      </c>
      <c r="EB56" s="20">
        <f t="shared" si="533"/>
        <v>0</v>
      </c>
      <c r="EG56" s="57">
        <f t="shared" si="534"/>
        <v>0</v>
      </c>
      <c r="EH56" s="57">
        <f t="shared" si="535"/>
        <v>0</v>
      </c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X56" s="80"/>
      <c r="FY56" s="17">
        <f t="shared" si="536"/>
        <v>0</v>
      </c>
      <c r="FZ56" s="17">
        <f t="shared" si="537"/>
        <v>0</v>
      </c>
      <c r="GA56" s="17">
        <f t="shared" si="538"/>
        <v>0</v>
      </c>
      <c r="GB56" s="17">
        <f t="shared" si="539"/>
        <v>0</v>
      </c>
      <c r="GC56" s="17">
        <f t="shared" si="540"/>
        <v>0</v>
      </c>
      <c r="GD56" s="17">
        <f t="shared" si="541"/>
        <v>0</v>
      </c>
      <c r="GE56" s="17">
        <f t="shared" si="542"/>
        <v>0</v>
      </c>
      <c r="GF56" s="67"/>
      <c r="GG56" s="17">
        <v>0</v>
      </c>
      <c r="GH56" s="17">
        <v>0</v>
      </c>
      <c r="GI56" s="67"/>
      <c r="GJ56" s="62">
        <f t="shared" si="543"/>
        <v>0</v>
      </c>
      <c r="GK56" s="62">
        <f t="shared" si="544"/>
        <v>0</v>
      </c>
      <c r="GO56" s="17">
        <f t="shared" si="545"/>
        <v>0</v>
      </c>
      <c r="GP56" s="17">
        <f t="shared" si="546"/>
        <v>0</v>
      </c>
      <c r="GQ56" s="17">
        <f t="shared" si="547"/>
        <v>0</v>
      </c>
      <c r="GR56" s="17">
        <f t="shared" si="548"/>
        <v>1</v>
      </c>
      <c r="GS56" s="17">
        <f t="shared" si="549"/>
        <v>1</v>
      </c>
      <c r="GT56" s="17">
        <f t="shared" si="550"/>
        <v>0</v>
      </c>
      <c r="GU56" s="101">
        <f t="shared" si="143"/>
        <v>43243</v>
      </c>
      <c r="GV56" s="17" t="str">
        <f t="shared" si="551"/>
        <v>Musyawarah</v>
      </c>
      <c r="GW56" s="17">
        <f t="shared" si="552"/>
        <v>1</v>
      </c>
      <c r="GX56" s="66" t="str">
        <f t="shared" si="553"/>
        <v>Musyawarah</v>
      </c>
      <c r="GY56" s="66">
        <f t="shared" si="554"/>
        <v>24</v>
      </c>
      <c r="GZ56" s="102">
        <f t="shared" si="555"/>
        <v>43267</v>
      </c>
      <c r="HA56" s="83"/>
      <c r="HB56" s="83"/>
      <c r="HC56" s="17">
        <f t="shared" si="556"/>
        <v>0</v>
      </c>
      <c r="HD56" s="17">
        <f t="shared" si="557"/>
        <v>0</v>
      </c>
      <c r="HE56" s="17">
        <f t="shared" si="558"/>
        <v>0</v>
      </c>
      <c r="HF56" s="17">
        <f t="shared" si="559"/>
        <v>0</v>
      </c>
      <c r="HG56" s="17">
        <f t="shared" si="560"/>
        <v>0</v>
      </c>
      <c r="HH56" s="101" t="str">
        <f t="shared" si="561"/>
        <v>TIDAK KONSINYASI</v>
      </c>
      <c r="HI56" s="101">
        <f t="shared" si="562"/>
        <v>43312</v>
      </c>
      <c r="HJ56" s="27"/>
      <c r="HK56" s="101">
        <f t="shared" si="563"/>
        <v>43312</v>
      </c>
      <c r="HL56" s="83"/>
      <c r="HM56" s="83"/>
      <c r="HN56" s="83"/>
      <c r="HO56" s="83"/>
      <c r="HP56" s="102">
        <f t="shared" si="564"/>
        <v>0</v>
      </c>
      <c r="HQ56" s="66">
        <f t="shared" si="565"/>
        <v>0</v>
      </c>
      <c r="HR56" s="66">
        <f t="shared" si="566"/>
        <v>0</v>
      </c>
      <c r="HS56" s="102">
        <f t="shared" si="567"/>
        <v>0</v>
      </c>
      <c r="HT56" s="66">
        <f t="shared" si="568"/>
        <v>0</v>
      </c>
      <c r="HU56" s="66">
        <f t="shared" si="569"/>
        <v>0</v>
      </c>
      <c r="HV56" s="102">
        <f t="shared" si="570"/>
        <v>0</v>
      </c>
      <c r="HW56" s="66">
        <f t="shared" si="571"/>
        <v>0</v>
      </c>
      <c r="HX56" s="66">
        <f t="shared" si="572"/>
        <v>0</v>
      </c>
      <c r="HY56" s="102">
        <f t="shared" si="573"/>
        <v>0</v>
      </c>
      <c r="HZ56" s="66">
        <f t="shared" si="574"/>
        <v>0</v>
      </c>
      <c r="IA56" s="66">
        <f t="shared" si="575"/>
        <v>0</v>
      </c>
      <c r="IB56" s="102">
        <f t="shared" si="576"/>
        <v>0</v>
      </c>
      <c r="IC56" s="66">
        <f t="shared" si="577"/>
        <v>0</v>
      </c>
      <c r="ID56" s="66">
        <f t="shared" si="578"/>
        <v>0</v>
      </c>
      <c r="IE56" s="102">
        <f t="shared" si="579"/>
        <v>0</v>
      </c>
      <c r="IF56" s="66">
        <f t="shared" si="580"/>
        <v>0</v>
      </c>
      <c r="IG56" s="66">
        <f t="shared" si="581"/>
        <v>0</v>
      </c>
      <c r="IH56" s="102">
        <f t="shared" si="582"/>
        <v>0</v>
      </c>
      <c r="II56" s="66">
        <f t="shared" si="583"/>
        <v>0</v>
      </c>
      <c r="IJ56" s="66">
        <f t="shared" si="584"/>
        <v>0</v>
      </c>
      <c r="IK56" s="102">
        <f t="shared" si="585"/>
        <v>0</v>
      </c>
      <c r="IL56" s="66">
        <f t="shared" si="586"/>
        <v>0</v>
      </c>
      <c r="IM56" s="66">
        <f t="shared" si="587"/>
        <v>0</v>
      </c>
      <c r="IN56" s="83"/>
      <c r="IO56" s="102">
        <f t="shared" si="588"/>
        <v>0</v>
      </c>
      <c r="IP56" s="66">
        <f t="shared" si="589"/>
        <v>0</v>
      </c>
      <c r="IQ56" s="66">
        <f t="shared" si="590"/>
        <v>0</v>
      </c>
      <c r="IR56" s="83"/>
      <c r="IS56" s="102"/>
      <c r="IT56" s="66">
        <f t="shared" si="591"/>
        <v>0</v>
      </c>
      <c r="IU56" s="66">
        <f t="shared" si="592"/>
        <v>0</v>
      </c>
      <c r="IV56" s="83"/>
      <c r="IW56" s="102"/>
      <c r="IX56" s="66">
        <f t="shared" si="593"/>
        <v>0</v>
      </c>
      <c r="IY56" s="66">
        <f t="shared" si="594"/>
        <v>0</v>
      </c>
      <c r="IZ56" s="83"/>
      <c r="JA56" s="102"/>
      <c r="JB56" s="66">
        <f t="shared" si="595"/>
        <v>1</v>
      </c>
      <c r="JC56" s="66">
        <f t="shared" si="596"/>
        <v>242</v>
      </c>
      <c r="JD56" s="83"/>
      <c r="JE56" s="102"/>
      <c r="JF56" s="66">
        <f t="shared" si="597"/>
        <v>1</v>
      </c>
      <c r="JG56" s="66">
        <f t="shared" si="598"/>
        <v>242</v>
      </c>
      <c r="JH56" s="83"/>
      <c r="JI56" s="102"/>
      <c r="JJ56" s="66">
        <f t="shared" si="599"/>
        <v>0</v>
      </c>
      <c r="JK56" s="66">
        <f t="shared" si="600"/>
        <v>0</v>
      </c>
      <c r="JM56" s="102">
        <f t="shared" si="601"/>
        <v>0</v>
      </c>
      <c r="JO56" s="29">
        <f t="shared" si="602"/>
        <v>0</v>
      </c>
      <c r="JP56" s="122">
        <f t="shared" si="603"/>
        <v>0</v>
      </c>
      <c r="JQ56" s="122">
        <f t="shared" si="604"/>
        <v>0</v>
      </c>
      <c r="JR56" s="122">
        <f t="shared" si="605"/>
        <v>0</v>
      </c>
      <c r="JS56" s="122">
        <f t="shared" si="606"/>
        <v>0</v>
      </c>
      <c r="JT56" s="122">
        <f t="shared" si="607"/>
        <v>0</v>
      </c>
      <c r="JU56" s="122">
        <f t="shared" si="608"/>
        <v>0</v>
      </c>
      <c r="JV56" s="122">
        <f t="shared" si="609"/>
        <v>0</v>
      </c>
      <c r="JW56" s="122">
        <f t="shared" si="610"/>
        <v>0</v>
      </c>
      <c r="JX56" s="122">
        <f t="shared" si="611"/>
        <v>0</v>
      </c>
      <c r="JY56" s="122">
        <f t="shared" si="612"/>
        <v>0</v>
      </c>
      <c r="JZ56" s="122">
        <f t="shared" si="613"/>
        <v>0</v>
      </c>
      <c r="KA56" s="122">
        <f t="shared" si="614"/>
        <v>0</v>
      </c>
      <c r="KB56" s="122">
        <f t="shared" si="615"/>
        <v>0</v>
      </c>
      <c r="KD56" s="122">
        <f t="shared" si="616"/>
        <v>0</v>
      </c>
      <c r="KE56" s="122">
        <f t="shared" si="617"/>
        <v>0</v>
      </c>
      <c r="KF56" s="122">
        <f t="shared" si="618"/>
        <v>0</v>
      </c>
      <c r="KG56" s="122">
        <f t="shared" si="619"/>
        <v>0</v>
      </c>
      <c r="KH56" s="122">
        <f t="shared" si="620"/>
        <v>0</v>
      </c>
      <c r="KI56" s="122">
        <f t="shared" si="621"/>
        <v>0</v>
      </c>
      <c r="KJ56" s="122">
        <f t="shared" si="622"/>
        <v>0</v>
      </c>
      <c r="KK56" s="122">
        <f t="shared" si="623"/>
        <v>0</v>
      </c>
      <c r="KL56" s="122">
        <f t="shared" si="624"/>
        <v>0</v>
      </c>
      <c r="KM56" s="122">
        <f t="shared" si="625"/>
        <v>0</v>
      </c>
      <c r="KN56" s="123">
        <f t="shared" si="626"/>
        <v>0</v>
      </c>
      <c r="KO56" s="123">
        <f t="shared" si="627"/>
        <v>0</v>
      </c>
      <c r="KP56" s="123">
        <f t="shared" si="628"/>
        <v>0</v>
      </c>
      <c r="KQ56" s="123">
        <f t="shared" si="629"/>
        <v>0</v>
      </c>
      <c r="KR56" s="123">
        <f t="shared" si="630"/>
        <v>0</v>
      </c>
      <c r="KS56">
        <v>7</v>
      </c>
      <c r="KT56">
        <f t="shared" si="631"/>
        <v>1</v>
      </c>
      <c r="KU56" s="123"/>
      <c r="KV56" s="123"/>
      <c r="KW56" s="123"/>
      <c r="KX56" s="123"/>
      <c r="KY56" s="123"/>
      <c r="KZ56" s="123"/>
      <c r="LA56" s="123"/>
      <c r="LB56" s="123"/>
      <c r="LC56" s="123"/>
      <c r="LD56" s="123"/>
      <c r="LE56" s="123"/>
      <c r="LF56" s="123"/>
      <c r="LG56" s="123"/>
      <c r="LH56" s="123"/>
      <c r="LI56" s="123"/>
      <c r="LJ56" s="123"/>
      <c r="LK56" s="123"/>
      <c r="LL56" s="123"/>
      <c r="LM56" s="123"/>
      <c r="LN56" s="123"/>
      <c r="LO56" s="123"/>
      <c r="LP56" s="123"/>
      <c r="LQ56" s="123"/>
      <c r="LR56" s="123"/>
      <c r="LS56" s="123"/>
      <c r="LT56" s="123"/>
      <c r="LU56" s="123"/>
      <c r="LV56" s="123"/>
      <c r="LW56" s="123"/>
      <c r="LX56" s="123"/>
      <c r="LY56" s="123"/>
      <c r="LZ56" s="123"/>
      <c r="MA56" s="123"/>
      <c r="MB56" s="123"/>
      <c r="MC56" s="123"/>
      <c r="MD56" s="123"/>
      <c r="ME56" s="123"/>
      <c r="MF56" s="123"/>
      <c r="MG56" s="123"/>
      <c r="MH56" s="123"/>
      <c r="MI56" s="123"/>
      <c r="MJ56" s="123"/>
      <c r="MK56" s="123"/>
      <c r="ML56" s="123"/>
      <c r="MM56" s="123"/>
      <c r="MN56" s="123"/>
      <c r="MO56" s="123"/>
      <c r="MP56" s="123"/>
      <c r="MQ56" s="123"/>
      <c r="MR56" s="123"/>
      <c r="MS56" s="123"/>
      <c r="MT56" s="123"/>
      <c r="MU56" s="123"/>
      <c r="MV56" s="123"/>
      <c r="MW56" s="123"/>
      <c r="MX56" s="123"/>
      <c r="MY56" s="123"/>
      <c r="MZ56" s="123"/>
      <c r="NA56" s="123"/>
      <c r="NB56" s="123"/>
      <c r="NC56" s="123"/>
      <c r="ND56" s="123"/>
      <c r="NE56" s="123"/>
      <c r="NF56" s="123"/>
      <c r="NG56" s="123"/>
      <c r="NH56" s="123"/>
      <c r="NI56" s="123"/>
      <c r="NJ56" s="123"/>
      <c r="NK56" s="123"/>
      <c r="NM56">
        <f t="shared" si="632"/>
        <v>0</v>
      </c>
      <c r="NN56">
        <f t="shared" si="633"/>
        <v>0</v>
      </c>
      <c r="NO56">
        <f t="shared" si="634"/>
        <v>0</v>
      </c>
      <c r="NP56">
        <f t="shared" si="635"/>
        <v>0</v>
      </c>
      <c r="NQ56">
        <f t="shared" si="636"/>
        <v>0</v>
      </c>
      <c r="NR56">
        <f t="shared" si="637"/>
        <v>0</v>
      </c>
      <c r="NS56">
        <f t="shared" si="638"/>
        <v>1</v>
      </c>
      <c r="NT56">
        <f t="shared" si="639"/>
        <v>1</v>
      </c>
      <c r="NU56" s="29">
        <f t="shared" si="640"/>
        <v>0</v>
      </c>
      <c r="NY56" s="17">
        <f t="shared" si="641"/>
        <v>0</v>
      </c>
      <c r="OE56" s="155"/>
      <c r="OF56" s="155">
        <f t="shared" si="461"/>
        <v>0</v>
      </c>
      <c r="OG56" s="155">
        <f t="shared" si="462"/>
        <v>1</v>
      </c>
      <c r="OH56" s="155">
        <f t="shared" si="463"/>
        <v>0</v>
      </c>
      <c r="OI56" s="155">
        <f t="shared" si="464"/>
        <v>1</v>
      </c>
      <c r="OJ56" s="67">
        <f t="shared" si="465"/>
        <v>0</v>
      </c>
      <c r="OK56" s="67">
        <f t="shared" si="466"/>
        <v>0</v>
      </c>
      <c r="OL56" s="67">
        <f t="shared" si="467"/>
        <v>0</v>
      </c>
      <c r="OM56" s="67">
        <f t="shared" si="468"/>
        <v>0</v>
      </c>
      <c r="OO56" s="155">
        <f t="shared" si="469"/>
        <v>0</v>
      </c>
      <c r="OP56" s="155">
        <f t="shared" si="470"/>
        <v>0</v>
      </c>
      <c r="OQ56" s="155">
        <f t="shared" si="471"/>
        <v>1</v>
      </c>
      <c r="OR56" s="155">
        <f t="shared" si="472"/>
        <v>0</v>
      </c>
      <c r="OS56" s="155">
        <f t="shared" si="473"/>
        <v>1</v>
      </c>
      <c r="OT56" s="67">
        <f t="shared" si="474"/>
        <v>0</v>
      </c>
      <c r="OU56" s="67">
        <f t="shared" si="475"/>
        <v>0</v>
      </c>
      <c r="OV56" s="67">
        <f t="shared" si="476"/>
        <v>0</v>
      </c>
      <c r="OW56" s="67">
        <f t="shared" si="477"/>
        <v>0</v>
      </c>
      <c r="OZ56" s="163"/>
      <c r="PA56" s="166"/>
      <c r="PB56" s="166">
        <v>1</v>
      </c>
      <c r="PC56" s="166"/>
      <c r="PD56" s="210">
        <f t="shared" si="125"/>
        <v>1</v>
      </c>
      <c r="PE56" s="210">
        <v>1</v>
      </c>
      <c r="PF56" s="210">
        <f t="shared" si="126"/>
        <v>0</v>
      </c>
      <c r="PG56" s="210">
        <f t="shared" si="646"/>
        <v>0</v>
      </c>
      <c r="PH56" s="210">
        <f t="shared" si="646"/>
        <v>242</v>
      </c>
      <c r="PI56" s="210">
        <f t="shared" si="646"/>
        <v>0</v>
      </c>
      <c r="PJ56" s="210">
        <f t="shared" si="645"/>
        <v>242</v>
      </c>
      <c r="PK56" s="210">
        <f t="shared" si="645"/>
        <v>242</v>
      </c>
      <c r="PL56" s="210">
        <f t="shared" si="645"/>
        <v>0</v>
      </c>
      <c r="PM56" s="164"/>
      <c r="PN56" s="164"/>
      <c r="PO56" s="172">
        <f t="shared" si="642"/>
        <v>0</v>
      </c>
      <c r="PP56" s="172">
        <f t="shared" si="643"/>
        <v>0</v>
      </c>
      <c r="PQ56" s="172">
        <f t="shared" si="644"/>
        <v>0</v>
      </c>
      <c r="PR56" s="164"/>
      <c r="PS56" s="164"/>
      <c r="PT56" s="164"/>
      <c r="PU56" s="164"/>
    </row>
    <row r="57" spans="1:437 16383:16384" ht="16" x14ac:dyDescent="0.2">
      <c r="A57" s="19">
        <f t="shared" si="189"/>
        <v>49</v>
      </c>
      <c r="B57" s="158" t="s">
        <v>682</v>
      </c>
      <c r="C57" s="186">
        <v>25</v>
      </c>
      <c r="D57" s="188">
        <v>1</v>
      </c>
      <c r="E57" s="188">
        <v>36</v>
      </c>
      <c r="F57" s="188">
        <v>1</v>
      </c>
      <c r="G57" s="188">
        <f t="shared" si="478"/>
        <v>36</v>
      </c>
      <c r="H57" s="214">
        <f t="shared" ref="H57" si="647">F57/$D57</f>
        <v>1</v>
      </c>
      <c r="I57" s="214">
        <f t="shared" ref="I57" si="648">G57/$E57</f>
        <v>1</v>
      </c>
      <c r="J57" s="188">
        <v>1</v>
      </c>
      <c r="K57" s="188">
        <f t="shared" ref="K57:K58" si="649">IF(J57=D57,E57,0)</f>
        <v>36</v>
      </c>
      <c r="L57" s="214">
        <f t="shared" ref="L57:L58" si="650">J57/$D57</f>
        <v>1</v>
      </c>
      <c r="M57" s="214">
        <f t="shared" ref="M57:M58" si="651">K57/$E57</f>
        <v>1</v>
      </c>
      <c r="N57" s="188">
        <v>1</v>
      </c>
      <c r="O57" s="188">
        <f t="shared" ref="O57" si="652">IF(N57=D57,E57,0)</f>
        <v>36</v>
      </c>
      <c r="P57" s="137">
        <f t="shared" ref="P57" si="653">N57/$D57</f>
        <v>1</v>
      </c>
      <c r="Q57" s="137">
        <f t="shared" ref="Q57" si="654">O57/$E57</f>
        <v>1</v>
      </c>
      <c r="R57" s="20">
        <v>0</v>
      </c>
      <c r="S57" s="20">
        <f t="shared" ref="S57" si="655">IF(R57=D57,E57,0)</f>
        <v>0</v>
      </c>
      <c r="T57" s="137">
        <f t="shared" ref="T57" si="656">R57/$D57</f>
        <v>0</v>
      </c>
      <c r="U57" s="137">
        <f t="shared" ref="U57" si="657">S57/$E57</f>
        <v>0</v>
      </c>
      <c r="V57" s="20">
        <v>0</v>
      </c>
      <c r="W57" s="20">
        <f t="shared" ref="W57" si="658">IF(V57=D57,E57,0)</f>
        <v>0</v>
      </c>
      <c r="X57" s="137">
        <f t="shared" ref="X57" si="659">V57/$D57</f>
        <v>0</v>
      </c>
      <c r="Y57" s="137">
        <f t="shared" ref="Y57" si="660">W57/$E57</f>
        <v>0</v>
      </c>
      <c r="Z57" s="59">
        <v>0</v>
      </c>
      <c r="AA57" s="20"/>
      <c r="AB57" s="17">
        <f t="shared" ref="AB57" si="661">IF(AA57=D57,E57,0)</f>
        <v>0</v>
      </c>
      <c r="AC57" s="18">
        <f t="shared" ref="AC57" si="662">AA57/$D57</f>
        <v>0</v>
      </c>
      <c r="AD57" s="18">
        <f t="shared" ref="AD57" si="663">AB57/$E57</f>
        <v>0</v>
      </c>
      <c r="AE57" s="20"/>
      <c r="AF57" s="20">
        <f t="shared" ref="AF57" si="664">R57-V57</f>
        <v>0</v>
      </c>
      <c r="AG57" s="20"/>
      <c r="AH57" s="20"/>
      <c r="AI57" s="20">
        <v>0</v>
      </c>
      <c r="AJ57" s="20">
        <f t="shared" ref="AJ57" si="665">IF(AI57=D57,E57,0)</f>
        <v>0</v>
      </c>
      <c r="AK57" s="20"/>
      <c r="AL57" s="20">
        <v>0</v>
      </c>
      <c r="AM57" s="20">
        <v>0</v>
      </c>
      <c r="AN57" s="139">
        <v>1</v>
      </c>
      <c r="BB57" s="20">
        <f t="shared" ref="BB57" si="666">IF(AN57=1,E57,0)</f>
        <v>36</v>
      </c>
      <c r="BE57" s="20">
        <f t="shared" ref="BE57" si="667">IF(AF57=1,S57,0)</f>
        <v>0</v>
      </c>
      <c r="BF57" s="20">
        <f t="shared" ref="BF57" si="668">IF(AG57="A",S57,0)</f>
        <v>0</v>
      </c>
      <c r="BG57" s="20">
        <f t="shared" ref="BG57" si="669">IF(AG57="B",S57,0)</f>
        <v>0</v>
      </c>
      <c r="BH57" s="20">
        <f t="shared" ref="BH57" si="670">IF(AG57="C",S57,0)</f>
        <v>0</v>
      </c>
      <c r="BI57" s="20">
        <f t="shared" ref="BI57" si="671">IF(AG57="D",S57,0)</f>
        <v>0</v>
      </c>
      <c r="BJ57" s="20">
        <f t="shared" ref="BJ57" si="672">IF(AG57="E",S57,0)</f>
        <v>0</v>
      </c>
      <c r="BK57" s="20">
        <f t="shared" ref="BK57" si="673">SUM(BF57:BJ57)</f>
        <v>0</v>
      </c>
      <c r="BN57" s="143"/>
      <c r="BO57" s="126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B57" s="139"/>
      <c r="CD57" s="17">
        <f t="shared" ref="CD57" si="674">BN57</f>
        <v>0</v>
      </c>
      <c r="CE57" s="17">
        <f t="shared" ref="CE57" si="675">IF(BO57=1,$CD57,0)</f>
        <v>0</v>
      </c>
      <c r="CF57" s="20">
        <f t="shared" ref="CF57" si="676">IF(BP57=1,$CD57,0)</f>
        <v>0</v>
      </c>
      <c r="CG57" s="20">
        <f t="shared" ref="CG57" si="677">IF(BQ57=1,$CD57,0)</f>
        <v>0</v>
      </c>
      <c r="CH57" s="20">
        <f t="shared" ref="CH57" si="678">IF(BR57=1,$CD57,0)</f>
        <v>0</v>
      </c>
      <c r="CI57" s="20">
        <f t="shared" ref="CI57" si="679">IF(BS57=1,$CD57,0)</f>
        <v>0</v>
      </c>
      <c r="CJ57" s="20">
        <f t="shared" ref="CJ57" si="680">IF(BT57=1,$CD57,0)</f>
        <v>0</v>
      </c>
      <c r="CK57" s="20">
        <f t="shared" ref="CK57" si="681">IF(BU57=1,$CD57,0)</f>
        <v>0</v>
      </c>
      <c r="CL57" s="20">
        <f t="shared" ref="CL57" si="682">IF(BV57=1,$CD57,0)</f>
        <v>0</v>
      </c>
      <c r="CM57" s="20">
        <f t="shared" ref="CM57" si="683">IF(BW57=1,$CD57,0)</f>
        <v>0</v>
      </c>
      <c r="CN57" s="20">
        <f t="shared" ref="CN57" si="684">IF(BX57=1,$CD57,0)</f>
        <v>0</v>
      </c>
      <c r="CO57" s="20">
        <f t="shared" ref="CO57" si="685">IF(BY57=1,$CD57,0)</f>
        <v>0</v>
      </c>
      <c r="CP57" s="20">
        <f t="shared" ref="CP57" si="686">IF(BZ57=1,$CD57,0)</f>
        <v>0</v>
      </c>
      <c r="DV57" s="20">
        <f t="shared" ref="DV57" si="687">IF(CB57=1,G57,0)</f>
        <v>0</v>
      </c>
      <c r="DW57" s="20">
        <f t="shared" ref="DW57" si="688">IF(CC57="A",G57,0)</f>
        <v>0</v>
      </c>
      <c r="DX57" s="20">
        <f t="shared" ref="DX57" si="689">IF(CC57="B",G57,0)</f>
        <v>0</v>
      </c>
      <c r="DY57" s="20">
        <f t="shared" ref="DY57" si="690">IF(CC57="C",G57,0)</f>
        <v>0</v>
      </c>
      <c r="DZ57" s="20">
        <f t="shared" ref="DZ57" si="691">IF(CC57="D",G57,0)</f>
        <v>0</v>
      </c>
      <c r="EA57" s="20">
        <f t="shared" ref="EA57" si="692">IF(CC57="E",G57,0)</f>
        <v>0</v>
      </c>
      <c r="EB57" s="20">
        <f t="shared" ref="EB57" si="693">SUM(DW57:EA57)</f>
        <v>0</v>
      </c>
      <c r="EG57" s="57">
        <f t="shared" ref="EG57" si="694">IF(AG57="C","C",IF(AG57="D","D",0))</f>
        <v>0</v>
      </c>
      <c r="EH57" s="57">
        <f t="shared" ref="EH57" si="695">CC57</f>
        <v>0</v>
      </c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X57" s="80"/>
      <c r="FY57" s="17">
        <f t="shared" ref="FY57" si="696">SUM(FZ57:GE57)</f>
        <v>0</v>
      </c>
      <c r="FZ57" s="17">
        <f t="shared" ref="FZ57" si="697">DI57+CE57</f>
        <v>0</v>
      </c>
      <c r="GA57" s="17">
        <f t="shared" ref="GA57" si="698">DJ57+CF57</f>
        <v>0</v>
      </c>
      <c r="GB57" s="17">
        <f t="shared" ref="GB57" si="699">DK57+CG57</f>
        <v>0</v>
      </c>
      <c r="GC57" s="17">
        <f t="shared" ref="GC57" si="700">DM57+CI57</f>
        <v>0</v>
      </c>
      <c r="GD57" s="17">
        <f t="shared" ref="GD57" si="701">DO57+CK57</f>
        <v>0</v>
      </c>
      <c r="GE57" s="17">
        <f t="shared" ref="GE57" si="702">DT57+CP57</f>
        <v>0</v>
      </c>
      <c r="GF57" s="67"/>
      <c r="GG57" s="17">
        <v>0</v>
      </c>
      <c r="GH57" s="17">
        <v>0</v>
      </c>
      <c r="GI57" s="67"/>
      <c r="GJ57" s="62">
        <f t="shared" ref="GJ57" si="703">FY57*GG57/1000000000</f>
        <v>0</v>
      </c>
      <c r="GK57" s="62">
        <f t="shared" ref="GK57" si="704">FY57*GH57/1000000000</f>
        <v>0</v>
      </c>
      <c r="GO57" s="17">
        <f t="shared" ref="GO57" si="705">D57-F57</f>
        <v>0</v>
      </c>
      <c r="GP57" s="17">
        <f t="shared" ref="GP57" si="706">D57-J57</f>
        <v>0</v>
      </c>
      <c r="GQ57" s="17">
        <f t="shared" ref="GQ57" si="707">D57-N57</f>
        <v>0</v>
      </c>
      <c r="GR57" s="17">
        <f t="shared" ref="GR57" si="708">D57-R57</f>
        <v>1</v>
      </c>
      <c r="GS57" s="17">
        <f t="shared" ref="GS57" si="709">D57-V57</f>
        <v>1</v>
      </c>
      <c r="GT57" s="17">
        <f t="shared" ref="GT57" si="710">IF(SUM(GO57:GS57)=0,1,0)</f>
        <v>0</v>
      </c>
      <c r="GU57" s="101">
        <f t="shared" si="143"/>
        <v>43243</v>
      </c>
      <c r="GV57" s="17" t="str">
        <f t="shared" ref="GV57" si="711">IF(GO57&gt;0,$GO$6,IF(GP57&gt;0,$GP$6,IF(GQ57&gt;0,$GQ$6,IF(GR57&gt;0,$GR$6,IF(GS57&gt;0,$GS$6,IF(GT57&gt;0,$GT$6,0))))))</f>
        <v>Musyawarah</v>
      </c>
      <c r="GW57" s="17">
        <f t="shared" ref="GW57" si="712">IF(GV57=$GO$6,GO57,IF(GV57=$GP$6,GP57,IF(GV57=$GQ$6,GQ57,IF(GV57=$GR$6,GR57,IF(GV57=$GS$6,GS57,0)))))</f>
        <v>1</v>
      </c>
      <c r="GX57" s="66" t="str">
        <f t="shared" ref="GX57" si="713">GV57</f>
        <v>Musyawarah</v>
      </c>
      <c r="GY57" s="66">
        <f t="shared" ref="GY57" si="714">IF(GX57="DNP",SUM($GY$4:$GY$8),IF(GX57="Survey KJPP",SUM($GY$5:$GY$8),IF(GX57="Hasil Valuasi",SUM($GY$6:$GY$8),IF(GX57="Musyawarah",SUM($GY$7:$GY$8),IF(GX57="UGR",$GY$8,0)))))</f>
        <v>24</v>
      </c>
      <c r="GZ57" s="102">
        <f t="shared" ref="GZ57" si="715">IF(GW57=0,"SELESAI",GU57+GY57)</f>
        <v>43267</v>
      </c>
      <c r="HA57" s="83"/>
      <c r="HB57" s="83"/>
      <c r="HC57" s="17">
        <f t="shared" ref="HC57" si="716">IF(BH57&gt;0,1,IF(BI57&gt;0,1,0))</f>
        <v>0</v>
      </c>
      <c r="HD57" s="17">
        <f t="shared" ref="HD57" si="717">IF(CB57&gt;0,1,0)</f>
        <v>0</v>
      </c>
      <c r="HE57" s="17">
        <f t="shared" ref="HE57" si="718">HC57+HD57</f>
        <v>0</v>
      </c>
      <c r="HF57" s="17">
        <f t="shared" ref="HF57" si="719">FQ57</f>
        <v>0</v>
      </c>
      <c r="HG57" s="17">
        <f t="shared" ref="HG57" si="720">HE57-HF57</f>
        <v>0</v>
      </c>
      <c r="HH57" s="101" t="str">
        <f t="shared" ref="HH57" si="721">IF(HG57=1,GU57+$HH$8,"TIDAK KONSINYASI")</f>
        <v>TIDAK KONSINYASI</v>
      </c>
      <c r="HI57" s="101">
        <f t="shared" ref="HI57" si="722">IF(GW57=0,"SELESAI",GZ57+$HI$8)</f>
        <v>43312</v>
      </c>
      <c r="HJ57" s="27"/>
      <c r="HK57" s="101">
        <f t="shared" ref="HK57" si="723">MAX(GZ57,HH57,HI57)</f>
        <v>43312</v>
      </c>
      <c r="HL57" s="83"/>
      <c r="HM57" s="83"/>
      <c r="HN57" s="83"/>
      <c r="HO57" s="83"/>
      <c r="HP57" s="102">
        <f t="shared" ref="HP57" si="724">IF(HQ57=1,GZ57,0)</f>
        <v>0</v>
      </c>
      <c r="HQ57" s="66">
        <f t="shared" ref="HQ57" si="725">IF(IX57=0,IF(HT57=0,IF(IP57=0,IF(GV57="UGR",GS57,0),0),0),0)</f>
        <v>0</v>
      </c>
      <c r="HR57" s="66">
        <f t="shared" ref="HR57" si="726">IF(HQ57=1,E57,0)</f>
        <v>0</v>
      </c>
      <c r="HS57" s="102">
        <f t="shared" ref="HS57" si="727">IF(HT57=1,HH57,0)</f>
        <v>0</v>
      </c>
      <c r="HT57" s="66">
        <f t="shared" ref="HT57" si="728">HG57</f>
        <v>0</v>
      </c>
      <c r="HU57" s="66">
        <f t="shared" ref="HU57" si="729">IF(HT57=1,E57,0)</f>
        <v>0</v>
      </c>
      <c r="HV57" s="102">
        <f t="shared" ref="HV57" si="730">IF(HW57=1,GZ57,0)</f>
        <v>0</v>
      </c>
      <c r="HW57" s="66">
        <f t="shared" ref="HW57" si="731">IF(JB57=0,IF(IX57=0,IF(HT57=0,IF(GV57="MUSYAWARAH",GR57,0),0),0),0)</f>
        <v>0</v>
      </c>
      <c r="HX57" s="66">
        <f t="shared" ref="HX57" si="732">IF(HW57=1,E57,0)</f>
        <v>0</v>
      </c>
      <c r="HY57" s="102">
        <f t="shared" ref="HY57" si="733">IF(HZ57=1,HV57+$HI$8,0)</f>
        <v>0</v>
      </c>
      <c r="HZ57" s="66">
        <f t="shared" ref="HZ57" si="734">HW57</f>
        <v>0</v>
      </c>
      <c r="IA57" s="66">
        <f t="shared" ref="IA57" si="735">IF(HZ57=1,E57,0)</f>
        <v>0</v>
      </c>
      <c r="IB57" s="102">
        <f t="shared" ref="IB57" si="736">IF(IC57=1,$GU$3+SUM($GY$6:$GY$8),0)</f>
        <v>0</v>
      </c>
      <c r="IC57" s="66">
        <f t="shared" ref="IC57" si="737">IF(GV57="Hasil Valuasi",GQ57,0)</f>
        <v>0</v>
      </c>
      <c r="ID57" s="66">
        <f t="shared" ref="ID57" si="738">IF(IC57=1,E57,0)</f>
        <v>0</v>
      </c>
      <c r="IE57" s="102">
        <f t="shared" ref="IE57" si="739">IF(IF57=1,IB57+$HI$8,0)</f>
        <v>0</v>
      </c>
      <c r="IF57" s="66">
        <f t="shared" ref="IF57" si="740">IC57</f>
        <v>0</v>
      </c>
      <c r="IG57" s="66">
        <f t="shared" ref="IG57" si="741">IF(IF57=1,E57,0)</f>
        <v>0</v>
      </c>
      <c r="IH57" s="102">
        <f t="shared" ref="IH57" si="742">IF(II57=1,$GU$3+SUM($GY$5:$GY$8),0)</f>
        <v>0</v>
      </c>
      <c r="II57" s="66">
        <f t="shared" ref="II57" si="743">IF(GV57="Survey KJPP",GP57,0)</f>
        <v>0</v>
      </c>
      <c r="IJ57" s="66">
        <f t="shared" ref="IJ57" si="744">IF(II57=1,E57,0)</f>
        <v>0</v>
      </c>
      <c r="IK57" s="102">
        <f t="shared" ref="IK57" si="745">IF(IL57=1,IH57+$HI$8,0)</f>
        <v>0</v>
      </c>
      <c r="IL57" s="66">
        <f t="shared" ref="IL57" si="746">II57</f>
        <v>0</v>
      </c>
      <c r="IM57" s="66">
        <f t="shared" ref="IM57" si="747">IF(IL57=1,E57,0)</f>
        <v>0</v>
      </c>
      <c r="IN57" s="83"/>
      <c r="IO57" s="102">
        <f t="shared" ref="IO57" si="748">IF(IP57=1,+$GU$3+$HH$8,0)</f>
        <v>0</v>
      </c>
      <c r="IP57" s="66">
        <f t="shared" ref="IP57" si="749">IF(BG57&gt;0,1,0)</f>
        <v>0</v>
      </c>
      <c r="IQ57" s="66">
        <f t="shared" ref="IQ57" si="750">IF(IP57=1,E57,0)</f>
        <v>0</v>
      </c>
      <c r="IR57" s="83"/>
      <c r="IS57" s="102"/>
      <c r="IT57" s="66">
        <f t="shared" ref="IT57" si="751">V57</f>
        <v>0</v>
      </c>
      <c r="IU57" s="66">
        <f t="shared" ref="IU57" si="752">W57</f>
        <v>0</v>
      </c>
      <c r="IV57" s="83"/>
      <c r="IW57" s="102"/>
      <c r="IX57" s="66">
        <f t="shared" ref="IX57" si="753">AA57</f>
        <v>0</v>
      </c>
      <c r="IY57" s="66">
        <f t="shared" ref="IY57" si="754">AB57</f>
        <v>0</v>
      </c>
      <c r="IZ57" s="83"/>
      <c r="JA57" s="102"/>
      <c r="JB57" s="66">
        <f t="shared" ref="JB57" si="755">AN57</f>
        <v>1</v>
      </c>
      <c r="JC57" s="66">
        <f t="shared" ref="JC57" si="756">BB57</f>
        <v>36</v>
      </c>
      <c r="JD57" s="83"/>
      <c r="JE57" s="102"/>
      <c r="JF57" s="66">
        <f t="shared" ref="JF57" si="757">IT57+HQ57+HT57+HZ57+IF57+IL57+IP57+IX57+JB57</f>
        <v>1</v>
      </c>
      <c r="JG57" s="66">
        <f t="shared" ref="JG57" si="758">IU57+HR57+HU57+IA57+IG57+IM57+IQ57+IY57+JC57</f>
        <v>36</v>
      </c>
      <c r="JH57" s="83"/>
      <c r="JI57" s="102"/>
      <c r="JJ57" s="66">
        <f t="shared" ref="JJ57" si="759">JF57-D57</f>
        <v>0</v>
      </c>
      <c r="JK57" s="66">
        <f t="shared" ref="JK57" si="760">JG57-E57</f>
        <v>0</v>
      </c>
      <c r="JM57" s="102">
        <f t="shared" ref="JM57" si="761">MAX(IW57,IS57,IO57,IK57,IE57,HY57,HS57,HP57)</f>
        <v>0</v>
      </c>
      <c r="JO57" s="29">
        <f t="shared" ref="JO57" si="762">SUM(JQ57:KB57)</f>
        <v>0</v>
      </c>
      <c r="JP57" s="122">
        <f t="shared" ref="JP57" si="763">BN57+CR57</f>
        <v>0</v>
      </c>
      <c r="JQ57" s="122">
        <f t="shared" ref="JQ57" si="764">IF(BO57+CS57=2,1,IF(BO57+CS57=1,1,0))</f>
        <v>0</v>
      </c>
      <c r="JR57" s="122">
        <f t="shared" ref="JR57" si="765">IF(BP57+CT57=2,1,IF(BP57+CT57=1,1,0))</f>
        <v>0</v>
      </c>
      <c r="JS57" s="122">
        <f t="shared" ref="JS57" si="766">IF(BQ57+CU57=2,1,IF(BQ57+CU57=1,1,0))</f>
        <v>0</v>
      </c>
      <c r="JT57" s="122">
        <f t="shared" ref="JT57" si="767">IF(BR57+CV57=2,1,IF(BR57+CV57=1,1,0))</f>
        <v>0</v>
      </c>
      <c r="JU57" s="122">
        <f t="shared" ref="JU57" si="768">IF(BS57+CW57=2,1,IF(BS57+CW57=1,1,0))</f>
        <v>0</v>
      </c>
      <c r="JV57" s="122">
        <f t="shared" ref="JV57" si="769">IF(BT57+CX57=2,1,IF(BT57+CX57=1,1,0))</f>
        <v>0</v>
      </c>
      <c r="JW57" s="122">
        <f t="shared" ref="JW57" si="770">IF(BU57+CY57=2,1,IF(BU57+CY57=1,1,0))</f>
        <v>0</v>
      </c>
      <c r="JX57" s="122">
        <f t="shared" ref="JX57" si="771">IF(BV57+CZ57=2,1,IF(BV57+CZ57=1,1,0))</f>
        <v>0</v>
      </c>
      <c r="JY57" s="122">
        <f t="shared" ref="JY57" si="772">IF(BW57+DA57=2,1,IF(BW57+DA57=1,1,0))</f>
        <v>0</v>
      </c>
      <c r="JZ57" s="122">
        <f t="shared" ref="JZ57" si="773">IF(BX57+DB57=2,1,IF(BX57+DB57=1,1,0))</f>
        <v>0</v>
      </c>
      <c r="KA57" s="122">
        <f t="shared" ref="KA57" si="774">IF(BY57+DC57=2,1,IF(BY57+DC57=1,1,0))</f>
        <v>0</v>
      </c>
      <c r="KB57" s="122">
        <f t="shared" ref="KB57" si="775">IF(BZ57+DD57=2,1,IF(BZ57+DD57=1,1,0))</f>
        <v>0</v>
      </c>
      <c r="KD57" s="122">
        <f t="shared" ref="KD57" si="776">IF(IF(SUM(GA57:GE57)&gt;100,1,0)+IF(FX57=1,1,0)=2,1,0)</f>
        <v>0</v>
      </c>
      <c r="KE57" s="122">
        <f t="shared" ref="KE57" si="777">IF(KD57=1,KF57,0)</f>
        <v>0</v>
      </c>
      <c r="KF57" s="122">
        <f t="shared" ref="KF57" si="778">CD57+DH57</f>
        <v>0</v>
      </c>
      <c r="KG57" s="122">
        <f t="shared" ref="KG57" si="779">CE57+DI57</f>
        <v>0</v>
      </c>
      <c r="KH57" s="122">
        <f t="shared" ref="KH57" si="780">CF57+DJ57</f>
        <v>0</v>
      </c>
      <c r="KI57" s="122">
        <f t="shared" ref="KI57" si="781">CG57+DK57</f>
        <v>0</v>
      </c>
      <c r="KJ57" s="122">
        <f t="shared" ref="KJ57" si="782">CH57+DL57</f>
        <v>0</v>
      </c>
      <c r="KK57" s="122">
        <f t="shared" ref="KK57" si="783">CI57+DM57</f>
        <v>0</v>
      </c>
      <c r="KL57" s="122">
        <f t="shared" ref="KL57" si="784">CJ57+DN57</f>
        <v>0</v>
      </c>
      <c r="KM57" s="122">
        <f t="shared" ref="KM57" si="785">CK57+DO57</f>
        <v>0</v>
      </c>
      <c r="KN57" s="123">
        <f t="shared" ref="KN57" si="786">CL57+DP57</f>
        <v>0</v>
      </c>
      <c r="KO57" s="123">
        <f t="shared" ref="KO57" si="787">CM57+DQ57</f>
        <v>0</v>
      </c>
      <c r="KP57" s="123">
        <f t="shared" ref="KP57" si="788">CN57+DR57</f>
        <v>0</v>
      </c>
      <c r="KQ57" s="123">
        <f t="shared" ref="KQ57" si="789">CO57+DS57</f>
        <v>0</v>
      </c>
      <c r="KR57" s="123">
        <f t="shared" ref="KR57" si="790">CP57+DT57</f>
        <v>0</v>
      </c>
      <c r="KS57">
        <v>7</v>
      </c>
      <c r="KT57">
        <f t="shared" ref="KT57" si="791">AN57</f>
        <v>1</v>
      </c>
      <c r="KU57" s="123"/>
      <c r="KV57" s="123"/>
      <c r="KW57" s="123"/>
      <c r="KX57" s="123"/>
      <c r="KY57" s="123"/>
      <c r="KZ57" s="123"/>
      <c r="LA57" s="123"/>
      <c r="LB57" s="123"/>
      <c r="LC57" s="123"/>
      <c r="LD57" s="123"/>
      <c r="LE57" s="123"/>
      <c r="LF57" s="123"/>
      <c r="LG57" s="123"/>
      <c r="LH57" s="123"/>
      <c r="LI57" s="123"/>
      <c r="LJ57" s="123"/>
      <c r="LK57" s="123"/>
      <c r="LL57" s="123"/>
      <c r="LM57" s="123"/>
      <c r="LN57" s="123"/>
      <c r="LO57" s="123"/>
      <c r="LP57" s="123"/>
      <c r="LQ57" s="123"/>
      <c r="LR57" s="123"/>
      <c r="LS57" s="123"/>
      <c r="LT57" s="123"/>
      <c r="LU57" s="123"/>
      <c r="LV57" s="123"/>
      <c r="LW57" s="123"/>
      <c r="LX57" s="123"/>
      <c r="LY57" s="123"/>
      <c r="LZ57" s="123"/>
      <c r="MA57" s="123"/>
      <c r="MB57" s="123"/>
      <c r="MC57" s="123"/>
      <c r="MD57" s="123"/>
      <c r="ME57" s="123"/>
      <c r="MF57" s="123"/>
      <c r="MG57" s="123"/>
      <c r="MH57" s="123"/>
      <c r="MI57" s="123"/>
      <c r="MJ57" s="123"/>
      <c r="MK57" s="123"/>
      <c r="ML57" s="123"/>
      <c r="MM57" s="123"/>
      <c r="MN57" s="123"/>
      <c r="MO57" s="123"/>
      <c r="MP57" s="123"/>
      <c r="MQ57" s="123"/>
      <c r="MR57" s="123"/>
      <c r="MS57" s="123"/>
      <c r="MT57" s="123"/>
      <c r="MU57" s="123"/>
      <c r="MV57" s="123"/>
      <c r="MW57" s="123"/>
      <c r="MX57" s="123"/>
      <c r="MY57" s="123"/>
      <c r="MZ57" s="123"/>
      <c r="NA57" s="123"/>
      <c r="NB57" s="123"/>
      <c r="NC57" s="123"/>
      <c r="ND57" s="123"/>
      <c r="NE57" s="123"/>
      <c r="NF57" s="123"/>
      <c r="NG57" s="123"/>
      <c r="NH57" s="123"/>
      <c r="NI57" s="123"/>
      <c r="NJ57" s="123"/>
      <c r="NK57" s="123"/>
      <c r="NM57">
        <f t="shared" ref="NM57" si="792">IF(KS57=1,1,0)</f>
        <v>0</v>
      </c>
      <c r="NN57">
        <f t="shared" ref="NN57" si="793">IF(KS57=2,1,0)</f>
        <v>0</v>
      </c>
      <c r="NO57">
        <f t="shared" ref="NO57" si="794">IF(KS57=3,1,0)</f>
        <v>0</v>
      </c>
      <c r="NP57">
        <f t="shared" ref="NP57" si="795">IF(KS57=4,1,0)</f>
        <v>0</v>
      </c>
      <c r="NQ57">
        <f t="shared" ref="NQ57" si="796">IF(KS57=5,1,0)</f>
        <v>0</v>
      </c>
      <c r="NR57">
        <f t="shared" ref="NR57" si="797">IF(KS57=6,1,0)</f>
        <v>0</v>
      </c>
      <c r="NS57">
        <f t="shared" ref="NS57" si="798">IF(KS57=7,1,0)</f>
        <v>1</v>
      </c>
      <c r="NT57">
        <f t="shared" ref="NT57" si="799">SUM(NM57:NS57)</f>
        <v>1</v>
      </c>
      <c r="NU57" s="29">
        <f t="shared" ref="NU57" si="800">NT57-KT57</f>
        <v>0</v>
      </c>
      <c r="NY57" s="17">
        <f t="shared" ref="NY57" si="801">V57</f>
        <v>0</v>
      </c>
      <c r="OE57" s="155"/>
      <c r="OF57" s="155">
        <f t="shared" si="461"/>
        <v>0</v>
      </c>
      <c r="OG57" s="155">
        <f t="shared" si="462"/>
        <v>1</v>
      </c>
      <c r="OH57" s="155">
        <f t="shared" si="463"/>
        <v>0</v>
      </c>
      <c r="OI57" s="155">
        <f t="shared" si="464"/>
        <v>1</v>
      </c>
      <c r="OJ57" s="67">
        <f t="shared" si="465"/>
        <v>0</v>
      </c>
      <c r="OK57" s="67">
        <f t="shared" si="466"/>
        <v>0</v>
      </c>
      <c r="OL57" s="67">
        <f t="shared" si="467"/>
        <v>0</v>
      </c>
      <c r="OM57" s="67">
        <f t="shared" si="468"/>
        <v>0</v>
      </c>
      <c r="OO57" s="155">
        <f t="shared" si="469"/>
        <v>0</v>
      </c>
      <c r="OP57" s="155">
        <f t="shared" si="470"/>
        <v>0</v>
      </c>
      <c r="OQ57" s="155">
        <f t="shared" si="471"/>
        <v>1</v>
      </c>
      <c r="OR57" s="155">
        <f t="shared" si="472"/>
        <v>0</v>
      </c>
      <c r="OS57" s="155">
        <f t="shared" si="473"/>
        <v>1</v>
      </c>
      <c r="OT57" s="67">
        <f t="shared" si="474"/>
        <v>0</v>
      </c>
      <c r="OU57" s="67">
        <f t="shared" si="475"/>
        <v>0</v>
      </c>
      <c r="OV57" s="67">
        <f t="shared" si="476"/>
        <v>0</v>
      </c>
      <c r="OW57" s="67">
        <f t="shared" si="477"/>
        <v>0</v>
      </c>
      <c r="OZ57" s="163"/>
      <c r="PA57" s="166"/>
      <c r="PB57" s="166">
        <v>1</v>
      </c>
      <c r="PC57" s="166"/>
      <c r="PD57" s="210">
        <f t="shared" si="125"/>
        <v>1</v>
      </c>
      <c r="PE57" s="210">
        <v>1</v>
      </c>
      <c r="PF57" s="210">
        <f t="shared" si="126"/>
        <v>0</v>
      </c>
      <c r="PG57" s="210">
        <f t="shared" si="646"/>
        <v>0</v>
      </c>
      <c r="PH57" s="210">
        <f t="shared" si="646"/>
        <v>36</v>
      </c>
      <c r="PI57" s="210">
        <f t="shared" si="646"/>
        <v>0</v>
      </c>
      <c r="PJ57" s="210">
        <f t="shared" si="645"/>
        <v>36</v>
      </c>
      <c r="PK57" s="210">
        <f t="shared" si="645"/>
        <v>36</v>
      </c>
      <c r="PL57" s="210">
        <f t="shared" si="645"/>
        <v>0</v>
      </c>
      <c r="PM57" s="164"/>
      <c r="PN57" s="164"/>
      <c r="PO57" s="172">
        <f t="shared" ref="PO57" si="802">IF(FC57=1,AB57,0)</f>
        <v>0</v>
      </c>
      <c r="PP57" s="172">
        <f t="shared" ref="PP57" si="803">IF(FF57=1,AB57,0)</f>
        <v>0</v>
      </c>
      <c r="PQ57" s="172">
        <f t="shared" ref="PQ57" si="804">AB57-(PO57+PP57)</f>
        <v>0</v>
      </c>
      <c r="PR57" s="164"/>
      <c r="PS57" s="164"/>
      <c r="PT57" s="164"/>
      <c r="PU57" s="164"/>
    </row>
    <row r="58" spans="1:437 16383:16384" ht="16" x14ac:dyDescent="0.2">
      <c r="A58" s="19">
        <f t="shared" si="189"/>
        <v>50</v>
      </c>
      <c r="B58" s="158" t="s">
        <v>680</v>
      </c>
      <c r="C58" s="186">
        <v>26</v>
      </c>
      <c r="D58" s="188">
        <v>1</v>
      </c>
      <c r="E58" s="188">
        <v>22</v>
      </c>
      <c r="F58" s="188">
        <v>1</v>
      </c>
      <c r="G58" s="188">
        <f t="shared" si="478"/>
        <v>22</v>
      </c>
      <c r="H58" s="214">
        <f t="shared" ref="H58" si="805">F58/$D58</f>
        <v>1</v>
      </c>
      <c r="I58" s="214">
        <f t="shared" ref="I58" si="806">G58/$E58</f>
        <v>1</v>
      </c>
      <c r="J58" s="188">
        <v>1</v>
      </c>
      <c r="K58" s="188">
        <f t="shared" si="649"/>
        <v>22</v>
      </c>
      <c r="L58" s="214">
        <f t="shared" si="650"/>
        <v>1</v>
      </c>
      <c r="M58" s="214">
        <f t="shared" si="651"/>
        <v>1</v>
      </c>
      <c r="N58" s="188">
        <v>1</v>
      </c>
      <c r="O58" s="188">
        <f t="shared" ref="O58" si="807">IF(N58=D58,E58,0)</f>
        <v>22</v>
      </c>
      <c r="P58" s="137">
        <f t="shared" ref="P58" si="808">N58/$D58</f>
        <v>1</v>
      </c>
      <c r="Q58" s="137">
        <f t="shared" ref="Q58" si="809">O58/$E58</f>
        <v>1</v>
      </c>
      <c r="R58" s="20">
        <v>0</v>
      </c>
      <c r="S58" s="20">
        <f t="shared" ref="S58" si="810">IF(R58=D58,E58,0)</f>
        <v>0</v>
      </c>
      <c r="T58" s="137">
        <f t="shared" ref="T58" si="811">R58/$D58</f>
        <v>0</v>
      </c>
      <c r="U58" s="137">
        <f t="shared" ref="U58" si="812">S58/$E58</f>
        <v>0</v>
      </c>
      <c r="V58" s="20">
        <v>0</v>
      </c>
      <c r="W58" s="20">
        <f t="shared" ref="W58" si="813">IF(V58=D58,E58,0)</f>
        <v>0</v>
      </c>
      <c r="X58" s="137">
        <f t="shared" ref="X58" si="814">V58/$D58</f>
        <v>0</v>
      </c>
      <c r="Y58" s="137">
        <f t="shared" ref="Y58" si="815">W58/$E58</f>
        <v>0</v>
      </c>
      <c r="Z58" s="59">
        <v>0</v>
      </c>
      <c r="AA58" s="20"/>
      <c r="AB58" s="17">
        <f t="shared" ref="AB58" si="816">IF(AA58=D58,E58,0)</f>
        <v>0</v>
      </c>
      <c r="AC58" s="18">
        <f t="shared" ref="AC58" si="817">AA58/$D58</f>
        <v>0</v>
      </c>
      <c r="AD58" s="18">
        <f t="shared" ref="AD58" si="818">AB58/$E58</f>
        <v>0</v>
      </c>
      <c r="AE58" s="20"/>
      <c r="AF58" s="20">
        <f t="shared" ref="AF58" si="819">R58-V58</f>
        <v>0</v>
      </c>
      <c r="AG58" s="20"/>
      <c r="AH58" s="20"/>
      <c r="AI58" s="20">
        <v>0</v>
      </c>
      <c r="AJ58" s="20">
        <f t="shared" ref="AJ58" si="820">IF(AI58=D58,E58,0)</f>
        <v>0</v>
      </c>
      <c r="AK58" s="20"/>
      <c r="AL58" s="20">
        <v>0</v>
      </c>
      <c r="AM58" s="20">
        <v>0</v>
      </c>
      <c r="AN58" s="139">
        <v>1</v>
      </c>
      <c r="BB58" s="20">
        <f t="shared" ref="BB58" si="821">IF(AN58=1,E58,0)</f>
        <v>22</v>
      </c>
      <c r="BE58" s="20">
        <f t="shared" ref="BE58" si="822">IF(AF58=1,S58,0)</f>
        <v>0</v>
      </c>
      <c r="BF58" s="20">
        <f t="shared" ref="BF58" si="823">IF(AG58="A",S58,0)</f>
        <v>0</v>
      </c>
      <c r="BG58" s="20">
        <f t="shared" ref="BG58" si="824">IF(AG58="B",S58,0)</f>
        <v>0</v>
      </c>
      <c r="BH58" s="20">
        <f t="shared" ref="BH58" si="825">IF(AG58="C",S58,0)</f>
        <v>0</v>
      </c>
      <c r="BI58" s="20">
        <f t="shared" ref="BI58" si="826">IF(AG58="D",S58,0)</f>
        <v>0</v>
      </c>
      <c r="BJ58" s="20">
        <f t="shared" ref="BJ58" si="827">IF(AG58="E",S58,0)</f>
        <v>0</v>
      </c>
      <c r="BK58" s="20">
        <f t="shared" ref="BK58" si="828">SUM(BF58:BJ58)</f>
        <v>0</v>
      </c>
      <c r="BN58" s="143"/>
      <c r="BO58" s="126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B58" s="139"/>
      <c r="CD58" s="17">
        <f t="shared" ref="CD58" si="829">BN58</f>
        <v>0</v>
      </c>
      <c r="CE58" s="17">
        <f t="shared" ref="CE58" si="830">IF(BO58=1,$CD58,0)</f>
        <v>0</v>
      </c>
      <c r="CF58" s="20">
        <f t="shared" ref="CF58" si="831">IF(BP58=1,$CD58,0)</f>
        <v>0</v>
      </c>
      <c r="CG58" s="20">
        <f t="shared" ref="CG58" si="832">IF(BQ58=1,$CD58,0)</f>
        <v>0</v>
      </c>
      <c r="CH58" s="20">
        <f t="shared" ref="CH58" si="833">IF(BR58=1,$CD58,0)</f>
        <v>0</v>
      </c>
      <c r="CI58" s="20">
        <f t="shared" ref="CI58" si="834">IF(BS58=1,$CD58,0)</f>
        <v>0</v>
      </c>
      <c r="CJ58" s="20">
        <f t="shared" ref="CJ58" si="835">IF(BT58=1,$CD58,0)</f>
        <v>0</v>
      </c>
      <c r="CK58" s="20">
        <f t="shared" ref="CK58" si="836">IF(BU58=1,$CD58,0)</f>
        <v>0</v>
      </c>
      <c r="CL58" s="20">
        <f t="shared" ref="CL58" si="837">IF(BV58=1,$CD58,0)</f>
        <v>0</v>
      </c>
      <c r="CM58" s="20">
        <f t="shared" ref="CM58" si="838">IF(BW58=1,$CD58,0)</f>
        <v>0</v>
      </c>
      <c r="CN58" s="20">
        <f t="shared" ref="CN58" si="839">IF(BX58=1,$CD58,0)</f>
        <v>0</v>
      </c>
      <c r="CO58" s="20">
        <f t="shared" ref="CO58" si="840">IF(BY58=1,$CD58,0)</f>
        <v>0</v>
      </c>
      <c r="CP58" s="20">
        <f t="shared" ref="CP58" si="841">IF(BZ58=1,$CD58,0)</f>
        <v>0</v>
      </c>
      <c r="DV58" s="20">
        <f t="shared" ref="DV58" si="842">IF(CB58=1,G58,0)</f>
        <v>0</v>
      </c>
      <c r="DW58" s="20">
        <f t="shared" ref="DW58" si="843">IF(CC58="A",G58,0)</f>
        <v>0</v>
      </c>
      <c r="DX58" s="20">
        <f t="shared" ref="DX58" si="844">IF(CC58="B",G58,0)</f>
        <v>0</v>
      </c>
      <c r="DY58" s="20">
        <f t="shared" ref="DY58" si="845">IF(CC58="C",G58,0)</f>
        <v>0</v>
      </c>
      <c r="DZ58" s="20">
        <f t="shared" ref="DZ58" si="846">IF(CC58="D",G58,0)</f>
        <v>0</v>
      </c>
      <c r="EA58" s="20">
        <f t="shared" ref="EA58" si="847">IF(CC58="E",G58,0)</f>
        <v>0</v>
      </c>
      <c r="EB58" s="20">
        <f t="shared" ref="EB58" si="848">SUM(DW58:EA58)</f>
        <v>0</v>
      </c>
      <c r="EG58" s="57">
        <f t="shared" ref="EG58" si="849">IF(AG58="C","C",IF(AG58="D","D",0))</f>
        <v>0</v>
      </c>
      <c r="EH58" s="57">
        <f t="shared" ref="EH58" si="850">CC58</f>
        <v>0</v>
      </c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X58" s="80"/>
      <c r="FY58" s="17">
        <f t="shared" ref="FY58" si="851">SUM(FZ58:GE58)</f>
        <v>0</v>
      </c>
      <c r="FZ58" s="17">
        <f t="shared" ref="FZ58" si="852">DI58+CE58</f>
        <v>0</v>
      </c>
      <c r="GA58" s="17">
        <f t="shared" ref="GA58" si="853">DJ58+CF58</f>
        <v>0</v>
      </c>
      <c r="GB58" s="17">
        <f t="shared" ref="GB58" si="854">DK58+CG58</f>
        <v>0</v>
      </c>
      <c r="GC58" s="17">
        <f t="shared" ref="GC58" si="855">DM58+CI58</f>
        <v>0</v>
      </c>
      <c r="GD58" s="17">
        <f t="shared" ref="GD58" si="856">DO58+CK58</f>
        <v>0</v>
      </c>
      <c r="GE58" s="17">
        <f t="shared" ref="GE58" si="857">DT58+CP58</f>
        <v>0</v>
      </c>
      <c r="GF58" s="67"/>
      <c r="GG58" s="17">
        <v>0</v>
      </c>
      <c r="GH58" s="17">
        <v>0</v>
      </c>
      <c r="GI58" s="67"/>
      <c r="GJ58" s="62">
        <f t="shared" ref="GJ58" si="858">FY58*GG58/1000000000</f>
        <v>0</v>
      </c>
      <c r="GK58" s="62">
        <f t="shared" ref="GK58" si="859">FY58*GH58/1000000000</f>
        <v>0</v>
      </c>
      <c r="GO58" s="17">
        <f t="shared" ref="GO58" si="860">D58-F58</f>
        <v>0</v>
      </c>
      <c r="GP58" s="17">
        <f t="shared" ref="GP58" si="861">D58-J58</f>
        <v>0</v>
      </c>
      <c r="GQ58" s="17">
        <f t="shared" ref="GQ58" si="862">D58-N58</f>
        <v>0</v>
      </c>
      <c r="GR58" s="17">
        <f t="shared" ref="GR58" si="863">D58-R58</f>
        <v>1</v>
      </c>
      <c r="GS58" s="17">
        <f t="shared" ref="GS58" si="864">D58-V58</f>
        <v>1</v>
      </c>
      <c r="GT58" s="17">
        <f t="shared" ref="GT58" si="865">IF(SUM(GO58:GS58)=0,1,0)</f>
        <v>0</v>
      </c>
      <c r="GU58" s="101">
        <f t="shared" si="143"/>
        <v>43243</v>
      </c>
      <c r="GV58" s="17" t="str">
        <f t="shared" ref="GV58" si="866">IF(GO58&gt;0,$GO$6,IF(GP58&gt;0,$GP$6,IF(GQ58&gt;0,$GQ$6,IF(GR58&gt;0,$GR$6,IF(GS58&gt;0,$GS$6,IF(GT58&gt;0,$GT$6,0))))))</f>
        <v>Musyawarah</v>
      </c>
      <c r="GW58" s="17">
        <f t="shared" ref="GW58" si="867">IF(GV58=$GO$6,GO58,IF(GV58=$GP$6,GP58,IF(GV58=$GQ$6,GQ58,IF(GV58=$GR$6,GR58,IF(GV58=$GS$6,GS58,0)))))</f>
        <v>1</v>
      </c>
      <c r="GX58" s="66" t="str">
        <f t="shared" ref="GX58" si="868">GV58</f>
        <v>Musyawarah</v>
      </c>
      <c r="GY58" s="66">
        <f t="shared" ref="GY58" si="869">IF(GX58="DNP",SUM($GY$4:$GY$8),IF(GX58="Survey KJPP",SUM($GY$5:$GY$8),IF(GX58="Hasil Valuasi",SUM($GY$6:$GY$8),IF(GX58="Musyawarah",SUM($GY$7:$GY$8),IF(GX58="UGR",$GY$8,0)))))</f>
        <v>24</v>
      </c>
      <c r="GZ58" s="102">
        <f t="shared" ref="GZ58" si="870">IF(GW58=0,"SELESAI",GU58+GY58)</f>
        <v>43267</v>
      </c>
      <c r="HA58" s="83"/>
      <c r="HB58" s="83"/>
      <c r="HC58" s="17">
        <f t="shared" ref="HC58" si="871">IF(BH58&gt;0,1,IF(BI58&gt;0,1,0))</f>
        <v>0</v>
      </c>
      <c r="HD58" s="17">
        <f t="shared" ref="HD58" si="872">IF(CB58&gt;0,1,0)</f>
        <v>0</v>
      </c>
      <c r="HE58" s="17">
        <f t="shared" ref="HE58" si="873">HC58+HD58</f>
        <v>0</v>
      </c>
      <c r="HF58" s="17">
        <f t="shared" ref="HF58" si="874">FQ58</f>
        <v>0</v>
      </c>
      <c r="HG58" s="17">
        <f t="shared" ref="HG58" si="875">HE58-HF58</f>
        <v>0</v>
      </c>
      <c r="HH58" s="101" t="str">
        <f t="shared" ref="HH58" si="876">IF(HG58=1,GU58+$HH$8,"TIDAK KONSINYASI")</f>
        <v>TIDAK KONSINYASI</v>
      </c>
      <c r="HI58" s="101">
        <f t="shared" ref="HI58" si="877">IF(GW58=0,"SELESAI",GZ58+$HI$8)</f>
        <v>43312</v>
      </c>
      <c r="HJ58" s="27"/>
      <c r="HK58" s="101">
        <f t="shared" ref="HK58" si="878">MAX(GZ58,HH58,HI58)</f>
        <v>43312</v>
      </c>
      <c r="HL58" s="83"/>
      <c r="HM58" s="83"/>
      <c r="HN58" s="83"/>
      <c r="HO58" s="83"/>
      <c r="HP58" s="102">
        <f t="shared" ref="HP58" si="879">IF(HQ58=1,GZ58,0)</f>
        <v>0</v>
      </c>
      <c r="HQ58" s="66">
        <f t="shared" ref="HQ58" si="880">IF(IX58=0,IF(HT58=0,IF(IP58=0,IF(GV58="UGR",GS58,0),0),0),0)</f>
        <v>0</v>
      </c>
      <c r="HR58" s="66">
        <f t="shared" ref="HR58" si="881">IF(HQ58=1,E58,0)</f>
        <v>0</v>
      </c>
      <c r="HS58" s="102">
        <f t="shared" ref="HS58" si="882">IF(HT58=1,HH58,0)</f>
        <v>0</v>
      </c>
      <c r="HT58" s="66">
        <f t="shared" ref="HT58" si="883">HG58</f>
        <v>0</v>
      </c>
      <c r="HU58" s="66">
        <f t="shared" ref="HU58" si="884">IF(HT58=1,E58,0)</f>
        <v>0</v>
      </c>
      <c r="HV58" s="102">
        <f t="shared" ref="HV58" si="885">IF(HW58=1,GZ58,0)</f>
        <v>0</v>
      </c>
      <c r="HW58" s="66">
        <f t="shared" ref="HW58" si="886">IF(JB58=0,IF(IX58=0,IF(HT58=0,IF(GV58="MUSYAWARAH",GR58,0),0),0),0)</f>
        <v>0</v>
      </c>
      <c r="HX58" s="66">
        <f t="shared" ref="HX58" si="887">IF(HW58=1,E58,0)</f>
        <v>0</v>
      </c>
      <c r="HY58" s="102">
        <f t="shared" ref="HY58" si="888">IF(HZ58=1,HV58+$HI$8,0)</f>
        <v>0</v>
      </c>
      <c r="HZ58" s="66">
        <f t="shared" ref="HZ58" si="889">HW58</f>
        <v>0</v>
      </c>
      <c r="IA58" s="66">
        <f t="shared" ref="IA58" si="890">IF(HZ58=1,E58,0)</f>
        <v>0</v>
      </c>
      <c r="IB58" s="102">
        <f t="shared" ref="IB58" si="891">IF(IC58=1,$GU$3+SUM($GY$6:$GY$8),0)</f>
        <v>0</v>
      </c>
      <c r="IC58" s="66">
        <f t="shared" ref="IC58" si="892">IF(GV58="Hasil Valuasi",GQ58,0)</f>
        <v>0</v>
      </c>
      <c r="ID58" s="66">
        <f t="shared" ref="ID58" si="893">IF(IC58=1,E58,0)</f>
        <v>0</v>
      </c>
      <c r="IE58" s="102">
        <f t="shared" ref="IE58" si="894">IF(IF58=1,IB58+$HI$8,0)</f>
        <v>0</v>
      </c>
      <c r="IF58" s="66">
        <f t="shared" ref="IF58" si="895">IC58</f>
        <v>0</v>
      </c>
      <c r="IG58" s="66">
        <f t="shared" ref="IG58" si="896">IF(IF58=1,E58,0)</f>
        <v>0</v>
      </c>
      <c r="IH58" s="102">
        <f t="shared" ref="IH58" si="897">IF(II58=1,$GU$3+SUM($GY$5:$GY$8),0)</f>
        <v>0</v>
      </c>
      <c r="II58" s="66">
        <f t="shared" ref="II58" si="898">IF(GV58="Survey KJPP",GP58,0)</f>
        <v>0</v>
      </c>
      <c r="IJ58" s="66">
        <f t="shared" ref="IJ58" si="899">IF(II58=1,E58,0)</f>
        <v>0</v>
      </c>
      <c r="IK58" s="102">
        <f t="shared" ref="IK58" si="900">IF(IL58=1,IH58+$HI$8,0)</f>
        <v>0</v>
      </c>
      <c r="IL58" s="66">
        <f t="shared" ref="IL58" si="901">II58</f>
        <v>0</v>
      </c>
      <c r="IM58" s="66">
        <f t="shared" ref="IM58" si="902">IF(IL58=1,E58,0)</f>
        <v>0</v>
      </c>
      <c r="IN58" s="83"/>
      <c r="IO58" s="102">
        <f t="shared" ref="IO58" si="903">IF(IP58=1,+$GU$3+$HH$8,0)</f>
        <v>0</v>
      </c>
      <c r="IP58" s="66">
        <f t="shared" ref="IP58" si="904">IF(BG58&gt;0,1,0)</f>
        <v>0</v>
      </c>
      <c r="IQ58" s="66">
        <f t="shared" ref="IQ58" si="905">IF(IP58=1,E58,0)</f>
        <v>0</v>
      </c>
      <c r="IR58" s="83"/>
      <c r="IS58" s="102"/>
      <c r="IT58" s="66">
        <f t="shared" ref="IT58" si="906">V58</f>
        <v>0</v>
      </c>
      <c r="IU58" s="66">
        <f t="shared" ref="IU58" si="907">W58</f>
        <v>0</v>
      </c>
      <c r="IV58" s="83"/>
      <c r="IW58" s="102"/>
      <c r="IX58" s="66">
        <f t="shared" ref="IX58" si="908">AA58</f>
        <v>0</v>
      </c>
      <c r="IY58" s="66">
        <f t="shared" ref="IY58" si="909">AB58</f>
        <v>0</v>
      </c>
      <c r="IZ58" s="83"/>
      <c r="JA58" s="102"/>
      <c r="JB58" s="66">
        <f t="shared" ref="JB58" si="910">AN58</f>
        <v>1</v>
      </c>
      <c r="JC58" s="66">
        <f t="shared" ref="JC58" si="911">BB58</f>
        <v>22</v>
      </c>
      <c r="JD58" s="83"/>
      <c r="JE58" s="102"/>
      <c r="JF58" s="66">
        <f t="shared" ref="JF58" si="912">IT58+HQ58+HT58+HZ58+IF58+IL58+IP58+IX58+JB58</f>
        <v>1</v>
      </c>
      <c r="JG58" s="66">
        <f t="shared" ref="JG58" si="913">IU58+HR58+HU58+IA58+IG58+IM58+IQ58+IY58+JC58</f>
        <v>22</v>
      </c>
      <c r="JH58" s="83"/>
      <c r="JI58" s="102"/>
      <c r="JJ58" s="66">
        <f t="shared" ref="JJ58" si="914">JF58-D58</f>
        <v>0</v>
      </c>
      <c r="JK58" s="66">
        <f t="shared" ref="JK58" si="915">JG58-E58</f>
        <v>0</v>
      </c>
      <c r="JM58" s="102">
        <f t="shared" ref="JM58" si="916">MAX(IW58,IS58,IO58,IK58,IE58,HY58,HS58,HP58)</f>
        <v>0</v>
      </c>
      <c r="JO58" s="29">
        <f t="shared" ref="JO58" si="917">SUM(JQ58:KB58)</f>
        <v>0</v>
      </c>
      <c r="JP58" s="122">
        <f t="shared" ref="JP58" si="918">BN58+CR58</f>
        <v>0</v>
      </c>
      <c r="JQ58" s="122">
        <f t="shared" ref="JQ58" si="919">IF(BO58+CS58=2,1,IF(BO58+CS58=1,1,0))</f>
        <v>0</v>
      </c>
      <c r="JR58" s="122">
        <f t="shared" ref="JR58" si="920">IF(BP58+CT58=2,1,IF(BP58+CT58=1,1,0))</f>
        <v>0</v>
      </c>
      <c r="JS58" s="122">
        <f t="shared" ref="JS58" si="921">IF(BQ58+CU58=2,1,IF(BQ58+CU58=1,1,0))</f>
        <v>0</v>
      </c>
      <c r="JT58" s="122">
        <f t="shared" ref="JT58" si="922">IF(BR58+CV58=2,1,IF(BR58+CV58=1,1,0))</f>
        <v>0</v>
      </c>
      <c r="JU58" s="122">
        <f t="shared" ref="JU58" si="923">IF(BS58+CW58=2,1,IF(BS58+CW58=1,1,0))</f>
        <v>0</v>
      </c>
      <c r="JV58" s="122">
        <f t="shared" ref="JV58" si="924">IF(BT58+CX58=2,1,IF(BT58+CX58=1,1,0))</f>
        <v>0</v>
      </c>
      <c r="JW58" s="122">
        <f t="shared" ref="JW58" si="925">IF(BU58+CY58=2,1,IF(BU58+CY58=1,1,0))</f>
        <v>0</v>
      </c>
      <c r="JX58" s="122">
        <f t="shared" ref="JX58" si="926">IF(BV58+CZ58=2,1,IF(BV58+CZ58=1,1,0))</f>
        <v>0</v>
      </c>
      <c r="JY58" s="122">
        <f t="shared" ref="JY58" si="927">IF(BW58+DA58=2,1,IF(BW58+DA58=1,1,0))</f>
        <v>0</v>
      </c>
      <c r="JZ58" s="122">
        <f t="shared" ref="JZ58" si="928">IF(BX58+DB58=2,1,IF(BX58+DB58=1,1,0))</f>
        <v>0</v>
      </c>
      <c r="KA58" s="122">
        <f t="shared" ref="KA58" si="929">IF(BY58+DC58=2,1,IF(BY58+DC58=1,1,0))</f>
        <v>0</v>
      </c>
      <c r="KB58" s="122">
        <f t="shared" ref="KB58" si="930">IF(BZ58+DD58=2,1,IF(BZ58+DD58=1,1,0))</f>
        <v>0</v>
      </c>
      <c r="KD58" s="122">
        <f t="shared" ref="KD58" si="931">IF(IF(SUM(GA58:GE58)&gt;100,1,0)+IF(FX58=1,1,0)=2,1,0)</f>
        <v>0</v>
      </c>
      <c r="KE58" s="122">
        <f t="shared" ref="KE58" si="932">IF(KD58=1,KF58,0)</f>
        <v>0</v>
      </c>
      <c r="KF58" s="122">
        <f t="shared" ref="KF58" si="933">CD58+DH58</f>
        <v>0</v>
      </c>
      <c r="KG58" s="122">
        <f t="shared" ref="KG58" si="934">CE58+DI58</f>
        <v>0</v>
      </c>
      <c r="KH58" s="122">
        <f t="shared" ref="KH58" si="935">CF58+DJ58</f>
        <v>0</v>
      </c>
      <c r="KI58" s="122">
        <f t="shared" ref="KI58" si="936">CG58+DK58</f>
        <v>0</v>
      </c>
      <c r="KJ58" s="122">
        <f t="shared" ref="KJ58" si="937">CH58+DL58</f>
        <v>0</v>
      </c>
      <c r="KK58" s="122">
        <f t="shared" ref="KK58" si="938">CI58+DM58</f>
        <v>0</v>
      </c>
      <c r="KL58" s="122">
        <f t="shared" ref="KL58" si="939">CJ58+DN58</f>
        <v>0</v>
      </c>
      <c r="KM58" s="122">
        <f t="shared" ref="KM58" si="940">CK58+DO58</f>
        <v>0</v>
      </c>
      <c r="KN58" s="123">
        <f t="shared" ref="KN58" si="941">CL58+DP58</f>
        <v>0</v>
      </c>
      <c r="KO58" s="123">
        <f t="shared" ref="KO58" si="942">CM58+DQ58</f>
        <v>0</v>
      </c>
      <c r="KP58" s="123">
        <f t="shared" ref="KP58" si="943">CN58+DR58</f>
        <v>0</v>
      </c>
      <c r="KQ58" s="123">
        <f t="shared" ref="KQ58" si="944">CO58+DS58</f>
        <v>0</v>
      </c>
      <c r="KR58" s="123">
        <f t="shared" ref="KR58" si="945">CP58+DT58</f>
        <v>0</v>
      </c>
      <c r="KS58">
        <v>7</v>
      </c>
      <c r="KT58">
        <f t="shared" ref="KT58" si="946">AN58</f>
        <v>1</v>
      </c>
      <c r="KU58" s="123"/>
      <c r="KV58" s="123"/>
      <c r="KW58" s="123"/>
      <c r="KX58" s="123"/>
      <c r="KY58" s="123"/>
      <c r="KZ58" s="123"/>
      <c r="LA58" s="123"/>
      <c r="LB58" s="123"/>
      <c r="LC58" s="123"/>
      <c r="LD58" s="123"/>
      <c r="LE58" s="123"/>
      <c r="LF58" s="123"/>
      <c r="LG58" s="123"/>
      <c r="LH58" s="123"/>
      <c r="LI58" s="123"/>
      <c r="LJ58" s="123"/>
      <c r="LK58" s="123"/>
      <c r="LL58" s="123"/>
      <c r="LM58" s="123"/>
      <c r="LN58" s="123"/>
      <c r="LO58" s="123"/>
      <c r="LP58" s="123"/>
      <c r="LQ58" s="123"/>
      <c r="LR58" s="123"/>
      <c r="LS58" s="123"/>
      <c r="LT58" s="123"/>
      <c r="LU58" s="123"/>
      <c r="LV58" s="123"/>
      <c r="LW58" s="123"/>
      <c r="LX58" s="123"/>
      <c r="LY58" s="123"/>
      <c r="LZ58" s="123"/>
      <c r="MA58" s="123"/>
      <c r="MB58" s="123"/>
      <c r="MC58" s="123"/>
      <c r="MD58" s="123"/>
      <c r="ME58" s="123"/>
      <c r="MF58" s="123"/>
      <c r="MG58" s="123"/>
      <c r="MH58" s="123"/>
      <c r="MI58" s="123"/>
      <c r="MJ58" s="123"/>
      <c r="MK58" s="123"/>
      <c r="ML58" s="123"/>
      <c r="MM58" s="123"/>
      <c r="MN58" s="123"/>
      <c r="MO58" s="123"/>
      <c r="MP58" s="123"/>
      <c r="MQ58" s="123"/>
      <c r="MR58" s="123"/>
      <c r="MS58" s="123"/>
      <c r="MT58" s="123"/>
      <c r="MU58" s="123"/>
      <c r="MV58" s="123"/>
      <c r="MW58" s="123"/>
      <c r="MX58" s="123"/>
      <c r="MY58" s="123"/>
      <c r="MZ58" s="123"/>
      <c r="NA58" s="123"/>
      <c r="NB58" s="123"/>
      <c r="NC58" s="123"/>
      <c r="ND58" s="123"/>
      <c r="NE58" s="123"/>
      <c r="NF58" s="123"/>
      <c r="NG58" s="123"/>
      <c r="NH58" s="123"/>
      <c r="NI58" s="123"/>
      <c r="NJ58" s="123"/>
      <c r="NK58" s="123"/>
      <c r="NM58">
        <f t="shared" ref="NM58" si="947">IF(KS58=1,1,0)</f>
        <v>0</v>
      </c>
      <c r="NN58">
        <f t="shared" ref="NN58" si="948">IF(KS58=2,1,0)</f>
        <v>0</v>
      </c>
      <c r="NO58">
        <f t="shared" ref="NO58" si="949">IF(KS58=3,1,0)</f>
        <v>0</v>
      </c>
      <c r="NP58">
        <f t="shared" ref="NP58" si="950">IF(KS58=4,1,0)</f>
        <v>0</v>
      </c>
      <c r="NQ58">
        <f t="shared" ref="NQ58" si="951">IF(KS58=5,1,0)</f>
        <v>0</v>
      </c>
      <c r="NR58">
        <f t="shared" ref="NR58" si="952">IF(KS58=6,1,0)</f>
        <v>0</v>
      </c>
      <c r="NS58">
        <f t="shared" ref="NS58" si="953">IF(KS58=7,1,0)</f>
        <v>1</v>
      </c>
      <c r="NT58">
        <f t="shared" ref="NT58" si="954">SUM(NM58:NS58)</f>
        <v>1</v>
      </c>
      <c r="NU58" s="29">
        <f t="shared" ref="NU58" si="955">NT58-KT58</f>
        <v>0</v>
      </c>
      <c r="NY58" s="17">
        <f t="shared" ref="NY58" si="956">V58</f>
        <v>0</v>
      </c>
      <c r="OE58" s="155"/>
      <c r="OF58" s="155">
        <f t="shared" si="461"/>
        <v>0</v>
      </c>
      <c r="OG58" s="155">
        <f t="shared" si="462"/>
        <v>1</v>
      </c>
      <c r="OH58" s="155">
        <f t="shared" si="463"/>
        <v>0</v>
      </c>
      <c r="OI58" s="155">
        <f t="shared" si="464"/>
        <v>1</v>
      </c>
      <c r="OJ58" s="67">
        <f t="shared" si="465"/>
        <v>0</v>
      </c>
      <c r="OK58" s="67">
        <f t="shared" si="466"/>
        <v>0</v>
      </c>
      <c r="OL58" s="67">
        <f t="shared" si="467"/>
        <v>0</v>
      </c>
      <c r="OM58" s="67">
        <f t="shared" si="468"/>
        <v>0</v>
      </c>
      <c r="OO58" s="155">
        <f t="shared" si="469"/>
        <v>0</v>
      </c>
      <c r="OP58" s="155">
        <f t="shared" si="470"/>
        <v>0</v>
      </c>
      <c r="OQ58" s="155">
        <f t="shared" si="471"/>
        <v>1</v>
      </c>
      <c r="OR58" s="155">
        <f t="shared" si="472"/>
        <v>0</v>
      </c>
      <c r="OS58" s="155">
        <f t="shared" si="473"/>
        <v>1</v>
      </c>
      <c r="OT58" s="67">
        <f t="shared" si="474"/>
        <v>0</v>
      </c>
      <c r="OU58" s="67">
        <f t="shared" si="475"/>
        <v>0</v>
      </c>
      <c r="OV58" s="67">
        <f t="shared" si="476"/>
        <v>0</v>
      </c>
      <c r="OW58" s="67">
        <f t="shared" si="477"/>
        <v>0</v>
      </c>
      <c r="OZ58" s="163"/>
      <c r="PA58" s="166"/>
      <c r="PB58" s="166">
        <v>1</v>
      </c>
      <c r="PC58" s="166"/>
      <c r="PD58" s="210">
        <f t="shared" si="125"/>
        <v>1</v>
      </c>
      <c r="PE58" s="210">
        <v>1</v>
      </c>
      <c r="PF58" s="210">
        <f t="shared" si="126"/>
        <v>0</v>
      </c>
      <c r="PG58" s="210">
        <f t="shared" si="646"/>
        <v>0</v>
      </c>
      <c r="PH58" s="210">
        <f t="shared" si="646"/>
        <v>22</v>
      </c>
      <c r="PI58" s="210">
        <f t="shared" si="646"/>
        <v>0</v>
      </c>
      <c r="PJ58" s="210">
        <f t="shared" si="645"/>
        <v>22</v>
      </c>
      <c r="PK58" s="210">
        <f t="shared" si="645"/>
        <v>22</v>
      </c>
      <c r="PL58" s="210">
        <f t="shared" si="645"/>
        <v>0</v>
      </c>
      <c r="PM58" s="164"/>
      <c r="PN58" s="164"/>
      <c r="PO58" s="172">
        <f t="shared" ref="PO58" si="957">IF(FC58=1,AB58,0)</f>
        <v>0</v>
      </c>
      <c r="PP58" s="172">
        <f t="shared" ref="PP58" si="958">IF(FF58=1,AB58,0)</f>
        <v>0</v>
      </c>
      <c r="PQ58" s="172">
        <f t="shared" ref="PQ58" si="959">AB58-(PO58+PP58)</f>
        <v>0</v>
      </c>
      <c r="PR58" s="164"/>
      <c r="PS58" s="164"/>
      <c r="PT58" s="164"/>
      <c r="PU58" s="164"/>
    </row>
    <row r="59" spans="1:437 16383:16384" ht="16" x14ac:dyDescent="0.2">
      <c r="A59" s="19">
        <f t="shared" si="189"/>
        <v>51</v>
      </c>
      <c r="B59" s="158" t="s">
        <v>663</v>
      </c>
      <c r="C59" s="138">
        <v>52</v>
      </c>
      <c r="D59" s="20">
        <v>1</v>
      </c>
      <c r="E59" s="20">
        <v>250</v>
      </c>
      <c r="F59" s="223">
        <v>1</v>
      </c>
      <c r="G59" s="188">
        <f t="shared" si="478"/>
        <v>250</v>
      </c>
      <c r="H59" s="214">
        <f t="shared" si="368"/>
        <v>1</v>
      </c>
      <c r="I59" s="214">
        <f t="shared" si="369"/>
        <v>1</v>
      </c>
      <c r="J59" s="188">
        <v>1</v>
      </c>
      <c r="K59" s="188">
        <f t="shared" si="370"/>
        <v>250</v>
      </c>
      <c r="L59" s="214">
        <f t="shared" si="371"/>
        <v>1</v>
      </c>
      <c r="M59" s="214">
        <f t="shared" si="372"/>
        <v>1</v>
      </c>
      <c r="N59" s="188">
        <v>1</v>
      </c>
      <c r="O59" s="188">
        <f t="shared" si="373"/>
        <v>250</v>
      </c>
      <c r="P59" s="137">
        <f t="shared" si="374"/>
        <v>1</v>
      </c>
      <c r="Q59" s="137">
        <f t="shared" si="375"/>
        <v>1</v>
      </c>
      <c r="R59" s="20">
        <v>0</v>
      </c>
      <c r="S59" s="20">
        <f t="shared" si="376"/>
        <v>0</v>
      </c>
      <c r="T59" s="137">
        <f t="shared" si="377"/>
        <v>0</v>
      </c>
      <c r="U59" s="137">
        <f t="shared" si="378"/>
        <v>0</v>
      </c>
      <c r="V59" s="20">
        <v>0</v>
      </c>
      <c r="W59" s="20">
        <f t="shared" si="379"/>
        <v>0</v>
      </c>
      <c r="X59" s="137">
        <f t="shared" si="380"/>
        <v>0</v>
      </c>
      <c r="Y59" s="137">
        <f t="shared" si="381"/>
        <v>0</v>
      </c>
      <c r="Z59" s="59">
        <v>0</v>
      </c>
      <c r="AA59" s="20"/>
      <c r="AB59" s="17">
        <f t="shared" si="382"/>
        <v>0</v>
      </c>
      <c r="AC59" s="18">
        <f t="shared" si="383"/>
        <v>0</v>
      </c>
      <c r="AD59" s="18">
        <f t="shared" si="384"/>
        <v>0</v>
      </c>
      <c r="AE59" s="20"/>
      <c r="AF59" s="20">
        <f t="shared" si="385"/>
        <v>0</v>
      </c>
      <c r="AG59" s="20"/>
      <c r="AH59" s="20"/>
      <c r="AI59" s="20">
        <v>0</v>
      </c>
      <c r="AJ59" s="20">
        <f t="shared" si="386"/>
        <v>0</v>
      </c>
      <c r="AK59" s="20"/>
      <c r="AL59" s="20">
        <v>0</v>
      </c>
      <c r="AM59" s="20">
        <v>0</v>
      </c>
      <c r="AN59" s="139">
        <v>1</v>
      </c>
      <c r="BB59" s="20">
        <f t="shared" si="479"/>
        <v>250</v>
      </c>
      <c r="BE59" s="20">
        <f t="shared" si="387"/>
        <v>0</v>
      </c>
      <c r="BF59" s="20">
        <f t="shared" si="388"/>
        <v>0</v>
      </c>
      <c r="BG59" s="20">
        <f t="shared" si="389"/>
        <v>0</v>
      </c>
      <c r="BH59" s="20">
        <f t="shared" si="390"/>
        <v>0</v>
      </c>
      <c r="BI59" s="20">
        <f t="shared" si="391"/>
        <v>0</v>
      </c>
      <c r="BJ59" s="20">
        <f t="shared" si="392"/>
        <v>0</v>
      </c>
      <c r="BK59" s="20">
        <f t="shared" si="393"/>
        <v>0</v>
      </c>
      <c r="BN59" s="143"/>
      <c r="BO59" s="126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B59" s="139"/>
      <c r="CD59" s="17">
        <f t="shared" si="394"/>
        <v>0</v>
      </c>
      <c r="CE59" s="17">
        <f t="shared" si="395"/>
        <v>0</v>
      </c>
      <c r="CF59" s="20">
        <f t="shared" si="396"/>
        <v>0</v>
      </c>
      <c r="CG59" s="20">
        <f t="shared" si="397"/>
        <v>0</v>
      </c>
      <c r="CH59" s="20">
        <f t="shared" si="398"/>
        <v>0</v>
      </c>
      <c r="CI59" s="20">
        <f t="shared" si="399"/>
        <v>0</v>
      </c>
      <c r="CJ59" s="20">
        <f t="shared" si="400"/>
        <v>0</v>
      </c>
      <c r="CK59" s="20">
        <f t="shared" si="401"/>
        <v>0</v>
      </c>
      <c r="CL59" s="20">
        <f t="shared" si="402"/>
        <v>0</v>
      </c>
      <c r="CM59" s="20">
        <f t="shared" si="403"/>
        <v>0</v>
      </c>
      <c r="CN59" s="20">
        <f t="shared" si="404"/>
        <v>0</v>
      </c>
      <c r="CO59" s="20">
        <f t="shared" si="405"/>
        <v>0</v>
      </c>
      <c r="CP59" s="20">
        <f t="shared" si="406"/>
        <v>0</v>
      </c>
      <c r="DV59" s="20">
        <f t="shared" si="407"/>
        <v>0</v>
      </c>
      <c r="DW59" s="20">
        <f t="shared" si="408"/>
        <v>0</v>
      </c>
      <c r="DX59" s="20">
        <f t="shared" si="409"/>
        <v>0</v>
      </c>
      <c r="DY59" s="20">
        <f t="shared" si="410"/>
        <v>0</v>
      </c>
      <c r="DZ59" s="20">
        <f t="shared" si="411"/>
        <v>0</v>
      </c>
      <c r="EA59" s="20">
        <f t="shared" si="412"/>
        <v>0</v>
      </c>
      <c r="EB59" s="20">
        <f t="shared" si="413"/>
        <v>0</v>
      </c>
      <c r="EG59" s="57">
        <f t="shared" si="414"/>
        <v>0</v>
      </c>
      <c r="EH59" s="57">
        <f t="shared" si="415"/>
        <v>0</v>
      </c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X59" s="80"/>
      <c r="FY59" s="17">
        <f t="shared" si="416"/>
        <v>0</v>
      </c>
      <c r="FZ59" s="17">
        <f t="shared" si="309"/>
        <v>0</v>
      </c>
      <c r="GA59" s="17">
        <f t="shared" si="310"/>
        <v>0</v>
      </c>
      <c r="GB59" s="17">
        <f t="shared" si="311"/>
        <v>0</v>
      </c>
      <c r="GC59" s="17">
        <f t="shared" si="312"/>
        <v>0</v>
      </c>
      <c r="GD59" s="17">
        <f t="shared" si="313"/>
        <v>0</v>
      </c>
      <c r="GE59" s="17">
        <f t="shared" si="314"/>
        <v>0</v>
      </c>
      <c r="GF59" s="67"/>
      <c r="GG59" s="17">
        <v>0</v>
      </c>
      <c r="GH59" s="17">
        <v>0</v>
      </c>
      <c r="GI59" s="67"/>
      <c r="GJ59" s="62">
        <f t="shared" si="417"/>
        <v>0</v>
      </c>
      <c r="GK59" s="62">
        <f t="shared" si="418"/>
        <v>0</v>
      </c>
      <c r="GO59" s="17">
        <f t="shared" si="315"/>
        <v>0</v>
      </c>
      <c r="GP59" s="17">
        <f t="shared" si="316"/>
        <v>0</v>
      </c>
      <c r="GQ59" s="17">
        <f t="shared" si="317"/>
        <v>0</v>
      </c>
      <c r="GR59" s="17">
        <f t="shared" si="318"/>
        <v>1</v>
      </c>
      <c r="GS59" s="17">
        <f t="shared" si="319"/>
        <v>1</v>
      </c>
      <c r="GT59" s="17">
        <f t="shared" si="419"/>
        <v>0</v>
      </c>
      <c r="GU59" s="101">
        <f t="shared" si="143"/>
        <v>43243</v>
      </c>
      <c r="GV59" s="17" t="str">
        <f t="shared" si="420"/>
        <v>Musyawarah</v>
      </c>
      <c r="GW59" s="17">
        <f t="shared" si="421"/>
        <v>1</v>
      </c>
      <c r="GX59" s="66" t="str">
        <f t="shared" si="422"/>
        <v>Musyawarah</v>
      </c>
      <c r="GY59" s="66">
        <f t="shared" si="423"/>
        <v>24</v>
      </c>
      <c r="GZ59" s="102">
        <f t="shared" si="424"/>
        <v>43267</v>
      </c>
      <c r="HA59" s="83"/>
      <c r="HB59" s="83"/>
      <c r="HC59" s="17">
        <f t="shared" si="320"/>
        <v>0</v>
      </c>
      <c r="HD59" s="17">
        <f t="shared" si="321"/>
        <v>0</v>
      </c>
      <c r="HE59" s="17">
        <f t="shared" si="425"/>
        <v>0</v>
      </c>
      <c r="HF59" s="17">
        <f t="shared" si="426"/>
        <v>0</v>
      </c>
      <c r="HG59" s="17">
        <f t="shared" si="427"/>
        <v>0</v>
      </c>
      <c r="HH59" s="101" t="str">
        <f t="shared" si="428"/>
        <v>TIDAK KONSINYASI</v>
      </c>
      <c r="HI59" s="101">
        <f t="shared" si="429"/>
        <v>43312</v>
      </c>
      <c r="HJ59" s="27"/>
      <c r="HK59" s="101">
        <f t="shared" si="430"/>
        <v>43312</v>
      </c>
      <c r="HL59" s="83"/>
      <c r="HM59" s="83"/>
      <c r="HN59" s="83"/>
      <c r="HO59" s="83"/>
      <c r="HP59" s="102">
        <f t="shared" si="431"/>
        <v>0</v>
      </c>
      <c r="HQ59" s="66">
        <f t="shared" si="432"/>
        <v>0</v>
      </c>
      <c r="HR59" s="66">
        <f t="shared" si="322"/>
        <v>0</v>
      </c>
      <c r="HS59" s="102">
        <f t="shared" si="433"/>
        <v>0</v>
      </c>
      <c r="HT59" s="66">
        <f t="shared" si="434"/>
        <v>0</v>
      </c>
      <c r="HU59" s="66">
        <f t="shared" si="323"/>
        <v>0</v>
      </c>
      <c r="HV59" s="102">
        <f t="shared" si="435"/>
        <v>0</v>
      </c>
      <c r="HW59" s="66">
        <f t="shared" si="436"/>
        <v>0</v>
      </c>
      <c r="HX59" s="66">
        <f t="shared" si="324"/>
        <v>0</v>
      </c>
      <c r="HY59" s="102">
        <f t="shared" si="437"/>
        <v>0</v>
      </c>
      <c r="HZ59" s="66">
        <f t="shared" si="438"/>
        <v>0</v>
      </c>
      <c r="IA59" s="66">
        <f t="shared" si="325"/>
        <v>0</v>
      </c>
      <c r="IB59" s="102">
        <f t="shared" si="439"/>
        <v>0</v>
      </c>
      <c r="IC59" s="66">
        <f t="shared" si="440"/>
        <v>0</v>
      </c>
      <c r="ID59" s="66">
        <f t="shared" si="326"/>
        <v>0</v>
      </c>
      <c r="IE59" s="102">
        <f t="shared" si="441"/>
        <v>0</v>
      </c>
      <c r="IF59" s="66">
        <f t="shared" si="442"/>
        <v>0</v>
      </c>
      <c r="IG59" s="66">
        <f t="shared" si="327"/>
        <v>0</v>
      </c>
      <c r="IH59" s="102">
        <f t="shared" si="443"/>
        <v>0</v>
      </c>
      <c r="II59" s="66">
        <f t="shared" si="444"/>
        <v>0</v>
      </c>
      <c r="IJ59" s="66">
        <f t="shared" si="328"/>
        <v>0</v>
      </c>
      <c r="IK59" s="102">
        <f t="shared" si="445"/>
        <v>0</v>
      </c>
      <c r="IL59" s="66">
        <f t="shared" si="446"/>
        <v>0</v>
      </c>
      <c r="IM59" s="66">
        <f t="shared" si="329"/>
        <v>0</v>
      </c>
      <c r="IN59" s="83"/>
      <c r="IO59" s="102">
        <f t="shared" si="447"/>
        <v>0</v>
      </c>
      <c r="IP59" s="66">
        <f t="shared" si="330"/>
        <v>0</v>
      </c>
      <c r="IQ59" s="66">
        <f t="shared" si="331"/>
        <v>0</v>
      </c>
      <c r="IR59" s="83"/>
      <c r="IS59" s="102"/>
      <c r="IT59" s="66">
        <f t="shared" si="332"/>
        <v>0</v>
      </c>
      <c r="IU59" s="66">
        <f t="shared" si="333"/>
        <v>0</v>
      </c>
      <c r="IV59" s="83"/>
      <c r="IW59" s="102"/>
      <c r="IX59" s="66">
        <f t="shared" si="334"/>
        <v>0</v>
      </c>
      <c r="IY59" s="66">
        <f t="shared" si="335"/>
        <v>0</v>
      </c>
      <c r="IZ59" s="83"/>
      <c r="JA59" s="102"/>
      <c r="JB59" s="66">
        <f t="shared" si="336"/>
        <v>1</v>
      </c>
      <c r="JC59" s="66">
        <f t="shared" si="337"/>
        <v>250</v>
      </c>
      <c r="JD59" s="83"/>
      <c r="JE59" s="102"/>
      <c r="JF59" s="66">
        <f t="shared" si="448"/>
        <v>1</v>
      </c>
      <c r="JG59" s="66">
        <f t="shared" si="449"/>
        <v>250</v>
      </c>
      <c r="JH59" s="83"/>
      <c r="JI59" s="102"/>
      <c r="JJ59" s="66">
        <f t="shared" si="338"/>
        <v>0</v>
      </c>
      <c r="JK59" s="66">
        <f t="shared" si="339"/>
        <v>0</v>
      </c>
      <c r="JM59" s="102">
        <f t="shared" si="450"/>
        <v>0</v>
      </c>
      <c r="JO59" s="29">
        <f t="shared" si="451"/>
        <v>0</v>
      </c>
      <c r="JP59" s="122">
        <f t="shared" si="340"/>
        <v>0</v>
      </c>
      <c r="JQ59" s="122">
        <f t="shared" si="341"/>
        <v>0</v>
      </c>
      <c r="JR59" s="122">
        <f t="shared" si="342"/>
        <v>0</v>
      </c>
      <c r="JS59" s="122">
        <f t="shared" si="343"/>
        <v>0</v>
      </c>
      <c r="JT59" s="122">
        <f t="shared" si="344"/>
        <v>0</v>
      </c>
      <c r="JU59" s="122">
        <f t="shared" si="345"/>
        <v>0</v>
      </c>
      <c r="JV59" s="122">
        <f t="shared" si="346"/>
        <v>0</v>
      </c>
      <c r="JW59" s="122">
        <f t="shared" si="347"/>
        <v>0</v>
      </c>
      <c r="JX59" s="122">
        <f t="shared" si="348"/>
        <v>0</v>
      </c>
      <c r="JY59" s="122">
        <f t="shared" si="349"/>
        <v>0</v>
      </c>
      <c r="JZ59" s="122">
        <f t="shared" si="350"/>
        <v>0</v>
      </c>
      <c r="KA59" s="122">
        <f t="shared" si="351"/>
        <v>0</v>
      </c>
      <c r="KB59" s="122">
        <f t="shared" si="352"/>
        <v>0</v>
      </c>
      <c r="KD59" s="122">
        <f t="shared" si="164"/>
        <v>0</v>
      </c>
      <c r="KE59" s="122">
        <f t="shared" si="102"/>
        <v>0</v>
      </c>
      <c r="KF59" s="122">
        <f t="shared" si="353"/>
        <v>0</v>
      </c>
      <c r="KG59" s="122">
        <f t="shared" si="354"/>
        <v>0</v>
      </c>
      <c r="KH59" s="122">
        <f t="shared" si="355"/>
        <v>0</v>
      </c>
      <c r="KI59" s="122">
        <f t="shared" si="356"/>
        <v>0</v>
      </c>
      <c r="KJ59" s="122">
        <f t="shared" si="357"/>
        <v>0</v>
      </c>
      <c r="KK59" s="122">
        <f t="shared" si="358"/>
        <v>0</v>
      </c>
      <c r="KL59" s="122">
        <f t="shared" si="359"/>
        <v>0</v>
      </c>
      <c r="KM59" s="122">
        <f t="shared" si="360"/>
        <v>0</v>
      </c>
      <c r="KN59" s="123">
        <f t="shared" si="361"/>
        <v>0</v>
      </c>
      <c r="KO59" s="123">
        <f t="shared" si="362"/>
        <v>0</v>
      </c>
      <c r="KP59" s="123">
        <f t="shared" si="363"/>
        <v>0</v>
      </c>
      <c r="KQ59" s="123">
        <f t="shared" si="364"/>
        <v>0</v>
      </c>
      <c r="KR59" s="123">
        <f t="shared" si="365"/>
        <v>0</v>
      </c>
      <c r="KS59">
        <v>2</v>
      </c>
      <c r="KT59">
        <f t="shared" si="366"/>
        <v>1</v>
      </c>
      <c r="KU59" s="123"/>
      <c r="KV59" s="123"/>
      <c r="KW59" s="123"/>
      <c r="KX59" s="123"/>
      <c r="KY59" s="123"/>
      <c r="KZ59" s="123"/>
      <c r="LA59" s="123"/>
      <c r="LB59" s="123"/>
      <c r="LC59" s="123"/>
      <c r="LD59" s="123"/>
      <c r="LE59" s="123"/>
      <c r="LF59" s="123"/>
      <c r="LG59" s="123"/>
      <c r="LH59" s="123"/>
      <c r="LI59" s="123"/>
      <c r="LJ59" s="123"/>
      <c r="LK59" s="123"/>
      <c r="LL59" s="123"/>
      <c r="LM59" s="123"/>
      <c r="LN59" s="123"/>
      <c r="LO59" s="123"/>
      <c r="LP59" s="123"/>
      <c r="LQ59" s="123"/>
      <c r="LR59" s="123"/>
      <c r="LS59" s="123"/>
      <c r="LT59" s="123"/>
      <c r="LU59" s="123"/>
      <c r="LV59" s="123"/>
      <c r="LW59" s="123"/>
      <c r="LX59" s="123"/>
      <c r="LY59" s="123"/>
      <c r="LZ59" s="123"/>
      <c r="MA59" s="123"/>
      <c r="MB59" s="123"/>
      <c r="MC59" s="123"/>
      <c r="MD59" s="123"/>
      <c r="ME59" s="123"/>
      <c r="MF59" s="123"/>
      <c r="MG59" s="123"/>
      <c r="MH59" s="123"/>
      <c r="MI59" s="123"/>
      <c r="MJ59" s="123"/>
      <c r="MK59" s="123"/>
      <c r="ML59" s="123"/>
      <c r="MM59" s="123"/>
      <c r="MN59" s="123"/>
      <c r="MO59" s="123"/>
      <c r="MP59" s="123"/>
      <c r="MQ59" s="123"/>
      <c r="MR59" s="123"/>
      <c r="MS59" s="123"/>
      <c r="MT59" s="123"/>
      <c r="MU59" s="123"/>
      <c r="MV59" s="123"/>
      <c r="MW59" s="123"/>
      <c r="MX59" s="123"/>
      <c r="MY59" s="123"/>
      <c r="MZ59" s="123"/>
      <c r="NA59" s="123"/>
      <c r="NB59" s="123"/>
      <c r="NC59" s="123"/>
      <c r="ND59" s="123"/>
      <c r="NE59" s="123"/>
      <c r="NF59" s="123"/>
      <c r="NG59" s="123"/>
      <c r="NH59" s="123"/>
      <c r="NI59" s="123"/>
      <c r="NJ59" s="123"/>
      <c r="NK59" s="123"/>
      <c r="NM59">
        <f t="shared" si="452"/>
        <v>0</v>
      </c>
      <c r="NN59">
        <f t="shared" si="453"/>
        <v>1</v>
      </c>
      <c r="NO59">
        <f t="shared" si="454"/>
        <v>0</v>
      </c>
      <c r="NP59">
        <f t="shared" si="455"/>
        <v>0</v>
      </c>
      <c r="NQ59">
        <f t="shared" si="456"/>
        <v>0</v>
      </c>
      <c r="NR59">
        <f t="shared" si="457"/>
        <v>0</v>
      </c>
      <c r="NS59">
        <f t="shared" si="458"/>
        <v>0</v>
      </c>
      <c r="NT59">
        <f t="shared" si="459"/>
        <v>1</v>
      </c>
      <c r="NU59" s="29">
        <f t="shared" si="460"/>
        <v>0</v>
      </c>
      <c r="NY59" s="17">
        <f t="shared" si="118"/>
        <v>0</v>
      </c>
      <c r="OE59" s="155"/>
      <c r="OF59" s="155">
        <f t="shared" si="461"/>
        <v>0</v>
      </c>
      <c r="OG59" s="155">
        <f t="shared" si="462"/>
        <v>1</v>
      </c>
      <c r="OH59" s="155">
        <f t="shared" si="463"/>
        <v>0</v>
      </c>
      <c r="OI59" s="155">
        <f t="shared" si="464"/>
        <v>1</v>
      </c>
      <c r="OJ59" s="67">
        <f t="shared" si="465"/>
        <v>0</v>
      </c>
      <c r="OK59" s="67">
        <f t="shared" si="466"/>
        <v>0</v>
      </c>
      <c r="OL59" s="67">
        <f t="shared" si="467"/>
        <v>0</v>
      </c>
      <c r="OM59" s="67">
        <f t="shared" si="468"/>
        <v>0</v>
      </c>
      <c r="OO59" s="155">
        <f t="shared" si="469"/>
        <v>0</v>
      </c>
      <c r="OP59" s="155">
        <f t="shared" si="470"/>
        <v>0</v>
      </c>
      <c r="OQ59" s="155">
        <f t="shared" si="471"/>
        <v>1</v>
      </c>
      <c r="OR59" s="155">
        <f t="shared" si="472"/>
        <v>0</v>
      </c>
      <c r="OS59" s="155">
        <f t="shared" si="473"/>
        <v>1</v>
      </c>
      <c r="OT59" s="67">
        <f t="shared" si="474"/>
        <v>0</v>
      </c>
      <c r="OU59" s="67">
        <f t="shared" si="475"/>
        <v>0</v>
      </c>
      <c r="OV59" s="67">
        <f t="shared" si="476"/>
        <v>0</v>
      </c>
      <c r="OW59" s="67">
        <f t="shared" si="477"/>
        <v>0</v>
      </c>
      <c r="OZ59" s="163"/>
      <c r="PA59" s="166">
        <v>1</v>
      </c>
      <c r="PB59" s="166"/>
      <c r="PC59" s="166"/>
      <c r="PD59" s="210">
        <f t="shared" si="125"/>
        <v>0</v>
      </c>
      <c r="PE59" s="210"/>
      <c r="PF59" s="210">
        <f t="shared" si="126"/>
        <v>0</v>
      </c>
      <c r="PG59" s="210">
        <f t="shared" si="646"/>
        <v>250</v>
      </c>
      <c r="PH59" s="210">
        <f t="shared" si="646"/>
        <v>0</v>
      </c>
      <c r="PI59" s="210">
        <f t="shared" si="646"/>
        <v>0</v>
      </c>
      <c r="PJ59" s="210">
        <f t="shared" si="645"/>
        <v>0</v>
      </c>
      <c r="PK59" s="210">
        <f t="shared" si="645"/>
        <v>0</v>
      </c>
      <c r="PL59" s="210">
        <f t="shared" si="645"/>
        <v>0</v>
      </c>
      <c r="PM59" s="164"/>
      <c r="PN59" s="164"/>
      <c r="PO59" s="172">
        <f t="shared" si="186"/>
        <v>0</v>
      </c>
      <c r="PP59" s="172">
        <f t="shared" si="187"/>
        <v>0</v>
      </c>
      <c r="PQ59" s="172">
        <f t="shared" si="188"/>
        <v>0</v>
      </c>
      <c r="PR59" s="164"/>
      <c r="PS59" s="164"/>
      <c r="PT59" s="164"/>
      <c r="PU59" s="164"/>
    </row>
    <row r="60" spans="1:437 16383:16384" ht="16" x14ac:dyDescent="0.2">
      <c r="A60" s="73"/>
      <c r="B60" s="74" t="s">
        <v>18</v>
      </c>
      <c r="C60" s="74"/>
      <c r="D60" s="75">
        <f>SUM(D9:D59)</f>
        <v>51</v>
      </c>
      <c r="E60" s="75">
        <f>SUM(E9:E59)</f>
        <v>18574</v>
      </c>
      <c r="F60" s="75">
        <f>SUM(F9:F59)</f>
        <v>51</v>
      </c>
      <c r="G60" s="75">
        <f>SUM(G9:G59)</f>
        <v>18574</v>
      </c>
      <c r="H60" s="76">
        <f t="shared" ref="H60" si="960">F60/$D60</f>
        <v>1</v>
      </c>
      <c r="I60" s="76">
        <f t="shared" ref="I60" si="961">G60/$E60</f>
        <v>1</v>
      </c>
      <c r="J60" s="75">
        <f>SUM(J9:J59)</f>
        <v>51</v>
      </c>
      <c r="K60" s="75">
        <f>SUM(K9:K59)</f>
        <v>18574</v>
      </c>
      <c r="L60" s="76">
        <f t="shared" si="5"/>
        <v>1</v>
      </c>
      <c r="M60" s="76">
        <f t="shared" si="6"/>
        <v>1</v>
      </c>
      <c r="N60" s="75">
        <f>SUM(N9:N59)</f>
        <v>51</v>
      </c>
      <c r="O60" s="75">
        <f>SUM(O9:O59)</f>
        <v>18574</v>
      </c>
      <c r="P60" s="76">
        <f t="shared" si="8"/>
        <v>1</v>
      </c>
      <c r="Q60" s="76">
        <f t="shared" si="9"/>
        <v>1</v>
      </c>
      <c r="R60" s="75">
        <f>SUM(R9:R59)</f>
        <v>21</v>
      </c>
      <c r="S60" s="75">
        <f>SUM(S9:S59)</f>
        <v>6132</v>
      </c>
      <c r="T60" s="76">
        <f t="shared" ref="T60" si="962">R60/$D60</f>
        <v>0.41176470588235292</v>
      </c>
      <c r="U60" s="76">
        <f t="shared" ref="U60" si="963">S60/$E60</f>
        <v>0.33013890384408312</v>
      </c>
      <c r="V60" s="75">
        <f>SUM(V9:V59)</f>
        <v>21</v>
      </c>
      <c r="W60" s="75">
        <f>SUM(W9:W59)</f>
        <v>6132</v>
      </c>
      <c r="X60" s="76">
        <f t="shared" ref="X60" si="964">V60/$D60</f>
        <v>0.41176470588235292</v>
      </c>
      <c r="Y60" s="76">
        <f t="shared" ref="Y60" si="965">W60/$E60</f>
        <v>0.33013890384408312</v>
      </c>
      <c r="Z60" s="77">
        <f>SUM(Z9:Z59)</f>
        <v>88.736156999999992</v>
      </c>
      <c r="AA60" s="75">
        <f>SUM(AA9:AA59)</f>
        <v>2</v>
      </c>
      <c r="AB60" s="75">
        <f>SUM(AB9:AB59)</f>
        <v>3151</v>
      </c>
      <c r="AC60" s="76">
        <f t="shared" ref="AC60" si="966">AA60/$D60</f>
        <v>3.9215686274509803E-2</v>
      </c>
      <c r="AD60" s="76">
        <f t="shared" ref="AD60" si="967">AB60/$E60</f>
        <v>0.16964574135888877</v>
      </c>
      <c r="AE60" s="77">
        <f>SUM(AE9:AE59)</f>
        <v>37.748847999999995</v>
      </c>
      <c r="AF60" s="75">
        <f>SUM(AF9:AF59)</f>
        <v>0</v>
      </c>
      <c r="AG60" s="75"/>
      <c r="AH60" s="75"/>
      <c r="AI60" s="75">
        <f>SUM(AI9:AI59)</f>
        <v>0</v>
      </c>
      <c r="AJ60" s="75">
        <f>SUM(AJ9:AJ59)</f>
        <v>0</v>
      </c>
      <c r="AK60" s="75"/>
      <c r="AL60" s="75">
        <f>SUM(AL9:AL59)</f>
        <v>0</v>
      </c>
      <c r="AM60" s="75">
        <f>SUM(AM9:AM59)</f>
        <v>0</v>
      </c>
      <c r="AN60" s="75">
        <f>SUM(AN9:AN59)</f>
        <v>28</v>
      </c>
      <c r="BB60" s="23">
        <f>SUM(BB9:BB59)</f>
        <v>9291</v>
      </c>
      <c r="BE60" s="23">
        <f t="shared" ref="BE60:BK60" si="968">SUM(BE9:BE59)</f>
        <v>0</v>
      </c>
      <c r="BF60" s="23">
        <f t="shared" si="968"/>
        <v>0</v>
      </c>
      <c r="BG60" s="23">
        <f t="shared" si="968"/>
        <v>0</v>
      </c>
      <c r="BH60" s="23">
        <f t="shared" si="968"/>
        <v>0</v>
      </c>
      <c r="BI60" s="23">
        <f t="shared" si="968"/>
        <v>0</v>
      </c>
      <c r="BJ60" s="23">
        <f t="shared" si="968"/>
        <v>0</v>
      </c>
      <c r="BK60" s="23">
        <f t="shared" si="968"/>
        <v>0</v>
      </c>
      <c r="BN60" s="23">
        <f t="shared" ref="BN60:BZ60" si="969">SUM(BN9:BN59)</f>
        <v>2407</v>
      </c>
      <c r="BO60" s="23">
        <f t="shared" si="969"/>
        <v>10</v>
      </c>
      <c r="BP60" s="23">
        <f t="shared" si="969"/>
        <v>9</v>
      </c>
      <c r="BQ60" s="23">
        <f t="shared" si="969"/>
        <v>0</v>
      </c>
      <c r="BR60" s="23">
        <f t="shared" si="969"/>
        <v>0</v>
      </c>
      <c r="BS60" s="23">
        <f t="shared" si="969"/>
        <v>0</v>
      </c>
      <c r="BT60" s="23">
        <f t="shared" si="969"/>
        <v>0</v>
      </c>
      <c r="BU60" s="23">
        <f t="shared" si="969"/>
        <v>0</v>
      </c>
      <c r="BV60" s="23">
        <f t="shared" si="969"/>
        <v>0</v>
      </c>
      <c r="BW60" s="23">
        <f t="shared" si="969"/>
        <v>0</v>
      </c>
      <c r="BX60" s="23">
        <f t="shared" si="969"/>
        <v>0</v>
      </c>
      <c r="BY60" s="23">
        <f t="shared" si="969"/>
        <v>0</v>
      </c>
      <c r="BZ60" s="23">
        <f t="shared" si="969"/>
        <v>0</v>
      </c>
      <c r="CB60" s="23">
        <f>SUM(CB9:CB59)</f>
        <v>2</v>
      </c>
      <c r="CD60" s="23">
        <f t="shared" ref="CD60:CP60" si="970">SUM(CD9:CD59)</f>
        <v>2407</v>
      </c>
      <c r="CE60" s="23">
        <f t="shared" si="970"/>
        <v>735</v>
      </c>
      <c r="CF60" s="23">
        <f t="shared" si="970"/>
        <v>1672</v>
      </c>
      <c r="CG60" s="23">
        <f t="shared" si="970"/>
        <v>0</v>
      </c>
      <c r="CH60" s="23">
        <f t="shared" si="970"/>
        <v>0</v>
      </c>
      <c r="CI60" s="23">
        <f t="shared" si="970"/>
        <v>0</v>
      </c>
      <c r="CJ60" s="23">
        <f t="shared" si="970"/>
        <v>0</v>
      </c>
      <c r="CK60" s="23">
        <f t="shared" si="970"/>
        <v>0</v>
      </c>
      <c r="CL60" s="23">
        <f t="shared" si="970"/>
        <v>0</v>
      </c>
      <c r="CM60" s="23">
        <f t="shared" si="970"/>
        <v>0</v>
      </c>
      <c r="CN60" s="23">
        <f t="shared" si="970"/>
        <v>0</v>
      </c>
      <c r="CO60" s="23">
        <f t="shared" si="970"/>
        <v>0</v>
      </c>
      <c r="CP60" s="23">
        <f t="shared" si="970"/>
        <v>0</v>
      </c>
      <c r="DV60" s="23">
        <f t="shared" ref="DV60:EB60" si="971">SUM(DV9:DV59)</f>
        <v>3151</v>
      </c>
      <c r="DW60" s="23">
        <f t="shared" si="971"/>
        <v>0</v>
      </c>
      <c r="DX60" s="23">
        <f t="shared" si="971"/>
        <v>0</v>
      </c>
      <c r="DY60" s="23">
        <f t="shared" si="971"/>
        <v>0</v>
      </c>
      <c r="DZ60" s="23">
        <f t="shared" si="971"/>
        <v>3151</v>
      </c>
      <c r="EA60" s="23">
        <f t="shared" si="971"/>
        <v>0</v>
      </c>
      <c r="EB60" s="23">
        <f t="shared" si="971"/>
        <v>3151</v>
      </c>
      <c r="EG60" s="58">
        <f>COUNTIF(EG9:EG59,"&gt;&lt;0")</f>
        <v>0</v>
      </c>
      <c r="EH60" s="58">
        <f>COUNTIF(EH9:EH59,"&gt;&lt;0")</f>
        <v>2</v>
      </c>
      <c r="EI60" s="23">
        <f t="shared" ref="EI60:FF60" si="972">SUM(EI9:EI59)</f>
        <v>2</v>
      </c>
      <c r="EJ60" s="23">
        <f t="shared" si="972"/>
        <v>2</v>
      </c>
      <c r="EK60" s="23">
        <f t="shared" si="972"/>
        <v>0</v>
      </c>
      <c r="EL60" s="23">
        <f t="shared" si="972"/>
        <v>0</v>
      </c>
      <c r="EM60" s="23">
        <f t="shared" si="972"/>
        <v>0</v>
      </c>
      <c r="EN60" s="23">
        <f t="shared" si="972"/>
        <v>0</v>
      </c>
      <c r="EO60" s="23">
        <f t="shared" si="972"/>
        <v>0</v>
      </c>
      <c r="EP60" s="23">
        <f t="shared" si="972"/>
        <v>0</v>
      </c>
      <c r="EQ60" s="23">
        <f t="shared" si="972"/>
        <v>2</v>
      </c>
      <c r="ER60" s="23">
        <f t="shared" si="972"/>
        <v>2</v>
      </c>
      <c r="ES60" s="23">
        <f t="shared" si="972"/>
        <v>2</v>
      </c>
      <c r="ET60" s="23">
        <f t="shared" si="972"/>
        <v>0</v>
      </c>
      <c r="EU60" s="23">
        <f t="shared" si="972"/>
        <v>0</v>
      </c>
      <c r="EV60" s="23">
        <f t="shared" si="972"/>
        <v>2</v>
      </c>
      <c r="EW60" s="23">
        <f t="shared" si="972"/>
        <v>0</v>
      </c>
      <c r="EX60" s="23">
        <f t="shared" si="972"/>
        <v>0</v>
      </c>
      <c r="EY60" s="23">
        <f t="shared" si="972"/>
        <v>0</v>
      </c>
      <c r="EZ60" s="23">
        <f t="shared" si="972"/>
        <v>2</v>
      </c>
      <c r="FA60" s="23">
        <f t="shared" si="972"/>
        <v>1</v>
      </c>
      <c r="FB60" s="23">
        <f t="shared" si="972"/>
        <v>1</v>
      </c>
      <c r="FC60" s="23">
        <f t="shared" si="972"/>
        <v>0</v>
      </c>
      <c r="FD60" s="23">
        <f t="shared" si="972"/>
        <v>0</v>
      </c>
      <c r="FE60" s="23">
        <f t="shared" si="972"/>
        <v>1</v>
      </c>
      <c r="FF60" s="23">
        <f t="shared" si="972"/>
        <v>2</v>
      </c>
      <c r="FH60" s="23">
        <f t="shared" ref="FH60:FV60" si="973">SUM(FH9:FH59)</f>
        <v>0</v>
      </c>
      <c r="FI60" s="23">
        <f t="shared" si="973"/>
        <v>0</v>
      </c>
      <c r="FJ60" s="23">
        <f t="shared" si="973"/>
        <v>0</v>
      </c>
      <c r="FK60" s="23">
        <f t="shared" si="973"/>
        <v>0</v>
      </c>
      <c r="FL60" s="23">
        <f t="shared" si="973"/>
        <v>0</v>
      </c>
      <c r="FM60" s="23">
        <f t="shared" si="973"/>
        <v>0</v>
      </c>
      <c r="FN60" s="23">
        <f t="shared" si="973"/>
        <v>0</v>
      </c>
      <c r="FO60" s="23">
        <f t="shared" si="973"/>
        <v>0</v>
      </c>
      <c r="FP60" s="23">
        <f t="shared" si="973"/>
        <v>0</v>
      </c>
      <c r="FQ60" s="23">
        <f t="shared" si="973"/>
        <v>0</v>
      </c>
      <c r="FR60" s="23">
        <f t="shared" si="973"/>
        <v>0</v>
      </c>
      <c r="FS60" s="23">
        <f t="shared" si="973"/>
        <v>0</v>
      </c>
      <c r="FT60" s="23">
        <f t="shared" si="973"/>
        <v>0</v>
      </c>
      <c r="FU60" s="23">
        <f t="shared" si="973"/>
        <v>0</v>
      </c>
      <c r="FV60" s="23">
        <f t="shared" si="973"/>
        <v>0</v>
      </c>
      <c r="FX60" s="23">
        <f t="shared" ref="FX60:GE60" si="974">SUM(FX9:FX59)</f>
        <v>19</v>
      </c>
      <c r="FY60" s="23">
        <f t="shared" si="974"/>
        <v>2407</v>
      </c>
      <c r="FZ60" s="23">
        <f t="shared" si="974"/>
        <v>735</v>
      </c>
      <c r="GA60" s="23">
        <f t="shared" si="974"/>
        <v>1672</v>
      </c>
      <c r="GB60" s="23">
        <f t="shared" si="974"/>
        <v>0</v>
      </c>
      <c r="GC60" s="23">
        <f t="shared" si="974"/>
        <v>0</v>
      </c>
      <c r="GD60" s="23">
        <f t="shared" si="974"/>
        <v>0</v>
      </c>
      <c r="GE60" s="23">
        <f t="shared" si="974"/>
        <v>0</v>
      </c>
      <c r="GG60" s="23">
        <f>SUM(GG9:GG59)</f>
        <v>0</v>
      </c>
      <c r="GH60" s="23">
        <f>SUM(GH9:GH59)</f>
        <v>0</v>
      </c>
      <c r="GJ60" s="39">
        <f>SUM(GJ9:GJ59)</f>
        <v>0</v>
      </c>
      <c r="GK60" s="39">
        <f>SUM(GK9:GK59)</f>
        <v>0</v>
      </c>
      <c r="GO60" s="103">
        <f t="shared" ref="GO60:GT60" si="975">SUM(GO9:GO59)</f>
        <v>0</v>
      </c>
      <c r="GP60" s="103">
        <f t="shared" si="975"/>
        <v>0</v>
      </c>
      <c r="GQ60" s="103">
        <f t="shared" si="975"/>
        <v>0</v>
      </c>
      <c r="GR60" s="103">
        <f t="shared" si="975"/>
        <v>30</v>
      </c>
      <c r="GS60" s="103">
        <f t="shared" si="975"/>
        <v>30</v>
      </c>
      <c r="GT60" s="103">
        <f t="shared" si="975"/>
        <v>21</v>
      </c>
      <c r="GU60" s="103">
        <f>COUNTA(GU9:GU59)</f>
        <v>51</v>
      </c>
      <c r="GV60" s="103">
        <f>COUNTA(GV9:GV59)</f>
        <v>51</v>
      </c>
      <c r="GW60" s="103">
        <f>SUM(GW9:GW59)</f>
        <v>30</v>
      </c>
      <c r="GX60" s="103">
        <f>COUNTA(GX9:GX59)</f>
        <v>51</v>
      </c>
      <c r="GY60" s="103"/>
      <c r="GZ60" s="103">
        <f>COUNTA(GZ9:GZ59)</f>
        <v>51</v>
      </c>
      <c r="HA60" s="83"/>
      <c r="HB60" s="83"/>
      <c r="HC60" s="103">
        <f>SUM(HC9:HC59)</f>
        <v>0</v>
      </c>
      <c r="HD60" s="103">
        <f>SUM(HD9:HD59)</f>
        <v>2</v>
      </c>
      <c r="HE60" s="103">
        <f>SUM(HE9:HE59)</f>
        <v>2</v>
      </c>
      <c r="HF60" s="103">
        <f>SUM(HF9:HF59)</f>
        <v>0</v>
      </c>
      <c r="HG60" s="103">
        <f>SUM(HG9:HG59)</f>
        <v>2</v>
      </c>
      <c r="HH60" s="103">
        <f>COUNTA(HH9:HH59)</f>
        <v>51</v>
      </c>
      <c r="HI60" s="103">
        <f>COUNTA(HI9:HI59)</f>
        <v>51</v>
      </c>
      <c r="HJ60" s="83"/>
      <c r="HK60" s="103">
        <f>COUNTA(HK9:HK59)</f>
        <v>51</v>
      </c>
      <c r="HL60" s="83"/>
      <c r="HM60" s="83"/>
      <c r="HN60" s="83"/>
      <c r="HO60" s="83"/>
      <c r="HP60" s="104">
        <f>HP62</f>
        <v>43257</v>
      </c>
      <c r="HQ60" s="103">
        <f>SUM(HQ9:HQ59)</f>
        <v>0</v>
      </c>
      <c r="HR60" s="103">
        <f>SUM(HR9:HR59)</f>
        <v>0</v>
      </c>
      <c r="HS60" s="104">
        <f>HS62</f>
        <v>43288</v>
      </c>
      <c r="HT60" s="103">
        <f>SUM(HT9:HT59)</f>
        <v>2</v>
      </c>
      <c r="HU60" s="103">
        <f>SUM(HU9:HU59)</f>
        <v>3151</v>
      </c>
      <c r="HV60" s="104">
        <f>HV62</f>
        <v>43267</v>
      </c>
      <c r="HW60" s="103">
        <f>SUM(HW9:HW59)</f>
        <v>0</v>
      </c>
      <c r="HX60" s="103">
        <f>SUM(HX9:HX59)</f>
        <v>0</v>
      </c>
      <c r="HY60" s="104">
        <f>HY62</f>
        <v>43312</v>
      </c>
      <c r="HZ60" s="103">
        <f>SUM(HZ9:HZ59)</f>
        <v>0</v>
      </c>
      <c r="IA60" s="103">
        <f>SUM(IA9:IA59)</f>
        <v>0</v>
      </c>
      <c r="IB60" s="104">
        <f>IB62</f>
        <v>43277</v>
      </c>
      <c r="IC60" s="103">
        <f>SUM(IC9:IC59)</f>
        <v>0</v>
      </c>
      <c r="ID60" s="103">
        <f>SUM(ID9:ID59)</f>
        <v>0</v>
      </c>
      <c r="IE60" s="104">
        <f>IE62</f>
        <v>43322</v>
      </c>
      <c r="IF60" s="103">
        <f>SUM(IF9:IF59)</f>
        <v>0</v>
      </c>
      <c r="IG60" s="103">
        <f>SUM(IG9:IG59)</f>
        <v>0</v>
      </c>
      <c r="IH60" s="104">
        <f>IH62</f>
        <v>43297</v>
      </c>
      <c r="II60" s="103">
        <f>SUM(II9:II59)</f>
        <v>0</v>
      </c>
      <c r="IJ60" s="103">
        <f>SUM(IJ9:IJ59)</f>
        <v>0</v>
      </c>
      <c r="IK60" s="104">
        <f>IK62</f>
        <v>43342</v>
      </c>
      <c r="IL60" s="103">
        <f>SUM(IL9:IL59)</f>
        <v>0</v>
      </c>
      <c r="IM60" s="103">
        <f>SUM(IM9:IM59)</f>
        <v>0</v>
      </c>
      <c r="IN60" s="83"/>
      <c r="IO60" s="104">
        <f>IO62</f>
        <v>43288</v>
      </c>
      <c r="IP60" s="103">
        <f>SUM(IP9:IP59)</f>
        <v>0</v>
      </c>
      <c r="IQ60" s="103">
        <f>SUM(IQ9:IQ59)</f>
        <v>0</v>
      </c>
      <c r="IR60" s="83"/>
      <c r="IS60" s="104">
        <f>$D$3</f>
        <v>44201</v>
      </c>
      <c r="IT60" s="103">
        <f>SUM(IT9:IT59)</f>
        <v>21</v>
      </c>
      <c r="IU60" s="103">
        <f>SUM(IU9:IU59)</f>
        <v>6132</v>
      </c>
      <c r="IV60" s="83"/>
      <c r="IW60" s="104">
        <f>$D$3</f>
        <v>44201</v>
      </c>
      <c r="IX60" s="103">
        <f>SUM(IX9:IX59)</f>
        <v>2</v>
      </c>
      <c r="IY60" s="103">
        <f>SUM(IY9:IY59)</f>
        <v>3151</v>
      </c>
      <c r="IZ60" s="83"/>
      <c r="JA60" s="103"/>
      <c r="JB60" s="103">
        <f>SUM(JB9:JB59)</f>
        <v>28</v>
      </c>
      <c r="JC60" s="103">
        <f>SUM(JC9:JC59)</f>
        <v>9291</v>
      </c>
      <c r="JD60" s="83"/>
      <c r="JE60" s="103"/>
      <c r="JF60" s="103">
        <f>SUM(JF9:JF59)</f>
        <v>53</v>
      </c>
      <c r="JG60" s="103">
        <f>SUM(JG9:JG59)</f>
        <v>21725</v>
      </c>
      <c r="JH60" s="83"/>
      <c r="JI60" s="103"/>
      <c r="JJ60" s="103">
        <f>SUM(JJ9:JJ59)</f>
        <v>2</v>
      </c>
      <c r="JK60" s="103">
        <f>SUM(JK9:JK59)</f>
        <v>3151</v>
      </c>
      <c r="JM60" s="104">
        <f>MAX(JM9:JM59)</f>
        <v>43288</v>
      </c>
      <c r="JO60" s="29">
        <f>MAX(JO9:JO59)</f>
        <v>1</v>
      </c>
      <c r="JP60" s="125">
        <f t="shared" ref="JP60:KB60" si="976">SUM(JP9:JP59)</f>
        <v>2407</v>
      </c>
      <c r="JQ60" s="125">
        <f t="shared" si="976"/>
        <v>10</v>
      </c>
      <c r="JR60" s="125">
        <f t="shared" si="976"/>
        <v>9</v>
      </c>
      <c r="JS60" s="125">
        <f t="shared" si="976"/>
        <v>0</v>
      </c>
      <c r="JT60" s="125">
        <f t="shared" si="976"/>
        <v>0</v>
      </c>
      <c r="JU60" s="125">
        <f t="shared" si="976"/>
        <v>0</v>
      </c>
      <c r="JV60" s="125">
        <f t="shared" si="976"/>
        <v>0</v>
      </c>
      <c r="JW60" s="125">
        <f t="shared" si="976"/>
        <v>0</v>
      </c>
      <c r="JX60" s="125">
        <f t="shared" si="976"/>
        <v>0</v>
      </c>
      <c r="JY60" s="125">
        <f t="shared" si="976"/>
        <v>0</v>
      </c>
      <c r="JZ60" s="125">
        <f t="shared" si="976"/>
        <v>0</v>
      </c>
      <c r="KA60" s="125">
        <f t="shared" si="976"/>
        <v>0</v>
      </c>
      <c r="KB60" s="125">
        <f t="shared" si="976"/>
        <v>0</v>
      </c>
      <c r="KD60" s="125">
        <f t="shared" ref="KD60:KR60" si="977">SUM(KD9:KD59)</f>
        <v>9</v>
      </c>
      <c r="KE60" s="125">
        <f t="shared" si="977"/>
        <v>1672</v>
      </c>
      <c r="KF60" s="125">
        <f t="shared" si="977"/>
        <v>2407</v>
      </c>
      <c r="KG60" s="125">
        <f t="shared" si="977"/>
        <v>735</v>
      </c>
      <c r="KH60" s="125">
        <f t="shared" si="977"/>
        <v>1672</v>
      </c>
      <c r="KI60" s="125">
        <f t="shared" si="977"/>
        <v>0</v>
      </c>
      <c r="KJ60" s="125">
        <f t="shared" si="977"/>
        <v>0</v>
      </c>
      <c r="KK60" s="125">
        <f t="shared" si="977"/>
        <v>0</v>
      </c>
      <c r="KL60" s="125">
        <f t="shared" si="977"/>
        <v>0</v>
      </c>
      <c r="KM60" s="125">
        <f t="shared" si="977"/>
        <v>0</v>
      </c>
      <c r="KN60" s="125">
        <f t="shared" si="977"/>
        <v>0</v>
      </c>
      <c r="KO60" s="125">
        <f t="shared" si="977"/>
        <v>0</v>
      </c>
      <c r="KP60" s="125">
        <f t="shared" si="977"/>
        <v>0</v>
      </c>
      <c r="KQ60" s="125">
        <f t="shared" si="977"/>
        <v>0</v>
      </c>
      <c r="KR60" s="125">
        <f t="shared" si="977"/>
        <v>0</v>
      </c>
      <c r="KT60" s="125">
        <f t="shared" ref="KT60:LY60" si="978">SUM(KT9:KT59)</f>
        <v>28</v>
      </c>
      <c r="KU60" s="125">
        <f t="shared" si="978"/>
        <v>0</v>
      </c>
      <c r="KV60" s="125">
        <f t="shared" si="978"/>
        <v>0</v>
      </c>
      <c r="KW60" s="125">
        <f t="shared" si="978"/>
        <v>0</v>
      </c>
      <c r="KX60" s="125">
        <f t="shared" si="978"/>
        <v>0</v>
      </c>
      <c r="KY60" s="125">
        <f t="shared" si="978"/>
        <v>0</v>
      </c>
      <c r="KZ60" s="125">
        <f t="shared" si="978"/>
        <v>0</v>
      </c>
      <c r="LA60" s="125">
        <f t="shared" si="978"/>
        <v>0</v>
      </c>
      <c r="LB60" s="125">
        <f t="shared" si="978"/>
        <v>0</v>
      </c>
      <c r="LC60" s="125">
        <f t="shared" si="978"/>
        <v>0</v>
      </c>
      <c r="LD60" s="125">
        <f t="shared" si="978"/>
        <v>0</v>
      </c>
      <c r="LE60" s="125">
        <f t="shared" si="978"/>
        <v>0</v>
      </c>
      <c r="LF60" s="125">
        <f t="shared" si="978"/>
        <v>0</v>
      </c>
      <c r="LG60" s="125">
        <f t="shared" si="978"/>
        <v>0</v>
      </c>
      <c r="LH60" s="125">
        <f t="shared" si="978"/>
        <v>0</v>
      </c>
      <c r="LI60" s="125">
        <f t="shared" si="978"/>
        <v>0</v>
      </c>
      <c r="LJ60" s="125">
        <f t="shared" si="978"/>
        <v>0</v>
      </c>
      <c r="LK60" s="125">
        <f t="shared" si="978"/>
        <v>0</v>
      </c>
      <c r="LL60" s="125">
        <f t="shared" si="978"/>
        <v>0</v>
      </c>
      <c r="LM60" s="125">
        <f t="shared" si="978"/>
        <v>1</v>
      </c>
      <c r="LN60" s="125">
        <f t="shared" si="978"/>
        <v>1</v>
      </c>
      <c r="LO60" s="125">
        <f t="shared" si="978"/>
        <v>0</v>
      </c>
      <c r="LP60" s="125">
        <f t="shared" si="978"/>
        <v>0</v>
      </c>
      <c r="LQ60" s="125">
        <f t="shared" si="978"/>
        <v>0</v>
      </c>
      <c r="LR60" s="125">
        <f t="shared" si="978"/>
        <v>0</v>
      </c>
      <c r="LS60" s="125">
        <f t="shared" si="978"/>
        <v>0</v>
      </c>
      <c r="LT60" s="125">
        <f t="shared" si="978"/>
        <v>0</v>
      </c>
      <c r="LU60" s="125">
        <f t="shared" si="978"/>
        <v>0</v>
      </c>
      <c r="LV60" s="125">
        <f t="shared" si="978"/>
        <v>0</v>
      </c>
      <c r="LW60" s="125">
        <f t="shared" si="978"/>
        <v>0</v>
      </c>
      <c r="LX60" s="125">
        <f t="shared" si="978"/>
        <v>0</v>
      </c>
      <c r="LY60" s="125">
        <f t="shared" si="978"/>
        <v>0</v>
      </c>
      <c r="LZ60" s="125">
        <f t="shared" ref="LZ60:MX60" si="979">SUM(LZ9:LZ59)</f>
        <v>0</v>
      </c>
      <c r="MA60" s="125">
        <f t="shared" si="979"/>
        <v>0</v>
      </c>
      <c r="MB60" s="125">
        <f t="shared" si="979"/>
        <v>0</v>
      </c>
      <c r="MC60" s="125">
        <f t="shared" si="979"/>
        <v>0</v>
      </c>
      <c r="MD60" s="125">
        <f t="shared" si="979"/>
        <v>0</v>
      </c>
      <c r="ME60" s="125">
        <f t="shared" si="979"/>
        <v>0</v>
      </c>
      <c r="MF60" s="125">
        <f t="shared" si="979"/>
        <v>0</v>
      </c>
      <c r="MG60" s="125">
        <f t="shared" si="979"/>
        <v>0</v>
      </c>
      <c r="MH60" s="125">
        <f t="shared" si="979"/>
        <v>0</v>
      </c>
      <c r="MI60" s="125">
        <f t="shared" si="979"/>
        <v>0</v>
      </c>
      <c r="MJ60" s="125">
        <f t="shared" si="979"/>
        <v>0</v>
      </c>
      <c r="MK60" s="125">
        <f t="shared" si="979"/>
        <v>0</v>
      </c>
      <c r="ML60" s="125">
        <f t="shared" si="979"/>
        <v>0</v>
      </c>
      <c r="MM60" s="125">
        <f t="shared" si="979"/>
        <v>0</v>
      </c>
      <c r="MN60" s="125">
        <f t="shared" si="979"/>
        <v>0</v>
      </c>
      <c r="MO60" s="125">
        <f t="shared" si="979"/>
        <v>0</v>
      </c>
      <c r="MP60" s="125">
        <f t="shared" si="979"/>
        <v>0</v>
      </c>
      <c r="MQ60" s="125">
        <f t="shared" si="979"/>
        <v>0</v>
      </c>
      <c r="MR60" s="125">
        <f t="shared" si="979"/>
        <v>0</v>
      </c>
      <c r="MS60" s="125">
        <f t="shared" si="979"/>
        <v>0</v>
      </c>
      <c r="MT60" s="125">
        <f t="shared" si="979"/>
        <v>0</v>
      </c>
      <c r="MU60" s="125">
        <f t="shared" si="979"/>
        <v>0</v>
      </c>
      <c r="MV60" s="125">
        <f t="shared" si="979"/>
        <v>0</v>
      </c>
      <c r="MW60" s="125">
        <f t="shared" si="979"/>
        <v>0</v>
      </c>
      <c r="MX60" s="125">
        <f t="shared" si="979"/>
        <v>0</v>
      </c>
      <c r="MY60" s="125"/>
      <c r="MZ60" s="125"/>
      <c r="NA60" s="125"/>
      <c r="NB60" s="125">
        <f t="shared" ref="NB60:NK60" si="980">SUM(NB9:NB59)</f>
        <v>0</v>
      </c>
      <c r="NC60" s="125">
        <f t="shared" si="980"/>
        <v>0</v>
      </c>
      <c r="ND60" s="125">
        <f t="shared" si="980"/>
        <v>0</v>
      </c>
      <c r="NE60" s="125">
        <f t="shared" si="980"/>
        <v>0</v>
      </c>
      <c r="NF60" s="125">
        <f t="shared" si="980"/>
        <v>0</v>
      </c>
      <c r="NG60" s="125">
        <f t="shared" si="980"/>
        <v>0</v>
      </c>
      <c r="NH60" s="125">
        <f t="shared" si="980"/>
        <v>0</v>
      </c>
      <c r="NI60" s="125">
        <f t="shared" si="980"/>
        <v>0</v>
      </c>
      <c r="NJ60" s="125">
        <f t="shared" si="980"/>
        <v>0</v>
      </c>
      <c r="NK60" s="125">
        <f t="shared" si="980"/>
        <v>0</v>
      </c>
      <c r="NM60" s="125">
        <f t="shared" ref="NM60:NU60" si="981">SUM(NM9:NM59)</f>
        <v>0</v>
      </c>
      <c r="NN60" s="125">
        <f t="shared" si="981"/>
        <v>3</v>
      </c>
      <c r="NO60" s="125">
        <f t="shared" si="981"/>
        <v>0</v>
      </c>
      <c r="NP60" s="125">
        <f t="shared" si="981"/>
        <v>0</v>
      </c>
      <c r="NQ60" s="125">
        <f t="shared" si="981"/>
        <v>0</v>
      </c>
      <c r="NR60" s="125">
        <f t="shared" si="981"/>
        <v>0</v>
      </c>
      <c r="NS60" s="125">
        <f t="shared" si="981"/>
        <v>25</v>
      </c>
      <c r="NT60" s="125">
        <f t="shared" si="981"/>
        <v>28</v>
      </c>
      <c r="NU60" s="125">
        <f t="shared" si="981"/>
        <v>0</v>
      </c>
      <c r="NZ60" s="153">
        <f>MAX(NZ9:NZ59)</f>
        <v>11000000</v>
      </c>
      <c r="OA60" s="153">
        <f>MIN(NZ9:NZ59)</f>
        <v>10780000</v>
      </c>
      <c r="OB60" s="153">
        <f>AVERAGE(NZ9:NZ59)</f>
        <v>10960000</v>
      </c>
      <c r="OE60" s="125">
        <f t="shared" ref="OE60:OM60" si="982">SUM(OE9:OE59)</f>
        <v>0</v>
      </c>
      <c r="OF60" s="125">
        <f t="shared" si="982"/>
        <v>0</v>
      </c>
      <c r="OG60" s="125">
        <f t="shared" si="982"/>
        <v>28</v>
      </c>
      <c r="OH60" s="125">
        <f t="shared" si="982"/>
        <v>2</v>
      </c>
      <c r="OI60" s="125">
        <f t="shared" si="982"/>
        <v>30</v>
      </c>
      <c r="OJ60" s="125">
        <f t="shared" si="982"/>
        <v>0</v>
      </c>
      <c r="OK60" s="125">
        <f t="shared" si="982"/>
        <v>0</v>
      </c>
      <c r="OL60" s="125">
        <f t="shared" si="982"/>
        <v>0</v>
      </c>
      <c r="OM60" s="125">
        <f t="shared" si="982"/>
        <v>0</v>
      </c>
      <c r="OO60" s="125">
        <f t="shared" ref="OO60:OW60" si="983">SUM(OO9:OO59)</f>
        <v>0</v>
      </c>
      <c r="OP60" s="125">
        <f t="shared" si="983"/>
        <v>0</v>
      </c>
      <c r="OQ60" s="125">
        <f t="shared" si="983"/>
        <v>28</v>
      </c>
      <c r="OR60" s="125">
        <f t="shared" si="983"/>
        <v>2</v>
      </c>
      <c r="OS60" s="125">
        <f t="shared" si="983"/>
        <v>30</v>
      </c>
      <c r="OT60" s="125">
        <f t="shared" si="983"/>
        <v>0</v>
      </c>
      <c r="OU60" s="125">
        <f t="shared" si="983"/>
        <v>0</v>
      </c>
      <c r="OV60" s="125">
        <f t="shared" si="983"/>
        <v>0</v>
      </c>
      <c r="OW60" s="125">
        <f t="shared" si="983"/>
        <v>0</v>
      </c>
      <c r="PA60" s="125">
        <f t="shared" ref="PA60:PL60" si="984">SUM(PA9:PA59)</f>
        <v>7</v>
      </c>
      <c r="PB60" s="125">
        <f t="shared" si="984"/>
        <v>21</v>
      </c>
      <c r="PC60" s="125">
        <f t="shared" si="984"/>
        <v>2</v>
      </c>
      <c r="PD60" s="125">
        <f t="shared" si="984"/>
        <v>19</v>
      </c>
      <c r="PE60" s="125">
        <f t="shared" si="984"/>
        <v>19</v>
      </c>
      <c r="PF60" s="125">
        <f t="shared" si="984"/>
        <v>0</v>
      </c>
      <c r="PG60" s="125">
        <f t="shared" si="984"/>
        <v>782</v>
      </c>
      <c r="PH60" s="125">
        <f t="shared" si="984"/>
        <v>8509</v>
      </c>
      <c r="PI60" s="125">
        <f t="shared" si="984"/>
        <v>3884</v>
      </c>
      <c r="PJ60" s="125">
        <f t="shared" si="984"/>
        <v>4625</v>
      </c>
      <c r="PK60" s="125">
        <f t="shared" si="984"/>
        <v>4625</v>
      </c>
      <c r="PL60" s="125">
        <f t="shared" si="984"/>
        <v>0</v>
      </c>
      <c r="PO60" s="125">
        <f>SUM(PO9:PO59)</f>
        <v>0</v>
      </c>
      <c r="PP60" s="125">
        <f>SUM(PP9:PP59)</f>
        <v>2567</v>
      </c>
      <c r="PQ60" s="125">
        <f>SUM(PQ9:PQ59)</f>
        <v>584</v>
      </c>
      <c r="XFC60" s="125">
        <f>SUM(XFC9:XFC59)</f>
        <v>37748848000</v>
      </c>
      <c r="XFD60" s="125">
        <f>SUM(XFD9:XFD59)</f>
        <v>0</v>
      </c>
    </row>
    <row r="61" spans="1:437 16383:16384" ht="16" x14ac:dyDescent="0.2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6"/>
      <c r="AG61" s="27"/>
      <c r="GO61" s="83"/>
      <c r="GP61" s="83"/>
      <c r="GQ61" s="83"/>
      <c r="GR61" s="83"/>
      <c r="GS61" s="83"/>
      <c r="GT61" s="83"/>
      <c r="GU61" s="83"/>
      <c r="GV61" s="83"/>
      <c r="GW61" s="83"/>
      <c r="GX61" s="83"/>
      <c r="GY61" s="83"/>
      <c r="GZ61" s="83"/>
      <c r="HA61" s="83"/>
      <c r="HB61" s="83"/>
      <c r="HC61" s="83"/>
      <c r="HD61" s="83"/>
      <c r="HE61" s="83"/>
      <c r="HF61" s="83"/>
      <c r="HG61" s="83"/>
      <c r="HH61" s="83"/>
      <c r="HI61" s="83"/>
      <c r="HJ61" s="83"/>
      <c r="HK61" s="83"/>
      <c r="HL61" s="83"/>
      <c r="HM61" s="83"/>
      <c r="HN61" s="83"/>
      <c r="HO61" s="83"/>
      <c r="HP61" s="83"/>
      <c r="HQ61" s="83"/>
      <c r="HR61" s="83"/>
      <c r="HS61" s="83"/>
      <c r="HT61" s="83"/>
      <c r="HU61" s="83"/>
      <c r="HV61" s="83"/>
      <c r="HW61" s="83"/>
      <c r="HX61" s="83"/>
      <c r="HY61" s="105"/>
      <c r="HZ61" s="83"/>
      <c r="IA61" s="83"/>
      <c r="IB61" s="83"/>
      <c r="IC61" s="83"/>
      <c r="ID61" s="83"/>
      <c r="IE61" s="83"/>
      <c r="IF61" s="83"/>
      <c r="IG61" s="83"/>
      <c r="IH61" s="83"/>
      <c r="II61" s="83"/>
      <c r="IJ61" s="83"/>
      <c r="IK61" s="83"/>
      <c r="IL61" s="83"/>
      <c r="IM61" s="83"/>
      <c r="IN61" s="83"/>
      <c r="IO61" s="83"/>
      <c r="IP61" s="83"/>
      <c r="IQ61" s="83"/>
      <c r="IR61" s="83"/>
      <c r="IS61" s="83"/>
      <c r="IT61" s="83"/>
      <c r="IU61" s="83"/>
      <c r="IV61" s="83"/>
      <c r="IW61" s="83"/>
      <c r="IX61" s="83"/>
      <c r="IY61" s="83"/>
      <c r="IZ61" s="83"/>
      <c r="JA61" s="83"/>
      <c r="JB61" s="83"/>
      <c r="JC61" s="83"/>
      <c r="JD61" s="83"/>
      <c r="JE61" s="83"/>
      <c r="JF61" s="83"/>
      <c r="JG61" s="83"/>
      <c r="JH61" s="83"/>
      <c r="JI61" s="83"/>
      <c r="JJ61" s="83"/>
      <c r="JK61" s="83"/>
      <c r="JP61" s="124">
        <f>SUM(JQ60:KB60)</f>
        <v>19</v>
      </c>
      <c r="KF61" s="124">
        <f>SUM(KG60:KR60)</f>
        <v>2407</v>
      </c>
      <c r="NZ61" t="s">
        <v>593</v>
      </c>
      <c r="OA61" t="s">
        <v>594</v>
      </c>
      <c r="OB61" t="s">
        <v>595</v>
      </c>
    </row>
    <row r="62" spans="1:437 16383:16384" ht="16" x14ac:dyDescent="0.2">
      <c r="D62" s="29"/>
      <c r="E62" s="29"/>
      <c r="F62" s="29"/>
      <c r="G62" s="29"/>
      <c r="H62" s="29"/>
      <c r="I62" s="29"/>
      <c r="J62" s="29"/>
      <c r="K62" s="29"/>
      <c r="L62" s="29"/>
      <c r="M62" s="29"/>
      <c r="R62" s="29"/>
      <c r="S62" s="29"/>
      <c r="T62" s="29"/>
      <c r="U62" s="29"/>
      <c r="V62" s="29"/>
      <c r="W62" s="29"/>
      <c r="X62" s="29"/>
      <c r="Y62" t="s">
        <v>18</v>
      </c>
      <c r="Z62" t="s">
        <v>294</v>
      </c>
      <c r="AG62" s="29">
        <f>COUNTIF(AG9:AG59,"A")</f>
        <v>0</v>
      </c>
      <c r="BW62" t="s">
        <v>344</v>
      </c>
      <c r="CC62" s="29">
        <f>COUNTIF(CC9:CC59,"A")</f>
        <v>0</v>
      </c>
      <c r="GO62" s="106">
        <f>GO60</f>
        <v>0</v>
      </c>
      <c r="GP62" s="106">
        <f>GP60-GO60</f>
        <v>0</v>
      </c>
      <c r="GQ62" s="106">
        <f>GQ60-GP60</f>
        <v>0</v>
      </c>
      <c r="GR62" s="106">
        <f>GR60-GQ60</f>
        <v>30</v>
      </c>
      <c r="GS62" s="106">
        <f>GS60-GR60</f>
        <v>0</v>
      </c>
      <c r="GT62" s="106">
        <f>GT60</f>
        <v>21</v>
      </c>
      <c r="GU62" s="83"/>
      <c r="GV62" s="83"/>
      <c r="GW62" s="83"/>
      <c r="GX62" s="83"/>
      <c r="GY62" s="107" t="s">
        <v>464</v>
      </c>
      <c r="GZ62" s="105">
        <f>MAX(GZ9:GZ59)</f>
        <v>43267</v>
      </c>
      <c r="HA62" s="83"/>
      <c r="HB62" s="83"/>
      <c r="HC62" s="83"/>
      <c r="HD62" s="83"/>
      <c r="HE62" s="83"/>
      <c r="HF62" s="83"/>
      <c r="HG62" s="83"/>
      <c r="HH62" s="105">
        <f>MAX(HH9:HH59)</f>
        <v>43288</v>
      </c>
      <c r="HI62" s="83"/>
      <c r="HJ62" s="83"/>
      <c r="HK62" s="83"/>
      <c r="HL62" s="83"/>
      <c r="HM62" s="83"/>
      <c r="HN62" s="83"/>
      <c r="HO62" s="83"/>
      <c r="HP62" s="102">
        <f>+$GU$3+$GY$8</f>
        <v>43257</v>
      </c>
      <c r="HQ62" s="106">
        <f>HQ60</f>
        <v>0</v>
      </c>
      <c r="HR62" s="106">
        <f>HR60</f>
        <v>0</v>
      </c>
      <c r="HS62" s="102">
        <f>+$GU$3+$HH$8</f>
        <v>43288</v>
      </c>
      <c r="HT62" s="106">
        <f>HT60</f>
        <v>2</v>
      </c>
      <c r="HU62" s="106">
        <f>HU60</f>
        <v>3151</v>
      </c>
      <c r="HV62" s="102">
        <f>+$GU$3+SUM($GY$7:$GY$8)</f>
        <v>43267</v>
      </c>
      <c r="HW62" s="106">
        <f>HW60</f>
        <v>0</v>
      </c>
      <c r="HX62" s="106">
        <f>HX60</f>
        <v>0</v>
      </c>
      <c r="HY62" s="102">
        <f>+$GU$3+SUM($GY$7:$GY$8)+$HI$8</f>
        <v>43312</v>
      </c>
      <c r="HZ62" s="106">
        <f>HZ60</f>
        <v>0</v>
      </c>
      <c r="IA62" s="106">
        <f>IA60</f>
        <v>0</v>
      </c>
      <c r="IB62" s="102">
        <f>+$GU$3+SUM($GY$6:$GY$8)</f>
        <v>43277</v>
      </c>
      <c r="IC62" s="106">
        <f>IC60</f>
        <v>0</v>
      </c>
      <c r="ID62" s="106">
        <f>ID60</f>
        <v>0</v>
      </c>
      <c r="IE62" s="102">
        <f>+$GU$3+SUM($GY$6:$GY$8)+$HI$8</f>
        <v>43322</v>
      </c>
      <c r="IF62" s="106">
        <f>IF60</f>
        <v>0</v>
      </c>
      <c r="IG62" s="106">
        <f>IG60</f>
        <v>0</v>
      </c>
      <c r="IH62" s="102">
        <f>+$GU$3+SUM($GY$5:$GY$8)</f>
        <v>43297</v>
      </c>
      <c r="II62" s="106">
        <f>II60</f>
        <v>0</v>
      </c>
      <c r="IJ62" s="106">
        <f>IJ60</f>
        <v>0</v>
      </c>
      <c r="IK62" s="102">
        <f>+$GU$3+SUM($GY$5:$GY$8)+$HI$8</f>
        <v>43342</v>
      </c>
      <c r="IL62" s="106">
        <f>IL60</f>
        <v>0</v>
      </c>
      <c r="IM62" s="106">
        <f>IM60</f>
        <v>0</v>
      </c>
      <c r="IN62" s="83"/>
      <c r="IO62" s="102">
        <f>+$GU$3+$HH$8</f>
        <v>43288</v>
      </c>
      <c r="IP62" s="106">
        <f>IP60</f>
        <v>0</v>
      </c>
      <c r="IQ62" s="106">
        <f>IQ60</f>
        <v>0</v>
      </c>
      <c r="IR62" s="83"/>
      <c r="IS62" s="102"/>
      <c r="IT62" s="106">
        <f>IT60</f>
        <v>21</v>
      </c>
      <c r="IU62" s="106">
        <f>IU60</f>
        <v>6132</v>
      </c>
      <c r="IV62" s="83"/>
      <c r="IW62" s="102"/>
      <c r="IX62" s="106">
        <f>IX60</f>
        <v>2</v>
      </c>
      <c r="IY62" s="106">
        <f>IY60</f>
        <v>3151</v>
      </c>
      <c r="IZ62" s="83"/>
      <c r="JA62" s="102"/>
      <c r="JB62" s="106">
        <f>JB60</f>
        <v>28</v>
      </c>
      <c r="JC62" s="106">
        <f>JC60</f>
        <v>9291</v>
      </c>
      <c r="JD62" s="83"/>
      <c r="JE62" s="102"/>
      <c r="JF62" s="106">
        <f>JF60</f>
        <v>53</v>
      </c>
      <c r="JG62" s="106">
        <f>JG60</f>
        <v>21725</v>
      </c>
      <c r="JH62" s="83"/>
      <c r="JI62" s="102"/>
      <c r="JJ62" s="66">
        <f>JJ60</f>
        <v>2</v>
      </c>
      <c r="JK62" s="66">
        <f>JK60</f>
        <v>3151</v>
      </c>
    </row>
    <row r="63" spans="1:437 16383:16384" x14ac:dyDescent="0.2">
      <c r="F63" s="29"/>
      <c r="G63" s="29"/>
      <c r="H63" s="29"/>
      <c r="I63" s="29"/>
      <c r="Y63" t="s">
        <v>18</v>
      </c>
      <c r="Z63" t="s">
        <v>295</v>
      </c>
      <c r="AG63" s="29">
        <f>COUNTIF(AG9:AG59,"b")</f>
        <v>0</v>
      </c>
      <c r="BW63" t="s">
        <v>345</v>
      </c>
      <c r="CC63" s="29">
        <f>COUNTIF(CC9:CC59,"b")</f>
        <v>0</v>
      </c>
      <c r="GO63" s="83"/>
      <c r="GP63" s="83"/>
      <c r="GQ63" s="83"/>
      <c r="GR63" s="83"/>
      <c r="GS63" s="83"/>
      <c r="GT63" s="106">
        <f>SUM(GO62:GT62)</f>
        <v>51</v>
      </c>
      <c r="GU63" s="83"/>
      <c r="GV63" s="83"/>
      <c r="GW63" s="83"/>
      <c r="GX63" s="83"/>
      <c r="GY63" s="107" t="s">
        <v>465</v>
      </c>
      <c r="GZ63" s="105">
        <f>MIN(GZ9:GZ59)</f>
        <v>43267</v>
      </c>
      <c r="HA63" s="83"/>
      <c r="HB63" s="83"/>
      <c r="HC63" s="83"/>
      <c r="HD63" s="83"/>
      <c r="HE63" s="83"/>
      <c r="HF63" s="83"/>
      <c r="HG63" s="83"/>
      <c r="HH63" s="105">
        <f>MIN(HH9:HH59)</f>
        <v>43288</v>
      </c>
      <c r="HI63" s="83"/>
      <c r="HJ63" s="83"/>
      <c r="HK63" s="83"/>
      <c r="HL63" s="83"/>
      <c r="HM63" s="83"/>
      <c r="HN63" s="83"/>
      <c r="HO63" s="83"/>
      <c r="HP63" s="83"/>
      <c r="HQ63" s="83"/>
      <c r="HR63" s="83"/>
      <c r="HS63" s="83"/>
      <c r="HT63" s="83"/>
      <c r="HU63" s="83"/>
      <c r="HV63" s="83"/>
      <c r="HW63" s="83"/>
      <c r="HX63" s="83"/>
      <c r="HY63" s="83"/>
      <c r="HZ63" s="83"/>
      <c r="IA63" s="83"/>
      <c r="IB63" s="83"/>
      <c r="IC63" s="83"/>
      <c r="ID63" s="83"/>
      <c r="IE63" s="83"/>
      <c r="IF63" s="83"/>
      <c r="IG63" s="83"/>
      <c r="IH63" s="83"/>
      <c r="II63" s="83"/>
      <c r="IJ63" s="83"/>
      <c r="IK63" s="83"/>
      <c r="IL63" s="83"/>
      <c r="IM63" s="83"/>
      <c r="IN63" s="83"/>
      <c r="IO63" s="83"/>
      <c r="IP63" s="83"/>
      <c r="IQ63" s="83"/>
      <c r="IR63" s="83"/>
      <c r="IS63" s="83"/>
      <c r="IT63" s="83"/>
      <c r="IU63" s="83"/>
      <c r="IV63" s="83"/>
      <c r="IW63" s="83"/>
      <c r="IX63" s="83"/>
      <c r="IY63" s="83"/>
      <c r="IZ63" s="83"/>
      <c r="JA63" s="83"/>
      <c r="JB63" s="83"/>
      <c r="JC63" s="83"/>
      <c r="JD63" s="83"/>
      <c r="JE63" s="83"/>
      <c r="JF63" s="83"/>
      <c r="JG63" s="83"/>
      <c r="JH63" s="83"/>
      <c r="JI63" s="83"/>
      <c r="JJ63" s="83"/>
      <c r="JK63" s="83"/>
    </row>
    <row r="64" spans="1:437 16383:16384" x14ac:dyDescent="0.2">
      <c r="G64" s="29"/>
      <c r="H64" s="29"/>
      <c r="I64" s="29"/>
      <c r="Y64" t="s">
        <v>18</v>
      </c>
      <c r="Z64" t="s">
        <v>296</v>
      </c>
      <c r="AG64" s="29">
        <f>COUNTIF(AG9:AG59,"c")</f>
        <v>0</v>
      </c>
      <c r="BW64" t="s">
        <v>346</v>
      </c>
      <c r="CC64" s="29">
        <f>COUNTIF(CC9:CC59,"c")</f>
        <v>0</v>
      </c>
      <c r="GO64" s="83"/>
      <c r="GP64" s="83"/>
      <c r="GQ64" s="83"/>
      <c r="GR64" s="83"/>
      <c r="GS64" s="83"/>
      <c r="GT64" s="83"/>
      <c r="GU64" s="83"/>
      <c r="GV64" s="83"/>
      <c r="GW64" s="83"/>
      <c r="GX64" s="83"/>
      <c r="GY64" s="83"/>
      <c r="GZ64" s="83"/>
      <c r="HA64" s="83"/>
      <c r="HB64" s="83"/>
      <c r="HC64" s="83"/>
      <c r="HD64" s="83"/>
      <c r="HE64" s="83"/>
      <c r="HF64" s="83"/>
      <c r="HG64" s="83"/>
      <c r="HH64" s="83"/>
      <c r="HI64" s="83"/>
      <c r="HJ64" s="83"/>
      <c r="HK64" s="83"/>
      <c r="HL64" s="83"/>
      <c r="HM64" s="83"/>
      <c r="HN64" s="83"/>
      <c r="HO64" s="83"/>
      <c r="HP64" s="83"/>
      <c r="HQ64" s="83"/>
      <c r="HR64" s="83"/>
      <c r="HS64" s="83"/>
      <c r="HT64" s="83"/>
      <c r="HU64" s="83"/>
      <c r="HV64" s="83"/>
      <c r="HW64" s="83"/>
      <c r="HX64" s="83"/>
      <c r="HY64" s="83"/>
      <c r="HZ64" s="83"/>
      <c r="IA64" s="83"/>
      <c r="IB64" s="83"/>
      <c r="IC64" s="83"/>
      <c r="ID64" s="83"/>
      <c r="IE64" s="83"/>
      <c r="IF64" s="83"/>
      <c r="IG64" s="83"/>
      <c r="IH64" s="83"/>
      <c r="II64" s="83"/>
      <c r="IJ64" s="83"/>
      <c r="IK64" s="83"/>
      <c r="IL64" s="83"/>
      <c r="IM64" s="83"/>
      <c r="IN64" s="83"/>
      <c r="IO64" s="83"/>
      <c r="IP64" s="83"/>
      <c r="IQ64" s="83"/>
      <c r="IR64" s="83"/>
      <c r="IS64" s="83"/>
      <c r="IT64" s="83"/>
      <c r="IU64" s="83"/>
      <c r="IV64" s="83"/>
      <c r="IW64" s="83"/>
      <c r="IX64" s="83"/>
      <c r="IY64" s="83"/>
      <c r="IZ64" s="83"/>
      <c r="JA64" s="83"/>
      <c r="JB64" s="83"/>
      <c r="JC64" s="83"/>
      <c r="JD64" s="83"/>
      <c r="JE64" s="83"/>
      <c r="JF64" s="83"/>
      <c r="JG64" s="83"/>
      <c r="JH64" s="83"/>
      <c r="JI64" s="83"/>
      <c r="JJ64" s="83"/>
      <c r="JK64" s="83"/>
    </row>
    <row r="65" spans="25:271" x14ac:dyDescent="0.2">
      <c r="Y65" t="s">
        <v>18</v>
      </c>
      <c r="Z65" t="s">
        <v>297</v>
      </c>
      <c r="AG65" s="29">
        <f>COUNTIF(AG9:AG59,"D")</f>
        <v>0</v>
      </c>
      <c r="BW65" t="s">
        <v>347</v>
      </c>
      <c r="CC65" s="29">
        <f>COUNTIF(CC9:CC59,"D")</f>
        <v>2</v>
      </c>
      <c r="GO65" s="83"/>
      <c r="GP65" s="83"/>
      <c r="GQ65" s="83"/>
      <c r="GR65" s="83"/>
      <c r="GS65" s="83"/>
      <c r="GT65" s="83"/>
      <c r="GU65" s="83"/>
      <c r="GV65" s="83"/>
      <c r="GW65" s="83"/>
      <c r="GX65" s="107" t="s">
        <v>434</v>
      </c>
      <c r="GY65" s="105">
        <f>$GU$3+SUM($GY$4:$GY$8)</f>
        <v>43317</v>
      </c>
      <c r="GZ65" s="83">
        <f t="shared" ref="GZ65:GZ70" si="985">COUNTIF($GZ$9:$GZ$59,GY65)</f>
        <v>0</v>
      </c>
      <c r="HA65" s="83"/>
      <c r="HB65" s="83"/>
      <c r="HC65" s="83"/>
      <c r="HD65" s="83"/>
      <c r="HE65" s="83"/>
      <c r="HF65" s="107"/>
      <c r="HG65" s="105"/>
      <c r="HH65" s="83"/>
      <c r="HI65" s="83">
        <f t="shared" ref="HI65:HI70" si="986">COUNTIF($HI$9:$HI$59,HK65)</f>
        <v>0</v>
      </c>
      <c r="HJ65" s="83"/>
      <c r="HK65" s="105">
        <f>GY65+$HI$8</f>
        <v>43362</v>
      </c>
      <c r="HL65" s="83"/>
      <c r="HM65" s="83"/>
      <c r="HN65" s="83"/>
      <c r="HO65" s="83"/>
      <c r="HP65" s="83"/>
      <c r="HQ65" s="83"/>
      <c r="HR65" s="83"/>
      <c r="HS65" s="83"/>
      <c r="HT65" s="83"/>
      <c r="HU65" s="83"/>
      <c r="HV65" s="83"/>
      <c r="HW65" s="83"/>
      <c r="HX65" s="83"/>
      <c r="HY65" s="83"/>
      <c r="HZ65" s="83"/>
      <c r="IA65" s="83"/>
      <c r="IB65" s="83"/>
      <c r="IC65" s="83"/>
      <c r="ID65" s="83"/>
      <c r="IE65" s="83"/>
      <c r="IF65" s="83"/>
      <c r="IG65" s="83"/>
      <c r="IH65" s="83"/>
      <c r="II65" s="83"/>
      <c r="IJ65" s="83"/>
      <c r="IK65" s="83"/>
      <c r="IL65" s="83"/>
      <c r="IM65" s="83"/>
      <c r="IN65" s="83"/>
      <c r="IO65" s="83"/>
      <c r="IP65" s="83"/>
      <c r="IQ65" s="83"/>
      <c r="IR65" s="83"/>
      <c r="IS65" s="83"/>
      <c r="IT65" s="83"/>
      <c r="IU65" s="83"/>
      <c r="IV65" s="83"/>
      <c r="IW65" s="83"/>
      <c r="IX65" s="83"/>
      <c r="IY65" s="83"/>
      <c r="IZ65" s="83"/>
      <c r="JA65" s="83"/>
      <c r="JB65" s="83"/>
      <c r="JC65" s="83"/>
      <c r="JD65" s="83"/>
      <c r="JE65" s="83"/>
      <c r="JF65" s="83"/>
      <c r="JG65" s="83"/>
      <c r="JH65" s="83"/>
      <c r="JI65" s="83"/>
      <c r="JJ65" s="83"/>
      <c r="JK65" s="83"/>
    </row>
    <row r="66" spans="25:271" x14ac:dyDescent="0.2">
      <c r="AG66" s="29"/>
      <c r="BW66" t="s">
        <v>348</v>
      </c>
      <c r="CC66" s="29">
        <f>COUNTIF(CC9:CC59,"E")</f>
        <v>0</v>
      </c>
      <c r="GO66" s="83"/>
      <c r="GP66" s="83"/>
      <c r="GQ66" s="83"/>
      <c r="GR66" s="83"/>
      <c r="GS66" s="83"/>
      <c r="GT66" s="83"/>
      <c r="GU66" s="83"/>
      <c r="GV66" s="83"/>
      <c r="GW66" s="83"/>
      <c r="GX66" s="83" t="s">
        <v>440</v>
      </c>
      <c r="GY66" s="105">
        <f>+$GU$3+SUM($GY$5:$GY$8)</f>
        <v>43297</v>
      </c>
      <c r="GZ66" s="83">
        <f t="shared" si="985"/>
        <v>0</v>
      </c>
      <c r="HA66" s="83"/>
      <c r="HB66" s="83"/>
      <c r="HC66" s="83"/>
      <c r="HD66" s="83"/>
      <c r="HE66" s="83"/>
      <c r="HF66" s="83"/>
      <c r="HG66" s="105"/>
      <c r="HH66" s="83"/>
      <c r="HI66" s="83">
        <f t="shared" si="986"/>
        <v>0</v>
      </c>
      <c r="HJ66" s="83"/>
      <c r="HK66" s="105">
        <f t="shared" ref="HK66:HK69" si="987">GY66+$HI$8</f>
        <v>43342</v>
      </c>
      <c r="HL66" s="83"/>
      <c r="HM66" s="83"/>
      <c r="HN66" s="83"/>
      <c r="HO66" s="83"/>
      <c r="HP66" s="83"/>
      <c r="HQ66" s="83"/>
      <c r="HR66" s="83"/>
      <c r="HS66" s="83"/>
      <c r="HT66" s="83"/>
      <c r="HU66" s="83"/>
      <c r="HV66" s="83"/>
      <c r="HW66" s="83"/>
      <c r="HX66" s="83"/>
      <c r="HY66" s="83"/>
      <c r="HZ66" s="83"/>
      <c r="IA66" s="83"/>
      <c r="IB66" s="83"/>
      <c r="IC66" s="83"/>
      <c r="ID66" s="83"/>
      <c r="IE66" s="83"/>
      <c r="IF66" s="83"/>
      <c r="IG66" s="83"/>
      <c r="IH66" s="83"/>
      <c r="II66" s="83"/>
      <c r="IJ66" s="83"/>
      <c r="IK66" s="83"/>
      <c r="IL66" s="83"/>
      <c r="IM66" s="83"/>
      <c r="IN66" s="83"/>
      <c r="IO66" s="83"/>
      <c r="IP66" s="83"/>
      <c r="IQ66" s="83"/>
      <c r="IR66" s="83"/>
      <c r="IS66" s="83"/>
      <c r="IT66" s="83"/>
      <c r="IU66" s="83"/>
      <c r="IV66" s="83"/>
      <c r="IW66" s="83"/>
      <c r="IX66" s="83"/>
      <c r="IY66" s="83"/>
      <c r="IZ66" s="83"/>
      <c r="JA66" s="83"/>
      <c r="JB66" s="83"/>
      <c r="JC66" s="83"/>
      <c r="JD66" s="83"/>
      <c r="JE66" s="83"/>
      <c r="JF66" s="83"/>
      <c r="JG66" s="83"/>
      <c r="JH66" s="83"/>
      <c r="JI66" s="83"/>
      <c r="JJ66" s="83"/>
      <c r="JK66" s="83"/>
    </row>
    <row r="67" spans="25:271" x14ac:dyDescent="0.2">
      <c r="Y67" t="s">
        <v>18</v>
      </c>
      <c r="Z67" t="s">
        <v>299</v>
      </c>
      <c r="AG67" s="29">
        <f>SUM(AG62:AG66)</f>
        <v>0</v>
      </c>
      <c r="BW67" t="s">
        <v>299</v>
      </c>
      <c r="CC67" s="29">
        <f>SUM(CC62:CC66)</f>
        <v>2</v>
      </c>
      <c r="GO67" s="83"/>
      <c r="GP67" s="83"/>
      <c r="GQ67" s="83"/>
      <c r="GR67" s="83"/>
      <c r="GS67" s="83"/>
      <c r="GT67" s="83"/>
      <c r="GU67" s="83"/>
      <c r="GV67" s="83"/>
      <c r="GW67" s="83"/>
      <c r="GX67" s="83" t="s">
        <v>7</v>
      </c>
      <c r="GY67" s="105">
        <f>$GU$3+SUM($GY$6:$GY$8)</f>
        <v>43277</v>
      </c>
      <c r="GZ67" s="83">
        <f t="shared" si="985"/>
        <v>0</v>
      </c>
      <c r="HA67" s="83"/>
      <c r="HB67" s="83"/>
      <c r="HC67" s="83"/>
      <c r="HD67" s="83"/>
      <c r="HE67" s="83"/>
      <c r="HF67" s="83"/>
      <c r="HG67" s="105"/>
      <c r="HH67" s="83"/>
      <c r="HI67" s="83">
        <f t="shared" si="986"/>
        <v>0</v>
      </c>
      <c r="HJ67" s="83"/>
      <c r="HK67" s="105">
        <f t="shared" si="987"/>
        <v>43322</v>
      </c>
      <c r="HL67" s="83"/>
      <c r="HM67" s="83"/>
      <c r="HN67" s="83"/>
      <c r="HO67" s="83"/>
      <c r="HP67" s="83"/>
      <c r="HQ67" s="83"/>
      <c r="HR67" s="83"/>
      <c r="HS67" s="83"/>
      <c r="HT67" s="83"/>
      <c r="HU67" s="83"/>
      <c r="HV67" s="83"/>
      <c r="HW67" s="83"/>
      <c r="HX67" s="83"/>
      <c r="HY67" s="83"/>
      <c r="HZ67" s="83"/>
      <c r="IA67" s="83"/>
      <c r="IB67" s="83"/>
      <c r="IC67" s="83"/>
      <c r="ID67" s="83"/>
      <c r="IE67" s="83"/>
      <c r="IF67" s="83"/>
      <c r="IG67" s="83"/>
      <c r="IH67" s="83"/>
      <c r="II67" s="83"/>
      <c r="IJ67" s="83"/>
      <c r="IK67" s="83"/>
      <c r="IL67" s="83"/>
      <c r="IM67" s="83"/>
      <c r="IN67" s="83"/>
      <c r="IO67" s="83"/>
      <c r="IP67" s="83"/>
      <c r="IQ67" s="83"/>
      <c r="IR67" s="83"/>
      <c r="IS67" s="83"/>
      <c r="IT67" s="83"/>
      <c r="IU67" s="83"/>
      <c r="IV67" s="83"/>
      <c r="IW67" s="83"/>
      <c r="IX67" s="83"/>
      <c r="IY67" s="83"/>
      <c r="IZ67" s="83"/>
      <c r="JA67" s="83"/>
      <c r="JB67" s="83"/>
      <c r="JC67" s="83"/>
      <c r="JD67" s="83"/>
      <c r="JE67" s="83"/>
      <c r="JF67" s="83"/>
      <c r="JG67" s="83"/>
      <c r="JH67" s="83"/>
      <c r="JI67" s="83"/>
      <c r="JJ67" s="83"/>
      <c r="JK67" s="83"/>
    </row>
    <row r="68" spans="25:271" x14ac:dyDescent="0.2">
      <c r="GO68" s="83"/>
      <c r="GP68" s="83"/>
      <c r="GQ68" s="83"/>
      <c r="GR68" s="83"/>
      <c r="GS68" s="83"/>
      <c r="GT68" s="83"/>
      <c r="GU68" s="83"/>
      <c r="GV68" s="83"/>
      <c r="GW68" s="83"/>
      <c r="GX68" s="83" t="s">
        <v>265</v>
      </c>
      <c r="GY68" s="105">
        <f>$GU$3+SUM($GY$7:$GY$8)</f>
        <v>43267</v>
      </c>
      <c r="GZ68" s="83">
        <f t="shared" si="985"/>
        <v>30</v>
      </c>
      <c r="HA68" s="83"/>
      <c r="HB68" s="83"/>
      <c r="HC68" s="83"/>
      <c r="HD68" s="83"/>
      <c r="HE68" s="83"/>
      <c r="HF68" s="83"/>
      <c r="HG68" s="105"/>
      <c r="HH68" s="83"/>
      <c r="HI68" s="83">
        <f t="shared" si="986"/>
        <v>30</v>
      </c>
      <c r="HJ68" s="83"/>
      <c r="HK68" s="105">
        <f t="shared" si="987"/>
        <v>43312</v>
      </c>
      <c r="HL68" s="83"/>
      <c r="HM68" s="83"/>
      <c r="HN68" s="83"/>
      <c r="HO68" s="83"/>
      <c r="HP68" s="83"/>
      <c r="HQ68" s="83"/>
      <c r="HR68" s="83"/>
      <c r="HS68" s="83"/>
      <c r="HT68" s="83"/>
      <c r="HU68" s="83"/>
      <c r="HV68" s="83"/>
      <c r="HW68" s="83"/>
      <c r="HX68" s="83"/>
      <c r="HY68" s="83"/>
      <c r="HZ68" s="83"/>
      <c r="IA68" s="83"/>
      <c r="IB68" s="83"/>
      <c r="IC68" s="83"/>
      <c r="ID68" s="83"/>
      <c r="IE68" s="83"/>
      <c r="IF68" s="83"/>
      <c r="IG68" s="83"/>
      <c r="IH68" s="83"/>
      <c r="II68" s="83"/>
      <c r="IJ68" s="83"/>
      <c r="IK68" s="83"/>
      <c r="IL68" s="83"/>
      <c r="IM68" s="83"/>
      <c r="IN68" s="83"/>
      <c r="IO68" s="83"/>
      <c r="IP68" s="83"/>
      <c r="IQ68" s="83"/>
      <c r="IR68" s="83"/>
      <c r="IS68" s="83"/>
      <c r="IT68" s="83"/>
      <c r="IU68" s="83"/>
      <c r="IV68" s="83"/>
      <c r="IW68" s="83"/>
      <c r="IX68" s="83"/>
      <c r="IY68" s="83"/>
      <c r="IZ68" s="83"/>
      <c r="JA68" s="83"/>
      <c r="JB68" s="83"/>
      <c r="JC68" s="83"/>
      <c r="JD68" s="83"/>
      <c r="JE68" s="83"/>
      <c r="JF68" s="83"/>
      <c r="JG68" s="83"/>
      <c r="JH68" s="83"/>
      <c r="JI68" s="83"/>
      <c r="JJ68" s="83"/>
      <c r="JK68" s="83"/>
    </row>
    <row r="69" spans="25:271" x14ac:dyDescent="0.2">
      <c r="GO69" s="83"/>
      <c r="GP69" s="83"/>
      <c r="GQ69" s="83"/>
      <c r="GR69" s="83"/>
      <c r="GS69" s="83"/>
      <c r="GT69" s="83"/>
      <c r="GU69" s="83"/>
      <c r="GV69" s="83"/>
      <c r="GW69" s="83"/>
      <c r="GX69" s="83" t="s">
        <v>447</v>
      </c>
      <c r="GY69" s="105">
        <f>$GU$3+$GY$8</f>
        <v>43257</v>
      </c>
      <c r="GZ69" s="83">
        <f t="shared" si="985"/>
        <v>0</v>
      </c>
      <c r="HA69" s="83"/>
      <c r="HB69" s="83"/>
      <c r="HC69" s="83"/>
      <c r="HD69" s="105">
        <f>$GU$3+$HH$8</f>
        <v>43288</v>
      </c>
      <c r="HE69" s="83"/>
      <c r="HF69" s="83"/>
      <c r="HG69" s="83"/>
      <c r="HH69" s="83">
        <f>COUNTIF($HH$9:$HH$59,HD69)</f>
        <v>2</v>
      </c>
      <c r="HI69" s="83">
        <f t="shared" si="986"/>
        <v>0</v>
      </c>
      <c r="HJ69" s="83"/>
      <c r="HK69" s="105">
        <f t="shared" si="987"/>
        <v>43302</v>
      </c>
      <c r="HL69" s="83"/>
      <c r="HM69" s="83"/>
      <c r="HN69" s="83"/>
      <c r="HO69" s="83"/>
      <c r="HP69" s="83"/>
      <c r="HQ69" s="83"/>
      <c r="HR69" s="83"/>
      <c r="HS69" s="83"/>
      <c r="HT69" s="83"/>
      <c r="HU69" s="83"/>
      <c r="HV69" s="83"/>
      <c r="HW69" s="83"/>
      <c r="HX69" s="83"/>
      <c r="HY69" s="83"/>
      <c r="HZ69" s="83"/>
      <c r="IA69" s="83"/>
      <c r="IB69" s="83"/>
      <c r="IC69" s="83"/>
      <c r="ID69" s="83"/>
      <c r="IE69" s="83"/>
      <c r="IF69" s="83"/>
      <c r="IG69" s="83"/>
      <c r="IH69" s="83"/>
      <c r="II69" s="83"/>
      <c r="IJ69" s="83"/>
      <c r="IK69" s="83"/>
      <c r="IL69" s="83"/>
      <c r="IM69" s="83"/>
      <c r="IN69" s="83"/>
      <c r="IO69" s="83"/>
      <c r="IP69" s="83"/>
      <c r="IQ69" s="83"/>
      <c r="IR69" s="83"/>
      <c r="IS69" s="83"/>
      <c r="IT69" s="83"/>
      <c r="IU69" s="83"/>
      <c r="IV69" s="83"/>
      <c r="IW69" s="83"/>
      <c r="IX69" s="83"/>
      <c r="IY69" s="83"/>
      <c r="IZ69" s="83"/>
      <c r="JA69" s="83"/>
      <c r="JB69" s="83"/>
      <c r="JC69" s="83"/>
      <c r="JD69" s="83"/>
      <c r="JE69" s="83"/>
      <c r="JF69" s="83"/>
      <c r="JG69" s="83"/>
      <c r="JH69" s="83"/>
      <c r="JI69" s="83"/>
      <c r="JJ69" s="83"/>
      <c r="JK69" s="83"/>
    </row>
    <row r="70" spans="25:271" x14ac:dyDescent="0.2">
      <c r="GO70" s="83"/>
      <c r="GP70" s="83"/>
      <c r="GQ70" s="83"/>
      <c r="GR70" s="83"/>
      <c r="GS70" s="83"/>
      <c r="GT70" s="83"/>
      <c r="GU70" s="83"/>
      <c r="GV70" s="83"/>
      <c r="GW70" s="83"/>
      <c r="GX70" s="107" t="s">
        <v>448</v>
      </c>
      <c r="GY70" s="107" t="s">
        <v>448</v>
      </c>
      <c r="GZ70" s="83">
        <f t="shared" si="985"/>
        <v>21</v>
      </c>
      <c r="HA70" s="83"/>
      <c r="HB70" s="83"/>
      <c r="HC70" s="83"/>
      <c r="HD70" s="107" t="s">
        <v>466</v>
      </c>
      <c r="HE70" s="83"/>
      <c r="HF70" s="83"/>
      <c r="HG70" s="83"/>
      <c r="HH70" s="83">
        <f>COUNTIF($HH$9:$HH$59,HD70)</f>
        <v>49</v>
      </c>
      <c r="HI70" s="83">
        <f t="shared" si="986"/>
        <v>21</v>
      </c>
      <c r="HJ70" s="83"/>
      <c r="HK70" s="108" t="s">
        <v>448</v>
      </c>
      <c r="HL70" s="83"/>
      <c r="HM70" s="83"/>
      <c r="HN70" s="83"/>
      <c r="HO70" s="83"/>
      <c r="HP70" s="83"/>
      <c r="HQ70" s="83"/>
      <c r="HR70" s="83"/>
      <c r="HS70" s="83"/>
      <c r="HT70" s="83"/>
      <c r="HU70" s="83"/>
      <c r="HV70" s="83"/>
      <c r="HW70" s="83"/>
      <c r="HX70" s="83"/>
      <c r="HY70" s="83"/>
      <c r="HZ70" s="83"/>
      <c r="IA70" s="83"/>
      <c r="IB70" s="83"/>
      <c r="IC70" s="83"/>
      <c r="ID70" s="83"/>
      <c r="IE70" s="83"/>
      <c r="IF70" s="83"/>
      <c r="IG70" s="83"/>
      <c r="IH70" s="83"/>
      <c r="II70" s="83"/>
      <c r="IJ70" s="83"/>
      <c r="IK70" s="83"/>
      <c r="IL70" s="83"/>
      <c r="IM70" s="83"/>
      <c r="IN70" s="83"/>
      <c r="IO70" s="83"/>
      <c r="IP70" s="83"/>
      <c r="IQ70" s="83"/>
      <c r="IR70" s="83"/>
      <c r="IS70" s="83"/>
      <c r="IT70" s="83"/>
      <c r="IU70" s="83"/>
      <c r="IV70" s="83"/>
      <c r="IW70" s="83"/>
      <c r="IX70" s="83"/>
      <c r="IY70" s="83"/>
      <c r="IZ70" s="83"/>
      <c r="JA70" s="83"/>
      <c r="JB70" s="83"/>
      <c r="JC70" s="83"/>
      <c r="JD70" s="83"/>
      <c r="JE70" s="83"/>
      <c r="JF70" s="83"/>
      <c r="JG70" s="83"/>
      <c r="JH70" s="83"/>
      <c r="JI70" s="83"/>
      <c r="JJ70" s="83"/>
      <c r="JK70" s="83"/>
    </row>
    <row r="71" spans="25:271" x14ac:dyDescent="0.2">
      <c r="GO71" s="83"/>
      <c r="GP71" s="83"/>
      <c r="GQ71" s="83"/>
      <c r="GR71" s="83"/>
      <c r="GS71" s="83"/>
      <c r="GT71" s="83"/>
      <c r="GU71" s="83"/>
      <c r="GV71" s="83"/>
      <c r="GW71" s="83"/>
      <c r="GX71" s="83"/>
      <c r="GY71" s="83"/>
      <c r="GZ71" s="83">
        <f>SUM(GZ65:GZ70)</f>
        <v>51</v>
      </c>
      <c r="HA71" s="83"/>
      <c r="HB71" s="83"/>
      <c r="HC71" s="83"/>
      <c r="HD71" s="83"/>
      <c r="HE71" s="83"/>
      <c r="HF71" s="83"/>
      <c r="HG71" s="83"/>
      <c r="HH71" s="83">
        <f>SUM(HH65:HH70)</f>
        <v>51</v>
      </c>
      <c r="HI71" s="83">
        <f>SUM(HI65:HI70)</f>
        <v>51</v>
      </c>
      <c r="HJ71" s="83"/>
      <c r="HK71" s="105"/>
      <c r="HL71" s="83"/>
      <c r="HM71" s="83"/>
      <c r="HN71" s="83"/>
      <c r="HO71" s="83"/>
      <c r="HP71" s="83"/>
      <c r="HQ71" s="83"/>
      <c r="HR71" s="83"/>
      <c r="HS71" s="83"/>
      <c r="HT71" s="83"/>
      <c r="HU71" s="83"/>
      <c r="HV71" s="83"/>
      <c r="HW71" s="83"/>
      <c r="HX71" s="83"/>
      <c r="HY71" s="83"/>
      <c r="HZ71" s="83"/>
      <c r="IA71" s="83"/>
      <c r="IB71" s="83"/>
      <c r="IC71" s="83"/>
      <c r="ID71" s="83"/>
      <c r="IE71" s="83"/>
      <c r="IF71" s="83"/>
      <c r="IG71" s="83"/>
      <c r="IH71" s="83"/>
      <c r="II71" s="83"/>
      <c r="IJ71" s="83"/>
      <c r="IK71" s="83"/>
      <c r="IL71" s="83"/>
      <c r="IM71" s="83"/>
      <c r="IN71" s="83"/>
      <c r="IO71" s="83"/>
      <c r="IP71" s="83"/>
      <c r="IQ71" s="83"/>
      <c r="IR71" s="83"/>
      <c r="IS71" s="83"/>
      <c r="IT71" s="83"/>
      <c r="IU71" s="83"/>
      <c r="IV71" s="83"/>
      <c r="IW71" s="83"/>
      <c r="IX71" s="83"/>
      <c r="IY71" s="83"/>
      <c r="IZ71" s="83"/>
      <c r="JA71" s="83"/>
      <c r="JB71" s="83"/>
      <c r="JC71" s="83"/>
      <c r="JD71" s="83"/>
      <c r="JE71" s="83"/>
      <c r="JF71" s="83"/>
      <c r="JG71" s="83"/>
      <c r="JH71" s="83"/>
      <c r="JI71" s="83"/>
      <c r="JJ71" s="83"/>
      <c r="JK71" s="83"/>
    </row>
  </sheetData>
  <sortState xmlns:xlrd2="http://schemas.microsoft.com/office/spreadsheetml/2017/richdata2" ref="B9:AJ59">
    <sortCondition ref="C9:C59"/>
  </sortState>
  <mergeCells count="323">
    <mergeCell ref="PO1:PQ1"/>
    <mergeCell ref="PO2:PO7"/>
    <mergeCell ref="PP2:PP7"/>
    <mergeCell ref="PQ2:PQ7"/>
    <mergeCell ref="MC6:MC8"/>
    <mergeCell ref="MD6:MD8"/>
    <mergeCell ref="ME6:ME8"/>
    <mergeCell ref="MF6:MF8"/>
    <mergeCell ref="MG6:MG8"/>
    <mergeCell ref="MM6:MM8"/>
    <mergeCell ref="MN6:MN8"/>
    <mergeCell ref="MO6:MO8"/>
    <mergeCell ref="MP5:MW5"/>
    <mergeCell ref="MX5:NB5"/>
    <mergeCell ref="NC5:NE6"/>
    <mergeCell ref="NF5:NI6"/>
    <mergeCell ref="OJ5:OJ8"/>
    <mergeCell ref="OK5:OK8"/>
    <mergeCell ref="OL5:OL8"/>
    <mergeCell ref="OM5:OM8"/>
    <mergeCell ref="PA7:PA8"/>
    <mergeCell ref="PB7:PB8"/>
    <mergeCell ref="PC7:PC8"/>
    <mergeCell ref="PG7:PG8"/>
    <mergeCell ref="LD5:LE7"/>
    <mergeCell ref="LF5:LL5"/>
    <mergeCell ref="LF6:LF8"/>
    <mergeCell ref="LG6:LG8"/>
    <mergeCell ref="LH6:LH8"/>
    <mergeCell ref="LI6:LI8"/>
    <mergeCell ref="LJ6:LJ8"/>
    <mergeCell ref="LK6:LK8"/>
    <mergeCell ref="LL6:LL8"/>
    <mergeCell ref="KU5:KU7"/>
    <mergeCell ref="KV5:KV7"/>
    <mergeCell ref="KW5:KW8"/>
    <mergeCell ref="KX5:KX8"/>
    <mergeCell ref="KY5:KY8"/>
    <mergeCell ref="KZ5:LA7"/>
    <mergeCell ref="LB5:LC7"/>
    <mergeCell ref="KD4:KD8"/>
    <mergeCell ref="KE4:KE8"/>
    <mergeCell ref="JU7:JV7"/>
    <mergeCell ref="JW7:JW8"/>
    <mergeCell ref="KP7:KP8"/>
    <mergeCell ref="KQ7:KQ8"/>
    <mergeCell ref="KR7:KR8"/>
    <mergeCell ref="JX7:JX8"/>
    <mergeCell ref="JZ7:JZ8"/>
    <mergeCell ref="KA7:KA8"/>
    <mergeCell ref="KB7:KB8"/>
    <mergeCell ref="KH7:KH8"/>
    <mergeCell ref="KI7:KJ7"/>
    <mergeCell ref="KK7:KL7"/>
    <mergeCell ref="KM7:KM8"/>
    <mergeCell ref="KN7:KN8"/>
    <mergeCell ref="GB4:GB8"/>
    <mergeCell ref="GC4:GC8"/>
    <mergeCell ref="JQ3:KB3"/>
    <mergeCell ref="KG3:KR3"/>
    <mergeCell ref="JP4:JP8"/>
    <mergeCell ref="JQ4:JQ8"/>
    <mergeCell ref="JR4:KB4"/>
    <mergeCell ref="KF4:KF8"/>
    <mergeCell ref="KG4:KG8"/>
    <mergeCell ref="KH4:KR4"/>
    <mergeCell ref="JR5:JX5"/>
    <mergeCell ref="JY5:KB5"/>
    <mergeCell ref="KH5:KN5"/>
    <mergeCell ref="KO5:KR5"/>
    <mergeCell ref="JR6:JV6"/>
    <mergeCell ref="JW6:JX6"/>
    <mergeCell ref="JY6:JY8"/>
    <mergeCell ref="JZ6:KB6"/>
    <mergeCell ref="KH6:KL6"/>
    <mergeCell ref="KM6:KN6"/>
    <mergeCell ref="KO6:KO8"/>
    <mergeCell ref="KP6:KR6"/>
    <mergeCell ref="JR7:JR8"/>
    <mergeCell ref="JS7:JT7"/>
    <mergeCell ref="GK4:GK8"/>
    <mergeCell ref="JE6:JG7"/>
    <mergeCell ref="JI6:JK7"/>
    <mergeCell ref="GV7:GV8"/>
    <mergeCell ref="GW7:GW8"/>
    <mergeCell ref="HV7:HX7"/>
    <mergeCell ref="HY7:IA7"/>
    <mergeCell ref="IB7:ID7"/>
    <mergeCell ref="IE7:IG7"/>
    <mergeCell ref="IH7:IJ7"/>
    <mergeCell ref="IK7:IM7"/>
    <mergeCell ref="HP6:HR7"/>
    <mergeCell ref="HS6:HU7"/>
    <mergeCell ref="HV6:IA6"/>
    <mergeCell ref="IB6:IG6"/>
    <mergeCell ref="IH6:IM6"/>
    <mergeCell ref="IO6:IQ7"/>
    <mergeCell ref="IS6:IU7"/>
    <mergeCell ref="IW6:IY7"/>
    <mergeCell ref="JA6:JC7"/>
    <mergeCell ref="D3:E3"/>
    <mergeCell ref="GX3:GY3"/>
    <mergeCell ref="GO4:GT5"/>
    <mergeCell ref="GV4:GW6"/>
    <mergeCell ref="GZ4:GZ8"/>
    <mergeCell ref="HC4:HI4"/>
    <mergeCell ref="HK4:HK8"/>
    <mergeCell ref="HC5:HC8"/>
    <mergeCell ref="HD5:HD8"/>
    <mergeCell ref="HE5:HE8"/>
    <mergeCell ref="HF5:HF8"/>
    <mergeCell ref="HG5:HG8"/>
    <mergeCell ref="HH5:HH7"/>
    <mergeCell ref="HI5:HI7"/>
    <mergeCell ref="GO6:GO8"/>
    <mergeCell ref="GP6:GP8"/>
    <mergeCell ref="GQ6:GQ8"/>
    <mergeCell ref="GR6:GR8"/>
    <mergeCell ref="GS6:GS8"/>
    <mergeCell ref="GT6:GT8"/>
    <mergeCell ref="FQ2:FQ7"/>
    <mergeCell ref="FN2:FN7"/>
    <mergeCell ref="CB4:CB8"/>
    <mergeCell ref="CE3:CP3"/>
    <mergeCell ref="CD4:CD8"/>
    <mergeCell ref="CE4:CE8"/>
    <mergeCell ref="CF4:CP4"/>
    <mergeCell ref="FL2:FL7"/>
    <mergeCell ref="FM2:FM7"/>
    <mergeCell ref="FO2:FO7"/>
    <mergeCell ref="FP2:FP7"/>
    <mergeCell ref="EG2:EG8"/>
    <mergeCell ref="EH2:EH8"/>
    <mergeCell ref="EI2:EI7"/>
    <mergeCell ref="CI7:CJ7"/>
    <mergeCell ref="CK7:CK8"/>
    <mergeCell ref="CL7:CL8"/>
    <mergeCell ref="CN7:CN8"/>
    <mergeCell ref="CO7:CO8"/>
    <mergeCell ref="CP7:CP8"/>
    <mergeCell ref="DV4:EB5"/>
    <mergeCell ref="DV6:DV8"/>
    <mergeCell ref="EA6:EA8"/>
    <mergeCell ref="EB6:EB8"/>
    <mergeCell ref="CF5:CL5"/>
    <mergeCell ref="CM5:CP5"/>
    <mergeCell ref="CF6:CJ6"/>
    <mergeCell ref="CK6:CL6"/>
    <mergeCell ref="BO3:BZ3"/>
    <mergeCell ref="BY7:BY8"/>
    <mergeCell ref="BZ7:BZ8"/>
    <mergeCell ref="BX6:BZ6"/>
    <mergeCell ref="BW5:BZ5"/>
    <mergeCell ref="BP4:BZ4"/>
    <mergeCell ref="BU6:BV6"/>
    <mergeCell ref="BU7:BU8"/>
    <mergeCell ref="BV7:BV8"/>
    <mergeCell ref="BP5:BV5"/>
    <mergeCell ref="BW6:BW8"/>
    <mergeCell ref="BX7:BX8"/>
    <mergeCell ref="BQ7:BR7"/>
    <mergeCell ref="BO4:BO8"/>
    <mergeCell ref="BP7:BP8"/>
    <mergeCell ref="BS7:BT7"/>
    <mergeCell ref="BP6:BT6"/>
    <mergeCell ref="BE4:BK5"/>
    <mergeCell ref="BE6:BE8"/>
    <mergeCell ref="BF6:BF8"/>
    <mergeCell ref="BG6:BG8"/>
    <mergeCell ref="BH6:BH8"/>
    <mergeCell ref="BI6:BI8"/>
    <mergeCell ref="BJ6:BJ8"/>
    <mergeCell ref="BK6:BK8"/>
    <mergeCell ref="BN4:BN8"/>
    <mergeCell ref="A4:A8"/>
    <mergeCell ref="B4:B8"/>
    <mergeCell ref="C4:C8"/>
    <mergeCell ref="D4:E6"/>
    <mergeCell ref="AI4:AK4"/>
    <mergeCell ref="AI5:AK7"/>
    <mergeCell ref="AF6:AF8"/>
    <mergeCell ref="BB4:BB8"/>
    <mergeCell ref="AG6:AG8"/>
    <mergeCell ref="AF4:AH5"/>
    <mergeCell ref="AH6:AH8"/>
    <mergeCell ref="AL4:AM5"/>
    <mergeCell ref="AL6:AL8"/>
    <mergeCell ref="AM6:AM8"/>
    <mergeCell ref="AN4:AN8"/>
    <mergeCell ref="F5:I7"/>
    <mergeCell ref="J5:Q5"/>
    <mergeCell ref="R5:U7"/>
    <mergeCell ref="V5:Z7"/>
    <mergeCell ref="N6:Q7"/>
    <mergeCell ref="J6:M7"/>
    <mergeCell ref="F4:AE4"/>
    <mergeCell ref="AA5:AE7"/>
    <mergeCell ref="D7:E7"/>
    <mergeCell ref="EY3:EY7"/>
    <mergeCell ref="FF2:FF7"/>
    <mergeCell ref="FX4:FX8"/>
    <mergeCell ref="CM6:CM8"/>
    <mergeCell ref="CN6:CP6"/>
    <mergeCell ref="CF7:CF8"/>
    <mergeCell ref="CG7:CH7"/>
    <mergeCell ref="DW6:DW8"/>
    <mergeCell ref="DX6:DX8"/>
    <mergeCell ref="DY6:DY8"/>
    <mergeCell ref="DZ6:DZ8"/>
    <mergeCell ref="EJ2:EJ7"/>
    <mergeCell ref="EZ2:EZ7"/>
    <mergeCell ref="FA2:FA7"/>
    <mergeCell ref="FB2:FB7"/>
    <mergeCell ref="FD2:FD7"/>
    <mergeCell ref="FE2:FE7"/>
    <mergeCell ref="FH2:FH7"/>
    <mergeCell ref="FI2:FI7"/>
    <mergeCell ref="FJ2:FJ7"/>
    <mergeCell ref="FV2:FV7"/>
    <mergeCell ref="FR2:FR7"/>
    <mergeCell ref="FS2:FS7"/>
    <mergeCell ref="FT2:FT7"/>
    <mergeCell ref="GD4:GD8"/>
    <mergeCell ref="GE4:GE8"/>
    <mergeCell ref="GG4:GG8"/>
    <mergeCell ref="GH4:GH8"/>
    <mergeCell ref="GJ4:GJ8"/>
    <mergeCell ref="FY4:FY8"/>
    <mergeCell ref="FZ4:FZ8"/>
    <mergeCell ref="GA4:GA8"/>
    <mergeCell ref="EK2:EP2"/>
    <mergeCell ref="EQ2:EQ7"/>
    <mergeCell ref="ER2:ER7"/>
    <mergeCell ref="ES2:ES7"/>
    <mergeCell ref="ET2:ET7"/>
    <mergeCell ref="EU2:EU7"/>
    <mergeCell ref="EV2:EV7"/>
    <mergeCell ref="EW2:EY2"/>
    <mergeCell ref="EK3:EK7"/>
    <mergeCell ref="EL3:EL7"/>
    <mergeCell ref="EM3:EM7"/>
    <mergeCell ref="EN3:EN7"/>
    <mergeCell ref="EO3:EO7"/>
    <mergeCell ref="EP3:EP7"/>
    <mergeCell ref="EW3:EW7"/>
    <mergeCell ref="EX3:EX7"/>
    <mergeCell ref="FU2:FU7"/>
    <mergeCell ref="FK2:FK7"/>
    <mergeCell ref="FC2:FC7"/>
    <mergeCell ref="LX6:LX8"/>
    <mergeCell ref="LM5:LS5"/>
    <mergeCell ref="LT5:LZ5"/>
    <mergeCell ref="MA5:MJ5"/>
    <mergeCell ref="MK5:MO5"/>
    <mergeCell ref="LO6:LO8"/>
    <mergeCell ref="LP6:LP8"/>
    <mergeCell ref="LQ6:LQ8"/>
    <mergeCell ref="LR6:LR8"/>
    <mergeCell ref="LS6:LS8"/>
    <mergeCell ref="LT6:LT8"/>
    <mergeCell ref="LU6:LU8"/>
    <mergeCell ref="LV6:LV8"/>
    <mergeCell ref="LW6:LW8"/>
    <mergeCell ref="LM6:LM8"/>
    <mergeCell ref="LN6:LN8"/>
    <mergeCell ref="MH6:MH8"/>
    <mergeCell ref="MI6:MI8"/>
    <mergeCell ref="MJ6:MJ8"/>
    <mergeCell ref="MK6:MK8"/>
    <mergeCell ref="ML6:ML8"/>
    <mergeCell ref="LY6:LY8"/>
    <mergeCell ref="LZ6:LZ8"/>
    <mergeCell ref="MA6:MA8"/>
    <mergeCell ref="MB6:MB8"/>
    <mergeCell ref="NH7:NH8"/>
    <mergeCell ref="NI7:NI8"/>
    <mergeCell ref="MR6:MR8"/>
    <mergeCell ref="MS6:MS8"/>
    <mergeCell ref="MT6:MT8"/>
    <mergeCell ref="MU6:MU8"/>
    <mergeCell ref="MV6:MV8"/>
    <mergeCell ref="MW6:MW8"/>
    <mergeCell ref="MX6:MX8"/>
    <mergeCell ref="NB6:NB8"/>
    <mergeCell ref="NC7:NC8"/>
    <mergeCell ref="MY6:MY8"/>
    <mergeCell ref="MZ6:MZ8"/>
    <mergeCell ref="NA6:NA8"/>
    <mergeCell ref="MQ6:MQ8"/>
    <mergeCell ref="MP6:MP8"/>
    <mergeCell ref="PH7:PH8"/>
    <mergeCell ref="PI7:PI8"/>
    <mergeCell ref="OV5:OV8"/>
    <mergeCell ref="OW5:OW8"/>
    <mergeCell ref="OO5:OO8"/>
    <mergeCell ref="OP5:OP8"/>
    <mergeCell ref="OQ5:OQ8"/>
    <mergeCell ref="OR5:OR8"/>
    <mergeCell ref="OS5:OS8"/>
    <mergeCell ref="OT5:OT8"/>
    <mergeCell ref="OU5:OU8"/>
    <mergeCell ref="PA5:PL5"/>
    <mergeCell ref="PA6:PF6"/>
    <mergeCell ref="PG6:PL6"/>
    <mergeCell ref="PD7:PD8"/>
    <mergeCell ref="PE7:PE8"/>
    <mergeCell ref="PF7:PF8"/>
    <mergeCell ref="PJ7:PJ8"/>
    <mergeCell ref="PK7:PK8"/>
    <mergeCell ref="PL7:PL8"/>
    <mergeCell ref="NM7:NT7"/>
    <mergeCell ref="ND7:ND8"/>
    <mergeCell ref="NE7:NE8"/>
    <mergeCell ref="NF7:NF8"/>
    <mergeCell ref="OE5:OE8"/>
    <mergeCell ref="OF5:OF8"/>
    <mergeCell ref="OG5:OG8"/>
    <mergeCell ref="OH5:OH8"/>
    <mergeCell ref="OI5:OI8"/>
    <mergeCell ref="NG7:NG8"/>
    <mergeCell ref="NK5:NK8"/>
    <mergeCell ref="NZ4:NZ8"/>
    <mergeCell ref="NJ5:NJ8"/>
  </mergeCells>
  <conditionalFormatting sqref="FY9 FY10:GE21 FY59:GE59 FY39:GE43 FY23:GE37">
    <cfRule type="cellIs" dxfId="172" priority="54" operator="greaterThan">
      <formula>0</formula>
    </cfRule>
  </conditionalFormatting>
  <conditionalFormatting sqref="FZ9:GE9">
    <cfRule type="cellIs" dxfId="171" priority="53" operator="greaterThan">
      <formula>0</formula>
    </cfRule>
  </conditionalFormatting>
  <conditionalFormatting sqref="JJ9:JK21 JJ59:JK59 JJ39:JK43 JJ23:JK37">
    <cfRule type="cellIs" dxfId="170" priority="48" operator="notEqual">
      <formula>0</formula>
    </cfRule>
  </conditionalFormatting>
  <conditionalFormatting sqref="JJ62:JK62">
    <cfRule type="cellIs" dxfId="169" priority="47" operator="notEqual">
      <formula>0</formula>
    </cfRule>
  </conditionalFormatting>
  <conditionalFormatting sqref="KT9:KT21 KT59 KT39:KT43 KT23:KT37">
    <cfRule type="cellIs" dxfId="168" priority="46" operator="notEqual">
      <formula>0</formula>
    </cfRule>
  </conditionalFormatting>
  <conditionalFormatting sqref="OZ9:OZ21 OZ59 OZ39:OZ43 OZ23:OZ37">
    <cfRule type="cellIs" dxfId="167" priority="43" operator="notEqual">
      <formula>0</formula>
    </cfRule>
  </conditionalFormatting>
  <conditionalFormatting sqref="PA9:PC21 PA59:PC59 PA23:PC37 PA39:PC43">
    <cfRule type="cellIs" dxfId="166" priority="40" operator="equal">
      <formula>0</formula>
    </cfRule>
  </conditionalFormatting>
  <conditionalFormatting sqref="PA9:PC21 PA59:PC59">
    <cfRule type="cellIs" dxfId="165" priority="39" operator="equal">
      <formula>0</formula>
    </cfRule>
  </conditionalFormatting>
  <conditionalFormatting sqref="PA9:PC21 PA59:PC59">
    <cfRule type="cellIs" dxfId="164" priority="38" operator="equal">
      <formula>0</formula>
    </cfRule>
  </conditionalFormatting>
  <conditionalFormatting sqref="PC9:PC21 PC59">
    <cfRule type="cellIs" dxfId="163" priority="37" operator="equal">
      <formula>0</formula>
    </cfRule>
  </conditionalFormatting>
  <conditionalFormatting sqref="FY22:GE22">
    <cfRule type="cellIs" dxfId="162" priority="36" operator="greaterThan">
      <formula>0</formula>
    </cfRule>
  </conditionalFormatting>
  <conditionalFormatting sqref="JJ22:JK22">
    <cfRule type="cellIs" dxfId="161" priority="35" operator="notEqual">
      <formula>0</formula>
    </cfRule>
  </conditionalFormatting>
  <conditionalFormatting sqref="KT22">
    <cfRule type="cellIs" dxfId="160" priority="34" operator="notEqual">
      <formula>0</formula>
    </cfRule>
  </conditionalFormatting>
  <conditionalFormatting sqref="OZ22">
    <cfRule type="cellIs" dxfId="159" priority="33" operator="notEqual">
      <formula>0</formula>
    </cfRule>
  </conditionalFormatting>
  <conditionalFormatting sqref="PA22:PC22">
    <cfRule type="cellIs" dxfId="158" priority="32" operator="equal">
      <formula>0</formula>
    </cfRule>
  </conditionalFormatting>
  <conditionalFormatting sqref="PA22:PC22">
    <cfRule type="cellIs" dxfId="157" priority="31" operator="equal">
      <formula>0</formula>
    </cfRule>
  </conditionalFormatting>
  <conditionalFormatting sqref="PA22:PC22">
    <cfRule type="cellIs" dxfId="156" priority="30" operator="equal">
      <formula>0</formula>
    </cfRule>
  </conditionalFormatting>
  <conditionalFormatting sqref="PC22">
    <cfRule type="cellIs" dxfId="155" priority="29" operator="equal">
      <formula>0</formula>
    </cfRule>
  </conditionalFormatting>
  <conditionalFormatting sqref="FY38:GE38 FY57:GE57">
    <cfRule type="cellIs" dxfId="154" priority="28" operator="greaterThan">
      <formula>0</formula>
    </cfRule>
  </conditionalFormatting>
  <conditionalFormatting sqref="JJ38:JK38 JJ57:JK57">
    <cfRule type="cellIs" dxfId="153" priority="27" operator="notEqual">
      <formula>0</formula>
    </cfRule>
  </conditionalFormatting>
  <conditionalFormatting sqref="KT38 KT57">
    <cfRule type="cellIs" dxfId="152" priority="26" operator="notEqual">
      <formula>0</formula>
    </cfRule>
  </conditionalFormatting>
  <conditionalFormatting sqref="OZ38 OZ57">
    <cfRule type="cellIs" dxfId="151" priority="25" operator="notEqual">
      <formula>0</formula>
    </cfRule>
  </conditionalFormatting>
  <conditionalFormatting sqref="PA57:PC57 PA38:PC38">
    <cfRule type="cellIs" dxfId="150" priority="24" operator="equal">
      <formula>0</formula>
    </cfRule>
  </conditionalFormatting>
  <conditionalFormatting sqref="PA57:PC57 PA38:PC38">
    <cfRule type="cellIs" dxfId="149" priority="23" operator="equal">
      <formula>0</formula>
    </cfRule>
  </conditionalFormatting>
  <conditionalFormatting sqref="PA57:PC57 PA38:PC38">
    <cfRule type="cellIs" dxfId="148" priority="22" operator="equal">
      <formula>0</formula>
    </cfRule>
  </conditionalFormatting>
  <conditionalFormatting sqref="PC38 PC57">
    <cfRule type="cellIs" dxfId="147" priority="21" operator="equal">
      <formula>0</formula>
    </cfRule>
  </conditionalFormatting>
  <conditionalFormatting sqref="FY44:GE56">
    <cfRule type="cellIs" dxfId="146" priority="20" operator="greaterThan">
      <formula>0</formula>
    </cfRule>
  </conditionalFormatting>
  <conditionalFormatting sqref="JJ44:JK56">
    <cfRule type="cellIs" dxfId="145" priority="19" operator="notEqual">
      <formula>0</formula>
    </cfRule>
  </conditionalFormatting>
  <conditionalFormatting sqref="KT44:KT56">
    <cfRule type="cellIs" dxfId="144" priority="18" operator="notEqual">
      <formula>0</formula>
    </cfRule>
  </conditionalFormatting>
  <conditionalFormatting sqref="OZ44:OZ56">
    <cfRule type="cellIs" dxfId="143" priority="17" operator="notEqual">
      <formula>0</formula>
    </cfRule>
  </conditionalFormatting>
  <conditionalFormatting sqref="PA44:PC56">
    <cfRule type="cellIs" dxfId="142" priority="16" operator="equal">
      <formula>0</formula>
    </cfRule>
  </conditionalFormatting>
  <conditionalFormatting sqref="PA44:PC56">
    <cfRule type="cellIs" dxfId="141" priority="15" operator="equal">
      <formula>0</formula>
    </cfRule>
  </conditionalFormatting>
  <conditionalFormatting sqref="PA44:PC56">
    <cfRule type="cellIs" dxfId="140" priority="14" operator="equal">
      <formula>0</formula>
    </cfRule>
  </conditionalFormatting>
  <conditionalFormatting sqref="PC44:PC56">
    <cfRule type="cellIs" dxfId="139" priority="13" operator="equal">
      <formula>0</formula>
    </cfRule>
  </conditionalFormatting>
  <conditionalFormatting sqref="FY58:GE58">
    <cfRule type="cellIs" dxfId="138" priority="12" operator="greaterThan">
      <formula>0</formula>
    </cfRule>
  </conditionalFormatting>
  <conditionalFormatting sqref="JJ58:JK58">
    <cfRule type="cellIs" dxfId="137" priority="11" operator="notEqual">
      <formula>0</formula>
    </cfRule>
  </conditionalFormatting>
  <conditionalFormatting sqref="KT58">
    <cfRule type="cellIs" dxfId="136" priority="10" operator="notEqual">
      <formula>0</formula>
    </cfRule>
  </conditionalFormatting>
  <conditionalFormatting sqref="OZ58">
    <cfRule type="cellIs" dxfId="135" priority="9" operator="notEqual">
      <formula>0</formula>
    </cfRule>
  </conditionalFormatting>
  <conditionalFormatting sqref="PA58:PC58">
    <cfRule type="cellIs" dxfId="134" priority="8" operator="equal">
      <formula>0</formula>
    </cfRule>
  </conditionalFormatting>
  <conditionalFormatting sqref="PA58:PC58">
    <cfRule type="cellIs" dxfId="133" priority="7" operator="equal">
      <formula>0</formula>
    </cfRule>
  </conditionalFormatting>
  <conditionalFormatting sqref="PA58:PC58">
    <cfRule type="cellIs" dxfId="132" priority="6" operator="equal">
      <formula>0</formula>
    </cfRule>
  </conditionalFormatting>
  <conditionalFormatting sqref="PC58">
    <cfRule type="cellIs" dxfId="131" priority="5" operator="equal">
      <formula>0</formula>
    </cfRule>
  </conditionalFormatting>
  <conditionalFormatting sqref="PD9:PF59">
    <cfRule type="cellIs" dxfId="130" priority="4" operator="equal">
      <formula>0</formula>
    </cfRule>
  </conditionalFormatting>
  <conditionalFormatting sqref="PD9:PF59">
    <cfRule type="cellIs" dxfId="129" priority="3" operator="equal">
      <formula>0</formula>
    </cfRule>
  </conditionalFormatting>
  <conditionalFormatting sqref="PD9:PF59">
    <cfRule type="cellIs" dxfId="128" priority="2" operator="equal">
      <formula>0</formula>
    </cfRule>
  </conditionalFormatting>
  <conditionalFormatting sqref="PD9:PF59">
    <cfRule type="cellIs" dxfId="127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FD59"/>
  <sheetViews>
    <sheetView showGridLines="0" zoomScale="70" zoomScaleNormal="70" workbookViewId="0">
      <pane xSplit="5" ySplit="8" topLeftCell="ON9" activePane="bottomRight" state="frozen"/>
      <selection activeCell="NZ67" sqref="NZ67"/>
      <selection pane="topRight" activeCell="NZ67" sqref="NZ67"/>
      <selection pane="bottomLeft" activeCell="NZ67" sqref="NZ67"/>
      <selection pane="bottomRight" activeCell="NZ67" sqref="NZ67"/>
    </sheetView>
  </sheetViews>
  <sheetFormatPr baseColWidth="10" defaultColWidth="8.5" defaultRowHeight="15" x14ac:dyDescent="0.2"/>
  <cols>
    <col min="1" max="1" width="9.5" customWidth="1"/>
    <col min="2" max="2" width="33.6640625" customWidth="1"/>
    <col min="3" max="3" width="10.5" bestFit="1" customWidth="1"/>
    <col min="4" max="4" width="7.5" bestFit="1" customWidth="1"/>
    <col min="5" max="5" width="10" bestFit="1" customWidth="1"/>
    <col min="6" max="6" width="7.5" bestFit="1" customWidth="1"/>
    <col min="7" max="7" width="8.5" bestFit="1" customWidth="1"/>
    <col min="8" max="8" width="10.5" bestFit="1" customWidth="1"/>
    <col min="9" max="9" width="9.5" bestFit="1" customWidth="1"/>
    <col min="10" max="10" width="7.5" bestFit="1" customWidth="1"/>
    <col min="11" max="11" width="8.5" bestFit="1" customWidth="1"/>
    <col min="12" max="12" width="10.5" bestFit="1" customWidth="1"/>
    <col min="13" max="13" width="8.5" bestFit="1" customWidth="1"/>
    <col min="14" max="14" width="7.5" bestFit="1" customWidth="1"/>
    <col min="15" max="15" width="8.5" bestFit="1" customWidth="1"/>
    <col min="16" max="16" width="10.5" bestFit="1" customWidth="1"/>
    <col min="17" max="17" width="8.5" bestFit="1" customWidth="1"/>
    <col min="18" max="18" width="7.5" bestFit="1" customWidth="1"/>
    <col min="19" max="19" width="8.5" bestFit="1" customWidth="1"/>
    <col min="20" max="20" width="10.5" bestFit="1" customWidth="1"/>
    <col min="21" max="21" width="8.5" bestFit="1" customWidth="1"/>
    <col min="22" max="23" width="7.5" bestFit="1" customWidth="1"/>
    <col min="24" max="24" width="10.5" bestFit="1" customWidth="1"/>
    <col min="25" max="25" width="8.5" bestFit="1" customWidth="1"/>
    <col min="26" max="26" width="13" bestFit="1" customWidth="1"/>
    <col min="27" max="31" width="13" customWidth="1"/>
    <col min="32" max="32" width="13.5" customWidth="1"/>
    <col min="33" max="33" width="17.5" customWidth="1"/>
    <col min="34" max="34" width="36.5" bestFit="1" customWidth="1"/>
    <col min="37" max="37" width="22.5" bestFit="1" customWidth="1"/>
    <col min="38" max="39" width="14.5" bestFit="1" customWidth="1"/>
    <col min="40" max="40" width="26.5" bestFit="1" customWidth="1"/>
    <col min="41" max="41" width="7.5" bestFit="1" customWidth="1"/>
    <col min="42" max="42" width="7" bestFit="1" customWidth="1"/>
    <col min="43" max="43" width="7.5" bestFit="1" customWidth="1"/>
    <col min="44" max="44" width="7" bestFit="1" customWidth="1"/>
    <col min="45" max="45" width="7.5" bestFit="1" customWidth="1"/>
    <col min="46" max="46" width="7" bestFit="1" customWidth="1"/>
    <col min="47" max="47" width="7.5" bestFit="1" customWidth="1"/>
    <col min="48" max="48" width="7" bestFit="1" customWidth="1"/>
    <col min="49" max="49" width="7.5" bestFit="1" customWidth="1"/>
    <col min="50" max="50" width="5.5" bestFit="1" customWidth="1"/>
    <col min="51" max="51" width="8.5" bestFit="1" customWidth="1"/>
    <col min="52" max="52" width="10" bestFit="1" customWidth="1"/>
    <col min="66" max="66" width="14.5" customWidth="1"/>
    <col min="135" max="135" width="84.5" bestFit="1" customWidth="1"/>
    <col min="137" max="138" width="12.5" customWidth="1"/>
    <col min="139" max="177" width="15.5" customWidth="1"/>
    <col min="273" max="273" width="9.5" bestFit="1" customWidth="1"/>
    <col min="306" max="306" width="15.5" bestFit="1" customWidth="1"/>
    <col min="390" max="390" width="13.5" bestFit="1" customWidth="1"/>
    <col min="391" max="392" width="10.5" bestFit="1" customWidth="1"/>
  </cols>
  <sheetData>
    <row r="1" spans="1:433" ht="24" x14ac:dyDescent="0.2">
      <c r="A1" s="1" t="s">
        <v>0</v>
      </c>
      <c r="B1" s="2"/>
      <c r="C1" s="2"/>
      <c r="D1" s="2"/>
      <c r="E1" s="2"/>
      <c r="F1" s="2"/>
      <c r="G1" s="3"/>
      <c r="H1" s="3"/>
      <c r="I1" s="4"/>
      <c r="J1" s="4"/>
      <c r="K1" s="4"/>
      <c r="L1" s="4"/>
      <c r="M1" s="4"/>
      <c r="N1" s="4"/>
      <c r="O1" s="4"/>
      <c r="P1" s="4"/>
      <c r="Q1" s="4"/>
      <c r="R1" s="2"/>
      <c r="S1" s="2"/>
      <c r="T1" s="2"/>
      <c r="U1" s="2"/>
      <c r="V1" s="5"/>
      <c r="W1" s="5"/>
      <c r="X1" s="5"/>
      <c r="Y1" s="5"/>
      <c r="Z1" s="2"/>
      <c r="AA1" s="7"/>
      <c r="AB1" s="7"/>
      <c r="AC1" s="7"/>
      <c r="AD1" s="7"/>
      <c r="AE1" s="7"/>
      <c r="AF1" s="34" t="s">
        <v>294</v>
      </c>
      <c r="AG1" s="34" t="s">
        <v>296</v>
      </c>
      <c r="BF1" s="34" t="s">
        <v>294</v>
      </c>
      <c r="BG1" s="34"/>
      <c r="BH1" s="34" t="s">
        <v>296</v>
      </c>
      <c r="EI1" s="47">
        <v>1</v>
      </c>
      <c r="EJ1" s="47">
        <f>EI1+1</f>
        <v>2</v>
      </c>
      <c r="EK1" s="47">
        <f t="shared" ref="EK1:FF1" si="0">EJ1+1</f>
        <v>3</v>
      </c>
      <c r="EL1" s="47">
        <f t="shared" si="0"/>
        <v>4</v>
      </c>
      <c r="EM1" s="47">
        <f t="shared" si="0"/>
        <v>5</v>
      </c>
      <c r="EN1" s="47">
        <f t="shared" si="0"/>
        <v>6</v>
      </c>
      <c r="EO1" s="47">
        <f t="shared" si="0"/>
        <v>7</v>
      </c>
      <c r="EP1" s="47">
        <f t="shared" si="0"/>
        <v>8</v>
      </c>
      <c r="EQ1" s="47">
        <f t="shared" si="0"/>
        <v>9</v>
      </c>
      <c r="ER1" s="47">
        <f t="shared" si="0"/>
        <v>10</v>
      </c>
      <c r="ES1" s="47">
        <f t="shared" si="0"/>
        <v>11</v>
      </c>
      <c r="ET1" s="47">
        <f t="shared" si="0"/>
        <v>12</v>
      </c>
      <c r="EU1" s="47">
        <f t="shared" si="0"/>
        <v>13</v>
      </c>
      <c r="EV1" s="47">
        <f t="shared" si="0"/>
        <v>14</v>
      </c>
      <c r="EW1" s="47">
        <f t="shared" si="0"/>
        <v>15</v>
      </c>
      <c r="EX1" s="47">
        <f t="shared" si="0"/>
        <v>16</v>
      </c>
      <c r="EY1" s="47">
        <f t="shared" si="0"/>
        <v>17</v>
      </c>
      <c r="EZ1" s="47">
        <f t="shared" si="0"/>
        <v>18</v>
      </c>
      <c r="FA1" s="47">
        <f t="shared" si="0"/>
        <v>19</v>
      </c>
      <c r="FB1" s="47">
        <f t="shared" si="0"/>
        <v>20</v>
      </c>
      <c r="FC1" s="47">
        <f t="shared" si="0"/>
        <v>21</v>
      </c>
      <c r="FD1" s="47">
        <f t="shared" si="0"/>
        <v>22</v>
      </c>
      <c r="FE1" s="47">
        <f t="shared" si="0"/>
        <v>23</v>
      </c>
      <c r="FF1" s="47">
        <f t="shared" si="0"/>
        <v>24</v>
      </c>
      <c r="FH1" s="47">
        <f t="shared" ref="FH1:FV1" si="1">FG1+1</f>
        <v>1</v>
      </c>
      <c r="FI1" s="47">
        <f t="shared" si="1"/>
        <v>2</v>
      </c>
      <c r="FJ1" s="47">
        <f t="shared" si="1"/>
        <v>3</v>
      </c>
      <c r="FK1" s="47">
        <f t="shared" si="1"/>
        <v>4</v>
      </c>
      <c r="FL1" s="47">
        <f t="shared" si="1"/>
        <v>5</v>
      </c>
      <c r="FM1" s="47">
        <f t="shared" si="1"/>
        <v>6</v>
      </c>
      <c r="FN1" s="47">
        <f t="shared" si="1"/>
        <v>7</v>
      </c>
      <c r="FO1" s="47">
        <f t="shared" si="1"/>
        <v>8</v>
      </c>
      <c r="FP1" s="47">
        <f t="shared" si="1"/>
        <v>9</v>
      </c>
      <c r="FQ1" s="47">
        <f t="shared" si="1"/>
        <v>10</v>
      </c>
      <c r="FR1" s="47">
        <f t="shared" si="1"/>
        <v>11</v>
      </c>
      <c r="FS1" s="47">
        <f t="shared" si="1"/>
        <v>12</v>
      </c>
      <c r="FT1" s="47">
        <f t="shared" si="1"/>
        <v>13</v>
      </c>
      <c r="FU1" s="47">
        <f t="shared" si="1"/>
        <v>14</v>
      </c>
      <c r="FV1" s="47">
        <f t="shared" si="1"/>
        <v>15</v>
      </c>
      <c r="GO1" s="83"/>
      <c r="GP1" s="83"/>
      <c r="GQ1" s="83"/>
      <c r="GR1" s="83"/>
      <c r="GS1" s="83"/>
      <c r="GT1" s="83"/>
      <c r="GU1" s="83"/>
      <c r="GV1" s="83"/>
      <c r="GW1" s="83"/>
      <c r="GX1" s="83"/>
      <c r="GY1" s="83"/>
      <c r="GZ1" s="83"/>
      <c r="HA1" s="83"/>
      <c r="HB1" s="83"/>
      <c r="HC1" s="83"/>
      <c r="HD1" s="83"/>
      <c r="HE1" s="83"/>
      <c r="HF1" s="83"/>
      <c r="HG1" s="83"/>
      <c r="HH1" s="83"/>
      <c r="HI1" s="83"/>
      <c r="HJ1" s="83"/>
      <c r="HK1" s="83"/>
      <c r="HL1" s="83"/>
      <c r="HM1" s="83"/>
      <c r="HN1" s="83"/>
      <c r="HO1" s="83"/>
      <c r="HP1" s="84"/>
      <c r="HQ1" s="84"/>
      <c r="HR1" s="84"/>
      <c r="HS1" s="84" t="s">
        <v>425</v>
      </c>
      <c r="HT1" s="84"/>
      <c r="HU1" s="84"/>
      <c r="HV1" s="84"/>
      <c r="HW1" s="84"/>
      <c r="HX1" s="84"/>
      <c r="HY1" s="84"/>
      <c r="HZ1" s="84"/>
      <c r="IA1" s="84"/>
      <c r="IB1" s="84"/>
      <c r="IC1" s="84"/>
      <c r="ID1" s="84"/>
      <c r="IE1" s="84"/>
      <c r="IF1" s="84"/>
      <c r="IG1" s="84"/>
      <c r="IH1" s="84"/>
      <c r="II1" s="84"/>
      <c r="IJ1" s="84"/>
      <c r="IK1" s="84"/>
      <c r="IL1" s="84"/>
      <c r="IM1" s="83"/>
      <c r="IN1" s="83"/>
      <c r="IO1" s="83"/>
      <c r="IP1" s="83"/>
      <c r="IQ1" s="83"/>
      <c r="IR1" s="83"/>
      <c r="IS1" s="83"/>
      <c r="IT1" s="83"/>
      <c r="IU1" s="83"/>
      <c r="IV1" s="83"/>
      <c r="IW1" s="83"/>
      <c r="IX1" s="83"/>
      <c r="IY1" s="83"/>
      <c r="IZ1" s="83"/>
      <c r="JA1" s="83"/>
      <c r="JB1" s="83"/>
      <c r="JC1" s="83"/>
      <c r="JD1" s="83"/>
      <c r="JE1" s="83"/>
      <c r="JF1" s="83"/>
      <c r="JG1" s="83"/>
      <c r="JH1" s="83"/>
      <c r="JI1" s="83"/>
      <c r="JJ1" s="83"/>
      <c r="JK1" s="83"/>
      <c r="KS1">
        <v>1</v>
      </c>
      <c r="KT1" t="s">
        <v>580</v>
      </c>
      <c r="PO1" s="557" t="s">
        <v>630</v>
      </c>
      <c r="PP1" s="558"/>
      <c r="PQ1" s="559"/>
    </row>
    <row r="2" spans="1:433" ht="23.75" customHeight="1" x14ac:dyDescent="0.2">
      <c r="A2" s="6" t="s">
        <v>25</v>
      </c>
      <c r="B2" s="7"/>
      <c r="C2" s="7"/>
      <c r="D2" s="7"/>
      <c r="E2" s="7"/>
      <c r="F2" s="7"/>
      <c r="G2" s="8"/>
      <c r="H2" s="8"/>
      <c r="I2" s="9"/>
      <c r="J2" s="9"/>
      <c r="K2" s="9"/>
      <c r="L2" s="9"/>
      <c r="M2" s="9"/>
      <c r="N2" s="9"/>
      <c r="O2" s="9"/>
      <c r="P2" s="9"/>
      <c r="Q2" s="9"/>
      <c r="R2" s="7"/>
      <c r="S2" s="7"/>
      <c r="T2" s="7"/>
      <c r="U2" s="7"/>
      <c r="V2" s="10"/>
      <c r="W2" s="10"/>
      <c r="X2" s="10"/>
      <c r="Y2" s="10"/>
      <c r="Z2" s="7"/>
      <c r="AA2" s="7"/>
      <c r="AB2" s="7"/>
      <c r="AC2" s="7"/>
      <c r="AD2" s="7"/>
      <c r="AE2" s="7"/>
      <c r="AF2" s="34" t="s">
        <v>295</v>
      </c>
      <c r="AG2" s="35" t="s">
        <v>297</v>
      </c>
      <c r="BF2" s="34" t="s">
        <v>295</v>
      </c>
      <c r="BG2" s="34"/>
      <c r="BH2" s="35" t="s">
        <v>297</v>
      </c>
      <c r="BN2" s="30" t="s">
        <v>338</v>
      </c>
      <c r="CD2" s="30" t="s">
        <v>338</v>
      </c>
      <c r="ED2" s="48"/>
      <c r="EE2" s="49"/>
      <c r="EG2" s="533" t="s">
        <v>388</v>
      </c>
      <c r="EH2" s="533" t="s">
        <v>352</v>
      </c>
      <c r="EI2" s="429" t="s">
        <v>387</v>
      </c>
      <c r="EJ2" s="429" t="s">
        <v>482</v>
      </c>
      <c r="EK2" s="507" t="s">
        <v>483</v>
      </c>
      <c r="EL2" s="508"/>
      <c r="EM2" s="508"/>
      <c r="EN2" s="508"/>
      <c r="EO2" s="508"/>
      <c r="EP2" s="509"/>
      <c r="EQ2" s="429" t="s">
        <v>353</v>
      </c>
      <c r="ER2" s="429" t="s">
        <v>484</v>
      </c>
      <c r="ES2" s="429" t="s">
        <v>354</v>
      </c>
      <c r="ET2" s="429" t="s">
        <v>397</v>
      </c>
      <c r="EU2" s="429" t="s">
        <v>485</v>
      </c>
      <c r="EV2" s="429" t="s">
        <v>355</v>
      </c>
      <c r="EW2" s="507" t="s">
        <v>486</v>
      </c>
      <c r="EX2" s="508"/>
      <c r="EY2" s="509"/>
      <c r="EZ2" s="429" t="s">
        <v>356</v>
      </c>
      <c r="FA2" s="429" t="s">
        <v>357</v>
      </c>
      <c r="FB2" s="429" t="s">
        <v>358</v>
      </c>
      <c r="FC2" s="429" t="s">
        <v>623</v>
      </c>
      <c r="FD2" s="429" t="s">
        <v>359</v>
      </c>
      <c r="FE2" s="429" t="s">
        <v>360</v>
      </c>
      <c r="FF2" s="429" t="s">
        <v>629</v>
      </c>
      <c r="FH2" s="429" t="s">
        <v>11</v>
      </c>
      <c r="FI2" s="429" t="s">
        <v>487</v>
      </c>
      <c r="FJ2" s="429" t="s">
        <v>488</v>
      </c>
      <c r="FK2" s="429" t="s">
        <v>489</v>
      </c>
      <c r="FL2" s="429" t="s">
        <v>490</v>
      </c>
      <c r="FM2" s="429" t="s">
        <v>491</v>
      </c>
      <c r="FN2" s="429" t="s">
        <v>492</v>
      </c>
      <c r="FO2" s="429" t="s">
        <v>493</v>
      </c>
      <c r="FP2" s="429" t="s">
        <v>494</v>
      </c>
      <c r="FQ2" s="429" t="s">
        <v>495</v>
      </c>
      <c r="FR2" s="429" t="s">
        <v>496</v>
      </c>
      <c r="FS2" s="429" t="s">
        <v>497</v>
      </c>
      <c r="FT2" s="429" t="s">
        <v>498</v>
      </c>
      <c r="FU2" s="429" t="s">
        <v>499</v>
      </c>
      <c r="FV2" s="429" t="s">
        <v>500</v>
      </c>
      <c r="GO2" s="83"/>
      <c r="GP2" s="83"/>
      <c r="GQ2" s="83"/>
      <c r="GR2" s="83"/>
      <c r="GS2" s="83"/>
      <c r="GT2" s="83"/>
      <c r="GU2" s="83" t="s">
        <v>467</v>
      </c>
      <c r="GV2" s="83"/>
      <c r="GW2" s="83"/>
      <c r="GX2" s="83"/>
      <c r="GY2" s="83"/>
      <c r="GZ2" s="83"/>
      <c r="HA2" s="83"/>
      <c r="HB2" s="83"/>
      <c r="HC2" s="83"/>
      <c r="HD2" s="83"/>
      <c r="HE2" s="83"/>
      <c r="HF2" s="83"/>
      <c r="HG2" s="83"/>
      <c r="HH2" s="83"/>
      <c r="HI2" s="83"/>
      <c r="HJ2" s="83"/>
      <c r="HK2" s="83"/>
      <c r="HL2" s="83"/>
      <c r="HM2" s="83"/>
      <c r="HN2" s="83"/>
      <c r="HO2" s="83"/>
      <c r="HP2" s="82"/>
      <c r="HQ2" s="82"/>
      <c r="HR2" s="82"/>
      <c r="HS2" t="s">
        <v>426</v>
      </c>
      <c r="HT2" s="82"/>
      <c r="HU2" s="82"/>
      <c r="HV2" s="82"/>
      <c r="HW2" s="82"/>
      <c r="HX2" s="82"/>
      <c r="HY2" s="82"/>
      <c r="HZ2" s="82"/>
      <c r="IA2" s="82"/>
      <c r="IB2" s="82"/>
      <c r="IC2" s="82"/>
      <c r="ID2" s="82"/>
      <c r="IE2" s="82"/>
      <c r="IF2" s="82"/>
      <c r="IG2" s="82"/>
      <c r="IH2" s="82"/>
      <c r="II2" s="82"/>
      <c r="IJ2" s="82"/>
      <c r="IK2" s="82"/>
      <c r="IL2" s="82"/>
      <c r="IM2" s="83"/>
      <c r="IN2" s="83"/>
      <c r="IO2" s="83"/>
      <c r="IP2" s="83"/>
      <c r="IQ2" s="83"/>
      <c r="IR2" s="83"/>
      <c r="IS2" s="83"/>
      <c r="IT2" s="83"/>
      <c r="IU2" s="83"/>
      <c r="IV2" s="83"/>
      <c r="IW2" s="83"/>
      <c r="IX2" s="83"/>
      <c r="IY2" s="83"/>
      <c r="IZ2" s="83"/>
      <c r="JA2" s="83"/>
      <c r="JB2" s="83"/>
      <c r="JC2" s="83"/>
      <c r="JD2" s="83"/>
      <c r="JE2" s="83"/>
      <c r="JF2" s="83"/>
      <c r="JG2" s="83"/>
      <c r="JH2" s="83"/>
      <c r="JI2" s="83"/>
      <c r="JJ2" s="83"/>
      <c r="JK2" s="83"/>
      <c r="JP2" s="30" t="s">
        <v>338</v>
      </c>
      <c r="KB2" s="121" t="s">
        <v>477</v>
      </c>
      <c r="KF2" s="30" t="s">
        <v>338</v>
      </c>
      <c r="KR2" s="121" t="s">
        <v>477</v>
      </c>
      <c r="KS2">
        <v>2</v>
      </c>
      <c r="KT2" t="s">
        <v>581</v>
      </c>
      <c r="PO2" s="560" t="s">
        <v>623</v>
      </c>
      <c r="PP2" s="563" t="s">
        <v>629</v>
      </c>
      <c r="PQ2" s="563" t="s">
        <v>631</v>
      </c>
    </row>
    <row r="3" spans="1:433" ht="24" x14ac:dyDescent="0.2">
      <c r="A3" s="6" t="s">
        <v>424</v>
      </c>
      <c r="B3" s="82"/>
      <c r="C3" s="6"/>
      <c r="D3" s="584">
        <f>Jaticempaka!D3</f>
        <v>44201</v>
      </c>
      <c r="E3" s="585"/>
      <c r="F3" s="7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7"/>
      <c r="S3" s="7"/>
      <c r="T3" s="7"/>
      <c r="U3" s="7"/>
      <c r="V3" s="10"/>
      <c r="W3" s="10"/>
      <c r="X3" s="10"/>
      <c r="Y3" s="10"/>
      <c r="Z3" s="7"/>
      <c r="AA3" s="7"/>
      <c r="AB3" s="7"/>
      <c r="AC3" s="7"/>
      <c r="AD3" s="7"/>
      <c r="AE3" s="7"/>
      <c r="AF3" s="33"/>
      <c r="AG3" s="33"/>
      <c r="BF3" s="33"/>
      <c r="BG3" s="36"/>
      <c r="BH3" s="36"/>
      <c r="BN3" s="46" t="s">
        <v>336</v>
      </c>
      <c r="BO3" s="529" t="s">
        <v>337</v>
      </c>
      <c r="BP3" s="529"/>
      <c r="BQ3" s="529"/>
      <c r="BR3" s="529"/>
      <c r="BS3" s="529"/>
      <c r="BT3" s="529"/>
      <c r="BU3" s="529"/>
      <c r="BV3" s="529"/>
      <c r="BW3" s="529"/>
      <c r="BX3" s="529"/>
      <c r="BY3" s="529"/>
      <c r="BZ3" s="529"/>
      <c r="CB3" s="30" t="s">
        <v>340</v>
      </c>
      <c r="CD3" s="46"/>
      <c r="CE3" s="529"/>
      <c r="CF3" s="529"/>
      <c r="CG3" s="529"/>
      <c r="CH3" s="529"/>
      <c r="CI3" s="529"/>
      <c r="CJ3" s="529"/>
      <c r="CK3" s="529"/>
      <c r="CL3" s="529"/>
      <c r="CM3" s="529"/>
      <c r="CN3" s="529"/>
      <c r="CO3" s="529"/>
      <c r="CP3" s="529"/>
      <c r="ED3" s="50"/>
      <c r="EE3" s="51"/>
      <c r="EG3" s="533"/>
      <c r="EH3" s="533"/>
      <c r="EI3" s="429"/>
      <c r="EJ3" s="429"/>
      <c r="EK3" s="510" t="s">
        <v>308</v>
      </c>
      <c r="EL3" s="510" t="s">
        <v>501</v>
      </c>
      <c r="EM3" s="510" t="s">
        <v>502</v>
      </c>
      <c r="EN3" s="510" t="s">
        <v>503</v>
      </c>
      <c r="EO3" s="510"/>
      <c r="EP3" s="510"/>
      <c r="EQ3" s="429"/>
      <c r="ER3" s="429"/>
      <c r="ES3" s="429"/>
      <c r="ET3" s="429"/>
      <c r="EU3" s="429"/>
      <c r="EV3" s="429"/>
      <c r="EW3" s="510" t="s">
        <v>504</v>
      </c>
      <c r="EX3" s="510" t="s">
        <v>309</v>
      </c>
      <c r="EY3" s="510" t="s">
        <v>505</v>
      </c>
      <c r="EZ3" s="429"/>
      <c r="FA3" s="429"/>
      <c r="FB3" s="429"/>
      <c r="FC3" s="429"/>
      <c r="FD3" s="429"/>
      <c r="FE3" s="429"/>
      <c r="FF3" s="429"/>
      <c r="FH3" s="429"/>
      <c r="FI3" s="429"/>
      <c r="FJ3" s="429"/>
      <c r="FK3" s="429"/>
      <c r="FL3" s="429"/>
      <c r="FM3" s="429"/>
      <c r="FN3" s="429"/>
      <c r="FO3" s="429"/>
      <c r="FP3" s="429"/>
      <c r="FQ3" s="429"/>
      <c r="FR3" s="429"/>
      <c r="FS3" s="429"/>
      <c r="FT3" s="429"/>
      <c r="FU3" s="429"/>
      <c r="FV3" s="429"/>
      <c r="GU3" s="85">
        <v>43243</v>
      </c>
      <c r="GX3" s="519" t="s">
        <v>427</v>
      </c>
      <c r="GY3" s="520"/>
      <c r="GZ3" s="86"/>
      <c r="HA3" s="83"/>
      <c r="HB3" s="83"/>
      <c r="HC3" s="86"/>
      <c r="HD3" s="86"/>
      <c r="HE3" s="86"/>
      <c r="HF3" s="82"/>
      <c r="HG3" s="82"/>
      <c r="HH3" s="82" t="s">
        <v>428</v>
      </c>
      <c r="HI3" s="82"/>
      <c r="HJ3" s="86"/>
      <c r="HK3" s="82"/>
      <c r="HL3" s="83"/>
      <c r="HM3" s="83"/>
      <c r="HN3" s="83"/>
      <c r="HO3" s="83"/>
      <c r="HP3" s="86"/>
      <c r="HQ3" s="86"/>
      <c r="HR3" s="86"/>
      <c r="HS3" t="s">
        <v>429</v>
      </c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 t="s">
        <v>430</v>
      </c>
      <c r="II3" s="86"/>
      <c r="IJ3" s="86"/>
      <c r="IK3" s="86"/>
      <c r="IL3" s="86"/>
      <c r="IM3" s="83"/>
      <c r="IN3" s="83"/>
      <c r="IO3" s="83"/>
      <c r="IP3" s="83"/>
      <c r="IQ3" s="83"/>
      <c r="IR3" s="83"/>
      <c r="IS3" s="83"/>
      <c r="IT3" s="83"/>
      <c r="IU3" s="83"/>
      <c r="IV3" s="83"/>
      <c r="IW3" s="83"/>
      <c r="IX3" s="83"/>
      <c r="IY3" s="83"/>
      <c r="IZ3" s="83"/>
      <c r="JA3" s="83"/>
      <c r="JB3" s="83"/>
      <c r="JC3" s="83"/>
      <c r="JD3" s="83"/>
      <c r="JE3" s="83"/>
      <c r="JF3" s="83"/>
      <c r="JG3" s="83"/>
      <c r="JH3" s="83"/>
      <c r="JI3" s="83"/>
      <c r="JJ3" s="83"/>
      <c r="JK3" s="83"/>
      <c r="JP3" s="46" t="s">
        <v>336</v>
      </c>
      <c r="JQ3" s="529" t="s">
        <v>337</v>
      </c>
      <c r="JR3" s="529"/>
      <c r="JS3" s="529"/>
      <c r="JT3" s="529"/>
      <c r="JU3" s="529"/>
      <c r="JV3" s="529"/>
      <c r="JW3" s="529"/>
      <c r="JX3" s="529"/>
      <c r="JY3" s="529"/>
      <c r="JZ3" s="529"/>
      <c r="KA3" s="529"/>
      <c r="KB3" s="529"/>
      <c r="KF3" s="46"/>
      <c r="KG3" s="529"/>
      <c r="KH3" s="529"/>
      <c r="KI3" s="529"/>
      <c r="KJ3" s="529"/>
      <c r="KK3" s="529"/>
      <c r="KL3" s="529"/>
      <c r="KM3" s="529"/>
      <c r="KN3" s="529"/>
      <c r="KO3" s="529"/>
      <c r="KP3" s="529"/>
      <c r="KQ3" s="529"/>
      <c r="KR3" s="529"/>
      <c r="KS3">
        <v>3</v>
      </c>
      <c r="KT3" t="s">
        <v>582</v>
      </c>
      <c r="KU3" s="30" t="s">
        <v>508</v>
      </c>
      <c r="PO3" s="561"/>
      <c r="PP3" s="563"/>
      <c r="PQ3" s="563"/>
    </row>
    <row r="4" spans="1:433" ht="18" customHeight="1" thickBot="1" x14ac:dyDescent="0.25">
      <c r="A4" s="479" t="s">
        <v>1</v>
      </c>
      <c r="B4" s="479" t="s">
        <v>2</v>
      </c>
      <c r="C4" s="479" t="s">
        <v>3</v>
      </c>
      <c r="D4" s="482" t="s">
        <v>4</v>
      </c>
      <c r="E4" s="483"/>
      <c r="F4" s="499" t="s">
        <v>5</v>
      </c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0"/>
      <c r="AA4" s="500"/>
      <c r="AB4" s="500"/>
      <c r="AC4" s="500"/>
      <c r="AD4" s="500"/>
      <c r="AE4" s="501"/>
      <c r="AF4" s="431" t="s">
        <v>298</v>
      </c>
      <c r="AG4" s="432"/>
      <c r="AH4" s="433"/>
      <c r="AI4" s="496" t="s">
        <v>261</v>
      </c>
      <c r="AJ4" s="497"/>
      <c r="AK4" s="498"/>
      <c r="AL4" s="573" t="s">
        <v>292</v>
      </c>
      <c r="AM4" s="574"/>
      <c r="AN4" s="566" t="s">
        <v>312</v>
      </c>
      <c r="AO4" s="489" t="s">
        <v>264</v>
      </c>
      <c r="AP4" s="482"/>
      <c r="AQ4" s="482"/>
      <c r="AR4" s="482"/>
      <c r="AS4" s="482"/>
      <c r="AT4" s="482"/>
      <c r="AU4" s="482"/>
      <c r="AV4" s="482"/>
      <c r="AW4" s="482"/>
      <c r="AX4" s="482"/>
      <c r="AY4" s="482"/>
      <c r="AZ4" s="483"/>
      <c r="BA4" s="586" t="s">
        <v>341</v>
      </c>
      <c r="BB4" s="570" t="s">
        <v>349</v>
      </c>
      <c r="BE4" s="431" t="s">
        <v>298</v>
      </c>
      <c r="BF4" s="432"/>
      <c r="BG4" s="432"/>
      <c r="BH4" s="432"/>
      <c r="BI4" s="432"/>
      <c r="BJ4" s="432"/>
      <c r="BK4" s="433"/>
      <c r="BN4" s="400" t="s">
        <v>319</v>
      </c>
      <c r="BO4" s="397" t="s">
        <v>320</v>
      </c>
      <c r="BP4" s="468" t="s">
        <v>321</v>
      </c>
      <c r="BQ4" s="468"/>
      <c r="BR4" s="468"/>
      <c r="BS4" s="468"/>
      <c r="BT4" s="468"/>
      <c r="BU4" s="468"/>
      <c r="BV4" s="468"/>
      <c r="BW4" s="468"/>
      <c r="BX4" s="468"/>
      <c r="BY4" s="468"/>
      <c r="BZ4" s="468"/>
      <c r="CB4" s="469" t="s">
        <v>339</v>
      </c>
      <c r="CD4" s="400" t="s">
        <v>319</v>
      </c>
      <c r="CE4" s="397" t="s">
        <v>320</v>
      </c>
      <c r="CF4" s="468" t="s">
        <v>321</v>
      </c>
      <c r="CG4" s="468"/>
      <c r="CH4" s="468"/>
      <c r="CI4" s="468"/>
      <c r="CJ4" s="468"/>
      <c r="CK4" s="468"/>
      <c r="CL4" s="468"/>
      <c r="CM4" s="468"/>
      <c r="CN4" s="468"/>
      <c r="CO4" s="468"/>
      <c r="CP4" s="468"/>
      <c r="DV4" s="513" t="s">
        <v>350</v>
      </c>
      <c r="DW4" s="514"/>
      <c r="DX4" s="514"/>
      <c r="DY4" s="514"/>
      <c r="DZ4" s="514"/>
      <c r="EA4" s="514"/>
      <c r="EB4" s="515"/>
      <c r="ED4" s="50"/>
      <c r="EE4" s="51"/>
      <c r="EG4" s="533"/>
      <c r="EH4" s="533"/>
      <c r="EI4" s="429"/>
      <c r="EJ4" s="429"/>
      <c r="EK4" s="511"/>
      <c r="EL4" s="511"/>
      <c r="EM4" s="511"/>
      <c r="EN4" s="511"/>
      <c r="EO4" s="511"/>
      <c r="EP4" s="511"/>
      <c r="EQ4" s="429"/>
      <c r="ER4" s="429"/>
      <c r="ES4" s="429"/>
      <c r="ET4" s="429"/>
      <c r="EU4" s="429"/>
      <c r="EV4" s="429"/>
      <c r="EW4" s="511"/>
      <c r="EX4" s="511"/>
      <c r="EY4" s="511"/>
      <c r="EZ4" s="429"/>
      <c r="FA4" s="429"/>
      <c r="FB4" s="429"/>
      <c r="FC4" s="429"/>
      <c r="FD4" s="429"/>
      <c r="FE4" s="429"/>
      <c r="FF4" s="429"/>
      <c r="FH4" s="429"/>
      <c r="FI4" s="429"/>
      <c r="FJ4" s="429"/>
      <c r="FK4" s="429"/>
      <c r="FL4" s="429"/>
      <c r="FM4" s="429"/>
      <c r="FN4" s="429"/>
      <c r="FO4" s="429"/>
      <c r="FP4" s="429"/>
      <c r="FQ4" s="429"/>
      <c r="FR4" s="429"/>
      <c r="FS4" s="429"/>
      <c r="FT4" s="429"/>
      <c r="FU4" s="429"/>
      <c r="FV4" s="429"/>
      <c r="FX4" s="365" t="s">
        <v>624</v>
      </c>
      <c r="FY4" s="412" t="s">
        <v>319</v>
      </c>
      <c r="FZ4" s="397" t="s">
        <v>320</v>
      </c>
      <c r="GA4" s="397" t="s">
        <v>378</v>
      </c>
      <c r="GB4" s="397" t="s">
        <v>379</v>
      </c>
      <c r="GC4" s="397" t="s">
        <v>380</v>
      </c>
      <c r="GD4" s="397" t="s">
        <v>381</v>
      </c>
      <c r="GE4" s="397" t="s">
        <v>382</v>
      </c>
      <c r="GF4" s="27"/>
      <c r="GG4" s="397" t="s">
        <v>383</v>
      </c>
      <c r="GH4" s="397" t="s">
        <v>384</v>
      </c>
      <c r="GI4" s="27"/>
      <c r="GJ4" s="397" t="s">
        <v>385</v>
      </c>
      <c r="GK4" s="397" t="s">
        <v>386</v>
      </c>
      <c r="GO4" s="521" t="s">
        <v>431</v>
      </c>
      <c r="GP4" s="522"/>
      <c r="GQ4" s="522"/>
      <c r="GR4" s="522"/>
      <c r="GS4" s="522"/>
      <c r="GT4" s="523"/>
      <c r="GU4" s="87" t="s">
        <v>432</v>
      </c>
      <c r="GV4" s="521" t="s">
        <v>433</v>
      </c>
      <c r="GW4" s="523"/>
      <c r="GX4" s="88" t="s">
        <v>434</v>
      </c>
      <c r="GY4" s="89">
        <f>Jaticempaka!GY4</f>
        <v>20</v>
      </c>
      <c r="GZ4" s="423"/>
      <c r="HA4" s="83"/>
      <c r="HB4" s="83"/>
      <c r="HC4" s="426" t="s">
        <v>436</v>
      </c>
      <c r="HD4" s="427"/>
      <c r="HE4" s="427"/>
      <c r="HF4" s="427"/>
      <c r="HG4" s="427"/>
      <c r="HH4" s="427"/>
      <c r="HI4" s="428"/>
      <c r="HJ4" s="90"/>
      <c r="HK4" s="398" t="s">
        <v>437</v>
      </c>
      <c r="HL4" s="83"/>
      <c r="HM4" s="83"/>
      <c r="HN4" s="83"/>
      <c r="HO4" s="83"/>
      <c r="HS4" t="s">
        <v>438</v>
      </c>
      <c r="IM4" s="83"/>
      <c r="IN4" s="83"/>
      <c r="IO4" s="83"/>
      <c r="IP4" s="83"/>
      <c r="IQ4" s="83"/>
      <c r="IR4" s="83"/>
      <c r="IS4" s="83"/>
      <c r="IT4" s="83"/>
      <c r="IU4" s="83"/>
      <c r="IV4" s="83"/>
      <c r="IW4" s="83"/>
      <c r="IX4" s="83"/>
      <c r="IY4" s="83"/>
      <c r="IZ4" s="83"/>
      <c r="JA4" s="83"/>
      <c r="JB4" s="83"/>
      <c r="JC4" s="83"/>
      <c r="JD4" s="83"/>
      <c r="JE4" s="83"/>
      <c r="JF4" s="83"/>
      <c r="JG4" s="83"/>
      <c r="JH4" s="83"/>
      <c r="JI4" s="83"/>
      <c r="JJ4" s="83"/>
      <c r="JK4" s="83"/>
      <c r="JP4" s="400" t="s">
        <v>319</v>
      </c>
      <c r="JQ4" s="397" t="s">
        <v>320</v>
      </c>
      <c r="JR4" s="468" t="s">
        <v>321</v>
      </c>
      <c r="JS4" s="468"/>
      <c r="JT4" s="468"/>
      <c r="JU4" s="468"/>
      <c r="JV4" s="468"/>
      <c r="JW4" s="468"/>
      <c r="JX4" s="468"/>
      <c r="JY4" s="468"/>
      <c r="JZ4" s="468"/>
      <c r="KA4" s="468"/>
      <c r="KB4" s="468"/>
      <c r="KD4" s="400" t="s">
        <v>626</v>
      </c>
      <c r="KE4" s="400" t="s">
        <v>627</v>
      </c>
      <c r="KF4" s="400" t="s">
        <v>319</v>
      </c>
      <c r="KG4" s="397" t="s">
        <v>320</v>
      </c>
      <c r="KH4" s="468" t="s">
        <v>321</v>
      </c>
      <c r="KI4" s="468"/>
      <c r="KJ4" s="468"/>
      <c r="KK4" s="468"/>
      <c r="KL4" s="468"/>
      <c r="KM4" s="468"/>
      <c r="KN4" s="468"/>
      <c r="KO4" s="468"/>
      <c r="KP4" s="468"/>
      <c r="KQ4" s="468"/>
      <c r="KR4" s="468"/>
      <c r="KS4">
        <v>4</v>
      </c>
      <c r="KT4" t="s">
        <v>583</v>
      </c>
      <c r="LF4">
        <v>1</v>
      </c>
      <c r="LM4">
        <v>2</v>
      </c>
      <c r="LT4">
        <v>3</v>
      </c>
      <c r="MA4">
        <v>4</v>
      </c>
      <c r="MK4">
        <v>5</v>
      </c>
      <c r="MP4">
        <v>6</v>
      </c>
      <c r="MX4">
        <v>7</v>
      </c>
      <c r="NZ4" s="341" t="s">
        <v>592</v>
      </c>
      <c r="PO4" s="561"/>
      <c r="PP4" s="563"/>
      <c r="PQ4" s="563"/>
    </row>
    <row r="5" spans="1:433" ht="15.5" customHeight="1" x14ac:dyDescent="0.2">
      <c r="A5" s="480"/>
      <c r="B5" s="480"/>
      <c r="C5" s="480"/>
      <c r="D5" s="484"/>
      <c r="E5" s="485"/>
      <c r="F5" s="493" t="s">
        <v>6</v>
      </c>
      <c r="G5" s="493"/>
      <c r="H5" s="493"/>
      <c r="I5" s="493"/>
      <c r="J5" s="496" t="s">
        <v>283</v>
      </c>
      <c r="K5" s="497" t="s">
        <v>283</v>
      </c>
      <c r="L5" s="497" t="s">
        <v>283</v>
      </c>
      <c r="M5" s="497" t="s">
        <v>283</v>
      </c>
      <c r="N5" s="497" t="s">
        <v>283</v>
      </c>
      <c r="O5" s="497" t="s">
        <v>283</v>
      </c>
      <c r="P5" s="497" t="s">
        <v>283</v>
      </c>
      <c r="Q5" s="498" t="s">
        <v>283</v>
      </c>
      <c r="R5" s="493" t="s">
        <v>8</v>
      </c>
      <c r="S5" s="493"/>
      <c r="T5" s="493"/>
      <c r="U5" s="493"/>
      <c r="V5" s="493" t="s">
        <v>9</v>
      </c>
      <c r="W5" s="493"/>
      <c r="X5" s="493"/>
      <c r="Y5" s="493"/>
      <c r="Z5" s="493"/>
      <c r="AA5" s="502" t="s">
        <v>396</v>
      </c>
      <c r="AB5" s="502"/>
      <c r="AC5" s="502"/>
      <c r="AD5" s="502"/>
      <c r="AE5" s="502"/>
      <c r="AF5" s="434"/>
      <c r="AG5" s="435"/>
      <c r="AH5" s="436"/>
      <c r="AI5" s="489" t="s">
        <v>262</v>
      </c>
      <c r="AJ5" s="482"/>
      <c r="AK5" s="483"/>
      <c r="AL5" s="575"/>
      <c r="AM5" s="576"/>
      <c r="AN5" s="567"/>
      <c r="AO5" s="489" t="s">
        <v>10</v>
      </c>
      <c r="AP5" s="483"/>
      <c r="AQ5" s="489" t="s">
        <v>284</v>
      </c>
      <c r="AR5" s="483"/>
      <c r="AS5" s="489" t="s">
        <v>7</v>
      </c>
      <c r="AT5" s="483"/>
      <c r="AU5" s="489" t="s">
        <v>265</v>
      </c>
      <c r="AV5" s="483"/>
      <c r="AW5" s="489" t="s">
        <v>9</v>
      </c>
      <c r="AX5" s="483"/>
      <c r="AY5" s="489" t="s">
        <v>266</v>
      </c>
      <c r="AZ5" s="483"/>
      <c r="BA5" s="587"/>
      <c r="BB5" s="571"/>
      <c r="BE5" s="434"/>
      <c r="BF5" s="435"/>
      <c r="BG5" s="435"/>
      <c r="BH5" s="435"/>
      <c r="BI5" s="435"/>
      <c r="BJ5" s="435"/>
      <c r="BK5" s="436"/>
      <c r="BN5" s="400"/>
      <c r="BO5" s="397"/>
      <c r="BP5" s="472" t="s">
        <v>315</v>
      </c>
      <c r="BQ5" s="472"/>
      <c r="BR5" s="472"/>
      <c r="BS5" s="472"/>
      <c r="BT5" s="472"/>
      <c r="BU5" s="472"/>
      <c r="BV5" s="472"/>
      <c r="BW5" s="472" t="s">
        <v>330</v>
      </c>
      <c r="BX5" s="472"/>
      <c r="BY5" s="472"/>
      <c r="BZ5" s="472"/>
      <c r="CB5" s="470"/>
      <c r="CD5" s="400"/>
      <c r="CE5" s="397"/>
      <c r="CF5" s="472" t="s">
        <v>315</v>
      </c>
      <c r="CG5" s="472"/>
      <c r="CH5" s="472"/>
      <c r="CI5" s="472"/>
      <c r="CJ5" s="472"/>
      <c r="CK5" s="472"/>
      <c r="CL5" s="472"/>
      <c r="CM5" s="472" t="s">
        <v>330</v>
      </c>
      <c r="CN5" s="472"/>
      <c r="CO5" s="472"/>
      <c r="CP5" s="472"/>
      <c r="DV5" s="516"/>
      <c r="DW5" s="517"/>
      <c r="DX5" s="517"/>
      <c r="DY5" s="517"/>
      <c r="DZ5" s="517"/>
      <c r="EA5" s="517"/>
      <c r="EB5" s="518"/>
      <c r="ED5" s="52" t="s">
        <v>361</v>
      </c>
      <c r="EE5" s="51"/>
      <c r="EG5" s="533"/>
      <c r="EH5" s="533"/>
      <c r="EI5" s="429"/>
      <c r="EJ5" s="429"/>
      <c r="EK5" s="511"/>
      <c r="EL5" s="511"/>
      <c r="EM5" s="511"/>
      <c r="EN5" s="511"/>
      <c r="EO5" s="511"/>
      <c r="EP5" s="511"/>
      <c r="EQ5" s="429"/>
      <c r="ER5" s="429"/>
      <c r="ES5" s="429"/>
      <c r="ET5" s="429"/>
      <c r="EU5" s="429"/>
      <c r="EV5" s="429"/>
      <c r="EW5" s="511"/>
      <c r="EX5" s="511"/>
      <c r="EY5" s="511"/>
      <c r="EZ5" s="429"/>
      <c r="FA5" s="429"/>
      <c r="FB5" s="429"/>
      <c r="FC5" s="429"/>
      <c r="FD5" s="429"/>
      <c r="FE5" s="429"/>
      <c r="FF5" s="429"/>
      <c r="FH5" s="429"/>
      <c r="FI5" s="429"/>
      <c r="FJ5" s="429"/>
      <c r="FK5" s="429"/>
      <c r="FL5" s="429"/>
      <c r="FM5" s="429"/>
      <c r="FN5" s="429"/>
      <c r="FO5" s="429"/>
      <c r="FP5" s="429"/>
      <c r="FQ5" s="429"/>
      <c r="FR5" s="429"/>
      <c r="FS5" s="429"/>
      <c r="FT5" s="429"/>
      <c r="FU5" s="429"/>
      <c r="FV5" s="429"/>
      <c r="FX5" s="366"/>
      <c r="FY5" s="413"/>
      <c r="FZ5" s="397"/>
      <c r="GA5" s="397"/>
      <c r="GB5" s="397"/>
      <c r="GC5" s="397"/>
      <c r="GD5" s="397"/>
      <c r="GE5" s="397"/>
      <c r="GF5" s="27"/>
      <c r="GG5" s="397"/>
      <c r="GH5" s="397"/>
      <c r="GI5" s="27"/>
      <c r="GJ5" s="397"/>
      <c r="GK5" s="397"/>
      <c r="GO5" s="524"/>
      <c r="GP5" s="525"/>
      <c r="GQ5" s="525"/>
      <c r="GR5" s="525"/>
      <c r="GS5" s="525"/>
      <c r="GT5" s="526"/>
      <c r="GU5" s="91" t="s">
        <v>439</v>
      </c>
      <c r="GV5" s="524"/>
      <c r="GW5" s="526"/>
      <c r="GX5" s="92" t="s">
        <v>440</v>
      </c>
      <c r="GY5" s="93">
        <f>Jaticempaka!GY5</f>
        <v>20</v>
      </c>
      <c r="GZ5" s="424"/>
      <c r="HA5" s="83"/>
      <c r="HB5" s="83"/>
      <c r="HC5" s="399" t="s">
        <v>441</v>
      </c>
      <c r="HD5" s="399" t="s">
        <v>442</v>
      </c>
      <c r="HE5" s="399" t="s">
        <v>18</v>
      </c>
      <c r="HF5" s="399" t="s">
        <v>443</v>
      </c>
      <c r="HG5" s="399" t="s">
        <v>444</v>
      </c>
      <c r="HH5" s="398" t="s">
        <v>445</v>
      </c>
      <c r="HI5" s="398" t="s">
        <v>446</v>
      </c>
      <c r="HJ5" s="90"/>
      <c r="HK5" s="399"/>
      <c r="HL5" s="83"/>
      <c r="HM5" s="83"/>
      <c r="HN5" s="83"/>
      <c r="HO5" s="83"/>
      <c r="HP5">
        <v>1</v>
      </c>
      <c r="HS5" s="94">
        <v>2</v>
      </c>
      <c r="HV5">
        <v>3</v>
      </c>
      <c r="HY5">
        <v>4</v>
      </c>
      <c r="IB5">
        <v>5</v>
      </c>
      <c r="IE5">
        <v>6</v>
      </c>
      <c r="IH5">
        <v>7</v>
      </c>
      <c r="IK5">
        <v>8</v>
      </c>
      <c r="IM5" s="83"/>
      <c r="IN5" s="83"/>
      <c r="IO5" s="83"/>
      <c r="IP5" s="83"/>
      <c r="IQ5" s="83"/>
      <c r="IR5" s="83"/>
      <c r="IS5" s="83"/>
      <c r="IT5" s="83"/>
      <c r="IU5" s="83"/>
      <c r="IV5" s="83"/>
      <c r="IW5" s="83"/>
      <c r="IX5" s="83"/>
      <c r="IY5" s="83"/>
      <c r="IZ5" s="83"/>
      <c r="JA5" s="83"/>
      <c r="JB5" s="83"/>
      <c r="JC5" s="83"/>
      <c r="JD5" s="83"/>
      <c r="JE5" s="83"/>
      <c r="JF5" s="83"/>
      <c r="JG5" s="83"/>
      <c r="JH5" s="83"/>
      <c r="JI5" s="83"/>
      <c r="JJ5" s="83"/>
      <c r="JK5" s="83"/>
      <c r="JP5" s="400"/>
      <c r="JQ5" s="397"/>
      <c r="JR5" s="472" t="s">
        <v>315</v>
      </c>
      <c r="JS5" s="472"/>
      <c r="JT5" s="472"/>
      <c r="JU5" s="472"/>
      <c r="JV5" s="472"/>
      <c r="JW5" s="472"/>
      <c r="JX5" s="472"/>
      <c r="JY5" s="472" t="s">
        <v>330</v>
      </c>
      <c r="JZ5" s="472"/>
      <c r="KA5" s="472"/>
      <c r="KB5" s="472"/>
      <c r="KD5" s="400"/>
      <c r="KE5" s="400"/>
      <c r="KF5" s="400"/>
      <c r="KG5" s="397"/>
      <c r="KH5" s="472" t="s">
        <v>315</v>
      </c>
      <c r="KI5" s="472"/>
      <c r="KJ5" s="472"/>
      <c r="KK5" s="472"/>
      <c r="KL5" s="472"/>
      <c r="KM5" s="472"/>
      <c r="KN5" s="472"/>
      <c r="KO5" s="472" t="s">
        <v>330</v>
      </c>
      <c r="KP5" s="472"/>
      <c r="KQ5" s="472"/>
      <c r="KR5" s="472"/>
      <c r="KS5">
        <v>5</v>
      </c>
      <c r="KT5" t="s">
        <v>519</v>
      </c>
      <c r="KU5" s="534" t="s">
        <v>509</v>
      </c>
      <c r="KV5" s="534" t="s">
        <v>510</v>
      </c>
      <c r="KW5" s="536" t="s">
        <v>11</v>
      </c>
      <c r="KX5" s="537" t="s">
        <v>511</v>
      </c>
      <c r="KY5" s="537" t="s">
        <v>434</v>
      </c>
      <c r="KZ5" s="540" t="s">
        <v>512</v>
      </c>
      <c r="LA5" s="540"/>
      <c r="LB5" s="540" t="s">
        <v>513</v>
      </c>
      <c r="LC5" s="540"/>
      <c r="LD5" s="541" t="s">
        <v>514</v>
      </c>
      <c r="LE5" s="541"/>
      <c r="LF5" s="544" t="s">
        <v>515</v>
      </c>
      <c r="LG5" s="544"/>
      <c r="LH5" s="544"/>
      <c r="LI5" s="544"/>
      <c r="LJ5" s="544"/>
      <c r="LK5" s="544"/>
      <c r="LL5" s="544"/>
      <c r="LM5" s="547" t="s">
        <v>516</v>
      </c>
      <c r="LN5" s="547"/>
      <c r="LO5" s="547"/>
      <c r="LP5" s="547"/>
      <c r="LQ5" s="547"/>
      <c r="LR5" s="547"/>
      <c r="LS5" s="547"/>
      <c r="LT5" s="548" t="s">
        <v>517</v>
      </c>
      <c r="LU5" s="548"/>
      <c r="LV5" s="548"/>
      <c r="LW5" s="548"/>
      <c r="LX5" s="548"/>
      <c r="LY5" s="548"/>
      <c r="LZ5" s="548"/>
      <c r="MA5" s="549" t="s">
        <v>518</v>
      </c>
      <c r="MB5" s="549"/>
      <c r="MC5" s="549"/>
      <c r="MD5" s="549"/>
      <c r="ME5" s="549"/>
      <c r="MF5" s="549"/>
      <c r="MG5" s="549"/>
      <c r="MH5" s="549"/>
      <c r="MI5" s="549"/>
      <c r="MJ5" s="549"/>
      <c r="MK5" s="550" t="s">
        <v>519</v>
      </c>
      <c r="ML5" s="551"/>
      <c r="MM5" s="551"/>
      <c r="MN5" s="551"/>
      <c r="MO5" s="552"/>
      <c r="MP5" s="372" t="s">
        <v>520</v>
      </c>
      <c r="MQ5" s="373"/>
      <c r="MR5" s="373"/>
      <c r="MS5" s="373"/>
      <c r="MT5" s="373"/>
      <c r="MU5" s="373"/>
      <c r="MV5" s="373"/>
      <c r="MW5" s="374"/>
      <c r="MX5" s="375" t="s">
        <v>575</v>
      </c>
      <c r="MY5" s="376"/>
      <c r="MZ5" s="376"/>
      <c r="NA5" s="376"/>
      <c r="NB5" s="377"/>
      <c r="NC5" s="378" t="s">
        <v>521</v>
      </c>
      <c r="ND5" s="379"/>
      <c r="NE5" s="380"/>
      <c r="NF5" s="384" t="s">
        <v>522</v>
      </c>
      <c r="NG5" s="385"/>
      <c r="NH5" s="385"/>
      <c r="NI5" s="386"/>
      <c r="NJ5" s="350" t="s">
        <v>523</v>
      </c>
      <c r="NK5" s="370" t="s">
        <v>524</v>
      </c>
      <c r="NZ5" s="341"/>
      <c r="OE5" s="340" t="s">
        <v>596</v>
      </c>
      <c r="OF5" s="340" t="s">
        <v>597</v>
      </c>
      <c r="OG5" s="340" t="s">
        <v>457</v>
      </c>
      <c r="OH5" s="340" t="s">
        <v>303</v>
      </c>
      <c r="OI5" s="340" t="s">
        <v>598</v>
      </c>
      <c r="OJ5" s="340" t="s">
        <v>599</v>
      </c>
      <c r="OK5" s="340" t="s">
        <v>600</v>
      </c>
      <c r="OL5" s="340" t="s">
        <v>601</v>
      </c>
      <c r="OM5" s="340" t="s">
        <v>602</v>
      </c>
      <c r="OO5" s="340" t="s">
        <v>596</v>
      </c>
      <c r="OP5" s="340" t="s">
        <v>597</v>
      </c>
      <c r="OQ5" s="340" t="s">
        <v>457</v>
      </c>
      <c r="OR5" s="340" t="s">
        <v>303</v>
      </c>
      <c r="OS5" s="340" t="s">
        <v>598</v>
      </c>
      <c r="OT5" s="340" t="s">
        <v>599</v>
      </c>
      <c r="OU5" s="340" t="s">
        <v>600</v>
      </c>
      <c r="OV5" s="340" t="s">
        <v>601</v>
      </c>
      <c r="OW5" s="340" t="s">
        <v>602</v>
      </c>
      <c r="PA5" s="529" t="s">
        <v>617</v>
      </c>
      <c r="PB5" s="529"/>
      <c r="PC5" s="529"/>
      <c r="PD5" s="529"/>
      <c r="PE5" s="529"/>
      <c r="PF5" s="529"/>
      <c r="PG5" s="529"/>
      <c r="PH5" s="529"/>
      <c r="PI5" s="529"/>
      <c r="PJ5" s="529"/>
      <c r="PK5" s="529"/>
      <c r="PL5" s="529"/>
      <c r="PO5" s="561"/>
      <c r="PP5" s="563"/>
      <c r="PQ5" s="563"/>
    </row>
    <row r="6" spans="1:433" ht="14.75" customHeight="1" x14ac:dyDescent="0.2">
      <c r="A6" s="480"/>
      <c r="B6" s="480"/>
      <c r="C6" s="480"/>
      <c r="D6" s="484"/>
      <c r="E6" s="485"/>
      <c r="F6" s="494"/>
      <c r="G6" s="494"/>
      <c r="H6" s="494"/>
      <c r="I6" s="494"/>
      <c r="J6" s="489" t="s">
        <v>284</v>
      </c>
      <c r="K6" s="482" t="s">
        <v>284</v>
      </c>
      <c r="L6" s="482" t="s">
        <v>284</v>
      </c>
      <c r="M6" s="483" t="s">
        <v>284</v>
      </c>
      <c r="N6" s="489" t="s">
        <v>7</v>
      </c>
      <c r="O6" s="482" t="s">
        <v>285</v>
      </c>
      <c r="P6" s="482" t="s">
        <v>285</v>
      </c>
      <c r="Q6" s="483" t="s">
        <v>285</v>
      </c>
      <c r="R6" s="494"/>
      <c r="S6" s="494"/>
      <c r="T6" s="494"/>
      <c r="U6" s="494"/>
      <c r="V6" s="494"/>
      <c r="W6" s="494"/>
      <c r="X6" s="494"/>
      <c r="Y6" s="494"/>
      <c r="Z6" s="494"/>
      <c r="AA6" s="503"/>
      <c r="AB6" s="503"/>
      <c r="AC6" s="503"/>
      <c r="AD6" s="503"/>
      <c r="AE6" s="503"/>
      <c r="AF6" s="454" t="s">
        <v>11</v>
      </c>
      <c r="AG6" s="457" t="s">
        <v>311</v>
      </c>
      <c r="AH6" s="486" t="s">
        <v>293</v>
      </c>
      <c r="AI6" s="569"/>
      <c r="AJ6" s="484"/>
      <c r="AK6" s="485"/>
      <c r="AL6" s="577" t="s">
        <v>265</v>
      </c>
      <c r="AM6" s="580" t="s">
        <v>9</v>
      </c>
      <c r="AN6" s="567"/>
      <c r="AO6" s="490"/>
      <c r="AP6" s="492"/>
      <c r="AQ6" s="490"/>
      <c r="AR6" s="492"/>
      <c r="AS6" s="490"/>
      <c r="AT6" s="492"/>
      <c r="AU6" s="490"/>
      <c r="AV6" s="492"/>
      <c r="AW6" s="490"/>
      <c r="AX6" s="492"/>
      <c r="AY6" s="490"/>
      <c r="AZ6" s="492"/>
      <c r="BA6" s="587"/>
      <c r="BB6" s="571"/>
      <c r="BE6" s="454" t="s">
        <v>11</v>
      </c>
      <c r="BF6" s="457" t="s">
        <v>306</v>
      </c>
      <c r="BG6" s="457" t="s">
        <v>307</v>
      </c>
      <c r="BH6" s="457" t="s">
        <v>308</v>
      </c>
      <c r="BI6" s="457" t="s">
        <v>309</v>
      </c>
      <c r="BJ6" s="457"/>
      <c r="BK6" s="457" t="s">
        <v>310</v>
      </c>
      <c r="BN6" s="400"/>
      <c r="BO6" s="397"/>
      <c r="BP6" s="472" t="s">
        <v>316</v>
      </c>
      <c r="BQ6" s="472"/>
      <c r="BR6" s="472"/>
      <c r="BS6" s="472"/>
      <c r="BT6" s="472"/>
      <c r="BU6" s="473" t="s">
        <v>325</v>
      </c>
      <c r="BV6" s="474"/>
      <c r="BW6" s="475" t="s">
        <v>331</v>
      </c>
      <c r="BX6" s="472" t="s">
        <v>332</v>
      </c>
      <c r="BY6" s="472"/>
      <c r="BZ6" s="472"/>
      <c r="CB6" s="470"/>
      <c r="CD6" s="400"/>
      <c r="CE6" s="397"/>
      <c r="CF6" s="472" t="s">
        <v>316</v>
      </c>
      <c r="CG6" s="472"/>
      <c r="CH6" s="472"/>
      <c r="CI6" s="472"/>
      <c r="CJ6" s="472"/>
      <c r="CK6" s="473" t="s">
        <v>325</v>
      </c>
      <c r="CL6" s="474"/>
      <c r="CM6" s="475" t="s">
        <v>331</v>
      </c>
      <c r="CN6" s="472" t="s">
        <v>332</v>
      </c>
      <c r="CO6" s="472"/>
      <c r="CP6" s="472"/>
      <c r="DV6" s="530" t="s">
        <v>11</v>
      </c>
      <c r="DW6" s="476" t="s">
        <v>300</v>
      </c>
      <c r="DX6" s="476" t="s">
        <v>301</v>
      </c>
      <c r="DY6" s="476" t="s">
        <v>343</v>
      </c>
      <c r="DZ6" s="476" t="s">
        <v>302</v>
      </c>
      <c r="EA6" s="476" t="s">
        <v>351</v>
      </c>
      <c r="EB6" s="476" t="s">
        <v>18</v>
      </c>
      <c r="ED6" s="50"/>
      <c r="EE6" s="51"/>
      <c r="EG6" s="533"/>
      <c r="EH6" s="533"/>
      <c r="EI6" s="429"/>
      <c r="EJ6" s="429"/>
      <c r="EK6" s="511"/>
      <c r="EL6" s="511"/>
      <c r="EM6" s="511"/>
      <c r="EN6" s="511"/>
      <c r="EO6" s="511"/>
      <c r="EP6" s="511"/>
      <c r="EQ6" s="429"/>
      <c r="ER6" s="429"/>
      <c r="ES6" s="429"/>
      <c r="ET6" s="429"/>
      <c r="EU6" s="429"/>
      <c r="EV6" s="429"/>
      <c r="EW6" s="511"/>
      <c r="EX6" s="511"/>
      <c r="EY6" s="511"/>
      <c r="EZ6" s="429"/>
      <c r="FA6" s="429"/>
      <c r="FB6" s="429"/>
      <c r="FC6" s="429"/>
      <c r="FD6" s="429"/>
      <c r="FE6" s="429"/>
      <c r="FF6" s="429"/>
      <c r="FH6" s="429"/>
      <c r="FI6" s="429"/>
      <c r="FJ6" s="429"/>
      <c r="FK6" s="429"/>
      <c r="FL6" s="429"/>
      <c r="FM6" s="429"/>
      <c r="FN6" s="429"/>
      <c r="FO6" s="429"/>
      <c r="FP6" s="429"/>
      <c r="FQ6" s="429"/>
      <c r="FR6" s="429"/>
      <c r="FS6" s="429"/>
      <c r="FT6" s="429"/>
      <c r="FU6" s="429"/>
      <c r="FV6" s="429"/>
      <c r="FX6" s="366"/>
      <c r="FY6" s="413"/>
      <c r="FZ6" s="397"/>
      <c r="GA6" s="397"/>
      <c r="GB6" s="397"/>
      <c r="GC6" s="397"/>
      <c r="GD6" s="397"/>
      <c r="GE6" s="397"/>
      <c r="GF6" s="27"/>
      <c r="GG6" s="397"/>
      <c r="GH6" s="397"/>
      <c r="GI6" s="27"/>
      <c r="GJ6" s="397"/>
      <c r="GK6" s="397"/>
      <c r="GO6" s="423" t="s">
        <v>434</v>
      </c>
      <c r="GP6" s="423" t="s">
        <v>440</v>
      </c>
      <c r="GQ6" s="423" t="s">
        <v>7</v>
      </c>
      <c r="GR6" s="423" t="s">
        <v>265</v>
      </c>
      <c r="GS6" s="423" t="s">
        <v>447</v>
      </c>
      <c r="GT6" s="423" t="s">
        <v>448</v>
      </c>
      <c r="GU6" s="91"/>
      <c r="GV6" s="527"/>
      <c r="GW6" s="528"/>
      <c r="GX6" s="92" t="s">
        <v>7</v>
      </c>
      <c r="GY6" s="93">
        <f>Jaticempaka!GY6</f>
        <v>10</v>
      </c>
      <c r="GZ6" s="424"/>
      <c r="HA6" s="83"/>
      <c r="HB6" s="83"/>
      <c r="HC6" s="399"/>
      <c r="HD6" s="399"/>
      <c r="HE6" s="399"/>
      <c r="HF6" s="399"/>
      <c r="HG6" s="399"/>
      <c r="HH6" s="399"/>
      <c r="HI6" s="399"/>
      <c r="HJ6" s="90"/>
      <c r="HK6" s="399"/>
      <c r="HL6" s="83"/>
      <c r="HM6" s="83"/>
      <c r="HN6" s="83"/>
      <c r="HO6" s="83"/>
      <c r="HP6" s="418" t="s">
        <v>449</v>
      </c>
      <c r="HQ6" s="419"/>
      <c r="HR6" s="420"/>
      <c r="HS6" s="406" t="s">
        <v>450</v>
      </c>
      <c r="HT6" s="407"/>
      <c r="HU6" s="408"/>
      <c r="HV6" s="415" t="s">
        <v>451</v>
      </c>
      <c r="HW6" s="416"/>
      <c r="HX6" s="416"/>
      <c r="HY6" s="416"/>
      <c r="HZ6" s="416"/>
      <c r="IA6" s="417"/>
      <c r="IB6" s="403" t="s">
        <v>452</v>
      </c>
      <c r="IC6" s="404"/>
      <c r="ID6" s="404"/>
      <c r="IE6" s="404"/>
      <c r="IF6" s="404"/>
      <c r="IG6" s="405"/>
      <c r="IH6" s="403" t="s">
        <v>453</v>
      </c>
      <c r="II6" s="404"/>
      <c r="IJ6" s="404"/>
      <c r="IK6" s="404"/>
      <c r="IL6" s="404"/>
      <c r="IM6" s="405"/>
      <c r="IN6" s="83"/>
      <c r="IO6" s="406" t="s">
        <v>454</v>
      </c>
      <c r="IP6" s="407"/>
      <c r="IQ6" s="408"/>
      <c r="IR6" s="83"/>
      <c r="IS6" s="406" t="s">
        <v>455</v>
      </c>
      <c r="IT6" s="407"/>
      <c r="IU6" s="408"/>
      <c r="IV6" s="83"/>
      <c r="IW6" s="406" t="s">
        <v>456</v>
      </c>
      <c r="IX6" s="407"/>
      <c r="IY6" s="408"/>
      <c r="IZ6" s="83"/>
      <c r="JA6" s="406" t="s">
        <v>457</v>
      </c>
      <c r="JB6" s="407"/>
      <c r="JC6" s="408"/>
      <c r="JD6" s="83"/>
      <c r="JE6" s="406" t="s">
        <v>18</v>
      </c>
      <c r="JF6" s="407"/>
      <c r="JG6" s="408"/>
      <c r="JH6" s="83"/>
      <c r="JI6" s="406" t="s">
        <v>458</v>
      </c>
      <c r="JJ6" s="407"/>
      <c r="JK6" s="408"/>
      <c r="JP6" s="400"/>
      <c r="JQ6" s="397"/>
      <c r="JR6" s="472" t="s">
        <v>316</v>
      </c>
      <c r="JS6" s="472"/>
      <c r="JT6" s="472"/>
      <c r="JU6" s="472"/>
      <c r="JV6" s="472"/>
      <c r="JW6" s="473" t="s">
        <v>325</v>
      </c>
      <c r="JX6" s="474"/>
      <c r="JY6" s="475" t="s">
        <v>331</v>
      </c>
      <c r="JZ6" s="472" t="s">
        <v>332</v>
      </c>
      <c r="KA6" s="472"/>
      <c r="KB6" s="472"/>
      <c r="KD6" s="400"/>
      <c r="KE6" s="400"/>
      <c r="KF6" s="400"/>
      <c r="KG6" s="397"/>
      <c r="KH6" s="472" t="s">
        <v>316</v>
      </c>
      <c r="KI6" s="472"/>
      <c r="KJ6" s="472"/>
      <c r="KK6" s="472"/>
      <c r="KL6" s="472"/>
      <c r="KM6" s="473" t="s">
        <v>325</v>
      </c>
      <c r="KN6" s="474"/>
      <c r="KO6" s="475" t="s">
        <v>331</v>
      </c>
      <c r="KP6" s="472" t="s">
        <v>332</v>
      </c>
      <c r="KQ6" s="472"/>
      <c r="KR6" s="472"/>
      <c r="KS6">
        <v>6</v>
      </c>
      <c r="KT6" t="s">
        <v>584</v>
      </c>
      <c r="KU6" s="535"/>
      <c r="KV6" s="535"/>
      <c r="KW6" s="536"/>
      <c r="KX6" s="538"/>
      <c r="KY6" s="538"/>
      <c r="KZ6" s="540"/>
      <c r="LA6" s="540"/>
      <c r="LB6" s="540"/>
      <c r="LC6" s="540"/>
      <c r="LD6" s="542"/>
      <c r="LE6" s="542"/>
      <c r="LF6" s="545" t="s">
        <v>525</v>
      </c>
      <c r="LG6" s="545" t="s">
        <v>526</v>
      </c>
      <c r="LH6" s="546" t="s">
        <v>527</v>
      </c>
      <c r="LI6" s="545" t="s">
        <v>528</v>
      </c>
      <c r="LJ6" s="545" t="s">
        <v>529</v>
      </c>
      <c r="LK6" s="545" t="s">
        <v>530</v>
      </c>
      <c r="LL6" s="545" t="s">
        <v>531</v>
      </c>
      <c r="LM6" s="396" t="s">
        <v>532</v>
      </c>
      <c r="LN6" s="396" t="s">
        <v>533</v>
      </c>
      <c r="LO6" s="553" t="s">
        <v>534</v>
      </c>
      <c r="LP6" s="554" t="s">
        <v>535</v>
      </c>
      <c r="LQ6" s="396" t="s">
        <v>529</v>
      </c>
      <c r="LR6" s="396" t="s">
        <v>536</v>
      </c>
      <c r="LS6" s="396" t="s">
        <v>531</v>
      </c>
      <c r="LT6" s="356" t="s">
        <v>537</v>
      </c>
      <c r="LU6" s="356" t="s">
        <v>538</v>
      </c>
      <c r="LV6" s="356" t="s">
        <v>539</v>
      </c>
      <c r="LW6" s="356" t="s">
        <v>540</v>
      </c>
      <c r="LX6" s="356" t="s">
        <v>541</v>
      </c>
      <c r="LY6" s="356" t="s">
        <v>542</v>
      </c>
      <c r="LZ6" s="356" t="s">
        <v>531</v>
      </c>
      <c r="MA6" s="345" t="s">
        <v>543</v>
      </c>
      <c r="MB6" s="345" t="s">
        <v>544</v>
      </c>
      <c r="MC6" s="345" t="s">
        <v>545</v>
      </c>
      <c r="MD6" s="345" t="s">
        <v>546</v>
      </c>
      <c r="ME6" s="345" t="s">
        <v>547</v>
      </c>
      <c r="MF6" s="345" t="s">
        <v>548</v>
      </c>
      <c r="MG6" s="345" t="s">
        <v>549</v>
      </c>
      <c r="MH6" s="345" t="s">
        <v>550</v>
      </c>
      <c r="MI6" s="345" t="s">
        <v>529</v>
      </c>
      <c r="MJ6" s="345" t="s">
        <v>531</v>
      </c>
      <c r="MK6" s="342" t="s">
        <v>551</v>
      </c>
      <c r="ML6" s="342" t="s">
        <v>552</v>
      </c>
      <c r="MM6" s="342" t="s">
        <v>553</v>
      </c>
      <c r="MN6" s="342" t="s">
        <v>529</v>
      </c>
      <c r="MO6" s="342" t="s">
        <v>531</v>
      </c>
      <c r="MP6" s="362" t="s">
        <v>554</v>
      </c>
      <c r="MQ6" s="362" t="s">
        <v>555</v>
      </c>
      <c r="MR6" s="362" t="s">
        <v>556</v>
      </c>
      <c r="MS6" s="362" t="s">
        <v>557</v>
      </c>
      <c r="MT6" s="362" t="s">
        <v>558</v>
      </c>
      <c r="MU6" s="362" t="s">
        <v>529</v>
      </c>
      <c r="MV6" s="362" t="s">
        <v>559</v>
      </c>
      <c r="MW6" s="362" t="s">
        <v>531</v>
      </c>
      <c r="MX6" s="359" t="s">
        <v>576</v>
      </c>
      <c r="MY6" s="359" t="s">
        <v>577</v>
      </c>
      <c r="MZ6" s="359" t="s">
        <v>578</v>
      </c>
      <c r="NA6" s="359" t="s">
        <v>579</v>
      </c>
      <c r="NB6" s="359" t="s">
        <v>522</v>
      </c>
      <c r="NC6" s="381"/>
      <c r="ND6" s="382"/>
      <c r="NE6" s="383"/>
      <c r="NF6" s="387"/>
      <c r="NG6" s="388"/>
      <c r="NH6" s="388"/>
      <c r="NI6" s="389"/>
      <c r="NJ6" s="351"/>
      <c r="NK6" s="371"/>
      <c r="NZ6" s="341"/>
      <c r="OE6" s="340"/>
      <c r="OF6" s="340"/>
      <c r="OG6" s="340"/>
      <c r="OH6" s="340"/>
      <c r="OI6" s="340"/>
      <c r="OJ6" s="340"/>
      <c r="OK6" s="340"/>
      <c r="OL6" s="340"/>
      <c r="OM6" s="340"/>
      <c r="OO6" s="340"/>
      <c r="OP6" s="340"/>
      <c r="OQ6" s="340"/>
      <c r="OR6" s="340"/>
      <c r="OS6" s="340"/>
      <c r="OT6" s="340"/>
      <c r="OU6" s="340"/>
      <c r="OV6" s="340"/>
      <c r="OW6" s="340"/>
      <c r="PA6" s="415" t="s">
        <v>11</v>
      </c>
      <c r="PB6" s="416"/>
      <c r="PC6" s="416"/>
      <c r="PD6" s="416"/>
      <c r="PE6" s="416"/>
      <c r="PF6" s="417"/>
      <c r="PG6" s="355" t="s">
        <v>13</v>
      </c>
      <c r="PH6" s="355"/>
      <c r="PI6" s="355"/>
      <c r="PJ6" s="355"/>
      <c r="PK6" s="355"/>
      <c r="PL6" s="355"/>
      <c r="PO6" s="561"/>
      <c r="PP6" s="563"/>
      <c r="PQ6" s="563"/>
    </row>
    <row r="7" spans="1:433" ht="15.5" customHeight="1" x14ac:dyDescent="0.2">
      <c r="A7" s="480"/>
      <c r="B7" s="480"/>
      <c r="C7" s="480"/>
      <c r="D7" s="496" t="s">
        <v>10</v>
      </c>
      <c r="E7" s="498"/>
      <c r="F7" s="495"/>
      <c r="G7" s="495"/>
      <c r="H7" s="495"/>
      <c r="I7" s="495"/>
      <c r="J7" s="490" t="s">
        <v>284</v>
      </c>
      <c r="K7" s="491" t="s">
        <v>284</v>
      </c>
      <c r="L7" s="491" t="s">
        <v>284</v>
      </c>
      <c r="M7" s="492" t="s">
        <v>284</v>
      </c>
      <c r="N7" s="490" t="s">
        <v>285</v>
      </c>
      <c r="O7" s="491" t="s">
        <v>285</v>
      </c>
      <c r="P7" s="491" t="s">
        <v>285</v>
      </c>
      <c r="Q7" s="492" t="s">
        <v>285</v>
      </c>
      <c r="R7" s="495"/>
      <c r="S7" s="495"/>
      <c r="T7" s="495"/>
      <c r="U7" s="495"/>
      <c r="V7" s="495"/>
      <c r="W7" s="495"/>
      <c r="X7" s="495"/>
      <c r="Y7" s="495"/>
      <c r="Z7" s="495"/>
      <c r="AA7" s="504"/>
      <c r="AB7" s="504"/>
      <c r="AC7" s="504"/>
      <c r="AD7" s="504"/>
      <c r="AE7" s="504"/>
      <c r="AF7" s="455"/>
      <c r="AG7" s="458"/>
      <c r="AH7" s="487"/>
      <c r="AI7" s="490"/>
      <c r="AJ7" s="491"/>
      <c r="AK7" s="492"/>
      <c r="AL7" s="578"/>
      <c r="AM7" s="581"/>
      <c r="AN7" s="567"/>
      <c r="AO7" s="11" t="s">
        <v>11</v>
      </c>
      <c r="AP7" s="11" t="s">
        <v>267</v>
      </c>
      <c r="AQ7" s="11" t="s">
        <v>11</v>
      </c>
      <c r="AR7" s="11" t="s">
        <v>267</v>
      </c>
      <c r="AS7" s="11" t="s">
        <v>11</v>
      </c>
      <c r="AT7" s="11" t="s">
        <v>267</v>
      </c>
      <c r="AU7" s="11" t="s">
        <v>11</v>
      </c>
      <c r="AV7" s="11" t="s">
        <v>267</v>
      </c>
      <c r="AW7" s="11" t="s">
        <v>11</v>
      </c>
      <c r="AX7" s="11" t="s">
        <v>267</v>
      </c>
      <c r="AY7" s="11" t="s">
        <v>11</v>
      </c>
      <c r="AZ7" s="11" t="s">
        <v>267</v>
      </c>
      <c r="BA7" s="587"/>
      <c r="BB7" s="571"/>
      <c r="BE7" s="455"/>
      <c r="BF7" s="458"/>
      <c r="BG7" s="458"/>
      <c r="BH7" s="458"/>
      <c r="BI7" s="458"/>
      <c r="BJ7" s="458"/>
      <c r="BK7" s="458"/>
      <c r="BN7" s="400"/>
      <c r="BO7" s="397"/>
      <c r="BP7" s="397" t="s">
        <v>317</v>
      </c>
      <c r="BQ7" s="472" t="s">
        <v>318</v>
      </c>
      <c r="BR7" s="472"/>
      <c r="BS7" s="472" t="s">
        <v>322</v>
      </c>
      <c r="BT7" s="472"/>
      <c r="BU7" s="397" t="s">
        <v>327</v>
      </c>
      <c r="BV7" s="401" t="s">
        <v>326</v>
      </c>
      <c r="BW7" s="475"/>
      <c r="BX7" s="401" t="s">
        <v>333</v>
      </c>
      <c r="BY7" s="401" t="s">
        <v>334</v>
      </c>
      <c r="BZ7" s="397" t="s">
        <v>335</v>
      </c>
      <c r="CB7" s="470"/>
      <c r="CD7" s="400"/>
      <c r="CE7" s="397"/>
      <c r="CF7" s="397" t="s">
        <v>317</v>
      </c>
      <c r="CG7" s="472" t="s">
        <v>318</v>
      </c>
      <c r="CH7" s="472"/>
      <c r="CI7" s="472" t="s">
        <v>322</v>
      </c>
      <c r="CJ7" s="472"/>
      <c r="CK7" s="397" t="s">
        <v>327</v>
      </c>
      <c r="CL7" s="401" t="s">
        <v>326</v>
      </c>
      <c r="CM7" s="475"/>
      <c r="CN7" s="401" t="s">
        <v>333</v>
      </c>
      <c r="CO7" s="401" t="s">
        <v>334</v>
      </c>
      <c r="CP7" s="397" t="s">
        <v>335</v>
      </c>
      <c r="DV7" s="531"/>
      <c r="DW7" s="477"/>
      <c r="DX7" s="477"/>
      <c r="DY7" s="477"/>
      <c r="DZ7" s="477"/>
      <c r="EA7" s="477"/>
      <c r="EB7" s="477"/>
      <c r="ED7" s="50"/>
      <c r="EE7" s="51"/>
      <c r="EG7" s="533"/>
      <c r="EH7" s="533"/>
      <c r="EI7" s="429"/>
      <c r="EJ7" s="429"/>
      <c r="EK7" s="512"/>
      <c r="EL7" s="512"/>
      <c r="EM7" s="512"/>
      <c r="EN7" s="512"/>
      <c r="EO7" s="512"/>
      <c r="EP7" s="512"/>
      <c r="EQ7" s="429"/>
      <c r="ER7" s="429"/>
      <c r="ES7" s="429"/>
      <c r="ET7" s="429"/>
      <c r="EU7" s="429"/>
      <c r="EV7" s="429"/>
      <c r="EW7" s="512"/>
      <c r="EX7" s="512"/>
      <c r="EY7" s="512"/>
      <c r="EZ7" s="429"/>
      <c r="FA7" s="429"/>
      <c r="FB7" s="429"/>
      <c r="FC7" s="429"/>
      <c r="FD7" s="429"/>
      <c r="FE7" s="429"/>
      <c r="FF7" s="429"/>
      <c r="FH7" s="429"/>
      <c r="FI7" s="429"/>
      <c r="FJ7" s="429"/>
      <c r="FK7" s="429"/>
      <c r="FL7" s="429"/>
      <c r="FM7" s="429"/>
      <c r="FN7" s="429"/>
      <c r="FO7" s="429"/>
      <c r="FP7" s="429"/>
      <c r="FQ7" s="429"/>
      <c r="FR7" s="429"/>
      <c r="FS7" s="429"/>
      <c r="FT7" s="429"/>
      <c r="FU7" s="429"/>
      <c r="FV7" s="429"/>
      <c r="FX7" s="366"/>
      <c r="FY7" s="413"/>
      <c r="FZ7" s="397"/>
      <c r="GA7" s="397"/>
      <c r="GB7" s="397"/>
      <c r="GC7" s="397"/>
      <c r="GD7" s="397"/>
      <c r="GE7" s="397"/>
      <c r="GF7" s="27"/>
      <c r="GG7" s="397"/>
      <c r="GH7" s="397"/>
      <c r="GI7" s="27"/>
      <c r="GJ7" s="397"/>
      <c r="GK7" s="397"/>
      <c r="GO7" s="424"/>
      <c r="GP7" s="424"/>
      <c r="GQ7" s="424"/>
      <c r="GR7" s="424"/>
      <c r="GS7" s="424"/>
      <c r="GT7" s="424"/>
      <c r="GU7" s="91"/>
      <c r="GV7" s="423" t="s">
        <v>459</v>
      </c>
      <c r="GW7" s="423" t="s">
        <v>460</v>
      </c>
      <c r="GX7" s="92" t="s">
        <v>265</v>
      </c>
      <c r="GY7" s="93">
        <f>Jaticempaka!GY7</f>
        <v>10</v>
      </c>
      <c r="GZ7" s="424"/>
      <c r="HA7" s="83"/>
      <c r="HB7" s="83"/>
      <c r="HC7" s="399"/>
      <c r="HD7" s="399"/>
      <c r="HE7" s="399"/>
      <c r="HF7" s="399"/>
      <c r="HG7" s="399"/>
      <c r="HH7" s="399"/>
      <c r="HI7" s="399"/>
      <c r="HJ7" s="90"/>
      <c r="HK7" s="399"/>
      <c r="HL7" s="83"/>
      <c r="HM7" s="83"/>
      <c r="HN7" s="83"/>
      <c r="HO7" s="83"/>
      <c r="HP7" s="421"/>
      <c r="HQ7" s="388"/>
      <c r="HR7" s="422"/>
      <c r="HS7" s="409"/>
      <c r="HT7" s="410"/>
      <c r="HU7" s="411"/>
      <c r="HV7" s="415" t="s">
        <v>461</v>
      </c>
      <c r="HW7" s="416"/>
      <c r="HX7" s="417"/>
      <c r="HY7" s="415" t="s">
        <v>462</v>
      </c>
      <c r="HZ7" s="416"/>
      <c r="IA7" s="417"/>
      <c r="IB7" s="415" t="s">
        <v>461</v>
      </c>
      <c r="IC7" s="416"/>
      <c r="ID7" s="417"/>
      <c r="IE7" s="415" t="s">
        <v>462</v>
      </c>
      <c r="IF7" s="416"/>
      <c r="IG7" s="417"/>
      <c r="IH7" s="415" t="s">
        <v>461</v>
      </c>
      <c r="II7" s="416"/>
      <c r="IJ7" s="417"/>
      <c r="IK7" s="415" t="s">
        <v>462</v>
      </c>
      <c r="IL7" s="416"/>
      <c r="IM7" s="417"/>
      <c r="IN7" s="83"/>
      <c r="IO7" s="409"/>
      <c r="IP7" s="410"/>
      <c r="IQ7" s="411"/>
      <c r="IR7" s="83"/>
      <c r="IS7" s="409"/>
      <c r="IT7" s="410"/>
      <c r="IU7" s="411"/>
      <c r="IV7" s="83"/>
      <c r="IW7" s="409"/>
      <c r="IX7" s="410"/>
      <c r="IY7" s="411"/>
      <c r="IZ7" s="83"/>
      <c r="JA7" s="409"/>
      <c r="JB7" s="410"/>
      <c r="JC7" s="411"/>
      <c r="JD7" s="83"/>
      <c r="JE7" s="409"/>
      <c r="JF7" s="410"/>
      <c r="JG7" s="411"/>
      <c r="JH7" s="83"/>
      <c r="JI7" s="409"/>
      <c r="JJ7" s="410"/>
      <c r="JK7" s="411"/>
      <c r="JP7" s="400"/>
      <c r="JQ7" s="397"/>
      <c r="JR7" s="397" t="s">
        <v>317</v>
      </c>
      <c r="JS7" s="472" t="s">
        <v>318</v>
      </c>
      <c r="JT7" s="472"/>
      <c r="JU7" s="472" t="s">
        <v>322</v>
      </c>
      <c r="JV7" s="472"/>
      <c r="JW7" s="397" t="s">
        <v>327</v>
      </c>
      <c r="JX7" s="401" t="s">
        <v>478</v>
      </c>
      <c r="JY7" s="475"/>
      <c r="JZ7" s="401" t="s">
        <v>333</v>
      </c>
      <c r="KA7" s="401" t="s">
        <v>334</v>
      </c>
      <c r="KB7" s="397" t="s">
        <v>335</v>
      </c>
      <c r="KD7" s="400"/>
      <c r="KE7" s="400"/>
      <c r="KF7" s="400"/>
      <c r="KG7" s="397"/>
      <c r="KH7" s="397" t="s">
        <v>317</v>
      </c>
      <c r="KI7" s="472" t="s">
        <v>318</v>
      </c>
      <c r="KJ7" s="472"/>
      <c r="KK7" s="472" t="s">
        <v>322</v>
      </c>
      <c r="KL7" s="472"/>
      <c r="KM7" s="397" t="s">
        <v>327</v>
      </c>
      <c r="KN7" s="401" t="s">
        <v>478</v>
      </c>
      <c r="KO7" s="475"/>
      <c r="KP7" s="401" t="s">
        <v>333</v>
      </c>
      <c r="KQ7" s="401" t="s">
        <v>334</v>
      </c>
      <c r="KR7" s="397" t="s">
        <v>335</v>
      </c>
      <c r="KS7">
        <v>7</v>
      </c>
      <c r="KT7" t="s">
        <v>585</v>
      </c>
      <c r="KU7" s="535"/>
      <c r="KV7" s="535"/>
      <c r="KW7" s="536"/>
      <c r="KX7" s="538"/>
      <c r="KY7" s="538"/>
      <c r="KZ7" s="540"/>
      <c r="LA7" s="540"/>
      <c r="LB7" s="540"/>
      <c r="LC7" s="540"/>
      <c r="LD7" s="543"/>
      <c r="LE7" s="543"/>
      <c r="LF7" s="545"/>
      <c r="LG7" s="545"/>
      <c r="LH7" s="546"/>
      <c r="LI7" s="545"/>
      <c r="LJ7" s="545"/>
      <c r="LK7" s="545"/>
      <c r="LL7" s="545"/>
      <c r="LM7" s="396"/>
      <c r="LN7" s="396"/>
      <c r="LO7" s="553"/>
      <c r="LP7" s="554"/>
      <c r="LQ7" s="396"/>
      <c r="LR7" s="396"/>
      <c r="LS7" s="396"/>
      <c r="LT7" s="357"/>
      <c r="LU7" s="357"/>
      <c r="LV7" s="357"/>
      <c r="LW7" s="357"/>
      <c r="LX7" s="357"/>
      <c r="LY7" s="357"/>
      <c r="LZ7" s="357"/>
      <c r="MA7" s="346"/>
      <c r="MB7" s="346"/>
      <c r="MC7" s="346"/>
      <c r="MD7" s="346"/>
      <c r="ME7" s="346"/>
      <c r="MF7" s="346"/>
      <c r="MG7" s="346"/>
      <c r="MH7" s="346"/>
      <c r="MI7" s="346"/>
      <c r="MJ7" s="346"/>
      <c r="MK7" s="343"/>
      <c r="ML7" s="343"/>
      <c r="MM7" s="343"/>
      <c r="MN7" s="343"/>
      <c r="MO7" s="343"/>
      <c r="MP7" s="363"/>
      <c r="MQ7" s="363"/>
      <c r="MR7" s="363"/>
      <c r="MS7" s="363"/>
      <c r="MT7" s="363"/>
      <c r="MU7" s="363"/>
      <c r="MV7" s="363"/>
      <c r="MW7" s="363"/>
      <c r="MX7" s="360"/>
      <c r="MY7" s="360"/>
      <c r="MZ7" s="360"/>
      <c r="NA7" s="360"/>
      <c r="NB7" s="360"/>
      <c r="NC7" s="348" t="s">
        <v>542</v>
      </c>
      <c r="ND7" s="555" t="s">
        <v>560</v>
      </c>
      <c r="NE7" s="390" t="s">
        <v>531</v>
      </c>
      <c r="NF7" s="392" t="s">
        <v>561</v>
      </c>
      <c r="NG7" s="394" t="s">
        <v>562</v>
      </c>
      <c r="NH7" s="394" t="s">
        <v>563</v>
      </c>
      <c r="NI7" s="353" t="s">
        <v>564</v>
      </c>
      <c r="NJ7" s="351"/>
      <c r="NK7" s="371"/>
      <c r="NM7" s="355" t="s">
        <v>586</v>
      </c>
      <c r="NN7" s="355"/>
      <c r="NO7" s="355"/>
      <c r="NP7" s="355"/>
      <c r="NQ7" s="355"/>
      <c r="NR7" s="355"/>
      <c r="NS7" s="355"/>
      <c r="NT7" s="355"/>
      <c r="NU7" t="s">
        <v>588</v>
      </c>
      <c r="NZ7" s="341"/>
      <c r="OE7" s="340"/>
      <c r="OF7" s="340"/>
      <c r="OG7" s="340"/>
      <c r="OH7" s="340"/>
      <c r="OI7" s="340"/>
      <c r="OJ7" s="340"/>
      <c r="OK7" s="340"/>
      <c r="OL7" s="340"/>
      <c r="OM7" s="340"/>
      <c r="OO7" s="340"/>
      <c r="OP7" s="340"/>
      <c r="OQ7" s="340"/>
      <c r="OR7" s="340"/>
      <c r="OS7" s="340"/>
      <c r="OT7" s="340"/>
      <c r="OU7" s="340"/>
      <c r="OV7" s="340"/>
      <c r="OW7" s="340"/>
      <c r="PA7" s="368" t="s">
        <v>618</v>
      </c>
      <c r="PB7" s="368" t="s">
        <v>619</v>
      </c>
      <c r="PC7" s="368" t="s">
        <v>620</v>
      </c>
      <c r="PD7" s="368" t="s">
        <v>698</v>
      </c>
      <c r="PE7" s="368" t="s">
        <v>699</v>
      </c>
      <c r="PF7" s="368" t="s">
        <v>700</v>
      </c>
      <c r="PG7" s="368" t="s">
        <v>618</v>
      </c>
      <c r="PH7" s="368" t="s">
        <v>619</v>
      </c>
      <c r="PI7" s="368" t="s">
        <v>620</v>
      </c>
      <c r="PJ7" s="368" t="s">
        <v>698</v>
      </c>
      <c r="PK7" s="368" t="s">
        <v>699</v>
      </c>
      <c r="PL7" s="368" t="s">
        <v>700</v>
      </c>
      <c r="PO7" s="562"/>
      <c r="PP7" s="563"/>
      <c r="PQ7" s="563"/>
    </row>
    <row r="8" spans="1:433" ht="49" thickBot="1" x14ac:dyDescent="0.25">
      <c r="A8" s="481"/>
      <c r="B8" s="481"/>
      <c r="C8" s="481"/>
      <c r="D8" s="11" t="s">
        <v>11</v>
      </c>
      <c r="E8" s="11" t="s">
        <v>12</v>
      </c>
      <c r="F8" s="11" t="s">
        <v>11</v>
      </c>
      <c r="G8" s="12" t="s">
        <v>13</v>
      </c>
      <c r="H8" s="12" t="s">
        <v>14</v>
      </c>
      <c r="I8" s="13" t="s">
        <v>15</v>
      </c>
      <c r="J8" s="11" t="s">
        <v>11</v>
      </c>
      <c r="K8" s="12" t="s">
        <v>13</v>
      </c>
      <c r="L8" s="12" t="s">
        <v>14</v>
      </c>
      <c r="M8" s="12" t="s">
        <v>16</v>
      </c>
      <c r="N8" s="11" t="s">
        <v>11</v>
      </c>
      <c r="O8" s="12" t="s">
        <v>13</v>
      </c>
      <c r="P8" s="12" t="s">
        <v>14</v>
      </c>
      <c r="Q8" s="12" t="s">
        <v>16</v>
      </c>
      <c r="R8" s="11" t="s">
        <v>11</v>
      </c>
      <c r="S8" s="12" t="s">
        <v>13</v>
      </c>
      <c r="T8" s="12" t="s">
        <v>14</v>
      </c>
      <c r="U8" s="12" t="s">
        <v>16</v>
      </c>
      <c r="V8" s="11" t="s">
        <v>11</v>
      </c>
      <c r="W8" s="12" t="s">
        <v>13</v>
      </c>
      <c r="X8" s="12" t="s">
        <v>14</v>
      </c>
      <c r="Y8" s="12" t="s">
        <v>16</v>
      </c>
      <c r="Z8" s="12" t="s">
        <v>17</v>
      </c>
      <c r="AA8" s="63" t="s">
        <v>11</v>
      </c>
      <c r="AB8" s="64" t="s">
        <v>13</v>
      </c>
      <c r="AC8" s="64" t="s">
        <v>14</v>
      </c>
      <c r="AD8" s="64" t="s">
        <v>16</v>
      </c>
      <c r="AE8" s="64" t="s">
        <v>17</v>
      </c>
      <c r="AF8" s="456"/>
      <c r="AG8" s="459"/>
      <c r="AH8" s="488"/>
      <c r="AI8" s="11" t="s">
        <v>11</v>
      </c>
      <c r="AJ8" s="12" t="s">
        <v>13</v>
      </c>
      <c r="AK8" s="12" t="s">
        <v>263</v>
      </c>
      <c r="AL8" s="579"/>
      <c r="AM8" s="582"/>
      <c r="AN8" s="568"/>
      <c r="AO8" s="28" t="s">
        <v>268</v>
      </c>
      <c r="AP8" s="28" t="s">
        <v>269</v>
      </c>
      <c r="AQ8" s="28" t="s">
        <v>270</v>
      </c>
      <c r="AR8" s="28" t="s">
        <v>271</v>
      </c>
      <c r="AS8" s="28" t="s">
        <v>270</v>
      </c>
      <c r="AT8" s="28" t="s">
        <v>271</v>
      </c>
      <c r="AU8" s="28" t="s">
        <v>272</v>
      </c>
      <c r="AV8" s="28" t="s">
        <v>273</v>
      </c>
      <c r="AW8" s="28" t="s">
        <v>274</v>
      </c>
      <c r="AX8" s="28" t="s">
        <v>275</v>
      </c>
      <c r="AY8" s="11" t="s">
        <v>279</v>
      </c>
      <c r="AZ8" s="11" t="s">
        <v>280</v>
      </c>
      <c r="BA8" s="588"/>
      <c r="BB8" s="572"/>
      <c r="BE8" s="456"/>
      <c r="BF8" s="459"/>
      <c r="BG8" s="459"/>
      <c r="BH8" s="459"/>
      <c r="BI8" s="459"/>
      <c r="BJ8" s="459"/>
      <c r="BK8" s="459"/>
      <c r="BN8" s="400"/>
      <c r="BO8" s="397"/>
      <c r="BP8" s="397"/>
      <c r="BQ8" s="44" t="s">
        <v>328</v>
      </c>
      <c r="BR8" s="45" t="s">
        <v>329</v>
      </c>
      <c r="BS8" s="44" t="s">
        <v>323</v>
      </c>
      <c r="BT8" s="45" t="s">
        <v>324</v>
      </c>
      <c r="BU8" s="397"/>
      <c r="BV8" s="401"/>
      <c r="BW8" s="475"/>
      <c r="BX8" s="401"/>
      <c r="BY8" s="401"/>
      <c r="BZ8" s="397"/>
      <c r="CB8" s="471"/>
      <c r="CD8" s="400"/>
      <c r="CE8" s="397"/>
      <c r="CF8" s="397"/>
      <c r="CG8" s="44" t="s">
        <v>328</v>
      </c>
      <c r="CH8" s="45" t="s">
        <v>329</v>
      </c>
      <c r="CI8" s="44" t="s">
        <v>323</v>
      </c>
      <c r="CJ8" s="45" t="s">
        <v>324</v>
      </c>
      <c r="CK8" s="397"/>
      <c r="CL8" s="401"/>
      <c r="CM8" s="475"/>
      <c r="CN8" s="401"/>
      <c r="CO8" s="401"/>
      <c r="CP8" s="397"/>
      <c r="DV8" s="532"/>
      <c r="DW8" s="478"/>
      <c r="DX8" s="478"/>
      <c r="DY8" s="478"/>
      <c r="DZ8" s="478"/>
      <c r="EA8" s="478"/>
      <c r="EB8" s="478"/>
      <c r="ED8" s="53"/>
      <c r="EE8" s="54"/>
      <c r="EG8" s="533"/>
      <c r="EH8" s="533"/>
      <c r="EI8" s="47" t="s">
        <v>363</v>
      </c>
      <c r="EJ8" s="47" t="s">
        <v>506</v>
      </c>
      <c r="EK8" s="47"/>
      <c r="EL8" s="47"/>
      <c r="EM8" s="47"/>
      <c r="EN8" s="47"/>
      <c r="EO8" s="47"/>
      <c r="EP8" s="47"/>
      <c r="EQ8" s="47" t="s">
        <v>362</v>
      </c>
      <c r="ER8" s="47" t="s">
        <v>506</v>
      </c>
      <c r="ES8" s="47" t="s">
        <v>364</v>
      </c>
      <c r="ET8" s="47" t="s">
        <v>363</v>
      </c>
      <c r="EU8" s="47" t="s">
        <v>364</v>
      </c>
      <c r="EV8" s="47" t="s">
        <v>364</v>
      </c>
      <c r="EW8" s="47" t="s">
        <v>364</v>
      </c>
      <c r="EX8" s="47" t="s">
        <v>364</v>
      </c>
      <c r="EY8" s="47" t="s">
        <v>364</v>
      </c>
      <c r="EZ8" s="47" t="s">
        <v>365</v>
      </c>
      <c r="FA8" s="47" t="s">
        <v>364</v>
      </c>
      <c r="FB8" s="47" t="s">
        <v>362</v>
      </c>
      <c r="FC8" s="47" t="s">
        <v>364</v>
      </c>
      <c r="FD8" s="47" t="s">
        <v>363</v>
      </c>
      <c r="FE8" s="47" t="s">
        <v>364</v>
      </c>
      <c r="FF8" s="47" t="s">
        <v>364</v>
      </c>
      <c r="FH8" s="47"/>
      <c r="FI8" s="47"/>
      <c r="FJ8" s="47"/>
      <c r="FK8" s="47"/>
      <c r="FL8" s="47"/>
      <c r="FM8" s="47"/>
      <c r="FN8" s="47"/>
      <c r="FO8" s="47"/>
      <c r="FP8" s="47"/>
      <c r="FQ8" s="47"/>
      <c r="FR8" s="47"/>
      <c r="FS8" s="47"/>
      <c r="FT8" s="47"/>
      <c r="FU8" s="47"/>
      <c r="FV8" s="47"/>
      <c r="FX8" s="367"/>
      <c r="FY8" s="414"/>
      <c r="FZ8" s="397"/>
      <c r="GA8" s="397"/>
      <c r="GB8" s="397"/>
      <c r="GC8" s="397"/>
      <c r="GD8" s="397"/>
      <c r="GE8" s="397"/>
      <c r="GF8" s="27"/>
      <c r="GG8" s="397"/>
      <c r="GH8" s="397"/>
      <c r="GI8" s="27"/>
      <c r="GJ8" s="397"/>
      <c r="GK8" s="397"/>
      <c r="GO8" s="425"/>
      <c r="GP8" s="425"/>
      <c r="GQ8" s="425"/>
      <c r="GR8" s="425"/>
      <c r="GS8" s="425"/>
      <c r="GT8" s="425"/>
      <c r="GU8" s="95"/>
      <c r="GV8" s="425"/>
      <c r="GW8" s="425"/>
      <c r="GX8" s="96" t="s">
        <v>447</v>
      </c>
      <c r="GY8" s="97">
        <f>Jaticempaka!GY8</f>
        <v>14</v>
      </c>
      <c r="GZ8" s="425"/>
      <c r="HA8" s="83"/>
      <c r="HB8" s="83"/>
      <c r="HC8" s="402"/>
      <c r="HD8" s="402"/>
      <c r="HE8" s="402"/>
      <c r="HF8" s="402"/>
      <c r="HG8" s="402"/>
      <c r="HH8" s="98">
        <f>Jaticempaka!HH8</f>
        <v>45</v>
      </c>
      <c r="HI8" s="98">
        <f>Jaticempaka!HI8</f>
        <v>45</v>
      </c>
      <c r="HJ8" s="90"/>
      <c r="HK8" s="402"/>
      <c r="HL8" s="83"/>
      <c r="HM8" s="83"/>
      <c r="HN8" s="83"/>
      <c r="HO8" s="83"/>
      <c r="HP8" s="99" t="s">
        <v>463</v>
      </c>
      <c r="HQ8" s="99" t="s">
        <v>11</v>
      </c>
      <c r="HR8" s="100" t="s">
        <v>13</v>
      </c>
      <c r="HS8" s="99" t="s">
        <v>463</v>
      </c>
      <c r="HT8" s="99" t="s">
        <v>11</v>
      </c>
      <c r="HU8" s="100" t="s">
        <v>13</v>
      </c>
      <c r="HV8" s="99" t="s">
        <v>463</v>
      </c>
      <c r="HW8" s="99" t="s">
        <v>11</v>
      </c>
      <c r="HX8" s="100" t="s">
        <v>13</v>
      </c>
      <c r="HY8" s="99" t="s">
        <v>463</v>
      </c>
      <c r="HZ8" s="99" t="s">
        <v>11</v>
      </c>
      <c r="IA8" s="100" t="s">
        <v>13</v>
      </c>
      <c r="IB8" s="99" t="s">
        <v>463</v>
      </c>
      <c r="IC8" s="99" t="s">
        <v>11</v>
      </c>
      <c r="ID8" s="100" t="s">
        <v>13</v>
      </c>
      <c r="IE8" s="99" t="s">
        <v>463</v>
      </c>
      <c r="IF8" s="99" t="s">
        <v>11</v>
      </c>
      <c r="IG8" s="100" t="s">
        <v>13</v>
      </c>
      <c r="IH8" s="99" t="s">
        <v>463</v>
      </c>
      <c r="II8" s="99" t="s">
        <v>11</v>
      </c>
      <c r="IJ8" s="100" t="s">
        <v>13</v>
      </c>
      <c r="IK8" s="99" t="s">
        <v>463</v>
      </c>
      <c r="IL8" s="99" t="s">
        <v>11</v>
      </c>
      <c r="IM8" s="100" t="s">
        <v>13</v>
      </c>
      <c r="IN8" s="83"/>
      <c r="IO8" s="99" t="s">
        <v>463</v>
      </c>
      <c r="IP8" s="99" t="s">
        <v>11</v>
      </c>
      <c r="IQ8" s="100" t="s">
        <v>13</v>
      </c>
      <c r="IR8" s="83"/>
      <c r="IS8" s="99" t="s">
        <v>463</v>
      </c>
      <c r="IT8" s="99" t="s">
        <v>11</v>
      </c>
      <c r="IU8" s="100" t="s">
        <v>13</v>
      </c>
      <c r="IV8" s="83"/>
      <c r="IW8" s="99" t="s">
        <v>463</v>
      </c>
      <c r="IX8" s="99" t="s">
        <v>11</v>
      </c>
      <c r="IY8" s="100" t="s">
        <v>13</v>
      </c>
      <c r="IZ8" s="83"/>
      <c r="JA8" s="99" t="s">
        <v>463</v>
      </c>
      <c r="JB8" s="99" t="s">
        <v>11</v>
      </c>
      <c r="JC8" s="100" t="s">
        <v>13</v>
      </c>
      <c r="JD8" s="83"/>
      <c r="JE8" s="99" t="s">
        <v>463</v>
      </c>
      <c r="JF8" s="99" t="s">
        <v>11</v>
      </c>
      <c r="JG8" s="100" t="s">
        <v>13</v>
      </c>
      <c r="JH8" s="83"/>
      <c r="JI8" s="99" t="s">
        <v>463</v>
      </c>
      <c r="JJ8" s="99" t="s">
        <v>11</v>
      </c>
      <c r="JK8" s="100" t="s">
        <v>13</v>
      </c>
      <c r="JM8" t="s">
        <v>468</v>
      </c>
      <c r="JP8" s="400"/>
      <c r="JQ8" s="397"/>
      <c r="JR8" s="397"/>
      <c r="JS8" s="44" t="s">
        <v>328</v>
      </c>
      <c r="JT8" s="45" t="s">
        <v>479</v>
      </c>
      <c r="JU8" s="44" t="s">
        <v>323</v>
      </c>
      <c r="JV8" s="45" t="s">
        <v>324</v>
      </c>
      <c r="JW8" s="397"/>
      <c r="JX8" s="401"/>
      <c r="JY8" s="475"/>
      <c r="JZ8" s="401"/>
      <c r="KA8" s="401"/>
      <c r="KB8" s="397"/>
      <c r="KD8" s="400"/>
      <c r="KE8" s="400"/>
      <c r="KF8" s="400"/>
      <c r="KG8" s="397"/>
      <c r="KH8" s="397"/>
      <c r="KI8" s="44" t="s">
        <v>328</v>
      </c>
      <c r="KJ8" s="45" t="s">
        <v>479</v>
      </c>
      <c r="KK8" s="44" t="s">
        <v>323</v>
      </c>
      <c r="KL8" s="45" t="s">
        <v>324</v>
      </c>
      <c r="KM8" s="397"/>
      <c r="KN8" s="401"/>
      <c r="KO8" s="475"/>
      <c r="KP8" s="401"/>
      <c r="KQ8" s="401"/>
      <c r="KR8" s="397"/>
      <c r="KU8" s="130" t="s">
        <v>565</v>
      </c>
      <c r="KV8" s="130" t="s">
        <v>565</v>
      </c>
      <c r="KW8" s="536"/>
      <c r="KX8" s="539"/>
      <c r="KY8" s="539"/>
      <c r="KZ8" s="129" t="s">
        <v>12</v>
      </c>
      <c r="LA8" s="131" t="s">
        <v>566</v>
      </c>
      <c r="LB8" s="129" t="s">
        <v>12</v>
      </c>
      <c r="LC8" s="131" t="s">
        <v>566</v>
      </c>
      <c r="LD8" s="132" t="s">
        <v>567</v>
      </c>
      <c r="LE8" s="133" t="s">
        <v>568</v>
      </c>
      <c r="LF8" s="545"/>
      <c r="LG8" s="545"/>
      <c r="LH8" s="546"/>
      <c r="LI8" s="545"/>
      <c r="LJ8" s="545"/>
      <c r="LK8" s="545"/>
      <c r="LL8" s="545"/>
      <c r="LM8" s="396"/>
      <c r="LN8" s="396"/>
      <c r="LO8" s="553"/>
      <c r="LP8" s="554"/>
      <c r="LQ8" s="396"/>
      <c r="LR8" s="396"/>
      <c r="LS8" s="396"/>
      <c r="LT8" s="358"/>
      <c r="LU8" s="358"/>
      <c r="LV8" s="358"/>
      <c r="LW8" s="358"/>
      <c r="LX8" s="358"/>
      <c r="LY8" s="358"/>
      <c r="LZ8" s="358"/>
      <c r="MA8" s="347"/>
      <c r="MB8" s="347"/>
      <c r="MC8" s="347"/>
      <c r="MD8" s="347"/>
      <c r="ME8" s="347"/>
      <c r="MF8" s="347"/>
      <c r="MG8" s="347"/>
      <c r="MH8" s="347"/>
      <c r="MI8" s="347"/>
      <c r="MJ8" s="347"/>
      <c r="MK8" s="344"/>
      <c r="ML8" s="344"/>
      <c r="MM8" s="344"/>
      <c r="MN8" s="344"/>
      <c r="MO8" s="344"/>
      <c r="MP8" s="364"/>
      <c r="MQ8" s="364"/>
      <c r="MR8" s="364"/>
      <c r="MS8" s="364"/>
      <c r="MT8" s="364"/>
      <c r="MU8" s="364"/>
      <c r="MV8" s="364"/>
      <c r="MW8" s="364"/>
      <c r="MX8" s="361"/>
      <c r="MY8" s="361"/>
      <c r="MZ8" s="361"/>
      <c r="NA8" s="361"/>
      <c r="NB8" s="361"/>
      <c r="NC8" s="349"/>
      <c r="ND8" s="556"/>
      <c r="NE8" s="391"/>
      <c r="NF8" s="393"/>
      <c r="NG8" s="395"/>
      <c r="NH8" s="395"/>
      <c r="NI8" s="354"/>
      <c r="NJ8" s="352"/>
      <c r="NK8" s="371"/>
      <c r="NM8" s="80">
        <v>1</v>
      </c>
      <c r="NN8" s="80">
        <v>2</v>
      </c>
      <c r="NO8" s="80">
        <v>3</v>
      </c>
      <c r="NP8" s="80">
        <v>4</v>
      </c>
      <c r="NQ8" s="80">
        <v>5</v>
      </c>
      <c r="NR8" s="80">
        <v>6</v>
      </c>
      <c r="NS8" s="80">
        <v>7</v>
      </c>
      <c r="NT8" s="80" t="s">
        <v>587</v>
      </c>
      <c r="NU8" t="s">
        <v>589</v>
      </c>
      <c r="NZ8" s="341"/>
      <c r="OE8" s="340"/>
      <c r="OF8" s="340"/>
      <c r="OG8" s="340"/>
      <c r="OH8" s="340"/>
      <c r="OI8" s="340"/>
      <c r="OJ8" s="340"/>
      <c r="OK8" s="340"/>
      <c r="OL8" s="340"/>
      <c r="OM8" s="340"/>
      <c r="OO8" s="340"/>
      <c r="OP8" s="340"/>
      <c r="OQ8" s="340"/>
      <c r="OR8" s="340"/>
      <c r="OS8" s="340"/>
      <c r="OT8" s="340"/>
      <c r="OU8" s="340"/>
      <c r="OV8" s="340"/>
      <c r="OW8" s="340"/>
      <c r="PA8" s="369"/>
      <c r="PB8" s="369"/>
      <c r="PC8" s="369"/>
      <c r="PD8" s="369"/>
      <c r="PE8" s="369"/>
      <c r="PF8" s="369"/>
      <c r="PG8" s="369"/>
      <c r="PH8" s="369"/>
      <c r="PI8" s="369"/>
      <c r="PJ8" s="369"/>
      <c r="PK8" s="369"/>
      <c r="PL8" s="369"/>
      <c r="PO8" s="47" t="s">
        <v>364</v>
      </c>
      <c r="PP8" s="47" t="s">
        <v>364</v>
      </c>
      <c r="PQ8" s="47" t="s">
        <v>364</v>
      </c>
    </row>
    <row r="9" spans="1:433" ht="16" x14ac:dyDescent="0.2">
      <c r="A9" s="14">
        <v>1</v>
      </c>
      <c r="B9" s="15" t="s">
        <v>173</v>
      </c>
      <c r="C9" s="16">
        <v>1</v>
      </c>
      <c r="D9" s="17">
        <v>1</v>
      </c>
      <c r="E9" s="17">
        <v>33</v>
      </c>
      <c r="F9" s="17">
        <v>1</v>
      </c>
      <c r="G9" s="17">
        <f>E9</f>
        <v>33</v>
      </c>
      <c r="H9" s="18">
        <f t="shared" ref="H9:H27" si="2">F9/$D9</f>
        <v>1</v>
      </c>
      <c r="I9" s="18">
        <f t="shared" ref="I9:I27" si="3">G9/$E9</f>
        <v>1</v>
      </c>
      <c r="J9" s="17">
        <v>1</v>
      </c>
      <c r="K9" s="17">
        <f t="shared" ref="K9:K27" si="4">IF(J9=D9,E9,0)</f>
        <v>33</v>
      </c>
      <c r="L9" s="18">
        <f t="shared" ref="L9:L36" si="5">J9/$D9</f>
        <v>1</v>
      </c>
      <c r="M9" s="18">
        <f t="shared" ref="M9:M36" si="6">K9/$E9</f>
        <v>1</v>
      </c>
      <c r="N9" s="17">
        <v>1</v>
      </c>
      <c r="O9" s="17">
        <f t="shared" ref="O9:O27" si="7">IF(N9=D9,E9,0)</f>
        <v>33</v>
      </c>
      <c r="P9" s="18">
        <f t="shared" ref="P9:P36" si="8">N9/$D9</f>
        <v>1</v>
      </c>
      <c r="Q9" s="18">
        <f t="shared" ref="Q9:Q36" si="9">O9/$E9</f>
        <v>1</v>
      </c>
      <c r="R9" s="17">
        <v>1</v>
      </c>
      <c r="S9" s="17">
        <f t="shared" ref="S9:S27" si="10">IF(R9=D9,E9,0)</f>
        <v>33</v>
      </c>
      <c r="T9" s="18">
        <f t="shared" ref="T9:T27" si="11">R9/$D9</f>
        <v>1</v>
      </c>
      <c r="U9" s="18">
        <f t="shared" ref="U9:U27" si="12">S9/$E9</f>
        <v>1</v>
      </c>
      <c r="V9" s="17">
        <v>1</v>
      </c>
      <c r="W9" s="17">
        <f t="shared" ref="W9:W27" si="13">IF(V9=D9,E9,0)</f>
        <v>33</v>
      </c>
      <c r="X9" s="18">
        <f t="shared" ref="X9:X27" si="14">V9/$D9</f>
        <v>1</v>
      </c>
      <c r="Y9" s="18">
        <f t="shared" ref="Y9:Y27" si="15">W9/$E9</f>
        <v>1</v>
      </c>
      <c r="Z9" s="59">
        <f>821565000/1000000000</f>
        <v>0.82156499999999999</v>
      </c>
      <c r="AA9" s="17"/>
      <c r="AB9" s="17">
        <f>IF(AA9=D9,E9,0)</f>
        <v>0</v>
      </c>
      <c r="AC9" s="18">
        <f t="shared" ref="AC9" si="16">AA9/$D9</f>
        <v>0</v>
      </c>
      <c r="AD9" s="18">
        <f t="shared" ref="AD9" si="17">AB9/$E9</f>
        <v>0</v>
      </c>
      <c r="AE9" s="62"/>
      <c r="AF9" s="17">
        <f>R9-V9</f>
        <v>0</v>
      </c>
      <c r="AG9" s="17"/>
      <c r="AH9" s="31"/>
      <c r="AI9" s="17">
        <v>0</v>
      </c>
      <c r="AJ9" s="17">
        <f>IF(AI9=D9,E9,0)</f>
        <v>0</v>
      </c>
      <c r="AK9" s="17"/>
      <c r="AL9" s="17">
        <v>0</v>
      </c>
      <c r="AM9" s="17">
        <v>0</v>
      </c>
      <c r="AN9" s="72"/>
      <c r="AO9" s="17">
        <f t="shared" ref="AO9:AO26" si="18">IF(AI9=1,D9,0)</f>
        <v>0</v>
      </c>
      <c r="AP9" s="17">
        <f t="shared" ref="AP9:AP30" si="19">IF(AO9=D9,E9,0)</f>
        <v>0</v>
      </c>
      <c r="AQ9" s="17">
        <f t="shared" ref="AQ9:AQ30" si="20">IF(AI9=1,J9,0)</f>
        <v>0</v>
      </c>
      <c r="AR9" s="17">
        <f t="shared" ref="AR9:AR30" si="21">IF(AQ9=1,K9,0)</f>
        <v>0</v>
      </c>
      <c r="AS9" s="17">
        <f t="shared" ref="AS9:AS30" si="22">IF(AI9=1,N9,0)</f>
        <v>0</v>
      </c>
      <c r="AT9" s="17">
        <f t="shared" ref="AT9:AT30" si="23">IF(AS9=1,O9,0)</f>
        <v>0</v>
      </c>
      <c r="AU9" s="17">
        <f t="shared" ref="AU9:AU30" si="24">IF(AI9=1,R9,0)</f>
        <v>0</v>
      </c>
      <c r="AV9" s="17">
        <f t="shared" ref="AV9:AV30" si="25">IF(AU9=1,S9,0)</f>
        <v>0</v>
      </c>
      <c r="AW9" s="17">
        <f t="shared" ref="AW9:AW30" si="26">IF(AI9=1,V9,0)</f>
        <v>0</v>
      </c>
      <c r="AX9" s="17">
        <f t="shared" ref="AX9:AX30" si="27">IF(AW9=1,W9,0)</f>
        <v>0</v>
      </c>
      <c r="AY9" s="17">
        <f>AU9-AW9</f>
        <v>0</v>
      </c>
      <c r="AZ9" s="17">
        <f>AV9-AX9</f>
        <v>0</v>
      </c>
      <c r="BA9" s="17">
        <f>IF(AW9=1,Z9,0)</f>
        <v>0</v>
      </c>
      <c r="BB9" s="17">
        <f>IF(AN9=1,G9,0)</f>
        <v>0</v>
      </c>
      <c r="BC9" s="29">
        <f>D9-R9-AN9-CB9</f>
        <v>0</v>
      </c>
      <c r="BE9" s="17">
        <f t="shared" ref="BE9:BE30" si="28">IF(AF9=1,S9,0)</f>
        <v>0</v>
      </c>
      <c r="BF9" s="17">
        <f t="shared" ref="BF9:BF30" si="29">IF(AG9="A",S9,0)</f>
        <v>0</v>
      </c>
      <c r="BG9" s="17">
        <f t="shared" ref="BG9:BG30" si="30">IF(AG9="B",S9,0)</f>
        <v>0</v>
      </c>
      <c r="BH9" s="17">
        <f t="shared" ref="BH9:BH30" si="31">IF(AG9="C",S9,0)</f>
        <v>0</v>
      </c>
      <c r="BI9" s="17">
        <f t="shared" ref="BI9:BI30" si="32">IF(AG9="D",S9,0)</f>
        <v>0</v>
      </c>
      <c r="BJ9" s="17">
        <f t="shared" ref="BJ9:BJ30" si="33">IF(AG9="E",S9,0)</f>
        <v>0</v>
      </c>
      <c r="BK9" s="17">
        <f t="shared" ref="BK9" si="34">SUM(BF9:BJ9)</f>
        <v>0</v>
      </c>
      <c r="BN9" s="145"/>
      <c r="BO9" s="126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B9" s="17"/>
      <c r="CD9" s="17">
        <f t="shared" ref="CD9:CD30" si="35">BN9</f>
        <v>0</v>
      </c>
      <c r="CE9" s="17">
        <f t="shared" ref="CE9:CE30" si="36">IF(BO9=1,$CD9,0)</f>
        <v>0</v>
      </c>
      <c r="CF9" s="17">
        <f t="shared" ref="CF9" si="37">IF(BP9=1,$CD9,0)</f>
        <v>0</v>
      </c>
      <c r="CG9" s="17">
        <f t="shared" ref="CG9" si="38">IF(BQ9=1,$CD9,0)</f>
        <v>0</v>
      </c>
      <c r="CH9" s="17">
        <f t="shared" ref="CH9" si="39">IF(BR9=1,$CD9,0)</f>
        <v>0</v>
      </c>
      <c r="CI9" s="17">
        <f t="shared" ref="CI9" si="40">IF(BS9=1,$CD9,0)</f>
        <v>0</v>
      </c>
      <c r="CJ9" s="17">
        <f t="shared" ref="CJ9" si="41">IF(BT9=1,$CD9,0)</f>
        <v>0</v>
      </c>
      <c r="CK9" s="17">
        <f t="shared" ref="CK9" si="42">IF(BU9=1,$CD9,0)</f>
        <v>0</v>
      </c>
      <c r="CL9" s="17">
        <f t="shared" ref="CL9" si="43">IF(BV9=1,$CD9,0)</f>
        <v>0</v>
      </c>
      <c r="CM9" s="17">
        <f t="shared" ref="CM9" si="44">IF(BW9=1,$CD9,0)</f>
        <v>0</v>
      </c>
      <c r="CN9" s="17">
        <f t="shared" ref="CN9" si="45">IF(BX9=1,$CD9,0)</f>
        <v>0</v>
      </c>
      <c r="CO9" s="17">
        <f t="shared" ref="CO9" si="46">IF(BY9=1,$CD9,0)</f>
        <v>0</v>
      </c>
      <c r="CP9" s="17">
        <f t="shared" ref="CP9" si="47">IF(BZ9=1,$CD9,0)</f>
        <v>0</v>
      </c>
      <c r="DV9" s="17">
        <f t="shared" ref="DV9:DV30" si="48">IF(CB9=1,G9,0)</f>
        <v>0</v>
      </c>
      <c r="DW9" s="17">
        <f t="shared" ref="DW9:DW30" si="49">IF(CC9="A",G9,0)</f>
        <v>0</v>
      </c>
      <c r="DX9" s="17">
        <f t="shared" ref="DX9:DX30" si="50">IF(CC9="B",G9,0)</f>
        <v>0</v>
      </c>
      <c r="DY9" s="17">
        <f t="shared" ref="DY9:DY30" si="51">IF(CC9="C",G9,0)</f>
        <v>0</v>
      </c>
      <c r="DZ9" s="17">
        <f t="shared" ref="DZ9:DZ30" si="52">IF(CC9="D",G9,0)</f>
        <v>0</v>
      </c>
      <c r="EA9" s="17">
        <f t="shared" ref="EA9:EA30" si="53">IF(CC9="E",G9,0)</f>
        <v>0</v>
      </c>
      <c r="EB9" s="17">
        <f t="shared" ref="EB9" si="54">SUM(DW9:EA9)</f>
        <v>0</v>
      </c>
      <c r="ED9" s="46" t="s">
        <v>366</v>
      </c>
      <c r="EE9" s="46" t="s">
        <v>367</v>
      </c>
      <c r="EG9" s="57">
        <f>IF(AG9="C","C",IF(AG9="D","D",0))</f>
        <v>0</v>
      </c>
      <c r="EH9" s="57">
        <f>CC9</f>
        <v>0</v>
      </c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X9" s="169"/>
      <c r="FY9" s="17">
        <f>SUM(FZ9:GE9)</f>
        <v>0</v>
      </c>
      <c r="FZ9" s="17">
        <f t="shared" ref="FZ9:FZ27" si="55">DI9+CE9</f>
        <v>0</v>
      </c>
      <c r="GA9" s="17">
        <f t="shared" ref="GA9:GA27" si="56">DJ9+CF9</f>
        <v>0</v>
      </c>
      <c r="GB9" s="17">
        <f t="shared" ref="GB9:GB27" si="57">DK9+CG9</f>
        <v>0</v>
      </c>
      <c r="GC9" s="17">
        <f t="shared" ref="GC9:GC27" si="58">DM9+CI9</f>
        <v>0</v>
      </c>
      <c r="GD9" s="17">
        <f t="shared" ref="GD9:GD27" si="59">DO9+CK9</f>
        <v>0</v>
      </c>
      <c r="GE9" s="17">
        <f t="shared" ref="GE9:GE27" si="60">DT9+CP9</f>
        <v>0</v>
      </c>
      <c r="GF9" s="67"/>
      <c r="GG9" s="17">
        <v>0</v>
      </c>
      <c r="GH9" s="17">
        <v>0</v>
      </c>
      <c r="GI9" s="67"/>
      <c r="GJ9" s="62">
        <f>FY9*GG9/1000000000</f>
        <v>0</v>
      </c>
      <c r="GK9" s="62">
        <f>FY9*GH9/1000000000</f>
        <v>0</v>
      </c>
      <c r="GO9" s="17">
        <f t="shared" ref="GO9:GO27" si="61">D9-F9</f>
        <v>0</v>
      </c>
      <c r="GP9" s="17">
        <f t="shared" ref="GP9:GP27" si="62">D9-J9</f>
        <v>0</v>
      </c>
      <c r="GQ9" s="17">
        <f t="shared" ref="GQ9:GQ27" si="63">D9-N9</f>
        <v>0</v>
      </c>
      <c r="GR9" s="17">
        <f t="shared" ref="GR9:GR27" si="64">D9-R9</f>
        <v>0</v>
      </c>
      <c r="GS9" s="17">
        <f t="shared" ref="GS9:GS27" si="65">D9-V9</f>
        <v>0</v>
      </c>
      <c r="GT9" s="17">
        <f>IF(SUM(GO9:GS9)=0,1,0)</f>
        <v>1</v>
      </c>
      <c r="GU9" s="101">
        <f>$GU$3</f>
        <v>43243</v>
      </c>
      <c r="GV9" s="17" t="str">
        <f>IF(GO9&gt;0,$GO$6,IF(GP9&gt;0,$GP$6,IF(GQ9&gt;0,$GQ$6,IF(GR9&gt;0,$GR$6,IF(GS9&gt;0,$GS$6,IF(GT9&gt;0,$GT$6,0))))))</f>
        <v>SELESAI</v>
      </c>
      <c r="GW9" s="17">
        <f>IF(GV9=$GO$6,GO9,IF(GV9=$GP$6,GP9,IF(GV9=$GQ$6,GQ9,IF(GV9=$GR$6,GR9,IF(GV9=$GS$6,GS9,0)))))</f>
        <v>0</v>
      </c>
      <c r="GX9" s="66" t="str">
        <f>GV9</f>
        <v>SELESAI</v>
      </c>
      <c r="GY9" s="66">
        <f>IF(GX9="DNP",SUM($GY$4:$GY$8),IF(GX9="Survey KJPP",SUM($GY$5:$GY$8),IF(GX9="Hasil Valuasi",SUM($GY$6:$GY$8),IF(GX9="Musyawarah",SUM($GY$7:$GY$8),IF(GX9="UGR",$GY$8,0)))))</f>
        <v>0</v>
      </c>
      <c r="GZ9" s="102" t="str">
        <f>IF(GW9=0,"SELESAI",GU9+GY9)</f>
        <v>SELESAI</v>
      </c>
      <c r="HA9" s="83"/>
      <c r="HB9" s="83"/>
      <c r="HC9" s="17">
        <f t="shared" ref="HC9:HC27" si="66">IF(BH9&gt;0,1,IF(BI9&gt;0,1,0))</f>
        <v>0</v>
      </c>
      <c r="HD9" s="17">
        <f t="shared" ref="HD9:HD27" si="67">IF(CB9&gt;0,1,0)</f>
        <v>0</v>
      </c>
      <c r="HE9" s="17">
        <f>HC9+HD9</f>
        <v>0</v>
      </c>
      <c r="HF9" s="17">
        <f>FQ9</f>
        <v>0</v>
      </c>
      <c r="HG9" s="17">
        <f>HE9-HF9</f>
        <v>0</v>
      </c>
      <c r="HH9" s="101" t="str">
        <f t="shared" ref="HH9:HH30" si="68">IF(HG9=1,GU9+$HH$8,"TIDAK KONSINYASI")</f>
        <v>TIDAK KONSINYASI</v>
      </c>
      <c r="HI9" s="101" t="str">
        <f>IF(GW9=0,"SELESAI",GZ9+$HI$8)</f>
        <v>SELESAI</v>
      </c>
      <c r="HJ9" s="27"/>
      <c r="HK9" s="101">
        <f t="shared" ref="HK9:HK30" si="69">MAX(GZ9,HH9,HI9)</f>
        <v>0</v>
      </c>
      <c r="HL9" s="83"/>
      <c r="HM9" s="83"/>
      <c r="HN9" s="83"/>
      <c r="HO9" s="83"/>
      <c r="HP9" s="102">
        <f>IF(HQ9=1,GZ9,0)</f>
        <v>0</v>
      </c>
      <c r="HQ9" s="66">
        <f>IF(IX9=0,IF(HT9=0,IF(IP9=0,IF(GV9="UGR",GS9,0),0),0),0)</f>
        <v>0</v>
      </c>
      <c r="HR9" s="66">
        <f t="shared" ref="HR9:HR27" si="70">IF(HQ9=1,E9,0)</f>
        <v>0</v>
      </c>
      <c r="HS9" s="102">
        <f>IF(HT9=1,HH9,0)</f>
        <v>0</v>
      </c>
      <c r="HT9" s="66">
        <f>HG9</f>
        <v>0</v>
      </c>
      <c r="HU9" s="66">
        <f t="shared" ref="HU9:HU27" si="71">IF(HT9=1,E9,0)</f>
        <v>0</v>
      </c>
      <c r="HV9" s="102">
        <f>IF(HW9=1,GZ9,0)</f>
        <v>0</v>
      </c>
      <c r="HW9" s="66">
        <f t="shared" ref="HW9:HW30" si="72">IF(JB9=0,IF(IX9=0,IF(HT9=0,IF(GV9="MUSYAWARAH",GR9,0),0),0),0)</f>
        <v>0</v>
      </c>
      <c r="HX9" s="66">
        <f t="shared" ref="HX9:HX27" si="73">IF(HW9=1,E9,0)</f>
        <v>0</v>
      </c>
      <c r="HY9" s="102">
        <f t="shared" ref="HY9:HY30" si="74">IF(HZ9=1,HV9+$HI$8,0)</f>
        <v>0</v>
      </c>
      <c r="HZ9" s="66">
        <f>HW9</f>
        <v>0</v>
      </c>
      <c r="IA9" s="66">
        <f t="shared" ref="IA9:IA27" si="75">IF(HZ9=1,E9,0)</f>
        <v>0</v>
      </c>
      <c r="IB9" s="102">
        <f>IF(IC9=1,$GU$3+SUM($GY$6:$GY$8),0)</f>
        <v>0</v>
      </c>
      <c r="IC9" s="66">
        <f t="shared" ref="IC9:IC30" si="76">IF(GV9="Hasil Valuasi",GQ9,0)</f>
        <v>0</v>
      </c>
      <c r="ID9" s="66">
        <f t="shared" ref="ID9:ID27" si="77">IF(IC9=1,E9,0)</f>
        <v>0</v>
      </c>
      <c r="IE9" s="102">
        <f t="shared" ref="IE9:IE30" si="78">IF(IF9=1,IB9+$HI$8,0)</f>
        <v>0</v>
      </c>
      <c r="IF9" s="66">
        <f t="shared" ref="IF9:IF30" si="79">IC9</f>
        <v>0</v>
      </c>
      <c r="IG9" s="66">
        <f t="shared" ref="IG9:IG27" si="80">IF(IF9=1,E9,0)</f>
        <v>0</v>
      </c>
      <c r="IH9" s="102">
        <f>IF(II9=1,$GU$3+SUM($GY$5:$GY$8),0)</f>
        <v>0</v>
      </c>
      <c r="II9" s="66">
        <f>IF(GV9="Survey KJPP",GP9,0)</f>
        <v>0</v>
      </c>
      <c r="IJ9" s="66">
        <f t="shared" ref="IJ9:IJ27" si="81">IF(II9=1,E9,0)</f>
        <v>0</v>
      </c>
      <c r="IK9" s="102">
        <f t="shared" ref="IK9:IK30" si="82">IF(IL9=1,IH9+$HI$8,0)</f>
        <v>0</v>
      </c>
      <c r="IL9" s="66">
        <f t="shared" ref="IL9:IL30" si="83">II9</f>
        <v>0</v>
      </c>
      <c r="IM9" s="66">
        <f t="shared" ref="IM9:IM27" si="84">IF(IL9=1,E9,0)</f>
        <v>0</v>
      </c>
      <c r="IN9" s="83"/>
      <c r="IO9" s="102">
        <f t="shared" ref="IO9:IO30" si="85">IF(IP9=1,+$GU$3+$HH$8,0)</f>
        <v>0</v>
      </c>
      <c r="IP9" s="66">
        <f t="shared" ref="IP9:IP27" si="86">IF(BG9&gt;0,1,0)</f>
        <v>0</v>
      </c>
      <c r="IQ9" s="66">
        <f t="shared" ref="IQ9:IQ27" si="87">IF(IP9=1,E9,0)</f>
        <v>0</v>
      </c>
      <c r="IR9" s="83"/>
      <c r="IS9" s="102"/>
      <c r="IT9" s="66">
        <f t="shared" ref="IT9:IT27" si="88">V9</f>
        <v>1</v>
      </c>
      <c r="IU9" s="66">
        <f t="shared" ref="IU9:IU27" si="89">W9</f>
        <v>33</v>
      </c>
      <c r="IV9" s="83"/>
      <c r="IW9" s="102"/>
      <c r="IX9" s="66">
        <f t="shared" ref="IX9:IX27" si="90">AA9</f>
        <v>0</v>
      </c>
      <c r="IY9" s="66">
        <f t="shared" ref="IY9:IY27" si="91">AB9</f>
        <v>0</v>
      </c>
      <c r="IZ9" s="83"/>
      <c r="JA9" s="102"/>
      <c r="JB9" s="66">
        <f t="shared" ref="JB9:JB27" si="92">AN9</f>
        <v>0</v>
      </c>
      <c r="JC9" s="66">
        <f t="shared" ref="JC9:JC27" si="93">BB9</f>
        <v>0</v>
      </c>
      <c r="JD9" s="83"/>
      <c r="JE9" s="102"/>
      <c r="JF9" s="66">
        <f>IT9+HQ9+HT9+HZ9+IF9+IL9+IP9+IX9+JB9</f>
        <v>1</v>
      </c>
      <c r="JG9" s="66">
        <f t="shared" ref="JG9:JG30" si="94">IU9+HR9+HU9+IA9+IG9+IM9+IQ9+IY9+JC9</f>
        <v>33</v>
      </c>
      <c r="JH9" s="83"/>
      <c r="JI9" s="102"/>
      <c r="JJ9" s="66">
        <f t="shared" ref="JJ9:JJ27" si="95">JF9-D9</f>
        <v>0</v>
      </c>
      <c r="JK9" s="66">
        <f t="shared" ref="JK9:JK27" si="96">JG9-E9</f>
        <v>0</v>
      </c>
      <c r="JM9" s="102">
        <f>MAX(IW9,IS9,IO9,IK9,IE9,HY9,HS9,HP9)</f>
        <v>0</v>
      </c>
      <c r="JO9" s="29">
        <f t="shared" ref="JO9:JO30" si="97">SUM(JQ9:KB9)</f>
        <v>0</v>
      </c>
      <c r="JP9" s="122">
        <f t="shared" ref="JP9:JP27" si="98">BN9+CR9</f>
        <v>0</v>
      </c>
      <c r="JQ9" s="122">
        <f t="shared" ref="JQ9:JQ27" si="99">IF(BO9+CS9=2,1,IF(BO9+CS9=1,1,0))</f>
        <v>0</v>
      </c>
      <c r="JR9" s="122">
        <f t="shared" ref="JR9:JR27" si="100">IF(BP9+CT9=2,1,IF(BP9+CT9=1,1,0))</f>
        <v>0</v>
      </c>
      <c r="JS9" s="122">
        <f t="shared" ref="JS9:JS27" si="101">IF(BQ9+CU9=2,1,IF(BQ9+CU9=1,1,0))</f>
        <v>0</v>
      </c>
      <c r="JT9" s="122">
        <f t="shared" ref="JT9:JT27" si="102">IF(BR9+CV9=2,1,IF(BR9+CV9=1,1,0))</f>
        <v>0</v>
      </c>
      <c r="JU9" s="122">
        <f t="shared" ref="JU9:JU27" si="103">IF(BS9+CW9=2,1,IF(BS9+CW9=1,1,0))</f>
        <v>0</v>
      </c>
      <c r="JV9" s="122">
        <f t="shared" ref="JV9:JV27" si="104">IF(BT9+CX9=2,1,IF(BT9+CX9=1,1,0))</f>
        <v>0</v>
      </c>
      <c r="JW9" s="122">
        <f t="shared" ref="JW9:JW27" si="105">IF(BU9+CY9=2,1,IF(BU9+CY9=1,1,0))</f>
        <v>0</v>
      </c>
      <c r="JX9" s="122">
        <f t="shared" ref="JX9:JX27" si="106">IF(BV9+CZ9=2,1,IF(BV9+CZ9=1,1,0))</f>
        <v>0</v>
      </c>
      <c r="JY9" s="122">
        <f t="shared" ref="JY9:JY27" si="107">IF(BW9+DA9=2,1,IF(BW9+DA9=1,1,0))</f>
        <v>0</v>
      </c>
      <c r="JZ9" s="122">
        <f t="shared" ref="JZ9:JZ27" si="108">IF(BX9+DB9=2,1,IF(BX9+DB9=1,1,0))</f>
        <v>0</v>
      </c>
      <c r="KA9" s="122">
        <f t="shared" ref="KA9:KA27" si="109">IF(BY9+DC9=2,1,IF(BY9+DC9=1,1,0))</f>
        <v>0</v>
      </c>
      <c r="KB9" s="122">
        <f t="shared" ref="KB9:KB27" si="110">IF(BZ9+DD9=2,1,IF(BZ9+DD9=1,1,0))</f>
        <v>0</v>
      </c>
      <c r="KD9" s="122">
        <f t="shared" ref="KD9" si="111">IF(IF(SUM(GA9:GE9)&gt;100,1,0)+IF(FX9=1,1,0)=2,1,0)</f>
        <v>0</v>
      </c>
      <c r="KE9" s="122">
        <f t="shared" ref="KE9:KE31" si="112">IF(KD9=1,KF9,0)</f>
        <v>0</v>
      </c>
      <c r="KF9" s="122">
        <f t="shared" ref="KF9:KF27" si="113">CD9+DH9</f>
        <v>0</v>
      </c>
      <c r="KG9" s="122">
        <f t="shared" ref="KG9:KG27" si="114">CE9+DI9</f>
        <v>0</v>
      </c>
      <c r="KH9" s="122">
        <f t="shared" ref="KH9:KH27" si="115">CF9+DJ9</f>
        <v>0</v>
      </c>
      <c r="KI9" s="122">
        <f t="shared" ref="KI9:KI27" si="116">CG9+DK9</f>
        <v>0</v>
      </c>
      <c r="KJ9" s="122">
        <f t="shared" ref="KJ9:KJ27" si="117">CH9+DL9</f>
        <v>0</v>
      </c>
      <c r="KK9" s="122">
        <f t="shared" ref="KK9:KK27" si="118">CI9+DM9</f>
        <v>0</v>
      </c>
      <c r="KL9" s="122">
        <f t="shared" ref="KL9:KL27" si="119">CJ9+DN9</f>
        <v>0</v>
      </c>
      <c r="KM9" s="122">
        <f t="shared" ref="KM9:KM27" si="120">CK9+DO9</f>
        <v>0</v>
      </c>
      <c r="KN9" s="122">
        <f t="shared" ref="KN9:KN27" si="121">CL9+DP9</f>
        <v>0</v>
      </c>
      <c r="KO9" s="122">
        <f t="shared" ref="KO9:KO27" si="122">CM9+DQ9</f>
        <v>0</v>
      </c>
      <c r="KP9" s="122">
        <f t="shared" ref="KP9:KP27" si="123">CN9+DR9</f>
        <v>0</v>
      </c>
      <c r="KQ9" s="122">
        <f t="shared" ref="KQ9:KQ27" si="124">CO9+DS9</f>
        <v>0</v>
      </c>
      <c r="KR9" s="122">
        <f t="shared" ref="KR9:KR27" si="125">CP9+DT9</f>
        <v>0</v>
      </c>
      <c r="KT9">
        <f t="shared" ref="KT9:KT27" si="126">AN9</f>
        <v>0</v>
      </c>
      <c r="KU9" s="122"/>
      <c r="KV9" s="122"/>
      <c r="KW9" s="122"/>
      <c r="KX9" s="122"/>
      <c r="KY9" s="122"/>
      <c r="KZ9" s="122"/>
      <c r="LA9" s="122"/>
      <c r="LB9" s="122"/>
      <c r="LC9" s="122"/>
      <c r="LD9" s="122"/>
      <c r="LE9" s="122"/>
      <c r="LF9" s="122"/>
      <c r="LG9" s="122"/>
      <c r="LH9" s="122"/>
      <c r="LI9" s="122"/>
      <c r="LJ9" s="122"/>
      <c r="LK9" s="122"/>
      <c r="LL9" s="122"/>
      <c r="LM9" s="122"/>
      <c r="LN9" s="122"/>
      <c r="LO9" s="122"/>
      <c r="LP9" s="122"/>
      <c r="LQ9" s="122"/>
      <c r="LR9" s="122"/>
      <c r="LS9" s="122"/>
      <c r="LT9" s="122"/>
      <c r="LU9" s="122"/>
      <c r="LV9" s="122"/>
      <c r="LW9" s="122"/>
      <c r="LX9" s="122"/>
      <c r="LY9" s="122"/>
      <c r="LZ9" s="122"/>
      <c r="MA9" s="122"/>
      <c r="MB9" s="122"/>
      <c r="MC9" s="122"/>
      <c r="MD9" s="122"/>
      <c r="ME9" s="122"/>
      <c r="MF9" s="122"/>
      <c r="MG9" s="122"/>
      <c r="MH9" s="122"/>
      <c r="MI9" s="122"/>
      <c r="MJ9" s="122"/>
      <c r="MK9" s="122"/>
      <c r="ML9" s="122"/>
      <c r="MM9" s="122"/>
      <c r="MN9" s="122"/>
      <c r="MO9" s="122"/>
      <c r="MP9" s="122"/>
      <c r="MQ9" s="122"/>
      <c r="MR9" s="122"/>
      <c r="MS9" s="122"/>
      <c r="MT9" s="122"/>
      <c r="MU9" s="122"/>
      <c r="MV9" s="122"/>
      <c r="MW9" s="122"/>
      <c r="MX9" s="122"/>
      <c r="MY9" s="122"/>
      <c r="MZ9" s="122"/>
      <c r="NA9" s="122"/>
      <c r="NB9" s="122"/>
      <c r="NC9" s="122"/>
      <c r="ND9" s="122"/>
      <c r="NE9" s="122"/>
      <c r="NF9" s="122"/>
      <c r="NG9" s="122"/>
      <c r="NH9" s="122"/>
      <c r="NI9" s="122"/>
      <c r="NJ9" s="122"/>
      <c r="NK9" s="122"/>
      <c r="NM9">
        <f>IF(KS9=1,1,0)</f>
        <v>0</v>
      </c>
      <c r="NN9">
        <f>IF(KS9=2,1,0)</f>
        <v>0</v>
      </c>
      <c r="NO9">
        <f>IF(KS9=3,1,0)</f>
        <v>0</v>
      </c>
      <c r="NP9">
        <f>IF(KS9=4,1,0)</f>
        <v>0</v>
      </c>
      <c r="NQ9">
        <f>IF(KS9=5,1,0)</f>
        <v>0</v>
      </c>
      <c r="NR9">
        <f>IF(KS9=6,1,0)</f>
        <v>0</v>
      </c>
      <c r="NS9">
        <f>IF(KS9=7,1,0)</f>
        <v>0</v>
      </c>
      <c r="NT9">
        <f>SUM(NM9:NS9)</f>
        <v>0</v>
      </c>
      <c r="NU9" s="29">
        <f t="shared" ref="NU9" si="127">NT9-KT9</f>
        <v>0</v>
      </c>
      <c r="NY9" s="29">
        <f t="shared" ref="NY9:NY27" si="128">V9</f>
        <v>1</v>
      </c>
      <c r="NZ9" s="152">
        <v>8624000</v>
      </c>
      <c r="OE9" s="155">
        <f t="shared" ref="OE9:OE27" si="129">D9-J9</f>
        <v>0</v>
      </c>
      <c r="OF9" s="155">
        <f t="shared" ref="OF9:OF27" si="130">D9-N9</f>
        <v>0</v>
      </c>
      <c r="OG9" s="155">
        <f t="shared" ref="OG9:OG27" si="131">AN9</f>
        <v>0</v>
      </c>
      <c r="OH9" s="155">
        <f>HE9</f>
        <v>0</v>
      </c>
      <c r="OI9" s="155">
        <f t="shared" ref="OI9:OI27" si="132">D9-R9</f>
        <v>0</v>
      </c>
      <c r="OJ9" s="67">
        <f>IF(OG9=1,OF9,0)</f>
        <v>0</v>
      </c>
      <c r="OK9" s="67">
        <f>IF(OH9=1,OF9,0)</f>
        <v>0</v>
      </c>
      <c r="OL9" s="67">
        <f>IF((OG9+OH9)=0,OF9,0)</f>
        <v>0</v>
      </c>
      <c r="OM9" s="67">
        <f>SUM(OJ9:OL9)</f>
        <v>0</v>
      </c>
      <c r="OO9" s="155">
        <f t="shared" ref="OO9:OO27" si="133">E9-K9</f>
        <v>0</v>
      </c>
      <c r="OP9" s="155">
        <f t="shared" ref="OP9:OP27" si="134">E9-O9</f>
        <v>0</v>
      </c>
      <c r="OQ9" s="155">
        <f>OG9</f>
        <v>0</v>
      </c>
      <c r="OR9" s="155">
        <f>OH9</f>
        <v>0</v>
      </c>
      <c r="OS9" s="155">
        <f>OI9</f>
        <v>0</v>
      </c>
      <c r="OT9" s="67">
        <f>IF(OQ9=1,OP9,0)</f>
        <v>0</v>
      </c>
      <c r="OU9" s="67">
        <f>IF(OR9=1,OP9,0)</f>
        <v>0</v>
      </c>
      <c r="OV9" s="67">
        <f>IF((OQ9+OR9)=0,OP9,0)</f>
        <v>0</v>
      </c>
      <c r="OW9" s="67">
        <f>SUM(OT9:OV9)</f>
        <v>0</v>
      </c>
      <c r="PA9" s="166"/>
      <c r="PB9" s="166"/>
      <c r="PC9" s="166"/>
      <c r="PD9" s="210">
        <f t="shared" ref="PD9:PD34" si="135">PB9-PC9</f>
        <v>0</v>
      </c>
      <c r="PE9" s="210"/>
      <c r="PF9" s="210">
        <f t="shared" ref="PF9:PF34" si="136">PD9-PE9</f>
        <v>0</v>
      </c>
      <c r="PG9" s="210">
        <f t="shared" ref="PG9:PL34" si="137">IF(PA9=1,$BB9,0)</f>
        <v>0</v>
      </c>
      <c r="PH9" s="210">
        <f t="shared" si="137"/>
        <v>0</v>
      </c>
      <c r="PI9" s="210">
        <f t="shared" si="137"/>
        <v>0</v>
      </c>
      <c r="PJ9" s="210">
        <f t="shared" si="137"/>
        <v>0</v>
      </c>
      <c r="PK9" s="210">
        <f t="shared" si="137"/>
        <v>0</v>
      </c>
      <c r="PL9" s="210">
        <f t="shared" si="137"/>
        <v>0</v>
      </c>
      <c r="PO9" s="172">
        <f>IF(FC9=1,AB9,0)</f>
        <v>0</v>
      </c>
      <c r="PP9" s="172">
        <f>IF(FF9=1,AB9,0)</f>
        <v>0</v>
      </c>
      <c r="PQ9" s="172">
        <f>AB9-(PO9+PP9)</f>
        <v>0</v>
      </c>
    </row>
    <row r="10" spans="1:433" ht="16" x14ac:dyDescent="0.2">
      <c r="A10" s="19">
        <f>A9+1</f>
        <v>2</v>
      </c>
      <c r="B10" s="138" t="s">
        <v>174</v>
      </c>
      <c r="C10" s="138">
        <v>2</v>
      </c>
      <c r="D10" s="20">
        <v>1</v>
      </c>
      <c r="E10" s="20">
        <v>59</v>
      </c>
      <c r="F10" s="20">
        <v>1</v>
      </c>
      <c r="G10" s="20">
        <f t="shared" ref="G10:G34" si="138">E10</f>
        <v>59</v>
      </c>
      <c r="H10" s="137">
        <f t="shared" si="2"/>
        <v>1</v>
      </c>
      <c r="I10" s="137">
        <f t="shared" si="3"/>
        <v>1</v>
      </c>
      <c r="J10" s="20">
        <v>1</v>
      </c>
      <c r="K10" s="20">
        <f t="shared" si="4"/>
        <v>59</v>
      </c>
      <c r="L10" s="137">
        <f t="shared" si="5"/>
        <v>1</v>
      </c>
      <c r="M10" s="137">
        <f t="shared" si="6"/>
        <v>1</v>
      </c>
      <c r="N10" s="20">
        <v>1</v>
      </c>
      <c r="O10" s="20">
        <f t="shared" si="7"/>
        <v>59</v>
      </c>
      <c r="P10" s="137">
        <f t="shared" si="8"/>
        <v>1</v>
      </c>
      <c r="Q10" s="137">
        <f t="shared" si="9"/>
        <v>1</v>
      </c>
      <c r="R10" s="20">
        <v>1</v>
      </c>
      <c r="S10" s="20">
        <f t="shared" si="10"/>
        <v>59</v>
      </c>
      <c r="T10" s="137">
        <f t="shared" si="11"/>
        <v>1</v>
      </c>
      <c r="U10" s="137">
        <f t="shared" si="12"/>
        <v>1</v>
      </c>
      <c r="V10" s="20">
        <v>1</v>
      </c>
      <c r="W10" s="20">
        <f t="shared" si="13"/>
        <v>59</v>
      </c>
      <c r="X10" s="137">
        <f t="shared" si="14"/>
        <v>1</v>
      </c>
      <c r="Y10" s="137">
        <f t="shared" si="15"/>
        <v>1</v>
      </c>
      <c r="Z10" s="61">
        <f>1760379000/1000000000</f>
        <v>1.7603789999999999</v>
      </c>
      <c r="AA10" s="61"/>
      <c r="AB10" s="17">
        <f t="shared" ref="AB10:AB30" si="139">IF(AA10=D10,E10,0)</f>
        <v>0</v>
      </c>
      <c r="AC10" s="18">
        <f t="shared" ref="AC10:AC30" si="140">AA10/$D10</f>
        <v>0</v>
      </c>
      <c r="AD10" s="18">
        <f t="shared" ref="AD10:AD30" si="141">AB10/$E10</f>
        <v>0</v>
      </c>
      <c r="AE10" s="61"/>
      <c r="AF10" s="20">
        <f t="shared" ref="AF10:AF27" si="142">R10-V10</f>
        <v>0</v>
      </c>
      <c r="AG10" s="20"/>
      <c r="AH10" s="31"/>
      <c r="AI10" s="20">
        <v>0</v>
      </c>
      <c r="AJ10" s="20">
        <f t="shared" ref="AJ10" si="143">IF(AI10=D10,E10,0)</f>
        <v>0</v>
      </c>
      <c r="AK10" s="20"/>
      <c r="AL10" s="20">
        <v>0</v>
      </c>
      <c r="AM10" s="20">
        <v>0</v>
      </c>
      <c r="AN10" s="139"/>
      <c r="AO10" s="17">
        <f t="shared" si="18"/>
        <v>0</v>
      </c>
      <c r="AP10" s="17">
        <f t="shared" si="19"/>
        <v>0</v>
      </c>
      <c r="AQ10" s="17">
        <f t="shared" si="20"/>
        <v>0</v>
      </c>
      <c r="AR10" s="17">
        <f t="shared" si="21"/>
        <v>0</v>
      </c>
      <c r="AS10" s="17">
        <f t="shared" si="22"/>
        <v>0</v>
      </c>
      <c r="AT10" s="17">
        <f t="shared" si="23"/>
        <v>0</v>
      </c>
      <c r="AU10" s="17">
        <f t="shared" si="24"/>
        <v>0</v>
      </c>
      <c r="AV10" s="17">
        <f t="shared" si="25"/>
        <v>0</v>
      </c>
      <c r="AW10" s="17">
        <f t="shared" si="26"/>
        <v>0</v>
      </c>
      <c r="AX10" s="17">
        <f t="shared" si="27"/>
        <v>0</v>
      </c>
      <c r="AY10" s="17">
        <f t="shared" ref="AY10:AZ10" si="144">AU10-AW10</f>
        <v>0</v>
      </c>
      <c r="AZ10" s="17">
        <f t="shared" si="144"/>
        <v>0</v>
      </c>
      <c r="BA10" s="17">
        <f t="shared" ref="BA10:BA30" si="145">IF(AW10=1,Z10,0)</f>
        <v>0</v>
      </c>
      <c r="BB10" s="17">
        <f t="shared" ref="BB10:BB30" si="146">IF(AN10=1,G10,0)</f>
        <v>0</v>
      </c>
      <c r="BC10" s="29">
        <f t="shared" ref="BC10:BC36" si="147">D10-R10-AN10-CB10</f>
        <v>0</v>
      </c>
      <c r="BE10" s="17">
        <f t="shared" si="28"/>
        <v>0</v>
      </c>
      <c r="BF10" s="17">
        <f t="shared" si="29"/>
        <v>0</v>
      </c>
      <c r="BG10" s="17">
        <f t="shared" si="30"/>
        <v>0</v>
      </c>
      <c r="BH10" s="17">
        <f t="shared" si="31"/>
        <v>0</v>
      </c>
      <c r="BI10" s="17">
        <f t="shared" si="32"/>
        <v>0</v>
      </c>
      <c r="BJ10" s="17">
        <f t="shared" si="33"/>
        <v>0</v>
      </c>
      <c r="BK10" s="17">
        <f t="shared" ref="BK10:BK30" si="148">SUM(BF10:BJ10)</f>
        <v>0</v>
      </c>
      <c r="BN10" s="143"/>
      <c r="BO10" s="126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B10" s="20"/>
      <c r="CD10" s="17">
        <f t="shared" si="35"/>
        <v>0</v>
      </c>
      <c r="CE10" s="17">
        <f t="shared" si="36"/>
        <v>0</v>
      </c>
      <c r="CF10" s="17">
        <f t="shared" ref="CF10:CP10" si="149">IF(BP10=1,$CD10,0)</f>
        <v>0</v>
      </c>
      <c r="CG10" s="17">
        <f t="shared" si="149"/>
        <v>0</v>
      </c>
      <c r="CH10" s="17">
        <f t="shared" si="149"/>
        <v>0</v>
      </c>
      <c r="CI10" s="17">
        <f t="shared" si="149"/>
        <v>0</v>
      </c>
      <c r="CJ10" s="17">
        <f t="shared" si="149"/>
        <v>0</v>
      </c>
      <c r="CK10" s="17">
        <f t="shared" si="149"/>
        <v>0</v>
      </c>
      <c r="CL10" s="20">
        <f t="shared" si="149"/>
        <v>0</v>
      </c>
      <c r="CM10" s="20">
        <f t="shared" si="149"/>
        <v>0</v>
      </c>
      <c r="CN10" s="20">
        <f t="shared" si="149"/>
        <v>0</v>
      </c>
      <c r="CO10" s="20">
        <f t="shared" si="149"/>
        <v>0</v>
      </c>
      <c r="CP10" s="20">
        <f t="shared" si="149"/>
        <v>0</v>
      </c>
      <c r="DV10" s="20">
        <f t="shared" si="48"/>
        <v>0</v>
      </c>
      <c r="DW10" s="20">
        <f t="shared" si="49"/>
        <v>0</v>
      </c>
      <c r="DX10" s="20">
        <f t="shared" si="50"/>
        <v>0</v>
      </c>
      <c r="DY10" s="20">
        <f t="shared" si="51"/>
        <v>0</v>
      </c>
      <c r="DZ10" s="20">
        <f t="shared" si="52"/>
        <v>0</v>
      </c>
      <c r="EA10" s="20">
        <f t="shared" si="53"/>
        <v>0</v>
      </c>
      <c r="EB10" s="20">
        <f t="shared" ref="EB10:EB30" si="150">SUM(DW10:EA10)</f>
        <v>0</v>
      </c>
      <c r="ED10" s="46" t="s">
        <v>368</v>
      </c>
      <c r="EE10" s="46" t="s">
        <v>369</v>
      </c>
      <c r="EG10" s="57">
        <f t="shared" ref="EG10:EG30" si="151">IF(AG10="C","C",IF(AG10="D","D",0))</f>
        <v>0</v>
      </c>
      <c r="EH10" s="57">
        <f t="shared" ref="EH10:EH30" si="152">CC10</f>
        <v>0</v>
      </c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X10" s="169"/>
      <c r="FY10" s="17">
        <f t="shared" ref="FY10:FY30" si="153">SUM(FZ10:GE10)</f>
        <v>0</v>
      </c>
      <c r="FZ10" s="17">
        <f t="shared" si="55"/>
        <v>0</v>
      </c>
      <c r="GA10" s="17">
        <f t="shared" si="56"/>
        <v>0</v>
      </c>
      <c r="GB10" s="17">
        <f t="shared" si="57"/>
        <v>0</v>
      </c>
      <c r="GC10" s="17">
        <f t="shared" si="58"/>
        <v>0</v>
      </c>
      <c r="GD10" s="17">
        <f t="shared" si="59"/>
        <v>0</v>
      </c>
      <c r="GE10" s="17">
        <f t="shared" si="60"/>
        <v>0</v>
      </c>
      <c r="GF10" s="67"/>
      <c r="GG10" s="17">
        <v>0</v>
      </c>
      <c r="GH10" s="17">
        <v>0</v>
      </c>
      <c r="GI10" s="67"/>
      <c r="GJ10" s="62">
        <f t="shared" ref="GJ10:GJ30" si="154">FY10*GG10/1000000000</f>
        <v>0</v>
      </c>
      <c r="GK10" s="62">
        <f t="shared" ref="GK10:GK30" si="155">FY10*GH10/1000000000</f>
        <v>0</v>
      </c>
      <c r="GO10" s="17">
        <f t="shared" si="61"/>
        <v>0</v>
      </c>
      <c r="GP10" s="17">
        <f t="shared" si="62"/>
        <v>0</v>
      </c>
      <c r="GQ10" s="17">
        <f t="shared" si="63"/>
        <v>0</v>
      </c>
      <c r="GR10" s="17">
        <f t="shared" si="64"/>
        <v>0</v>
      </c>
      <c r="GS10" s="17">
        <f t="shared" si="65"/>
        <v>0</v>
      </c>
      <c r="GT10" s="17">
        <f t="shared" ref="GT10:GT30" si="156">IF(SUM(GO10:GS10)=0,1,0)</f>
        <v>1</v>
      </c>
      <c r="GU10" s="101">
        <f t="shared" ref="GU10:GU35" si="157">$GU$3</f>
        <v>43243</v>
      </c>
      <c r="GV10" s="17" t="str">
        <f t="shared" ref="GV10:GV30" si="158">IF(GO10&gt;0,$GO$6,IF(GP10&gt;0,$GP$6,IF(GQ10&gt;0,$GQ$6,IF(GR10&gt;0,$GR$6,IF(GS10&gt;0,$GS$6,IF(GT10&gt;0,$GT$6,0))))))</f>
        <v>SELESAI</v>
      </c>
      <c r="GW10" s="17">
        <f t="shared" ref="GW10:GW30" si="159">IF(GV10=$GO$6,GO10,IF(GV10=$GP$6,GP10,IF(GV10=$GQ$6,GQ10,IF(GV10=$GR$6,GR10,IF(GV10=$GS$6,GS10,0)))))</f>
        <v>0</v>
      </c>
      <c r="GX10" s="66" t="str">
        <f t="shared" ref="GX10:GX30" si="160">GV10</f>
        <v>SELESAI</v>
      </c>
      <c r="GY10" s="66">
        <f t="shared" ref="GY10:GY30" si="161">IF(GX10="DNP",SUM($GY$4:$GY$8),IF(GX10="Survey KJPP",SUM($GY$5:$GY$8),IF(GX10="Hasil Valuasi",SUM($GY$6:$GY$8),IF(GX10="Musyawarah",SUM($GY$7:$GY$8),IF(GX10="UGR",$GY$8,0)))))</f>
        <v>0</v>
      </c>
      <c r="GZ10" s="102" t="str">
        <f t="shared" ref="GZ10:GZ30" si="162">IF(GW10=0,"SELESAI",GU10+GY10)</f>
        <v>SELESAI</v>
      </c>
      <c r="HA10" s="83"/>
      <c r="HB10" s="83"/>
      <c r="HC10" s="17">
        <f t="shared" si="66"/>
        <v>0</v>
      </c>
      <c r="HD10" s="17">
        <f t="shared" si="67"/>
        <v>0</v>
      </c>
      <c r="HE10" s="17">
        <f t="shared" ref="HE10:HE30" si="163">HC10+HD10</f>
        <v>0</v>
      </c>
      <c r="HF10" s="17">
        <f t="shared" ref="HF10:HF30" si="164">FQ10</f>
        <v>0</v>
      </c>
      <c r="HG10" s="17">
        <f t="shared" ref="HG10:HG30" si="165">HE10-HF10</f>
        <v>0</v>
      </c>
      <c r="HH10" s="101" t="str">
        <f t="shared" si="68"/>
        <v>TIDAK KONSINYASI</v>
      </c>
      <c r="HI10" s="101" t="str">
        <f t="shared" ref="HI10:HI30" si="166">IF(GW10=0,"SELESAI",GZ10+$HI$8)</f>
        <v>SELESAI</v>
      </c>
      <c r="HJ10" s="27"/>
      <c r="HK10" s="101">
        <f t="shared" si="69"/>
        <v>0</v>
      </c>
      <c r="HL10" s="83"/>
      <c r="HM10" s="83"/>
      <c r="HN10" s="83"/>
      <c r="HO10" s="83"/>
      <c r="HP10" s="102">
        <f t="shared" ref="HP10:HP30" si="167">IF(HQ10=1,GZ10,0)</f>
        <v>0</v>
      </c>
      <c r="HQ10" s="66">
        <f t="shared" ref="HQ10:HQ30" si="168">IF(IX10=0,IF(HT10=0,IF(IP10=0,IF(GV10="UGR",GS10,0),0),0),0)</f>
        <v>0</v>
      </c>
      <c r="HR10" s="66">
        <f t="shared" si="70"/>
        <v>0</v>
      </c>
      <c r="HS10" s="102">
        <f t="shared" ref="HS10:HS30" si="169">IF(HT10=1,HH10,0)</f>
        <v>0</v>
      </c>
      <c r="HT10" s="66">
        <f t="shared" ref="HT10:HT30" si="170">HG10</f>
        <v>0</v>
      </c>
      <c r="HU10" s="66">
        <f t="shared" si="71"/>
        <v>0</v>
      </c>
      <c r="HV10" s="102">
        <f t="shared" ref="HV10:HV30" si="171">IF(HW10=1,GZ10,0)</f>
        <v>0</v>
      </c>
      <c r="HW10" s="66">
        <f t="shared" si="72"/>
        <v>0</v>
      </c>
      <c r="HX10" s="66">
        <f t="shared" si="73"/>
        <v>0</v>
      </c>
      <c r="HY10" s="102">
        <f t="shared" si="74"/>
        <v>0</v>
      </c>
      <c r="HZ10" s="66">
        <f t="shared" ref="HZ10:HZ30" si="172">HW10</f>
        <v>0</v>
      </c>
      <c r="IA10" s="66">
        <f t="shared" si="75"/>
        <v>0</v>
      </c>
      <c r="IB10" s="102">
        <f t="shared" ref="IB10:IB30" si="173">IF(IC10=1,$GU$3+SUM($GY$6:$GY$8),0)</f>
        <v>0</v>
      </c>
      <c r="IC10" s="66">
        <f t="shared" si="76"/>
        <v>0</v>
      </c>
      <c r="ID10" s="66">
        <f t="shared" si="77"/>
        <v>0</v>
      </c>
      <c r="IE10" s="102">
        <f t="shared" si="78"/>
        <v>0</v>
      </c>
      <c r="IF10" s="66">
        <f t="shared" si="79"/>
        <v>0</v>
      </c>
      <c r="IG10" s="66">
        <f t="shared" si="80"/>
        <v>0</v>
      </c>
      <c r="IH10" s="102">
        <f t="shared" ref="IH10:IH30" si="174">IF(II10=1,$GU$3+SUM($GY$5:$GY$8),0)</f>
        <v>0</v>
      </c>
      <c r="II10" s="66">
        <f t="shared" ref="II10:II30" si="175">IF(GV10="Survey KJPP",GP10,0)</f>
        <v>0</v>
      </c>
      <c r="IJ10" s="66">
        <f t="shared" si="81"/>
        <v>0</v>
      </c>
      <c r="IK10" s="102">
        <f t="shared" si="82"/>
        <v>0</v>
      </c>
      <c r="IL10" s="66">
        <f t="shared" si="83"/>
        <v>0</v>
      </c>
      <c r="IM10" s="66">
        <f t="shared" si="84"/>
        <v>0</v>
      </c>
      <c r="IN10" s="83"/>
      <c r="IO10" s="102">
        <f t="shared" si="85"/>
        <v>0</v>
      </c>
      <c r="IP10" s="66">
        <f t="shared" si="86"/>
        <v>0</v>
      </c>
      <c r="IQ10" s="66">
        <f t="shared" si="87"/>
        <v>0</v>
      </c>
      <c r="IR10" s="83"/>
      <c r="IS10" s="102"/>
      <c r="IT10" s="66">
        <f t="shared" si="88"/>
        <v>1</v>
      </c>
      <c r="IU10" s="66">
        <f t="shared" si="89"/>
        <v>59</v>
      </c>
      <c r="IV10" s="83"/>
      <c r="IW10" s="102"/>
      <c r="IX10" s="66">
        <f t="shared" si="90"/>
        <v>0</v>
      </c>
      <c r="IY10" s="66">
        <f t="shared" si="91"/>
        <v>0</v>
      </c>
      <c r="IZ10" s="83"/>
      <c r="JA10" s="102"/>
      <c r="JB10" s="66">
        <f t="shared" si="92"/>
        <v>0</v>
      </c>
      <c r="JC10" s="66">
        <f t="shared" si="93"/>
        <v>0</v>
      </c>
      <c r="JD10" s="83"/>
      <c r="JE10" s="102"/>
      <c r="JF10" s="66">
        <f t="shared" ref="JF10:JF30" si="176">IT10+HQ10+HT10+HZ10+IF10+IL10+IP10+IX10+JB10</f>
        <v>1</v>
      </c>
      <c r="JG10" s="66">
        <f t="shared" si="94"/>
        <v>59</v>
      </c>
      <c r="JH10" s="83"/>
      <c r="JI10" s="102"/>
      <c r="JJ10" s="66">
        <f t="shared" si="95"/>
        <v>0</v>
      </c>
      <c r="JK10" s="66">
        <f t="shared" si="96"/>
        <v>0</v>
      </c>
      <c r="JM10" s="102">
        <f t="shared" ref="JM10:JM30" si="177">MAX(IW10,IS10,IO10,IK10,IE10,HY10,HS10,HP10)</f>
        <v>0</v>
      </c>
      <c r="JO10" s="29">
        <f t="shared" si="97"/>
        <v>0</v>
      </c>
      <c r="JP10" s="122">
        <f t="shared" si="98"/>
        <v>0</v>
      </c>
      <c r="JQ10" s="122">
        <f t="shared" si="99"/>
        <v>0</v>
      </c>
      <c r="JR10" s="122">
        <f t="shared" si="100"/>
        <v>0</v>
      </c>
      <c r="JS10" s="122">
        <f t="shared" si="101"/>
        <v>0</v>
      </c>
      <c r="JT10" s="122">
        <f t="shared" si="102"/>
        <v>0</v>
      </c>
      <c r="JU10" s="122">
        <f t="shared" si="103"/>
        <v>0</v>
      </c>
      <c r="JV10" s="122">
        <f t="shared" si="104"/>
        <v>0</v>
      </c>
      <c r="JW10" s="122">
        <f t="shared" si="105"/>
        <v>0</v>
      </c>
      <c r="JX10" s="122">
        <f t="shared" si="106"/>
        <v>0</v>
      </c>
      <c r="JY10" s="122">
        <f t="shared" si="107"/>
        <v>0</v>
      </c>
      <c r="JZ10" s="122">
        <f t="shared" si="108"/>
        <v>0</v>
      </c>
      <c r="KA10" s="122">
        <f t="shared" si="109"/>
        <v>0</v>
      </c>
      <c r="KB10" s="122">
        <f t="shared" si="110"/>
        <v>0</v>
      </c>
      <c r="KD10" s="122">
        <f t="shared" ref="KD10:KD31" si="178">IF(IF(SUM(GA10:GE10)&gt;100,1,0)+IF(FX10=1,1,0)=2,1,0)</f>
        <v>0</v>
      </c>
      <c r="KE10" s="122">
        <f t="shared" si="112"/>
        <v>0</v>
      </c>
      <c r="KF10" s="122">
        <f t="shared" si="113"/>
        <v>0</v>
      </c>
      <c r="KG10" s="122">
        <f t="shared" si="114"/>
        <v>0</v>
      </c>
      <c r="KH10" s="122">
        <f t="shared" si="115"/>
        <v>0</v>
      </c>
      <c r="KI10" s="122">
        <f t="shared" si="116"/>
        <v>0</v>
      </c>
      <c r="KJ10" s="122">
        <f t="shared" si="117"/>
        <v>0</v>
      </c>
      <c r="KK10" s="122">
        <f t="shared" si="118"/>
        <v>0</v>
      </c>
      <c r="KL10" s="122">
        <f t="shared" si="119"/>
        <v>0</v>
      </c>
      <c r="KM10" s="122">
        <f t="shared" si="120"/>
        <v>0</v>
      </c>
      <c r="KN10" s="123">
        <f t="shared" si="121"/>
        <v>0</v>
      </c>
      <c r="KO10" s="123">
        <f t="shared" si="122"/>
        <v>0</v>
      </c>
      <c r="KP10" s="123">
        <f t="shared" si="123"/>
        <v>0</v>
      </c>
      <c r="KQ10" s="123">
        <f t="shared" si="124"/>
        <v>0</v>
      </c>
      <c r="KR10" s="123">
        <f t="shared" si="125"/>
        <v>0</v>
      </c>
      <c r="KT10">
        <f t="shared" si="126"/>
        <v>0</v>
      </c>
      <c r="KU10" s="123"/>
      <c r="KV10" s="123"/>
      <c r="KW10" s="123"/>
      <c r="KX10" s="123"/>
      <c r="KY10" s="123"/>
      <c r="KZ10" s="123"/>
      <c r="LA10" s="123"/>
      <c r="LB10" s="123"/>
      <c r="LC10" s="123"/>
      <c r="LD10" s="123"/>
      <c r="LE10" s="123"/>
      <c r="LF10" s="123"/>
      <c r="LG10" s="123"/>
      <c r="LH10" s="123"/>
      <c r="LI10" s="123"/>
      <c r="LJ10" s="123"/>
      <c r="LK10" s="123"/>
      <c r="LL10" s="123"/>
      <c r="LM10" s="123"/>
      <c r="LN10" s="123"/>
      <c r="LO10" s="123"/>
      <c r="LP10" s="123"/>
      <c r="LQ10" s="123"/>
      <c r="LR10" s="123"/>
      <c r="LS10" s="123"/>
      <c r="LT10" s="123"/>
      <c r="LU10" s="123"/>
      <c r="LV10" s="123"/>
      <c r="LW10" s="123"/>
      <c r="LX10" s="123"/>
      <c r="LY10" s="123"/>
      <c r="LZ10" s="123"/>
      <c r="MA10" s="123"/>
      <c r="MB10" s="123"/>
      <c r="MC10" s="123"/>
      <c r="MD10" s="123"/>
      <c r="ME10" s="123"/>
      <c r="MF10" s="123"/>
      <c r="MG10" s="123"/>
      <c r="MH10" s="123"/>
      <c r="MI10" s="123"/>
      <c r="MJ10" s="123"/>
      <c r="MK10" s="123"/>
      <c r="ML10" s="123"/>
      <c r="MM10" s="123"/>
      <c r="MN10" s="123"/>
      <c r="MO10" s="123"/>
      <c r="MP10" s="123"/>
      <c r="MQ10" s="123"/>
      <c r="MR10" s="123"/>
      <c r="MS10" s="123"/>
      <c r="MT10" s="123"/>
      <c r="MU10" s="123"/>
      <c r="MV10" s="123"/>
      <c r="MW10" s="123"/>
      <c r="MX10" s="123"/>
      <c r="MY10" s="123"/>
      <c r="MZ10" s="123"/>
      <c r="NA10" s="123"/>
      <c r="NB10" s="123"/>
      <c r="NC10" s="123"/>
      <c r="ND10" s="123"/>
      <c r="NE10" s="123"/>
      <c r="NF10" s="123"/>
      <c r="NG10" s="123"/>
      <c r="NH10" s="123"/>
      <c r="NI10" s="123"/>
      <c r="NJ10" s="123"/>
      <c r="NK10" s="123"/>
      <c r="NM10">
        <f t="shared" ref="NM10:NM30" si="179">IF(KS10=1,1,0)</f>
        <v>0</v>
      </c>
      <c r="NN10">
        <f t="shared" ref="NN10:NN30" si="180">IF(KS10=2,1,0)</f>
        <v>0</v>
      </c>
      <c r="NO10">
        <f t="shared" ref="NO10:NO30" si="181">IF(KS10=3,1,0)</f>
        <v>0</v>
      </c>
      <c r="NP10">
        <f t="shared" ref="NP10:NP30" si="182">IF(KS10=4,1,0)</f>
        <v>0</v>
      </c>
      <c r="NQ10">
        <f t="shared" ref="NQ10:NQ30" si="183">IF(KS10=5,1,0)</f>
        <v>0</v>
      </c>
      <c r="NR10">
        <f t="shared" ref="NR10:NR30" si="184">IF(KS10=6,1,0)</f>
        <v>0</v>
      </c>
      <c r="NS10">
        <f t="shared" ref="NS10:NS30" si="185">IF(KS10=7,1,0)</f>
        <v>0</v>
      </c>
      <c r="NT10">
        <f t="shared" ref="NT10:NT30" si="186">SUM(NM10:NS10)</f>
        <v>0</v>
      </c>
      <c r="NU10" s="29">
        <f t="shared" ref="NU10:NU30" si="187">NT10-KT10</f>
        <v>0</v>
      </c>
      <c r="NY10" s="29">
        <f t="shared" si="128"/>
        <v>1</v>
      </c>
      <c r="NZ10" s="152">
        <v>8800000</v>
      </c>
      <c r="OE10" s="155">
        <f t="shared" si="129"/>
        <v>0</v>
      </c>
      <c r="OF10" s="155">
        <f t="shared" si="130"/>
        <v>0</v>
      </c>
      <c r="OG10" s="155">
        <f t="shared" si="131"/>
        <v>0</v>
      </c>
      <c r="OH10" s="155">
        <f t="shared" ref="OH10:OH30" si="188">HE10</f>
        <v>0</v>
      </c>
      <c r="OI10" s="155">
        <f t="shared" si="132"/>
        <v>0</v>
      </c>
      <c r="OJ10" s="67">
        <f t="shared" ref="OJ10:OJ30" si="189">IF(OG10=1,OF10,0)</f>
        <v>0</v>
      </c>
      <c r="OK10" s="67">
        <f t="shared" ref="OK10:OK30" si="190">IF(OH10=1,OF10,0)</f>
        <v>0</v>
      </c>
      <c r="OL10" s="67">
        <f t="shared" ref="OL10:OL30" si="191">IF((OG10+OH10)=0,OF10,0)</f>
        <v>0</v>
      </c>
      <c r="OM10" s="67">
        <f t="shared" ref="OM10:OM30" si="192">SUM(OJ10:OL10)</f>
        <v>0</v>
      </c>
      <c r="OO10" s="155">
        <f t="shared" si="133"/>
        <v>0</v>
      </c>
      <c r="OP10" s="155">
        <f t="shared" si="134"/>
        <v>0</v>
      </c>
      <c r="OQ10" s="155">
        <f t="shared" ref="OQ10:OQ30" si="193">OG10</f>
        <v>0</v>
      </c>
      <c r="OR10" s="155">
        <f t="shared" ref="OR10:OR30" si="194">OH10</f>
        <v>0</v>
      </c>
      <c r="OS10" s="155">
        <f t="shared" ref="OS10:OS30" si="195">OI10</f>
        <v>0</v>
      </c>
      <c r="OT10" s="67">
        <f t="shared" ref="OT10:OT30" si="196">IF(OQ10=1,OP10,0)</f>
        <v>0</v>
      </c>
      <c r="OU10" s="67">
        <f t="shared" ref="OU10:OU30" si="197">IF(OR10=1,OP10,0)</f>
        <v>0</v>
      </c>
      <c r="OV10" s="67">
        <f t="shared" ref="OV10:OV30" si="198">IF((OQ10+OR10)=0,OP10,0)</f>
        <v>0</v>
      </c>
      <c r="OW10" s="67">
        <f t="shared" ref="OW10:OW30" si="199">SUM(OT10:OV10)</f>
        <v>0</v>
      </c>
      <c r="PA10" s="166"/>
      <c r="PB10" s="166"/>
      <c r="PC10" s="166"/>
      <c r="PD10" s="210">
        <f t="shared" si="135"/>
        <v>0</v>
      </c>
      <c r="PE10" s="210"/>
      <c r="PF10" s="210">
        <f t="shared" si="136"/>
        <v>0</v>
      </c>
      <c r="PG10" s="210">
        <f t="shared" si="137"/>
        <v>0</v>
      </c>
      <c r="PH10" s="210">
        <f t="shared" si="137"/>
        <v>0</v>
      </c>
      <c r="PI10" s="210">
        <f t="shared" si="137"/>
        <v>0</v>
      </c>
      <c r="PJ10" s="210">
        <f t="shared" si="137"/>
        <v>0</v>
      </c>
      <c r="PK10" s="210">
        <f t="shared" si="137"/>
        <v>0</v>
      </c>
      <c r="PL10" s="210">
        <f t="shared" si="137"/>
        <v>0</v>
      </c>
      <c r="PO10" s="172">
        <f t="shared" ref="PO10:PO31" si="200">IF(FC10=1,AB10,0)</f>
        <v>0</v>
      </c>
      <c r="PP10" s="172">
        <f t="shared" ref="PP10:PP31" si="201">IF(FF10=1,AB10,0)</f>
        <v>0</v>
      </c>
      <c r="PQ10" s="172">
        <f t="shared" ref="PQ10:PQ31" si="202">AB10-(PO10+PP10)</f>
        <v>0</v>
      </c>
    </row>
    <row r="11" spans="1:433" ht="16" x14ac:dyDescent="0.2">
      <c r="A11" s="19">
        <f t="shared" ref="A11:A27" si="203">A10+1</f>
        <v>3</v>
      </c>
      <c r="B11" s="138" t="s">
        <v>253</v>
      </c>
      <c r="C11" s="138">
        <v>3</v>
      </c>
      <c r="D11" s="20">
        <v>1</v>
      </c>
      <c r="E11" s="20">
        <v>40</v>
      </c>
      <c r="F11" s="20">
        <v>1</v>
      </c>
      <c r="G11" s="20">
        <f t="shared" si="138"/>
        <v>40</v>
      </c>
      <c r="H11" s="137">
        <f t="shared" si="2"/>
        <v>1</v>
      </c>
      <c r="I11" s="137">
        <f t="shared" si="3"/>
        <v>1</v>
      </c>
      <c r="J11" s="20">
        <v>1</v>
      </c>
      <c r="K11" s="20">
        <f t="shared" si="4"/>
        <v>40</v>
      </c>
      <c r="L11" s="137">
        <f t="shared" si="5"/>
        <v>1</v>
      </c>
      <c r="M11" s="137">
        <f t="shared" si="6"/>
        <v>1</v>
      </c>
      <c r="N11" s="20">
        <v>1</v>
      </c>
      <c r="O11" s="20">
        <f t="shared" si="7"/>
        <v>40</v>
      </c>
      <c r="P11" s="137">
        <f t="shared" si="8"/>
        <v>1</v>
      </c>
      <c r="Q11" s="137">
        <f t="shared" si="9"/>
        <v>1</v>
      </c>
      <c r="R11" s="20">
        <v>1</v>
      </c>
      <c r="S11" s="20">
        <f t="shared" si="10"/>
        <v>40</v>
      </c>
      <c r="T11" s="137">
        <f t="shared" si="11"/>
        <v>1</v>
      </c>
      <c r="U11" s="137">
        <f t="shared" si="12"/>
        <v>1</v>
      </c>
      <c r="V11" s="20">
        <v>1</v>
      </c>
      <c r="W11" s="20">
        <f t="shared" si="13"/>
        <v>40</v>
      </c>
      <c r="X11" s="137">
        <f t="shared" si="14"/>
        <v>1</v>
      </c>
      <c r="Y11" s="137">
        <f t="shared" si="15"/>
        <v>1</v>
      </c>
      <c r="Z11" s="61">
        <f>997232000/1000000000</f>
        <v>0.99723200000000001</v>
      </c>
      <c r="AA11" s="61"/>
      <c r="AB11" s="17">
        <f t="shared" si="139"/>
        <v>0</v>
      </c>
      <c r="AC11" s="18">
        <f t="shared" si="140"/>
        <v>0</v>
      </c>
      <c r="AD11" s="18">
        <f t="shared" si="141"/>
        <v>0</v>
      </c>
      <c r="AE11" s="61"/>
      <c r="AF11" s="20">
        <f t="shared" si="142"/>
        <v>0</v>
      </c>
      <c r="AG11" s="20"/>
      <c r="AH11" s="31"/>
      <c r="AI11" s="20">
        <v>0</v>
      </c>
      <c r="AJ11" s="20">
        <f t="shared" ref="AJ11:AJ27" si="204">IF(AI11=D11,E11,0)</f>
        <v>0</v>
      </c>
      <c r="AK11" s="20"/>
      <c r="AL11" s="20">
        <v>0</v>
      </c>
      <c r="AM11" s="20">
        <v>0</v>
      </c>
      <c r="AN11" s="139"/>
      <c r="AO11" s="17">
        <f t="shared" si="18"/>
        <v>0</v>
      </c>
      <c r="AP11" s="17">
        <f t="shared" si="19"/>
        <v>0</v>
      </c>
      <c r="AQ11" s="17">
        <f t="shared" si="20"/>
        <v>0</v>
      </c>
      <c r="AR11" s="17">
        <f t="shared" si="21"/>
        <v>0</v>
      </c>
      <c r="AS11" s="17">
        <f t="shared" si="22"/>
        <v>0</v>
      </c>
      <c r="AT11" s="17">
        <f t="shared" si="23"/>
        <v>0</v>
      </c>
      <c r="AU11" s="17">
        <f t="shared" si="24"/>
        <v>0</v>
      </c>
      <c r="AV11" s="17">
        <f t="shared" si="25"/>
        <v>0</v>
      </c>
      <c r="AW11" s="17">
        <f t="shared" si="26"/>
        <v>0</v>
      </c>
      <c r="AX11" s="17">
        <f t="shared" si="27"/>
        <v>0</v>
      </c>
      <c r="AY11" s="17">
        <f t="shared" ref="AY11:AY27" si="205">AU11-AW11</f>
        <v>0</v>
      </c>
      <c r="AZ11" s="17">
        <f t="shared" ref="AZ11:AZ27" si="206">AV11-AX11</f>
        <v>0</v>
      </c>
      <c r="BA11" s="17">
        <f t="shared" si="145"/>
        <v>0</v>
      </c>
      <c r="BB11" s="17">
        <f t="shared" si="146"/>
        <v>0</v>
      </c>
      <c r="BC11" s="29">
        <f t="shared" si="147"/>
        <v>0</v>
      </c>
      <c r="BE11" s="17">
        <f t="shared" si="28"/>
        <v>0</v>
      </c>
      <c r="BF11" s="17">
        <f t="shared" si="29"/>
        <v>0</v>
      </c>
      <c r="BG11" s="17">
        <f t="shared" si="30"/>
        <v>0</v>
      </c>
      <c r="BH11" s="17">
        <f t="shared" si="31"/>
        <v>0</v>
      </c>
      <c r="BI11" s="17">
        <f t="shared" si="32"/>
        <v>0</v>
      </c>
      <c r="BJ11" s="17">
        <f t="shared" si="33"/>
        <v>0</v>
      </c>
      <c r="BK11" s="17">
        <f t="shared" si="148"/>
        <v>0</v>
      </c>
      <c r="BN11" s="143"/>
      <c r="BO11" s="126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B11" s="20"/>
      <c r="CD11" s="17">
        <f t="shared" si="35"/>
        <v>0</v>
      </c>
      <c r="CE11" s="17">
        <f t="shared" si="36"/>
        <v>0</v>
      </c>
      <c r="CF11" s="20">
        <f t="shared" ref="CF11:CF30" si="207">IF(BP11=1,$CD11,0)</f>
        <v>0</v>
      </c>
      <c r="CG11" s="20">
        <f t="shared" ref="CG11:CG30" si="208">IF(BQ11=1,$CD11,0)</f>
        <v>0</v>
      </c>
      <c r="CH11" s="20">
        <f t="shared" ref="CH11:CH30" si="209">IF(BR11=1,$CD11,0)</f>
        <v>0</v>
      </c>
      <c r="CI11" s="20">
        <f t="shared" ref="CI11:CI30" si="210">IF(BS11=1,$CD11,0)</f>
        <v>0</v>
      </c>
      <c r="CJ11" s="20">
        <f t="shared" ref="CJ11:CJ30" si="211">IF(BT11=1,$CD11,0)</f>
        <v>0</v>
      </c>
      <c r="CK11" s="20">
        <f t="shared" ref="CK11:CK30" si="212">IF(BU11=1,$CD11,0)</f>
        <v>0</v>
      </c>
      <c r="CL11" s="20">
        <f t="shared" ref="CL11:CL30" si="213">IF(BV11=1,$CD11,0)</f>
        <v>0</v>
      </c>
      <c r="CM11" s="20">
        <f t="shared" ref="CM11:CM30" si="214">IF(BW11=1,$CD11,0)</f>
        <v>0</v>
      </c>
      <c r="CN11" s="20">
        <f t="shared" ref="CN11:CN30" si="215">IF(BX11=1,$CD11,0)</f>
        <v>0</v>
      </c>
      <c r="CO11" s="20">
        <f t="shared" ref="CO11:CO30" si="216">IF(BY11=1,$CD11,0)</f>
        <v>0</v>
      </c>
      <c r="CP11" s="20">
        <f t="shared" ref="CP11:CP30" si="217">IF(BZ11=1,$CD11,0)</f>
        <v>0</v>
      </c>
      <c r="DV11" s="20">
        <f t="shared" si="48"/>
        <v>0</v>
      </c>
      <c r="DW11" s="20">
        <f t="shared" si="49"/>
        <v>0</v>
      </c>
      <c r="DX11" s="20">
        <f t="shared" si="50"/>
        <v>0</v>
      </c>
      <c r="DY11" s="20">
        <f t="shared" si="51"/>
        <v>0</v>
      </c>
      <c r="DZ11" s="20">
        <f t="shared" si="52"/>
        <v>0</v>
      </c>
      <c r="EA11" s="20">
        <f t="shared" si="53"/>
        <v>0</v>
      </c>
      <c r="EB11" s="20">
        <f t="shared" si="150"/>
        <v>0</v>
      </c>
      <c r="ED11" s="46" t="s">
        <v>368</v>
      </c>
      <c r="EE11" s="46" t="s">
        <v>370</v>
      </c>
      <c r="EF11" s="56"/>
      <c r="EG11" s="57">
        <f t="shared" si="151"/>
        <v>0</v>
      </c>
      <c r="EH11" s="57">
        <f t="shared" si="152"/>
        <v>0</v>
      </c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X11" s="169"/>
      <c r="FY11" s="17">
        <f t="shared" si="153"/>
        <v>0</v>
      </c>
      <c r="FZ11" s="17">
        <f t="shared" si="55"/>
        <v>0</v>
      </c>
      <c r="GA11" s="17">
        <f t="shared" si="56"/>
        <v>0</v>
      </c>
      <c r="GB11" s="17">
        <f t="shared" si="57"/>
        <v>0</v>
      </c>
      <c r="GC11" s="17">
        <f t="shared" si="58"/>
        <v>0</v>
      </c>
      <c r="GD11" s="17">
        <f t="shared" si="59"/>
        <v>0</v>
      </c>
      <c r="GE11" s="17">
        <f t="shared" si="60"/>
        <v>0</v>
      </c>
      <c r="GF11" s="67"/>
      <c r="GG11" s="17">
        <v>0</v>
      </c>
      <c r="GH11" s="17">
        <v>0</v>
      </c>
      <c r="GI11" s="67"/>
      <c r="GJ11" s="62">
        <f t="shared" si="154"/>
        <v>0</v>
      </c>
      <c r="GK11" s="62">
        <f t="shared" si="155"/>
        <v>0</v>
      </c>
      <c r="GO11" s="17">
        <f t="shared" si="61"/>
        <v>0</v>
      </c>
      <c r="GP11" s="17">
        <f t="shared" si="62"/>
        <v>0</v>
      </c>
      <c r="GQ11" s="17">
        <f t="shared" si="63"/>
        <v>0</v>
      </c>
      <c r="GR11" s="17">
        <f t="shared" si="64"/>
        <v>0</v>
      </c>
      <c r="GS11" s="17">
        <f t="shared" si="65"/>
        <v>0</v>
      </c>
      <c r="GT11" s="17">
        <f t="shared" si="156"/>
        <v>1</v>
      </c>
      <c r="GU11" s="101">
        <f t="shared" si="157"/>
        <v>43243</v>
      </c>
      <c r="GV11" s="17" t="str">
        <f t="shared" si="158"/>
        <v>SELESAI</v>
      </c>
      <c r="GW11" s="17">
        <f t="shared" si="159"/>
        <v>0</v>
      </c>
      <c r="GX11" s="66" t="str">
        <f t="shared" si="160"/>
        <v>SELESAI</v>
      </c>
      <c r="GY11" s="66">
        <f t="shared" si="161"/>
        <v>0</v>
      </c>
      <c r="GZ11" s="102" t="str">
        <f t="shared" si="162"/>
        <v>SELESAI</v>
      </c>
      <c r="HA11" s="83"/>
      <c r="HB11" s="83"/>
      <c r="HC11" s="17">
        <f t="shared" si="66"/>
        <v>0</v>
      </c>
      <c r="HD11" s="17">
        <f t="shared" si="67"/>
        <v>0</v>
      </c>
      <c r="HE11" s="17">
        <f t="shared" si="163"/>
        <v>0</v>
      </c>
      <c r="HF11" s="17">
        <f t="shared" si="164"/>
        <v>0</v>
      </c>
      <c r="HG11" s="17">
        <f t="shared" si="165"/>
        <v>0</v>
      </c>
      <c r="HH11" s="101" t="str">
        <f t="shared" si="68"/>
        <v>TIDAK KONSINYASI</v>
      </c>
      <c r="HI11" s="101" t="str">
        <f t="shared" si="166"/>
        <v>SELESAI</v>
      </c>
      <c r="HJ11" s="27"/>
      <c r="HK11" s="101">
        <f t="shared" si="69"/>
        <v>0</v>
      </c>
      <c r="HL11" s="83"/>
      <c r="HM11" s="83"/>
      <c r="HN11" s="83"/>
      <c r="HO11" s="83"/>
      <c r="HP11" s="102">
        <f t="shared" si="167"/>
        <v>0</v>
      </c>
      <c r="HQ11" s="66">
        <f t="shared" si="168"/>
        <v>0</v>
      </c>
      <c r="HR11" s="66">
        <f t="shared" si="70"/>
        <v>0</v>
      </c>
      <c r="HS11" s="102">
        <f t="shared" si="169"/>
        <v>0</v>
      </c>
      <c r="HT11" s="66">
        <f t="shared" si="170"/>
        <v>0</v>
      </c>
      <c r="HU11" s="66">
        <f t="shared" si="71"/>
        <v>0</v>
      </c>
      <c r="HV11" s="102">
        <f t="shared" si="171"/>
        <v>0</v>
      </c>
      <c r="HW11" s="66">
        <f t="shared" si="72"/>
        <v>0</v>
      </c>
      <c r="HX11" s="66">
        <f t="shared" si="73"/>
        <v>0</v>
      </c>
      <c r="HY11" s="102">
        <f t="shared" si="74"/>
        <v>0</v>
      </c>
      <c r="HZ11" s="66">
        <f t="shared" si="172"/>
        <v>0</v>
      </c>
      <c r="IA11" s="66">
        <f t="shared" si="75"/>
        <v>0</v>
      </c>
      <c r="IB11" s="102">
        <f t="shared" si="173"/>
        <v>0</v>
      </c>
      <c r="IC11" s="66">
        <f t="shared" si="76"/>
        <v>0</v>
      </c>
      <c r="ID11" s="66">
        <f t="shared" si="77"/>
        <v>0</v>
      </c>
      <c r="IE11" s="102">
        <f t="shared" si="78"/>
        <v>0</v>
      </c>
      <c r="IF11" s="66">
        <f t="shared" si="79"/>
        <v>0</v>
      </c>
      <c r="IG11" s="66">
        <f t="shared" si="80"/>
        <v>0</v>
      </c>
      <c r="IH11" s="102">
        <f t="shared" si="174"/>
        <v>0</v>
      </c>
      <c r="II11" s="66">
        <f t="shared" si="175"/>
        <v>0</v>
      </c>
      <c r="IJ11" s="66">
        <f t="shared" si="81"/>
        <v>0</v>
      </c>
      <c r="IK11" s="102">
        <f t="shared" si="82"/>
        <v>0</v>
      </c>
      <c r="IL11" s="66">
        <f t="shared" si="83"/>
        <v>0</v>
      </c>
      <c r="IM11" s="66">
        <f t="shared" si="84"/>
        <v>0</v>
      </c>
      <c r="IN11" s="83"/>
      <c r="IO11" s="102">
        <f t="shared" si="85"/>
        <v>0</v>
      </c>
      <c r="IP11" s="66">
        <f t="shared" si="86"/>
        <v>0</v>
      </c>
      <c r="IQ11" s="66">
        <f t="shared" si="87"/>
        <v>0</v>
      </c>
      <c r="IR11" s="83"/>
      <c r="IS11" s="102"/>
      <c r="IT11" s="66">
        <f t="shared" si="88"/>
        <v>1</v>
      </c>
      <c r="IU11" s="66">
        <f t="shared" si="89"/>
        <v>40</v>
      </c>
      <c r="IV11" s="83"/>
      <c r="IW11" s="102"/>
      <c r="IX11" s="66">
        <f t="shared" si="90"/>
        <v>0</v>
      </c>
      <c r="IY11" s="66">
        <f t="shared" si="91"/>
        <v>0</v>
      </c>
      <c r="IZ11" s="83"/>
      <c r="JA11" s="102"/>
      <c r="JB11" s="66">
        <f t="shared" si="92"/>
        <v>0</v>
      </c>
      <c r="JC11" s="66">
        <f t="shared" si="93"/>
        <v>0</v>
      </c>
      <c r="JD11" s="83"/>
      <c r="JE11" s="102"/>
      <c r="JF11" s="66">
        <f t="shared" si="176"/>
        <v>1</v>
      </c>
      <c r="JG11" s="66">
        <f t="shared" si="94"/>
        <v>40</v>
      </c>
      <c r="JH11" s="83"/>
      <c r="JI11" s="102"/>
      <c r="JJ11" s="66">
        <f t="shared" si="95"/>
        <v>0</v>
      </c>
      <c r="JK11" s="66">
        <f t="shared" si="96"/>
        <v>0</v>
      </c>
      <c r="JM11" s="102">
        <f t="shared" si="177"/>
        <v>0</v>
      </c>
      <c r="JO11" s="29">
        <f t="shared" si="97"/>
        <v>0</v>
      </c>
      <c r="JP11" s="122">
        <f t="shared" si="98"/>
        <v>0</v>
      </c>
      <c r="JQ11" s="122">
        <f t="shared" si="99"/>
        <v>0</v>
      </c>
      <c r="JR11" s="122">
        <f t="shared" si="100"/>
        <v>0</v>
      </c>
      <c r="JS11" s="122">
        <f t="shared" si="101"/>
        <v>0</v>
      </c>
      <c r="JT11" s="122">
        <f t="shared" si="102"/>
        <v>0</v>
      </c>
      <c r="JU11" s="122">
        <f t="shared" si="103"/>
        <v>0</v>
      </c>
      <c r="JV11" s="122">
        <f t="shared" si="104"/>
        <v>0</v>
      </c>
      <c r="JW11" s="122">
        <f t="shared" si="105"/>
        <v>0</v>
      </c>
      <c r="JX11" s="122">
        <f t="shared" si="106"/>
        <v>0</v>
      </c>
      <c r="JY11" s="122">
        <f t="shared" si="107"/>
        <v>0</v>
      </c>
      <c r="JZ11" s="122">
        <f t="shared" si="108"/>
        <v>0</v>
      </c>
      <c r="KA11" s="122">
        <f t="shared" si="109"/>
        <v>0</v>
      </c>
      <c r="KB11" s="122">
        <f t="shared" si="110"/>
        <v>0</v>
      </c>
      <c r="KD11" s="122">
        <f t="shared" si="178"/>
        <v>0</v>
      </c>
      <c r="KE11" s="122">
        <f t="shared" si="112"/>
        <v>0</v>
      </c>
      <c r="KF11" s="122">
        <f t="shared" si="113"/>
        <v>0</v>
      </c>
      <c r="KG11" s="122">
        <f t="shared" si="114"/>
        <v>0</v>
      </c>
      <c r="KH11" s="122">
        <f t="shared" si="115"/>
        <v>0</v>
      </c>
      <c r="KI11" s="122">
        <f t="shared" si="116"/>
        <v>0</v>
      </c>
      <c r="KJ11" s="122">
        <f t="shared" si="117"/>
        <v>0</v>
      </c>
      <c r="KK11" s="122">
        <f t="shared" si="118"/>
        <v>0</v>
      </c>
      <c r="KL11" s="122">
        <f t="shared" si="119"/>
        <v>0</v>
      </c>
      <c r="KM11" s="122">
        <f t="shared" si="120"/>
        <v>0</v>
      </c>
      <c r="KN11" s="123">
        <f t="shared" si="121"/>
        <v>0</v>
      </c>
      <c r="KO11" s="123">
        <f t="shared" si="122"/>
        <v>0</v>
      </c>
      <c r="KP11" s="123">
        <f t="shared" si="123"/>
        <v>0</v>
      </c>
      <c r="KQ11" s="123">
        <f t="shared" si="124"/>
        <v>0</v>
      </c>
      <c r="KR11" s="123">
        <f t="shared" si="125"/>
        <v>0</v>
      </c>
      <c r="KT11">
        <f t="shared" si="126"/>
        <v>0</v>
      </c>
      <c r="KU11" s="123"/>
      <c r="KV11" s="123"/>
      <c r="KW11" s="123"/>
      <c r="KX11" s="123"/>
      <c r="KY11" s="123"/>
      <c r="KZ11" s="123"/>
      <c r="LA11" s="123"/>
      <c r="LB11" s="123"/>
      <c r="LC11" s="123"/>
      <c r="LD11" s="123"/>
      <c r="LE11" s="123"/>
      <c r="LF11" s="123"/>
      <c r="LG11" s="123"/>
      <c r="LH11" s="123"/>
      <c r="LI11" s="123"/>
      <c r="LJ11" s="123"/>
      <c r="LK11" s="123"/>
      <c r="LL11" s="123"/>
      <c r="LM11" s="123"/>
      <c r="LN11" s="123"/>
      <c r="LO11" s="123"/>
      <c r="LP11" s="123"/>
      <c r="LQ11" s="123"/>
      <c r="LR11" s="123"/>
      <c r="LS11" s="123"/>
      <c r="LT11" s="123"/>
      <c r="LU11" s="123"/>
      <c r="LV11" s="123"/>
      <c r="LW11" s="123"/>
      <c r="LX11" s="123"/>
      <c r="LY11" s="123"/>
      <c r="LZ11" s="123"/>
      <c r="MA11" s="123"/>
      <c r="MB11" s="123"/>
      <c r="MC11" s="123"/>
      <c r="MD11" s="123"/>
      <c r="ME11" s="123"/>
      <c r="MF11" s="123"/>
      <c r="MG11" s="123"/>
      <c r="MH11" s="123"/>
      <c r="MI11" s="123"/>
      <c r="MJ11" s="123"/>
      <c r="MK11" s="123"/>
      <c r="ML11" s="123"/>
      <c r="MM11" s="123"/>
      <c r="MN11" s="123"/>
      <c r="MO11" s="123"/>
      <c r="MP11" s="123"/>
      <c r="MQ11" s="123"/>
      <c r="MR11" s="123"/>
      <c r="MS11" s="123"/>
      <c r="MT11" s="123"/>
      <c r="MU11" s="123"/>
      <c r="MV11" s="123"/>
      <c r="MW11" s="123"/>
      <c r="MX11" s="123"/>
      <c r="MY11" s="123"/>
      <c r="MZ11" s="123"/>
      <c r="NA11" s="123"/>
      <c r="NB11" s="123"/>
      <c r="NC11" s="123"/>
      <c r="ND11" s="123"/>
      <c r="NE11" s="123"/>
      <c r="NF11" s="123"/>
      <c r="NG11" s="123"/>
      <c r="NH11" s="123"/>
      <c r="NI11" s="123"/>
      <c r="NJ11" s="123"/>
      <c r="NK11" s="123"/>
      <c r="NM11">
        <f t="shared" si="179"/>
        <v>0</v>
      </c>
      <c r="NN11">
        <f t="shared" si="180"/>
        <v>0</v>
      </c>
      <c r="NO11">
        <f t="shared" si="181"/>
        <v>0</v>
      </c>
      <c r="NP11">
        <f t="shared" si="182"/>
        <v>0</v>
      </c>
      <c r="NQ11">
        <f t="shared" si="183"/>
        <v>0</v>
      </c>
      <c r="NR11">
        <f t="shared" si="184"/>
        <v>0</v>
      </c>
      <c r="NS11">
        <f t="shared" si="185"/>
        <v>0</v>
      </c>
      <c r="NT11">
        <f t="shared" si="186"/>
        <v>0</v>
      </c>
      <c r="NU11" s="29">
        <f t="shared" si="187"/>
        <v>0</v>
      </c>
      <c r="NY11" s="29">
        <f t="shared" si="128"/>
        <v>1</v>
      </c>
      <c r="NZ11" s="152">
        <v>8624000</v>
      </c>
      <c r="OE11" s="155">
        <f t="shared" si="129"/>
        <v>0</v>
      </c>
      <c r="OF11" s="155">
        <f t="shared" si="130"/>
        <v>0</v>
      </c>
      <c r="OG11" s="155">
        <f t="shared" si="131"/>
        <v>0</v>
      </c>
      <c r="OH11" s="155">
        <f t="shared" si="188"/>
        <v>0</v>
      </c>
      <c r="OI11" s="155">
        <f t="shared" si="132"/>
        <v>0</v>
      </c>
      <c r="OJ11" s="67">
        <f t="shared" si="189"/>
        <v>0</v>
      </c>
      <c r="OK11" s="67">
        <f t="shared" si="190"/>
        <v>0</v>
      </c>
      <c r="OL11" s="67">
        <f t="shared" si="191"/>
        <v>0</v>
      </c>
      <c r="OM11" s="67">
        <f t="shared" si="192"/>
        <v>0</v>
      </c>
      <c r="OO11" s="155">
        <f t="shared" si="133"/>
        <v>0</v>
      </c>
      <c r="OP11" s="155">
        <f t="shared" si="134"/>
        <v>0</v>
      </c>
      <c r="OQ11" s="155">
        <f t="shared" si="193"/>
        <v>0</v>
      </c>
      <c r="OR11" s="155">
        <f t="shared" si="194"/>
        <v>0</v>
      </c>
      <c r="OS11" s="155">
        <f t="shared" si="195"/>
        <v>0</v>
      </c>
      <c r="OT11" s="67">
        <f t="shared" si="196"/>
        <v>0</v>
      </c>
      <c r="OU11" s="67">
        <f t="shared" si="197"/>
        <v>0</v>
      </c>
      <c r="OV11" s="67">
        <f t="shared" si="198"/>
        <v>0</v>
      </c>
      <c r="OW11" s="67">
        <f t="shared" si="199"/>
        <v>0</v>
      </c>
      <c r="PA11" s="166"/>
      <c r="PB11" s="166"/>
      <c r="PC11" s="166"/>
      <c r="PD11" s="210">
        <f t="shared" si="135"/>
        <v>0</v>
      </c>
      <c r="PE11" s="210"/>
      <c r="PF11" s="210">
        <f t="shared" si="136"/>
        <v>0</v>
      </c>
      <c r="PG11" s="210">
        <f t="shared" si="137"/>
        <v>0</v>
      </c>
      <c r="PH11" s="210">
        <f t="shared" si="137"/>
        <v>0</v>
      </c>
      <c r="PI11" s="210">
        <f t="shared" si="137"/>
        <v>0</v>
      </c>
      <c r="PJ11" s="210">
        <f t="shared" si="137"/>
        <v>0</v>
      </c>
      <c r="PK11" s="210">
        <f t="shared" si="137"/>
        <v>0</v>
      </c>
      <c r="PL11" s="210">
        <f t="shared" si="137"/>
        <v>0</v>
      </c>
      <c r="PO11" s="172">
        <f t="shared" si="200"/>
        <v>0</v>
      </c>
      <c r="PP11" s="172">
        <f t="shared" si="201"/>
        <v>0</v>
      </c>
      <c r="PQ11" s="172">
        <f t="shared" si="202"/>
        <v>0</v>
      </c>
    </row>
    <row r="12" spans="1:433" ht="16" x14ac:dyDescent="0.2">
      <c r="A12" s="19">
        <f t="shared" si="203"/>
        <v>4</v>
      </c>
      <c r="B12" s="138" t="s">
        <v>254</v>
      </c>
      <c r="C12" s="138">
        <v>4</v>
      </c>
      <c r="D12" s="20">
        <v>1</v>
      </c>
      <c r="E12" s="20">
        <v>149</v>
      </c>
      <c r="F12" s="20">
        <v>1</v>
      </c>
      <c r="G12" s="20">
        <f t="shared" si="138"/>
        <v>149</v>
      </c>
      <c r="H12" s="137">
        <f t="shared" si="2"/>
        <v>1</v>
      </c>
      <c r="I12" s="137">
        <f t="shared" si="3"/>
        <v>1</v>
      </c>
      <c r="J12" s="20">
        <v>1</v>
      </c>
      <c r="K12" s="20">
        <f t="shared" si="4"/>
        <v>149</v>
      </c>
      <c r="L12" s="137">
        <f t="shared" si="5"/>
        <v>1</v>
      </c>
      <c r="M12" s="137">
        <f t="shared" si="6"/>
        <v>1</v>
      </c>
      <c r="N12" s="20">
        <v>1</v>
      </c>
      <c r="O12" s="20">
        <f t="shared" si="7"/>
        <v>149</v>
      </c>
      <c r="P12" s="137">
        <f t="shared" si="8"/>
        <v>1</v>
      </c>
      <c r="Q12" s="137">
        <f t="shared" si="9"/>
        <v>1</v>
      </c>
      <c r="R12" s="20">
        <v>1</v>
      </c>
      <c r="S12" s="20">
        <f t="shared" si="10"/>
        <v>149</v>
      </c>
      <c r="T12" s="137">
        <f t="shared" si="11"/>
        <v>1</v>
      </c>
      <c r="U12" s="137">
        <f t="shared" si="12"/>
        <v>1</v>
      </c>
      <c r="V12" s="20">
        <v>1</v>
      </c>
      <c r="W12" s="20">
        <f t="shared" si="13"/>
        <v>149</v>
      </c>
      <c r="X12" s="137">
        <f t="shared" si="14"/>
        <v>1</v>
      </c>
      <c r="Y12" s="137">
        <f t="shared" si="15"/>
        <v>1</v>
      </c>
      <c r="Z12" s="61">
        <f>2334502000/1000000000</f>
        <v>2.3345020000000001</v>
      </c>
      <c r="AA12" s="61"/>
      <c r="AB12" s="17">
        <f t="shared" si="139"/>
        <v>0</v>
      </c>
      <c r="AC12" s="18">
        <f t="shared" si="140"/>
        <v>0</v>
      </c>
      <c r="AD12" s="18">
        <f t="shared" si="141"/>
        <v>0</v>
      </c>
      <c r="AE12" s="61"/>
      <c r="AF12" s="20">
        <f t="shared" si="142"/>
        <v>0</v>
      </c>
      <c r="AG12" s="20"/>
      <c r="AH12" s="31"/>
      <c r="AI12" s="20">
        <v>0</v>
      </c>
      <c r="AJ12" s="20">
        <f t="shared" si="204"/>
        <v>0</v>
      </c>
      <c r="AK12" s="20"/>
      <c r="AL12" s="20">
        <v>0</v>
      </c>
      <c r="AM12" s="20">
        <v>0</v>
      </c>
      <c r="AN12" s="139"/>
      <c r="AO12" s="17">
        <f t="shared" si="18"/>
        <v>0</v>
      </c>
      <c r="AP12" s="17">
        <f t="shared" si="19"/>
        <v>0</v>
      </c>
      <c r="AQ12" s="17">
        <f t="shared" si="20"/>
        <v>0</v>
      </c>
      <c r="AR12" s="17">
        <f t="shared" si="21"/>
        <v>0</v>
      </c>
      <c r="AS12" s="17">
        <f t="shared" si="22"/>
        <v>0</v>
      </c>
      <c r="AT12" s="17">
        <f t="shared" si="23"/>
        <v>0</v>
      </c>
      <c r="AU12" s="17">
        <f t="shared" si="24"/>
        <v>0</v>
      </c>
      <c r="AV12" s="17">
        <f t="shared" si="25"/>
        <v>0</v>
      </c>
      <c r="AW12" s="17">
        <f t="shared" si="26"/>
        <v>0</v>
      </c>
      <c r="AX12" s="17">
        <f t="shared" si="27"/>
        <v>0</v>
      </c>
      <c r="AY12" s="17">
        <f t="shared" si="205"/>
        <v>0</v>
      </c>
      <c r="AZ12" s="17">
        <f t="shared" si="206"/>
        <v>0</v>
      </c>
      <c r="BA12" s="17">
        <f t="shared" si="145"/>
        <v>0</v>
      </c>
      <c r="BB12" s="17">
        <f t="shared" si="146"/>
        <v>0</v>
      </c>
      <c r="BC12" s="29">
        <f t="shared" si="147"/>
        <v>0</v>
      </c>
      <c r="BE12" s="17">
        <f t="shared" si="28"/>
        <v>0</v>
      </c>
      <c r="BF12" s="17">
        <f t="shared" si="29"/>
        <v>0</v>
      </c>
      <c r="BG12" s="17">
        <f t="shared" si="30"/>
        <v>0</v>
      </c>
      <c r="BH12" s="17">
        <f t="shared" si="31"/>
        <v>0</v>
      </c>
      <c r="BI12" s="17">
        <f t="shared" si="32"/>
        <v>0</v>
      </c>
      <c r="BJ12" s="17">
        <f t="shared" si="33"/>
        <v>0</v>
      </c>
      <c r="BK12" s="17">
        <f t="shared" si="148"/>
        <v>0</v>
      </c>
      <c r="BN12" s="143"/>
      <c r="BO12" s="126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B12" s="20"/>
      <c r="CD12" s="17">
        <f t="shared" si="35"/>
        <v>0</v>
      </c>
      <c r="CE12" s="17">
        <f t="shared" si="36"/>
        <v>0</v>
      </c>
      <c r="CF12" s="20">
        <f t="shared" si="207"/>
        <v>0</v>
      </c>
      <c r="CG12" s="20">
        <f t="shared" si="208"/>
        <v>0</v>
      </c>
      <c r="CH12" s="20">
        <f t="shared" si="209"/>
        <v>0</v>
      </c>
      <c r="CI12" s="20">
        <f t="shared" si="210"/>
        <v>0</v>
      </c>
      <c r="CJ12" s="20">
        <f t="shared" si="211"/>
        <v>0</v>
      </c>
      <c r="CK12" s="20">
        <f t="shared" si="212"/>
        <v>0</v>
      </c>
      <c r="CL12" s="20">
        <f t="shared" si="213"/>
        <v>0</v>
      </c>
      <c r="CM12" s="20">
        <f t="shared" si="214"/>
        <v>0</v>
      </c>
      <c r="CN12" s="20">
        <f t="shared" si="215"/>
        <v>0</v>
      </c>
      <c r="CO12" s="20">
        <f t="shared" si="216"/>
        <v>0</v>
      </c>
      <c r="CP12" s="20">
        <f t="shared" si="217"/>
        <v>0</v>
      </c>
      <c r="DV12" s="20">
        <f t="shared" si="48"/>
        <v>0</v>
      </c>
      <c r="DW12" s="20">
        <f t="shared" si="49"/>
        <v>0</v>
      </c>
      <c r="DX12" s="20">
        <f t="shared" si="50"/>
        <v>0</v>
      </c>
      <c r="DY12" s="20">
        <f t="shared" si="51"/>
        <v>0</v>
      </c>
      <c r="DZ12" s="20">
        <f t="shared" si="52"/>
        <v>0</v>
      </c>
      <c r="EA12" s="20">
        <f t="shared" si="53"/>
        <v>0</v>
      </c>
      <c r="EB12" s="20">
        <f t="shared" si="150"/>
        <v>0</v>
      </c>
      <c r="ED12" s="46" t="s">
        <v>371</v>
      </c>
      <c r="EE12" s="46" t="s">
        <v>372</v>
      </c>
      <c r="EF12" s="56"/>
      <c r="EG12" s="57">
        <f t="shared" si="151"/>
        <v>0</v>
      </c>
      <c r="EH12" s="57">
        <f t="shared" si="152"/>
        <v>0</v>
      </c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X12" s="169"/>
      <c r="FY12" s="17">
        <f t="shared" si="153"/>
        <v>0</v>
      </c>
      <c r="FZ12" s="17">
        <f t="shared" si="55"/>
        <v>0</v>
      </c>
      <c r="GA12" s="17">
        <f t="shared" si="56"/>
        <v>0</v>
      </c>
      <c r="GB12" s="17">
        <f t="shared" si="57"/>
        <v>0</v>
      </c>
      <c r="GC12" s="17">
        <f t="shared" si="58"/>
        <v>0</v>
      </c>
      <c r="GD12" s="17">
        <f t="shared" si="59"/>
        <v>0</v>
      </c>
      <c r="GE12" s="17">
        <f t="shared" si="60"/>
        <v>0</v>
      </c>
      <c r="GF12" s="67"/>
      <c r="GG12" s="17">
        <v>0</v>
      </c>
      <c r="GH12" s="17">
        <v>0</v>
      </c>
      <c r="GI12" s="67"/>
      <c r="GJ12" s="62">
        <f t="shared" si="154"/>
        <v>0</v>
      </c>
      <c r="GK12" s="62">
        <f t="shared" si="155"/>
        <v>0</v>
      </c>
      <c r="GO12" s="17">
        <f t="shared" si="61"/>
        <v>0</v>
      </c>
      <c r="GP12" s="17">
        <f t="shared" si="62"/>
        <v>0</v>
      </c>
      <c r="GQ12" s="17">
        <f t="shared" si="63"/>
        <v>0</v>
      </c>
      <c r="GR12" s="17">
        <f t="shared" si="64"/>
        <v>0</v>
      </c>
      <c r="GS12" s="17">
        <f t="shared" si="65"/>
        <v>0</v>
      </c>
      <c r="GT12" s="17">
        <f t="shared" si="156"/>
        <v>1</v>
      </c>
      <c r="GU12" s="101">
        <f t="shared" si="157"/>
        <v>43243</v>
      </c>
      <c r="GV12" s="17" t="str">
        <f t="shared" si="158"/>
        <v>SELESAI</v>
      </c>
      <c r="GW12" s="17">
        <f t="shared" si="159"/>
        <v>0</v>
      </c>
      <c r="GX12" s="66" t="str">
        <f t="shared" si="160"/>
        <v>SELESAI</v>
      </c>
      <c r="GY12" s="66">
        <f t="shared" si="161"/>
        <v>0</v>
      </c>
      <c r="GZ12" s="102" t="str">
        <f t="shared" si="162"/>
        <v>SELESAI</v>
      </c>
      <c r="HA12" s="83"/>
      <c r="HB12" s="83"/>
      <c r="HC12" s="17">
        <f t="shared" si="66"/>
        <v>0</v>
      </c>
      <c r="HD12" s="17">
        <f t="shared" si="67"/>
        <v>0</v>
      </c>
      <c r="HE12" s="17">
        <f t="shared" si="163"/>
        <v>0</v>
      </c>
      <c r="HF12" s="17">
        <f t="shared" si="164"/>
        <v>0</v>
      </c>
      <c r="HG12" s="17">
        <f t="shared" si="165"/>
        <v>0</v>
      </c>
      <c r="HH12" s="101" t="str">
        <f t="shared" si="68"/>
        <v>TIDAK KONSINYASI</v>
      </c>
      <c r="HI12" s="101" t="str">
        <f t="shared" si="166"/>
        <v>SELESAI</v>
      </c>
      <c r="HJ12" s="27"/>
      <c r="HK12" s="101">
        <f t="shared" si="69"/>
        <v>0</v>
      </c>
      <c r="HL12" s="83"/>
      <c r="HM12" s="83"/>
      <c r="HN12" s="83"/>
      <c r="HO12" s="83"/>
      <c r="HP12" s="102">
        <f t="shared" si="167"/>
        <v>0</v>
      </c>
      <c r="HQ12" s="66">
        <f t="shared" si="168"/>
        <v>0</v>
      </c>
      <c r="HR12" s="66">
        <f t="shared" si="70"/>
        <v>0</v>
      </c>
      <c r="HS12" s="102">
        <f t="shared" si="169"/>
        <v>0</v>
      </c>
      <c r="HT12" s="66">
        <f t="shared" si="170"/>
        <v>0</v>
      </c>
      <c r="HU12" s="66">
        <f t="shared" si="71"/>
        <v>0</v>
      </c>
      <c r="HV12" s="102">
        <f t="shared" si="171"/>
        <v>0</v>
      </c>
      <c r="HW12" s="66">
        <f t="shared" si="72"/>
        <v>0</v>
      </c>
      <c r="HX12" s="66">
        <f t="shared" si="73"/>
        <v>0</v>
      </c>
      <c r="HY12" s="102">
        <f t="shared" si="74"/>
        <v>0</v>
      </c>
      <c r="HZ12" s="66">
        <f t="shared" si="172"/>
        <v>0</v>
      </c>
      <c r="IA12" s="66">
        <f t="shared" si="75"/>
        <v>0</v>
      </c>
      <c r="IB12" s="102">
        <f t="shared" si="173"/>
        <v>0</v>
      </c>
      <c r="IC12" s="66">
        <f t="shared" si="76"/>
        <v>0</v>
      </c>
      <c r="ID12" s="66">
        <f t="shared" si="77"/>
        <v>0</v>
      </c>
      <c r="IE12" s="102">
        <f t="shared" si="78"/>
        <v>0</v>
      </c>
      <c r="IF12" s="66">
        <f t="shared" si="79"/>
        <v>0</v>
      </c>
      <c r="IG12" s="66">
        <f t="shared" si="80"/>
        <v>0</v>
      </c>
      <c r="IH12" s="102">
        <f t="shared" si="174"/>
        <v>0</v>
      </c>
      <c r="II12" s="66">
        <f t="shared" si="175"/>
        <v>0</v>
      </c>
      <c r="IJ12" s="66">
        <f t="shared" si="81"/>
        <v>0</v>
      </c>
      <c r="IK12" s="102">
        <f t="shared" si="82"/>
        <v>0</v>
      </c>
      <c r="IL12" s="66">
        <f t="shared" si="83"/>
        <v>0</v>
      </c>
      <c r="IM12" s="66">
        <f t="shared" si="84"/>
        <v>0</v>
      </c>
      <c r="IN12" s="83"/>
      <c r="IO12" s="102">
        <f t="shared" si="85"/>
        <v>0</v>
      </c>
      <c r="IP12" s="66">
        <f t="shared" si="86"/>
        <v>0</v>
      </c>
      <c r="IQ12" s="66">
        <f t="shared" si="87"/>
        <v>0</v>
      </c>
      <c r="IR12" s="83"/>
      <c r="IS12" s="102"/>
      <c r="IT12" s="66">
        <f t="shared" si="88"/>
        <v>1</v>
      </c>
      <c r="IU12" s="66">
        <f t="shared" si="89"/>
        <v>149</v>
      </c>
      <c r="IV12" s="83"/>
      <c r="IW12" s="102"/>
      <c r="IX12" s="66">
        <f t="shared" si="90"/>
        <v>0</v>
      </c>
      <c r="IY12" s="66">
        <f t="shared" si="91"/>
        <v>0</v>
      </c>
      <c r="IZ12" s="83"/>
      <c r="JA12" s="102"/>
      <c r="JB12" s="66">
        <f t="shared" si="92"/>
        <v>0</v>
      </c>
      <c r="JC12" s="66">
        <f t="shared" si="93"/>
        <v>0</v>
      </c>
      <c r="JD12" s="83"/>
      <c r="JE12" s="102"/>
      <c r="JF12" s="66">
        <f t="shared" si="176"/>
        <v>1</v>
      </c>
      <c r="JG12" s="66">
        <f t="shared" si="94"/>
        <v>149</v>
      </c>
      <c r="JH12" s="83"/>
      <c r="JI12" s="102"/>
      <c r="JJ12" s="66">
        <f t="shared" si="95"/>
        <v>0</v>
      </c>
      <c r="JK12" s="66">
        <f t="shared" si="96"/>
        <v>0</v>
      </c>
      <c r="JM12" s="102">
        <f t="shared" si="177"/>
        <v>0</v>
      </c>
      <c r="JO12" s="29">
        <f t="shared" si="97"/>
        <v>0</v>
      </c>
      <c r="JP12" s="122">
        <f t="shared" si="98"/>
        <v>0</v>
      </c>
      <c r="JQ12" s="122">
        <f t="shared" si="99"/>
        <v>0</v>
      </c>
      <c r="JR12" s="122">
        <f t="shared" si="100"/>
        <v>0</v>
      </c>
      <c r="JS12" s="122">
        <f t="shared" si="101"/>
        <v>0</v>
      </c>
      <c r="JT12" s="122">
        <f t="shared" si="102"/>
        <v>0</v>
      </c>
      <c r="JU12" s="122">
        <f t="shared" si="103"/>
        <v>0</v>
      </c>
      <c r="JV12" s="122">
        <f t="shared" si="104"/>
        <v>0</v>
      </c>
      <c r="JW12" s="122">
        <f t="shared" si="105"/>
        <v>0</v>
      </c>
      <c r="JX12" s="122">
        <f t="shared" si="106"/>
        <v>0</v>
      </c>
      <c r="JY12" s="122">
        <f t="shared" si="107"/>
        <v>0</v>
      </c>
      <c r="JZ12" s="122">
        <f t="shared" si="108"/>
        <v>0</v>
      </c>
      <c r="KA12" s="122">
        <f t="shared" si="109"/>
        <v>0</v>
      </c>
      <c r="KB12" s="122">
        <f t="shared" si="110"/>
        <v>0</v>
      </c>
      <c r="KD12" s="122">
        <f t="shared" si="178"/>
        <v>0</v>
      </c>
      <c r="KE12" s="122">
        <f t="shared" si="112"/>
        <v>0</v>
      </c>
      <c r="KF12" s="122">
        <f t="shared" si="113"/>
        <v>0</v>
      </c>
      <c r="KG12" s="122">
        <f t="shared" si="114"/>
        <v>0</v>
      </c>
      <c r="KH12" s="122">
        <f t="shared" si="115"/>
        <v>0</v>
      </c>
      <c r="KI12" s="122">
        <f t="shared" si="116"/>
        <v>0</v>
      </c>
      <c r="KJ12" s="122">
        <f t="shared" si="117"/>
        <v>0</v>
      </c>
      <c r="KK12" s="122">
        <f t="shared" si="118"/>
        <v>0</v>
      </c>
      <c r="KL12" s="122">
        <f t="shared" si="119"/>
        <v>0</v>
      </c>
      <c r="KM12" s="122">
        <f t="shared" si="120"/>
        <v>0</v>
      </c>
      <c r="KN12" s="123">
        <f t="shared" si="121"/>
        <v>0</v>
      </c>
      <c r="KO12" s="123">
        <f t="shared" si="122"/>
        <v>0</v>
      </c>
      <c r="KP12" s="123">
        <f t="shared" si="123"/>
        <v>0</v>
      </c>
      <c r="KQ12" s="123">
        <f t="shared" si="124"/>
        <v>0</v>
      </c>
      <c r="KR12" s="123">
        <f t="shared" si="125"/>
        <v>0</v>
      </c>
      <c r="KT12">
        <f t="shared" si="126"/>
        <v>0</v>
      </c>
      <c r="KU12" s="123"/>
      <c r="KV12" s="123"/>
      <c r="KW12" s="123"/>
      <c r="KX12" s="123"/>
      <c r="KY12" s="123"/>
      <c r="KZ12" s="123"/>
      <c r="LA12" s="123"/>
      <c r="LB12" s="123"/>
      <c r="LC12" s="123"/>
      <c r="LD12" s="123"/>
      <c r="LE12" s="123"/>
      <c r="LF12" s="123"/>
      <c r="LG12" s="123"/>
      <c r="LH12" s="123"/>
      <c r="LI12" s="123"/>
      <c r="LJ12" s="123"/>
      <c r="LK12" s="123"/>
      <c r="LL12" s="123"/>
      <c r="LM12" s="123"/>
      <c r="LN12" s="123"/>
      <c r="LO12" s="123"/>
      <c r="LP12" s="123"/>
      <c r="LQ12" s="123"/>
      <c r="LR12" s="123"/>
      <c r="LS12" s="123"/>
      <c r="LT12" s="123"/>
      <c r="LU12" s="123"/>
      <c r="LV12" s="123"/>
      <c r="LW12" s="123"/>
      <c r="LX12" s="123"/>
      <c r="LY12" s="123"/>
      <c r="LZ12" s="123"/>
      <c r="MA12" s="123"/>
      <c r="MB12" s="123"/>
      <c r="MC12" s="123"/>
      <c r="MD12" s="123"/>
      <c r="ME12" s="123"/>
      <c r="MF12" s="123"/>
      <c r="MG12" s="123"/>
      <c r="MH12" s="123"/>
      <c r="MI12" s="123"/>
      <c r="MJ12" s="123"/>
      <c r="MK12" s="123"/>
      <c r="ML12" s="123"/>
      <c r="MM12" s="123"/>
      <c r="MN12" s="123"/>
      <c r="MO12" s="123"/>
      <c r="MP12" s="123"/>
      <c r="MQ12" s="123"/>
      <c r="MR12" s="123"/>
      <c r="MS12" s="123"/>
      <c r="MT12" s="123"/>
      <c r="MU12" s="123"/>
      <c r="MV12" s="123"/>
      <c r="MW12" s="123"/>
      <c r="MX12" s="123"/>
      <c r="MY12" s="123"/>
      <c r="MZ12" s="123"/>
      <c r="NA12" s="123"/>
      <c r="NB12" s="123"/>
      <c r="NC12" s="123"/>
      <c r="ND12" s="123"/>
      <c r="NE12" s="123"/>
      <c r="NF12" s="123"/>
      <c r="NG12" s="123"/>
      <c r="NH12" s="123"/>
      <c r="NI12" s="123"/>
      <c r="NJ12" s="123"/>
      <c r="NK12" s="123"/>
      <c r="NM12">
        <f t="shared" si="179"/>
        <v>0</v>
      </c>
      <c r="NN12">
        <f t="shared" si="180"/>
        <v>0</v>
      </c>
      <c r="NO12">
        <f t="shared" si="181"/>
        <v>0</v>
      </c>
      <c r="NP12">
        <f t="shared" si="182"/>
        <v>0</v>
      </c>
      <c r="NQ12">
        <f t="shared" si="183"/>
        <v>0</v>
      </c>
      <c r="NR12">
        <f t="shared" si="184"/>
        <v>0</v>
      </c>
      <c r="NS12">
        <f t="shared" si="185"/>
        <v>0</v>
      </c>
      <c r="NT12">
        <f t="shared" si="186"/>
        <v>0</v>
      </c>
      <c r="NU12" s="29">
        <f t="shared" si="187"/>
        <v>0</v>
      </c>
      <c r="NY12" s="29">
        <f t="shared" si="128"/>
        <v>1</v>
      </c>
      <c r="NZ12" s="152">
        <v>8624000</v>
      </c>
      <c r="OE12" s="155">
        <f t="shared" si="129"/>
        <v>0</v>
      </c>
      <c r="OF12" s="155">
        <f t="shared" si="130"/>
        <v>0</v>
      </c>
      <c r="OG12" s="155">
        <f t="shared" si="131"/>
        <v>0</v>
      </c>
      <c r="OH12" s="155">
        <f t="shared" si="188"/>
        <v>0</v>
      </c>
      <c r="OI12" s="155">
        <f t="shared" si="132"/>
        <v>0</v>
      </c>
      <c r="OJ12" s="67">
        <f t="shared" si="189"/>
        <v>0</v>
      </c>
      <c r="OK12" s="67">
        <f t="shared" si="190"/>
        <v>0</v>
      </c>
      <c r="OL12" s="67">
        <f t="shared" si="191"/>
        <v>0</v>
      </c>
      <c r="OM12" s="67">
        <f t="shared" si="192"/>
        <v>0</v>
      </c>
      <c r="OO12" s="155">
        <f t="shared" si="133"/>
        <v>0</v>
      </c>
      <c r="OP12" s="155">
        <f t="shared" si="134"/>
        <v>0</v>
      </c>
      <c r="OQ12" s="155">
        <f t="shared" si="193"/>
        <v>0</v>
      </c>
      <c r="OR12" s="155">
        <f t="shared" si="194"/>
        <v>0</v>
      </c>
      <c r="OS12" s="155">
        <f t="shared" si="195"/>
        <v>0</v>
      </c>
      <c r="OT12" s="67">
        <f t="shared" si="196"/>
        <v>0</v>
      </c>
      <c r="OU12" s="67">
        <f t="shared" si="197"/>
        <v>0</v>
      </c>
      <c r="OV12" s="67">
        <f t="shared" si="198"/>
        <v>0</v>
      </c>
      <c r="OW12" s="67">
        <f t="shared" si="199"/>
        <v>0</v>
      </c>
      <c r="PA12" s="166"/>
      <c r="PB12" s="166"/>
      <c r="PC12" s="166"/>
      <c r="PD12" s="210">
        <f t="shared" si="135"/>
        <v>0</v>
      </c>
      <c r="PE12" s="210"/>
      <c r="PF12" s="210">
        <f t="shared" si="136"/>
        <v>0</v>
      </c>
      <c r="PG12" s="210">
        <f t="shared" si="137"/>
        <v>0</v>
      </c>
      <c r="PH12" s="210">
        <f t="shared" si="137"/>
        <v>0</v>
      </c>
      <c r="PI12" s="210">
        <f t="shared" si="137"/>
        <v>0</v>
      </c>
      <c r="PJ12" s="210">
        <f t="shared" si="137"/>
        <v>0</v>
      </c>
      <c r="PK12" s="210">
        <f t="shared" si="137"/>
        <v>0</v>
      </c>
      <c r="PL12" s="210">
        <f t="shared" si="137"/>
        <v>0</v>
      </c>
      <c r="PO12" s="172">
        <f t="shared" si="200"/>
        <v>0</v>
      </c>
      <c r="PP12" s="172">
        <f t="shared" si="201"/>
        <v>0</v>
      </c>
      <c r="PQ12" s="172">
        <f t="shared" si="202"/>
        <v>0</v>
      </c>
    </row>
    <row r="13" spans="1:433" ht="16" x14ac:dyDescent="0.2">
      <c r="A13" s="19">
        <f t="shared" si="203"/>
        <v>5</v>
      </c>
      <c r="B13" s="138" t="s">
        <v>480</v>
      </c>
      <c r="C13" s="138">
        <v>5</v>
      </c>
      <c r="D13" s="20">
        <v>1</v>
      </c>
      <c r="E13" s="20">
        <v>100</v>
      </c>
      <c r="F13" s="20">
        <v>1</v>
      </c>
      <c r="G13" s="20">
        <f t="shared" si="138"/>
        <v>100</v>
      </c>
      <c r="H13" s="137">
        <f t="shared" si="2"/>
        <v>1</v>
      </c>
      <c r="I13" s="137">
        <f t="shared" si="3"/>
        <v>1</v>
      </c>
      <c r="J13" s="20">
        <v>1</v>
      </c>
      <c r="K13" s="20">
        <f t="shared" si="4"/>
        <v>100</v>
      </c>
      <c r="L13" s="137">
        <f t="shared" si="5"/>
        <v>1</v>
      </c>
      <c r="M13" s="137">
        <f t="shared" si="6"/>
        <v>1</v>
      </c>
      <c r="N13" s="20">
        <v>1</v>
      </c>
      <c r="O13" s="20">
        <f t="shared" si="7"/>
        <v>100</v>
      </c>
      <c r="P13" s="137">
        <f t="shared" si="8"/>
        <v>1</v>
      </c>
      <c r="Q13" s="137">
        <f t="shared" si="9"/>
        <v>1</v>
      </c>
      <c r="R13" s="20">
        <v>1</v>
      </c>
      <c r="S13" s="20">
        <f t="shared" si="10"/>
        <v>100</v>
      </c>
      <c r="T13" s="137">
        <f t="shared" si="11"/>
        <v>1</v>
      </c>
      <c r="U13" s="137">
        <f t="shared" si="12"/>
        <v>1</v>
      </c>
      <c r="V13" s="20">
        <v>1</v>
      </c>
      <c r="W13" s="20">
        <f t="shared" si="13"/>
        <v>100</v>
      </c>
      <c r="X13" s="137">
        <f t="shared" si="14"/>
        <v>1</v>
      </c>
      <c r="Y13" s="137">
        <f t="shared" si="15"/>
        <v>1</v>
      </c>
      <c r="Z13" s="59">
        <f>2486773000/1000000000</f>
        <v>2.4867729999999999</v>
      </c>
      <c r="AA13" s="59"/>
      <c r="AB13" s="17">
        <f t="shared" si="139"/>
        <v>0</v>
      </c>
      <c r="AC13" s="18">
        <f t="shared" si="140"/>
        <v>0</v>
      </c>
      <c r="AD13" s="18">
        <f t="shared" si="141"/>
        <v>0</v>
      </c>
      <c r="AE13" s="59"/>
      <c r="AF13" s="20">
        <f t="shared" si="142"/>
        <v>0</v>
      </c>
      <c r="AG13" s="20"/>
      <c r="AH13" s="20"/>
      <c r="AI13" s="20">
        <v>0</v>
      </c>
      <c r="AJ13" s="20">
        <f t="shared" si="204"/>
        <v>0</v>
      </c>
      <c r="AK13" s="20"/>
      <c r="AL13" s="20">
        <v>0</v>
      </c>
      <c r="AM13" s="20">
        <v>0</v>
      </c>
      <c r="AN13" s="139"/>
      <c r="AO13" s="17">
        <f t="shared" si="18"/>
        <v>0</v>
      </c>
      <c r="AP13" s="17">
        <f t="shared" si="19"/>
        <v>0</v>
      </c>
      <c r="AQ13" s="17">
        <f t="shared" si="20"/>
        <v>0</v>
      </c>
      <c r="AR13" s="17">
        <f t="shared" si="21"/>
        <v>0</v>
      </c>
      <c r="AS13" s="17">
        <f t="shared" si="22"/>
        <v>0</v>
      </c>
      <c r="AT13" s="17">
        <f t="shared" si="23"/>
        <v>0</v>
      </c>
      <c r="AU13" s="17">
        <f t="shared" si="24"/>
        <v>0</v>
      </c>
      <c r="AV13" s="17">
        <f t="shared" si="25"/>
        <v>0</v>
      </c>
      <c r="AW13" s="17">
        <f t="shared" si="26"/>
        <v>0</v>
      </c>
      <c r="AX13" s="17">
        <f t="shared" si="27"/>
        <v>0</v>
      </c>
      <c r="AY13" s="17">
        <f t="shared" si="205"/>
        <v>0</v>
      </c>
      <c r="AZ13" s="17">
        <f t="shared" si="206"/>
        <v>0</v>
      </c>
      <c r="BA13" s="17">
        <f t="shared" si="145"/>
        <v>0</v>
      </c>
      <c r="BB13" s="17">
        <f t="shared" si="146"/>
        <v>0</v>
      </c>
      <c r="BC13" s="29">
        <f t="shared" si="147"/>
        <v>0</v>
      </c>
      <c r="BE13" s="17">
        <f t="shared" si="28"/>
        <v>0</v>
      </c>
      <c r="BF13" s="17">
        <f t="shared" si="29"/>
        <v>0</v>
      </c>
      <c r="BG13" s="17">
        <f t="shared" si="30"/>
        <v>0</v>
      </c>
      <c r="BH13" s="17">
        <f t="shared" si="31"/>
        <v>0</v>
      </c>
      <c r="BI13" s="17">
        <f t="shared" si="32"/>
        <v>0</v>
      </c>
      <c r="BJ13" s="17">
        <f t="shared" si="33"/>
        <v>0</v>
      </c>
      <c r="BK13" s="17">
        <f t="shared" si="148"/>
        <v>0</v>
      </c>
      <c r="BN13" s="143"/>
      <c r="BO13" s="126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B13" s="20"/>
      <c r="CD13" s="17">
        <f t="shared" si="35"/>
        <v>0</v>
      </c>
      <c r="CE13" s="17">
        <f t="shared" si="36"/>
        <v>0</v>
      </c>
      <c r="CF13" s="20">
        <f t="shared" si="207"/>
        <v>0</v>
      </c>
      <c r="CG13" s="20">
        <f t="shared" si="208"/>
        <v>0</v>
      </c>
      <c r="CH13" s="20">
        <f t="shared" si="209"/>
        <v>0</v>
      </c>
      <c r="CI13" s="20">
        <f t="shared" si="210"/>
        <v>0</v>
      </c>
      <c r="CJ13" s="20">
        <f t="shared" si="211"/>
        <v>0</v>
      </c>
      <c r="CK13" s="20">
        <f t="shared" si="212"/>
        <v>0</v>
      </c>
      <c r="CL13" s="20">
        <f t="shared" si="213"/>
        <v>0</v>
      </c>
      <c r="CM13" s="20">
        <f t="shared" si="214"/>
        <v>0</v>
      </c>
      <c r="CN13" s="20">
        <f t="shared" si="215"/>
        <v>0</v>
      </c>
      <c r="CO13" s="20">
        <f t="shared" si="216"/>
        <v>0</v>
      </c>
      <c r="CP13" s="20">
        <f t="shared" si="217"/>
        <v>0</v>
      </c>
      <c r="DV13" s="20">
        <f t="shared" si="48"/>
        <v>0</v>
      </c>
      <c r="DW13" s="20">
        <f t="shared" si="49"/>
        <v>0</v>
      </c>
      <c r="DX13" s="20">
        <f t="shared" si="50"/>
        <v>0</v>
      </c>
      <c r="DY13" s="20">
        <f t="shared" si="51"/>
        <v>0</v>
      </c>
      <c r="DZ13" s="20">
        <f t="shared" si="52"/>
        <v>0</v>
      </c>
      <c r="EA13" s="20">
        <f t="shared" si="53"/>
        <v>0</v>
      </c>
      <c r="EB13" s="20">
        <f t="shared" si="150"/>
        <v>0</v>
      </c>
      <c r="ED13" s="46" t="s">
        <v>300</v>
      </c>
      <c r="EE13" s="46" t="s">
        <v>373</v>
      </c>
      <c r="EF13" s="56"/>
      <c r="EG13" s="57">
        <f t="shared" si="151"/>
        <v>0</v>
      </c>
      <c r="EH13" s="57">
        <f t="shared" si="152"/>
        <v>0</v>
      </c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X13" s="169"/>
      <c r="FY13" s="17">
        <f t="shared" si="153"/>
        <v>0</v>
      </c>
      <c r="FZ13" s="17">
        <f t="shared" si="55"/>
        <v>0</v>
      </c>
      <c r="GA13" s="17">
        <f t="shared" si="56"/>
        <v>0</v>
      </c>
      <c r="GB13" s="17">
        <f t="shared" si="57"/>
        <v>0</v>
      </c>
      <c r="GC13" s="17">
        <f t="shared" si="58"/>
        <v>0</v>
      </c>
      <c r="GD13" s="17">
        <f t="shared" si="59"/>
        <v>0</v>
      </c>
      <c r="GE13" s="17">
        <f t="shared" si="60"/>
        <v>0</v>
      </c>
      <c r="GF13" s="67"/>
      <c r="GG13" s="17">
        <v>0</v>
      </c>
      <c r="GH13" s="17">
        <v>0</v>
      </c>
      <c r="GI13" s="67"/>
      <c r="GJ13" s="62">
        <f t="shared" si="154"/>
        <v>0</v>
      </c>
      <c r="GK13" s="62">
        <f t="shared" si="155"/>
        <v>0</v>
      </c>
      <c r="GO13" s="17">
        <f t="shared" si="61"/>
        <v>0</v>
      </c>
      <c r="GP13" s="17">
        <f t="shared" si="62"/>
        <v>0</v>
      </c>
      <c r="GQ13" s="17">
        <f t="shared" si="63"/>
        <v>0</v>
      </c>
      <c r="GR13" s="17">
        <f t="shared" si="64"/>
        <v>0</v>
      </c>
      <c r="GS13" s="17">
        <f t="shared" si="65"/>
        <v>0</v>
      </c>
      <c r="GT13" s="17">
        <f t="shared" si="156"/>
        <v>1</v>
      </c>
      <c r="GU13" s="101">
        <f t="shared" si="157"/>
        <v>43243</v>
      </c>
      <c r="GV13" s="17" t="str">
        <f t="shared" si="158"/>
        <v>SELESAI</v>
      </c>
      <c r="GW13" s="17">
        <f t="shared" si="159"/>
        <v>0</v>
      </c>
      <c r="GX13" s="66" t="str">
        <f t="shared" si="160"/>
        <v>SELESAI</v>
      </c>
      <c r="GY13" s="66">
        <f t="shared" si="161"/>
        <v>0</v>
      </c>
      <c r="GZ13" s="102" t="str">
        <f t="shared" si="162"/>
        <v>SELESAI</v>
      </c>
      <c r="HA13" s="83"/>
      <c r="HB13" s="83"/>
      <c r="HC13" s="17">
        <f t="shared" si="66"/>
        <v>0</v>
      </c>
      <c r="HD13" s="17">
        <f t="shared" si="67"/>
        <v>0</v>
      </c>
      <c r="HE13" s="17">
        <f t="shared" si="163"/>
        <v>0</v>
      </c>
      <c r="HF13" s="17">
        <f t="shared" si="164"/>
        <v>0</v>
      </c>
      <c r="HG13" s="17">
        <f t="shared" si="165"/>
        <v>0</v>
      </c>
      <c r="HH13" s="101" t="str">
        <f t="shared" si="68"/>
        <v>TIDAK KONSINYASI</v>
      </c>
      <c r="HI13" s="101" t="str">
        <f t="shared" si="166"/>
        <v>SELESAI</v>
      </c>
      <c r="HJ13" s="27"/>
      <c r="HK13" s="101">
        <f t="shared" si="69"/>
        <v>0</v>
      </c>
      <c r="HL13" s="83"/>
      <c r="HM13" s="83"/>
      <c r="HN13" s="83"/>
      <c r="HO13" s="83"/>
      <c r="HP13" s="102">
        <f t="shared" si="167"/>
        <v>0</v>
      </c>
      <c r="HQ13" s="66">
        <f t="shared" si="168"/>
        <v>0</v>
      </c>
      <c r="HR13" s="66">
        <f t="shared" si="70"/>
        <v>0</v>
      </c>
      <c r="HS13" s="102">
        <f t="shared" si="169"/>
        <v>0</v>
      </c>
      <c r="HT13" s="66">
        <f t="shared" si="170"/>
        <v>0</v>
      </c>
      <c r="HU13" s="66">
        <f t="shared" si="71"/>
        <v>0</v>
      </c>
      <c r="HV13" s="102">
        <f t="shared" si="171"/>
        <v>0</v>
      </c>
      <c r="HW13" s="66">
        <f t="shared" si="72"/>
        <v>0</v>
      </c>
      <c r="HX13" s="66">
        <f t="shared" si="73"/>
        <v>0</v>
      </c>
      <c r="HY13" s="102">
        <f t="shared" si="74"/>
        <v>0</v>
      </c>
      <c r="HZ13" s="66">
        <f t="shared" si="172"/>
        <v>0</v>
      </c>
      <c r="IA13" s="66">
        <f t="shared" si="75"/>
        <v>0</v>
      </c>
      <c r="IB13" s="102">
        <f t="shared" si="173"/>
        <v>0</v>
      </c>
      <c r="IC13" s="66">
        <f t="shared" si="76"/>
        <v>0</v>
      </c>
      <c r="ID13" s="66">
        <f t="shared" si="77"/>
        <v>0</v>
      </c>
      <c r="IE13" s="102">
        <f t="shared" si="78"/>
        <v>0</v>
      </c>
      <c r="IF13" s="66">
        <f t="shared" si="79"/>
        <v>0</v>
      </c>
      <c r="IG13" s="66">
        <f t="shared" si="80"/>
        <v>0</v>
      </c>
      <c r="IH13" s="102">
        <f t="shared" si="174"/>
        <v>0</v>
      </c>
      <c r="II13" s="66">
        <f t="shared" si="175"/>
        <v>0</v>
      </c>
      <c r="IJ13" s="66">
        <f t="shared" si="81"/>
        <v>0</v>
      </c>
      <c r="IK13" s="102">
        <f t="shared" si="82"/>
        <v>0</v>
      </c>
      <c r="IL13" s="66">
        <f t="shared" si="83"/>
        <v>0</v>
      </c>
      <c r="IM13" s="66">
        <f t="shared" si="84"/>
        <v>0</v>
      </c>
      <c r="IN13" s="83"/>
      <c r="IO13" s="102">
        <f t="shared" si="85"/>
        <v>0</v>
      </c>
      <c r="IP13" s="66">
        <f t="shared" si="86"/>
        <v>0</v>
      </c>
      <c r="IQ13" s="66">
        <f t="shared" si="87"/>
        <v>0</v>
      </c>
      <c r="IR13" s="83"/>
      <c r="IS13" s="102"/>
      <c r="IT13" s="66">
        <f t="shared" si="88"/>
        <v>1</v>
      </c>
      <c r="IU13" s="66">
        <f t="shared" si="89"/>
        <v>100</v>
      </c>
      <c r="IV13" s="83"/>
      <c r="IW13" s="102"/>
      <c r="IX13" s="66">
        <f t="shared" si="90"/>
        <v>0</v>
      </c>
      <c r="IY13" s="66">
        <f t="shared" si="91"/>
        <v>0</v>
      </c>
      <c r="IZ13" s="83"/>
      <c r="JA13" s="102"/>
      <c r="JB13" s="66">
        <f t="shared" si="92"/>
        <v>0</v>
      </c>
      <c r="JC13" s="66">
        <f t="shared" si="93"/>
        <v>0</v>
      </c>
      <c r="JD13" s="83"/>
      <c r="JE13" s="102"/>
      <c r="JF13" s="66">
        <f t="shared" si="176"/>
        <v>1</v>
      </c>
      <c r="JG13" s="66">
        <f t="shared" si="94"/>
        <v>100</v>
      </c>
      <c r="JH13" s="83"/>
      <c r="JI13" s="102"/>
      <c r="JJ13" s="66">
        <f t="shared" si="95"/>
        <v>0</v>
      </c>
      <c r="JK13" s="66">
        <f t="shared" si="96"/>
        <v>0</v>
      </c>
      <c r="JM13" s="102">
        <f t="shared" si="177"/>
        <v>0</v>
      </c>
      <c r="JO13" s="29">
        <f t="shared" si="97"/>
        <v>0</v>
      </c>
      <c r="JP13" s="122">
        <f t="shared" si="98"/>
        <v>0</v>
      </c>
      <c r="JQ13" s="122">
        <f t="shared" si="99"/>
        <v>0</v>
      </c>
      <c r="JR13" s="122">
        <f t="shared" si="100"/>
        <v>0</v>
      </c>
      <c r="JS13" s="122">
        <f t="shared" si="101"/>
        <v>0</v>
      </c>
      <c r="JT13" s="122">
        <f t="shared" si="102"/>
        <v>0</v>
      </c>
      <c r="JU13" s="122">
        <f t="shared" si="103"/>
        <v>0</v>
      </c>
      <c r="JV13" s="122">
        <f t="shared" si="104"/>
        <v>0</v>
      </c>
      <c r="JW13" s="122">
        <f t="shared" si="105"/>
        <v>0</v>
      </c>
      <c r="JX13" s="122">
        <f t="shared" si="106"/>
        <v>0</v>
      </c>
      <c r="JY13" s="122">
        <f t="shared" si="107"/>
        <v>0</v>
      </c>
      <c r="JZ13" s="122">
        <f t="shared" si="108"/>
        <v>0</v>
      </c>
      <c r="KA13" s="122">
        <f t="shared" si="109"/>
        <v>0</v>
      </c>
      <c r="KB13" s="122">
        <f t="shared" si="110"/>
        <v>0</v>
      </c>
      <c r="KD13" s="122">
        <f t="shared" si="178"/>
        <v>0</v>
      </c>
      <c r="KE13" s="122">
        <f t="shared" si="112"/>
        <v>0</v>
      </c>
      <c r="KF13" s="122">
        <f t="shared" si="113"/>
        <v>0</v>
      </c>
      <c r="KG13" s="122">
        <f t="shared" si="114"/>
        <v>0</v>
      </c>
      <c r="KH13" s="122">
        <f t="shared" si="115"/>
        <v>0</v>
      </c>
      <c r="KI13" s="122">
        <f t="shared" si="116"/>
        <v>0</v>
      </c>
      <c r="KJ13" s="122">
        <f t="shared" si="117"/>
        <v>0</v>
      </c>
      <c r="KK13" s="122">
        <f t="shared" si="118"/>
        <v>0</v>
      </c>
      <c r="KL13" s="122">
        <f t="shared" si="119"/>
        <v>0</v>
      </c>
      <c r="KM13" s="122">
        <f t="shared" si="120"/>
        <v>0</v>
      </c>
      <c r="KN13" s="123">
        <f t="shared" si="121"/>
        <v>0</v>
      </c>
      <c r="KO13" s="123">
        <f t="shared" si="122"/>
        <v>0</v>
      </c>
      <c r="KP13" s="123">
        <f t="shared" si="123"/>
        <v>0</v>
      </c>
      <c r="KQ13" s="123">
        <f t="shared" si="124"/>
        <v>0</v>
      </c>
      <c r="KR13" s="123">
        <f t="shared" si="125"/>
        <v>0</v>
      </c>
      <c r="KT13">
        <f t="shared" si="126"/>
        <v>0</v>
      </c>
      <c r="KU13" s="123"/>
      <c r="KV13" s="123"/>
      <c r="KW13" s="123"/>
      <c r="KX13" s="123"/>
      <c r="KY13" s="123"/>
      <c r="KZ13" s="123"/>
      <c r="LA13" s="123"/>
      <c r="LB13" s="123"/>
      <c r="LC13" s="123"/>
      <c r="LD13" s="123"/>
      <c r="LE13" s="123"/>
      <c r="LF13" s="123"/>
      <c r="LG13" s="123"/>
      <c r="LH13" s="123"/>
      <c r="LI13" s="123"/>
      <c r="LJ13" s="123"/>
      <c r="LK13" s="123"/>
      <c r="LL13" s="123"/>
      <c r="LM13" s="123"/>
      <c r="LN13" s="123"/>
      <c r="LO13" s="123"/>
      <c r="LP13" s="123"/>
      <c r="LQ13" s="123"/>
      <c r="LR13" s="123"/>
      <c r="LS13" s="123"/>
      <c r="LT13" s="123"/>
      <c r="LU13" s="123"/>
      <c r="LV13" s="123"/>
      <c r="LW13" s="123"/>
      <c r="LX13" s="123"/>
      <c r="LY13" s="123"/>
      <c r="LZ13" s="123"/>
      <c r="MA13" s="123"/>
      <c r="MB13" s="123"/>
      <c r="MC13" s="123"/>
      <c r="MD13" s="123"/>
      <c r="ME13" s="123"/>
      <c r="MF13" s="123"/>
      <c r="MG13" s="123"/>
      <c r="MH13" s="123"/>
      <c r="MI13" s="123"/>
      <c r="MJ13" s="123"/>
      <c r="MK13" s="123"/>
      <c r="ML13" s="123"/>
      <c r="MM13" s="123"/>
      <c r="MN13" s="123"/>
      <c r="MO13" s="123"/>
      <c r="MP13" s="123"/>
      <c r="MQ13" s="123"/>
      <c r="MR13" s="123"/>
      <c r="MS13" s="123"/>
      <c r="MT13" s="123"/>
      <c r="MU13" s="123"/>
      <c r="MV13" s="123"/>
      <c r="MW13" s="123"/>
      <c r="MX13" s="123"/>
      <c r="MY13" s="123"/>
      <c r="MZ13" s="123"/>
      <c r="NA13" s="123"/>
      <c r="NB13" s="123"/>
      <c r="NC13" s="123"/>
      <c r="ND13" s="123"/>
      <c r="NE13" s="123"/>
      <c r="NF13" s="123"/>
      <c r="NG13" s="123"/>
      <c r="NH13" s="123"/>
      <c r="NI13" s="123"/>
      <c r="NJ13" s="123"/>
      <c r="NK13" s="123"/>
      <c r="NM13">
        <f t="shared" si="179"/>
        <v>0</v>
      </c>
      <c r="NN13">
        <f t="shared" si="180"/>
        <v>0</v>
      </c>
      <c r="NO13">
        <f t="shared" si="181"/>
        <v>0</v>
      </c>
      <c r="NP13">
        <f t="shared" si="182"/>
        <v>0</v>
      </c>
      <c r="NQ13">
        <f t="shared" si="183"/>
        <v>0</v>
      </c>
      <c r="NR13">
        <f t="shared" si="184"/>
        <v>0</v>
      </c>
      <c r="NS13">
        <f t="shared" si="185"/>
        <v>0</v>
      </c>
      <c r="NT13">
        <f t="shared" si="186"/>
        <v>0</v>
      </c>
      <c r="NU13" s="29">
        <f t="shared" si="187"/>
        <v>0</v>
      </c>
      <c r="NY13" s="29">
        <f t="shared" si="128"/>
        <v>1</v>
      </c>
      <c r="NZ13" s="152">
        <v>8800000</v>
      </c>
      <c r="OE13" s="155">
        <f t="shared" si="129"/>
        <v>0</v>
      </c>
      <c r="OF13" s="155">
        <f t="shared" si="130"/>
        <v>0</v>
      </c>
      <c r="OG13" s="155">
        <f t="shared" si="131"/>
        <v>0</v>
      </c>
      <c r="OH13" s="155">
        <f t="shared" si="188"/>
        <v>0</v>
      </c>
      <c r="OI13" s="155">
        <f t="shared" si="132"/>
        <v>0</v>
      </c>
      <c r="OJ13" s="67">
        <f t="shared" si="189"/>
        <v>0</v>
      </c>
      <c r="OK13" s="67">
        <f t="shared" si="190"/>
        <v>0</v>
      </c>
      <c r="OL13" s="67">
        <f t="shared" si="191"/>
        <v>0</v>
      </c>
      <c r="OM13" s="67">
        <f t="shared" si="192"/>
        <v>0</v>
      </c>
      <c r="OO13" s="155">
        <f t="shared" si="133"/>
        <v>0</v>
      </c>
      <c r="OP13" s="155">
        <f t="shared" si="134"/>
        <v>0</v>
      </c>
      <c r="OQ13" s="155">
        <f t="shared" si="193"/>
        <v>0</v>
      </c>
      <c r="OR13" s="155">
        <f t="shared" si="194"/>
        <v>0</v>
      </c>
      <c r="OS13" s="155">
        <f t="shared" si="195"/>
        <v>0</v>
      </c>
      <c r="OT13" s="67">
        <f t="shared" si="196"/>
        <v>0</v>
      </c>
      <c r="OU13" s="67">
        <f t="shared" si="197"/>
        <v>0</v>
      </c>
      <c r="OV13" s="67">
        <f t="shared" si="198"/>
        <v>0</v>
      </c>
      <c r="OW13" s="67">
        <f t="shared" si="199"/>
        <v>0</v>
      </c>
      <c r="PA13" s="166"/>
      <c r="PB13" s="166"/>
      <c r="PC13" s="166"/>
      <c r="PD13" s="210">
        <f t="shared" si="135"/>
        <v>0</v>
      </c>
      <c r="PE13" s="210"/>
      <c r="PF13" s="210">
        <f t="shared" si="136"/>
        <v>0</v>
      </c>
      <c r="PG13" s="210">
        <f t="shared" si="137"/>
        <v>0</v>
      </c>
      <c r="PH13" s="210">
        <f t="shared" si="137"/>
        <v>0</v>
      </c>
      <c r="PI13" s="210">
        <f t="shared" si="137"/>
        <v>0</v>
      </c>
      <c r="PJ13" s="210">
        <f t="shared" si="137"/>
        <v>0</v>
      </c>
      <c r="PK13" s="210">
        <f t="shared" si="137"/>
        <v>0</v>
      </c>
      <c r="PL13" s="210">
        <f t="shared" si="137"/>
        <v>0</v>
      </c>
      <c r="PO13" s="172">
        <f t="shared" si="200"/>
        <v>0</v>
      </c>
      <c r="PP13" s="172">
        <f t="shared" si="201"/>
        <v>0</v>
      </c>
      <c r="PQ13" s="172">
        <f t="shared" si="202"/>
        <v>0</v>
      </c>
    </row>
    <row r="14" spans="1:433" ht="16" x14ac:dyDescent="0.2">
      <c r="A14" s="19">
        <f t="shared" si="203"/>
        <v>6</v>
      </c>
      <c r="B14" s="138" t="s">
        <v>255</v>
      </c>
      <c r="C14" s="138">
        <v>6</v>
      </c>
      <c r="D14" s="20">
        <v>1</v>
      </c>
      <c r="E14" s="20">
        <v>50</v>
      </c>
      <c r="F14" s="20">
        <v>1</v>
      </c>
      <c r="G14" s="20">
        <f t="shared" si="138"/>
        <v>50</v>
      </c>
      <c r="H14" s="137">
        <f t="shared" si="2"/>
        <v>1</v>
      </c>
      <c r="I14" s="137">
        <f t="shared" si="3"/>
        <v>1</v>
      </c>
      <c r="J14" s="20">
        <v>1</v>
      </c>
      <c r="K14" s="20">
        <f t="shared" si="4"/>
        <v>50</v>
      </c>
      <c r="L14" s="137">
        <f t="shared" si="5"/>
        <v>1</v>
      </c>
      <c r="M14" s="137">
        <f t="shared" si="6"/>
        <v>1</v>
      </c>
      <c r="N14" s="20">
        <v>1</v>
      </c>
      <c r="O14" s="20">
        <f t="shared" si="7"/>
        <v>50</v>
      </c>
      <c r="P14" s="137">
        <f t="shared" si="8"/>
        <v>1</v>
      </c>
      <c r="Q14" s="137">
        <f t="shared" si="9"/>
        <v>1</v>
      </c>
      <c r="R14" s="20">
        <v>1</v>
      </c>
      <c r="S14" s="20">
        <f t="shared" si="10"/>
        <v>50</v>
      </c>
      <c r="T14" s="137">
        <f t="shared" si="11"/>
        <v>1</v>
      </c>
      <c r="U14" s="137">
        <f t="shared" si="12"/>
        <v>1</v>
      </c>
      <c r="V14" s="20">
        <v>1</v>
      </c>
      <c r="W14" s="20">
        <f t="shared" si="13"/>
        <v>50</v>
      </c>
      <c r="X14" s="137">
        <f t="shared" si="14"/>
        <v>1</v>
      </c>
      <c r="Y14" s="137">
        <f t="shared" si="15"/>
        <v>1</v>
      </c>
      <c r="Z14" s="59">
        <f>757176000/1000000000</f>
        <v>0.75717599999999996</v>
      </c>
      <c r="AA14" s="59"/>
      <c r="AB14" s="17">
        <f t="shared" si="139"/>
        <v>0</v>
      </c>
      <c r="AC14" s="18">
        <f t="shared" si="140"/>
        <v>0</v>
      </c>
      <c r="AD14" s="18">
        <f t="shared" si="141"/>
        <v>0</v>
      </c>
      <c r="AE14" s="59"/>
      <c r="AF14" s="20">
        <f t="shared" si="142"/>
        <v>0</v>
      </c>
      <c r="AG14" s="20"/>
      <c r="AH14" s="20"/>
      <c r="AI14" s="20">
        <v>0</v>
      </c>
      <c r="AJ14" s="20">
        <f t="shared" si="204"/>
        <v>0</v>
      </c>
      <c r="AK14" s="20"/>
      <c r="AL14" s="20">
        <v>0</v>
      </c>
      <c r="AM14" s="20">
        <v>0</v>
      </c>
      <c r="AN14" s="139"/>
      <c r="AO14" s="17">
        <f t="shared" si="18"/>
        <v>0</v>
      </c>
      <c r="AP14" s="17">
        <f t="shared" si="19"/>
        <v>0</v>
      </c>
      <c r="AQ14" s="17">
        <f t="shared" si="20"/>
        <v>0</v>
      </c>
      <c r="AR14" s="17">
        <f t="shared" si="21"/>
        <v>0</v>
      </c>
      <c r="AS14" s="17">
        <f t="shared" si="22"/>
        <v>0</v>
      </c>
      <c r="AT14" s="17">
        <f t="shared" si="23"/>
        <v>0</v>
      </c>
      <c r="AU14" s="17">
        <f t="shared" si="24"/>
        <v>0</v>
      </c>
      <c r="AV14" s="17">
        <f t="shared" si="25"/>
        <v>0</v>
      </c>
      <c r="AW14" s="17">
        <f t="shared" si="26"/>
        <v>0</v>
      </c>
      <c r="AX14" s="17">
        <f t="shared" si="27"/>
        <v>0</v>
      </c>
      <c r="AY14" s="17">
        <f t="shared" si="205"/>
        <v>0</v>
      </c>
      <c r="AZ14" s="17">
        <f t="shared" si="206"/>
        <v>0</v>
      </c>
      <c r="BA14" s="17">
        <f t="shared" si="145"/>
        <v>0</v>
      </c>
      <c r="BB14" s="17">
        <f t="shared" si="146"/>
        <v>0</v>
      </c>
      <c r="BC14" s="29">
        <f t="shared" si="147"/>
        <v>0</v>
      </c>
      <c r="BE14" s="17">
        <f t="shared" si="28"/>
        <v>0</v>
      </c>
      <c r="BF14" s="17">
        <f t="shared" si="29"/>
        <v>0</v>
      </c>
      <c r="BG14" s="17">
        <f t="shared" si="30"/>
        <v>0</v>
      </c>
      <c r="BH14" s="17">
        <f t="shared" si="31"/>
        <v>0</v>
      </c>
      <c r="BI14" s="17">
        <f t="shared" si="32"/>
        <v>0</v>
      </c>
      <c r="BJ14" s="17">
        <f t="shared" si="33"/>
        <v>0</v>
      </c>
      <c r="BK14" s="17">
        <f t="shared" si="148"/>
        <v>0</v>
      </c>
      <c r="BN14" s="284">
        <v>12</v>
      </c>
      <c r="BO14">
        <v>1</v>
      </c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B14" s="20"/>
      <c r="CD14" s="17">
        <f t="shared" si="35"/>
        <v>12</v>
      </c>
      <c r="CE14" s="17">
        <f t="shared" si="36"/>
        <v>12</v>
      </c>
      <c r="CF14" s="20">
        <f t="shared" si="207"/>
        <v>0</v>
      </c>
      <c r="CG14" s="20">
        <f t="shared" si="208"/>
        <v>0</v>
      </c>
      <c r="CH14" s="20">
        <f t="shared" si="209"/>
        <v>0</v>
      </c>
      <c r="CI14" s="20">
        <f t="shared" si="210"/>
        <v>0</v>
      </c>
      <c r="CJ14" s="20">
        <f t="shared" si="211"/>
        <v>0</v>
      </c>
      <c r="CK14" s="20">
        <f t="shared" si="212"/>
        <v>0</v>
      </c>
      <c r="CL14" s="20">
        <f t="shared" si="213"/>
        <v>0</v>
      </c>
      <c r="CM14" s="20">
        <f t="shared" si="214"/>
        <v>0</v>
      </c>
      <c r="CN14" s="20">
        <f t="shared" si="215"/>
        <v>0</v>
      </c>
      <c r="CO14" s="20">
        <f t="shared" si="216"/>
        <v>0</v>
      </c>
      <c r="CP14" s="20">
        <f t="shared" si="217"/>
        <v>0</v>
      </c>
      <c r="DV14" s="20">
        <f t="shared" si="48"/>
        <v>0</v>
      </c>
      <c r="DW14" s="20">
        <f t="shared" si="49"/>
        <v>0</v>
      </c>
      <c r="DX14" s="20">
        <f t="shared" si="50"/>
        <v>0</v>
      </c>
      <c r="DY14" s="20">
        <f t="shared" si="51"/>
        <v>0</v>
      </c>
      <c r="DZ14" s="20">
        <f t="shared" si="52"/>
        <v>0</v>
      </c>
      <c r="EA14" s="20">
        <f t="shared" si="53"/>
        <v>0</v>
      </c>
      <c r="EB14" s="20">
        <f t="shared" si="150"/>
        <v>0</v>
      </c>
      <c r="ED14" s="46" t="s">
        <v>301</v>
      </c>
      <c r="EE14" s="46" t="s">
        <v>374</v>
      </c>
      <c r="EF14" s="56"/>
      <c r="EG14" s="57">
        <f t="shared" si="151"/>
        <v>0</v>
      </c>
      <c r="EH14" s="57">
        <f t="shared" si="152"/>
        <v>0</v>
      </c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X14" s="169">
        <v>1</v>
      </c>
      <c r="FY14" s="17">
        <f t="shared" si="153"/>
        <v>12</v>
      </c>
      <c r="FZ14" s="17">
        <f t="shared" si="55"/>
        <v>12</v>
      </c>
      <c r="GA14" s="17">
        <f t="shared" si="56"/>
        <v>0</v>
      </c>
      <c r="GB14" s="17">
        <f t="shared" si="57"/>
        <v>0</v>
      </c>
      <c r="GC14" s="17">
        <f t="shared" si="58"/>
        <v>0</v>
      </c>
      <c r="GD14" s="17">
        <f t="shared" si="59"/>
        <v>0</v>
      </c>
      <c r="GE14" s="17">
        <f t="shared" si="60"/>
        <v>0</v>
      </c>
      <c r="GF14" s="67"/>
      <c r="GG14" s="17">
        <v>0</v>
      </c>
      <c r="GH14" s="17">
        <v>0</v>
      </c>
      <c r="GI14" s="67"/>
      <c r="GJ14" s="62">
        <f t="shared" si="154"/>
        <v>0</v>
      </c>
      <c r="GK14" s="62">
        <f t="shared" si="155"/>
        <v>0</v>
      </c>
      <c r="GO14" s="17">
        <f t="shared" si="61"/>
        <v>0</v>
      </c>
      <c r="GP14" s="17">
        <f t="shared" si="62"/>
        <v>0</v>
      </c>
      <c r="GQ14" s="17">
        <f t="shared" si="63"/>
        <v>0</v>
      </c>
      <c r="GR14" s="17">
        <f t="shared" si="64"/>
        <v>0</v>
      </c>
      <c r="GS14" s="17">
        <f t="shared" si="65"/>
        <v>0</v>
      </c>
      <c r="GT14" s="17">
        <f t="shared" si="156"/>
        <v>1</v>
      </c>
      <c r="GU14" s="101">
        <f t="shared" si="157"/>
        <v>43243</v>
      </c>
      <c r="GV14" s="17" t="str">
        <f t="shared" si="158"/>
        <v>SELESAI</v>
      </c>
      <c r="GW14" s="17">
        <f t="shared" si="159"/>
        <v>0</v>
      </c>
      <c r="GX14" s="66" t="str">
        <f t="shared" si="160"/>
        <v>SELESAI</v>
      </c>
      <c r="GY14" s="66">
        <f t="shared" si="161"/>
        <v>0</v>
      </c>
      <c r="GZ14" s="102" t="str">
        <f t="shared" si="162"/>
        <v>SELESAI</v>
      </c>
      <c r="HA14" s="83"/>
      <c r="HB14" s="83"/>
      <c r="HC14" s="17">
        <f t="shared" si="66"/>
        <v>0</v>
      </c>
      <c r="HD14" s="17">
        <f t="shared" si="67"/>
        <v>0</v>
      </c>
      <c r="HE14" s="17">
        <f t="shared" si="163"/>
        <v>0</v>
      </c>
      <c r="HF14" s="17">
        <f t="shared" si="164"/>
        <v>0</v>
      </c>
      <c r="HG14" s="17">
        <f t="shared" si="165"/>
        <v>0</v>
      </c>
      <c r="HH14" s="101" t="str">
        <f t="shared" si="68"/>
        <v>TIDAK KONSINYASI</v>
      </c>
      <c r="HI14" s="101" t="str">
        <f t="shared" si="166"/>
        <v>SELESAI</v>
      </c>
      <c r="HJ14" s="27"/>
      <c r="HK14" s="101">
        <f t="shared" si="69"/>
        <v>0</v>
      </c>
      <c r="HL14" s="83"/>
      <c r="HM14" s="83"/>
      <c r="HN14" s="83"/>
      <c r="HO14" s="83"/>
      <c r="HP14" s="102">
        <f t="shared" si="167"/>
        <v>0</v>
      </c>
      <c r="HQ14" s="66">
        <f t="shared" si="168"/>
        <v>0</v>
      </c>
      <c r="HR14" s="66">
        <f t="shared" si="70"/>
        <v>0</v>
      </c>
      <c r="HS14" s="102">
        <f t="shared" si="169"/>
        <v>0</v>
      </c>
      <c r="HT14" s="66">
        <f t="shared" si="170"/>
        <v>0</v>
      </c>
      <c r="HU14" s="66">
        <f t="shared" si="71"/>
        <v>0</v>
      </c>
      <c r="HV14" s="102">
        <f t="shared" si="171"/>
        <v>0</v>
      </c>
      <c r="HW14" s="66">
        <f t="shared" si="72"/>
        <v>0</v>
      </c>
      <c r="HX14" s="66">
        <f t="shared" si="73"/>
        <v>0</v>
      </c>
      <c r="HY14" s="102">
        <f t="shared" si="74"/>
        <v>0</v>
      </c>
      <c r="HZ14" s="66">
        <f t="shared" si="172"/>
        <v>0</v>
      </c>
      <c r="IA14" s="66">
        <f t="shared" si="75"/>
        <v>0</v>
      </c>
      <c r="IB14" s="102">
        <f t="shared" si="173"/>
        <v>0</v>
      </c>
      <c r="IC14" s="66">
        <f t="shared" si="76"/>
        <v>0</v>
      </c>
      <c r="ID14" s="66">
        <f t="shared" si="77"/>
        <v>0</v>
      </c>
      <c r="IE14" s="102">
        <f t="shared" si="78"/>
        <v>0</v>
      </c>
      <c r="IF14" s="66">
        <f t="shared" si="79"/>
        <v>0</v>
      </c>
      <c r="IG14" s="66">
        <f t="shared" si="80"/>
        <v>0</v>
      </c>
      <c r="IH14" s="102">
        <f t="shared" si="174"/>
        <v>0</v>
      </c>
      <c r="II14" s="66">
        <f t="shared" si="175"/>
        <v>0</v>
      </c>
      <c r="IJ14" s="66">
        <f t="shared" si="81"/>
        <v>0</v>
      </c>
      <c r="IK14" s="102">
        <f t="shared" si="82"/>
        <v>0</v>
      </c>
      <c r="IL14" s="66">
        <f t="shared" si="83"/>
        <v>0</v>
      </c>
      <c r="IM14" s="66">
        <f t="shared" si="84"/>
        <v>0</v>
      </c>
      <c r="IN14" s="83"/>
      <c r="IO14" s="102">
        <f t="shared" si="85"/>
        <v>0</v>
      </c>
      <c r="IP14" s="66">
        <f t="shared" si="86"/>
        <v>0</v>
      </c>
      <c r="IQ14" s="66">
        <f t="shared" si="87"/>
        <v>0</v>
      </c>
      <c r="IR14" s="83"/>
      <c r="IS14" s="102"/>
      <c r="IT14" s="66">
        <f t="shared" si="88"/>
        <v>1</v>
      </c>
      <c r="IU14" s="66">
        <f t="shared" si="89"/>
        <v>50</v>
      </c>
      <c r="IV14" s="83"/>
      <c r="IW14" s="102"/>
      <c r="IX14" s="66">
        <f t="shared" si="90"/>
        <v>0</v>
      </c>
      <c r="IY14" s="66">
        <f t="shared" si="91"/>
        <v>0</v>
      </c>
      <c r="IZ14" s="83"/>
      <c r="JA14" s="102"/>
      <c r="JB14" s="66">
        <f t="shared" si="92"/>
        <v>0</v>
      </c>
      <c r="JC14" s="66">
        <f t="shared" si="93"/>
        <v>0</v>
      </c>
      <c r="JD14" s="83"/>
      <c r="JE14" s="102"/>
      <c r="JF14" s="66">
        <f t="shared" si="176"/>
        <v>1</v>
      </c>
      <c r="JG14" s="66">
        <f t="shared" si="94"/>
        <v>50</v>
      </c>
      <c r="JH14" s="83"/>
      <c r="JI14" s="102"/>
      <c r="JJ14" s="66">
        <f t="shared" si="95"/>
        <v>0</v>
      </c>
      <c r="JK14" s="66">
        <f t="shared" si="96"/>
        <v>0</v>
      </c>
      <c r="JM14" s="102">
        <f t="shared" si="177"/>
        <v>0</v>
      </c>
      <c r="JO14" s="29">
        <f t="shared" si="97"/>
        <v>1</v>
      </c>
      <c r="JP14" s="122">
        <f t="shared" si="98"/>
        <v>12</v>
      </c>
      <c r="JQ14" s="122">
        <f t="shared" si="99"/>
        <v>1</v>
      </c>
      <c r="JR14" s="122">
        <f t="shared" si="100"/>
        <v>0</v>
      </c>
      <c r="JS14" s="122">
        <f t="shared" si="101"/>
        <v>0</v>
      </c>
      <c r="JT14" s="122">
        <f t="shared" si="102"/>
        <v>0</v>
      </c>
      <c r="JU14" s="122">
        <f t="shared" si="103"/>
        <v>0</v>
      </c>
      <c r="JV14" s="122">
        <f t="shared" si="104"/>
        <v>0</v>
      </c>
      <c r="JW14" s="122">
        <f t="shared" si="105"/>
        <v>0</v>
      </c>
      <c r="JX14" s="122">
        <f t="shared" si="106"/>
        <v>0</v>
      </c>
      <c r="JY14" s="122">
        <f t="shared" si="107"/>
        <v>0</v>
      </c>
      <c r="JZ14" s="122">
        <f t="shared" si="108"/>
        <v>0</v>
      </c>
      <c r="KA14" s="122">
        <f t="shared" si="109"/>
        <v>0</v>
      </c>
      <c r="KB14" s="122">
        <f t="shared" si="110"/>
        <v>0</v>
      </c>
      <c r="KD14" s="122">
        <f t="shared" si="178"/>
        <v>0</v>
      </c>
      <c r="KE14" s="122">
        <f t="shared" si="112"/>
        <v>0</v>
      </c>
      <c r="KF14" s="122">
        <f t="shared" si="113"/>
        <v>12</v>
      </c>
      <c r="KG14" s="122">
        <f t="shared" si="114"/>
        <v>12</v>
      </c>
      <c r="KH14" s="122">
        <f t="shared" si="115"/>
        <v>0</v>
      </c>
      <c r="KI14" s="122">
        <f t="shared" si="116"/>
        <v>0</v>
      </c>
      <c r="KJ14" s="122">
        <f t="shared" si="117"/>
        <v>0</v>
      </c>
      <c r="KK14" s="122">
        <f t="shared" si="118"/>
        <v>0</v>
      </c>
      <c r="KL14" s="122">
        <f t="shared" si="119"/>
        <v>0</v>
      </c>
      <c r="KM14" s="122">
        <f t="shared" si="120"/>
        <v>0</v>
      </c>
      <c r="KN14" s="123">
        <f t="shared" si="121"/>
        <v>0</v>
      </c>
      <c r="KO14" s="123">
        <f t="shared" si="122"/>
        <v>0</v>
      </c>
      <c r="KP14" s="123">
        <f t="shared" si="123"/>
        <v>0</v>
      </c>
      <c r="KQ14" s="123">
        <f t="shared" si="124"/>
        <v>0</v>
      </c>
      <c r="KR14" s="123">
        <f t="shared" si="125"/>
        <v>0</v>
      </c>
      <c r="KT14">
        <f t="shared" si="126"/>
        <v>0</v>
      </c>
      <c r="KU14" s="123"/>
      <c r="KV14" s="123"/>
      <c r="KW14" s="123"/>
      <c r="KX14" s="123"/>
      <c r="KY14" s="123"/>
      <c r="KZ14" s="123"/>
      <c r="LA14" s="123"/>
      <c r="LB14" s="123"/>
      <c r="LC14" s="123"/>
      <c r="LD14" s="123"/>
      <c r="LE14" s="123"/>
      <c r="LF14" s="123"/>
      <c r="LG14" s="123"/>
      <c r="LH14" s="123"/>
      <c r="LI14" s="123"/>
      <c r="LJ14" s="123"/>
      <c r="LK14" s="123"/>
      <c r="LL14" s="123"/>
      <c r="LM14" s="123"/>
      <c r="LN14" s="123"/>
      <c r="LO14" s="123"/>
      <c r="LP14" s="123"/>
      <c r="LQ14" s="123"/>
      <c r="LR14" s="123"/>
      <c r="LS14" s="123"/>
      <c r="LT14" s="123"/>
      <c r="LU14" s="123"/>
      <c r="LV14" s="123"/>
      <c r="LW14" s="123"/>
      <c r="LX14" s="123"/>
      <c r="LY14" s="123"/>
      <c r="LZ14" s="123"/>
      <c r="MA14" s="123"/>
      <c r="MB14" s="123"/>
      <c r="MC14" s="123"/>
      <c r="MD14" s="123"/>
      <c r="ME14" s="123"/>
      <c r="MF14" s="123"/>
      <c r="MG14" s="123"/>
      <c r="MH14" s="123"/>
      <c r="MI14" s="123"/>
      <c r="MJ14" s="123"/>
      <c r="MK14" s="123"/>
      <c r="ML14" s="123"/>
      <c r="MM14" s="123"/>
      <c r="MN14" s="123"/>
      <c r="MO14" s="123"/>
      <c r="MP14" s="123"/>
      <c r="MQ14" s="123"/>
      <c r="MR14" s="123"/>
      <c r="MS14" s="123"/>
      <c r="MT14" s="123"/>
      <c r="MU14" s="123"/>
      <c r="MV14" s="123"/>
      <c r="MW14" s="123"/>
      <c r="MX14" s="123"/>
      <c r="MY14" s="123"/>
      <c r="MZ14" s="123"/>
      <c r="NA14" s="123"/>
      <c r="NB14" s="123"/>
      <c r="NC14" s="123"/>
      <c r="ND14" s="123"/>
      <c r="NE14" s="123"/>
      <c r="NF14" s="123"/>
      <c r="NG14" s="123"/>
      <c r="NH14" s="123"/>
      <c r="NI14" s="123"/>
      <c r="NJ14" s="123"/>
      <c r="NK14" s="123"/>
      <c r="NM14">
        <f t="shared" si="179"/>
        <v>0</v>
      </c>
      <c r="NN14">
        <f t="shared" si="180"/>
        <v>0</v>
      </c>
      <c r="NO14">
        <f t="shared" si="181"/>
        <v>0</v>
      </c>
      <c r="NP14">
        <f t="shared" si="182"/>
        <v>0</v>
      </c>
      <c r="NQ14">
        <f t="shared" si="183"/>
        <v>0</v>
      </c>
      <c r="NR14">
        <f t="shared" si="184"/>
        <v>0</v>
      </c>
      <c r="NS14">
        <f t="shared" si="185"/>
        <v>0</v>
      </c>
      <c r="NT14">
        <f t="shared" si="186"/>
        <v>0</v>
      </c>
      <c r="NU14" s="29">
        <f t="shared" si="187"/>
        <v>0</v>
      </c>
      <c r="NY14" s="29">
        <f t="shared" si="128"/>
        <v>1</v>
      </c>
      <c r="NZ14" s="152">
        <v>8624000</v>
      </c>
      <c r="OE14" s="155">
        <f t="shared" si="129"/>
        <v>0</v>
      </c>
      <c r="OF14" s="155">
        <f t="shared" si="130"/>
        <v>0</v>
      </c>
      <c r="OG14" s="155">
        <f t="shared" si="131"/>
        <v>0</v>
      </c>
      <c r="OH14" s="155">
        <f t="shared" si="188"/>
        <v>0</v>
      </c>
      <c r="OI14" s="155">
        <f t="shared" si="132"/>
        <v>0</v>
      </c>
      <c r="OJ14" s="67">
        <f t="shared" si="189"/>
        <v>0</v>
      </c>
      <c r="OK14" s="67">
        <f t="shared" si="190"/>
        <v>0</v>
      </c>
      <c r="OL14" s="67">
        <f t="shared" si="191"/>
        <v>0</v>
      </c>
      <c r="OM14" s="67">
        <f t="shared" si="192"/>
        <v>0</v>
      </c>
      <c r="OO14" s="155">
        <f t="shared" si="133"/>
        <v>0</v>
      </c>
      <c r="OP14" s="155">
        <f t="shared" si="134"/>
        <v>0</v>
      </c>
      <c r="OQ14" s="155">
        <f t="shared" si="193"/>
        <v>0</v>
      </c>
      <c r="OR14" s="155">
        <f t="shared" si="194"/>
        <v>0</v>
      </c>
      <c r="OS14" s="155">
        <f t="shared" si="195"/>
        <v>0</v>
      </c>
      <c r="OT14" s="67">
        <f t="shared" si="196"/>
        <v>0</v>
      </c>
      <c r="OU14" s="67">
        <f t="shared" si="197"/>
        <v>0</v>
      </c>
      <c r="OV14" s="67">
        <f t="shared" si="198"/>
        <v>0</v>
      </c>
      <c r="OW14" s="67">
        <f t="shared" si="199"/>
        <v>0</v>
      </c>
      <c r="PA14" s="166"/>
      <c r="PB14" s="166"/>
      <c r="PC14" s="166"/>
      <c r="PD14" s="210">
        <f t="shared" si="135"/>
        <v>0</v>
      </c>
      <c r="PE14" s="210"/>
      <c r="PF14" s="210">
        <f t="shared" si="136"/>
        <v>0</v>
      </c>
      <c r="PG14" s="210">
        <f t="shared" si="137"/>
        <v>0</v>
      </c>
      <c r="PH14" s="210">
        <f t="shared" si="137"/>
        <v>0</v>
      </c>
      <c r="PI14" s="210">
        <f t="shared" si="137"/>
        <v>0</v>
      </c>
      <c r="PJ14" s="210">
        <f t="shared" si="137"/>
        <v>0</v>
      </c>
      <c r="PK14" s="210">
        <f t="shared" si="137"/>
        <v>0</v>
      </c>
      <c r="PL14" s="210">
        <f t="shared" si="137"/>
        <v>0</v>
      </c>
      <c r="PO14" s="172">
        <f t="shared" si="200"/>
        <v>0</v>
      </c>
      <c r="PP14" s="172">
        <f t="shared" si="201"/>
        <v>0</v>
      </c>
      <c r="PQ14" s="172">
        <f t="shared" si="202"/>
        <v>0</v>
      </c>
    </row>
    <row r="15" spans="1:433" ht="16" x14ac:dyDescent="0.2">
      <c r="A15" s="19">
        <f t="shared" si="203"/>
        <v>7</v>
      </c>
      <c r="B15" s="138" t="s">
        <v>480</v>
      </c>
      <c r="C15" s="138">
        <v>7</v>
      </c>
      <c r="D15" s="20">
        <v>1</v>
      </c>
      <c r="E15" s="20">
        <v>140</v>
      </c>
      <c r="F15" s="20">
        <v>1</v>
      </c>
      <c r="G15" s="20">
        <f t="shared" si="138"/>
        <v>140</v>
      </c>
      <c r="H15" s="137">
        <f t="shared" si="2"/>
        <v>1</v>
      </c>
      <c r="I15" s="137">
        <f t="shared" si="3"/>
        <v>1</v>
      </c>
      <c r="J15" s="20">
        <v>1</v>
      </c>
      <c r="K15" s="20">
        <f t="shared" si="4"/>
        <v>140</v>
      </c>
      <c r="L15" s="137">
        <f t="shared" si="5"/>
        <v>1</v>
      </c>
      <c r="M15" s="137">
        <f t="shared" si="6"/>
        <v>1</v>
      </c>
      <c r="N15" s="20">
        <v>1</v>
      </c>
      <c r="O15" s="20">
        <f t="shared" si="7"/>
        <v>140</v>
      </c>
      <c r="P15" s="137">
        <f t="shared" si="8"/>
        <v>1</v>
      </c>
      <c r="Q15" s="137">
        <f t="shared" si="9"/>
        <v>1</v>
      </c>
      <c r="R15" s="20">
        <v>1</v>
      </c>
      <c r="S15" s="20">
        <f t="shared" si="10"/>
        <v>140</v>
      </c>
      <c r="T15" s="137">
        <f t="shared" si="11"/>
        <v>1</v>
      </c>
      <c r="U15" s="137">
        <f t="shared" si="12"/>
        <v>1</v>
      </c>
      <c r="V15" s="20">
        <v>1</v>
      </c>
      <c r="W15" s="20">
        <f t="shared" si="13"/>
        <v>140</v>
      </c>
      <c r="X15" s="137">
        <f t="shared" si="14"/>
        <v>1</v>
      </c>
      <c r="Y15" s="137">
        <f t="shared" si="15"/>
        <v>1</v>
      </c>
      <c r="Z15" s="59">
        <f>1316436000/1000000000</f>
        <v>1.3164359999999999</v>
      </c>
      <c r="AA15" s="59"/>
      <c r="AB15" s="17">
        <f t="shared" si="139"/>
        <v>0</v>
      </c>
      <c r="AC15" s="18">
        <f t="shared" si="140"/>
        <v>0</v>
      </c>
      <c r="AD15" s="18">
        <f t="shared" si="141"/>
        <v>0</v>
      </c>
      <c r="AE15" s="59"/>
      <c r="AF15" s="20">
        <f t="shared" si="142"/>
        <v>0</v>
      </c>
      <c r="AG15" s="20"/>
      <c r="AH15" s="20"/>
      <c r="AI15" s="20">
        <v>0</v>
      </c>
      <c r="AJ15" s="20">
        <f t="shared" si="204"/>
        <v>0</v>
      </c>
      <c r="AK15" s="20"/>
      <c r="AL15" s="20">
        <v>0</v>
      </c>
      <c r="AM15" s="20">
        <v>0</v>
      </c>
      <c r="AN15" s="139"/>
      <c r="AO15" s="17">
        <f t="shared" si="18"/>
        <v>0</v>
      </c>
      <c r="AP15" s="17">
        <f t="shared" si="19"/>
        <v>0</v>
      </c>
      <c r="AQ15" s="17">
        <f t="shared" si="20"/>
        <v>0</v>
      </c>
      <c r="AR15" s="17">
        <f t="shared" si="21"/>
        <v>0</v>
      </c>
      <c r="AS15" s="17">
        <f t="shared" si="22"/>
        <v>0</v>
      </c>
      <c r="AT15" s="17">
        <f t="shared" si="23"/>
        <v>0</v>
      </c>
      <c r="AU15" s="17">
        <f t="shared" si="24"/>
        <v>0</v>
      </c>
      <c r="AV15" s="17">
        <f t="shared" si="25"/>
        <v>0</v>
      </c>
      <c r="AW15" s="17">
        <f t="shared" si="26"/>
        <v>0</v>
      </c>
      <c r="AX15" s="17">
        <f t="shared" si="27"/>
        <v>0</v>
      </c>
      <c r="AY15" s="17">
        <f t="shared" si="205"/>
        <v>0</v>
      </c>
      <c r="AZ15" s="17">
        <f t="shared" si="206"/>
        <v>0</v>
      </c>
      <c r="BA15" s="17">
        <f t="shared" si="145"/>
        <v>0</v>
      </c>
      <c r="BB15" s="17">
        <f t="shared" si="146"/>
        <v>0</v>
      </c>
      <c r="BC15" s="29">
        <f t="shared" si="147"/>
        <v>0</v>
      </c>
      <c r="BE15" s="17">
        <f t="shared" si="28"/>
        <v>0</v>
      </c>
      <c r="BF15" s="17">
        <f t="shared" si="29"/>
        <v>0</v>
      </c>
      <c r="BG15" s="17">
        <f t="shared" si="30"/>
        <v>0</v>
      </c>
      <c r="BH15" s="17">
        <f t="shared" si="31"/>
        <v>0</v>
      </c>
      <c r="BI15" s="17">
        <f t="shared" si="32"/>
        <v>0</v>
      </c>
      <c r="BJ15" s="17">
        <f t="shared" si="33"/>
        <v>0</v>
      </c>
      <c r="BK15" s="17">
        <f t="shared" si="148"/>
        <v>0</v>
      </c>
      <c r="BN15" s="284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B15" s="20"/>
      <c r="CD15" s="17">
        <f t="shared" si="35"/>
        <v>0</v>
      </c>
      <c r="CE15" s="17">
        <f t="shared" si="36"/>
        <v>0</v>
      </c>
      <c r="CF15" s="20">
        <f t="shared" si="207"/>
        <v>0</v>
      </c>
      <c r="CG15" s="20">
        <f t="shared" si="208"/>
        <v>0</v>
      </c>
      <c r="CH15" s="20">
        <f t="shared" si="209"/>
        <v>0</v>
      </c>
      <c r="CI15" s="20">
        <f t="shared" si="210"/>
        <v>0</v>
      </c>
      <c r="CJ15" s="20">
        <f t="shared" si="211"/>
        <v>0</v>
      </c>
      <c r="CK15" s="20">
        <f t="shared" si="212"/>
        <v>0</v>
      </c>
      <c r="CL15" s="20">
        <f t="shared" si="213"/>
        <v>0</v>
      </c>
      <c r="CM15" s="20">
        <f t="shared" si="214"/>
        <v>0</v>
      </c>
      <c r="CN15" s="20">
        <f t="shared" si="215"/>
        <v>0</v>
      </c>
      <c r="CO15" s="20">
        <f t="shared" si="216"/>
        <v>0</v>
      </c>
      <c r="CP15" s="20">
        <f t="shared" si="217"/>
        <v>0</v>
      </c>
      <c r="DV15" s="20">
        <f t="shared" si="48"/>
        <v>0</v>
      </c>
      <c r="DW15" s="20">
        <f t="shared" si="49"/>
        <v>0</v>
      </c>
      <c r="DX15" s="20">
        <f t="shared" si="50"/>
        <v>0</v>
      </c>
      <c r="DY15" s="20">
        <f t="shared" si="51"/>
        <v>0</v>
      </c>
      <c r="DZ15" s="20">
        <f t="shared" si="52"/>
        <v>0</v>
      </c>
      <c r="EA15" s="20">
        <f t="shared" si="53"/>
        <v>0</v>
      </c>
      <c r="EB15" s="20">
        <f t="shared" si="150"/>
        <v>0</v>
      </c>
      <c r="ED15" s="46" t="s">
        <v>343</v>
      </c>
      <c r="EE15" s="46" t="s">
        <v>375</v>
      </c>
      <c r="EF15" s="56"/>
      <c r="EG15" s="57">
        <f t="shared" si="151"/>
        <v>0</v>
      </c>
      <c r="EH15" s="57">
        <f t="shared" si="152"/>
        <v>0</v>
      </c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X15" s="169"/>
      <c r="FY15" s="17">
        <f t="shared" si="153"/>
        <v>0</v>
      </c>
      <c r="FZ15" s="17">
        <f t="shared" si="55"/>
        <v>0</v>
      </c>
      <c r="GA15" s="17">
        <f t="shared" si="56"/>
        <v>0</v>
      </c>
      <c r="GB15" s="17">
        <f t="shared" si="57"/>
        <v>0</v>
      </c>
      <c r="GC15" s="17">
        <f t="shared" si="58"/>
        <v>0</v>
      </c>
      <c r="GD15" s="17">
        <f t="shared" si="59"/>
        <v>0</v>
      </c>
      <c r="GE15" s="17">
        <f t="shared" si="60"/>
        <v>0</v>
      </c>
      <c r="GF15" s="67"/>
      <c r="GG15" s="17">
        <v>0</v>
      </c>
      <c r="GH15" s="17">
        <v>0</v>
      </c>
      <c r="GI15" s="67"/>
      <c r="GJ15" s="62">
        <f t="shared" si="154"/>
        <v>0</v>
      </c>
      <c r="GK15" s="62">
        <f t="shared" si="155"/>
        <v>0</v>
      </c>
      <c r="GO15" s="17">
        <f t="shared" si="61"/>
        <v>0</v>
      </c>
      <c r="GP15" s="17">
        <f t="shared" si="62"/>
        <v>0</v>
      </c>
      <c r="GQ15" s="17">
        <f t="shared" si="63"/>
        <v>0</v>
      </c>
      <c r="GR15" s="17">
        <f t="shared" si="64"/>
        <v>0</v>
      </c>
      <c r="GS15" s="17">
        <f t="shared" si="65"/>
        <v>0</v>
      </c>
      <c r="GT15" s="17">
        <f t="shared" si="156"/>
        <v>1</v>
      </c>
      <c r="GU15" s="101">
        <f t="shared" si="157"/>
        <v>43243</v>
      </c>
      <c r="GV15" s="17" t="str">
        <f t="shared" si="158"/>
        <v>SELESAI</v>
      </c>
      <c r="GW15" s="17">
        <f t="shared" si="159"/>
        <v>0</v>
      </c>
      <c r="GX15" s="66" t="str">
        <f t="shared" si="160"/>
        <v>SELESAI</v>
      </c>
      <c r="GY15" s="66">
        <f t="shared" si="161"/>
        <v>0</v>
      </c>
      <c r="GZ15" s="102" t="str">
        <f t="shared" si="162"/>
        <v>SELESAI</v>
      </c>
      <c r="HA15" s="83"/>
      <c r="HB15" s="83"/>
      <c r="HC15" s="17">
        <f t="shared" si="66"/>
        <v>0</v>
      </c>
      <c r="HD15" s="17">
        <f t="shared" si="67"/>
        <v>0</v>
      </c>
      <c r="HE15" s="17">
        <f t="shared" si="163"/>
        <v>0</v>
      </c>
      <c r="HF15" s="17">
        <f t="shared" si="164"/>
        <v>0</v>
      </c>
      <c r="HG15" s="17">
        <f t="shared" si="165"/>
        <v>0</v>
      </c>
      <c r="HH15" s="101" t="str">
        <f t="shared" si="68"/>
        <v>TIDAK KONSINYASI</v>
      </c>
      <c r="HI15" s="101" t="str">
        <f t="shared" si="166"/>
        <v>SELESAI</v>
      </c>
      <c r="HJ15" s="27"/>
      <c r="HK15" s="101">
        <f t="shared" si="69"/>
        <v>0</v>
      </c>
      <c r="HL15" s="83"/>
      <c r="HM15" s="83"/>
      <c r="HN15" s="83"/>
      <c r="HO15" s="83"/>
      <c r="HP15" s="102">
        <f t="shared" si="167"/>
        <v>0</v>
      </c>
      <c r="HQ15" s="66">
        <f t="shared" si="168"/>
        <v>0</v>
      </c>
      <c r="HR15" s="66">
        <f t="shared" si="70"/>
        <v>0</v>
      </c>
      <c r="HS15" s="102">
        <f t="shared" si="169"/>
        <v>0</v>
      </c>
      <c r="HT15" s="66">
        <f t="shared" si="170"/>
        <v>0</v>
      </c>
      <c r="HU15" s="66">
        <f t="shared" si="71"/>
        <v>0</v>
      </c>
      <c r="HV15" s="102">
        <f t="shared" si="171"/>
        <v>0</v>
      </c>
      <c r="HW15" s="66">
        <f t="shared" si="72"/>
        <v>0</v>
      </c>
      <c r="HX15" s="66">
        <f t="shared" si="73"/>
        <v>0</v>
      </c>
      <c r="HY15" s="102">
        <f t="shared" si="74"/>
        <v>0</v>
      </c>
      <c r="HZ15" s="66">
        <f t="shared" si="172"/>
        <v>0</v>
      </c>
      <c r="IA15" s="66">
        <f t="shared" si="75"/>
        <v>0</v>
      </c>
      <c r="IB15" s="102">
        <f t="shared" si="173"/>
        <v>0</v>
      </c>
      <c r="IC15" s="66">
        <f t="shared" si="76"/>
        <v>0</v>
      </c>
      <c r="ID15" s="66">
        <f t="shared" si="77"/>
        <v>0</v>
      </c>
      <c r="IE15" s="102">
        <f t="shared" si="78"/>
        <v>0</v>
      </c>
      <c r="IF15" s="66">
        <f t="shared" si="79"/>
        <v>0</v>
      </c>
      <c r="IG15" s="66">
        <f t="shared" si="80"/>
        <v>0</v>
      </c>
      <c r="IH15" s="102">
        <f t="shared" si="174"/>
        <v>0</v>
      </c>
      <c r="II15" s="66">
        <f t="shared" si="175"/>
        <v>0</v>
      </c>
      <c r="IJ15" s="66">
        <f t="shared" si="81"/>
        <v>0</v>
      </c>
      <c r="IK15" s="102">
        <f t="shared" si="82"/>
        <v>0</v>
      </c>
      <c r="IL15" s="66">
        <f t="shared" si="83"/>
        <v>0</v>
      </c>
      <c r="IM15" s="66">
        <f t="shared" si="84"/>
        <v>0</v>
      </c>
      <c r="IN15" s="83"/>
      <c r="IO15" s="102">
        <f t="shared" si="85"/>
        <v>0</v>
      </c>
      <c r="IP15" s="66">
        <f t="shared" si="86"/>
        <v>0</v>
      </c>
      <c r="IQ15" s="66">
        <f t="shared" si="87"/>
        <v>0</v>
      </c>
      <c r="IR15" s="83"/>
      <c r="IS15" s="102"/>
      <c r="IT15" s="66">
        <f t="shared" si="88"/>
        <v>1</v>
      </c>
      <c r="IU15" s="66">
        <f t="shared" si="89"/>
        <v>140</v>
      </c>
      <c r="IV15" s="83"/>
      <c r="IW15" s="102"/>
      <c r="IX15" s="66">
        <f t="shared" si="90"/>
        <v>0</v>
      </c>
      <c r="IY15" s="66">
        <f t="shared" si="91"/>
        <v>0</v>
      </c>
      <c r="IZ15" s="83"/>
      <c r="JA15" s="102"/>
      <c r="JB15" s="66">
        <f t="shared" si="92"/>
        <v>0</v>
      </c>
      <c r="JC15" s="66">
        <f t="shared" si="93"/>
        <v>0</v>
      </c>
      <c r="JD15" s="83"/>
      <c r="JE15" s="102"/>
      <c r="JF15" s="66">
        <f t="shared" si="176"/>
        <v>1</v>
      </c>
      <c r="JG15" s="66">
        <f t="shared" si="94"/>
        <v>140</v>
      </c>
      <c r="JH15" s="83"/>
      <c r="JI15" s="102"/>
      <c r="JJ15" s="66">
        <f t="shared" si="95"/>
        <v>0</v>
      </c>
      <c r="JK15" s="66">
        <f t="shared" si="96"/>
        <v>0</v>
      </c>
      <c r="JM15" s="102">
        <f t="shared" si="177"/>
        <v>0</v>
      </c>
      <c r="JO15" s="29">
        <f t="shared" si="97"/>
        <v>0</v>
      </c>
      <c r="JP15" s="122">
        <f t="shared" si="98"/>
        <v>0</v>
      </c>
      <c r="JQ15" s="122">
        <f t="shared" si="99"/>
        <v>0</v>
      </c>
      <c r="JR15" s="122">
        <f t="shared" si="100"/>
        <v>0</v>
      </c>
      <c r="JS15" s="122">
        <f t="shared" si="101"/>
        <v>0</v>
      </c>
      <c r="JT15" s="122">
        <f t="shared" si="102"/>
        <v>0</v>
      </c>
      <c r="JU15" s="122">
        <f t="shared" si="103"/>
        <v>0</v>
      </c>
      <c r="JV15" s="122">
        <f t="shared" si="104"/>
        <v>0</v>
      </c>
      <c r="JW15" s="122">
        <f t="shared" si="105"/>
        <v>0</v>
      </c>
      <c r="JX15" s="122">
        <f t="shared" si="106"/>
        <v>0</v>
      </c>
      <c r="JY15" s="122">
        <f t="shared" si="107"/>
        <v>0</v>
      </c>
      <c r="JZ15" s="122">
        <f t="shared" si="108"/>
        <v>0</v>
      </c>
      <c r="KA15" s="122">
        <f t="shared" si="109"/>
        <v>0</v>
      </c>
      <c r="KB15" s="122">
        <f t="shared" si="110"/>
        <v>0</v>
      </c>
      <c r="KD15" s="122">
        <f t="shared" si="178"/>
        <v>0</v>
      </c>
      <c r="KE15" s="122">
        <f t="shared" si="112"/>
        <v>0</v>
      </c>
      <c r="KF15" s="122">
        <f t="shared" si="113"/>
        <v>0</v>
      </c>
      <c r="KG15" s="122">
        <f t="shared" si="114"/>
        <v>0</v>
      </c>
      <c r="KH15" s="122">
        <f t="shared" si="115"/>
        <v>0</v>
      </c>
      <c r="KI15" s="122">
        <f t="shared" si="116"/>
        <v>0</v>
      </c>
      <c r="KJ15" s="122">
        <f t="shared" si="117"/>
        <v>0</v>
      </c>
      <c r="KK15" s="122">
        <f t="shared" si="118"/>
        <v>0</v>
      </c>
      <c r="KL15" s="122">
        <f t="shared" si="119"/>
        <v>0</v>
      </c>
      <c r="KM15" s="122">
        <f t="shared" si="120"/>
        <v>0</v>
      </c>
      <c r="KN15" s="123">
        <f t="shared" si="121"/>
        <v>0</v>
      </c>
      <c r="KO15" s="123">
        <f t="shared" si="122"/>
        <v>0</v>
      </c>
      <c r="KP15" s="123">
        <f t="shared" si="123"/>
        <v>0</v>
      </c>
      <c r="KQ15" s="123">
        <f t="shared" si="124"/>
        <v>0</v>
      </c>
      <c r="KR15" s="123">
        <f t="shared" si="125"/>
        <v>0</v>
      </c>
      <c r="KT15">
        <f t="shared" si="126"/>
        <v>0</v>
      </c>
      <c r="KU15" s="123"/>
      <c r="KV15" s="123"/>
      <c r="KW15" s="123"/>
      <c r="KX15" s="123"/>
      <c r="KY15" s="123"/>
      <c r="KZ15" s="123"/>
      <c r="LA15" s="123"/>
      <c r="LB15" s="123"/>
      <c r="LC15" s="123"/>
      <c r="LD15" s="123"/>
      <c r="LE15" s="123"/>
      <c r="LF15" s="123"/>
      <c r="LG15" s="123"/>
      <c r="LH15" s="123"/>
      <c r="LI15" s="123"/>
      <c r="LJ15" s="123"/>
      <c r="LK15" s="123"/>
      <c r="LL15" s="123"/>
      <c r="LM15" s="123"/>
      <c r="LN15" s="123"/>
      <c r="LO15" s="123"/>
      <c r="LP15" s="123"/>
      <c r="LQ15" s="123"/>
      <c r="LR15" s="123"/>
      <c r="LS15" s="123"/>
      <c r="LT15" s="123"/>
      <c r="LU15" s="123"/>
      <c r="LV15" s="123"/>
      <c r="LW15" s="123"/>
      <c r="LX15" s="123"/>
      <c r="LY15" s="123"/>
      <c r="LZ15" s="123"/>
      <c r="MA15" s="123"/>
      <c r="MB15" s="123"/>
      <c r="MC15" s="123"/>
      <c r="MD15" s="123"/>
      <c r="ME15" s="123"/>
      <c r="MF15" s="123"/>
      <c r="MG15" s="123"/>
      <c r="MH15" s="123"/>
      <c r="MI15" s="123"/>
      <c r="MJ15" s="123"/>
      <c r="MK15" s="123"/>
      <c r="ML15" s="123"/>
      <c r="MM15" s="123"/>
      <c r="MN15" s="123"/>
      <c r="MO15" s="123"/>
      <c r="MP15" s="123"/>
      <c r="MQ15" s="123"/>
      <c r="MR15" s="123"/>
      <c r="MS15" s="123"/>
      <c r="MT15" s="123"/>
      <c r="MU15" s="123"/>
      <c r="MV15" s="123"/>
      <c r="MW15" s="123"/>
      <c r="MX15" s="123"/>
      <c r="MY15" s="123"/>
      <c r="MZ15" s="123"/>
      <c r="NA15" s="123"/>
      <c r="NB15" s="123"/>
      <c r="NC15" s="123"/>
      <c r="ND15" s="123"/>
      <c r="NE15" s="123"/>
      <c r="NF15" s="123"/>
      <c r="NG15" s="123"/>
      <c r="NH15" s="123"/>
      <c r="NI15" s="123"/>
      <c r="NJ15" s="123"/>
      <c r="NK15" s="123"/>
      <c r="NM15">
        <f t="shared" si="179"/>
        <v>0</v>
      </c>
      <c r="NN15">
        <f t="shared" si="180"/>
        <v>0</v>
      </c>
      <c r="NO15">
        <f t="shared" si="181"/>
        <v>0</v>
      </c>
      <c r="NP15">
        <f t="shared" si="182"/>
        <v>0</v>
      </c>
      <c r="NQ15">
        <f t="shared" si="183"/>
        <v>0</v>
      </c>
      <c r="NR15">
        <f t="shared" si="184"/>
        <v>0</v>
      </c>
      <c r="NS15">
        <f t="shared" si="185"/>
        <v>0</v>
      </c>
      <c r="NT15">
        <f t="shared" si="186"/>
        <v>0</v>
      </c>
      <c r="NU15" s="29">
        <f t="shared" si="187"/>
        <v>0</v>
      </c>
      <c r="NY15" s="29">
        <f t="shared" si="128"/>
        <v>1</v>
      </c>
      <c r="NZ15" s="152">
        <v>8624000</v>
      </c>
      <c r="OE15" s="155">
        <f t="shared" si="129"/>
        <v>0</v>
      </c>
      <c r="OF15" s="155">
        <f t="shared" si="130"/>
        <v>0</v>
      </c>
      <c r="OG15" s="155">
        <f t="shared" si="131"/>
        <v>0</v>
      </c>
      <c r="OH15" s="155">
        <f t="shared" si="188"/>
        <v>0</v>
      </c>
      <c r="OI15" s="155">
        <f t="shared" si="132"/>
        <v>0</v>
      </c>
      <c r="OJ15" s="67">
        <f t="shared" si="189"/>
        <v>0</v>
      </c>
      <c r="OK15" s="67">
        <f t="shared" si="190"/>
        <v>0</v>
      </c>
      <c r="OL15" s="67">
        <f t="shared" si="191"/>
        <v>0</v>
      </c>
      <c r="OM15" s="67">
        <f t="shared" si="192"/>
        <v>0</v>
      </c>
      <c r="OO15" s="155">
        <f t="shared" si="133"/>
        <v>0</v>
      </c>
      <c r="OP15" s="155">
        <f t="shared" si="134"/>
        <v>0</v>
      </c>
      <c r="OQ15" s="155">
        <f t="shared" si="193"/>
        <v>0</v>
      </c>
      <c r="OR15" s="155">
        <f t="shared" si="194"/>
        <v>0</v>
      </c>
      <c r="OS15" s="155">
        <f t="shared" si="195"/>
        <v>0</v>
      </c>
      <c r="OT15" s="67">
        <f t="shared" si="196"/>
        <v>0</v>
      </c>
      <c r="OU15" s="67">
        <f t="shared" si="197"/>
        <v>0</v>
      </c>
      <c r="OV15" s="67">
        <f t="shared" si="198"/>
        <v>0</v>
      </c>
      <c r="OW15" s="67">
        <f t="shared" si="199"/>
        <v>0</v>
      </c>
      <c r="PA15" s="166"/>
      <c r="PB15" s="166"/>
      <c r="PC15" s="166"/>
      <c r="PD15" s="210">
        <f t="shared" si="135"/>
        <v>0</v>
      </c>
      <c r="PE15" s="210"/>
      <c r="PF15" s="210">
        <f t="shared" si="136"/>
        <v>0</v>
      </c>
      <c r="PG15" s="210">
        <f t="shared" si="137"/>
        <v>0</v>
      </c>
      <c r="PH15" s="210">
        <f t="shared" si="137"/>
        <v>0</v>
      </c>
      <c r="PI15" s="210">
        <f t="shared" si="137"/>
        <v>0</v>
      </c>
      <c r="PJ15" s="210">
        <f t="shared" si="137"/>
        <v>0</v>
      </c>
      <c r="PK15" s="210">
        <f t="shared" si="137"/>
        <v>0</v>
      </c>
      <c r="PL15" s="210">
        <f t="shared" si="137"/>
        <v>0</v>
      </c>
      <c r="PO15" s="172">
        <f t="shared" si="200"/>
        <v>0</v>
      </c>
      <c r="PP15" s="172">
        <f t="shared" si="201"/>
        <v>0</v>
      </c>
      <c r="PQ15" s="172">
        <f t="shared" si="202"/>
        <v>0</v>
      </c>
    </row>
    <row r="16" spans="1:433" ht="16" x14ac:dyDescent="0.2">
      <c r="A16" s="19">
        <f t="shared" si="203"/>
        <v>8</v>
      </c>
      <c r="B16" s="138" t="s">
        <v>480</v>
      </c>
      <c r="C16" s="138">
        <v>8</v>
      </c>
      <c r="D16" s="20">
        <v>1</v>
      </c>
      <c r="E16" s="20">
        <v>108</v>
      </c>
      <c r="F16" s="20">
        <v>1</v>
      </c>
      <c r="G16" s="20">
        <f t="shared" si="138"/>
        <v>108</v>
      </c>
      <c r="H16" s="137">
        <f t="shared" si="2"/>
        <v>1</v>
      </c>
      <c r="I16" s="137">
        <f t="shared" si="3"/>
        <v>1</v>
      </c>
      <c r="J16" s="20">
        <v>1</v>
      </c>
      <c r="K16" s="20">
        <f t="shared" si="4"/>
        <v>108</v>
      </c>
      <c r="L16" s="137">
        <f t="shared" si="5"/>
        <v>1</v>
      </c>
      <c r="M16" s="137">
        <f t="shared" si="6"/>
        <v>1</v>
      </c>
      <c r="N16" s="20">
        <v>1</v>
      </c>
      <c r="O16" s="20">
        <f t="shared" si="7"/>
        <v>108</v>
      </c>
      <c r="P16" s="137">
        <f t="shared" si="8"/>
        <v>1</v>
      </c>
      <c r="Q16" s="137">
        <f t="shared" si="9"/>
        <v>1</v>
      </c>
      <c r="R16" s="20">
        <v>1</v>
      </c>
      <c r="S16" s="20">
        <f t="shared" si="10"/>
        <v>108</v>
      </c>
      <c r="T16" s="137">
        <f t="shared" si="11"/>
        <v>1</v>
      </c>
      <c r="U16" s="137">
        <f t="shared" si="12"/>
        <v>1</v>
      </c>
      <c r="V16" s="20">
        <v>1</v>
      </c>
      <c r="W16" s="20">
        <f t="shared" si="13"/>
        <v>108</v>
      </c>
      <c r="X16" s="137">
        <f t="shared" si="14"/>
        <v>1</v>
      </c>
      <c r="Y16" s="137">
        <f t="shared" si="15"/>
        <v>1</v>
      </c>
      <c r="Z16" s="59">
        <f>926713000/1000000000</f>
        <v>0.92671300000000001</v>
      </c>
      <c r="AA16" s="59"/>
      <c r="AB16" s="17">
        <f t="shared" si="139"/>
        <v>0</v>
      </c>
      <c r="AC16" s="18">
        <f t="shared" si="140"/>
        <v>0</v>
      </c>
      <c r="AD16" s="18">
        <f t="shared" si="141"/>
        <v>0</v>
      </c>
      <c r="AE16" s="59"/>
      <c r="AF16" s="20">
        <f t="shared" si="142"/>
        <v>0</v>
      </c>
      <c r="AG16" s="20"/>
      <c r="AH16" s="31"/>
      <c r="AI16" s="20">
        <v>0</v>
      </c>
      <c r="AJ16" s="20">
        <f t="shared" si="204"/>
        <v>0</v>
      </c>
      <c r="AK16" s="20"/>
      <c r="AL16" s="20">
        <v>0</v>
      </c>
      <c r="AM16" s="20">
        <v>0</v>
      </c>
      <c r="AN16" s="139"/>
      <c r="AO16" s="17">
        <f t="shared" si="18"/>
        <v>0</v>
      </c>
      <c r="AP16" s="17">
        <f t="shared" si="19"/>
        <v>0</v>
      </c>
      <c r="AQ16" s="17">
        <f t="shared" si="20"/>
        <v>0</v>
      </c>
      <c r="AR16" s="17">
        <f t="shared" si="21"/>
        <v>0</v>
      </c>
      <c r="AS16" s="17">
        <f t="shared" si="22"/>
        <v>0</v>
      </c>
      <c r="AT16" s="17">
        <f t="shared" si="23"/>
        <v>0</v>
      </c>
      <c r="AU16" s="17">
        <f t="shared" si="24"/>
        <v>0</v>
      </c>
      <c r="AV16" s="17">
        <f t="shared" si="25"/>
        <v>0</v>
      </c>
      <c r="AW16" s="17">
        <f t="shared" si="26"/>
        <v>0</v>
      </c>
      <c r="AX16" s="17">
        <f t="shared" si="27"/>
        <v>0</v>
      </c>
      <c r="AY16" s="17">
        <f t="shared" si="205"/>
        <v>0</v>
      </c>
      <c r="AZ16" s="17">
        <f t="shared" si="206"/>
        <v>0</v>
      </c>
      <c r="BA16" s="17">
        <f t="shared" si="145"/>
        <v>0</v>
      </c>
      <c r="BB16" s="17">
        <f t="shared" si="146"/>
        <v>0</v>
      </c>
      <c r="BC16" s="29">
        <f t="shared" si="147"/>
        <v>0</v>
      </c>
      <c r="BE16" s="17">
        <f t="shared" si="28"/>
        <v>0</v>
      </c>
      <c r="BF16" s="17">
        <f t="shared" si="29"/>
        <v>0</v>
      </c>
      <c r="BG16" s="17">
        <f t="shared" si="30"/>
        <v>0</v>
      </c>
      <c r="BH16" s="17">
        <f t="shared" si="31"/>
        <v>0</v>
      </c>
      <c r="BI16" s="17">
        <f t="shared" si="32"/>
        <v>0</v>
      </c>
      <c r="BJ16" s="17">
        <f t="shared" si="33"/>
        <v>0</v>
      </c>
      <c r="BK16" s="17">
        <f t="shared" si="148"/>
        <v>0</v>
      </c>
      <c r="BN16" s="143"/>
      <c r="BO16" s="284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B16" s="20"/>
      <c r="CD16" s="17">
        <f t="shared" si="35"/>
        <v>0</v>
      </c>
      <c r="CE16" s="17">
        <f t="shared" si="36"/>
        <v>0</v>
      </c>
      <c r="CF16" s="20">
        <f t="shared" si="207"/>
        <v>0</v>
      </c>
      <c r="CG16" s="20">
        <f t="shared" si="208"/>
        <v>0</v>
      </c>
      <c r="CH16" s="20">
        <f t="shared" si="209"/>
        <v>0</v>
      </c>
      <c r="CI16" s="20">
        <f t="shared" si="210"/>
        <v>0</v>
      </c>
      <c r="CJ16" s="20">
        <f t="shared" si="211"/>
        <v>0</v>
      </c>
      <c r="CK16" s="20">
        <f t="shared" si="212"/>
        <v>0</v>
      </c>
      <c r="CL16" s="20">
        <f t="shared" si="213"/>
        <v>0</v>
      </c>
      <c r="CM16" s="20">
        <f t="shared" si="214"/>
        <v>0</v>
      </c>
      <c r="CN16" s="20">
        <f t="shared" si="215"/>
        <v>0</v>
      </c>
      <c r="CO16" s="20">
        <f t="shared" si="216"/>
        <v>0</v>
      </c>
      <c r="CP16" s="20">
        <f t="shared" si="217"/>
        <v>0</v>
      </c>
      <c r="DV16" s="20">
        <f t="shared" si="48"/>
        <v>0</v>
      </c>
      <c r="DW16" s="20">
        <f t="shared" si="49"/>
        <v>0</v>
      </c>
      <c r="DX16" s="20">
        <f t="shared" si="50"/>
        <v>0</v>
      </c>
      <c r="DY16" s="20">
        <f t="shared" si="51"/>
        <v>0</v>
      </c>
      <c r="DZ16" s="20">
        <f t="shared" si="52"/>
        <v>0</v>
      </c>
      <c r="EA16" s="20">
        <f t="shared" si="53"/>
        <v>0</v>
      </c>
      <c r="EB16" s="20">
        <f t="shared" si="150"/>
        <v>0</v>
      </c>
      <c r="ED16" s="46" t="s">
        <v>302</v>
      </c>
      <c r="EE16" s="46" t="s">
        <v>376</v>
      </c>
      <c r="EF16" s="56"/>
      <c r="EG16" s="57">
        <f t="shared" si="151"/>
        <v>0</v>
      </c>
      <c r="EH16" s="57">
        <f t="shared" si="152"/>
        <v>0</v>
      </c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X16" s="169"/>
      <c r="FY16" s="17">
        <f t="shared" si="153"/>
        <v>0</v>
      </c>
      <c r="FZ16" s="17">
        <f t="shared" si="55"/>
        <v>0</v>
      </c>
      <c r="GA16" s="17">
        <f t="shared" si="56"/>
        <v>0</v>
      </c>
      <c r="GB16" s="17">
        <f t="shared" si="57"/>
        <v>0</v>
      </c>
      <c r="GC16" s="17">
        <f t="shared" si="58"/>
        <v>0</v>
      </c>
      <c r="GD16" s="17">
        <f t="shared" si="59"/>
        <v>0</v>
      </c>
      <c r="GE16" s="17">
        <f t="shared" si="60"/>
        <v>0</v>
      </c>
      <c r="GF16" s="67"/>
      <c r="GG16" s="17">
        <v>0</v>
      </c>
      <c r="GH16" s="17">
        <v>0</v>
      </c>
      <c r="GI16" s="67"/>
      <c r="GJ16" s="62">
        <f t="shared" si="154"/>
        <v>0</v>
      </c>
      <c r="GK16" s="62">
        <f t="shared" si="155"/>
        <v>0</v>
      </c>
      <c r="GO16" s="17">
        <f t="shared" si="61"/>
        <v>0</v>
      </c>
      <c r="GP16" s="17">
        <f t="shared" si="62"/>
        <v>0</v>
      </c>
      <c r="GQ16" s="17">
        <f t="shared" si="63"/>
        <v>0</v>
      </c>
      <c r="GR16" s="17">
        <f t="shared" si="64"/>
        <v>0</v>
      </c>
      <c r="GS16" s="17">
        <f t="shared" si="65"/>
        <v>0</v>
      </c>
      <c r="GT16" s="17">
        <f t="shared" si="156"/>
        <v>1</v>
      </c>
      <c r="GU16" s="101">
        <f t="shared" si="157"/>
        <v>43243</v>
      </c>
      <c r="GV16" s="17" t="str">
        <f t="shared" si="158"/>
        <v>SELESAI</v>
      </c>
      <c r="GW16" s="17">
        <f t="shared" si="159"/>
        <v>0</v>
      </c>
      <c r="GX16" s="66" t="str">
        <f t="shared" si="160"/>
        <v>SELESAI</v>
      </c>
      <c r="GY16" s="66">
        <f t="shared" si="161"/>
        <v>0</v>
      </c>
      <c r="GZ16" s="102" t="str">
        <f t="shared" si="162"/>
        <v>SELESAI</v>
      </c>
      <c r="HA16" s="83"/>
      <c r="HB16" s="83"/>
      <c r="HC16" s="17">
        <f t="shared" si="66"/>
        <v>0</v>
      </c>
      <c r="HD16" s="17">
        <f t="shared" si="67"/>
        <v>0</v>
      </c>
      <c r="HE16" s="17">
        <f t="shared" si="163"/>
        <v>0</v>
      </c>
      <c r="HF16" s="17">
        <f t="shared" si="164"/>
        <v>0</v>
      </c>
      <c r="HG16" s="17">
        <f t="shared" si="165"/>
        <v>0</v>
      </c>
      <c r="HH16" s="101" t="str">
        <f t="shared" si="68"/>
        <v>TIDAK KONSINYASI</v>
      </c>
      <c r="HI16" s="101" t="str">
        <f t="shared" si="166"/>
        <v>SELESAI</v>
      </c>
      <c r="HJ16" s="27"/>
      <c r="HK16" s="101">
        <f t="shared" si="69"/>
        <v>0</v>
      </c>
      <c r="HL16" s="83"/>
      <c r="HM16" s="83"/>
      <c r="HN16" s="83"/>
      <c r="HO16" s="83"/>
      <c r="HP16" s="102">
        <f t="shared" si="167"/>
        <v>0</v>
      </c>
      <c r="HQ16" s="66">
        <f t="shared" si="168"/>
        <v>0</v>
      </c>
      <c r="HR16" s="66">
        <f t="shared" si="70"/>
        <v>0</v>
      </c>
      <c r="HS16" s="102">
        <f t="shared" si="169"/>
        <v>0</v>
      </c>
      <c r="HT16" s="66">
        <f t="shared" si="170"/>
        <v>0</v>
      </c>
      <c r="HU16" s="66">
        <f t="shared" si="71"/>
        <v>0</v>
      </c>
      <c r="HV16" s="102">
        <f t="shared" si="171"/>
        <v>0</v>
      </c>
      <c r="HW16" s="66">
        <f t="shared" si="72"/>
        <v>0</v>
      </c>
      <c r="HX16" s="66">
        <f t="shared" si="73"/>
        <v>0</v>
      </c>
      <c r="HY16" s="102">
        <f t="shared" si="74"/>
        <v>0</v>
      </c>
      <c r="HZ16" s="66">
        <f t="shared" si="172"/>
        <v>0</v>
      </c>
      <c r="IA16" s="66">
        <f t="shared" si="75"/>
        <v>0</v>
      </c>
      <c r="IB16" s="102">
        <f t="shared" si="173"/>
        <v>0</v>
      </c>
      <c r="IC16" s="66">
        <f t="shared" si="76"/>
        <v>0</v>
      </c>
      <c r="ID16" s="66">
        <f t="shared" si="77"/>
        <v>0</v>
      </c>
      <c r="IE16" s="102">
        <f t="shared" si="78"/>
        <v>0</v>
      </c>
      <c r="IF16" s="66">
        <f t="shared" si="79"/>
        <v>0</v>
      </c>
      <c r="IG16" s="66">
        <f t="shared" si="80"/>
        <v>0</v>
      </c>
      <c r="IH16" s="102">
        <f t="shared" si="174"/>
        <v>0</v>
      </c>
      <c r="II16" s="66">
        <f t="shared" si="175"/>
        <v>0</v>
      </c>
      <c r="IJ16" s="66">
        <f t="shared" si="81"/>
        <v>0</v>
      </c>
      <c r="IK16" s="102">
        <f t="shared" si="82"/>
        <v>0</v>
      </c>
      <c r="IL16" s="66">
        <f t="shared" si="83"/>
        <v>0</v>
      </c>
      <c r="IM16" s="66">
        <f t="shared" si="84"/>
        <v>0</v>
      </c>
      <c r="IN16" s="83"/>
      <c r="IO16" s="102">
        <f t="shared" si="85"/>
        <v>0</v>
      </c>
      <c r="IP16" s="66">
        <f t="shared" si="86"/>
        <v>0</v>
      </c>
      <c r="IQ16" s="66">
        <f t="shared" si="87"/>
        <v>0</v>
      </c>
      <c r="IR16" s="83"/>
      <c r="IS16" s="102"/>
      <c r="IT16" s="66">
        <f t="shared" si="88"/>
        <v>1</v>
      </c>
      <c r="IU16" s="66">
        <f t="shared" si="89"/>
        <v>108</v>
      </c>
      <c r="IV16" s="83"/>
      <c r="IW16" s="102"/>
      <c r="IX16" s="66">
        <f t="shared" si="90"/>
        <v>0</v>
      </c>
      <c r="IY16" s="66">
        <f t="shared" si="91"/>
        <v>0</v>
      </c>
      <c r="IZ16" s="83"/>
      <c r="JA16" s="102"/>
      <c r="JB16" s="66">
        <f t="shared" si="92"/>
        <v>0</v>
      </c>
      <c r="JC16" s="66">
        <f t="shared" si="93"/>
        <v>0</v>
      </c>
      <c r="JD16" s="83"/>
      <c r="JE16" s="102"/>
      <c r="JF16" s="66">
        <f t="shared" si="176"/>
        <v>1</v>
      </c>
      <c r="JG16" s="66">
        <f t="shared" si="94"/>
        <v>108</v>
      </c>
      <c r="JH16" s="83"/>
      <c r="JI16" s="102"/>
      <c r="JJ16" s="66">
        <f t="shared" si="95"/>
        <v>0</v>
      </c>
      <c r="JK16" s="66">
        <f t="shared" si="96"/>
        <v>0</v>
      </c>
      <c r="JM16" s="102">
        <f t="shared" si="177"/>
        <v>0</v>
      </c>
      <c r="JO16" s="29">
        <f t="shared" si="97"/>
        <v>0</v>
      </c>
      <c r="JP16" s="122">
        <f t="shared" si="98"/>
        <v>0</v>
      </c>
      <c r="JQ16" s="122">
        <f t="shared" si="99"/>
        <v>0</v>
      </c>
      <c r="JR16" s="122">
        <f t="shared" si="100"/>
        <v>0</v>
      </c>
      <c r="JS16" s="122">
        <f t="shared" si="101"/>
        <v>0</v>
      </c>
      <c r="JT16" s="122">
        <f t="shared" si="102"/>
        <v>0</v>
      </c>
      <c r="JU16" s="122">
        <f t="shared" si="103"/>
        <v>0</v>
      </c>
      <c r="JV16" s="122">
        <f t="shared" si="104"/>
        <v>0</v>
      </c>
      <c r="JW16" s="122">
        <f t="shared" si="105"/>
        <v>0</v>
      </c>
      <c r="JX16" s="122">
        <f t="shared" si="106"/>
        <v>0</v>
      </c>
      <c r="JY16" s="122">
        <f t="shared" si="107"/>
        <v>0</v>
      </c>
      <c r="JZ16" s="122">
        <f t="shared" si="108"/>
        <v>0</v>
      </c>
      <c r="KA16" s="122">
        <f t="shared" si="109"/>
        <v>0</v>
      </c>
      <c r="KB16" s="122">
        <f t="shared" si="110"/>
        <v>0</v>
      </c>
      <c r="KD16" s="122">
        <f t="shared" si="178"/>
        <v>0</v>
      </c>
      <c r="KE16" s="122">
        <f t="shared" si="112"/>
        <v>0</v>
      </c>
      <c r="KF16" s="122">
        <f t="shared" si="113"/>
        <v>0</v>
      </c>
      <c r="KG16" s="122">
        <f t="shared" si="114"/>
        <v>0</v>
      </c>
      <c r="KH16" s="122">
        <f t="shared" si="115"/>
        <v>0</v>
      </c>
      <c r="KI16" s="122">
        <f t="shared" si="116"/>
        <v>0</v>
      </c>
      <c r="KJ16" s="122">
        <f t="shared" si="117"/>
        <v>0</v>
      </c>
      <c r="KK16" s="122">
        <f t="shared" si="118"/>
        <v>0</v>
      </c>
      <c r="KL16" s="122">
        <f t="shared" si="119"/>
        <v>0</v>
      </c>
      <c r="KM16" s="122">
        <f t="shared" si="120"/>
        <v>0</v>
      </c>
      <c r="KN16" s="123">
        <f t="shared" si="121"/>
        <v>0</v>
      </c>
      <c r="KO16" s="123">
        <f t="shared" si="122"/>
        <v>0</v>
      </c>
      <c r="KP16" s="123">
        <f t="shared" si="123"/>
        <v>0</v>
      </c>
      <c r="KQ16" s="123">
        <f t="shared" si="124"/>
        <v>0</v>
      </c>
      <c r="KR16" s="123">
        <f t="shared" si="125"/>
        <v>0</v>
      </c>
      <c r="KT16">
        <f t="shared" si="126"/>
        <v>0</v>
      </c>
      <c r="KU16" s="123"/>
      <c r="KV16" s="123"/>
      <c r="KW16" s="123"/>
      <c r="KX16" s="123"/>
      <c r="KY16" s="123"/>
      <c r="KZ16" s="123"/>
      <c r="LA16" s="123"/>
      <c r="LB16" s="123"/>
      <c r="LC16" s="123"/>
      <c r="LD16" s="123"/>
      <c r="LE16" s="123"/>
      <c r="LF16" s="123"/>
      <c r="LG16" s="123"/>
      <c r="LH16" s="123"/>
      <c r="LI16" s="123"/>
      <c r="LJ16" s="123"/>
      <c r="LK16" s="123"/>
      <c r="LL16" s="123"/>
      <c r="LM16" s="123"/>
      <c r="LN16" s="123"/>
      <c r="LO16" s="123"/>
      <c r="LP16" s="123"/>
      <c r="LQ16" s="123"/>
      <c r="LR16" s="123"/>
      <c r="LS16" s="123"/>
      <c r="LT16" s="123"/>
      <c r="LU16" s="123"/>
      <c r="LV16" s="123"/>
      <c r="LW16" s="123"/>
      <c r="LX16" s="123"/>
      <c r="LY16" s="123"/>
      <c r="LZ16" s="123"/>
      <c r="MA16" s="123"/>
      <c r="MB16" s="123"/>
      <c r="MC16" s="123"/>
      <c r="MD16" s="123"/>
      <c r="ME16" s="123"/>
      <c r="MF16" s="123"/>
      <c r="MG16" s="123"/>
      <c r="MH16" s="123"/>
      <c r="MI16" s="123"/>
      <c r="MJ16" s="123"/>
      <c r="MK16" s="123"/>
      <c r="ML16" s="123"/>
      <c r="MM16" s="123"/>
      <c r="MN16" s="123"/>
      <c r="MO16" s="123"/>
      <c r="MP16" s="123"/>
      <c r="MQ16" s="123"/>
      <c r="MR16" s="123"/>
      <c r="MS16" s="123"/>
      <c r="MT16" s="123"/>
      <c r="MU16" s="123"/>
      <c r="MV16" s="123"/>
      <c r="MW16" s="123"/>
      <c r="MX16" s="123"/>
      <c r="MY16" s="123"/>
      <c r="MZ16" s="123"/>
      <c r="NA16" s="123"/>
      <c r="NB16" s="123"/>
      <c r="NC16" s="123"/>
      <c r="ND16" s="123"/>
      <c r="NE16" s="123"/>
      <c r="NF16" s="123"/>
      <c r="NG16" s="123"/>
      <c r="NH16" s="123"/>
      <c r="NI16" s="123"/>
      <c r="NJ16" s="123"/>
      <c r="NK16" s="123"/>
      <c r="NM16">
        <f t="shared" si="179"/>
        <v>0</v>
      </c>
      <c r="NN16">
        <f t="shared" si="180"/>
        <v>0</v>
      </c>
      <c r="NO16">
        <f t="shared" si="181"/>
        <v>0</v>
      </c>
      <c r="NP16">
        <f t="shared" si="182"/>
        <v>0</v>
      </c>
      <c r="NQ16">
        <f t="shared" si="183"/>
        <v>0</v>
      </c>
      <c r="NR16">
        <f t="shared" si="184"/>
        <v>0</v>
      </c>
      <c r="NS16">
        <f t="shared" si="185"/>
        <v>0</v>
      </c>
      <c r="NT16">
        <f t="shared" si="186"/>
        <v>0</v>
      </c>
      <c r="NU16" s="29">
        <f t="shared" si="187"/>
        <v>0</v>
      </c>
      <c r="NY16" s="29">
        <f t="shared" si="128"/>
        <v>1</v>
      </c>
      <c r="NZ16" s="152">
        <v>8036000</v>
      </c>
      <c r="OE16" s="155">
        <f t="shared" si="129"/>
        <v>0</v>
      </c>
      <c r="OF16" s="155">
        <f t="shared" si="130"/>
        <v>0</v>
      </c>
      <c r="OG16" s="155">
        <f t="shared" si="131"/>
        <v>0</v>
      </c>
      <c r="OH16" s="155">
        <f t="shared" si="188"/>
        <v>0</v>
      </c>
      <c r="OI16" s="155">
        <f t="shared" si="132"/>
        <v>0</v>
      </c>
      <c r="OJ16" s="67">
        <f t="shared" si="189"/>
        <v>0</v>
      </c>
      <c r="OK16" s="67">
        <f t="shared" si="190"/>
        <v>0</v>
      </c>
      <c r="OL16" s="67">
        <f t="shared" si="191"/>
        <v>0</v>
      </c>
      <c r="OM16" s="67">
        <f t="shared" si="192"/>
        <v>0</v>
      </c>
      <c r="OO16" s="155">
        <f t="shared" si="133"/>
        <v>0</v>
      </c>
      <c r="OP16" s="155">
        <f t="shared" si="134"/>
        <v>0</v>
      </c>
      <c r="OQ16" s="155">
        <f t="shared" si="193"/>
        <v>0</v>
      </c>
      <c r="OR16" s="155">
        <f t="shared" si="194"/>
        <v>0</v>
      </c>
      <c r="OS16" s="155">
        <f t="shared" si="195"/>
        <v>0</v>
      </c>
      <c r="OT16" s="67">
        <f t="shared" si="196"/>
        <v>0</v>
      </c>
      <c r="OU16" s="67">
        <f t="shared" si="197"/>
        <v>0</v>
      </c>
      <c r="OV16" s="67">
        <f t="shared" si="198"/>
        <v>0</v>
      </c>
      <c r="OW16" s="67">
        <f t="shared" si="199"/>
        <v>0</v>
      </c>
      <c r="PA16" s="166"/>
      <c r="PB16" s="166"/>
      <c r="PC16" s="166"/>
      <c r="PD16" s="210">
        <f t="shared" si="135"/>
        <v>0</v>
      </c>
      <c r="PE16" s="210"/>
      <c r="PF16" s="210">
        <f t="shared" si="136"/>
        <v>0</v>
      </c>
      <c r="PG16" s="210">
        <f t="shared" si="137"/>
        <v>0</v>
      </c>
      <c r="PH16" s="210">
        <f t="shared" si="137"/>
        <v>0</v>
      </c>
      <c r="PI16" s="210">
        <f t="shared" si="137"/>
        <v>0</v>
      </c>
      <c r="PJ16" s="210">
        <f t="shared" si="137"/>
        <v>0</v>
      </c>
      <c r="PK16" s="210">
        <f t="shared" si="137"/>
        <v>0</v>
      </c>
      <c r="PL16" s="210">
        <f t="shared" si="137"/>
        <v>0</v>
      </c>
      <c r="PO16" s="172">
        <f t="shared" si="200"/>
        <v>0</v>
      </c>
      <c r="PP16" s="172">
        <f t="shared" si="201"/>
        <v>0</v>
      </c>
      <c r="PQ16" s="172">
        <f t="shared" si="202"/>
        <v>0</v>
      </c>
    </row>
    <row r="17" spans="1:433 16383:16383" ht="16" x14ac:dyDescent="0.2">
      <c r="A17" s="19">
        <f t="shared" si="203"/>
        <v>9</v>
      </c>
      <c r="B17" s="138" t="s">
        <v>256</v>
      </c>
      <c r="C17" s="138">
        <v>9</v>
      </c>
      <c r="D17" s="20">
        <v>1</v>
      </c>
      <c r="E17" s="20">
        <v>33</v>
      </c>
      <c r="F17" s="20">
        <v>1</v>
      </c>
      <c r="G17" s="20">
        <f t="shared" si="138"/>
        <v>33</v>
      </c>
      <c r="H17" s="137">
        <f t="shared" si="2"/>
        <v>1</v>
      </c>
      <c r="I17" s="214">
        <f t="shared" si="3"/>
        <v>1</v>
      </c>
      <c r="J17" s="188">
        <v>1</v>
      </c>
      <c r="K17" s="188">
        <f t="shared" si="4"/>
        <v>33</v>
      </c>
      <c r="L17" s="214">
        <f t="shared" si="5"/>
        <v>1</v>
      </c>
      <c r="M17" s="214">
        <f t="shared" si="6"/>
        <v>1</v>
      </c>
      <c r="N17" s="188">
        <v>1</v>
      </c>
      <c r="O17" s="188">
        <f t="shared" si="7"/>
        <v>33</v>
      </c>
      <c r="P17" s="214">
        <f t="shared" si="8"/>
        <v>1</v>
      </c>
      <c r="Q17" s="137">
        <f t="shared" si="9"/>
        <v>1</v>
      </c>
      <c r="R17" s="20">
        <v>1</v>
      </c>
      <c r="S17" s="20">
        <f t="shared" si="10"/>
        <v>33</v>
      </c>
      <c r="T17" s="137">
        <f t="shared" si="11"/>
        <v>1</v>
      </c>
      <c r="U17" s="137">
        <f t="shared" si="12"/>
        <v>1</v>
      </c>
      <c r="V17" s="20">
        <v>1</v>
      </c>
      <c r="W17" s="20">
        <f t="shared" si="13"/>
        <v>33</v>
      </c>
      <c r="X17" s="137">
        <f t="shared" si="14"/>
        <v>1</v>
      </c>
      <c r="Y17" s="137">
        <f t="shared" si="15"/>
        <v>1</v>
      </c>
      <c r="Z17" s="61">
        <f>793732000/1000000000</f>
        <v>0.79373199999999999</v>
      </c>
      <c r="AA17" s="61"/>
      <c r="AB17" s="17">
        <f t="shared" si="139"/>
        <v>0</v>
      </c>
      <c r="AC17" s="18">
        <f t="shared" si="140"/>
        <v>0</v>
      </c>
      <c r="AD17" s="18">
        <f t="shared" si="141"/>
        <v>0</v>
      </c>
      <c r="AE17" s="61"/>
      <c r="AF17" s="20">
        <f t="shared" si="142"/>
        <v>0</v>
      </c>
      <c r="AG17" s="20"/>
      <c r="AH17" s="31"/>
      <c r="AI17" s="20">
        <v>0</v>
      </c>
      <c r="AJ17" s="20">
        <f t="shared" si="204"/>
        <v>0</v>
      </c>
      <c r="AK17" s="20"/>
      <c r="AL17" s="20">
        <v>0</v>
      </c>
      <c r="AM17" s="20">
        <v>0</v>
      </c>
      <c r="AN17" s="139"/>
      <c r="AO17" s="17">
        <f t="shared" si="18"/>
        <v>0</v>
      </c>
      <c r="AP17" s="17">
        <f t="shared" si="19"/>
        <v>0</v>
      </c>
      <c r="AQ17" s="17">
        <f t="shared" si="20"/>
        <v>0</v>
      </c>
      <c r="AR17" s="17">
        <f t="shared" si="21"/>
        <v>0</v>
      </c>
      <c r="AS17" s="17">
        <f t="shared" si="22"/>
        <v>0</v>
      </c>
      <c r="AT17" s="17">
        <f t="shared" si="23"/>
        <v>0</v>
      </c>
      <c r="AU17" s="17">
        <f t="shared" si="24"/>
        <v>0</v>
      </c>
      <c r="AV17" s="17">
        <f t="shared" si="25"/>
        <v>0</v>
      </c>
      <c r="AW17" s="17">
        <f t="shared" si="26"/>
        <v>0</v>
      </c>
      <c r="AX17" s="17">
        <f t="shared" si="27"/>
        <v>0</v>
      </c>
      <c r="AY17" s="17">
        <f t="shared" si="205"/>
        <v>0</v>
      </c>
      <c r="AZ17" s="17">
        <f t="shared" si="206"/>
        <v>0</v>
      </c>
      <c r="BA17" s="17">
        <f t="shared" si="145"/>
        <v>0</v>
      </c>
      <c r="BB17" s="17">
        <f t="shared" si="146"/>
        <v>0</v>
      </c>
      <c r="BC17" s="29">
        <f t="shared" si="147"/>
        <v>0</v>
      </c>
      <c r="BE17" s="17">
        <f t="shared" si="28"/>
        <v>0</v>
      </c>
      <c r="BF17" s="17">
        <f t="shared" si="29"/>
        <v>0</v>
      </c>
      <c r="BG17" s="17">
        <f t="shared" si="30"/>
        <v>0</v>
      </c>
      <c r="BH17" s="17">
        <f t="shared" si="31"/>
        <v>0</v>
      </c>
      <c r="BI17" s="17">
        <f t="shared" si="32"/>
        <v>0</v>
      </c>
      <c r="BJ17" s="17">
        <f t="shared" si="33"/>
        <v>0</v>
      </c>
      <c r="BK17" s="17">
        <f t="shared" si="148"/>
        <v>0</v>
      </c>
      <c r="BN17" s="143"/>
      <c r="BO17" s="284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B17" s="20"/>
      <c r="CD17" s="17">
        <f t="shared" si="35"/>
        <v>0</v>
      </c>
      <c r="CE17" s="17">
        <f t="shared" si="36"/>
        <v>0</v>
      </c>
      <c r="CF17" s="20">
        <f t="shared" si="207"/>
        <v>0</v>
      </c>
      <c r="CG17" s="20">
        <f t="shared" si="208"/>
        <v>0</v>
      </c>
      <c r="CH17" s="20">
        <f t="shared" si="209"/>
        <v>0</v>
      </c>
      <c r="CI17" s="20">
        <f t="shared" si="210"/>
        <v>0</v>
      </c>
      <c r="CJ17" s="20">
        <f t="shared" si="211"/>
        <v>0</v>
      </c>
      <c r="CK17" s="20">
        <f t="shared" si="212"/>
        <v>0</v>
      </c>
      <c r="CL17" s="20">
        <f t="shared" si="213"/>
        <v>0</v>
      </c>
      <c r="CM17" s="20">
        <f t="shared" si="214"/>
        <v>0</v>
      </c>
      <c r="CN17" s="20">
        <f t="shared" si="215"/>
        <v>0</v>
      </c>
      <c r="CO17" s="20">
        <f t="shared" si="216"/>
        <v>0</v>
      </c>
      <c r="CP17" s="20">
        <f t="shared" si="217"/>
        <v>0</v>
      </c>
      <c r="DV17" s="20">
        <f t="shared" si="48"/>
        <v>0</v>
      </c>
      <c r="DW17" s="20">
        <f t="shared" si="49"/>
        <v>0</v>
      </c>
      <c r="DX17" s="20">
        <f t="shared" si="50"/>
        <v>0</v>
      </c>
      <c r="DY17" s="20">
        <f t="shared" si="51"/>
        <v>0</v>
      </c>
      <c r="DZ17" s="20">
        <f t="shared" si="52"/>
        <v>0</v>
      </c>
      <c r="EA17" s="20">
        <f t="shared" si="53"/>
        <v>0</v>
      </c>
      <c r="EB17" s="20">
        <f t="shared" si="150"/>
        <v>0</v>
      </c>
      <c r="ED17" s="46" t="s">
        <v>351</v>
      </c>
      <c r="EE17" s="46" t="s">
        <v>377</v>
      </c>
      <c r="EF17" s="56"/>
      <c r="EG17" s="57">
        <f t="shared" si="151"/>
        <v>0</v>
      </c>
      <c r="EH17" s="57">
        <f t="shared" si="152"/>
        <v>0</v>
      </c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X17" s="169"/>
      <c r="FY17" s="17">
        <f t="shared" si="153"/>
        <v>0</v>
      </c>
      <c r="FZ17" s="17">
        <f t="shared" si="55"/>
        <v>0</v>
      </c>
      <c r="GA17" s="17">
        <f t="shared" si="56"/>
        <v>0</v>
      </c>
      <c r="GB17" s="17">
        <f t="shared" si="57"/>
        <v>0</v>
      </c>
      <c r="GC17" s="17">
        <f t="shared" si="58"/>
        <v>0</v>
      </c>
      <c r="GD17" s="17">
        <f t="shared" si="59"/>
        <v>0</v>
      </c>
      <c r="GE17" s="17">
        <f t="shared" si="60"/>
        <v>0</v>
      </c>
      <c r="GF17" s="67"/>
      <c r="GG17" s="17">
        <v>0</v>
      </c>
      <c r="GH17" s="17">
        <v>0</v>
      </c>
      <c r="GI17" s="67"/>
      <c r="GJ17" s="62">
        <f t="shared" si="154"/>
        <v>0</v>
      </c>
      <c r="GK17" s="62">
        <f t="shared" si="155"/>
        <v>0</v>
      </c>
      <c r="GO17" s="17">
        <f t="shared" si="61"/>
        <v>0</v>
      </c>
      <c r="GP17" s="17">
        <f t="shared" si="62"/>
        <v>0</v>
      </c>
      <c r="GQ17" s="17">
        <f t="shared" si="63"/>
        <v>0</v>
      </c>
      <c r="GR17" s="17">
        <f t="shared" si="64"/>
        <v>0</v>
      </c>
      <c r="GS17" s="17">
        <f t="shared" si="65"/>
        <v>0</v>
      </c>
      <c r="GT17" s="17">
        <f t="shared" si="156"/>
        <v>1</v>
      </c>
      <c r="GU17" s="101">
        <f t="shared" si="157"/>
        <v>43243</v>
      </c>
      <c r="GV17" s="17" t="str">
        <f t="shared" si="158"/>
        <v>SELESAI</v>
      </c>
      <c r="GW17" s="17">
        <f t="shared" si="159"/>
        <v>0</v>
      </c>
      <c r="GX17" s="66" t="str">
        <f t="shared" si="160"/>
        <v>SELESAI</v>
      </c>
      <c r="GY17" s="66">
        <f t="shared" si="161"/>
        <v>0</v>
      </c>
      <c r="GZ17" s="102" t="str">
        <f t="shared" si="162"/>
        <v>SELESAI</v>
      </c>
      <c r="HA17" s="83"/>
      <c r="HB17" s="83"/>
      <c r="HC17" s="17">
        <f t="shared" si="66"/>
        <v>0</v>
      </c>
      <c r="HD17" s="17">
        <f t="shared" si="67"/>
        <v>0</v>
      </c>
      <c r="HE17" s="17">
        <f t="shared" si="163"/>
        <v>0</v>
      </c>
      <c r="HF17" s="17">
        <f t="shared" si="164"/>
        <v>0</v>
      </c>
      <c r="HG17" s="17">
        <f t="shared" si="165"/>
        <v>0</v>
      </c>
      <c r="HH17" s="101" t="str">
        <f t="shared" si="68"/>
        <v>TIDAK KONSINYASI</v>
      </c>
      <c r="HI17" s="101" t="str">
        <f t="shared" si="166"/>
        <v>SELESAI</v>
      </c>
      <c r="HJ17" s="27"/>
      <c r="HK17" s="101">
        <f t="shared" si="69"/>
        <v>0</v>
      </c>
      <c r="HL17" s="83"/>
      <c r="HM17" s="83"/>
      <c r="HN17" s="83"/>
      <c r="HO17" s="83"/>
      <c r="HP17" s="102">
        <f t="shared" si="167"/>
        <v>0</v>
      </c>
      <c r="HQ17" s="66">
        <f t="shared" si="168"/>
        <v>0</v>
      </c>
      <c r="HR17" s="66">
        <f t="shared" si="70"/>
        <v>0</v>
      </c>
      <c r="HS17" s="102">
        <f t="shared" si="169"/>
        <v>0</v>
      </c>
      <c r="HT17" s="66">
        <f t="shared" si="170"/>
        <v>0</v>
      </c>
      <c r="HU17" s="66">
        <f t="shared" si="71"/>
        <v>0</v>
      </c>
      <c r="HV17" s="102">
        <f t="shared" si="171"/>
        <v>0</v>
      </c>
      <c r="HW17" s="66">
        <f t="shared" si="72"/>
        <v>0</v>
      </c>
      <c r="HX17" s="66">
        <f t="shared" si="73"/>
        <v>0</v>
      </c>
      <c r="HY17" s="102">
        <f t="shared" si="74"/>
        <v>0</v>
      </c>
      <c r="HZ17" s="66">
        <f t="shared" si="172"/>
        <v>0</v>
      </c>
      <c r="IA17" s="66">
        <f t="shared" si="75"/>
        <v>0</v>
      </c>
      <c r="IB17" s="102">
        <f t="shared" si="173"/>
        <v>0</v>
      </c>
      <c r="IC17" s="66">
        <f t="shared" si="76"/>
        <v>0</v>
      </c>
      <c r="ID17" s="66">
        <f t="shared" si="77"/>
        <v>0</v>
      </c>
      <c r="IE17" s="102">
        <f t="shared" si="78"/>
        <v>0</v>
      </c>
      <c r="IF17" s="66">
        <f t="shared" si="79"/>
        <v>0</v>
      </c>
      <c r="IG17" s="66">
        <f t="shared" si="80"/>
        <v>0</v>
      </c>
      <c r="IH17" s="102">
        <f t="shared" si="174"/>
        <v>0</v>
      </c>
      <c r="II17" s="66">
        <f t="shared" si="175"/>
        <v>0</v>
      </c>
      <c r="IJ17" s="66">
        <f t="shared" si="81"/>
        <v>0</v>
      </c>
      <c r="IK17" s="102">
        <f t="shared" si="82"/>
        <v>0</v>
      </c>
      <c r="IL17" s="66">
        <f t="shared" si="83"/>
        <v>0</v>
      </c>
      <c r="IM17" s="66">
        <f t="shared" si="84"/>
        <v>0</v>
      </c>
      <c r="IN17" s="83"/>
      <c r="IO17" s="102">
        <f t="shared" si="85"/>
        <v>0</v>
      </c>
      <c r="IP17" s="66">
        <f t="shared" si="86"/>
        <v>0</v>
      </c>
      <c r="IQ17" s="66">
        <f t="shared" si="87"/>
        <v>0</v>
      </c>
      <c r="IR17" s="83"/>
      <c r="IS17" s="102"/>
      <c r="IT17" s="66">
        <f t="shared" si="88"/>
        <v>1</v>
      </c>
      <c r="IU17" s="66">
        <f t="shared" si="89"/>
        <v>33</v>
      </c>
      <c r="IV17" s="83"/>
      <c r="IW17" s="102"/>
      <c r="IX17" s="66">
        <f t="shared" si="90"/>
        <v>0</v>
      </c>
      <c r="IY17" s="66">
        <f t="shared" si="91"/>
        <v>0</v>
      </c>
      <c r="IZ17" s="83"/>
      <c r="JA17" s="102"/>
      <c r="JB17" s="66">
        <f t="shared" si="92"/>
        <v>0</v>
      </c>
      <c r="JC17" s="66">
        <f t="shared" si="93"/>
        <v>0</v>
      </c>
      <c r="JD17" s="83"/>
      <c r="JE17" s="102"/>
      <c r="JF17" s="66">
        <f t="shared" si="176"/>
        <v>1</v>
      </c>
      <c r="JG17" s="66">
        <f t="shared" si="94"/>
        <v>33</v>
      </c>
      <c r="JH17" s="83"/>
      <c r="JI17" s="102"/>
      <c r="JJ17" s="66">
        <f t="shared" si="95"/>
        <v>0</v>
      </c>
      <c r="JK17" s="66">
        <f t="shared" si="96"/>
        <v>0</v>
      </c>
      <c r="JM17" s="102">
        <f t="shared" si="177"/>
        <v>0</v>
      </c>
      <c r="JO17" s="29">
        <f t="shared" si="97"/>
        <v>0</v>
      </c>
      <c r="JP17" s="122">
        <f t="shared" si="98"/>
        <v>0</v>
      </c>
      <c r="JQ17" s="122">
        <f t="shared" si="99"/>
        <v>0</v>
      </c>
      <c r="JR17" s="122">
        <f t="shared" si="100"/>
        <v>0</v>
      </c>
      <c r="JS17" s="122">
        <f t="shared" si="101"/>
        <v>0</v>
      </c>
      <c r="JT17" s="122">
        <f t="shared" si="102"/>
        <v>0</v>
      </c>
      <c r="JU17" s="122">
        <f t="shared" si="103"/>
        <v>0</v>
      </c>
      <c r="JV17" s="122">
        <f t="shared" si="104"/>
        <v>0</v>
      </c>
      <c r="JW17" s="122">
        <f t="shared" si="105"/>
        <v>0</v>
      </c>
      <c r="JX17" s="122">
        <f t="shared" si="106"/>
        <v>0</v>
      </c>
      <c r="JY17" s="122">
        <f t="shared" si="107"/>
        <v>0</v>
      </c>
      <c r="JZ17" s="122">
        <f t="shared" si="108"/>
        <v>0</v>
      </c>
      <c r="KA17" s="122">
        <f t="shared" si="109"/>
        <v>0</v>
      </c>
      <c r="KB17" s="122">
        <f t="shared" si="110"/>
        <v>0</v>
      </c>
      <c r="KD17" s="122">
        <f t="shared" si="178"/>
        <v>0</v>
      </c>
      <c r="KE17" s="122">
        <f t="shared" si="112"/>
        <v>0</v>
      </c>
      <c r="KF17" s="122">
        <f t="shared" si="113"/>
        <v>0</v>
      </c>
      <c r="KG17" s="122">
        <f t="shared" si="114"/>
        <v>0</v>
      </c>
      <c r="KH17" s="122">
        <f t="shared" si="115"/>
        <v>0</v>
      </c>
      <c r="KI17" s="122">
        <f t="shared" si="116"/>
        <v>0</v>
      </c>
      <c r="KJ17" s="122">
        <f t="shared" si="117"/>
        <v>0</v>
      </c>
      <c r="KK17" s="122">
        <f t="shared" si="118"/>
        <v>0</v>
      </c>
      <c r="KL17" s="122">
        <f t="shared" si="119"/>
        <v>0</v>
      </c>
      <c r="KM17" s="122">
        <f t="shared" si="120"/>
        <v>0</v>
      </c>
      <c r="KN17" s="123">
        <f t="shared" si="121"/>
        <v>0</v>
      </c>
      <c r="KO17" s="123">
        <f t="shared" si="122"/>
        <v>0</v>
      </c>
      <c r="KP17" s="123">
        <f t="shared" si="123"/>
        <v>0</v>
      </c>
      <c r="KQ17" s="123">
        <f t="shared" si="124"/>
        <v>0</v>
      </c>
      <c r="KR17" s="123">
        <f t="shared" si="125"/>
        <v>0</v>
      </c>
      <c r="KT17">
        <f t="shared" si="126"/>
        <v>0</v>
      </c>
      <c r="KU17" s="123"/>
      <c r="KV17" s="123"/>
      <c r="KW17" s="123"/>
      <c r="KX17" s="123"/>
      <c r="KY17" s="123"/>
      <c r="KZ17" s="123"/>
      <c r="LA17" s="123"/>
      <c r="LB17" s="123"/>
      <c r="LC17" s="123"/>
      <c r="LD17" s="123"/>
      <c r="LE17" s="123"/>
      <c r="LF17" s="123"/>
      <c r="LG17" s="123"/>
      <c r="LH17" s="123"/>
      <c r="LI17" s="123"/>
      <c r="LJ17" s="123"/>
      <c r="LK17" s="123"/>
      <c r="LL17" s="123"/>
      <c r="LM17" s="123"/>
      <c r="LN17" s="123"/>
      <c r="LO17" s="123"/>
      <c r="LP17" s="123"/>
      <c r="LQ17" s="123"/>
      <c r="LR17" s="123"/>
      <c r="LS17" s="123"/>
      <c r="LT17" s="123"/>
      <c r="LU17" s="123"/>
      <c r="LV17" s="123"/>
      <c r="LW17" s="123"/>
      <c r="LX17" s="123"/>
      <c r="LY17" s="123"/>
      <c r="LZ17" s="123"/>
      <c r="MA17" s="123"/>
      <c r="MB17" s="123"/>
      <c r="MC17" s="123"/>
      <c r="MD17" s="123"/>
      <c r="ME17" s="123"/>
      <c r="MF17" s="123"/>
      <c r="MG17" s="123"/>
      <c r="MH17" s="123"/>
      <c r="MI17" s="123"/>
      <c r="MJ17" s="123"/>
      <c r="MK17" s="123"/>
      <c r="ML17" s="123"/>
      <c r="MM17" s="123"/>
      <c r="MN17" s="123"/>
      <c r="MO17" s="123"/>
      <c r="MP17" s="123"/>
      <c r="MQ17" s="123"/>
      <c r="MR17" s="123"/>
      <c r="MS17" s="123"/>
      <c r="MT17" s="123"/>
      <c r="MU17" s="123"/>
      <c r="MV17" s="123"/>
      <c r="MW17" s="123"/>
      <c r="MX17" s="123"/>
      <c r="MY17" s="123"/>
      <c r="MZ17" s="123"/>
      <c r="NA17" s="123"/>
      <c r="NB17" s="123"/>
      <c r="NC17" s="123"/>
      <c r="ND17" s="123"/>
      <c r="NE17" s="123"/>
      <c r="NF17" s="123"/>
      <c r="NG17" s="123"/>
      <c r="NH17" s="123"/>
      <c r="NI17" s="123"/>
      <c r="NJ17" s="123"/>
      <c r="NK17" s="123"/>
      <c r="NM17">
        <f t="shared" si="179"/>
        <v>0</v>
      </c>
      <c r="NN17">
        <f t="shared" si="180"/>
        <v>0</v>
      </c>
      <c r="NO17">
        <f t="shared" si="181"/>
        <v>0</v>
      </c>
      <c r="NP17">
        <f t="shared" si="182"/>
        <v>0</v>
      </c>
      <c r="NQ17">
        <f t="shared" si="183"/>
        <v>0</v>
      </c>
      <c r="NR17">
        <f t="shared" si="184"/>
        <v>0</v>
      </c>
      <c r="NS17">
        <f t="shared" si="185"/>
        <v>0</v>
      </c>
      <c r="NT17">
        <f t="shared" si="186"/>
        <v>0</v>
      </c>
      <c r="NU17" s="29">
        <f t="shared" si="187"/>
        <v>0</v>
      </c>
      <c r="NY17" s="29">
        <f t="shared" si="128"/>
        <v>1</v>
      </c>
      <c r="NZ17" s="152">
        <v>8624000</v>
      </c>
      <c r="OE17" s="155">
        <f t="shared" si="129"/>
        <v>0</v>
      </c>
      <c r="OF17" s="155">
        <f t="shared" si="130"/>
        <v>0</v>
      </c>
      <c r="OG17" s="155">
        <f t="shared" si="131"/>
        <v>0</v>
      </c>
      <c r="OH17" s="155">
        <f t="shared" si="188"/>
        <v>0</v>
      </c>
      <c r="OI17" s="155">
        <f t="shared" si="132"/>
        <v>0</v>
      </c>
      <c r="OJ17" s="67">
        <f t="shared" si="189"/>
        <v>0</v>
      </c>
      <c r="OK17" s="67">
        <f t="shared" si="190"/>
        <v>0</v>
      </c>
      <c r="OL17" s="67">
        <f t="shared" si="191"/>
        <v>0</v>
      </c>
      <c r="OM17" s="67">
        <f t="shared" si="192"/>
        <v>0</v>
      </c>
      <c r="OO17" s="155">
        <f t="shared" si="133"/>
        <v>0</v>
      </c>
      <c r="OP17" s="155">
        <f t="shared" si="134"/>
        <v>0</v>
      </c>
      <c r="OQ17" s="155">
        <f t="shared" si="193"/>
        <v>0</v>
      </c>
      <c r="OR17" s="155">
        <f t="shared" si="194"/>
        <v>0</v>
      </c>
      <c r="OS17" s="155">
        <f t="shared" si="195"/>
        <v>0</v>
      </c>
      <c r="OT17" s="67">
        <f t="shared" si="196"/>
        <v>0</v>
      </c>
      <c r="OU17" s="67">
        <f t="shared" si="197"/>
        <v>0</v>
      </c>
      <c r="OV17" s="67">
        <f t="shared" si="198"/>
        <v>0</v>
      </c>
      <c r="OW17" s="67">
        <f t="shared" si="199"/>
        <v>0</v>
      </c>
      <c r="PA17" s="166"/>
      <c r="PB17" s="166"/>
      <c r="PC17" s="166"/>
      <c r="PD17" s="210">
        <f t="shared" si="135"/>
        <v>0</v>
      </c>
      <c r="PE17" s="210"/>
      <c r="PF17" s="210">
        <f t="shared" si="136"/>
        <v>0</v>
      </c>
      <c r="PG17" s="210">
        <f t="shared" si="137"/>
        <v>0</v>
      </c>
      <c r="PH17" s="210">
        <f t="shared" si="137"/>
        <v>0</v>
      </c>
      <c r="PI17" s="210">
        <f t="shared" si="137"/>
        <v>0</v>
      </c>
      <c r="PJ17" s="210">
        <f t="shared" si="137"/>
        <v>0</v>
      </c>
      <c r="PK17" s="210">
        <f t="shared" si="137"/>
        <v>0</v>
      </c>
      <c r="PL17" s="210">
        <f t="shared" si="137"/>
        <v>0</v>
      </c>
      <c r="PO17" s="172">
        <f t="shared" si="200"/>
        <v>0</v>
      </c>
      <c r="PP17" s="172">
        <f t="shared" si="201"/>
        <v>0</v>
      </c>
      <c r="PQ17" s="172">
        <f t="shared" si="202"/>
        <v>0</v>
      </c>
    </row>
    <row r="18" spans="1:433 16383:16383" ht="16" x14ac:dyDescent="0.2">
      <c r="A18" s="19">
        <f t="shared" si="203"/>
        <v>10</v>
      </c>
      <c r="B18" s="138" t="s">
        <v>615</v>
      </c>
      <c r="C18" s="138">
        <v>10</v>
      </c>
      <c r="D18" s="20">
        <v>1</v>
      </c>
      <c r="E18" s="20">
        <v>50</v>
      </c>
      <c r="F18" s="20">
        <v>1</v>
      </c>
      <c r="G18" s="20">
        <f t="shared" si="138"/>
        <v>50</v>
      </c>
      <c r="H18" s="137">
        <f t="shared" si="2"/>
        <v>1</v>
      </c>
      <c r="I18" s="214">
        <f t="shared" si="3"/>
        <v>1</v>
      </c>
      <c r="J18" s="188">
        <v>1</v>
      </c>
      <c r="K18" s="188">
        <f t="shared" si="4"/>
        <v>50</v>
      </c>
      <c r="L18" s="214">
        <f t="shared" si="5"/>
        <v>1</v>
      </c>
      <c r="M18" s="214">
        <f t="shared" si="6"/>
        <v>1</v>
      </c>
      <c r="N18" s="188">
        <v>1</v>
      </c>
      <c r="O18" s="188">
        <f t="shared" si="7"/>
        <v>50</v>
      </c>
      <c r="P18" s="214">
        <f t="shared" si="8"/>
        <v>1</v>
      </c>
      <c r="Q18" s="137">
        <f t="shared" si="9"/>
        <v>1</v>
      </c>
      <c r="R18" s="20">
        <v>1</v>
      </c>
      <c r="S18" s="20">
        <f t="shared" si="10"/>
        <v>50</v>
      </c>
      <c r="T18" s="137">
        <f t="shared" si="11"/>
        <v>1</v>
      </c>
      <c r="U18" s="137">
        <f t="shared" si="12"/>
        <v>1</v>
      </c>
      <c r="V18" s="20">
        <v>1</v>
      </c>
      <c r="W18" s="20">
        <f t="shared" si="13"/>
        <v>50</v>
      </c>
      <c r="X18" s="137">
        <f t="shared" si="14"/>
        <v>1</v>
      </c>
      <c r="Y18" s="137">
        <f t="shared" si="15"/>
        <v>1</v>
      </c>
      <c r="Z18" s="61">
        <f>443041000/1000000000</f>
        <v>0.44304100000000002</v>
      </c>
      <c r="AA18" s="61"/>
      <c r="AB18" s="17">
        <f t="shared" si="139"/>
        <v>0</v>
      </c>
      <c r="AC18" s="18">
        <f t="shared" si="140"/>
        <v>0</v>
      </c>
      <c r="AD18" s="18">
        <f t="shared" si="141"/>
        <v>0</v>
      </c>
      <c r="AE18" s="61"/>
      <c r="AF18" s="20">
        <f t="shared" si="142"/>
        <v>0</v>
      </c>
      <c r="AG18" s="20"/>
      <c r="AH18" s="31"/>
      <c r="AI18" s="20">
        <v>0</v>
      </c>
      <c r="AJ18" s="20">
        <f t="shared" si="204"/>
        <v>0</v>
      </c>
      <c r="AK18" s="20"/>
      <c r="AL18" s="20">
        <v>0</v>
      </c>
      <c r="AM18" s="20">
        <v>0</v>
      </c>
      <c r="AN18" s="139"/>
      <c r="AO18" s="17">
        <f t="shared" si="18"/>
        <v>0</v>
      </c>
      <c r="AP18" s="17">
        <f t="shared" si="19"/>
        <v>0</v>
      </c>
      <c r="AQ18" s="17">
        <f t="shared" si="20"/>
        <v>0</v>
      </c>
      <c r="AR18" s="17">
        <f t="shared" si="21"/>
        <v>0</v>
      </c>
      <c r="AS18" s="17">
        <f t="shared" si="22"/>
        <v>0</v>
      </c>
      <c r="AT18" s="17">
        <f t="shared" si="23"/>
        <v>0</v>
      </c>
      <c r="AU18" s="17">
        <f t="shared" si="24"/>
        <v>0</v>
      </c>
      <c r="AV18" s="17">
        <f t="shared" si="25"/>
        <v>0</v>
      </c>
      <c r="AW18" s="17">
        <f t="shared" si="26"/>
        <v>0</v>
      </c>
      <c r="AX18" s="17">
        <f t="shared" si="27"/>
        <v>0</v>
      </c>
      <c r="AY18" s="17">
        <f t="shared" si="205"/>
        <v>0</v>
      </c>
      <c r="AZ18" s="17">
        <f t="shared" si="206"/>
        <v>0</v>
      </c>
      <c r="BA18" s="17">
        <f t="shared" si="145"/>
        <v>0</v>
      </c>
      <c r="BB18" s="17">
        <f t="shared" si="146"/>
        <v>0</v>
      </c>
      <c r="BC18" s="29">
        <f t="shared" si="147"/>
        <v>0</v>
      </c>
      <c r="BE18" s="17">
        <f t="shared" si="28"/>
        <v>0</v>
      </c>
      <c r="BF18" s="17">
        <f t="shared" si="29"/>
        <v>0</v>
      </c>
      <c r="BG18" s="17">
        <f t="shared" si="30"/>
        <v>0</v>
      </c>
      <c r="BH18" s="17">
        <f t="shared" si="31"/>
        <v>0</v>
      </c>
      <c r="BI18" s="17">
        <f t="shared" si="32"/>
        <v>0</v>
      </c>
      <c r="BJ18" s="17">
        <f t="shared" si="33"/>
        <v>0</v>
      </c>
      <c r="BK18" s="17">
        <f t="shared" si="148"/>
        <v>0</v>
      </c>
      <c r="BN18" s="284">
        <v>34</v>
      </c>
      <c r="BO18">
        <v>1</v>
      </c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B18" s="20"/>
      <c r="CD18" s="17">
        <f t="shared" si="35"/>
        <v>34</v>
      </c>
      <c r="CE18" s="17">
        <f t="shared" si="36"/>
        <v>34</v>
      </c>
      <c r="CF18" s="20">
        <f t="shared" si="207"/>
        <v>0</v>
      </c>
      <c r="CG18" s="20">
        <f t="shared" si="208"/>
        <v>0</v>
      </c>
      <c r="CH18" s="20">
        <f t="shared" si="209"/>
        <v>0</v>
      </c>
      <c r="CI18" s="20">
        <f t="shared" si="210"/>
        <v>0</v>
      </c>
      <c r="CJ18" s="20">
        <f t="shared" si="211"/>
        <v>0</v>
      </c>
      <c r="CK18" s="20">
        <f t="shared" si="212"/>
        <v>0</v>
      </c>
      <c r="CL18" s="20">
        <f t="shared" si="213"/>
        <v>0</v>
      </c>
      <c r="CM18" s="20">
        <f t="shared" si="214"/>
        <v>0</v>
      </c>
      <c r="CN18" s="20">
        <f t="shared" si="215"/>
        <v>0</v>
      </c>
      <c r="CO18" s="20">
        <f t="shared" si="216"/>
        <v>0</v>
      </c>
      <c r="CP18" s="20">
        <f t="shared" si="217"/>
        <v>0</v>
      </c>
      <c r="DV18" s="20">
        <f t="shared" si="48"/>
        <v>0</v>
      </c>
      <c r="DW18" s="20">
        <f t="shared" si="49"/>
        <v>0</v>
      </c>
      <c r="DX18" s="20">
        <f t="shared" si="50"/>
        <v>0</v>
      </c>
      <c r="DY18" s="20">
        <f t="shared" si="51"/>
        <v>0</v>
      </c>
      <c r="DZ18" s="20">
        <f t="shared" si="52"/>
        <v>0</v>
      </c>
      <c r="EA18" s="20">
        <f t="shared" si="53"/>
        <v>0</v>
      </c>
      <c r="EB18" s="20">
        <f t="shared" si="150"/>
        <v>0</v>
      </c>
      <c r="EG18" s="57">
        <f t="shared" si="151"/>
        <v>0</v>
      </c>
      <c r="EH18" s="57">
        <f t="shared" si="152"/>
        <v>0</v>
      </c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X18" s="169">
        <v>1</v>
      </c>
      <c r="FY18" s="17">
        <f t="shared" si="153"/>
        <v>34</v>
      </c>
      <c r="FZ18" s="17">
        <f t="shared" si="55"/>
        <v>34</v>
      </c>
      <c r="GA18" s="17">
        <f t="shared" si="56"/>
        <v>0</v>
      </c>
      <c r="GB18" s="17">
        <f t="shared" si="57"/>
        <v>0</v>
      </c>
      <c r="GC18" s="17">
        <f t="shared" si="58"/>
        <v>0</v>
      </c>
      <c r="GD18" s="17">
        <f t="shared" si="59"/>
        <v>0</v>
      </c>
      <c r="GE18" s="17">
        <f t="shared" si="60"/>
        <v>0</v>
      </c>
      <c r="GF18" s="67"/>
      <c r="GG18" s="17">
        <v>0</v>
      </c>
      <c r="GH18" s="17">
        <v>0</v>
      </c>
      <c r="GI18" s="67"/>
      <c r="GJ18" s="62">
        <f t="shared" si="154"/>
        <v>0</v>
      </c>
      <c r="GK18" s="62">
        <f t="shared" si="155"/>
        <v>0</v>
      </c>
      <c r="GO18" s="17">
        <f t="shared" si="61"/>
        <v>0</v>
      </c>
      <c r="GP18" s="17">
        <f t="shared" si="62"/>
        <v>0</v>
      </c>
      <c r="GQ18" s="17">
        <f t="shared" si="63"/>
        <v>0</v>
      </c>
      <c r="GR18" s="17">
        <f t="shared" si="64"/>
        <v>0</v>
      </c>
      <c r="GS18" s="17">
        <f t="shared" si="65"/>
        <v>0</v>
      </c>
      <c r="GT18" s="17">
        <f t="shared" si="156"/>
        <v>1</v>
      </c>
      <c r="GU18" s="101">
        <f t="shared" si="157"/>
        <v>43243</v>
      </c>
      <c r="GV18" s="17" t="str">
        <f t="shared" si="158"/>
        <v>SELESAI</v>
      </c>
      <c r="GW18" s="17">
        <f t="shared" si="159"/>
        <v>0</v>
      </c>
      <c r="GX18" s="66" t="str">
        <f t="shared" si="160"/>
        <v>SELESAI</v>
      </c>
      <c r="GY18" s="66">
        <f t="shared" si="161"/>
        <v>0</v>
      </c>
      <c r="GZ18" s="102" t="str">
        <f t="shared" si="162"/>
        <v>SELESAI</v>
      </c>
      <c r="HA18" s="83"/>
      <c r="HB18" s="83"/>
      <c r="HC18" s="17">
        <f t="shared" si="66"/>
        <v>0</v>
      </c>
      <c r="HD18" s="17">
        <f t="shared" si="67"/>
        <v>0</v>
      </c>
      <c r="HE18" s="17">
        <f t="shared" si="163"/>
        <v>0</v>
      </c>
      <c r="HF18" s="17">
        <f t="shared" si="164"/>
        <v>0</v>
      </c>
      <c r="HG18" s="17">
        <f t="shared" si="165"/>
        <v>0</v>
      </c>
      <c r="HH18" s="101" t="str">
        <f t="shared" si="68"/>
        <v>TIDAK KONSINYASI</v>
      </c>
      <c r="HI18" s="101" t="str">
        <f t="shared" si="166"/>
        <v>SELESAI</v>
      </c>
      <c r="HJ18" s="27"/>
      <c r="HK18" s="101">
        <f t="shared" si="69"/>
        <v>0</v>
      </c>
      <c r="HL18" s="83"/>
      <c r="HM18" s="83"/>
      <c r="HN18" s="83"/>
      <c r="HO18" s="83"/>
      <c r="HP18" s="102">
        <f t="shared" si="167"/>
        <v>0</v>
      </c>
      <c r="HQ18" s="66">
        <f t="shared" si="168"/>
        <v>0</v>
      </c>
      <c r="HR18" s="66">
        <f t="shared" si="70"/>
        <v>0</v>
      </c>
      <c r="HS18" s="102">
        <f t="shared" si="169"/>
        <v>0</v>
      </c>
      <c r="HT18" s="66">
        <f t="shared" si="170"/>
        <v>0</v>
      </c>
      <c r="HU18" s="66">
        <f t="shared" si="71"/>
        <v>0</v>
      </c>
      <c r="HV18" s="102">
        <f t="shared" si="171"/>
        <v>0</v>
      </c>
      <c r="HW18" s="66">
        <f t="shared" si="72"/>
        <v>0</v>
      </c>
      <c r="HX18" s="66">
        <f t="shared" si="73"/>
        <v>0</v>
      </c>
      <c r="HY18" s="102">
        <f t="shared" si="74"/>
        <v>0</v>
      </c>
      <c r="HZ18" s="66">
        <f t="shared" si="172"/>
        <v>0</v>
      </c>
      <c r="IA18" s="66">
        <f t="shared" si="75"/>
        <v>0</v>
      </c>
      <c r="IB18" s="102">
        <f t="shared" si="173"/>
        <v>0</v>
      </c>
      <c r="IC18" s="66">
        <f t="shared" si="76"/>
        <v>0</v>
      </c>
      <c r="ID18" s="66">
        <f t="shared" si="77"/>
        <v>0</v>
      </c>
      <c r="IE18" s="102">
        <f t="shared" si="78"/>
        <v>0</v>
      </c>
      <c r="IF18" s="66">
        <f t="shared" si="79"/>
        <v>0</v>
      </c>
      <c r="IG18" s="66">
        <f t="shared" si="80"/>
        <v>0</v>
      </c>
      <c r="IH18" s="102">
        <f t="shared" si="174"/>
        <v>0</v>
      </c>
      <c r="II18" s="66">
        <f t="shared" si="175"/>
        <v>0</v>
      </c>
      <c r="IJ18" s="66">
        <f t="shared" si="81"/>
        <v>0</v>
      </c>
      <c r="IK18" s="102">
        <f t="shared" si="82"/>
        <v>0</v>
      </c>
      <c r="IL18" s="66">
        <f t="shared" si="83"/>
        <v>0</v>
      </c>
      <c r="IM18" s="66">
        <f t="shared" si="84"/>
        <v>0</v>
      </c>
      <c r="IN18" s="83"/>
      <c r="IO18" s="102">
        <f t="shared" si="85"/>
        <v>0</v>
      </c>
      <c r="IP18" s="66">
        <f t="shared" si="86"/>
        <v>0</v>
      </c>
      <c r="IQ18" s="66">
        <f t="shared" si="87"/>
        <v>0</v>
      </c>
      <c r="IR18" s="83"/>
      <c r="IS18" s="102"/>
      <c r="IT18" s="66">
        <f t="shared" si="88"/>
        <v>1</v>
      </c>
      <c r="IU18" s="66">
        <f t="shared" si="89"/>
        <v>50</v>
      </c>
      <c r="IV18" s="83"/>
      <c r="IW18" s="102"/>
      <c r="IX18" s="66">
        <f t="shared" si="90"/>
        <v>0</v>
      </c>
      <c r="IY18" s="66">
        <f t="shared" si="91"/>
        <v>0</v>
      </c>
      <c r="IZ18" s="83"/>
      <c r="JA18" s="102"/>
      <c r="JB18" s="66">
        <f t="shared" si="92"/>
        <v>0</v>
      </c>
      <c r="JC18" s="66">
        <f t="shared" si="93"/>
        <v>0</v>
      </c>
      <c r="JD18" s="83"/>
      <c r="JE18" s="102"/>
      <c r="JF18" s="66">
        <f t="shared" si="176"/>
        <v>1</v>
      </c>
      <c r="JG18" s="66">
        <f t="shared" si="94"/>
        <v>50</v>
      </c>
      <c r="JH18" s="83"/>
      <c r="JI18" s="102"/>
      <c r="JJ18" s="66">
        <f t="shared" si="95"/>
        <v>0</v>
      </c>
      <c r="JK18" s="66">
        <f t="shared" si="96"/>
        <v>0</v>
      </c>
      <c r="JM18" s="102">
        <f t="shared" si="177"/>
        <v>0</v>
      </c>
      <c r="JO18" s="29">
        <f t="shared" si="97"/>
        <v>1</v>
      </c>
      <c r="JP18" s="122">
        <f t="shared" si="98"/>
        <v>34</v>
      </c>
      <c r="JQ18" s="122">
        <f t="shared" si="99"/>
        <v>1</v>
      </c>
      <c r="JR18" s="122">
        <f t="shared" si="100"/>
        <v>0</v>
      </c>
      <c r="JS18" s="122">
        <f t="shared" si="101"/>
        <v>0</v>
      </c>
      <c r="JT18" s="122">
        <f t="shared" si="102"/>
        <v>0</v>
      </c>
      <c r="JU18" s="122">
        <f t="shared" si="103"/>
        <v>0</v>
      </c>
      <c r="JV18" s="122">
        <f t="shared" si="104"/>
        <v>0</v>
      </c>
      <c r="JW18" s="122">
        <f t="shared" si="105"/>
        <v>0</v>
      </c>
      <c r="JX18" s="122">
        <f t="shared" si="106"/>
        <v>0</v>
      </c>
      <c r="JY18" s="122">
        <f t="shared" si="107"/>
        <v>0</v>
      </c>
      <c r="JZ18" s="122">
        <f t="shared" si="108"/>
        <v>0</v>
      </c>
      <c r="KA18" s="122">
        <f t="shared" si="109"/>
        <v>0</v>
      </c>
      <c r="KB18" s="122">
        <f t="shared" si="110"/>
        <v>0</v>
      </c>
      <c r="KD18" s="122">
        <f t="shared" si="178"/>
        <v>0</v>
      </c>
      <c r="KE18" s="122">
        <f t="shared" si="112"/>
        <v>0</v>
      </c>
      <c r="KF18" s="122">
        <f t="shared" si="113"/>
        <v>34</v>
      </c>
      <c r="KG18" s="122">
        <f t="shared" si="114"/>
        <v>34</v>
      </c>
      <c r="KH18" s="122">
        <f t="shared" si="115"/>
        <v>0</v>
      </c>
      <c r="KI18" s="122">
        <f t="shared" si="116"/>
        <v>0</v>
      </c>
      <c r="KJ18" s="122">
        <f t="shared" si="117"/>
        <v>0</v>
      </c>
      <c r="KK18" s="122">
        <f t="shared" si="118"/>
        <v>0</v>
      </c>
      <c r="KL18" s="122">
        <f t="shared" si="119"/>
        <v>0</v>
      </c>
      <c r="KM18" s="122">
        <f t="shared" si="120"/>
        <v>0</v>
      </c>
      <c r="KN18" s="123">
        <f t="shared" si="121"/>
        <v>0</v>
      </c>
      <c r="KO18" s="123">
        <f t="shared" si="122"/>
        <v>0</v>
      </c>
      <c r="KP18" s="123">
        <f t="shared" si="123"/>
        <v>0</v>
      </c>
      <c r="KQ18" s="123">
        <f t="shared" si="124"/>
        <v>0</v>
      </c>
      <c r="KR18" s="123">
        <f t="shared" si="125"/>
        <v>0</v>
      </c>
      <c r="KT18">
        <f t="shared" si="126"/>
        <v>0</v>
      </c>
      <c r="KU18" s="123"/>
      <c r="KV18" s="123"/>
      <c r="KW18" s="123"/>
      <c r="KX18" s="123"/>
      <c r="KY18" s="123"/>
      <c r="KZ18" s="123"/>
      <c r="LA18" s="123"/>
      <c r="LB18" s="123"/>
      <c r="LC18" s="123"/>
      <c r="LD18" s="123"/>
      <c r="LE18" s="123"/>
      <c r="LF18" s="123"/>
      <c r="LG18" s="123"/>
      <c r="LH18" s="123"/>
      <c r="LI18" s="123"/>
      <c r="LJ18" s="123"/>
      <c r="LK18" s="123"/>
      <c r="LL18" s="123"/>
      <c r="LM18" s="123"/>
      <c r="LN18" s="123"/>
      <c r="LO18" s="123"/>
      <c r="LP18" s="123"/>
      <c r="LQ18" s="123"/>
      <c r="LR18" s="123"/>
      <c r="LS18" s="123"/>
      <c r="LT18" s="123"/>
      <c r="LU18" s="123"/>
      <c r="LV18" s="123"/>
      <c r="LW18" s="123"/>
      <c r="LX18" s="123"/>
      <c r="LY18" s="123"/>
      <c r="LZ18" s="123"/>
      <c r="MA18" s="123"/>
      <c r="MB18" s="123"/>
      <c r="MC18" s="123"/>
      <c r="MD18" s="123"/>
      <c r="ME18" s="123"/>
      <c r="MF18" s="123"/>
      <c r="MG18" s="123"/>
      <c r="MH18" s="123"/>
      <c r="MI18" s="123"/>
      <c r="MJ18" s="123"/>
      <c r="MK18" s="123"/>
      <c r="ML18" s="123"/>
      <c r="MM18" s="123"/>
      <c r="MN18" s="123"/>
      <c r="MO18" s="123"/>
      <c r="MP18" s="123"/>
      <c r="MQ18" s="123"/>
      <c r="MR18" s="123"/>
      <c r="MS18" s="123"/>
      <c r="MT18" s="123"/>
      <c r="MU18" s="123"/>
      <c r="MV18" s="123"/>
      <c r="MW18" s="123"/>
      <c r="MX18" s="123"/>
      <c r="MY18" s="123"/>
      <c r="MZ18" s="123"/>
      <c r="NA18" s="123"/>
      <c r="NB18" s="123"/>
      <c r="NC18" s="123"/>
      <c r="ND18" s="123"/>
      <c r="NE18" s="123"/>
      <c r="NF18" s="123"/>
      <c r="NG18" s="123"/>
      <c r="NH18" s="123"/>
      <c r="NI18" s="123"/>
      <c r="NJ18" s="123"/>
      <c r="NK18" s="123"/>
      <c r="NM18">
        <f t="shared" si="179"/>
        <v>0</v>
      </c>
      <c r="NN18">
        <f t="shared" si="180"/>
        <v>0</v>
      </c>
      <c r="NO18">
        <f t="shared" si="181"/>
        <v>0</v>
      </c>
      <c r="NP18">
        <f t="shared" si="182"/>
        <v>0</v>
      </c>
      <c r="NQ18">
        <f t="shared" si="183"/>
        <v>0</v>
      </c>
      <c r="NR18">
        <f t="shared" si="184"/>
        <v>0</v>
      </c>
      <c r="NS18">
        <f t="shared" si="185"/>
        <v>0</v>
      </c>
      <c r="NT18">
        <f t="shared" si="186"/>
        <v>0</v>
      </c>
      <c r="NU18" s="29">
        <f t="shared" si="187"/>
        <v>0</v>
      </c>
      <c r="NY18" s="29">
        <f t="shared" si="128"/>
        <v>1</v>
      </c>
      <c r="NZ18" s="152">
        <v>8451520</v>
      </c>
      <c r="OE18" s="155">
        <f t="shared" si="129"/>
        <v>0</v>
      </c>
      <c r="OF18" s="155">
        <f t="shared" si="130"/>
        <v>0</v>
      </c>
      <c r="OG18" s="155">
        <f t="shared" si="131"/>
        <v>0</v>
      </c>
      <c r="OH18" s="155">
        <f t="shared" si="188"/>
        <v>0</v>
      </c>
      <c r="OI18" s="155">
        <f t="shared" si="132"/>
        <v>0</v>
      </c>
      <c r="OJ18" s="67">
        <f t="shared" si="189"/>
        <v>0</v>
      </c>
      <c r="OK18" s="67">
        <f t="shared" si="190"/>
        <v>0</v>
      </c>
      <c r="OL18" s="67">
        <f t="shared" si="191"/>
        <v>0</v>
      </c>
      <c r="OM18" s="67">
        <f t="shared" si="192"/>
        <v>0</v>
      </c>
      <c r="OO18" s="155">
        <f t="shared" si="133"/>
        <v>0</v>
      </c>
      <c r="OP18" s="155">
        <f t="shared" si="134"/>
        <v>0</v>
      </c>
      <c r="OQ18" s="155">
        <f t="shared" si="193"/>
        <v>0</v>
      </c>
      <c r="OR18" s="155">
        <f t="shared" si="194"/>
        <v>0</v>
      </c>
      <c r="OS18" s="155">
        <f t="shared" si="195"/>
        <v>0</v>
      </c>
      <c r="OT18" s="67">
        <f t="shared" si="196"/>
        <v>0</v>
      </c>
      <c r="OU18" s="67">
        <f t="shared" si="197"/>
        <v>0</v>
      </c>
      <c r="OV18" s="67">
        <f t="shared" si="198"/>
        <v>0</v>
      </c>
      <c r="OW18" s="67">
        <f t="shared" si="199"/>
        <v>0</v>
      </c>
      <c r="PA18" s="166"/>
      <c r="PB18" s="166"/>
      <c r="PC18" s="166"/>
      <c r="PD18" s="210">
        <f t="shared" si="135"/>
        <v>0</v>
      </c>
      <c r="PE18" s="210"/>
      <c r="PF18" s="210">
        <f t="shared" si="136"/>
        <v>0</v>
      </c>
      <c r="PG18" s="210">
        <f t="shared" si="137"/>
        <v>0</v>
      </c>
      <c r="PH18" s="210">
        <f t="shared" si="137"/>
        <v>0</v>
      </c>
      <c r="PI18" s="210">
        <f t="shared" si="137"/>
        <v>0</v>
      </c>
      <c r="PJ18" s="210">
        <f t="shared" si="137"/>
        <v>0</v>
      </c>
      <c r="PK18" s="210">
        <f t="shared" si="137"/>
        <v>0</v>
      </c>
      <c r="PL18" s="210">
        <f t="shared" si="137"/>
        <v>0</v>
      </c>
      <c r="PO18" s="172">
        <f t="shared" si="200"/>
        <v>0</v>
      </c>
      <c r="PP18" s="172">
        <f t="shared" si="201"/>
        <v>0</v>
      </c>
      <c r="PQ18" s="172">
        <f t="shared" si="202"/>
        <v>0</v>
      </c>
    </row>
    <row r="19" spans="1:433 16383:16383" ht="16" x14ac:dyDescent="0.2">
      <c r="A19" s="19">
        <f t="shared" si="203"/>
        <v>11</v>
      </c>
      <c r="B19" s="138" t="s">
        <v>257</v>
      </c>
      <c r="C19" s="186">
        <v>11</v>
      </c>
      <c r="D19" s="188">
        <v>1</v>
      </c>
      <c r="E19" s="188">
        <v>67</v>
      </c>
      <c r="F19" s="188">
        <v>1</v>
      </c>
      <c r="G19" s="20">
        <f t="shared" si="138"/>
        <v>67</v>
      </c>
      <c r="H19" s="137">
        <f t="shared" si="2"/>
        <v>1</v>
      </c>
      <c r="I19" s="214">
        <f t="shared" si="3"/>
        <v>1</v>
      </c>
      <c r="J19" s="188">
        <v>1</v>
      </c>
      <c r="K19" s="188">
        <f t="shared" si="4"/>
        <v>67</v>
      </c>
      <c r="L19" s="214">
        <f t="shared" si="5"/>
        <v>1</v>
      </c>
      <c r="M19" s="214">
        <f t="shared" si="6"/>
        <v>1</v>
      </c>
      <c r="N19" s="188">
        <v>1</v>
      </c>
      <c r="O19" s="188">
        <f t="shared" si="7"/>
        <v>67</v>
      </c>
      <c r="P19" s="214">
        <f t="shared" si="8"/>
        <v>1</v>
      </c>
      <c r="Q19" s="137">
        <f t="shared" si="9"/>
        <v>1</v>
      </c>
      <c r="R19" s="20">
        <v>1</v>
      </c>
      <c r="S19" s="20">
        <f t="shared" si="10"/>
        <v>67</v>
      </c>
      <c r="T19" s="137">
        <f t="shared" si="11"/>
        <v>1</v>
      </c>
      <c r="U19" s="137">
        <f t="shared" si="12"/>
        <v>1</v>
      </c>
      <c r="V19" s="20">
        <v>1</v>
      </c>
      <c r="W19" s="20">
        <f t="shared" si="13"/>
        <v>67</v>
      </c>
      <c r="X19" s="137">
        <f t="shared" si="14"/>
        <v>1</v>
      </c>
      <c r="Y19" s="137">
        <f t="shared" si="15"/>
        <v>1</v>
      </c>
      <c r="Z19" s="61">
        <f>1007123000/1000000000</f>
        <v>1.007123</v>
      </c>
      <c r="AA19" s="61"/>
      <c r="AB19" s="17">
        <f t="shared" si="139"/>
        <v>0</v>
      </c>
      <c r="AC19" s="18">
        <f t="shared" si="140"/>
        <v>0</v>
      </c>
      <c r="AD19" s="18">
        <f t="shared" si="141"/>
        <v>0</v>
      </c>
      <c r="AE19" s="61"/>
      <c r="AF19" s="20">
        <f t="shared" si="142"/>
        <v>0</v>
      </c>
      <c r="AG19" s="20"/>
      <c r="AH19" s="31"/>
      <c r="AI19" s="20">
        <v>0</v>
      </c>
      <c r="AJ19" s="20">
        <f t="shared" si="204"/>
        <v>0</v>
      </c>
      <c r="AK19" s="20"/>
      <c r="AL19" s="20">
        <v>0</v>
      </c>
      <c r="AM19" s="20">
        <v>0</v>
      </c>
      <c r="AN19" s="139"/>
      <c r="AO19" s="17">
        <f t="shared" si="18"/>
        <v>0</v>
      </c>
      <c r="AP19" s="17">
        <f t="shared" si="19"/>
        <v>0</v>
      </c>
      <c r="AQ19" s="17">
        <f t="shared" si="20"/>
        <v>0</v>
      </c>
      <c r="AR19" s="17">
        <f t="shared" si="21"/>
        <v>0</v>
      </c>
      <c r="AS19" s="17">
        <f t="shared" si="22"/>
        <v>0</v>
      </c>
      <c r="AT19" s="17">
        <f t="shared" si="23"/>
        <v>0</v>
      </c>
      <c r="AU19" s="17">
        <f t="shared" si="24"/>
        <v>0</v>
      </c>
      <c r="AV19" s="17">
        <f t="shared" si="25"/>
        <v>0</v>
      </c>
      <c r="AW19" s="17">
        <f t="shared" si="26"/>
        <v>0</v>
      </c>
      <c r="AX19" s="17">
        <f t="shared" si="27"/>
        <v>0</v>
      </c>
      <c r="AY19" s="17">
        <f t="shared" si="205"/>
        <v>0</v>
      </c>
      <c r="AZ19" s="17">
        <f t="shared" si="206"/>
        <v>0</v>
      </c>
      <c r="BA19" s="17">
        <f t="shared" si="145"/>
        <v>0</v>
      </c>
      <c r="BB19" s="17">
        <f t="shared" si="146"/>
        <v>0</v>
      </c>
      <c r="BC19" s="29">
        <f t="shared" si="147"/>
        <v>0</v>
      </c>
      <c r="BE19" s="17">
        <f t="shared" si="28"/>
        <v>0</v>
      </c>
      <c r="BF19" s="17">
        <f t="shared" si="29"/>
        <v>0</v>
      </c>
      <c r="BG19" s="17">
        <f t="shared" si="30"/>
        <v>0</v>
      </c>
      <c r="BH19" s="17">
        <f t="shared" si="31"/>
        <v>0</v>
      </c>
      <c r="BI19" s="17">
        <f t="shared" si="32"/>
        <v>0</v>
      </c>
      <c r="BJ19" s="17">
        <f t="shared" si="33"/>
        <v>0</v>
      </c>
      <c r="BK19" s="17">
        <f t="shared" si="148"/>
        <v>0</v>
      </c>
      <c r="BN19" s="284">
        <v>25</v>
      </c>
      <c r="BO19">
        <v>1</v>
      </c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B19" s="20"/>
      <c r="CD19" s="17">
        <f t="shared" si="35"/>
        <v>25</v>
      </c>
      <c r="CE19" s="17">
        <f t="shared" si="36"/>
        <v>25</v>
      </c>
      <c r="CF19" s="20">
        <f t="shared" si="207"/>
        <v>0</v>
      </c>
      <c r="CG19" s="20">
        <f t="shared" si="208"/>
        <v>0</v>
      </c>
      <c r="CH19" s="20">
        <f t="shared" si="209"/>
        <v>0</v>
      </c>
      <c r="CI19" s="20">
        <f t="shared" si="210"/>
        <v>0</v>
      </c>
      <c r="CJ19" s="20">
        <f t="shared" si="211"/>
        <v>0</v>
      </c>
      <c r="CK19" s="20">
        <f t="shared" si="212"/>
        <v>0</v>
      </c>
      <c r="CL19" s="20">
        <f t="shared" si="213"/>
        <v>0</v>
      </c>
      <c r="CM19" s="20">
        <f t="shared" si="214"/>
        <v>0</v>
      </c>
      <c r="CN19" s="20">
        <f t="shared" si="215"/>
        <v>0</v>
      </c>
      <c r="CO19" s="20">
        <f t="shared" si="216"/>
        <v>0</v>
      </c>
      <c r="CP19" s="20">
        <f t="shared" si="217"/>
        <v>0</v>
      </c>
      <c r="DV19" s="20">
        <f t="shared" si="48"/>
        <v>0</v>
      </c>
      <c r="DW19" s="20">
        <f t="shared" si="49"/>
        <v>0</v>
      </c>
      <c r="DX19" s="20">
        <f t="shared" si="50"/>
        <v>0</v>
      </c>
      <c r="DY19" s="20">
        <f t="shared" si="51"/>
        <v>0</v>
      </c>
      <c r="DZ19" s="20">
        <f t="shared" si="52"/>
        <v>0</v>
      </c>
      <c r="EA19" s="20">
        <f t="shared" si="53"/>
        <v>0</v>
      </c>
      <c r="EB19" s="20">
        <f t="shared" si="150"/>
        <v>0</v>
      </c>
      <c r="EG19" s="57">
        <f t="shared" si="151"/>
        <v>0</v>
      </c>
      <c r="EH19" s="57">
        <f t="shared" si="152"/>
        <v>0</v>
      </c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X19" s="169">
        <v>1</v>
      </c>
      <c r="FY19" s="17">
        <f t="shared" si="153"/>
        <v>25</v>
      </c>
      <c r="FZ19" s="17">
        <f t="shared" si="55"/>
        <v>25</v>
      </c>
      <c r="GA19" s="17">
        <f t="shared" si="56"/>
        <v>0</v>
      </c>
      <c r="GB19" s="17">
        <f t="shared" si="57"/>
        <v>0</v>
      </c>
      <c r="GC19" s="17">
        <f t="shared" si="58"/>
        <v>0</v>
      </c>
      <c r="GD19" s="17">
        <f t="shared" si="59"/>
        <v>0</v>
      </c>
      <c r="GE19" s="17">
        <f t="shared" si="60"/>
        <v>0</v>
      </c>
      <c r="GF19" s="67"/>
      <c r="GG19" s="17">
        <v>0</v>
      </c>
      <c r="GH19" s="17">
        <v>0</v>
      </c>
      <c r="GI19" s="67"/>
      <c r="GJ19" s="62">
        <f t="shared" si="154"/>
        <v>0</v>
      </c>
      <c r="GK19" s="62">
        <f t="shared" si="155"/>
        <v>0</v>
      </c>
      <c r="GO19" s="17">
        <f t="shared" si="61"/>
        <v>0</v>
      </c>
      <c r="GP19" s="17">
        <f t="shared" si="62"/>
        <v>0</v>
      </c>
      <c r="GQ19" s="17">
        <f t="shared" si="63"/>
        <v>0</v>
      </c>
      <c r="GR19" s="17">
        <f t="shared" si="64"/>
        <v>0</v>
      </c>
      <c r="GS19" s="17">
        <f t="shared" si="65"/>
        <v>0</v>
      </c>
      <c r="GT19" s="17">
        <f t="shared" si="156"/>
        <v>1</v>
      </c>
      <c r="GU19" s="101">
        <f t="shared" si="157"/>
        <v>43243</v>
      </c>
      <c r="GV19" s="17" t="str">
        <f t="shared" si="158"/>
        <v>SELESAI</v>
      </c>
      <c r="GW19" s="17">
        <f t="shared" si="159"/>
        <v>0</v>
      </c>
      <c r="GX19" s="66" t="str">
        <f t="shared" si="160"/>
        <v>SELESAI</v>
      </c>
      <c r="GY19" s="66">
        <f t="shared" si="161"/>
        <v>0</v>
      </c>
      <c r="GZ19" s="102" t="str">
        <f t="shared" si="162"/>
        <v>SELESAI</v>
      </c>
      <c r="HA19" s="83"/>
      <c r="HB19" s="83"/>
      <c r="HC19" s="17">
        <f t="shared" si="66"/>
        <v>0</v>
      </c>
      <c r="HD19" s="17">
        <f t="shared" si="67"/>
        <v>0</v>
      </c>
      <c r="HE19" s="17">
        <f t="shared" si="163"/>
        <v>0</v>
      </c>
      <c r="HF19" s="17">
        <f t="shared" si="164"/>
        <v>0</v>
      </c>
      <c r="HG19" s="17">
        <f t="shared" si="165"/>
        <v>0</v>
      </c>
      <c r="HH19" s="101" t="str">
        <f t="shared" si="68"/>
        <v>TIDAK KONSINYASI</v>
      </c>
      <c r="HI19" s="101" t="str">
        <f t="shared" si="166"/>
        <v>SELESAI</v>
      </c>
      <c r="HJ19" s="27"/>
      <c r="HK19" s="101">
        <f t="shared" si="69"/>
        <v>0</v>
      </c>
      <c r="HL19" s="83"/>
      <c r="HM19" s="83"/>
      <c r="HN19" s="83"/>
      <c r="HO19" s="83"/>
      <c r="HP19" s="102">
        <f t="shared" si="167"/>
        <v>0</v>
      </c>
      <c r="HQ19" s="66">
        <f t="shared" si="168"/>
        <v>0</v>
      </c>
      <c r="HR19" s="66">
        <f t="shared" si="70"/>
        <v>0</v>
      </c>
      <c r="HS19" s="102">
        <f t="shared" si="169"/>
        <v>0</v>
      </c>
      <c r="HT19" s="66">
        <f t="shared" si="170"/>
        <v>0</v>
      </c>
      <c r="HU19" s="66">
        <f t="shared" si="71"/>
        <v>0</v>
      </c>
      <c r="HV19" s="102">
        <f t="shared" si="171"/>
        <v>0</v>
      </c>
      <c r="HW19" s="66">
        <f t="shared" si="72"/>
        <v>0</v>
      </c>
      <c r="HX19" s="66">
        <f t="shared" si="73"/>
        <v>0</v>
      </c>
      <c r="HY19" s="102">
        <f t="shared" si="74"/>
        <v>0</v>
      </c>
      <c r="HZ19" s="66">
        <f t="shared" si="172"/>
        <v>0</v>
      </c>
      <c r="IA19" s="66">
        <f t="shared" si="75"/>
        <v>0</v>
      </c>
      <c r="IB19" s="102">
        <f t="shared" si="173"/>
        <v>0</v>
      </c>
      <c r="IC19" s="66">
        <f t="shared" si="76"/>
        <v>0</v>
      </c>
      <c r="ID19" s="66">
        <f t="shared" si="77"/>
        <v>0</v>
      </c>
      <c r="IE19" s="102">
        <f t="shared" si="78"/>
        <v>0</v>
      </c>
      <c r="IF19" s="66">
        <f t="shared" si="79"/>
        <v>0</v>
      </c>
      <c r="IG19" s="66">
        <f t="shared" si="80"/>
        <v>0</v>
      </c>
      <c r="IH19" s="102">
        <f t="shared" si="174"/>
        <v>0</v>
      </c>
      <c r="II19" s="66">
        <f t="shared" si="175"/>
        <v>0</v>
      </c>
      <c r="IJ19" s="66">
        <f t="shared" si="81"/>
        <v>0</v>
      </c>
      <c r="IK19" s="102">
        <f t="shared" si="82"/>
        <v>0</v>
      </c>
      <c r="IL19" s="66">
        <f t="shared" si="83"/>
        <v>0</v>
      </c>
      <c r="IM19" s="66">
        <f t="shared" si="84"/>
        <v>0</v>
      </c>
      <c r="IN19" s="83"/>
      <c r="IO19" s="102">
        <f t="shared" si="85"/>
        <v>0</v>
      </c>
      <c r="IP19" s="66">
        <f t="shared" si="86"/>
        <v>0</v>
      </c>
      <c r="IQ19" s="66">
        <f t="shared" si="87"/>
        <v>0</v>
      </c>
      <c r="IR19" s="83"/>
      <c r="IS19" s="102"/>
      <c r="IT19" s="66">
        <f t="shared" si="88"/>
        <v>1</v>
      </c>
      <c r="IU19" s="66">
        <f t="shared" si="89"/>
        <v>67</v>
      </c>
      <c r="IV19" s="83"/>
      <c r="IW19" s="102"/>
      <c r="IX19" s="66">
        <f t="shared" si="90"/>
        <v>0</v>
      </c>
      <c r="IY19" s="66">
        <f t="shared" si="91"/>
        <v>0</v>
      </c>
      <c r="IZ19" s="83"/>
      <c r="JA19" s="102"/>
      <c r="JB19" s="66">
        <f t="shared" si="92"/>
        <v>0</v>
      </c>
      <c r="JC19" s="66">
        <f t="shared" si="93"/>
        <v>0</v>
      </c>
      <c r="JD19" s="83"/>
      <c r="JE19" s="102"/>
      <c r="JF19" s="66">
        <f t="shared" si="176"/>
        <v>1</v>
      </c>
      <c r="JG19" s="66">
        <f t="shared" si="94"/>
        <v>67</v>
      </c>
      <c r="JH19" s="83"/>
      <c r="JI19" s="102"/>
      <c r="JJ19" s="66">
        <f t="shared" si="95"/>
        <v>0</v>
      </c>
      <c r="JK19" s="66">
        <f t="shared" si="96"/>
        <v>0</v>
      </c>
      <c r="JM19" s="102">
        <f t="shared" si="177"/>
        <v>0</v>
      </c>
      <c r="JO19" s="29">
        <f t="shared" si="97"/>
        <v>1</v>
      </c>
      <c r="JP19" s="122">
        <f t="shared" si="98"/>
        <v>25</v>
      </c>
      <c r="JQ19" s="122">
        <f t="shared" si="99"/>
        <v>1</v>
      </c>
      <c r="JR19" s="122">
        <f t="shared" si="100"/>
        <v>0</v>
      </c>
      <c r="JS19" s="122">
        <f t="shared" si="101"/>
        <v>0</v>
      </c>
      <c r="JT19" s="122">
        <f t="shared" si="102"/>
        <v>0</v>
      </c>
      <c r="JU19" s="122">
        <f t="shared" si="103"/>
        <v>0</v>
      </c>
      <c r="JV19" s="122">
        <f t="shared" si="104"/>
        <v>0</v>
      </c>
      <c r="JW19" s="122">
        <f t="shared" si="105"/>
        <v>0</v>
      </c>
      <c r="JX19" s="122">
        <f t="shared" si="106"/>
        <v>0</v>
      </c>
      <c r="JY19" s="122">
        <f t="shared" si="107"/>
        <v>0</v>
      </c>
      <c r="JZ19" s="122">
        <f t="shared" si="108"/>
        <v>0</v>
      </c>
      <c r="KA19" s="122">
        <f t="shared" si="109"/>
        <v>0</v>
      </c>
      <c r="KB19" s="122">
        <f t="shared" si="110"/>
        <v>0</v>
      </c>
      <c r="KD19" s="122">
        <f t="shared" si="178"/>
        <v>0</v>
      </c>
      <c r="KE19" s="122">
        <f t="shared" si="112"/>
        <v>0</v>
      </c>
      <c r="KF19" s="122">
        <f t="shared" si="113"/>
        <v>25</v>
      </c>
      <c r="KG19" s="122">
        <f t="shared" si="114"/>
        <v>25</v>
      </c>
      <c r="KH19" s="122">
        <f t="shared" si="115"/>
        <v>0</v>
      </c>
      <c r="KI19" s="122">
        <f t="shared" si="116"/>
        <v>0</v>
      </c>
      <c r="KJ19" s="122">
        <f t="shared" si="117"/>
        <v>0</v>
      </c>
      <c r="KK19" s="122">
        <f t="shared" si="118"/>
        <v>0</v>
      </c>
      <c r="KL19" s="122">
        <f t="shared" si="119"/>
        <v>0</v>
      </c>
      <c r="KM19" s="122">
        <f t="shared" si="120"/>
        <v>0</v>
      </c>
      <c r="KN19" s="123">
        <f t="shared" si="121"/>
        <v>0</v>
      </c>
      <c r="KO19" s="123">
        <f t="shared" si="122"/>
        <v>0</v>
      </c>
      <c r="KP19" s="123">
        <f t="shared" si="123"/>
        <v>0</v>
      </c>
      <c r="KQ19" s="123">
        <f t="shared" si="124"/>
        <v>0</v>
      </c>
      <c r="KR19" s="123">
        <f t="shared" si="125"/>
        <v>0</v>
      </c>
      <c r="KT19">
        <f t="shared" si="126"/>
        <v>0</v>
      </c>
      <c r="KU19" s="123"/>
      <c r="KV19" s="123"/>
      <c r="KW19" s="123"/>
      <c r="KX19" s="123"/>
      <c r="KY19" s="123"/>
      <c r="KZ19" s="123"/>
      <c r="LA19" s="123"/>
      <c r="LB19" s="123"/>
      <c r="LC19" s="123"/>
      <c r="LD19" s="123"/>
      <c r="LE19" s="123"/>
      <c r="LF19" s="123"/>
      <c r="LG19" s="123"/>
      <c r="LH19" s="123"/>
      <c r="LI19" s="123"/>
      <c r="LJ19" s="123"/>
      <c r="LK19" s="123"/>
      <c r="LL19" s="123"/>
      <c r="LM19" s="123"/>
      <c r="LN19" s="123"/>
      <c r="LO19" s="123"/>
      <c r="LP19" s="123"/>
      <c r="LQ19" s="123"/>
      <c r="LR19" s="123"/>
      <c r="LS19" s="123"/>
      <c r="LT19" s="123"/>
      <c r="LU19" s="123"/>
      <c r="LV19" s="123"/>
      <c r="LW19" s="123"/>
      <c r="LX19" s="123"/>
      <c r="LY19" s="123"/>
      <c r="LZ19" s="123"/>
      <c r="MA19" s="123"/>
      <c r="MB19" s="123"/>
      <c r="MC19" s="123"/>
      <c r="MD19" s="123"/>
      <c r="ME19" s="123"/>
      <c r="MF19" s="123"/>
      <c r="MG19" s="123"/>
      <c r="MH19" s="123"/>
      <c r="MI19" s="123"/>
      <c r="MJ19" s="123"/>
      <c r="MK19" s="123"/>
      <c r="ML19" s="123"/>
      <c r="MM19" s="123"/>
      <c r="MN19" s="123"/>
      <c r="MO19" s="123"/>
      <c r="MP19" s="123"/>
      <c r="MQ19" s="123"/>
      <c r="MR19" s="123"/>
      <c r="MS19" s="123"/>
      <c r="MT19" s="123"/>
      <c r="MU19" s="123"/>
      <c r="MV19" s="123"/>
      <c r="MW19" s="123"/>
      <c r="MX19" s="123"/>
      <c r="MY19" s="123"/>
      <c r="MZ19" s="123"/>
      <c r="NA19" s="123"/>
      <c r="NB19" s="123"/>
      <c r="NC19" s="123"/>
      <c r="ND19" s="123"/>
      <c r="NE19" s="123"/>
      <c r="NF19" s="123"/>
      <c r="NG19" s="123"/>
      <c r="NH19" s="123"/>
      <c r="NI19" s="123"/>
      <c r="NJ19" s="123"/>
      <c r="NK19" s="123"/>
      <c r="NM19">
        <f t="shared" si="179"/>
        <v>0</v>
      </c>
      <c r="NN19">
        <f t="shared" si="180"/>
        <v>0</v>
      </c>
      <c r="NO19">
        <f t="shared" si="181"/>
        <v>0</v>
      </c>
      <c r="NP19">
        <f t="shared" si="182"/>
        <v>0</v>
      </c>
      <c r="NQ19">
        <f t="shared" si="183"/>
        <v>0</v>
      </c>
      <c r="NR19">
        <f t="shared" si="184"/>
        <v>0</v>
      </c>
      <c r="NS19">
        <f t="shared" si="185"/>
        <v>0</v>
      </c>
      <c r="NT19">
        <f t="shared" si="186"/>
        <v>0</v>
      </c>
      <c r="NU19" s="29">
        <f t="shared" si="187"/>
        <v>0</v>
      </c>
      <c r="NY19" s="29">
        <f t="shared" si="128"/>
        <v>1</v>
      </c>
      <c r="NZ19" s="152">
        <v>8451520</v>
      </c>
      <c r="OE19" s="155">
        <f t="shared" si="129"/>
        <v>0</v>
      </c>
      <c r="OF19" s="155">
        <f t="shared" si="130"/>
        <v>0</v>
      </c>
      <c r="OG19" s="155">
        <f t="shared" si="131"/>
        <v>0</v>
      </c>
      <c r="OH19" s="155">
        <f t="shared" si="188"/>
        <v>0</v>
      </c>
      <c r="OI19" s="155">
        <f t="shared" si="132"/>
        <v>0</v>
      </c>
      <c r="OJ19" s="67">
        <f t="shared" si="189"/>
        <v>0</v>
      </c>
      <c r="OK19" s="67">
        <f t="shared" si="190"/>
        <v>0</v>
      </c>
      <c r="OL19" s="67">
        <f t="shared" si="191"/>
        <v>0</v>
      </c>
      <c r="OM19" s="67">
        <f t="shared" si="192"/>
        <v>0</v>
      </c>
      <c r="OO19" s="155">
        <f t="shared" si="133"/>
        <v>0</v>
      </c>
      <c r="OP19" s="155">
        <f t="shared" si="134"/>
        <v>0</v>
      </c>
      <c r="OQ19" s="155">
        <f t="shared" si="193"/>
        <v>0</v>
      </c>
      <c r="OR19" s="155">
        <f t="shared" si="194"/>
        <v>0</v>
      </c>
      <c r="OS19" s="155">
        <f t="shared" si="195"/>
        <v>0</v>
      </c>
      <c r="OT19" s="67">
        <f t="shared" si="196"/>
        <v>0</v>
      </c>
      <c r="OU19" s="67">
        <f t="shared" si="197"/>
        <v>0</v>
      </c>
      <c r="OV19" s="67">
        <f t="shared" si="198"/>
        <v>0</v>
      </c>
      <c r="OW19" s="67">
        <f t="shared" si="199"/>
        <v>0</v>
      </c>
      <c r="PA19" s="166"/>
      <c r="PB19" s="166"/>
      <c r="PC19" s="166"/>
      <c r="PD19" s="210">
        <f t="shared" si="135"/>
        <v>0</v>
      </c>
      <c r="PE19" s="210"/>
      <c r="PF19" s="210">
        <f t="shared" si="136"/>
        <v>0</v>
      </c>
      <c r="PG19" s="210">
        <f t="shared" si="137"/>
        <v>0</v>
      </c>
      <c r="PH19" s="210">
        <f t="shared" si="137"/>
        <v>0</v>
      </c>
      <c r="PI19" s="210">
        <f t="shared" si="137"/>
        <v>0</v>
      </c>
      <c r="PJ19" s="210">
        <f t="shared" si="137"/>
        <v>0</v>
      </c>
      <c r="PK19" s="210">
        <f t="shared" si="137"/>
        <v>0</v>
      </c>
      <c r="PL19" s="210">
        <f t="shared" si="137"/>
        <v>0</v>
      </c>
      <c r="PO19" s="172">
        <f t="shared" si="200"/>
        <v>0</v>
      </c>
      <c r="PP19" s="172">
        <f t="shared" si="201"/>
        <v>0</v>
      </c>
      <c r="PQ19" s="172">
        <f t="shared" si="202"/>
        <v>0</v>
      </c>
    </row>
    <row r="20" spans="1:433 16383:16383" ht="16" x14ac:dyDescent="0.2">
      <c r="A20" s="19">
        <f t="shared" si="203"/>
        <v>12</v>
      </c>
      <c r="B20" s="138" t="s">
        <v>480</v>
      </c>
      <c r="C20" s="186">
        <v>12</v>
      </c>
      <c r="D20" s="188">
        <v>1</v>
      </c>
      <c r="E20" s="188">
        <v>1323</v>
      </c>
      <c r="F20" s="188">
        <v>1</v>
      </c>
      <c r="G20" s="20">
        <f t="shared" si="138"/>
        <v>1323</v>
      </c>
      <c r="H20" s="137">
        <f t="shared" si="2"/>
        <v>1</v>
      </c>
      <c r="I20" s="214">
        <f t="shared" si="3"/>
        <v>1</v>
      </c>
      <c r="J20" s="188">
        <v>1</v>
      </c>
      <c r="K20" s="188">
        <f t="shared" si="4"/>
        <v>1323</v>
      </c>
      <c r="L20" s="214">
        <f t="shared" si="5"/>
        <v>1</v>
      </c>
      <c r="M20" s="214">
        <f t="shared" si="6"/>
        <v>1</v>
      </c>
      <c r="N20" s="188">
        <v>1</v>
      </c>
      <c r="O20" s="188">
        <f t="shared" si="7"/>
        <v>1323</v>
      </c>
      <c r="P20" s="214">
        <f t="shared" si="8"/>
        <v>1</v>
      </c>
      <c r="Q20" s="137">
        <f t="shared" si="9"/>
        <v>1</v>
      </c>
      <c r="R20" s="20">
        <v>1</v>
      </c>
      <c r="S20" s="20">
        <f t="shared" si="10"/>
        <v>1323</v>
      </c>
      <c r="T20" s="137">
        <f t="shared" si="11"/>
        <v>1</v>
      </c>
      <c r="U20" s="137">
        <f t="shared" si="12"/>
        <v>1</v>
      </c>
      <c r="V20" s="20">
        <v>1</v>
      </c>
      <c r="W20" s="20">
        <f t="shared" si="13"/>
        <v>1323</v>
      </c>
      <c r="X20" s="137">
        <f t="shared" si="14"/>
        <v>1</v>
      </c>
      <c r="Y20" s="137">
        <f t="shared" si="15"/>
        <v>1</v>
      </c>
      <c r="Z20" s="59">
        <f>14686275000/1000000000</f>
        <v>14.686275</v>
      </c>
      <c r="AA20" s="59"/>
      <c r="AB20" s="17">
        <f t="shared" si="139"/>
        <v>0</v>
      </c>
      <c r="AC20" s="18">
        <f t="shared" si="140"/>
        <v>0</v>
      </c>
      <c r="AD20" s="18">
        <f t="shared" si="141"/>
        <v>0</v>
      </c>
      <c r="AE20" s="59"/>
      <c r="AF20" s="20">
        <f t="shared" si="142"/>
        <v>0</v>
      </c>
      <c r="AG20" s="20"/>
      <c r="AH20" s="20"/>
      <c r="AI20" s="20">
        <v>0</v>
      </c>
      <c r="AJ20" s="20">
        <f t="shared" si="204"/>
        <v>0</v>
      </c>
      <c r="AK20" s="20"/>
      <c r="AL20" s="20">
        <v>0</v>
      </c>
      <c r="AM20" s="20">
        <v>0</v>
      </c>
      <c r="AN20" s="139"/>
      <c r="AO20" s="17">
        <f t="shared" si="18"/>
        <v>0</v>
      </c>
      <c r="AP20" s="17">
        <f t="shared" si="19"/>
        <v>0</v>
      </c>
      <c r="AQ20" s="17">
        <f t="shared" si="20"/>
        <v>0</v>
      </c>
      <c r="AR20" s="17">
        <f t="shared" si="21"/>
        <v>0</v>
      </c>
      <c r="AS20" s="17">
        <f t="shared" si="22"/>
        <v>0</v>
      </c>
      <c r="AT20" s="17">
        <f t="shared" si="23"/>
        <v>0</v>
      </c>
      <c r="AU20" s="17">
        <f t="shared" si="24"/>
        <v>0</v>
      </c>
      <c r="AV20" s="17">
        <f t="shared" si="25"/>
        <v>0</v>
      </c>
      <c r="AW20" s="17">
        <f t="shared" si="26"/>
        <v>0</v>
      </c>
      <c r="AX20" s="17">
        <f t="shared" si="27"/>
        <v>0</v>
      </c>
      <c r="AY20" s="17">
        <f t="shared" si="205"/>
        <v>0</v>
      </c>
      <c r="AZ20" s="17">
        <f t="shared" si="206"/>
        <v>0</v>
      </c>
      <c r="BA20" s="17">
        <f t="shared" si="145"/>
        <v>0</v>
      </c>
      <c r="BB20" s="17">
        <f t="shared" si="146"/>
        <v>0</v>
      </c>
      <c r="BC20" s="29">
        <f t="shared" si="147"/>
        <v>0</v>
      </c>
      <c r="BE20" s="17">
        <f t="shared" si="28"/>
        <v>0</v>
      </c>
      <c r="BF20" s="17">
        <f t="shared" si="29"/>
        <v>0</v>
      </c>
      <c r="BG20" s="17">
        <f t="shared" si="30"/>
        <v>0</v>
      </c>
      <c r="BH20" s="17">
        <f t="shared" si="31"/>
        <v>0</v>
      </c>
      <c r="BI20" s="17">
        <f t="shared" si="32"/>
        <v>0</v>
      </c>
      <c r="BJ20" s="17">
        <f t="shared" si="33"/>
        <v>0</v>
      </c>
      <c r="BK20" s="17">
        <f t="shared" si="148"/>
        <v>0</v>
      </c>
      <c r="BN20" s="143"/>
      <c r="BO20" s="284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B20" s="20"/>
      <c r="CD20" s="17">
        <f t="shared" si="35"/>
        <v>0</v>
      </c>
      <c r="CE20" s="17">
        <f t="shared" si="36"/>
        <v>0</v>
      </c>
      <c r="CF20" s="20">
        <f t="shared" si="207"/>
        <v>0</v>
      </c>
      <c r="CG20" s="20">
        <f t="shared" si="208"/>
        <v>0</v>
      </c>
      <c r="CH20" s="20">
        <f t="shared" si="209"/>
        <v>0</v>
      </c>
      <c r="CI20" s="20">
        <f t="shared" si="210"/>
        <v>0</v>
      </c>
      <c r="CJ20" s="20">
        <f t="shared" si="211"/>
        <v>0</v>
      </c>
      <c r="CK20" s="20">
        <f t="shared" si="212"/>
        <v>0</v>
      </c>
      <c r="CL20" s="20">
        <f t="shared" si="213"/>
        <v>0</v>
      </c>
      <c r="CM20" s="20">
        <f t="shared" si="214"/>
        <v>0</v>
      </c>
      <c r="CN20" s="20">
        <f t="shared" si="215"/>
        <v>0</v>
      </c>
      <c r="CO20" s="20">
        <f t="shared" si="216"/>
        <v>0</v>
      </c>
      <c r="CP20" s="20">
        <f t="shared" si="217"/>
        <v>0</v>
      </c>
      <c r="DV20" s="20">
        <f t="shared" si="48"/>
        <v>0</v>
      </c>
      <c r="DW20" s="20">
        <f t="shared" si="49"/>
        <v>0</v>
      </c>
      <c r="DX20" s="20">
        <f t="shared" si="50"/>
        <v>0</v>
      </c>
      <c r="DY20" s="20">
        <f t="shared" si="51"/>
        <v>0</v>
      </c>
      <c r="DZ20" s="20">
        <f t="shared" si="52"/>
        <v>0</v>
      </c>
      <c r="EA20" s="20">
        <f t="shared" si="53"/>
        <v>0</v>
      </c>
      <c r="EB20" s="20">
        <f t="shared" si="150"/>
        <v>0</v>
      </c>
      <c r="EG20" s="57">
        <f t="shared" si="151"/>
        <v>0</v>
      </c>
      <c r="EH20" s="57">
        <f t="shared" si="152"/>
        <v>0</v>
      </c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X20" s="169"/>
      <c r="FY20" s="17">
        <f t="shared" si="153"/>
        <v>0</v>
      </c>
      <c r="FZ20" s="17">
        <f t="shared" si="55"/>
        <v>0</v>
      </c>
      <c r="GA20" s="17">
        <f t="shared" si="56"/>
        <v>0</v>
      </c>
      <c r="GB20" s="17">
        <f t="shared" si="57"/>
        <v>0</v>
      </c>
      <c r="GC20" s="17">
        <f t="shared" si="58"/>
        <v>0</v>
      </c>
      <c r="GD20" s="17">
        <f t="shared" si="59"/>
        <v>0</v>
      </c>
      <c r="GE20" s="17">
        <f t="shared" si="60"/>
        <v>0</v>
      </c>
      <c r="GF20" s="67"/>
      <c r="GG20" s="17">
        <v>0</v>
      </c>
      <c r="GH20" s="17">
        <v>0</v>
      </c>
      <c r="GI20" s="67"/>
      <c r="GJ20" s="62">
        <f t="shared" si="154"/>
        <v>0</v>
      </c>
      <c r="GK20" s="62">
        <f t="shared" si="155"/>
        <v>0</v>
      </c>
      <c r="GO20" s="17">
        <f t="shared" si="61"/>
        <v>0</v>
      </c>
      <c r="GP20" s="17">
        <f t="shared" si="62"/>
        <v>0</v>
      </c>
      <c r="GQ20" s="17">
        <f t="shared" si="63"/>
        <v>0</v>
      </c>
      <c r="GR20" s="17">
        <f t="shared" si="64"/>
        <v>0</v>
      </c>
      <c r="GS20" s="17">
        <f t="shared" si="65"/>
        <v>0</v>
      </c>
      <c r="GT20" s="17">
        <f t="shared" si="156"/>
        <v>1</v>
      </c>
      <c r="GU20" s="101">
        <f t="shared" si="157"/>
        <v>43243</v>
      </c>
      <c r="GV20" s="17" t="str">
        <f t="shared" si="158"/>
        <v>SELESAI</v>
      </c>
      <c r="GW20" s="17">
        <f t="shared" si="159"/>
        <v>0</v>
      </c>
      <c r="GX20" s="66" t="str">
        <f t="shared" si="160"/>
        <v>SELESAI</v>
      </c>
      <c r="GY20" s="66">
        <f t="shared" si="161"/>
        <v>0</v>
      </c>
      <c r="GZ20" s="102" t="str">
        <f t="shared" si="162"/>
        <v>SELESAI</v>
      </c>
      <c r="HA20" s="83"/>
      <c r="HB20" s="83"/>
      <c r="HC20" s="17">
        <f t="shared" si="66"/>
        <v>0</v>
      </c>
      <c r="HD20" s="17">
        <f t="shared" si="67"/>
        <v>0</v>
      </c>
      <c r="HE20" s="17">
        <f t="shared" si="163"/>
        <v>0</v>
      </c>
      <c r="HF20" s="17">
        <f t="shared" si="164"/>
        <v>0</v>
      </c>
      <c r="HG20" s="17">
        <f t="shared" si="165"/>
        <v>0</v>
      </c>
      <c r="HH20" s="101" t="str">
        <f t="shared" si="68"/>
        <v>TIDAK KONSINYASI</v>
      </c>
      <c r="HI20" s="101" t="str">
        <f t="shared" si="166"/>
        <v>SELESAI</v>
      </c>
      <c r="HJ20" s="27"/>
      <c r="HK20" s="101">
        <f t="shared" si="69"/>
        <v>0</v>
      </c>
      <c r="HL20" s="83"/>
      <c r="HM20" s="83"/>
      <c r="HN20" s="83"/>
      <c r="HO20" s="83"/>
      <c r="HP20" s="102">
        <f t="shared" si="167"/>
        <v>0</v>
      </c>
      <c r="HQ20" s="66">
        <f t="shared" si="168"/>
        <v>0</v>
      </c>
      <c r="HR20" s="66">
        <f t="shared" si="70"/>
        <v>0</v>
      </c>
      <c r="HS20" s="102">
        <f t="shared" si="169"/>
        <v>0</v>
      </c>
      <c r="HT20" s="66">
        <f t="shared" si="170"/>
        <v>0</v>
      </c>
      <c r="HU20" s="66">
        <f t="shared" si="71"/>
        <v>0</v>
      </c>
      <c r="HV20" s="102">
        <f t="shared" si="171"/>
        <v>0</v>
      </c>
      <c r="HW20" s="66">
        <f t="shared" si="72"/>
        <v>0</v>
      </c>
      <c r="HX20" s="66">
        <f t="shared" si="73"/>
        <v>0</v>
      </c>
      <c r="HY20" s="102">
        <f t="shared" si="74"/>
        <v>0</v>
      </c>
      <c r="HZ20" s="66">
        <f t="shared" si="172"/>
        <v>0</v>
      </c>
      <c r="IA20" s="66">
        <f t="shared" si="75"/>
        <v>0</v>
      </c>
      <c r="IB20" s="102">
        <f t="shared" si="173"/>
        <v>0</v>
      </c>
      <c r="IC20" s="66">
        <f t="shared" si="76"/>
        <v>0</v>
      </c>
      <c r="ID20" s="66">
        <f t="shared" si="77"/>
        <v>0</v>
      </c>
      <c r="IE20" s="102">
        <f t="shared" si="78"/>
        <v>0</v>
      </c>
      <c r="IF20" s="66">
        <f t="shared" si="79"/>
        <v>0</v>
      </c>
      <c r="IG20" s="66">
        <f t="shared" si="80"/>
        <v>0</v>
      </c>
      <c r="IH20" s="102">
        <f t="shared" si="174"/>
        <v>0</v>
      </c>
      <c r="II20" s="66">
        <f t="shared" si="175"/>
        <v>0</v>
      </c>
      <c r="IJ20" s="66">
        <f t="shared" si="81"/>
        <v>0</v>
      </c>
      <c r="IK20" s="102">
        <f t="shared" si="82"/>
        <v>0</v>
      </c>
      <c r="IL20" s="66">
        <f t="shared" si="83"/>
        <v>0</v>
      </c>
      <c r="IM20" s="66">
        <f t="shared" si="84"/>
        <v>0</v>
      </c>
      <c r="IN20" s="83"/>
      <c r="IO20" s="102">
        <f t="shared" si="85"/>
        <v>0</v>
      </c>
      <c r="IP20" s="66">
        <f t="shared" si="86"/>
        <v>0</v>
      </c>
      <c r="IQ20" s="66">
        <f t="shared" si="87"/>
        <v>0</v>
      </c>
      <c r="IR20" s="83"/>
      <c r="IS20" s="102"/>
      <c r="IT20" s="66">
        <f t="shared" si="88"/>
        <v>1</v>
      </c>
      <c r="IU20" s="66">
        <f t="shared" si="89"/>
        <v>1323</v>
      </c>
      <c r="IV20" s="83"/>
      <c r="IW20" s="102"/>
      <c r="IX20" s="66">
        <f t="shared" si="90"/>
        <v>0</v>
      </c>
      <c r="IY20" s="66">
        <f t="shared" si="91"/>
        <v>0</v>
      </c>
      <c r="IZ20" s="83"/>
      <c r="JA20" s="102"/>
      <c r="JB20" s="66">
        <f t="shared" si="92"/>
        <v>0</v>
      </c>
      <c r="JC20" s="66">
        <f t="shared" si="93"/>
        <v>0</v>
      </c>
      <c r="JD20" s="83"/>
      <c r="JE20" s="102"/>
      <c r="JF20" s="66">
        <f t="shared" si="176"/>
        <v>1</v>
      </c>
      <c r="JG20" s="66">
        <f t="shared" si="94"/>
        <v>1323</v>
      </c>
      <c r="JH20" s="83"/>
      <c r="JI20" s="102"/>
      <c r="JJ20" s="66">
        <f t="shared" si="95"/>
        <v>0</v>
      </c>
      <c r="JK20" s="66">
        <f t="shared" si="96"/>
        <v>0</v>
      </c>
      <c r="JM20" s="102">
        <f t="shared" si="177"/>
        <v>0</v>
      </c>
      <c r="JO20" s="29">
        <f t="shared" si="97"/>
        <v>0</v>
      </c>
      <c r="JP20" s="122">
        <f t="shared" si="98"/>
        <v>0</v>
      </c>
      <c r="JQ20" s="122">
        <f t="shared" si="99"/>
        <v>0</v>
      </c>
      <c r="JR20" s="122">
        <f t="shared" si="100"/>
        <v>0</v>
      </c>
      <c r="JS20" s="122">
        <f t="shared" si="101"/>
        <v>0</v>
      </c>
      <c r="JT20" s="122">
        <f t="shared" si="102"/>
        <v>0</v>
      </c>
      <c r="JU20" s="122">
        <f t="shared" si="103"/>
        <v>0</v>
      </c>
      <c r="JV20" s="122">
        <f t="shared" si="104"/>
        <v>0</v>
      </c>
      <c r="JW20" s="122">
        <f t="shared" si="105"/>
        <v>0</v>
      </c>
      <c r="JX20" s="122">
        <f t="shared" si="106"/>
        <v>0</v>
      </c>
      <c r="JY20" s="122">
        <f t="shared" si="107"/>
        <v>0</v>
      </c>
      <c r="JZ20" s="122">
        <f t="shared" si="108"/>
        <v>0</v>
      </c>
      <c r="KA20" s="122">
        <f t="shared" si="109"/>
        <v>0</v>
      </c>
      <c r="KB20" s="122">
        <f t="shared" si="110"/>
        <v>0</v>
      </c>
      <c r="KD20" s="122">
        <f t="shared" si="178"/>
        <v>0</v>
      </c>
      <c r="KE20" s="122">
        <f t="shared" si="112"/>
        <v>0</v>
      </c>
      <c r="KF20" s="122">
        <f t="shared" si="113"/>
        <v>0</v>
      </c>
      <c r="KG20" s="122">
        <f t="shared" si="114"/>
        <v>0</v>
      </c>
      <c r="KH20" s="122">
        <f t="shared" si="115"/>
        <v>0</v>
      </c>
      <c r="KI20" s="122">
        <f t="shared" si="116"/>
        <v>0</v>
      </c>
      <c r="KJ20" s="122">
        <f t="shared" si="117"/>
        <v>0</v>
      </c>
      <c r="KK20" s="122">
        <f t="shared" si="118"/>
        <v>0</v>
      </c>
      <c r="KL20" s="122">
        <f t="shared" si="119"/>
        <v>0</v>
      </c>
      <c r="KM20" s="122">
        <f t="shared" si="120"/>
        <v>0</v>
      </c>
      <c r="KN20" s="123">
        <f t="shared" si="121"/>
        <v>0</v>
      </c>
      <c r="KO20" s="123">
        <f t="shared" si="122"/>
        <v>0</v>
      </c>
      <c r="KP20" s="123">
        <f t="shared" si="123"/>
        <v>0</v>
      </c>
      <c r="KQ20" s="123">
        <f t="shared" si="124"/>
        <v>0</v>
      </c>
      <c r="KR20" s="123">
        <f t="shared" si="125"/>
        <v>0</v>
      </c>
      <c r="KT20">
        <f t="shared" si="126"/>
        <v>0</v>
      </c>
      <c r="KU20" s="123"/>
      <c r="KV20" s="123"/>
      <c r="KW20" s="123"/>
      <c r="KX20" s="123"/>
      <c r="KY20" s="123"/>
      <c r="KZ20" s="123"/>
      <c r="LA20" s="123"/>
      <c r="LB20" s="123"/>
      <c r="LC20" s="123"/>
      <c r="LD20" s="123"/>
      <c r="LE20" s="123"/>
      <c r="LF20" s="123"/>
      <c r="LG20" s="123"/>
      <c r="LH20" s="123"/>
      <c r="LI20" s="123"/>
      <c r="LJ20" s="123"/>
      <c r="LK20" s="123"/>
      <c r="LL20" s="123"/>
      <c r="LM20" s="123"/>
      <c r="LN20" s="123"/>
      <c r="LO20" s="123"/>
      <c r="LP20" s="123"/>
      <c r="LQ20" s="123"/>
      <c r="LR20" s="123"/>
      <c r="LS20" s="123"/>
      <c r="LT20" s="123"/>
      <c r="LU20" s="123"/>
      <c r="LV20" s="123"/>
      <c r="LW20" s="123"/>
      <c r="LX20" s="123"/>
      <c r="LY20" s="123"/>
      <c r="LZ20" s="123"/>
      <c r="MA20" s="123"/>
      <c r="MB20" s="123"/>
      <c r="MC20" s="123"/>
      <c r="MD20" s="123"/>
      <c r="ME20" s="123"/>
      <c r="MF20" s="123"/>
      <c r="MG20" s="123"/>
      <c r="MH20" s="123"/>
      <c r="MI20" s="123"/>
      <c r="MJ20" s="123"/>
      <c r="MK20" s="123"/>
      <c r="ML20" s="123"/>
      <c r="MM20" s="123"/>
      <c r="MN20" s="123"/>
      <c r="MO20" s="123"/>
      <c r="MP20" s="123"/>
      <c r="MQ20" s="123"/>
      <c r="MR20" s="123"/>
      <c r="MS20" s="123"/>
      <c r="MT20" s="123"/>
      <c r="MU20" s="123"/>
      <c r="MV20" s="123"/>
      <c r="MW20" s="123"/>
      <c r="MX20" s="123"/>
      <c r="MY20" s="123"/>
      <c r="MZ20" s="123"/>
      <c r="NA20" s="123"/>
      <c r="NB20" s="123"/>
      <c r="NC20" s="123"/>
      <c r="ND20" s="123"/>
      <c r="NE20" s="123"/>
      <c r="NF20" s="123"/>
      <c r="NG20" s="123"/>
      <c r="NH20" s="123"/>
      <c r="NI20" s="123"/>
      <c r="NJ20" s="123"/>
      <c r="NK20" s="123"/>
      <c r="NM20">
        <f t="shared" si="179"/>
        <v>0</v>
      </c>
      <c r="NN20">
        <f t="shared" si="180"/>
        <v>0</v>
      </c>
      <c r="NO20">
        <f t="shared" si="181"/>
        <v>0</v>
      </c>
      <c r="NP20">
        <f t="shared" si="182"/>
        <v>0</v>
      </c>
      <c r="NQ20">
        <f t="shared" si="183"/>
        <v>0</v>
      </c>
      <c r="NR20">
        <f t="shared" si="184"/>
        <v>0</v>
      </c>
      <c r="NS20">
        <f t="shared" si="185"/>
        <v>0</v>
      </c>
      <c r="NT20">
        <f t="shared" si="186"/>
        <v>0</v>
      </c>
      <c r="NU20" s="29">
        <f t="shared" si="187"/>
        <v>0</v>
      </c>
      <c r="NY20" s="29">
        <f t="shared" si="128"/>
        <v>1</v>
      </c>
      <c r="NZ20" s="152">
        <v>8800000</v>
      </c>
      <c r="OE20" s="155">
        <f t="shared" si="129"/>
        <v>0</v>
      </c>
      <c r="OF20" s="155">
        <f t="shared" si="130"/>
        <v>0</v>
      </c>
      <c r="OG20" s="155">
        <f t="shared" si="131"/>
        <v>0</v>
      </c>
      <c r="OH20" s="155">
        <f t="shared" si="188"/>
        <v>0</v>
      </c>
      <c r="OI20" s="155">
        <f t="shared" si="132"/>
        <v>0</v>
      </c>
      <c r="OJ20" s="67">
        <f t="shared" si="189"/>
        <v>0</v>
      </c>
      <c r="OK20" s="67">
        <f t="shared" si="190"/>
        <v>0</v>
      </c>
      <c r="OL20" s="67">
        <f t="shared" si="191"/>
        <v>0</v>
      </c>
      <c r="OM20" s="67">
        <f t="shared" si="192"/>
        <v>0</v>
      </c>
      <c r="OO20" s="155">
        <f t="shared" si="133"/>
        <v>0</v>
      </c>
      <c r="OP20" s="155">
        <f t="shared" si="134"/>
        <v>0</v>
      </c>
      <c r="OQ20" s="155">
        <f t="shared" si="193"/>
        <v>0</v>
      </c>
      <c r="OR20" s="155">
        <f t="shared" si="194"/>
        <v>0</v>
      </c>
      <c r="OS20" s="155">
        <f t="shared" si="195"/>
        <v>0</v>
      </c>
      <c r="OT20" s="67">
        <f t="shared" si="196"/>
        <v>0</v>
      </c>
      <c r="OU20" s="67">
        <f t="shared" si="197"/>
        <v>0</v>
      </c>
      <c r="OV20" s="67">
        <f t="shared" si="198"/>
        <v>0</v>
      </c>
      <c r="OW20" s="67">
        <f t="shared" si="199"/>
        <v>0</v>
      </c>
      <c r="PA20" s="166"/>
      <c r="PB20" s="166"/>
      <c r="PC20" s="166"/>
      <c r="PD20" s="210">
        <f t="shared" si="135"/>
        <v>0</v>
      </c>
      <c r="PE20" s="210"/>
      <c r="PF20" s="210">
        <f t="shared" si="136"/>
        <v>0</v>
      </c>
      <c r="PG20" s="210">
        <f t="shared" si="137"/>
        <v>0</v>
      </c>
      <c r="PH20" s="210">
        <f t="shared" si="137"/>
        <v>0</v>
      </c>
      <c r="PI20" s="210">
        <f t="shared" si="137"/>
        <v>0</v>
      </c>
      <c r="PJ20" s="210">
        <f t="shared" si="137"/>
        <v>0</v>
      </c>
      <c r="PK20" s="210">
        <f t="shared" si="137"/>
        <v>0</v>
      </c>
      <c r="PL20" s="210">
        <f t="shared" si="137"/>
        <v>0</v>
      </c>
      <c r="PO20" s="172">
        <f t="shared" si="200"/>
        <v>0</v>
      </c>
      <c r="PP20" s="172">
        <f t="shared" si="201"/>
        <v>0</v>
      </c>
      <c r="PQ20" s="172">
        <f t="shared" si="202"/>
        <v>0</v>
      </c>
    </row>
    <row r="21" spans="1:433 16383:16383" ht="16" x14ac:dyDescent="0.2">
      <c r="A21" s="19">
        <f t="shared" si="203"/>
        <v>13</v>
      </c>
      <c r="B21" s="138" t="s">
        <v>622</v>
      </c>
      <c r="C21" s="186">
        <v>2</v>
      </c>
      <c r="D21" s="188">
        <v>1</v>
      </c>
      <c r="E21" s="188">
        <v>444</v>
      </c>
      <c r="F21" s="188">
        <v>1</v>
      </c>
      <c r="G21" s="20">
        <f t="shared" si="138"/>
        <v>444</v>
      </c>
      <c r="H21" s="137">
        <f t="shared" si="2"/>
        <v>1</v>
      </c>
      <c r="I21" s="214">
        <f t="shared" si="3"/>
        <v>1</v>
      </c>
      <c r="J21" s="188">
        <v>1</v>
      </c>
      <c r="K21" s="188">
        <f t="shared" si="4"/>
        <v>444</v>
      </c>
      <c r="L21" s="214">
        <f t="shared" si="5"/>
        <v>1</v>
      </c>
      <c r="M21" s="214">
        <f t="shared" si="6"/>
        <v>1</v>
      </c>
      <c r="N21" s="188">
        <v>1</v>
      </c>
      <c r="O21" s="188">
        <f t="shared" si="7"/>
        <v>444</v>
      </c>
      <c r="P21" s="214">
        <f t="shared" si="8"/>
        <v>1</v>
      </c>
      <c r="Q21" s="137">
        <f t="shared" si="9"/>
        <v>1</v>
      </c>
      <c r="R21" s="20">
        <v>0</v>
      </c>
      <c r="S21" s="20">
        <f t="shared" ref="S21:S22" si="218">IF(R21=D21,E21,0)</f>
        <v>0</v>
      </c>
      <c r="T21" s="137">
        <f t="shared" ref="T21:T22" si="219">R21/$D21</f>
        <v>0</v>
      </c>
      <c r="U21" s="137">
        <f t="shared" ref="U21:U22" si="220">S21/$E21</f>
        <v>0</v>
      </c>
      <c r="V21" s="20">
        <v>0</v>
      </c>
      <c r="W21" s="20">
        <f t="shared" ref="W21:W22" si="221">IF(V21=D21,E21,0)</f>
        <v>0</v>
      </c>
      <c r="X21" s="137">
        <f t="shared" ref="X21:X22" si="222">V21/$D21</f>
        <v>0</v>
      </c>
      <c r="Y21" s="137">
        <f t="shared" ref="Y21:Y22" si="223">W21/$E21</f>
        <v>0</v>
      </c>
      <c r="Z21" s="59"/>
      <c r="AA21" s="59"/>
      <c r="AB21" s="17">
        <f t="shared" si="139"/>
        <v>0</v>
      </c>
      <c r="AC21" s="18">
        <f t="shared" si="140"/>
        <v>0</v>
      </c>
      <c r="AD21" s="18">
        <f t="shared" si="141"/>
        <v>0</v>
      </c>
      <c r="AE21" s="59"/>
      <c r="AF21" s="20">
        <f t="shared" si="142"/>
        <v>0</v>
      </c>
      <c r="AG21" s="20"/>
      <c r="AH21" s="20"/>
      <c r="AI21" s="20">
        <v>1</v>
      </c>
      <c r="AJ21" s="20">
        <f t="shared" ref="AJ21:AJ23" si="224">IF(AI21=D21,E21,0)</f>
        <v>444</v>
      </c>
      <c r="AK21" s="20"/>
      <c r="AL21" s="20">
        <v>0</v>
      </c>
      <c r="AM21" s="20">
        <v>0</v>
      </c>
      <c r="AN21" s="139">
        <v>1</v>
      </c>
      <c r="AO21" s="17">
        <f t="shared" si="18"/>
        <v>1</v>
      </c>
      <c r="AP21" s="17">
        <f t="shared" si="19"/>
        <v>444</v>
      </c>
      <c r="AQ21" s="17">
        <f t="shared" si="20"/>
        <v>1</v>
      </c>
      <c r="AR21" s="17">
        <f t="shared" si="21"/>
        <v>444</v>
      </c>
      <c r="AS21" s="17">
        <f t="shared" si="22"/>
        <v>1</v>
      </c>
      <c r="AT21" s="17">
        <f t="shared" si="23"/>
        <v>444</v>
      </c>
      <c r="AU21" s="17">
        <f t="shared" si="24"/>
        <v>0</v>
      </c>
      <c r="AV21" s="17">
        <f t="shared" si="25"/>
        <v>0</v>
      </c>
      <c r="AW21" s="17">
        <f t="shared" si="26"/>
        <v>0</v>
      </c>
      <c r="AX21" s="17">
        <f t="shared" si="27"/>
        <v>0</v>
      </c>
      <c r="AY21" s="17">
        <f t="shared" ref="AY21:AY23" si="225">AU21-AW21</f>
        <v>0</v>
      </c>
      <c r="AZ21" s="17">
        <f t="shared" ref="AZ21:AZ23" si="226">AV21-AX21</f>
        <v>0</v>
      </c>
      <c r="BA21" s="17">
        <f t="shared" si="145"/>
        <v>0</v>
      </c>
      <c r="BB21" s="17">
        <f t="shared" si="146"/>
        <v>444</v>
      </c>
      <c r="BC21" s="29">
        <f t="shared" si="147"/>
        <v>0</v>
      </c>
      <c r="BE21" s="17">
        <f t="shared" si="28"/>
        <v>0</v>
      </c>
      <c r="BF21" s="17">
        <f t="shared" si="29"/>
        <v>0</v>
      </c>
      <c r="BG21" s="17">
        <f t="shared" si="30"/>
        <v>0</v>
      </c>
      <c r="BH21" s="17">
        <f t="shared" si="31"/>
        <v>0</v>
      </c>
      <c r="BI21" s="17">
        <f t="shared" si="32"/>
        <v>0</v>
      </c>
      <c r="BJ21" s="17">
        <f t="shared" si="33"/>
        <v>0</v>
      </c>
      <c r="BK21" s="17">
        <f t="shared" ref="BK21:BK23" si="227">SUM(BF21:BJ21)</f>
        <v>0</v>
      </c>
      <c r="BN21" s="143"/>
      <c r="BO21" s="284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B21" s="20"/>
      <c r="CD21" s="17">
        <f t="shared" si="35"/>
        <v>0</v>
      </c>
      <c r="CE21" s="17">
        <f t="shared" si="36"/>
        <v>0</v>
      </c>
      <c r="CF21" s="20">
        <f t="shared" si="207"/>
        <v>0</v>
      </c>
      <c r="CG21" s="20">
        <f t="shared" si="208"/>
        <v>0</v>
      </c>
      <c r="CH21" s="20">
        <f t="shared" si="209"/>
        <v>0</v>
      </c>
      <c r="CI21" s="20">
        <f t="shared" si="210"/>
        <v>0</v>
      </c>
      <c r="CJ21" s="20">
        <f t="shared" si="211"/>
        <v>0</v>
      </c>
      <c r="CK21" s="20">
        <f t="shared" si="212"/>
        <v>0</v>
      </c>
      <c r="CL21" s="20">
        <f t="shared" si="213"/>
        <v>0</v>
      </c>
      <c r="CM21" s="20">
        <f t="shared" si="214"/>
        <v>0</v>
      </c>
      <c r="CN21" s="20">
        <f t="shared" si="215"/>
        <v>0</v>
      </c>
      <c r="CO21" s="20">
        <f t="shared" si="216"/>
        <v>0</v>
      </c>
      <c r="CP21" s="20">
        <f t="shared" si="217"/>
        <v>0</v>
      </c>
      <c r="DV21" s="20">
        <f t="shared" si="48"/>
        <v>0</v>
      </c>
      <c r="DW21" s="20">
        <f t="shared" si="49"/>
        <v>0</v>
      </c>
      <c r="DX21" s="20">
        <f t="shared" si="50"/>
        <v>0</v>
      </c>
      <c r="DY21" s="20">
        <f t="shared" si="51"/>
        <v>0</v>
      </c>
      <c r="DZ21" s="20">
        <f t="shared" si="52"/>
        <v>0</v>
      </c>
      <c r="EA21" s="20">
        <f t="shared" si="53"/>
        <v>0</v>
      </c>
      <c r="EB21" s="20">
        <f t="shared" si="150"/>
        <v>0</v>
      </c>
      <c r="EG21" s="57">
        <f t="shared" si="151"/>
        <v>0</v>
      </c>
      <c r="EH21" s="57">
        <f t="shared" si="152"/>
        <v>0</v>
      </c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X21" s="169"/>
      <c r="FY21" s="17">
        <f t="shared" si="153"/>
        <v>0</v>
      </c>
      <c r="FZ21" s="17">
        <f t="shared" si="55"/>
        <v>0</v>
      </c>
      <c r="GA21" s="17">
        <f t="shared" si="56"/>
        <v>0</v>
      </c>
      <c r="GB21" s="17">
        <f t="shared" si="57"/>
        <v>0</v>
      </c>
      <c r="GC21" s="17">
        <f t="shared" si="58"/>
        <v>0</v>
      </c>
      <c r="GD21" s="17">
        <f t="shared" si="59"/>
        <v>0</v>
      </c>
      <c r="GE21" s="17">
        <f t="shared" si="60"/>
        <v>0</v>
      </c>
      <c r="GF21" s="67"/>
      <c r="GG21" s="17">
        <v>0</v>
      </c>
      <c r="GH21" s="17">
        <v>0</v>
      </c>
      <c r="GI21" s="67"/>
      <c r="GJ21" s="62">
        <f t="shared" si="154"/>
        <v>0</v>
      </c>
      <c r="GK21" s="62">
        <f t="shared" si="155"/>
        <v>0</v>
      </c>
      <c r="GO21" s="17">
        <f t="shared" si="61"/>
        <v>0</v>
      </c>
      <c r="GP21" s="17">
        <f t="shared" si="62"/>
        <v>0</v>
      </c>
      <c r="GQ21" s="17">
        <f t="shared" si="63"/>
        <v>0</v>
      </c>
      <c r="GR21" s="17">
        <f t="shared" si="64"/>
        <v>1</v>
      </c>
      <c r="GS21" s="17">
        <f t="shared" si="65"/>
        <v>1</v>
      </c>
      <c r="GT21" s="17">
        <f t="shared" si="156"/>
        <v>0</v>
      </c>
      <c r="GU21" s="101">
        <f t="shared" si="157"/>
        <v>43243</v>
      </c>
      <c r="GV21" s="17" t="str">
        <f t="shared" si="158"/>
        <v>Musyawarah</v>
      </c>
      <c r="GW21" s="17">
        <f t="shared" si="159"/>
        <v>1</v>
      </c>
      <c r="GX21" s="66" t="str">
        <f t="shared" si="160"/>
        <v>Musyawarah</v>
      </c>
      <c r="GY21" s="66">
        <f t="shared" si="161"/>
        <v>24</v>
      </c>
      <c r="GZ21" s="102">
        <f t="shared" si="162"/>
        <v>43267</v>
      </c>
      <c r="HA21" s="83"/>
      <c r="HB21" s="83"/>
      <c r="HC21" s="17">
        <f t="shared" si="66"/>
        <v>0</v>
      </c>
      <c r="HD21" s="17">
        <f t="shared" si="67"/>
        <v>0</v>
      </c>
      <c r="HE21" s="17">
        <f t="shared" si="163"/>
        <v>0</v>
      </c>
      <c r="HF21" s="17">
        <f t="shared" si="164"/>
        <v>0</v>
      </c>
      <c r="HG21" s="17">
        <f t="shared" si="165"/>
        <v>0</v>
      </c>
      <c r="HH21" s="101" t="str">
        <f t="shared" si="68"/>
        <v>TIDAK KONSINYASI</v>
      </c>
      <c r="HI21" s="101">
        <f t="shared" si="166"/>
        <v>43312</v>
      </c>
      <c r="HJ21" s="27"/>
      <c r="HK21" s="101">
        <f t="shared" si="69"/>
        <v>43312</v>
      </c>
      <c r="HL21" s="83"/>
      <c r="HM21" s="83"/>
      <c r="HN21" s="83"/>
      <c r="HO21" s="83"/>
      <c r="HP21" s="102">
        <f t="shared" si="167"/>
        <v>0</v>
      </c>
      <c r="HQ21" s="66">
        <f t="shared" si="168"/>
        <v>0</v>
      </c>
      <c r="HR21" s="66">
        <f t="shared" si="70"/>
        <v>0</v>
      </c>
      <c r="HS21" s="102">
        <f t="shared" si="169"/>
        <v>0</v>
      </c>
      <c r="HT21" s="66">
        <f t="shared" si="170"/>
        <v>0</v>
      </c>
      <c r="HU21" s="66">
        <f t="shared" si="71"/>
        <v>0</v>
      </c>
      <c r="HV21" s="102">
        <f t="shared" si="171"/>
        <v>0</v>
      </c>
      <c r="HW21" s="66">
        <f t="shared" si="72"/>
        <v>0</v>
      </c>
      <c r="HX21" s="66">
        <f t="shared" si="73"/>
        <v>0</v>
      </c>
      <c r="HY21" s="102">
        <f t="shared" si="74"/>
        <v>0</v>
      </c>
      <c r="HZ21" s="66">
        <f t="shared" si="172"/>
        <v>0</v>
      </c>
      <c r="IA21" s="66">
        <f t="shared" si="75"/>
        <v>0</v>
      </c>
      <c r="IB21" s="102">
        <f t="shared" si="173"/>
        <v>0</v>
      </c>
      <c r="IC21" s="66">
        <f t="shared" si="76"/>
        <v>0</v>
      </c>
      <c r="ID21" s="66">
        <f t="shared" si="77"/>
        <v>0</v>
      </c>
      <c r="IE21" s="102">
        <f t="shared" si="78"/>
        <v>0</v>
      </c>
      <c r="IF21" s="66">
        <f t="shared" si="79"/>
        <v>0</v>
      </c>
      <c r="IG21" s="66">
        <f t="shared" si="80"/>
        <v>0</v>
      </c>
      <c r="IH21" s="102">
        <f t="shared" si="174"/>
        <v>0</v>
      </c>
      <c r="II21" s="66">
        <f t="shared" si="175"/>
        <v>0</v>
      </c>
      <c r="IJ21" s="66">
        <f t="shared" si="81"/>
        <v>0</v>
      </c>
      <c r="IK21" s="102">
        <f t="shared" si="82"/>
        <v>0</v>
      </c>
      <c r="IL21" s="66">
        <f t="shared" si="83"/>
        <v>0</v>
      </c>
      <c r="IM21" s="66">
        <f t="shared" si="84"/>
        <v>0</v>
      </c>
      <c r="IN21" s="83"/>
      <c r="IO21" s="102">
        <f t="shared" si="85"/>
        <v>0</v>
      </c>
      <c r="IP21" s="66">
        <f t="shared" si="86"/>
        <v>0</v>
      </c>
      <c r="IQ21" s="66">
        <f t="shared" si="87"/>
        <v>0</v>
      </c>
      <c r="IR21" s="83"/>
      <c r="IS21" s="102"/>
      <c r="IT21" s="66">
        <f t="shared" si="88"/>
        <v>0</v>
      </c>
      <c r="IU21" s="66">
        <f t="shared" si="89"/>
        <v>0</v>
      </c>
      <c r="IV21" s="83"/>
      <c r="IW21" s="102"/>
      <c r="IX21" s="66">
        <f t="shared" si="90"/>
        <v>0</v>
      </c>
      <c r="IY21" s="66">
        <f t="shared" si="91"/>
        <v>0</v>
      </c>
      <c r="IZ21" s="83"/>
      <c r="JA21" s="102"/>
      <c r="JB21" s="66">
        <f t="shared" si="92"/>
        <v>1</v>
      </c>
      <c r="JC21" s="66">
        <f t="shared" si="93"/>
        <v>444</v>
      </c>
      <c r="JD21" s="83"/>
      <c r="JE21" s="102"/>
      <c r="JF21" s="66">
        <f t="shared" si="176"/>
        <v>1</v>
      </c>
      <c r="JG21" s="66">
        <f t="shared" si="94"/>
        <v>444</v>
      </c>
      <c r="JH21" s="83"/>
      <c r="JI21" s="102"/>
      <c r="JJ21" s="66">
        <f t="shared" si="95"/>
        <v>0</v>
      </c>
      <c r="JK21" s="66">
        <f t="shared" si="96"/>
        <v>0</v>
      </c>
      <c r="JM21" s="102">
        <f t="shared" si="177"/>
        <v>0</v>
      </c>
      <c r="JO21" s="29">
        <f t="shared" si="97"/>
        <v>0</v>
      </c>
      <c r="JP21" s="122">
        <f t="shared" si="98"/>
        <v>0</v>
      </c>
      <c r="JQ21" s="122">
        <f t="shared" si="99"/>
        <v>0</v>
      </c>
      <c r="JR21" s="122">
        <f t="shared" si="100"/>
        <v>0</v>
      </c>
      <c r="JS21" s="122">
        <f t="shared" si="101"/>
        <v>0</v>
      </c>
      <c r="JT21" s="122">
        <f t="shared" si="102"/>
        <v>0</v>
      </c>
      <c r="JU21" s="122">
        <f t="shared" si="103"/>
        <v>0</v>
      </c>
      <c r="JV21" s="122">
        <f t="shared" si="104"/>
        <v>0</v>
      </c>
      <c r="JW21" s="122">
        <f t="shared" si="105"/>
        <v>0</v>
      </c>
      <c r="JX21" s="122">
        <f t="shared" si="106"/>
        <v>0</v>
      </c>
      <c r="JY21" s="122">
        <f t="shared" si="107"/>
        <v>0</v>
      </c>
      <c r="JZ21" s="122">
        <f t="shared" si="108"/>
        <v>0</v>
      </c>
      <c r="KA21" s="122">
        <f t="shared" si="109"/>
        <v>0</v>
      </c>
      <c r="KB21" s="122">
        <f t="shared" si="110"/>
        <v>0</v>
      </c>
      <c r="KD21" s="122">
        <f t="shared" si="178"/>
        <v>0</v>
      </c>
      <c r="KE21" s="122">
        <f t="shared" si="112"/>
        <v>0</v>
      </c>
      <c r="KF21" s="122">
        <f t="shared" si="113"/>
        <v>0</v>
      </c>
      <c r="KG21" s="122">
        <f t="shared" si="114"/>
        <v>0</v>
      </c>
      <c r="KH21" s="122">
        <f t="shared" si="115"/>
        <v>0</v>
      </c>
      <c r="KI21" s="122">
        <f t="shared" si="116"/>
        <v>0</v>
      </c>
      <c r="KJ21" s="122">
        <f t="shared" si="117"/>
        <v>0</v>
      </c>
      <c r="KK21" s="122">
        <f t="shared" si="118"/>
        <v>0</v>
      </c>
      <c r="KL21" s="122">
        <f t="shared" si="119"/>
        <v>0</v>
      </c>
      <c r="KM21" s="122">
        <f t="shared" si="120"/>
        <v>0</v>
      </c>
      <c r="KN21" s="123">
        <f t="shared" si="121"/>
        <v>0</v>
      </c>
      <c r="KO21" s="123">
        <f t="shared" si="122"/>
        <v>0</v>
      </c>
      <c r="KP21" s="123">
        <f t="shared" si="123"/>
        <v>0</v>
      </c>
      <c r="KQ21" s="123">
        <f t="shared" si="124"/>
        <v>0</v>
      </c>
      <c r="KR21" s="123">
        <f t="shared" si="125"/>
        <v>0</v>
      </c>
      <c r="KS21">
        <v>7</v>
      </c>
      <c r="KT21">
        <f t="shared" si="126"/>
        <v>1</v>
      </c>
      <c r="KU21" s="123"/>
      <c r="KV21" s="123"/>
      <c r="KW21" s="123"/>
      <c r="KX21" s="123"/>
      <c r="KY21" s="123"/>
      <c r="KZ21" s="123"/>
      <c r="LA21" s="123"/>
      <c r="LB21" s="123"/>
      <c r="LC21" s="123"/>
      <c r="LD21" s="123"/>
      <c r="LE21" s="123"/>
      <c r="LF21" s="123"/>
      <c r="LG21" s="123"/>
      <c r="LH21" s="123"/>
      <c r="LI21" s="123"/>
      <c r="LJ21" s="123"/>
      <c r="LK21" s="123"/>
      <c r="LL21" s="123"/>
      <c r="LM21" s="123"/>
      <c r="LN21" s="123"/>
      <c r="LO21" s="123"/>
      <c r="LP21" s="123"/>
      <c r="LQ21" s="123"/>
      <c r="LR21" s="123"/>
      <c r="LS21" s="123"/>
      <c r="LT21" s="123"/>
      <c r="LU21" s="123"/>
      <c r="LV21" s="123"/>
      <c r="LW21" s="123"/>
      <c r="LX21" s="123"/>
      <c r="LY21" s="123"/>
      <c r="LZ21" s="123"/>
      <c r="MA21" s="123"/>
      <c r="MB21" s="123"/>
      <c r="MC21" s="123"/>
      <c r="MD21" s="123"/>
      <c r="ME21" s="123"/>
      <c r="MF21" s="123"/>
      <c r="MG21" s="123"/>
      <c r="MH21" s="123"/>
      <c r="MI21" s="123"/>
      <c r="MJ21" s="123"/>
      <c r="MK21" s="123"/>
      <c r="ML21" s="123"/>
      <c r="MM21" s="123"/>
      <c r="MN21" s="123"/>
      <c r="MO21" s="123"/>
      <c r="MP21" s="123"/>
      <c r="MQ21" s="123"/>
      <c r="MR21" s="123"/>
      <c r="MS21" s="123"/>
      <c r="MT21" s="123"/>
      <c r="MU21" s="123"/>
      <c r="MV21" s="123"/>
      <c r="MW21" s="123"/>
      <c r="MX21" s="123">
        <v>1</v>
      </c>
      <c r="MY21" s="123"/>
      <c r="MZ21" s="123"/>
      <c r="NA21" s="123"/>
      <c r="NB21" s="123"/>
      <c r="NC21" s="123"/>
      <c r="ND21" s="123"/>
      <c r="NE21" s="123"/>
      <c r="NF21" s="123"/>
      <c r="NG21" s="123"/>
      <c r="NH21" s="123"/>
      <c r="NI21" s="123"/>
      <c r="NJ21" s="123"/>
      <c r="NK21" s="123"/>
      <c r="NM21">
        <f t="shared" si="179"/>
        <v>0</v>
      </c>
      <c r="NN21">
        <f t="shared" si="180"/>
        <v>0</v>
      </c>
      <c r="NO21">
        <f t="shared" si="181"/>
        <v>0</v>
      </c>
      <c r="NP21">
        <f t="shared" si="182"/>
        <v>0</v>
      </c>
      <c r="NQ21">
        <f t="shared" si="183"/>
        <v>0</v>
      </c>
      <c r="NR21">
        <f t="shared" si="184"/>
        <v>0</v>
      </c>
      <c r="NS21">
        <f t="shared" si="185"/>
        <v>1</v>
      </c>
      <c r="NT21">
        <f t="shared" si="186"/>
        <v>1</v>
      </c>
      <c r="NU21" s="29">
        <f t="shared" si="187"/>
        <v>0</v>
      </c>
      <c r="NY21" s="29">
        <f t="shared" si="128"/>
        <v>0</v>
      </c>
      <c r="NZ21" s="152"/>
      <c r="OE21" s="155">
        <f t="shared" si="129"/>
        <v>0</v>
      </c>
      <c r="OF21" s="155">
        <f t="shared" si="130"/>
        <v>0</v>
      </c>
      <c r="OG21" s="155">
        <f t="shared" si="131"/>
        <v>1</v>
      </c>
      <c r="OH21" s="155">
        <f t="shared" si="188"/>
        <v>0</v>
      </c>
      <c r="OI21" s="155">
        <f t="shared" si="132"/>
        <v>1</v>
      </c>
      <c r="OJ21" s="67">
        <f t="shared" si="189"/>
        <v>0</v>
      </c>
      <c r="OK21" s="67">
        <f t="shared" si="190"/>
        <v>0</v>
      </c>
      <c r="OL21" s="67">
        <f t="shared" si="191"/>
        <v>0</v>
      </c>
      <c r="OM21" s="67">
        <f t="shared" si="192"/>
        <v>0</v>
      </c>
      <c r="OO21" s="155">
        <f t="shared" si="133"/>
        <v>0</v>
      </c>
      <c r="OP21" s="155">
        <f t="shared" si="134"/>
        <v>0</v>
      </c>
      <c r="OQ21" s="155">
        <f t="shared" si="193"/>
        <v>1</v>
      </c>
      <c r="OR21" s="155">
        <f t="shared" si="194"/>
        <v>0</v>
      </c>
      <c r="OS21" s="155">
        <f t="shared" si="195"/>
        <v>1</v>
      </c>
      <c r="OT21" s="67">
        <f t="shared" si="196"/>
        <v>0</v>
      </c>
      <c r="OU21" s="67">
        <f t="shared" si="197"/>
        <v>0</v>
      </c>
      <c r="OV21" s="67">
        <f t="shared" si="198"/>
        <v>0</v>
      </c>
      <c r="OW21" s="67">
        <f t="shared" si="199"/>
        <v>0</v>
      </c>
      <c r="PA21" s="166"/>
      <c r="PB21" s="166">
        <v>1</v>
      </c>
      <c r="PC21" s="166"/>
      <c r="PD21" s="210">
        <f t="shared" si="135"/>
        <v>1</v>
      </c>
      <c r="PE21" s="210">
        <v>1</v>
      </c>
      <c r="PF21" s="210">
        <f t="shared" si="136"/>
        <v>0</v>
      </c>
      <c r="PG21" s="210">
        <f t="shared" si="137"/>
        <v>0</v>
      </c>
      <c r="PH21" s="210">
        <f t="shared" si="137"/>
        <v>444</v>
      </c>
      <c r="PI21" s="210">
        <f t="shared" si="137"/>
        <v>0</v>
      </c>
      <c r="PJ21" s="210">
        <f t="shared" si="137"/>
        <v>444</v>
      </c>
      <c r="PK21" s="210">
        <f t="shared" si="137"/>
        <v>444</v>
      </c>
      <c r="PL21" s="210">
        <f t="shared" si="137"/>
        <v>0</v>
      </c>
      <c r="PO21" s="172">
        <f t="shared" si="200"/>
        <v>0</v>
      </c>
      <c r="PP21" s="172">
        <f t="shared" si="201"/>
        <v>0</v>
      </c>
      <c r="PQ21" s="172">
        <f t="shared" si="202"/>
        <v>0</v>
      </c>
    </row>
    <row r="22" spans="1:433 16383:16383" ht="16" x14ac:dyDescent="0.2">
      <c r="A22" s="19">
        <f t="shared" si="203"/>
        <v>14</v>
      </c>
      <c r="B22" s="186" t="s">
        <v>286</v>
      </c>
      <c r="C22" s="186">
        <v>24</v>
      </c>
      <c r="D22" s="188">
        <v>1</v>
      </c>
      <c r="E22" s="188">
        <v>676</v>
      </c>
      <c r="F22" s="188">
        <v>1</v>
      </c>
      <c r="G22" s="188">
        <f t="shared" si="138"/>
        <v>676</v>
      </c>
      <c r="H22" s="214">
        <f t="shared" si="2"/>
        <v>1</v>
      </c>
      <c r="I22" s="214">
        <f t="shared" si="3"/>
        <v>1</v>
      </c>
      <c r="J22" s="188">
        <v>1</v>
      </c>
      <c r="K22" s="188">
        <f t="shared" si="4"/>
        <v>676</v>
      </c>
      <c r="L22" s="214">
        <f t="shared" si="5"/>
        <v>1</v>
      </c>
      <c r="M22" s="214">
        <f t="shared" si="6"/>
        <v>1</v>
      </c>
      <c r="N22" s="188">
        <v>1</v>
      </c>
      <c r="O22" s="188">
        <f t="shared" si="7"/>
        <v>676</v>
      </c>
      <c r="P22" s="214">
        <f t="shared" si="8"/>
        <v>1</v>
      </c>
      <c r="Q22" s="214">
        <f t="shared" si="9"/>
        <v>1</v>
      </c>
      <c r="R22" s="188">
        <v>1</v>
      </c>
      <c r="S22" s="188">
        <f t="shared" si="218"/>
        <v>676</v>
      </c>
      <c r="T22" s="214">
        <f t="shared" si="219"/>
        <v>1</v>
      </c>
      <c r="U22" s="214">
        <f t="shared" si="220"/>
        <v>1</v>
      </c>
      <c r="V22" s="188">
        <v>1</v>
      </c>
      <c r="W22" s="188">
        <f t="shared" si="221"/>
        <v>676</v>
      </c>
      <c r="X22" s="214">
        <f t="shared" si="222"/>
        <v>1</v>
      </c>
      <c r="Y22" s="214">
        <f t="shared" si="223"/>
        <v>1</v>
      </c>
      <c r="Z22" s="271">
        <f>4689525000/1000000000</f>
        <v>4.6895249999999997</v>
      </c>
      <c r="AA22" s="271"/>
      <c r="AB22" s="189">
        <f t="shared" si="139"/>
        <v>0</v>
      </c>
      <c r="AC22" s="250">
        <f t="shared" si="140"/>
        <v>0</v>
      </c>
      <c r="AD22" s="250">
        <f t="shared" si="141"/>
        <v>0</v>
      </c>
      <c r="AE22" s="271"/>
      <c r="AF22" s="188">
        <f t="shared" si="142"/>
        <v>0</v>
      </c>
      <c r="AG22" s="188"/>
      <c r="AH22" s="188"/>
      <c r="AI22" s="20">
        <v>1</v>
      </c>
      <c r="AJ22" s="20">
        <f t="shared" si="224"/>
        <v>676</v>
      </c>
      <c r="AK22" s="20"/>
      <c r="AL22" s="20">
        <v>0</v>
      </c>
      <c r="AM22" s="20">
        <v>0</v>
      </c>
      <c r="AN22" s="139"/>
      <c r="AO22" s="17">
        <f t="shared" si="18"/>
        <v>1</v>
      </c>
      <c r="AP22" s="17">
        <f t="shared" si="19"/>
        <v>676</v>
      </c>
      <c r="AQ22" s="17">
        <f t="shared" si="20"/>
        <v>1</v>
      </c>
      <c r="AR22" s="17">
        <f t="shared" si="21"/>
        <v>676</v>
      </c>
      <c r="AS22" s="17">
        <f t="shared" si="22"/>
        <v>1</v>
      </c>
      <c r="AT22" s="17">
        <f t="shared" si="23"/>
        <v>676</v>
      </c>
      <c r="AU22" s="17">
        <f t="shared" si="24"/>
        <v>1</v>
      </c>
      <c r="AV22" s="17">
        <f t="shared" si="25"/>
        <v>676</v>
      </c>
      <c r="AW22" s="17">
        <f t="shared" si="26"/>
        <v>1</v>
      </c>
      <c r="AX22" s="17">
        <f t="shared" si="27"/>
        <v>676</v>
      </c>
      <c r="AY22" s="17">
        <f t="shared" si="225"/>
        <v>0</v>
      </c>
      <c r="AZ22" s="17">
        <f t="shared" si="226"/>
        <v>0</v>
      </c>
      <c r="BA22" s="17">
        <f t="shared" si="145"/>
        <v>4.6895249999999997</v>
      </c>
      <c r="BB22" s="17">
        <f t="shared" si="146"/>
        <v>0</v>
      </c>
      <c r="BC22" s="29">
        <f t="shared" si="147"/>
        <v>0</v>
      </c>
      <c r="BE22" s="17">
        <f t="shared" si="28"/>
        <v>0</v>
      </c>
      <c r="BF22" s="17">
        <f t="shared" si="29"/>
        <v>0</v>
      </c>
      <c r="BG22" s="17">
        <f t="shared" si="30"/>
        <v>0</v>
      </c>
      <c r="BH22" s="17">
        <f t="shared" si="31"/>
        <v>0</v>
      </c>
      <c r="BI22" s="17">
        <f t="shared" si="32"/>
        <v>0</v>
      </c>
      <c r="BJ22" s="17">
        <f t="shared" si="33"/>
        <v>0</v>
      </c>
      <c r="BK22" s="17">
        <f t="shared" si="227"/>
        <v>0</v>
      </c>
      <c r="BN22" s="284">
        <v>28</v>
      </c>
      <c r="BO22">
        <v>1</v>
      </c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B22" s="20"/>
      <c r="CD22" s="17">
        <f t="shared" si="35"/>
        <v>28</v>
      </c>
      <c r="CE22" s="17">
        <f t="shared" si="36"/>
        <v>28</v>
      </c>
      <c r="CF22" s="20">
        <f t="shared" si="207"/>
        <v>0</v>
      </c>
      <c r="CG22" s="20">
        <f t="shared" si="208"/>
        <v>0</v>
      </c>
      <c r="CH22" s="20">
        <f t="shared" si="209"/>
        <v>0</v>
      </c>
      <c r="CI22" s="20">
        <f t="shared" si="210"/>
        <v>0</v>
      </c>
      <c r="CJ22" s="20">
        <f t="shared" si="211"/>
        <v>0</v>
      </c>
      <c r="CK22" s="20">
        <f t="shared" si="212"/>
        <v>0</v>
      </c>
      <c r="CL22" s="20">
        <f t="shared" si="213"/>
        <v>0</v>
      </c>
      <c r="CM22" s="20">
        <f t="shared" si="214"/>
        <v>0</v>
      </c>
      <c r="CN22" s="20">
        <f t="shared" si="215"/>
        <v>0</v>
      </c>
      <c r="CO22" s="20">
        <f t="shared" si="216"/>
        <v>0</v>
      </c>
      <c r="CP22" s="20">
        <f t="shared" si="217"/>
        <v>0</v>
      </c>
      <c r="DV22" s="20">
        <f t="shared" si="48"/>
        <v>0</v>
      </c>
      <c r="DW22" s="20">
        <f t="shared" si="49"/>
        <v>0</v>
      </c>
      <c r="DX22" s="20">
        <f t="shared" si="50"/>
        <v>0</v>
      </c>
      <c r="DY22" s="20">
        <f t="shared" si="51"/>
        <v>0</v>
      </c>
      <c r="DZ22" s="20">
        <f t="shared" si="52"/>
        <v>0</v>
      </c>
      <c r="EA22" s="20">
        <f t="shared" si="53"/>
        <v>0</v>
      </c>
      <c r="EB22" s="20">
        <f t="shared" si="150"/>
        <v>0</v>
      </c>
      <c r="EG22" s="57">
        <f t="shared" si="151"/>
        <v>0</v>
      </c>
      <c r="EH22" s="57">
        <f t="shared" si="152"/>
        <v>0</v>
      </c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X22" s="169">
        <v>1</v>
      </c>
      <c r="FY22" s="17">
        <f t="shared" si="153"/>
        <v>28</v>
      </c>
      <c r="FZ22" s="17">
        <f t="shared" si="55"/>
        <v>28</v>
      </c>
      <c r="GA22" s="17">
        <f t="shared" si="56"/>
        <v>0</v>
      </c>
      <c r="GB22" s="17">
        <f t="shared" si="57"/>
        <v>0</v>
      </c>
      <c r="GC22" s="17">
        <f t="shared" si="58"/>
        <v>0</v>
      </c>
      <c r="GD22" s="17">
        <f t="shared" si="59"/>
        <v>0</v>
      </c>
      <c r="GE22" s="17">
        <f t="shared" si="60"/>
        <v>0</v>
      </c>
      <c r="GF22" s="67"/>
      <c r="GG22" s="17">
        <v>0</v>
      </c>
      <c r="GH22" s="17">
        <v>0</v>
      </c>
      <c r="GI22" s="67"/>
      <c r="GJ22" s="62">
        <f t="shared" si="154"/>
        <v>0</v>
      </c>
      <c r="GK22" s="62">
        <f t="shared" si="155"/>
        <v>0</v>
      </c>
      <c r="GO22" s="17">
        <f t="shared" si="61"/>
        <v>0</v>
      </c>
      <c r="GP22" s="17">
        <f t="shared" si="62"/>
        <v>0</v>
      </c>
      <c r="GQ22" s="17">
        <f t="shared" si="63"/>
        <v>0</v>
      </c>
      <c r="GR22" s="17">
        <f t="shared" si="64"/>
        <v>0</v>
      </c>
      <c r="GS22" s="17">
        <f t="shared" si="65"/>
        <v>0</v>
      </c>
      <c r="GT22" s="17">
        <f t="shared" si="156"/>
        <v>1</v>
      </c>
      <c r="GU22" s="101">
        <f t="shared" si="157"/>
        <v>43243</v>
      </c>
      <c r="GV22" s="17" t="str">
        <f t="shared" si="158"/>
        <v>SELESAI</v>
      </c>
      <c r="GW22" s="17">
        <f t="shared" si="159"/>
        <v>0</v>
      </c>
      <c r="GX22" s="66" t="str">
        <f t="shared" si="160"/>
        <v>SELESAI</v>
      </c>
      <c r="GY22" s="66">
        <f t="shared" si="161"/>
        <v>0</v>
      </c>
      <c r="GZ22" s="102" t="str">
        <f t="shared" si="162"/>
        <v>SELESAI</v>
      </c>
      <c r="HA22" s="83"/>
      <c r="HB22" s="83"/>
      <c r="HC22" s="17">
        <f t="shared" si="66"/>
        <v>0</v>
      </c>
      <c r="HD22" s="17">
        <f t="shared" si="67"/>
        <v>0</v>
      </c>
      <c r="HE22" s="17">
        <f t="shared" si="163"/>
        <v>0</v>
      </c>
      <c r="HF22" s="17">
        <f t="shared" si="164"/>
        <v>0</v>
      </c>
      <c r="HG22" s="17">
        <f t="shared" si="165"/>
        <v>0</v>
      </c>
      <c r="HH22" s="101" t="str">
        <f t="shared" si="68"/>
        <v>TIDAK KONSINYASI</v>
      </c>
      <c r="HI22" s="101" t="str">
        <f t="shared" si="166"/>
        <v>SELESAI</v>
      </c>
      <c r="HJ22" s="27"/>
      <c r="HK22" s="101">
        <f t="shared" si="69"/>
        <v>0</v>
      </c>
      <c r="HL22" s="83"/>
      <c r="HM22" s="83"/>
      <c r="HN22" s="83"/>
      <c r="HO22" s="83"/>
      <c r="HP22" s="102">
        <f t="shared" si="167"/>
        <v>0</v>
      </c>
      <c r="HQ22" s="66">
        <f t="shared" si="168"/>
        <v>0</v>
      </c>
      <c r="HR22" s="66">
        <f t="shared" si="70"/>
        <v>0</v>
      </c>
      <c r="HS22" s="102">
        <f t="shared" si="169"/>
        <v>0</v>
      </c>
      <c r="HT22" s="66">
        <f t="shared" si="170"/>
        <v>0</v>
      </c>
      <c r="HU22" s="66">
        <f t="shared" si="71"/>
        <v>0</v>
      </c>
      <c r="HV22" s="102">
        <f t="shared" si="171"/>
        <v>0</v>
      </c>
      <c r="HW22" s="66">
        <f t="shared" si="72"/>
        <v>0</v>
      </c>
      <c r="HX22" s="66">
        <f t="shared" si="73"/>
        <v>0</v>
      </c>
      <c r="HY22" s="102">
        <f t="shared" si="74"/>
        <v>0</v>
      </c>
      <c r="HZ22" s="66">
        <f t="shared" si="172"/>
        <v>0</v>
      </c>
      <c r="IA22" s="66">
        <f t="shared" si="75"/>
        <v>0</v>
      </c>
      <c r="IB22" s="102">
        <f t="shared" si="173"/>
        <v>0</v>
      </c>
      <c r="IC22" s="66">
        <f t="shared" si="76"/>
        <v>0</v>
      </c>
      <c r="ID22" s="66">
        <f t="shared" si="77"/>
        <v>0</v>
      </c>
      <c r="IE22" s="102">
        <f t="shared" si="78"/>
        <v>0</v>
      </c>
      <c r="IF22" s="66">
        <f t="shared" si="79"/>
        <v>0</v>
      </c>
      <c r="IG22" s="66">
        <f t="shared" si="80"/>
        <v>0</v>
      </c>
      <c r="IH22" s="102">
        <f t="shared" si="174"/>
        <v>0</v>
      </c>
      <c r="II22" s="66">
        <f t="shared" si="175"/>
        <v>0</v>
      </c>
      <c r="IJ22" s="66">
        <f t="shared" si="81"/>
        <v>0</v>
      </c>
      <c r="IK22" s="102">
        <f t="shared" si="82"/>
        <v>0</v>
      </c>
      <c r="IL22" s="66">
        <f t="shared" si="83"/>
        <v>0</v>
      </c>
      <c r="IM22" s="66">
        <f t="shared" si="84"/>
        <v>0</v>
      </c>
      <c r="IN22" s="83"/>
      <c r="IO22" s="102">
        <f t="shared" si="85"/>
        <v>0</v>
      </c>
      <c r="IP22" s="66">
        <f t="shared" si="86"/>
        <v>0</v>
      </c>
      <c r="IQ22" s="66">
        <f t="shared" si="87"/>
        <v>0</v>
      </c>
      <c r="IR22" s="83"/>
      <c r="IS22" s="102"/>
      <c r="IT22" s="66">
        <f t="shared" si="88"/>
        <v>1</v>
      </c>
      <c r="IU22" s="66">
        <f t="shared" si="89"/>
        <v>676</v>
      </c>
      <c r="IV22" s="83"/>
      <c r="IW22" s="102"/>
      <c r="IX22" s="66">
        <f t="shared" si="90"/>
        <v>0</v>
      </c>
      <c r="IY22" s="66">
        <f t="shared" si="91"/>
        <v>0</v>
      </c>
      <c r="IZ22" s="83"/>
      <c r="JA22" s="102"/>
      <c r="JB22" s="66">
        <f t="shared" si="92"/>
        <v>0</v>
      </c>
      <c r="JC22" s="66">
        <f t="shared" si="93"/>
        <v>0</v>
      </c>
      <c r="JD22" s="83"/>
      <c r="JE22" s="102"/>
      <c r="JF22" s="66">
        <f t="shared" si="176"/>
        <v>1</v>
      </c>
      <c r="JG22" s="66">
        <f t="shared" si="94"/>
        <v>676</v>
      </c>
      <c r="JH22" s="83"/>
      <c r="JI22" s="102"/>
      <c r="JJ22" s="66">
        <f t="shared" si="95"/>
        <v>0</v>
      </c>
      <c r="JK22" s="66">
        <f t="shared" si="96"/>
        <v>0</v>
      </c>
      <c r="JM22" s="102">
        <f t="shared" si="177"/>
        <v>0</v>
      </c>
      <c r="JO22" s="29">
        <f t="shared" si="97"/>
        <v>1</v>
      </c>
      <c r="JP22" s="122">
        <f t="shared" si="98"/>
        <v>28</v>
      </c>
      <c r="JQ22" s="122">
        <f t="shared" si="99"/>
        <v>1</v>
      </c>
      <c r="JR22" s="122">
        <f t="shared" si="100"/>
        <v>0</v>
      </c>
      <c r="JS22" s="122">
        <f t="shared" si="101"/>
        <v>0</v>
      </c>
      <c r="JT22" s="122">
        <f t="shared" si="102"/>
        <v>0</v>
      </c>
      <c r="JU22" s="122">
        <f t="shared" si="103"/>
        <v>0</v>
      </c>
      <c r="JV22" s="122">
        <f t="shared" si="104"/>
        <v>0</v>
      </c>
      <c r="JW22" s="122">
        <f t="shared" si="105"/>
        <v>0</v>
      </c>
      <c r="JX22" s="122">
        <f t="shared" si="106"/>
        <v>0</v>
      </c>
      <c r="JY22" s="122">
        <f t="shared" si="107"/>
        <v>0</v>
      </c>
      <c r="JZ22" s="122">
        <f t="shared" si="108"/>
        <v>0</v>
      </c>
      <c r="KA22" s="122">
        <f t="shared" si="109"/>
        <v>0</v>
      </c>
      <c r="KB22" s="122">
        <f t="shared" si="110"/>
        <v>0</v>
      </c>
      <c r="KD22" s="122">
        <f t="shared" si="178"/>
        <v>0</v>
      </c>
      <c r="KE22" s="122">
        <f t="shared" si="112"/>
        <v>0</v>
      </c>
      <c r="KF22" s="122">
        <f t="shared" si="113"/>
        <v>28</v>
      </c>
      <c r="KG22" s="122">
        <f t="shared" si="114"/>
        <v>28</v>
      </c>
      <c r="KH22" s="122">
        <f t="shared" si="115"/>
        <v>0</v>
      </c>
      <c r="KI22" s="122">
        <f t="shared" si="116"/>
        <v>0</v>
      </c>
      <c r="KJ22" s="122">
        <f t="shared" si="117"/>
        <v>0</v>
      </c>
      <c r="KK22" s="122">
        <f t="shared" si="118"/>
        <v>0</v>
      </c>
      <c r="KL22" s="122">
        <f t="shared" si="119"/>
        <v>0</v>
      </c>
      <c r="KM22" s="122">
        <f t="shared" si="120"/>
        <v>0</v>
      </c>
      <c r="KN22" s="123">
        <f t="shared" si="121"/>
        <v>0</v>
      </c>
      <c r="KO22" s="123">
        <f t="shared" si="122"/>
        <v>0</v>
      </c>
      <c r="KP22" s="123">
        <f t="shared" si="123"/>
        <v>0</v>
      </c>
      <c r="KQ22" s="123">
        <f t="shared" si="124"/>
        <v>0</v>
      </c>
      <c r="KR22" s="123">
        <f t="shared" si="125"/>
        <v>0</v>
      </c>
      <c r="KT22">
        <f t="shared" si="126"/>
        <v>0</v>
      </c>
      <c r="KU22" s="123"/>
      <c r="KV22" s="123"/>
      <c r="KW22" s="123"/>
      <c r="KX22" s="123"/>
      <c r="KY22" s="123"/>
      <c r="KZ22" s="123"/>
      <c r="LA22" s="123"/>
      <c r="LB22" s="123"/>
      <c r="LC22" s="123"/>
      <c r="LD22" s="123"/>
      <c r="LE22" s="123"/>
      <c r="LF22" s="123"/>
      <c r="LG22" s="123"/>
      <c r="LH22" s="123"/>
      <c r="LI22" s="123"/>
      <c r="LJ22" s="123"/>
      <c r="LK22" s="123"/>
      <c r="LL22" s="123"/>
      <c r="LM22" s="123"/>
      <c r="LN22" s="123"/>
      <c r="LO22" s="123"/>
      <c r="LP22" s="123"/>
      <c r="LQ22" s="123"/>
      <c r="LR22" s="123"/>
      <c r="LS22" s="123"/>
      <c r="LT22" s="123"/>
      <c r="LU22" s="123"/>
      <c r="LV22" s="123"/>
      <c r="LW22" s="123"/>
      <c r="LX22" s="123"/>
      <c r="LY22" s="123"/>
      <c r="LZ22" s="123"/>
      <c r="MA22" s="123"/>
      <c r="MB22" s="123"/>
      <c r="MC22" s="123"/>
      <c r="MD22" s="123"/>
      <c r="ME22" s="123"/>
      <c r="MF22" s="123"/>
      <c r="MG22" s="123"/>
      <c r="MH22" s="123"/>
      <c r="MI22" s="123"/>
      <c r="MJ22" s="123"/>
      <c r="MK22" s="123"/>
      <c r="ML22" s="123"/>
      <c r="MM22" s="123"/>
      <c r="MN22" s="123"/>
      <c r="MO22" s="123"/>
      <c r="MP22" s="123"/>
      <c r="MQ22" s="123"/>
      <c r="MR22" s="123"/>
      <c r="MS22" s="123"/>
      <c r="MT22" s="123"/>
      <c r="MU22" s="123"/>
      <c r="MV22" s="123"/>
      <c r="MW22" s="123"/>
      <c r="MX22" s="123"/>
      <c r="MY22" s="123"/>
      <c r="MZ22" s="123"/>
      <c r="NA22" s="123"/>
      <c r="NB22" s="123"/>
      <c r="NC22" s="123"/>
      <c r="ND22" s="123"/>
      <c r="NE22" s="123"/>
      <c r="NF22" s="123"/>
      <c r="NG22" s="123"/>
      <c r="NH22" s="123"/>
      <c r="NI22" s="123"/>
      <c r="NJ22" s="123"/>
      <c r="NK22" s="123"/>
      <c r="NM22">
        <f t="shared" si="179"/>
        <v>0</v>
      </c>
      <c r="NN22">
        <f t="shared" si="180"/>
        <v>0</v>
      </c>
      <c r="NO22">
        <f t="shared" si="181"/>
        <v>0</v>
      </c>
      <c r="NP22">
        <f t="shared" si="182"/>
        <v>0</v>
      </c>
      <c r="NQ22">
        <f t="shared" si="183"/>
        <v>0</v>
      </c>
      <c r="NR22">
        <f t="shared" si="184"/>
        <v>0</v>
      </c>
      <c r="NS22">
        <f t="shared" si="185"/>
        <v>0</v>
      </c>
      <c r="NT22">
        <f t="shared" si="186"/>
        <v>0</v>
      </c>
      <c r="NU22" s="29">
        <f t="shared" si="187"/>
        <v>0</v>
      </c>
      <c r="NY22" s="29">
        <f t="shared" si="128"/>
        <v>1</v>
      </c>
      <c r="NZ22" s="152">
        <v>6523250</v>
      </c>
      <c r="OE22" s="155">
        <f t="shared" si="129"/>
        <v>0</v>
      </c>
      <c r="OF22" s="155">
        <f t="shared" si="130"/>
        <v>0</v>
      </c>
      <c r="OG22" s="155">
        <f t="shared" si="131"/>
        <v>0</v>
      </c>
      <c r="OH22" s="155">
        <f t="shared" si="188"/>
        <v>0</v>
      </c>
      <c r="OI22" s="155">
        <f t="shared" si="132"/>
        <v>0</v>
      </c>
      <c r="OJ22" s="67">
        <f t="shared" si="189"/>
        <v>0</v>
      </c>
      <c r="OK22" s="67">
        <f t="shared" si="190"/>
        <v>0</v>
      </c>
      <c r="OL22" s="67">
        <f t="shared" si="191"/>
        <v>0</v>
      </c>
      <c r="OM22" s="67">
        <f t="shared" si="192"/>
        <v>0</v>
      </c>
      <c r="OO22" s="155">
        <f t="shared" si="133"/>
        <v>0</v>
      </c>
      <c r="OP22" s="155">
        <f t="shared" si="134"/>
        <v>0</v>
      </c>
      <c r="OQ22" s="155">
        <f t="shared" si="193"/>
        <v>0</v>
      </c>
      <c r="OR22" s="155">
        <f t="shared" si="194"/>
        <v>0</v>
      </c>
      <c r="OS22" s="155">
        <f t="shared" si="195"/>
        <v>0</v>
      </c>
      <c r="OT22" s="67">
        <f t="shared" si="196"/>
        <v>0</v>
      </c>
      <c r="OU22" s="67">
        <f t="shared" si="197"/>
        <v>0</v>
      </c>
      <c r="OV22" s="67">
        <f t="shared" si="198"/>
        <v>0</v>
      </c>
      <c r="OW22" s="67">
        <f t="shared" si="199"/>
        <v>0</v>
      </c>
      <c r="PA22" s="166"/>
      <c r="PB22" s="166"/>
      <c r="PC22" s="166"/>
      <c r="PD22" s="210">
        <f t="shared" si="135"/>
        <v>0</v>
      </c>
      <c r="PE22" s="210"/>
      <c r="PF22" s="210">
        <f t="shared" si="136"/>
        <v>0</v>
      </c>
      <c r="PG22" s="210">
        <f t="shared" si="137"/>
        <v>0</v>
      </c>
      <c r="PH22" s="210">
        <f t="shared" si="137"/>
        <v>0</v>
      </c>
      <c r="PI22" s="210">
        <f t="shared" si="137"/>
        <v>0</v>
      </c>
      <c r="PJ22" s="210">
        <f t="shared" si="137"/>
        <v>0</v>
      </c>
      <c r="PK22" s="210">
        <f t="shared" si="137"/>
        <v>0</v>
      </c>
      <c r="PL22" s="210">
        <f t="shared" si="137"/>
        <v>0</v>
      </c>
      <c r="PO22" s="172">
        <f t="shared" si="200"/>
        <v>0</v>
      </c>
      <c r="PP22" s="172">
        <f t="shared" si="201"/>
        <v>0</v>
      </c>
      <c r="PQ22" s="172">
        <f t="shared" si="202"/>
        <v>0</v>
      </c>
    </row>
    <row r="23" spans="1:433 16383:16383" ht="16" x14ac:dyDescent="0.2">
      <c r="A23" s="19">
        <f t="shared" si="203"/>
        <v>15</v>
      </c>
      <c r="B23" s="186" t="s">
        <v>281</v>
      </c>
      <c r="C23" s="186">
        <v>25</v>
      </c>
      <c r="D23" s="188">
        <v>1</v>
      </c>
      <c r="E23" s="188">
        <v>527</v>
      </c>
      <c r="F23" s="188">
        <v>1</v>
      </c>
      <c r="G23" s="188">
        <f t="shared" si="138"/>
        <v>527</v>
      </c>
      <c r="H23" s="214">
        <f t="shared" ref="H23" si="228">F23/$D23</f>
        <v>1</v>
      </c>
      <c r="I23" s="214">
        <f t="shared" ref="I23" si="229">G23/$E23</f>
        <v>1</v>
      </c>
      <c r="J23" s="188">
        <v>1</v>
      </c>
      <c r="K23" s="188">
        <f t="shared" ref="K23" si="230">IF(J23=D23,E23,0)</f>
        <v>527</v>
      </c>
      <c r="L23" s="214">
        <f t="shared" ref="L23" si="231">J23/$D23</f>
        <v>1</v>
      </c>
      <c r="M23" s="214">
        <f t="shared" ref="M23" si="232">K23/$E23</f>
        <v>1</v>
      </c>
      <c r="N23" s="188">
        <v>1</v>
      </c>
      <c r="O23" s="188">
        <f t="shared" ref="O23" si="233">IF(N23=D23,E23,0)</f>
        <v>527</v>
      </c>
      <c r="P23" s="214">
        <f t="shared" ref="P23" si="234">N23/$D23</f>
        <v>1</v>
      </c>
      <c r="Q23" s="214">
        <f t="shared" ref="Q23" si="235">O23/$E23</f>
        <v>1</v>
      </c>
      <c r="R23" s="188">
        <v>1</v>
      </c>
      <c r="S23" s="188">
        <f t="shared" ref="S23" si="236">IF(R23=D23,E23,0)</f>
        <v>527</v>
      </c>
      <c r="T23" s="214">
        <f t="shared" ref="T23" si="237">R23/$D23</f>
        <v>1</v>
      </c>
      <c r="U23" s="214">
        <f t="shared" ref="U23" si="238">S23/$E23</f>
        <v>1</v>
      </c>
      <c r="V23" s="188">
        <v>1</v>
      </c>
      <c r="W23" s="188">
        <f t="shared" ref="W23" si="239">IF(V23=D23,E23,0)</f>
        <v>527</v>
      </c>
      <c r="X23" s="214">
        <f t="shared" ref="X23" si="240">V23/$D23</f>
        <v>1</v>
      </c>
      <c r="Y23" s="214">
        <f t="shared" ref="Y23" si="241">W23/$E23</f>
        <v>1</v>
      </c>
      <c r="Z23" s="271">
        <f>3660979000/1000000000</f>
        <v>3.6609790000000002</v>
      </c>
      <c r="AA23" s="271"/>
      <c r="AB23" s="189">
        <f t="shared" si="139"/>
        <v>0</v>
      </c>
      <c r="AC23" s="250">
        <f t="shared" si="140"/>
        <v>0</v>
      </c>
      <c r="AD23" s="250">
        <f t="shared" si="141"/>
        <v>0</v>
      </c>
      <c r="AE23" s="271"/>
      <c r="AF23" s="188">
        <f t="shared" si="142"/>
        <v>0</v>
      </c>
      <c r="AG23" s="188"/>
      <c r="AH23" s="188"/>
      <c r="AI23" s="20">
        <v>1</v>
      </c>
      <c r="AJ23" s="20">
        <f t="shared" si="224"/>
        <v>527</v>
      </c>
      <c r="AK23" s="20"/>
      <c r="AL23" s="20">
        <v>0</v>
      </c>
      <c r="AM23" s="20">
        <v>0</v>
      </c>
      <c r="AN23" s="139"/>
      <c r="AO23" s="17">
        <f t="shared" si="18"/>
        <v>1</v>
      </c>
      <c r="AP23" s="17">
        <f t="shared" si="19"/>
        <v>527</v>
      </c>
      <c r="AQ23" s="17">
        <f t="shared" si="20"/>
        <v>1</v>
      </c>
      <c r="AR23" s="17">
        <f t="shared" si="21"/>
        <v>527</v>
      </c>
      <c r="AS23" s="17">
        <f t="shared" si="22"/>
        <v>1</v>
      </c>
      <c r="AT23" s="17">
        <f t="shared" si="23"/>
        <v>527</v>
      </c>
      <c r="AU23" s="17">
        <f t="shared" si="24"/>
        <v>1</v>
      </c>
      <c r="AV23" s="17">
        <f t="shared" si="25"/>
        <v>527</v>
      </c>
      <c r="AW23" s="17">
        <f t="shared" si="26"/>
        <v>1</v>
      </c>
      <c r="AX23" s="17">
        <f t="shared" si="27"/>
        <v>527</v>
      </c>
      <c r="AY23" s="17">
        <f t="shared" si="225"/>
        <v>0</v>
      </c>
      <c r="AZ23" s="17">
        <f t="shared" si="226"/>
        <v>0</v>
      </c>
      <c r="BA23" s="17">
        <f t="shared" si="145"/>
        <v>3.6609790000000002</v>
      </c>
      <c r="BB23" s="17">
        <f t="shared" si="146"/>
        <v>0</v>
      </c>
      <c r="BC23" s="29">
        <f t="shared" si="147"/>
        <v>0</v>
      </c>
      <c r="BE23" s="17">
        <f t="shared" si="28"/>
        <v>0</v>
      </c>
      <c r="BF23" s="17">
        <f t="shared" si="29"/>
        <v>0</v>
      </c>
      <c r="BG23" s="17">
        <f t="shared" si="30"/>
        <v>0</v>
      </c>
      <c r="BH23" s="17">
        <f t="shared" si="31"/>
        <v>0</v>
      </c>
      <c r="BI23" s="17">
        <f t="shared" si="32"/>
        <v>0</v>
      </c>
      <c r="BJ23" s="17">
        <f t="shared" si="33"/>
        <v>0</v>
      </c>
      <c r="BK23" s="17">
        <f t="shared" si="227"/>
        <v>0</v>
      </c>
      <c r="BN23" s="284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B23" s="20"/>
      <c r="CD23" s="17">
        <f t="shared" si="35"/>
        <v>0</v>
      </c>
      <c r="CE23" s="17">
        <f t="shared" si="36"/>
        <v>0</v>
      </c>
      <c r="CF23" s="20">
        <f t="shared" si="207"/>
        <v>0</v>
      </c>
      <c r="CG23" s="20">
        <f t="shared" si="208"/>
        <v>0</v>
      </c>
      <c r="CH23" s="20">
        <f t="shared" si="209"/>
        <v>0</v>
      </c>
      <c r="CI23" s="20">
        <f t="shared" si="210"/>
        <v>0</v>
      </c>
      <c r="CJ23" s="20">
        <f t="shared" si="211"/>
        <v>0</v>
      </c>
      <c r="CK23" s="20">
        <f t="shared" si="212"/>
        <v>0</v>
      </c>
      <c r="CL23" s="20">
        <f t="shared" si="213"/>
        <v>0</v>
      </c>
      <c r="CM23" s="20">
        <f t="shared" si="214"/>
        <v>0</v>
      </c>
      <c r="CN23" s="20">
        <f t="shared" si="215"/>
        <v>0</v>
      </c>
      <c r="CO23" s="20">
        <f t="shared" si="216"/>
        <v>0</v>
      </c>
      <c r="CP23" s="20">
        <f t="shared" si="217"/>
        <v>0</v>
      </c>
      <c r="DV23" s="20">
        <f t="shared" si="48"/>
        <v>0</v>
      </c>
      <c r="DW23" s="20">
        <f t="shared" si="49"/>
        <v>0</v>
      </c>
      <c r="DX23" s="20">
        <f t="shared" si="50"/>
        <v>0</v>
      </c>
      <c r="DY23" s="20">
        <f t="shared" si="51"/>
        <v>0</v>
      </c>
      <c r="DZ23" s="20">
        <f t="shared" si="52"/>
        <v>0</v>
      </c>
      <c r="EA23" s="20">
        <f t="shared" si="53"/>
        <v>0</v>
      </c>
      <c r="EB23" s="20">
        <f t="shared" si="150"/>
        <v>0</v>
      </c>
      <c r="EG23" s="57">
        <f t="shared" si="151"/>
        <v>0</v>
      </c>
      <c r="EH23" s="57">
        <f t="shared" si="152"/>
        <v>0</v>
      </c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X23" s="169"/>
      <c r="FY23" s="17">
        <f t="shared" si="153"/>
        <v>0</v>
      </c>
      <c r="FZ23" s="17">
        <f t="shared" si="55"/>
        <v>0</v>
      </c>
      <c r="GA23" s="17">
        <f t="shared" si="56"/>
        <v>0</v>
      </c>
      <c r="GB23" s="17">
        <f t="shared" si="57"/>
        <v>0</v>
      </c>
      <c r="GC23" s="17">
        <f t="shared" si="58"/>
        <v>0</v>
      </c>
      <c r="GD23" s="17">
        <f t="shared" si="59"/>
        <v>0</v>
      </c>
      <c r="GE23" s="17">
        <f t="shared" si="60"/>
        <v>0</v>
      </c>
      <c r="GF23" s="67"/>
      <c r="GG23" s="17">
        <v>0</v>
      </c>
      <c r="GH23" s="17">
        <v>0</v>
      </c>
      <c r="GI23" s="67"/>
      <c r="GJ23" s="62">
        <f t="shared" si="154"/>
        <v>0</v>
      </c>
      <c r="GK23" s="62">
        <f t="shared" si="155"/>
        <v>0</v>
      </c>
      <c r="GO23" s="17">
        <f t="shared" si="61"/>
        <v>0</v>
      </c>
      <c r="GP23" s="17">
        <f t="shared" si="62"/>
        <v>0</v>
      </c>
      <c r="GQ23" s="17">
        <f t="shared" si="63"/>
        <v>0</v>
      </c>
      <c r="GR23" s="17">
        <f t="shared" si="64"/>
        <v>0</v>
      </c>
      <c r="GS23" s="17">
        <f t="shared" si="65"/>
        <v>0</v>
      </c>
      <c r="GT23" s="17">
        <f t="shared" si="156"/>
        <v>1</v>
      </c>
      <c r="GU23" s="101">
        <f t="shared" si="157"/>
        <v>43243</v>
      </c>
      <c r="GV23" s="17" t="str">
        <f t="shared" si="158"/>
        <v>SELESAI</v>
      </c>
      <c r="GW23" s="17">
        <f t="shared" si="159"/>
        <v>0</v>
      </c>
      <c r="GX23" s="66" t="str">
        <f t="shared" si="160"/>
        <v>SELESAI</v>
      </c>
      <c r="GY23" s="66">
        <f t="shared" si="161"/>
        <v>0</v>
      </c>
      <c r="GZ23" s="102" t="str">
        <f t="shared" si="162"/>
        <v>SELESAI</v>
      </c>
      <c r="HA23" s="83"/>
      <c r="HB23" s="83"/>
      <c r="HC23" s="17">
        <f t="shared" si="66"/>
        <v>0</v>
      </c>
      <c r="HD23" s="17">
        <f t="shared" si="67"/>
        <v>0</v>
      </c>
      <c r="HE23" s="17">
        <f t="shared" si="163"/>
        <v>0</v>
      </c>
      <c r="HF23" s="17">
        <f t="shared" si="164"/>
        <v>0</v>
      </c>
      <c r="HG23" s="17">
        <f t="shared" si="165"/>
        <v>0</v>
      </c>
      <c r="HH23" s="101" t="str">
        <f t="shared" si="68"/>
        <v>TIDAK KONSINYASI</v>
      </c>
      <c r="HI23" s="101" t="str">
        <f t="shared" si="166"/>
        <v>SELESAI</v>
      </c>
      <c r="HJ23" s="27"/>
      <c r="HK23" s="101">
        <f t="shared" si="69"/>
        <v>0</v>
      </c>
      <c r="HL23" s="83"/>
      <c r="HM23" s="83"/>
      <c r="HN23" s="83"/>
      <c r="HO23" s="83"/>
      <c r="HP23" s="102">
        <f t="shared" si="167"/>
        <v>0</v>
      </c>
      <c r="HQ23" s="66">
        <f t="shared" si="168"/>
        <v>0</v>
      </c>
      <c r="HR23" s="66">
        <f t="shared" si="70"/>
        <v>0</v>
      </c>
      <c r="HS23" s="102">
        <f t="shared" si="169"/>
        <v>0</v>
      </c>
      <c r="HT23" s="66">
        <f t="shared" si="170"/>
        <v>0</v>
      </c>
      <c r="HU23" s="66">
        <f t="shared" si="71"/>
        <v>0</v>
      </c>
      <c r="HV23" s="102">
        <f t="shared" si="171"/>
        <v>0</v>
      </c>
      <c r="HW23" s="66">
        <f t="shared" si="72"/>
        <v>0</v>
      </c>
      <c r="HX23" s="66">
        <f t="shared" si="73"/>
        <v>0</v>
      </c>
      <c r="HY23" s="102">
        <f t="shared" si="74"/>
        <v>0</v>
      </c>
      <c r="HZ23" s="66">
        <f t="shared" si="172"/>
        <v>0</v>
      </c>
      <c r="IA23" s="66">
        <f t="shared" si="75"/>
        <v>0</v>
      </c>
      <c r="IB23" s="102">
        <f t="shared" si="173"/>
        <v>0</v>
      </c>
      <c r="IC23" s="66">
        <f t="shared" si="76"/>
        <v>0</v>
      </c>
      <c r="ID23" s="66">
        <f t="shared" si="77"/>
        <v>0</v>
      </c>
      <c r="IE23" s="102">
        <f t="shared" si="78"/>
        <v>0</v>
      </c>
      <c r="IF23" s="66">
        <f t="shared" si="79"/>
        <v>0</v>
      </c>
      <c r="IG23" s="66">
        <f t="shared" si="80"/>
        <v>0</v>
      </c>
      <c r="IH23" s="102">
        <f t="shared" si="174"/>
        <v>0</v>
      </c>
      <c r="II23" s="66">
        <f t="shared" si="175"/>
        <v>0</v>
      </c>
      <c r="IJ23" s="66">
        <f t="shared" si="81"/>
        <v>0</v>
      </c>
      <c r="IK23" s="102">
        <f t="shared" si="82"/>
        <v>0</v>
      </c>
      <c r="IL23" s="66">
        <f t="shared" si="83"/>
        <v>0</v>
      </c>
      <c r="IM23" s="66">
        <f t="shared" si="84"/>
        <v>0</v>
      </c>
      <c r="IN23" s="83"/>
      <c r="IO23" s="102">
        <f t="shared" si="85"/>
        <v>0</v>
      </c>
      <c r="IP23" s="66">
        <f t="shared" si="86"/>
        <v>0</v>
      </c>
      <c r="IQ23" s="66">
        <f t="shared" si="87"/>
        <v>0</v>
      </c>
      <c r="IR23" s="83"/>
      <c r="IS23" s="102"/>
      <c r="IT23" s="66">
        <f t="shared" si="88"/>
        <v>1</v>
      </c>
      <c r="IU23" s="66">
        <f t="shared" si="89"/>
        <v>527</v>
      </c>
      <c r="IV23" s="83"/>
      <c r="IW23" s="102"/>
      <c r="IX23" s="66">
        <f t="shared" si="90"/>
        <v>0</v>
      </c>
      <c r="IY23" s="66">
        <f t="shared" si="91"/>
        <v>0</v>
      </c>
      <c r="IZ23" s="83"/>
      <c r="JA23" s="102"/>
      <c r="JB23" s="66">
        <f t="shared" si="92"/>
        <v>0</v>
      </c>
      <c r="JC23" s="66">
        <f t="shared" si="93"/>
        <v>0</v>
      </c>
      <c r="JD23" s="83"/>
      <c r="JE23" s="102"/>
      <c r="JF23" s="66">
        <f t="shared" si="176"/>
        <v>1</v>
      </c>
      <c r="JG23" s="66">
        <f t="shared" si="94"/>
        <v>527</v>
      </c>
      <c r="JH23" s="83"/>
      <c r="JI23" s="102"/>
      <c r="JJ23" s="66">
        <f t="shared" si="95"/>
        <v>0</v>
      </c>
      <c r="JK23" s="66">
        <f t="shared" si="96"/>
        <v>0</v>
      </c>
      <c r="JM23" s="102">
        <f t="shared" si="177"/>
        <v>0</v>
      </c>
      <c r="JO23" s="29">
        <f t="shared" si="97"/>
        <v>0</v>
      </c>
      <c r="JP23" s="122">
        <f t="shared" si="98"/>
        <v>0</v>
      </c>
      <c r="JQ23" s="122">
        <f t="shared" si="99"/>
        <v>0</v>
      </c>
      <c r="JR23" s="122">
        <f t="shared" si="100"/>
        <v>0</v>
      </c>
      <c r="JS23" s="122">
        <f t="shared" si="101"/>
        <v>0</v>
      </c>
      <c r="JT23" s="122">
        <f t="shared" si="102"/>
        <v>0</v>
      </c>
      <c r="JU23" s="122">
        <f t="shared" si="103"/>
        <v>0</v>
      </c>
      <c r="JV23" s="122">
        <f t="shared" si="104"/>
        <v>0</v>
      </c>
      <c r="JW23" s="122">
        <f t="shared" si="105"/>
        <v>0</v>
      </c>
      <c r="JX23" s="122">
        <f t="shared" si="106"/>
        <v>0</v>
      </c>
      <c r="JY23" s="122">
        <f t="shared" si="107"/>
        <v>0</v>
      </c>
      <c r="JZ23" s="122">
        <f t="shared" si="108"/>
        <v>0</v>
      </c>
      <c r="KA23" s="122">
        <f t="shared" si="109"/>
        <v>0</v>
      </c>
      <c r="KB23" s="122">
        <f t="shared" si="110"/>
        <v>0</v>
      </c>
      <c r="KD23" s="122">
        <f t="shared" si="178"/>
        <v>0</v>
      </c>
      <c r="KE23" s="122">
        <f t="shared" si="112"/>
        <v>0</v>
      </c>
      <c r="KF23" s="122">
        <f t="shared" si="113"/>
        <v>0</v>
      </c>
      <c r="KG23" s="122">
        <f t="shared" si="114"/>
        <v>0</v>
      </c>
      <c r="KH23" s="122">
        <f t="shared" si="115"/>
        <v>0</v>
      </c>
      <c r="KI23" s="122">
        <f t="shared" si="116"/>
        <v>0</v>
      </c>
      <c r="KJ23" s="122">
        <f t="shared" si="117"/>
        <v>0</v>
      </c>
      <c r="KK23" s="122">
        <f t="shared" si="118"/>
        <v>0</v>
      </c>
      <c r="KL23" s="122">
        <f t="shared" si="119"/>
        <v>0</v>
      </c>
      <c r="KM23" s="122">
        <f t="shared" si="120"/>
        <v>0</v>
      </c>
      <c r="KN23" s="123">
        <f t="shared" si="121"/>
        <v>0</v>
      </c>
      <c r="KO23" s="123">
        <f t="shared" si="122"/>
        <v>0</v>
      </c>
      <c r="KP23" s="123">
        <f t="shared" si="123"/>
        <v>0</v>
      </c>
      <c r="KQ23" s="123">
        <f t="shared" si="124"/>
        <v>0</v>
      </c>
      <c r="KR23" s="123">
        <f t="shared" si="125"/>
        <v>0</v>
      </c>
      <c r="KT23">
        <f t="shared" si="126"/>
        <v>0</v>
      </c>
      <c r="KU23" s="123"/>
      <c r="KV23" s="123"/>
      <c r="KW23" s="123"/>
      <c r="KX23" s="123"/>
      <c r="KY23" s="123"/>
      <c r="KZ23" s="123"/>
      <c r="LA23" s="123"/>
      <c r="LB23" s="123"/>
      <c r="LC23" s="123"/>
      <c r="LD23" s="123"/>
      <c r="LE23" s="123"/>
      <c r="LF23" s="123"/>
      <c r="LG23" s="123"/>
      <c r="LH23" s="123"/>
      <c r="LI23" s="123"/>
      <c r="LJ23" s="123"/>
      <c r="LK23" s="123"/>
      <c r="LL23" s="123"/>
      <c r="LM23" s="123"/>
      <c r="LN23" s="123"/>
      <c r="LO23" s="123"/>
      <c r="LP23" s="123"/>
      <c r="LQ23" s="123"/>
      <c r="LR23" s="123"/>
      <c r="LS23" s="123"/>
      <c r="LT23" s="123"/>
      <c r="LU23" s="123"/>
      <c r="LV23" s="123"/>
      <c r="LW23" s="123"/>
      <c r="LX23" s="123"/>
      <c r="LY23" s="123"/>
      <c r="LZ23" s="123"/>
      <c r="MA23" s="123"/>
      <c r="MB23" s="123"/>
      <c r="MC23" s="123"/>
      <c r="MD23" s="123"/>
      <c r="ME23" s="123"/>
      <c r="MF23" s="123"/>
      <c r="MG23" s="123"/>
      <c r="MH23" s="123"/>
      <c r="MI23" s="123"/>
      <c r="MJ23" s="123"/>
      <c r="MK23" s="123"/>
      <c r="ML23" s="123"/>
      <c r="MM23" s="123"/>
      <c r="MN23" s="123"/>
      <c r="MO23" s="123"/>
      <c r="MP23" s="123"/>
      <c r="MQ23" s="123"/>
      <c r="MR23" s="123"/>
      <c r="MS23" s="123"/>
      <c r="MT23" s="123"/>
      <c r="MU23" s="123"/>
      <c r="MV23" s="123"/>
      <c r="MW23" s="123"/>
      <c r="MX23" s="123"/>
      <c r="MY23" s="123"/>
      <c r="MZ23" s="123"/>
      <c r="NA23" s="123"/>
      <c r="NB23" s="123"/>
      <c r="NC23" s="123"/>
      <c r="ND23" s="123"/>
      <c r="NE23" s="123"/>
      <c r="NF23" s="123"/>
      <c r="NG23" s="123"/>
      <c r="NH23" s="123"/>
      <c r="NI23" s="123"/>
      <c r="NJ23" s="123"/>
      <c r="NK23" s="123"/>
      <c r="NM23">
        <f t="shared" si="179"/>
        <v>0</v>
      </c>
      <c r="NN23">
        <f t="shared" si="180"/>
        <v>0</v>
      </c>
      <c r="NO23">
        <f t="shared" si="181"/>
        <v>0</v>
      </c>
      <c r="NP23">
        <f t="shared" si="182"/>
        <v>0</v>
      </c>
      <c r="NQ23">
        <f t="shared" si="183"/>
        <v>0</v>
      </c>
      <c r="NR23">
        <f t="shared" si="184"/>
        <v>0</v>
      </c>
      <c r="NS23">
        <f t="shared" si="185"/>
        <v>0</v>
      </c>
      <c r="NT23">
        <f t="shared" si="186"/>
        <v>0</v>
      </c>
      <c r="NU23" s="29">
        <f t="shared" si="187"/>
        <v>0</v>
      </c>
      <c r="NY23" s="29">
        <f t="shared" si="128"/>
        <v>1</v>
      </c>
      <c r="NZ23" s="152">
        <v>6523250</v>
      </c>
      <c r="OE23" s="155">
        <f t="shared" si="129"/>
        <v>0</v>
      </c>
      <c r="OF23" s="155">
        <f t="shared" si="130"/>
        <v>0</v>
      </c>
      <c r="OG23" s="155">
        <f t="shared" si="131"/>
        <v>0</v>
      </c>
      <c r="OH23" s="155">
        <f t="shared" si="188"/>
        <v>0</v>
      </c>
      <c r="OI23" s="155">
        <f t="shared" si="132"/>
        <v>0</v>
      </c>
      <c r="OJ23" s="67">
        <f t="shared" si="189"/>
        <v>0</v>
      </c>
      <c r="OK23" s="67">
        <f t="shared" si="190"/>
        <v>0</v>
      </c>
      <c r="OL23" s="67">
        <f t="shared" si="191"/>
        <v>0</v>
      </c>
      <c r="OM23" s="67">
        <f t="shared" si="192"/>
        <v>0</v>
      </c>
      <c r="OO23" s="155">
        <f t="shared" si="133"/>
        <v>0</v>
      </c>
      <c r="OP23" s="155">
        <f t="shared" si="134"/>
        <v>0</v>
      </c>
      <c r="OQ23" s="155">
        <f t="shared" si="193"/>
        <v>0</v>
      </c>
      <c r="OR23" s="155">
        <f t="shared" si="194"/>
        <v>0</v>
      </c>
      <c r="OS23" s="155">
        <f t="shared" si="195"/>
        <v>0</v>
      </c>
      <c r="OT23" s="67">
        <f t="shared" si="196"/>
        <v>0</v>
      </c>
      <c r="OU23" s="67">
        <f t="shared" si="197"/>
        <v>0</v>
      </c>
      <c r="OV23" s="67">
        <f t="shared" si="198"/>
        <v>0</v>
      </c>
      <c r="OW23" s="67">
        <f t="shared" si="199"/>
        <v>0</v>
      </c>
      <c r="PA23" s="166"/>
      <c r="PB23" s="166"/>
      <c r="PC23" s="166"/>
      <c r="PD23" s="210">
        <f t="shared" si="135"/>
        <v>0</v>
      </c>
      <c r="PE23" s="210"/>
      <c r="PF23" s="210">
        <f t="shared" si="136"/>
        <v>0</v>
      </c>
      <c r="PG23" s="210">
        <f t="shared" si="137"/>
        <v>0</v>
      </c>
      <c r="PH23" s="210">
        <f t="shared" si="137"/>
        <v>0</v>
      </c>
      <c r="PI23" s="210">
        <f t="shared" si="137"/>
        <v>0</v>
      </c>
      <c r="PJ23" s="210">
        <f t="shared" si="137"/>
        <v>0</v>
      </c>
      <c r="PK23" s="210">
        <f t="shared" si="137"/>
        <v>0</v>
      </c>
      <c r="PL23" s="210">
        <f t="shared" si="137"/>
        <v>0</v>
      </c>
      <c r="PO23" s="172">
        <f t="shared" si="200"/>
        <v>0</v>
      </c>
      <c r="PP23" s="172">
        <f t="shared" si="201"/>
        <v>0</v>
      </c>
      <c r="PQ23" s="172">
        <f t="shared" si="202"/>
        <v>0</v>
      </c>
    </row>
    <row r="24" spans="1:433 16383:16383" ht="16" x14ac:dyDescent="0.2">
      <c r="A24" s="19">
        <f t="shared" si="203"/>
        <v>16</v>
      </c>
      <c r="B24" s="186" t="s">
        <v>258</v>
      </c>
      <c r="C24" s="186">
        <v>13</v>
      </c>
      <c r="D24" s="188">
        <v>1</v>
      </c>
      <c r="E24" s="188">
        <v>42</v>
      </c>
      <c r="F24" s="188">
        <v>1</v>
      </c>
      <c r="G24" s="188">
        <f t="shared" si="138"/>
        <v>42</v>
      </c>
      <c r="H24" s="214">
        <f t="shared" si="2"/>
        <v>1</v>
      </c>
      <c r="I24" s="214">
        <f t="shared" si="3"/>
        <v>1</v>
      </c>
      <c r="J24" s="188">
        <v>1</v>
      </c>
      <c r="K24" s="188">
        <f t="shared" si="4"/>
        <v>42</v>
      </c>
      <c r="L24" s="214">
        <f t="shared" si="5"/>
        <v>1</v>
      </c>
      <c r="M24" s="214">
        <f t="shared" si="6"/>
        <v>1</v>
      </c>
      <c r="N24" s="188">
        <v>1</v>
      </c>
      <c r="O24" s="188">
        <f t="shared" si="7"/>
        <v>42</v>
      </c>
      <c r="P24" s="214">
        <f t="shared" si="8"/>
        <v>1</v>
      </c>
      <c r="Q24" s="214">
        <f t="shared" si="9"/>
        <v>1</v>
      </c>
      <c r="R24" s="188">
        <v>1</v>
      </c>
      <c r="S24" s="188">
        <f t="shared" si="10"/>
        <v>42</v>
      </c>
      <c r="T24" s="214">
        <f t="shared" si="11"/>
        <v>1</v>
      </c>
      <c r="U24" s="214">
        <f t="shared" si="12"/>
        <v>1</v>
      </c>
      <c r="V24" s="188">
        <v>1</v>
      </c>
      <c r="W24" s="188">
        <f t="shared" si="13"/>
        <v>42</v>
      </c>
      <c r="X24" s="214">
        <f t="shared" si="14"/>
        <v>1</v>
      </c>
      <c r="Y24" s="214">
        <f t="shared" si="15"/>
        <v>1</v>
      </c>
      <c r="Z24" s="272">
        <f>566131000/1000000000</f>
        <v>0.56613100000000005</v>
      </c>
      <c r="AA24" s="272"/>
      <c r="AB24" s="189">
        <f t="shared" si="139"/>
        <v>0</v>
      </c>
      <c r="AC24" s="250">
        <f t="shared" si="140"/>
        <v>0</v>
      </c>
      <c r="AD24" s="250">
        <f t="shared" si="141"/>
        <v>0</v>
      </c>
      <c r="AE24" s="272"/>
      <c r="AF24" s="188">
        <f t="shared" si="142"/>
        <v>0</v>
      </c>
      <c r="AG24" s="188"/>
      <c r="AH24" s="187"/>
      <c r="AI24" s="20">
        <v>0</v>
      </c>
      <c r="AJ24" s="20">
        <f t="shared" si="204"/>
        <v>0</v>
      </c>
      <c r="AK24" s="20"/>
      <c r="AL24" s="20">
        <v>0</v>
      </c>
      <c r="AM24" s="20">
        <v>0</v>
      </c>
      <c r="AN24" s="139"/>
      <c r="AO24" s="17">
        <f t="shared" si="18"/>
        <v>0</v>
      </c>
      <c r="AP24" s="17">
        <f t="shared" si="19"/>
        <v>0</v>
      </c>
      <c r="AQ24" s="17">
        <f t="shared" si="20"/>
        <v>0</v>
      </c>
      <c r="AR24" s="17">
        <f t="shared" si="21"/>
        <v>0</v>
      </c>
      <c r="AS24" s="17">
        <f t="shared" si="22"/>
        <v>0</v>
      </c>
      <c r="AT24" s="17">
        <f t="shared" si="23"/>
        <v>0</v>
      </c>
      <c r="AU24" s="17">
        <f t="shared" si="24"/>
        <v>0</v>
      </c>
      <c r="AV24" s="17">
        <f t="shared" si="25"/>
        <v>0</v>
      </c>
      <c r="AW24" s="17">
        <f t="shared" si="26"/>
        <v>0</v>
      </c>
      <c r="AX24" s="17">
        <f t="shared" si="27"/>
        <v>0</v>
      </c>
      <c r="AY24" s="17">
        <f t="shared" si="205"/>
        <v>0</v>
      </c>
      <c r="AZ24" s="17">
        <f t="shared" si="206"/>
        <v>0</v>
      </c>
      <c r="BA24" s="17">
        <f t="shared" si="145"/>
        <v>0</v>
      </c>
      <c r="BB24" s="17">
        <f t="shared" si="146"/>
        <v>0</v>
      </c>
      <c r="BC24" s="29">
        <f t="shared" si="147"/>
        <v>0</v>
      </c>
      <c r="BE24" s="17">
        <f t="shared" si="28"/>
        <v>0</v>
      </c>
      <c r="BF24" s="17">
        <f t="shared" si="29"/>
        <v>0</v>
      </c>
      <c r="BG24" s="17">
        <f t="shared" si="30"/>
        <v>0</v>
      </c>
      <c r="BH24" s="17">
        <f t="shared" si="31"/>
        <v>0</v>
      </c>
      <c r="BI24" s="17">
        <f t="shared" si="32"/>
        <v>0</v>
      </c>
      <c r="BJ24" s="17">
        <f t="shared" si="33"/>
        <v>0</v>
      </c>
      <c r="BK24" s="17">
        <f t="shared" si="148"/>
        <v>0</v>
      </c>
      <c r="BN24" s="284">
        <v>27</v>
      </c>
      <c r="BO24">
        <v>1</v>
      </c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B24" s="20"/>
      <c r="CD24" s="17">
        <f t="shared" si="35"/>
        <v>27</v>
      </c>
      <c r="CE24" s="17">
        <f t="shared" si="36"/>
        <v>27</v>
      </c>
      <c r="CF24" s="20">
        <f t="shared" si="207"/>
        <v>0</v>
      </c>
      <c r="CG24" s="20">
        <f t="shared" si="208"/>
        <v>0</v>
      </c>
      <c r="CH24" s="20">
        <f t="shared" si="209"/>
        <v>0</v>
      </c>
      <c r="CI24" s="20">
        <f t="shared" si="210"/>
        <v>0</v>
      </c>
      <c r="CJ24" s="20">
        <f t="shared" si="211"/>
        <v>0</v>
      </c>
      <c r="CK24" s="20">
        <f t="shared" si="212"/>
        <v>0</v>
      </c>
      <c r="CL24" s="20">
        <f t="shared" si="213"/>
        <v>0</v>
      </c>
      <c r="CM24" s="20">
        <f t="shared" si="214"/>
        <v>0</v>
      </c>
      <c r="CN24" s="20">
        <f t="shared" si="215"/>
        <v>0</v>
      </c>
      <c r="CO24" s="20">
        <f t="shared" si="216"/>
        <v>0</v>
      </c>
      <c r="CP24" s="20">
        <f t="shared" si="217"/>
        <v>0</v>
      </c>
      <c r="DV24" s="20">
        <f t="shared" si="48"/>
        <v>0</v>
      </c>
      <c r="DW24" s="20">
        <f t="shared" si="49"/>
        <v>0</v>
      </c>
      <c r="DX24" s="20">
        <f t="shared" si="50"/>
        <v>0</v>
      </c>
      <c r="DY24" s="20">
        <f t="shared" si="51"/>
        <v>0</v>
      </c>
      <c r="DZ24" s="20">
        <f t="shared" si="52"/>
        <v>0</v>
      </c>
      <c r="EA24" s="20">
        <f t="shared" si="53"/>
        <v>0</v>
      </c>
      <c r="EB24" s="20">
        <f t="shared" si="150"/>
        <v>0</v>
      </c>
      <c r="EG24" s="57">
        <f t="shared" si="151"/>
        <v>0</v>
      </c>
      <c r="EH24" s="57">
        <f t="shared" si="152"/>
        <v>0</v>
      </c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X24" s="169">
        <v>1</v>
      </c>
      <c r="FY24" s="17">
        <f t="shared" si="153"/>
        <v>27</v>
      </c>
      <c r="FZ24" s="17">
        <f t="shared" si="55"/>
        <v>27</v>
      </c>
      <c r="GA24" s="17">
        <f t="shared" si="56"/>
        <v>0</v>
      </c>
      <c r="GB24" s="17">
        <f t="shared" si="57"/>
        <v>0</v>
      </c>
      <c r="GC24" s="17">
        <f t="shared" si="58"/>
        <v>0</v>
      </c>
      <c r="GD24" s="17">
        <f t="shared" si="59"/>
        <v>0</v>
      </c>
      <c r="GE24" s="17">
        <f t="shared" si="60"/>
        <v>0</v>
      </c>
      <c r="GF24" s="67"/>
      <c r="GG24" s="17">
        <v>0</v>
      </c>
      <c r="GH24" s="17">
        <v>0</v>
      </c>
      <c r="GI24" s="67"/>
      <c r="GJ24" s="62">
        <f t="shared" si="154"/>
        <v>0</v>
      </c>
      <c r="GK24" s="62">
        <f t="shared" si="155"/>
        <v>0</v>
      </c>
      <c r="GO24" s="17">
        <f t="shared" si="61"/>
        <v>0</v>
      </c>
      <c r="GP24" s="17">
        <f t="shared" si="62"/>
        <v>0</v>
      </c>
      <c r="GQ24" s="17">
        <f t="shared" si="63"/>
        <v>0</v>
      </c>
      <c r="GR24" s="17">
        <f t="shared" si="64"/>
        <v>0</v>
      </c>
      <c r="GS24" s="17">
        <f t="shared" si="65"/>
        <v>0</v>
      </c>
      <c r="GT24" s="17">
        <f t="shared" si="156"/>
        <v>1</v>
      </c>
      <c r="GU24" s="101">
        <f t="shared" si="157"/>
        <v>43243</v>
      </c>
      <c r="GV24" s="17" t="str">
        <f t="shared" si="158"/>
        <v>SELESAI</v>
      </c>
      <c r="GW24" s="17">
        <f t="shared" si="159"/>
        <v>0</v>
      </c>
      <c r="GX24" s="66" t="str">
        <f t="shared" si="160"/>
        <v>SELESAI</v>
      </c>
      <c r="GY24" s="66">
        <f t="shared" si="161"/>
        <v>0</v>
      </c>
      <c r="GZ24" s="102" t="str">
        <f t="shared" si="162"/>
        <v>SELESAI</v>
      </c>
      <c r="HA24" s="83"/>
      <c r="HB24" s="83"/>
      <c r="HC24" s="17">
        <f t="shared" si="66"/>
        <v>0</v>
      </c>
      <c r="HD24" s="17">
        <f t="shared" si="67"/>
        <v>0</v>
      </c>
      <c r="HE24" s="17">
        <f t="shared" si="163"/>
        <v>0</v>
      </c>
      <c r="HF24" s="17">
        <f t="shared" si="164"/>
        <v>0</v>
      </c>
      <c r="HG24" s="17">
        <f t="shared" si="165"/>
        <v>0</v>
      </c>
      <c r="HH24" s="101" t="str">
        <f t="shared" si="68"/>
        <v>TIDAK KONSINYASI</v>
      </c>
      <c r="HI24" s="101" t="str">
        <f t="shared" si="166"/>
        <v>SELESAI</v>
      </c>
      <c r="HJ24" s="27"/>
      <c r="HK24" s="101">
        <f t="shared" si="69"/>
        <v>0</v>
      </c>
      <c r="HL24" s="83"/>
      <c r="HM24" s="83"/>
      <c r="HN24" s="83"/>
      <c r="HO24" s="83"/>
      <c r="HP24" s="102">
        <f t="shared" si="167"/>
        <v>0</v>
      </c>
      <c r="HQ24" s="66">
        <f t="shared" si="168"/>
        <v>0</v>
      </c>
      <c r="HR24" s="66">
        <f t="shared" si="70"/>
        <v>0</v>
      </c>
      <c r="HS24" s="102">
        <f t="shared" si="169"/>
        <v>0</v>
      </c>
      <c r="HT24" s="66">
        <f t="shared" si="170"/>
        <v>0</v>
      </c>
      <c r="HU24" s="66">
        <f t="shared" si="71"/>
        <v>0</v>
      </c>
      <c r="HV24" s="102">
        <f t="shared" si="171"/>
        <v>0</v>
      </c>
      <c r="HW24" s="66">
        <f t="shared" si="72"/>
        <v>0</v>
      </c>
      <c r="HX24" s="66">
        <f t="shared" si="73"/>
        <v>0</v>
      </c>
      <c r="HY24" s="102">
        <f t="shared" si="74"/>
        <v>0</v>
      </c>
      <c r="HZ24" s="66">
        <f t="shared" si="172"/>
        <v>0</v>
      </c>
      <c r="IA24" s="66">
        <f t="shared" si="75"/>
        <v>0</v>
      </c>
      <c r="IB24" s="102">
        <f t="shared" si="173"/>
        <v>0</v>
      </c>
      <c r="IC24" s="66">
        <f t="shared" si="76"/>
        <v>0</v>
      </c>
      <c r="ID24" s="66">
        <f t="shared" si="77"/>
        <v>0</v>
      </c>
      <c r="IE24" s="102">
        <f t="shared" si="78"/>
        <v>0</v>
      </c>
      <c r="IF24" s="66">
        <f t="shared" si="79"/>
        <v>0</v>
      </c>
      <c r="IG24" s="66">
        <f t="shared" si="80"/>
        <v>0</v>
      </c>
      <c r="IH24" s="102">
        <f t="shared" si="174"/>
        <v>0</v>
      </c>
      <c r="II24" s="66">
        <f t="shared" si="175"/>
        <v>0</v>
      </c>
      <c r="IJ24" s="66">
        <f t="shared" si="81"/>
        <v>0</v>
      </c>
      <c r="IK24" s="102">
        <f t="shared" si="82"/>
        <v>0</v>
      </c>
      <c r="IL24" s="66">
        <f t="shared" si="83"/>
        <v>0</v>
      </c>
      <c r="IM24" s="66">
        <f t="shared" si="84"/>
        <v>0</v>
      </c>
      <c r="IN24" s="83"/>
      <c r="IO24" s="102">
        <f t="shared" si="85"/>
        <v>0</v>
      </c>
      <c r="IP24" s="66">
        <f t="shared" si="86"/>
        <v>0</v>
      </c>
      <c r="IQ24" s="66">
        <f t="shared" si="87"/>
        <v>0</v>
      </c>
      <c r="IR24" s="83"/>
      <c r="IS24" s="102"/>
      <c r="IT24" s="66">
        <f t="shared" si="88"/>
        <v>1</v>
      </c>
      <c r="IU24" s="66">
        <f t="shared" si="89"/>
        <v>42</v>
      </c>
      <c r="IV24" s="83"/>
      <c r="IW24" s="102"/>
      <c r="IX24" s="66">
        <f t="shared" si="90"/>
        <v>0</v>
      </c>
      <c r="IY24" s="66">
        <f t="shared" si="91"/>
        <v>0</v>
      </c>
      <c r="IZ24" s="83"/>
      <c r="JA24" s="102"/>
      <c r="JB24" s="66">
        <f t="shared" si="92"/>
        <v>0</v>
      </c>
      <c r="JC24" s="66">
        <f t="shared" si="93"/>
        <v>0</v>
      </c>
      <c r="JD24" s="83"/>
      <c r="JE24" s="102"/>
      <c r="JF24" s="66">
        <f t="shared" si="176"/>
        <v>1</v>
      </c>
      <c r="JG24" s="66">
        <f t="shared" si="94"/>
        <v>42</v>
      </c>
      <c r="JH24" s="83"/>
      <c r="JI24" s="102"/>
      <c r="JJ24" s="66">
        <f t="shared" si="95"/>
        <v>0</v>
      </c>
      <c r="JK24" s="66">
        <f t="shared" si="96"/>
        <v>0</v>
      </c>
      <c r="JM24" s="102">
        <f t="shared" si="177"/>
        <v>0</v>
      </c>
      <c r="JO24" s="29">
        <f t="shared" si="97"/>
        <v>1</v>
      </c>
      <c r="JP24" s="122">
        <f t="shared" si="98"/>
        <v>27</v>
      </c>
      <c r="JQ24" s="122">
        <f t="shared" si="99"/>
        <v>1</v>
      </c>
      <c r="JR24" s="122">
        <f t="shared" si="100"/>
        <v>0</v>
      </c>
      <c r="JS24" s="122">
        <f t="shared" si="101"/>
        <v>0</v>
      </c>
      <c r="JT24" s="122">
        <f t="shared" si="102"/>
        <v>0</v>
      </c>
      <c r="JU24" s="122">
        <f t="shared" si="103"/>
        <v>0</v>
      </c>
      <c r="JV24" s="122">
        <f t="shared" si="104"/>
        <v>0</v>
      </c>
      <c r="JW24" s="122">
        <f t="shared" si="105"/>
        <v>0</v>
      </c>
      <c r="JX24" s="122">
        <f t="shared" si="106"/>
        <v>0</v>
      </c>
      <c r="JY24" s="122">
        <f t="shared" si="107"/>
        <v>0</v>
      </c>
      <c r="JZ24" s="122">
        <f t="shared" si="108"/>
        <v>0</v>
      </c>
      <c r="KA24" s="122">
        <f t="shared" si="109"/>
        <v>0</v>
      </c>
      <c r="KB24" s="122">
        <f t="shared" si="110"/>
        <v>0</v>
      </c>
      <c r="KD24" s="122">
        <f t="shared" si="178"/>
        <v>0</v>
      </c>
      <c r="KE24" s="122">
        <f t="shared" si="112"/>
        <v>0</v>
      </c>
      <c r="KF24" s="122">
        <f t="shared" si="113"/>
        <v>27</v>
      </c>
      <c r="KG24" s="122">
        <f t="shared" si="114"/>
        <v>27</v>
      </c>
      <c r="KH24" s="122">
        <f t="shared" si="115"/>
        <v>0</v>
      </c>
      <c r="KI24" s="122">
        <f t="shared" si="116"/>
        <v>0</v>
      </c>
      <c r="KJ24" s="122">
        <f t="shared" si="117"/>
        <v>0</v>
      </c>
      <c r="KK24" s="122">
        <f t="shared" si="118"/>
        <v>0</v>
      </c>
      <c r="KL24" s="122">
        <f t="shared" si="119"/>
        <v>0</v>
      </c>
      <c r="KM24" s="122">
        <f t="shared" si="120"/>
        <v>0</v>
      </c>
      <c r="KN24" s="123">
        <f t="shared" si="121"/>
        <v>0</v>
      </c>
      <c r="KO24" s="123">
        <f t="shared" si="122"/>
        <v>0</v>
      </c>
      <c r="KP24" s="123">
        <f t="shared" si="123"/>
        <v>0</v>
      </c>
      <c r="KQ24" s="123">
        <f t="shared" si="124"/>
        <v>0</v>
      </c>
      <c r="KR24" s="123">
        <f t="shared" si="125"/>
        <v>0</v>
      </c>
      <c r="KT24">
        <f t="shared" si="126"/>
        <v>0</v>
      </c>
      <c r="KU24" s="123"/>
      <c r="KV24" s="123"/>
      <c r="KW24" s="123"/>
      <c r="KX24" s="123"/>
      <c r="KY24" s="123"/>
      <c r="KZ24" s="123"/>
      <c r="LA24" s="123"/>
      <c r="LB24" s="123"/>
      <c r="LC24" s="123"/>
      <c r="LD24" s="123"/>
      <c r="LE24" s="123"/>
      <c r="LF24" s="123"/>
      <c r="LG24" s="123"/>
      <c r="LH24" s="123"/>
      <c r="LI24" s="123"/>
      <c r="LJ24" s="123"/>
      <c r="LK24" s="123"/>
      <c r="LL24" s="123"/>
      <c r="LM24" s="123"/>
      <c r="LN24" s="123"/>
      <c r="LO24" s="123"/>
      <c r="LP24" s="123"/>
      <c r="LQ24" s="123"/>
      <c r="LR24" s="123"/>
      <c r="LS24" s="123"/>
      <c r="LT24" s="123"/>
      <c r="LU24" s="123"/>
      <c r="LV24" s="123"/>
      <c r="LW24" s="123"/>
      <c r="LX24" s="123"/>
      <c r="LY24" s="123"/>
      <c r="LZ24" s="123"/>
      <c r="MA24" s="123"/>
      <c r="MB24" s="123"/>
      <c r="MC24" s="123"/>
      <c r="MD24" s="123"/>
      <c r="ME24" s="123"/>
      <c r="MF24" s="123"/>
      <c r="MG24" s="123"/>
      <c r="MH24" s="123"/>
      <c r="MI24" s="123"/>
      <c r="MJ24" s="123"/>
      <c r="MK24" s="123"/>
      <c r="ML24" s="123"/>
      <c r="MM24" s="123"/>
      <c r="MN24" s="123"/>
      <c r="MO24" s="123"/>
      <c r="MP24" s="123"/>
      <c r="MQ24" s="123"/>
      <c r="MR24" s="123"/>
      <c r="MS24" s="123"/>
      <c r="MT24" s="123"/>
      <c r="MU24" s="123"/>
      <c r="MV24" s="123"/>
      <c r="MW24" s="123"/>
      <c r="MX24" s="123"/>
      <c r="MY24" s="123"/>
      <c r="MZ24" s="123"/>
      <c r="NA24" s="123"/>
      <c r="NB24" s="123"/>
      <c r="NC24" s="123"/>
      <c r="ND24" s="123"/>
      <c r="NE24" s="123"/>
      <c r="NF24" s="123"/>
      <c r="NG24" s="123"/>
      <c r="NH24" s="123"/>
      <c r="NI24" s="123"/>
      <c r="NJ24" s="123"/>
      <c r="NK24" s="123"/>
      <c r="NM24">
        <f t="shared" si="179"/>
        <v>0</v>
      </c>
      <c r="NN24">
        <f t="shared" si="180"/>
        <v>0</v>
      </c>
      <c r="NO24">
        <f t="shared" si="181"/>
        <v>0</v>
      </c>
      <c r="NP24">
        <f t="shared" si="182"/>
        <v>0</v>
      </c>
      <c r="NQ24">
        <f t="shared" si="183"/>
        <v>0</v>
      </c>
      <c r="NR24">
        <f t="shared" si="184"/>
        <v>0</v>
      </c>
      <c r="NS24">
        <f t="shared" si="185"/>
        <v>0</v>
      </c>
      <c r="NT24">
        <f t="shared" si="186"/>
        <v>0</v>
      </c>
      <c r="NU24" s="29">
        <f t="shared" si="187"/>
        <v>0</v>
      </c>
      <c r="NY24" s="29">
        <f t="shared" si="128"/>
        <v>1</v>
      </c>
      <c r="NZ24" s="152">
        <v>8036000</v>
      </c>
      <c r="OE24" s="155">
        <f t="shared" si="129"/>
        <v>0</v>
      </c>
      <c r="OF24" s="155">
        <f t="shared" si="130"/>
        <v>0</v>
      </c>
      <c r="OG24" s="155">
        <f t="shared" si="131"/>
        <v>0</v>
      </c>
      <c r="OH24" s="155">
        <f t="shared" si="188"/>
        <v>0</v>
      </c>
      <c r="OI24" s="155">
        <f t="shared" si="132"/>
        <v>0</v>
      </c>
      <c r="OJ24" s="67">
        <f t="shared" si="189"/>
        <v>0</v>
      </c>
      <c r="OK24" s="67">
        <f t="shared" si="190"/>
        <v>0</v>
      </c>
      <c r="OL24" s="67">
        <f t="shared" si="191"/>
        <v>0</v>
      </c>
      <c r="OM24" s="67">
        <f t="shared" si="192"/>
        <v>0</v>
      </c>
      <c r="OO24" s="155">
        <f t="shared" si="133"/>
        <v>0</v>
      </c>
      <c r="OP24" s="155">
        <f t="shared" si="134"/>
        <v>0</v>
      </c>
      <c r="OQ24" s="155">
        <f t="shared" si="193"/>
        <v>0</v>
      </c>
      <c r="OR24" s="155">
        <f t="shared" si="194"/>
        <v>0</v>
      </c>
      <c r="OS24" s="155">
        <f t="shared" si="195"/>
        <v>0</v>
      </c>
      <c r="OT24" s="67">
        <f t="shared" si="196"/>
        <v>0</v>
      </c>
      <c r="OU24" s="67">
        <f t="shared" si="197"/>
        <v>0</v>
      </c>
      <c r="OV24" s="67">
        <f t="shared" si="198"/>
        <v>0</v>
      </c>
      <c r="OW24" s="67">
        <f t="shared" si="199"/>
        <v>0</v>
      </c>
      <c r="PA24" s="166"/>
      <c r="PB24" s="166"/>
      <c r="PC24" s="166"/>
      <c r="PD24" s="210">
        <f t="shared" si="135"/>
        <v>0</v>
      </c>
      <c r="PE24" s="210"/>
      <c r="PF24" s="210">
        <f t="shared" si="136"/>
        <v>0</v>
      </c>
      <c r="PG24" s="210">
        <f t="shared" si="137"/>
        <v>0</v>
      </c>
      <c r="PH24" s="210">
        <f t="shared" si="137"/>
        <v>0</v>
      </c>
      <c r="PI24" s="210">
        <f t="shared" si="137"/>
        <v>0</v>
      </c>
      <c r="PJ24" s="210">
        <f t="shared" si="137"/>
        <v>0</v>
      </c>
      <c r="PK24" s="210">
        <f t="shared" si="137"/>
        <v>0</v>
      </c>
      <c r="PL24" s="210">
        <f t="shared" si="137"/>
        <v>0</v>
      </c>
      <c r="PO24" s="172">
        <f t="shared" si="200"/>
        <v>0</v>
      </c>
      <c r="PP24" s="172">
        <f t="shared" si="201"/>
        <v>0</v>
      </c>
      <c r="PQ24" s="172">
        <f t="shared" si="202"/>
        <v>0</v>
      </c>
    </row>
    <row r="25" spans="1:433 16383:16383" ht="16" x14ac:dyDescent="0.2">
      <c r="A25" s="19">
        <f t="shared" si="203"/>
        <v>17</v>
      </c>
      <c r="B25" s="186" t="s">
        <v>259</v>
      </c>
      <c r="C25" s="186">
        <v>14</v>
      </c>
      <c r="D25" s="188">
        <v>1</v>
      </c>
      <c r="E25" s="188">
        <v>50</v>
      </c>
      <c r="F25" s="188">
        <v>1</v>
      </c>
      <c r="G25" s="188">
        <f t="shared" si="138"/>
        <v>50</v>
      </c>
      <c r="H25" s="214">
        <f t="shared" si="2"/>
        <v>1</v>
      </c>
      <c r="I25" s="214">
        <f t="shared" si="3"/>
        <v>1</v>
      </c>
      <c r="J25" s="188">
        <v>1</v>
      </c>
      <c r="K25" s="188">
        <f t="shared" si="4"/>
        <v>50</v>
      </c>
      <c r="L25" s="214">
        <f t="shared" si="5"/>
        <v>1</v>
      </c>
      <c r="M25" s="214">
        <f t="shared" si="6"/>
        <v>1</v>
      </c>
      <c r="N25" s="188">
        <v>1</v>
      </c>
      <c r="O25" s="188">
        <f t="shared" si="7"/>
        <v>50</v>
      </c>
      <c r="P25" s="214">
        <f t="shared" si="8"/>
        <v>1</v>
      </c>
      <c r="Q25" s="214">
        <f t="shared" si="9"/>
        <v>1</v>
      </c>
      <c r="R25" s="188">
        <v>1</v>
      </c>
      <c r="S25" s="188">
        <f t="shared" si="10"/>
        <v>50</v>
      </c>
      <c r="T25" s="214">
        <f t="shared" si="11"/>
        <v>1</v>
      </c>
      <c r="U25" s="214">
        <f t="shared" si="12"/>
        <v>1</v>
      </c>
      <c r="V25" s="188">
        <v>1</v>
      </c>
      <c r="W25" s="188">
        <f t="shared" si="13"/>
        <v>50</v>
      </c>
      <c r="X25" s="214">
        <f t="shared" si="14"/>
        <v>1</v>
      </c>
      <c r="Y25" s="214">
        <f t="shared" si="15"/>
        <v>1</v>
      </c>
      <c r="Z25" s="272">
        <f>746331000/1000000000</f>
        <v>0.74633099999999997</v>
      </c>
      <c r="AA25" s="272"/>
      <c r="AB25" s="189">
        <f t="shared" si="139"/>
        <v>0</v>
      </c>
      <c r="AC25" s="250">
        <f t="shared" si="140"/>
        <v>0</v>
      </c>
      <c r="AD25" s="250">
        <f t="shared" si="141"/>
        <v>0</v>
      </c>
      <c r="AE25" s="272"/>
      <c r="AF25" s="188">
        <f t="shared" si="142"/>
        <v>0</v>
      </c>
      <c r="AG25" s="188"/>
      <c r="AH25" s="187"/>
      <c r="AI25" s="20">
        <v>0</v>
      </c>
      <c r="AJ25" s="20">
        <f t="shared" si="204"/>
        <v>0</v>
      </c>
      <c r="AK25" s="20"/>
      <c r="AL25" s="20">
        <v>0</v>
      </c>
      <c r="AM25" s="20">
        <v>0</v>
      </c>
      <c r="AN25" s="139"/>
      <c r="AO25" s="17">
        <f t="shared" si="18"/>
        <v>0</v>
      </c>
      <c r="AP25" s="17">
        <f t="shared" si="19"/>
        <v>0</v>
      </c>
      <c r="AQ25" s="17">
        <f t="shared" si="20"/>
        <v>0</v>
      </c>
      <c r="AR25" s="17">
        <f t="shared" si="21"/>
        <v>0</v>
      </c>
      <c r="AS25" s="17">
        <f t="shared" si="22"/>
        <v>0</v>
      </c>
      <c r="AT25" s="17">
        <f t="shared" si="23"/>
        <v>0</v>
      </c>
      <c r="AU25" s="17">
        <f t="shared" si="24"/>
        <v>0</v>
      </c>
      <c r="AV25" s="17">
        <f t="shared" si="25"/>
        <v>0</v>
      </c>
      <c r="AW25" s="17">
        <f t="shared" si="26"/>
        <v>0</v>
      </c>
      <c r="AX25" s="17">
        <f t="shared" si="27"/>
        <v>0</v>
      </c>
      <c r="AY25" s="17">
        <f t="shared" si="205"/>
        <v>0</v>
      </c>
      <c r="AZ25" s="17">
        <f t="shared" si="206"/>
        <v>0</v>
      </c>
      <c r="BA25" s="17">
        <f t="shared" si="145"/>
        <v>0</v>
      </c>
      <c r="BB25" s="17">
        <f t="shared" si="146"/>
        <v>0</v>
      </c>
      <c r="BC25" s="29">
        <f t="shared" si="147"/>
        <v>0</v>
      </c>
      <c r="BE25" s="17">
        <f t="shared" si="28"/>
        <v>0</v>
      </c>
      <c r="BF25" s="17">
        <f t="shared" si="29"/>
        <v>0</v>
      </c>
      <c r="BG25" s="17">
        <f t="shared" si="30"/>
        <v>0</v>
      </c>
      <c r="BH25" s="17">
        <f t="shared" si="31"/>
        <v>0</v>
      </c>
      <c r="BI25" s="17">
        <f t="shared" si="32"/>
        <v>0</v>
      </c>
      <c r="BJ25" s="17">
        <f t="shared" si="33"/>
        <v>0</v>
      </c>
      <c r="BK25" s="17">
        <f t="shared" si="148"/>
        <v>0</v>
      </c>
      <c r="BN25" s="284">
        <v>16</v>
      </c>
      <c r="BO25">
        <v>1</v>
      </c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B25" s="20"/>
      <c r="CD25" s="17">
        <f t="shared" si="35"/>
        <v>16</v>
      </c>
      <c r="CE25" s="17">
        <f t="shared" si="36"/>
        <v>16</v>
      </c>
      <c r="CF25" s="20">
        <f t="shared" si="207"/>
        <v>0</v>
      </c>
      <c r="CG25" s="20">
        <f t="shared" si="208"/>
        <v>0</v>
      </c>
      <c r="CH25" s="20">
        <f t="shared" si="209"/>
        <v>0</v>
      </c>
      <c r="CI25" s="20">
        <f t="shared" si="210"/>
        <v>0</v>
      </c>
      <c r="CJ25" s="20">
        <f t="shared" si="211"/>
        <v>0</v>
      </c>
      <c r="CK25" s="20">
        <f t="shared" si="212"/>
        <v>0</v>
      </c>
      <c r="CL25" s="20">
        <f t="shared" si="213"/>
        <v>0</v>
      </c>
      <c r="CM25" s="20">
        <f t="shared" si="214"/>
        <v>0</v>
      </c>
      <c r="CN25" s="20">
        <f t="shared" si="215"/>
        <v>0</v>
      </c>
      <c r="CO25" s="20">
        <f t="shared" si="216"/>
        <v>0</v>
      </c>
      <c r="CP25" s="20">
        <f t="shared" si="217"/>
        <v>0</v>
      </c>
      <c r="DV25" s="20">
        <f t="shared" si="48"/>
        <v>0</v>
      </c>
      <c r="DW25" s="20">
        <f t="shared" si="49"/>
        <v>0</v>
      </c>
      <c r="DX25" s="20">
        <f t="shared" si="50"/>
        <v>0</v>
      </c>
      <c r="DY25" s="20">
        <f t="shared" si="51"/>
        <v>0</v>
      </c>
      <c r="DZ25" s="20">
        <f t="shared" si="52"/>
        <v>0</v>
      </c>
      <c r="EA25" s="20">
        <f t="shared" si="53"/>
        <v>0</v>
      </c>
      <c r="EB25" s="20">
        <f t="shared" si="150"/>
        <v>0</v>
      </c>
      <c r="EG25" s="57">
        <f t="shared" si="151"/>
        <v>0</v>
      </c>
      <c r="EH25" s="57">
        <f t="shared" si="152"/>
        <v>0</v>
      </c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X25" s="169">
        <v>1</v>
      </c>
      <c r="FY25" s="17">
        <f t="shared" si="153"/>
        <v>16</v>
      </c>
      <c r="FZ25" s="17">
        <f t="shared" si="55"/>
        <v>16</v>
      </c>
      <c r="GA25" s="17">
        <f t="shared" si="56"/>
        <v>0</v>
      </c>
      <c r="GB25" s="17">
        <f t="shared" si="57"/>
        <v>0</v>
      </c>
      <c r="GC25" s="17">
        <f t="shared" si="58"/>
        <v>0</v>
      </c>
      <c r="GD25" s="17">
        <f t="shared" si="59"/>
        <v>0</v>
      </c>
      <c r="GE25" s="17">
        <f t="shared" si="60"/>
        <v>0</v>
      </c>
      <c r="GF25" s="67"/>
      <c r="GG25" s="17">
        <v>0</v>
      </c>
      <c r="GH25" s="17">
        <v>0</v>
      </c>
      <c r="GI25" s="67"/>
      <c r="GJ25" s="62">
        <f t="shared" si="154"/>
        <v>0</v>
      </c>
      <c r="GK25" s="62">
        <f t="shared" si="155"/>
        <v>0</v>
      </c>
      <c r="GO25" s="17">
        <f t="shared" si="61"/>
        <v>0</v>
      </c>
      <c r="GP25" s="17">
        <f t="shared" si="62"/>
        <v>0</v>
      </c>
      <c r="GQ25" s="17">
        <f t="shared" si="63"/>
        <v>0</v>
      </c>
      <c r="GR25" s="17">
        <f t="shared" si="64"/>
        <v>0</v>
      </c>
      <c r="GS25" s="17">
        <f t="shared" si="65"/>
        <v>0</v>
      </c>
      <c r="GT25" s="17">
        <f t="shared" si="156"/>
        <v>1</v>
      </c>
      <c r="GU25" s="101">
        <f t="shared" si="157"/>
        <v>43243</v>
      </c>
      <c r="GV25" s="17" t="str">
        <f t="shared" si="158"/>
        <v>SELESAI</v>
      </c>
      <c r="GW25" s="17">
        <f t="shared" si="159"/>
        <v>0</v>
      </c>
      <c r="GX25" s="66" t="str">
        <f t="shared" si="160"/>
        <v>SELESAI</v>
      </c>
      <c r="GY25" s="66">
        <f t="shared" si="161"/>
        <v>0</v>
      </c>
      <c r="GZ25" s="102" t="str">
        <f t="shared" si="162"/>
        <v>SELESAI</v>
      </c>
      <c r="HA25" s="83"/>
      <c r="HB25" s="83"/>
      <c r="HC25" s="17">
        <f t="shared" si="66"/>
        <v>0</v>
      </c>
      <c r="HD25" s="17">
        <f t="shared" si="67"/>
        <v>0</v>
      </c>
      <c r="HE25" s="17">
        <f t="shared" si="163"/>
        <v>0</v>
      </c>
      <c r="HF25" s="17">
        <f t="shared" si="164"/>
        <v>0</v>
      </c>
      <c r="HG25" s="17">
        <f t="shared" si="165"/>
        <v>0</v>
      </c>
      <c r="HH25" s="101" t="str">
        <f t="shared" si="68"/>
        <v>TIDAK KONSINYASI</v>
      </c>
      <c r="HI25" s="101" t="str">
        <f t="shared" si="166"/>
        <v>SELESAI</v>
      </c>
      <c r="HJ25" s="27"/>
      <c r="HK25" s="101">
        <f t="shared" si="69"/>
        <v>0</v>
      </c>
      <c r="HL25" s="83"/>
      <c r="HM25" s="83"/>
      <c r="HN25" s="83"/>
      <c r="HO25" s="83"/>
      <c r="HP25" s="102">
        <f t="shared" si="167"/>
        <v>0</v>
      </c>
      <c r="HQ25" s="66">
        <f t="shared" si="168"/>
        <v>0</v>
      </c>
      <c r="HR25" s="66">
        <f t="shared" si="70"/>
        <v>0</v>
      </c>
      <c r="HS25" s="102">
        <f t="shared" si="169"/>
        <v>0</v>
      </c>
      <c r="HT25" s="66">
        <f t="shared" si="170"/>
        <v>0</v>
      </c>
      <c r="HU25" s="66">
        <f t="shared" si="71"/>
        <v>0</v>
      </c>
      <c r="HV25" s="102">
        <f t="shared" si="171"/>
        <v>0</v>
      </c>
      <c r="HW25" s="66">
        <f t="shared" si="72"/>
        <v>0</v>
      </c>
      <c r="HX25" s="66">
        <f t="shared" si="73"/>
        <v>0</v>
      </c>
      <c r="HY25" s="102">
        <f t="shared" si="74"/>
        <v>0</v>
      </c>
      <c r="HZ25" s="66">
        <f t="shared" si="172"/>
        <v>0</v>
      </c>
      <c r="IA25" s="66">
        <f t="shared" si="75"/>
        <v>0</v>
      </c>
      <c r="IB25" s="102">
        <f t="shared" si="173"/>
        <v>0</v>
      </c>
      <c r="IC25" s="66">
        <f t="shared" si="76"/>
        <v>0</v>
      </c>
      <c r="ID25" s="66">
        <f t="shared" si="77"/>
        <v>0</v>
      </c>
      <c r="IE25" s="102">
        <f t="shared" si="78"/>
        <v>0</v>
      </c>
      <c r="IF25" s="66">
        <f t="shared" si="79"/>
        <v>0</v>
      </c>
      <c r="IG25" s="66">
        <f t="shared" si="80"/>
        <v>0</v>
      </c>
      <c r="IH25" s="102">
        <f t="shared" si="174"/>
        <v>0</v>
      </c>
      <c r="II25" s="66">
        <f t="shared" si="175"/>
        <v>0</v>
      </c>
      <c r="IJ25" s="66">
        <f t="shared" si="81"/>
        <v>0</v>
      </c>
      <c r="IK25" s="102">
        <f t="shared" si="82"/>
        <v>0</v>
      </c>
      <c r="IL25" s="66">
        <f t="shared" si="83"/>
        <v>0</v>
      </c>
      <c r="IM25" s="66">
        <f t="shared" si="84"/>
        <v>0</v>
      </c>
      <c r="IN25" s="83"/>
      <c r="IO25" s="102">
        <f t="shared" si="85"/>
        <v>0</v>
      </c>
      <c r="IP25" s="66">
        <f t="shared" si="86"/>
        <v>0</v>
      </c>
      <c r="IQ25" s="66">
        <f t="shared" si="87"/>
        <v>0</v>
      </c>
      <c r="IR25" s="83"/>
      <c r="IS25" s="102"/>
      <c r="IT25" s="66">
        <f t="shared" si="88"/>
        <v>1</v>
      </c>
      <c r="IU25" s="66">
        <f t="shared" si="89"/>
        <v>50</v>
      </c>
      <c r="IV25" s="83"/>
      <c r="IW25" s="102"/>
      <c r="IX25" s="66">
        <f t="shared" si="90"/>
        <v>0</v>
      </c>
      <c r="IY25" s="66">
        <f t="shared" si="91"/>
        <v>0</v>
      </c>
      <c r="IZ25" s="83"/>
      <c r="JA25" s="102"/>
      <c r="JB25" s="66">
        <f t="shared" si="92"/>
        <v>0</v>
      </c>
      <c r="JC25" s="66">
        <f t="shared" si="93"/>
        <v>0</v>
      </c>
      <c r="JD25" s="83"/>
      <c r="JE25" s="102"/>
      <c r="JF25" s="66">
        <f t="shared" si="176"/>
        <v>1</v>
      </c>
      <c r="JG25" s="66">
        <f t="shared" si="94"/>
        <v>50</v>
      </c>
      <c r="JH25" s="83"/>
      <c r="JI25" s="102"/>
      <c r="JJ25" s="66">
        <f t="shared" si="95"/>
        <v>0</v>
      </c>
      <c r="JK25" s="66">
        <f t="shared" si="96"/>
        <v>0</v>
      </c>
      <c r="JM25" s="102">
        <f t="shared" si="177"/>
        <v>0</v>
      </c>
      <c r="JO25" s="29">
        <f t="shared" si="97"/>
        <v>1</v>
      </c>
      <c r="JP25" s="122">
        <f t="shared" si="98"/>
        <v>16</v>
      </c>
      <c r="JQ25" s="122">
        <f t="shared" si="99"/>
        <v>1</v>
      </c>
      <c r="JR25" s="122">
        <f t="shared" si="100"/>
        <v>0</v>
      </c>
      <c r="JS25" s="122">
        <f t="shared" si="101"/>
        <v>0</v>
      </c>
      <c r="JT25" s="122">
        <f t="shared" si="102"/>
        <v>0</v>
      </c>
      <c r="JU25" s="122">
        <f t="shared" si="103"/>
        <v>0</v>
      </c>
      <c r="JV25" s="122">
        <f t="shared" si="104"/>
        <v>0</v>
      </c>
      <c r="JW25" s="122">
        <f t="shared" si="105"/>
        <v>0</v>
      </c>
      <c r="JX25" s="122">
        <f t="shared" si="106"/>
        <v>0</v>
      </c>
      <c r="JY25" s="122">
        <f t="shared" si="107"/>
        <v>0</v>
      </c>
      <c r="JZ25" s="122">
        <f t="shared" si="108"/>
        <v>0</v>
      </c>
      <c r="KA25" s="122">
        <f t="shared" si="109"/>
        <v>0</v>
      </c>
      <c r="KB25" s="122">
        <f t="shared" si="110"/>
        <v>0</v>
      </c>
      <c r="KD25" s="122">
        <f t="shared" si="178"/>
        <v>0</v>
      </c>
      <c r="KE25" s="122">
        <f t="shared" si="112"/>
        <v>0</v>
      </c>
      <c r="KF25" s="122">
        <f t="shared" si="113"/>
        <v>16</v>
      </c>
      <c r="KG25" s="122">
        <f t="shared" si="114"/>
        <v>16</v>
      </c>
      <c r="KH25" s="122">
        <f t="shared" si="115"/>
        <v>0</v>
      </c>
      <c r="KI25" s="122">
        <f t="shared" si="116"/>
        <v>0</v>
      </c>
      <c r="KJ25" s="122">
        <f t="shared" si="117"/>
        <v>0</v>
      </c>
      <c r="KK25" s="122">
        <f t="shared" si="118"/>
        <v>0</v>
      </c>
      <c r="KL25" s="122">
        <f t="shared" si="119"/>
        <v>0</v>
      </c>
      <c r="KM25" s="122">
        <f t="shared" si="120"/>
        <v>0</v>
      </c>
      <c r="KN25" s="123">
        <f t="shared" si="121"/>
        <v>0</v>
      </c>
      <c r="KO25" s="123">
        <f t="shared" si="122"/>
        <v>0</v>
      </c>
      <c r="KP25" s="123">
        <f t="shared" si="123"/>
        <v>0</v>
      </c>
      <c r="KQ25" s="123">
        <f t="shared" si="124"/>
        <v>0</v>
      </c>
      <c r="KR25" s="123">
        <f t="shared" si="125"/>
        <v>0</v>
      </c>
      <c r="KT25">
        <f t="shared" si="126"/>
        <v>0</v>
      </c>
      <c r="KU25" s="123"/>
      <c r="KV25" s="123"/>
      <c r="KW25" s="123"/>
      <c r="KX25" s="123"/>
      <c r="KY25" s="123"/>
      <c r="KZ25" s="123"/>
      <c r="LA25" s="123"/>
      <c r="LB25" s="123"/>
      <c r="LC25" s="123"/>
      <c r="LD25" s="123"/>
      <c r="LE25" s="123"/>
      <c r="LF25" s="123"/>
      <c r="LG25" s="123"/>
      <c r="LH25" s="123"/>
      <c r="LI25" s="123"/>
      <c r="LJ25" s="123"/>
      <c r="LK25" s="123"/>
      <c r="LL25" s="123"/>
      <c r="LM25" s="123"/>
      <c r="LN25" s="123"/>
      <c r="LO25" s="123"/>
      <c r="LP25" s="123"/>
      <c r="LQ25" s="123"/>
      <c r="LR25" s="123"/>
      <c r="LS25" s="123"/>
      <c r="LT25" s="123"/>
      <c r="LU25" s="123"/>
      <c r="LV25" s="123"/>
      <c r="LW25" s="123"/>
      <c r="LX25" s="123"/>
      <c r="LY25" s="123"/>
      <c r="LZ25" s="123"/>
      <c r="MA25" s="123"/>
      <c r="MB25" s="123"/>
      <c r="MC25" s="123"/>
      <c r="MD25" s="123"/>
      <c r="ME25" s="123"/>
      <c r="MF25" s="123"/>
      <c r="MG25" s="123"/>
      <c r="MH25" s="123"/>
      <c r="MI25" s="123"/>
      <c r="MJ25" s="123"/>
      <c r="MK25" s="123"/>
      <c r="ML25" s="123"/>
      <c r="MM25" s="123"/>
      <c r="MN25" s="123"/>
      <c r="MO25" s="123"/>
      <c r="MP25" s="123"/>
      <c r="MQ25" s="123"/>
      <c r="MR25" s="123"/>
      <c r="MS25" s="123"/>
      <c r="MT25" s="123"/>
      <c r="MU25" s="123"/>
      <c r="MV25" s="123"/>
      <c r="MW25" s="123"/>
      <c r="MX25" s="123"/>
      <c r="MY25" s="123"/>
      <c r="MZ25" s="123"/>
      <c r="NA25" s="123"/>
      <c r="NB25" s="123"/>
      <c r="NC25" s="123"/>
      <c r="ND25" s="123"/>
      <c r="NE25" s="123"/>
      <c r="NF25" s="123"/>
      <c r="NG25" s="123"/>
      <c r="NH25" s="123"/>
      <c r="NI25" s="123"/>
      <c r="NJ25" s="123"/>
      <c r="NK25" s="123"/>
      <c r="NM25">
        <f t="shared" si="179"/>
        <v>0</v>
      </c>
      <c r="NN25">
        <f t="shared" si="180"/>
        <v>0</v>
      </c>
      <c r="NO25">
        <f t="shared" si="181"/>
        <v>0</v>
      </c>
      <c r="NP25">
        <f t="shared" si="182"/>
        <v>0</v>
      </c>
      <c r="NQ25">
        <f t="shared" si="183"/>
        <v>0</v>
      </c>
      <c r="NR25">
        <f t="shared" si="184"/>
        <v>0</v>
      </c>
      <c r="NS25">
        <f t="shared" si="185"/>
        <v>0</v>
      </c>
      <c r="NT25">
        <f t="shared" si="186"/>
        <v>0</v>
      </c>
      <c r="NU25" s="29">
        <f t="shared" si="187"/>
        <v>0</v>
      </c>
      <c r="NY25" s="29">
        <f t="shared" si="128"/>
        <v>1</v>
      </c>
      <c r="NZ25" s="152">
        <v>8036000</v>
      </c>
      <c r="OE25" s="155">
        <f t="shared" si="129"/>
        <v>0</v>
      </c>
      <c r="OF25" s="155">
        <f t="shared" si="130"/>
        <v>0</v>
      </c>
      <c r="OG25" s="155">
        <f t="shared" si="131"/>
        <v>0</v>
      </c>
      <c r="OH25" s="155">
        <f t="shared" si="188"/>
        <v>0</v>
      </c>
      <c r="OI25" s="155">
        <f t="shared" si="132"/>
        <v>0</v>
      </c>
      <c r="OJ25" s="67">
        <f t="shared" si="189"/>
        <v>0</v>
      </c>
      <c r="OK25" s="67">
        <f t="shared" si="190"/>
        <v>0</v>
      </c>
      <c r="OL25" s="67">
        <f t="shared" si="191"/>
        <v>0</v>
      </c>
      <c r="OM25" s="67">
        <f t="shared" si="192"/>
        <v>0</v>
      </c>
      <c r="OO25" s="155">
        <f t="shared" si="133"/>
        <v>0</v>
      </c>
      <c r="OP25" s="155">
        <f t="shared" si="134"/>
        <v>0</v>
      </c>
      <c r="OQ25" s="155">
        <f t="shared" si="193"/>
        <v>0</v>
      </c>
      <c r="OR25" s="155">
        <f t="shared" si="194"/>
        <v>0</v>
      </c>
      <c r="OS25" s="155">
        <f t="shared" si="195"/>
        <v>0</v>
      </c>
      <c r="OT25" s="67">
        <f t="shared" si="196"/>
        <v>0</v>
      </c>
      <c r="OU25" s="67">
        <f t="shared" si="197"/>
        <v>0</v>
      </c>
      <c r="OV25" s="67">
        <f t="shared" si="198"/>
        <v>0</v>
      </c>
      <c r="OW25" s="67">
        <f t="shared" si="199"/>
        <v>0</v>
      </c>
      <c r="PA25" s="166"/>
      <c r="PB25" s="166"/>
      <c r="PC25" s="166"/>
      <c r="PD25" s="210">
        <f t="shared" si="135"/>
        <v>0</v>
      </c>
      <c r="PE25" s="210"/>
      <c r="PF25" s="210">
        <f t="shared" si="136"/>
        <v>0</v>
      </c>
      <c r="PG25" s="210">
        <f t="shared" si="137"/>
        <v>0</v>
      </c>
      <c r="PH25" s="210">
        <f t="shared" si="137"/>
        <v>0</v>
      </c>
      <c r="PI25" s="210">
        <f t="shared" si="137"/>
        <v>0</v>
      </c>
      <c r="PJ25" s="210">
        <f t="shared" si="137"/>
        <v>0</v>
      </c>
      <c r="PK25" s="210">
        <f t="shared" si="137"/>
        <v>0</v>
      </c>
      <c r="PL25" s="210">
        <f t="shared" si="137"/>
        <v>0</v>
      </c>
      <c r="PO25" s="172">
        <f t="shared" si="200"/>
        <v>0</v>
      </c>
      <c r="PP25" s="172">
        <f t="shared" si="201"/>
        <v>0</v>
      </c>
      <c r="PQ25" s="172">
        <f t="shared" si="202"/>
        <v>0</v>
      </c>
    </row>
    <row r="26" spans="1:433 16383:16383" ht="16" x14ac:dyDescent="0.2">
      <c r="A26" s="19">
        <f t="shared" si="203"/>
        <v>18</v>
      </c>
      <c r="B26" s="186" t="s">
        <v>260</v>
      </c>
      <c r="C26" s="186">
        <v>15</v>
      </c>
      <c r="D26" s="188">
        <v>1</v>
      </c>
      <c r="E26" s="188">
        <v>97</v>
      </c>
      <c r="F26" s="188">
        <v>1</v>
      </c>
      <c r="G26" s="188">
        <f t="shared" si="138"/>
        <v>97</v>
      </c>
      <c r="H26" s="214">
        <f t="shared" si="2"/>
        <v>1</v>
      </c>
      <c r="I26" s="214">
        <f t="shared" si="3"/>
        <v>1</v>
      </c>
      <c r="J26" s="188">
        <v>1</v>
      </c>
      <c r="K26" s="188">
        <f t="shared" si="4"/>
        <v>97</v>
      </c>
      <c r="L26" s="214">
        <f t="shared" si="5"/>
        <v>1</v>
      </c>
      <c r="M26" s="214">
        <f t="shared" si="6"/>
        <v>1</v>
      </c>
      <c r="N26" s="188">
        <v>1</v>
      </c>
      <c r="O26" s="188">
        <f t="shared" si="7"/>
        <v>97</v>
      </c>
      <c r="P26" s="214">
        <f t="shared" si="8"/>
        <v>1</v>
      </c>
      <c r="Q26" s="214">
        <f t="shared" si="9"/>
        <v>1</v>
      </c>
      <c r="R26" s="188">
        <v>1</v>
      </c>
      <c r="S26" s="188">
        <f t="shared" si="10"/>
        <v>97</v>
      </c>
      <c r="T26" s="214">
        <f t="shared" si="11"/>
        <v>1</v>
      </c>
      <c r="U26" s="214">
        <f t="shared" si="12"/>
        <v>1</v>
      </c>
      <c r="V26" s="188">
        <v>1</v>
      </c>
      <c r="W26" s="188">
        <f t="shared" si="13"/>
        <v>97</v>
      </c>
      <c r="X26" s="214">
        <f t="shared" si="14"/>
        <v>1</v>
      </c>
      <c r="Y26" s="214">
        <f t="shared" si="15"/>
        <v>1</v>
      </c>
      <c r="Z26" s="272">
        <f>1372054000/1000000000</f>
        <v>1.3720540000000001</v>
      </c>
      <c r="AA26" s="272"/>
      <c r="AB26" s="189">
        <f t="shared" si="139"/>
        <v>0</v>
      </c>
      <c r="AC26" s="250">
        <f t="shared" si="140"/>
        <v>0</v>
      </c>
      <c r="AD26" s="250">
        <f t="shared" si="141"/>
        <v>0</v>
      </c>
      <c r="AE26" s="272"/>
      <c r="AF26" s="188">
        <f t="shared" si="142"/>
        <v>0</v>
      </c>
      <c r="AG26" s="188"/>
      <c r="AH26" s="187"/>
      <c r="AI26" s="20">
        <v>0</v>
      </c>
      <c r="AJ26" s="20">
        <f t="shared" si="204"/>
        <v>0</v>
      </c>
      <c r="AK26" s="20"/>
      <c r="AL26" s="20">
        <v>0</v>
      </c>
      <c r="AM26" s="20">
        <v>0</v>
      </c>
      <c r="AN26" s="139"/>
      <c r="AO26" s="17">
        <f t="shared" si="18"/>
        <v>0</v>
      </c>
      <c r="AP26" s="17">
        <f t="shared" si="19"/>
        <v>0</v>
      </c>
      <c r="AQ26" s="17">
        <f t="shared" si="20"/>
        <v>0</v>
      </c>
      <c r="AR26" s="17">
        <f t="shared" si="21"/>
        <v>0</v>
      </c>
      <c r="AS26" s="17">
        <f t="shared" si="22"/>
        <v>0</v>
      </c>
      <c r="AT26" s="17">
        <f t="shared" si="23"/>
        <v>0</v>
      </c>
      <c r="AU26" s="17">
        <f t="shared" si="24"/>
        <v>0</v>
      </c>
      <c r="AV26" s="17">
        <f t="shared" si="25"/>
        <v>0</v>
      </c>
      <c r="AW26" s="17">
        <f t="shared" si="26"/>
        <v>0</v>
      </c>
      <c r="AX26" s="17">
        <f t="shared" si="27"/>
        <v>0</v>
      </c>
      <c r="AY26" s="17">
        <f t="shared" si="205"/>
        <v>0</v>
      </c>
      <c r="AZ26" s="17">
        <f t="shared" si="206"/>
        <v>0</v>
      </c>
      <c r="BA26" s="17">
        <f t="shared" si="145"/>
        <v>0</v>
      </c>
      <c r="BB26" s="17">
        <f t="shared" si="146"/>
        <v>0</v>
      </c>
      <c r="BC26" s="29">
        <f t="shared" si="147"/>
        <v>0</v>
      </c>
      <c r="BE26" s="17">
        <f t="shared" si="28"/>
        <v>0</v>
      </c>
      <c r="BF26" s="17">
        <f t="shared" si="29"/>
        <v>0</v>
      </c>
      <c r="BG26" s="17">
        <f t="shared" si="30"/>
        <v>0</v>
      </c>
      <c r="BH26" s="17">
        <f t="shared" si="31"/>
        <v>0</v>
      </c>
      <c r="BI26" s="17">
        <f t="shared" si="32"/>
        <v>0</v>
      </c>
      <c r="BJ26" s="17">
        <f t="shared" si="33"/>
        <v>0</v>
      </c>
      <c r="BK26" s="17">
        <f t="shared" si="148"/>
        <v>0</v>
      </c>
      <c r="BN26" s="284">
        <v>50</v>
      </c>
      <c r="BO26">
        <v>1</v>
      </c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B26" s="20"/>
      <c r="CD26" s="17">
        <f t="shared" si="35"/>
        <v>50</v>
      </c>
      <c r="CE26" s="17">
        <f t="shared" si="36"/>
        <v>50</v>
      </c>
      <c r="CF26" s="20">
        <f t="shared" si="207"/>
        <v>0</v>
      </c>
      <c r="CG26" s="20">
        <f t="shared" si="208"/>
        <v>0</v>
      </c>
      <c r="CH26" s="20">
        <f t="shared" si="209"/>
        <v>0</v>
      </c>
      <c r="CI26" s="20">
        <f t="shared" si="210"/>
        <v>0</v>
      </c>
      <c r="CJ26" s="20">
        <f t="shared" si="211"/>
        <v>0</v>
      </c>
      <c r="CK26" s="20">
        <f t="shared" si="212"/>
        <v>0</v>
      </c>
      <c r="CL26" s="20">
        <f t="shared" si="213"/>
        <v>0</v>
      </c>
      <c r="CM26" s="20">
        <f t="shared" si="214"/>
        <v>0</v>
      </c>
      <c r="CN26" s="20">
        <f t="shared" si="215"/>
        <v>0</v>
      </c>
      <c r="CO26" s="20">
        <f t="shared" si="216"/>
        <v>0</v>
      </c>
      <c r="CP26" s="20">
        <f t="shared" si="217"/>
        <v>0</v>
      </c>
      <c r="DV26" s="20">
        <f t="shared" si="48"/>
        <v>0</v>
      </c>
      <c r="DW26" s="20">
        <f t="shared" si="49"/>
        <v>0</v>
      </c>
      <c r="DX26" s="20">
        <f t="shared" si="50"/>
        <v>0</v>
      </c>
      <c r="DY26" s="20">
        <f t="shared" si="51"/>
        <v>0</v>
      </c>
      <c r="DZ26" s="20">
        <f t="shared" si="52"/>
        <v>0</v>
      </c>
      <c r="EA26" s="20">
        <f t="shared" si="53"/>
        <v>0</v>
      </c>
      <c r="EB26" s="20">
        <f t="shared" si="150"/>
        <v>0</v>
      </c>
      <c r="EG26" s="57">
        <f t="shared" si="151"/>
        <v>0</v>
      </c>
      <c r="EH26" s="57">
        <f t="shared" si="152"/>
        <v>0</v>
      </c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X26" s="169">
        <v>1</v>
      </c>
      <c r="FY26" s="17">
        <f t="shared" si="153"/>
        <v>50</v>
      </c>
      <c r="FZ26" s="17">
        <f t="shared" si="55"/>
        <v>50</v>
      </c>
      <c r="GA26" s="17">
        <f t="shared" si="56"/>
        <v>0</v>
      </c>
      <c r="GB26" s="17">
        <f t="shared" si="57"/>
        <v>0</v>
      </c>
      <c r="GC26" s="17">
        <f t="shared" si="58"/>
        <v>0</v>
      </c>
      <c r="GD26" s="17">
        <f t="shared" si="59"/>
        <v>0</v>
      </c>
      <c r="GE26" s="17">
        <f t="shared" si="60"/>
        <v>0</v>
      </c>
      <c r="GF26" s="67"/>
      <c r="GG26" s="17">
        <v>0</v>
      </c>
      <c r="GH26" s="17">
        <v>0</v>
      </c>
      <c r="GI26" s="67"/>
      <c r="GJ26" s="62">
        <f t="shared" si="154"/>
        <v>0</v>
      </c>
      <c r="GK26" s="62">
        <f t="shared" si="155"/>
        <v>0</v>
      </c>
      <c r="GO26" s="17">
        <f t="shared" si="61"/>
        <v>0</v>
      </c>
      <c r="GP26" s="17">
        <f t="shared" si="62"/>
        <v>0</v>
      </c>
      <c r="GQ26" s="17">
        <f t="shared" si="63"/>
        <v>0</v>
      </c>
      <c r="GR26" s="17">
        <f t="shared" si="64"/>
        <v>0</v>
      </c>
      <c r="GS26" s="17">
        <f t="shared" si="65"/>
        <v>0</v>
      </c>
      <c r="GT26" s="17">
        <f t="shared" si="156"/>
        <v>1</v>
      </c>
      <c r="GU26" s="101">
        <f t="shared" si="157"/>
        <v>43243</v>
      </c>
      <c r="GV26" s="17" t="str">
        <f t="shared" si="158"/>
        <v>SELESAI</v>
      </c>
      <c r="GW26" s="17">
        <f t="shared" si="159"/>
        <v>0</v>
      </c>
      <c r="GX26" s="66" t="str">
        <f t="shared" si="160"/>
        <v>SELESAI</v>
      </c>
      <c r="GY26" s="66">
        <f t="shared" si="161"/>
        <v>0</v>
      </c>
      <c r="GZ26" s="102" t="str">
        <f t="shared" si="162"/>
        <v>SELESAI</v>
      </c>
      <c r="HA26" s="83"/>
      <c r="HB26" s="83"/>
      <c r="HC26" s="17">
        <f t="shared" si="66"/>
        <v>0</v>
      </c>
      <c r="HD26" s="17">
        <f t="shared" si="67"/>
        <v>0</v>
      </c>
      <c r="HE26" s="17">
        <f t="shared" si="163"/>
        <v>0</v>
      </c>
      <c r="HF26" s="17">
        <f t="shared" si="164"/>
        <v>0</v>
      </c>
      <c r="HG26" s="17">
        <f t="shared" si="165"/>
        <v>0</v>
      </c>
      <c r="HH26" s="101" t="str">
        <f t="shared" si="68"/>
        <v>TIDAK KONSINYASI</v>
      </c>
      <c r="HI26" s="101" t="str">
        <f t="shared" si="166"/>
        <v>SELESAI</v>
      </c>
      <c r="HJ26" s="27"/>
      <c r="HK26" s="101">
        <f t="shared" si="69"/>
        <v>0</v>
      </c>
      <c r="HL26" s="83"/>
      <c r="HM26" s="83"/>
      <c r="HN26" s="83"/>
      <c r="HO26" s="83"/>
      <c r="HP26" s="102">
        <f t="shared" si="167"/>
        <v>0</v>
      </c>
      <c r="HQ26" s="66">
        <f t="shared" si="168"/>
        <v>0</v>
      </c>
      <c r="HR26" s="66">
        <f t="shared" si="70"/>
        <v>0</v>
      </c>
      <c r="HS26" s="102">
        <f t="shared" si="169"/>
        <v>0</v>
      </c>
      <c r="HT26" s="66">
        <f t="shared" si="170"/>
        <v>0</v>
      </c>
      <c r="HU26" s="66">
        <f t="shared" si="71"/>
        <v>0</v>
      </c>
      <c r="HV26" s="102">
        <f t="shared" si="171"/>
        <v>0</v>
      </c>
      <c r="HW26" s="66">
        <f t="shared" si="72"/>
        <v>0</v>
      </c>
      <c r="HX26" s="66">
        <f t="shared" si="73"/>
        <v>0</v>
      </c>
      <c r="HY26" s="102">
        <f t="shared" si="74"/>
        <v>0</v>
      </c>
      <c r="HZ26" s="66">
        <f t="shared" si="172"/>
        <v>0</v>
      </c>
      <c r="IA26" s="66">
        <f t="shared" si="75"/>
        <v>0</v>
      </c>
      <c r="IB26" s="102">
        <f t="shared" si="173"/>
        <v>0</v>
      </c>
      <c r="IC26" s="66">
        <f t="shared" si="76"/>
        <v>0</v>
      </c>
      <c r="ID26" s="66">
        <f t="shared" si="77"/>
        <v>0</v>
      </c>
      <c r="IE26" s="102">
        <f t="shared" si="78"/>
        <v>0</v>
      </c>
      <c r="IF26" s="66">
        <f t="shared" si="79"/>
        <v>0</v>
      </c>
      <c r="IG26" s="66">
        <f t="shared" si="80"/>
        <v>0</v>
      </c>
      <c r="IH26" s="102">
        <f t="shared" si="174"/>
        <v>0</v>
      </c>
      <c r="II26" s="66">
        <f t="shared" si="175"/>
        <v>0</v>
      </c>
      <c r="IJ26" s="66">
        <f t="shared" si="81"/>
        <v>0</v>
      </c>
      <c r="IK26" s="102">
        <f t="shared" si="82"/>
        <v>0</v>
      </c>
      <c r="IL26" s="66">
        <f t="shared" si="83"/>
        <v>0</v>
      </c>
      <c r="IM26" s="66">
        <f t="shared" si="84"/>
        <v>0</v>
      </c>
      <c r="IN26" s="83"/>
      <c r="IO26" s="102">
        <f t="shared" si="85"/>
        <v>0</v>
      </c>
      <c r="IP26" s="66">
        <f t="shared" si="86"/>
        <v>0</v>
      </c>
      <c r="IQ26" s="66">
        <f t="shared" si="87"/>
        <v>0</v>
      </c>
      <c r="IR26" s="83"/>
      <c r="IS26" s="102"/>
      <c r="IT26" s="66">
        <f t="shared" si="88"/>
        <v>1</v>
      </c>
      <c r="IU26" s="66">
        <f t="shared" si="89"/>
        <v>97</v>
      </c>
      <c r="IV26" s="83"/>
      <c r="IW26" s="102"/>
      <c r="IX26" s="66">
        <f t="shared" si="90"/>
        <v>0</v>
      </c>
      <c r="IY26" s="66">
        <f t="shared" si="91"/>
        <v>0</v>
      </c>
      <c r="IZ26" s="83"/>
      <c r="JA26" s="102"/>
      <c r="JB26" s="66">
        <f t="shared" si="92"/>
        <v>0</v>
      </c>
      <c r="JC26" s="66">
        <f t="shared" si="93"/>
        <v>0</v>
      </c>
      <c r="JD26" s="83"/>
      <c r="JE26" s="102"/>
      <c r="JF26" s="66">
        <f t="shared" si="176"/>
        <v>1</v>
      </c>
      <c r="JG26" s="66">
        <f t="shared" si="94"/>
        <v>97</v>
      </c>
      <c r="JH26" s="83"/>
      <c r="JI26" s="102"/>
      <c r="JJ26" s="66">
        <f t="shared" si="95"/>
        <v>0</v>
      </c>
      <c r="JK26" s="66">
        <f t="shared" si="96"/>
        <v>0</v>
      </c>
      <c r="JM26" s="102">
        <f t="shared" si="177"/>
        <v>0</v>
      </c>
      <c r="JO26" s="29">
        <f t="shared" si="97"/>
        <v>1</v>
      </c>
      <c r="JP26" s="122">
        <f t="shared" si="98"/>
        <v>50</v>
      </c>
      <c r="JQ26" s="122">
        <f t="shared" si="99"/>
        <v>1</v>
      </c>
      <c r="JR26" s="122">
        <f t="shared" si="100"/>
        <v>0</v>
      </c>
      <c r="JS26" s="122">
        <f t="shared" si="101"/>
        <v>0</v>
      </c>
      <c r="JT26" s="122">
        <f t="shared" si="102"/>
        <v>0</v>
      </c>
      <c r="JU26" s="122">
        <f t="shared" si="103"/>
        <v>0</v>
      </c>
      <c r="JV26" s="122">
        <f t="shared" si="104"/>
        <v>0</v>
      </c>
      <c r="JW26" s="122">
        <f t="shared" si="105"/>
        <v>0</v>
      </c>
      <c r="JX26" s="122">
        <f t="shared" si="106"/>
        <v>0</v>
      </c>
      <c r="JY26" s="122">
        <f t="shared" si="107"/>
        <v>0</v>
      </c>
      <c r="JZ26" s="122">
        <f t="shared" si="108"/>
        <v>0</v>
      </c>
      <c r="KA26" s="122">
        <f t="shared" si="109"/>
        <v>0</v>
      </c>
      <c r="KB26" s="122">
        <f t="shared" si="110"/>
        <v>0</v>
      </c>
      <c r="KD26" s="122">
        <f t="shared" si="178"/>
        <v>0</v>
      </c>
      <c r="KE26" s="122">
        <f t="shared" si="112"/>
        <v>0</v>
      </c>
      <c r="KF26" s="122">
        <f t="shared" si="113"/>
        <v>50</v>
      </c>
      <c r="KG26" s="122">
        <f t="shared" si="114"/>
        <v>50</v>
      </c>
      <c r="KH26" s="122">
        <f t="shared" si="115"/>
        <v>0</v>
      </c>
      <c r="KI26" s="122">
        <f t="shared" si="116"/>
        <v>0</v>
      </c>
      <c r="KJ26" s="122">
        <f t="shared" si="117"/>
        <v>0</v>
      </c>
      <c r="KK26" s="122">
        <f t="shared" si="118"/>
        <v>0</v>
      </c>
      <c r="KL26" s="122">
        <f t="shared" si="119"/>
        <v>0</v>
      </c>
      <c r="KM26" s="122">
        <f t="shared" si="120"/>
        <v>0</v>
      </c>
      <c r="KN26" s="123">
        <f t="shared" si="121"/>
        <v>0</v>
      </c>
      <c r="KO26" s="123">
        <f t="shared" si="122"/>
        <v>0</v>
      </c>
      <c r="KP26" s="123">
        <f t="shared" si="123"/>
        <v>0</v>
      </c>
      <c r="KQ26" s="123">
        <f t="shared" si="124"/>
        <v>0</v>
      </c>
      <c r="KR26" s="123">
        <f t="shared" si="125"/>
        <v>0</v>
      </c>
      <c r="KT26">
        <f t="shared" si="126"/>
        <v>0</v>
      </c>
      <c r="KU26" s="123"/>
      <c r="KV26" s="123"/>
      <c r="KW26" s="123"/>
      <c r="KX26" s="123"/>
      <c r="KY26" s="123"/>
      <c r="KZ26" s="123"/>
      <c r="LA26" s="123"/>
      <c r="LB26" s="123"/>
      <c r="LC26" s="123"/>
      <c r="LD26" s="123"/>
      <c r="LE26" s="123"/>
      <c r="LF26" s="123"/>
      <c r="LG26" s="123"/>
      <c r="LH26" s="123"/>
      <c r="LI26" s="123"/>
      <c r="LJ26" s="123"/>
      <c r="LK26" s="123"/>
      <c r="LL26" s="123"/>
      <c r="LM26" s="123"/>
      <c r="LN26" s="123"/>
      <c r="LO26" s="123"/>
      <c r="LP26" s="123"/>
      <c r="LQ26" s="123"/>
      <c r="LR26" s="123"/>
      <c r="LS26" s="123"/>
      <c r="LT26" s="123"/>
      <c r="LU26" s="123"/>
      <c r="LV26" s="123"/>
      <c r="LW26" s="123"/>
      <c r="LX26" s="123"/>
      <c r="LY26" s="123"/>
      <c r="LZ26" s="123"/>
      <c r="MA26" s="123"/>
      <c r="MB26" s="123"/>
      <c r="MC26" s="123"/>
      <c r="MD26" s="123"/>
      <c r="ME26" s="123"/>
      <c r="MF26" s="123"/>
      <c r="MG26" s="123"/>
      <c r="MH26" s="123"/>
      <c r="MI26" s="123"/>
      <c r="MJ26" s="123"/>
      <c r="MK26" s="123"/>
      <c r="ML26" s="123"/>
      <c r="MM26" s="123"/>
      <c r="MN26" s="123"/>
      <c r="MO26" s="123"/>
      <c r="MP26" s="123"/>
      <c r="MQ26" s="123"/>
      <c r="MR26" s="123"/>
      <c r="MS26" s="123"/>
      <c r="MT26" s="123"/>
      <c r="MU26" s="123"/>
      <c r="MV26" s="123"/>
      <c r="MW26" s="123"/>
      <c r="MX26" s="123"/>
      <c r="MY26" s="123"/>
      <c r="MZ26" s="123"/>
      <c r="NA26" s="123"/>
      <c r="NB26" s="123"/>
      <c r="NC26" s="123"/>
      <c r="ND26" s="123"/>
      <c r="NE26" s="123"/>
      <c r="NF26" s="123"/>
      <c r="NG26" s="123"/>
      <c r="NH26" s="123"/>
      <c r="NI26" s="123"/>
      <c r="NJ26" s="123"/>
      <c r="NK26" s="123"/>
      <c r="NM26">
        <f t="shared" si="179"/>
        <v>0</v>
      </c>
      <c r="NN26">
        <f t="shared" si="180"/>
        <v>0</v>
      </c>
      <c r="NO26">
        <f t="shared" si="181"/>
        <v>0</v>
      </c>
      <c r="NP26">
        <f t="shared" si="182"/>
        <v>0</v>
      </c>
      <c r="NQ26">
        <f t="shared" si="183"/>
        <v>0</v>
      </c>
      <c r="NR26">
        <f t="shared" si="184"/>
        <v>0</v>
      </c>
      <c r="NS26">
        <f t="shared" si="185"/>
        <v>0</v>
      </c>
      <c r="NT26">
        <f t="shared" si="186"/>
        <v>0</v>
      </c>
      <c r="NU26" s="29">
        <f t="shared" si="187"/>
        <v>0</v>
      </c>
      <c r="NY26" s="29">
        <f t="shared" si="128"/>
        <v>1</v>
      </c>
      <c r="NZ26" s="152">
        <v>8624000</v>
      </c>
      <c r="OE26" s="155">
        <f t="shared" si="129"/>
        <v>0</v>
      </c>
      <c r="OF26" s="155">
        <f t="shared" si="130"/>
        <v>0</v>
      </c>
      <c r="OG26" s="155">
        <f t="shared" si="131"/>
        <v>0</v>
      </c>
      <c r="OH26" s="155">
        <f t="shared" si="188"/>
        <v>0</v>
      </c>
      <c r="OI26" s="155">
        <f t="shared" si="132"/>
        <v>0</v>
      </c>
      <c r="OJ26" s="67">
        <f t="shared" si="189"/>
        <v>0</v>
      </c>
      <c r="OK26" s="67">
        <f t="shared" si="190"/>
        <v>0</v>
      </c>
      <c r="OL26" s="67">
        <f t="shared" si="191"/>
        <v>0</v>
      </c>
      <c r="OM26" s="67">
        <f t="shared" si="192"/>
        <v>0</v>
      </c>
      <c r="OO26" s="155">
        <f t="shared" si="133"/>
        <v>0</v>
      </c>
      <c r="OP26" s="155">
        <f t="shared" si="134"/>
        <v>0</v>
      </c>
      <c r="OQ26" s="155">
        <f t="shared" si="193"/>
        <v>0</v>
      </c>
      <c r="OR26" s="155">
        <f t="shared" si="194"/>
        <v>0</v>
      </c>
      <c r="OS26" s="155">
        <f t="shared" si="195"/>
        <v>0</v>
      </c>
      <c r="OT26" s="67">
        <f t="shared" si="196"/>
        <v>0</v>
      </c>
      <c r="OU26" s="67">
        <f t="shared" si="197"/>
        <v>0</v>
      </c>
      <c r="OV26" s="67">
        <f t="shared" si="198"/>
        <v>0</v>
      </c>
      <c r="OW26" s="67">
        <f t="shared" si="199"/>
        <v>0</v>
      </c>
      <c r="PA26" s="166"/>
      <c r="PB26" s="166"/>
      <c r="PC26" s="166"/>
      <c r="PD26" s="210">
        <f t="shared" si="135"/>
        <v>0</v>
      </c>
      <c r="PE26" s="210"/>
      <c r="PF26" s="210">
        <f t="shared" si="136"/>
        <v>0</v>
      </c>
      <c r="PG26" s="210">
        <f t="shared" si="137"/>
        <v>0</v>
      </c>
      <c r="PH26" s="210">
        <f t="shared" si="137"/>
        <v>0</v>
      </c>
      <c r="PI26" s="210">
        <f t="shared" si="137"/>
        <v>0</v>
      </c>
      <c r="PJ26" s="210">
        <f t="shared" si="137"/>
        <v>0</v>
      </c>
      <c r="PK26" s="210">
        <f t="shared" si="137"/>
        <v>0</v>
      </c>
      <c r="PL26" s="210">
        <f t="shared" si="137"/>
        <v>0</v>
      </c>
      <c r="PO26" s="172">
        <f t="shared" si="200"/>
        <v>0</v>
      </c>
      <c r="PP26" s="172">
        <f t="shared" si="201"/>
        <v>0</v>
      </c>
      <c r="PQ26" s="172">
        <f t="shared" si="202"/>
        <v>0</v>
      </c>
    </row>
    <row r="27" spans="1:433 16383:16383" ht="16" x14ac:dyDescent="0.2">
      <c r="A27" s="19">
        <f t="shared" si="203"/>
        <v>19</v>
      </c>
      <c r="B27" s="186" t="s">
        <v>603</v>
      </c>
      <c r="C27" s="186">
        <v>20</v>
      </c>
      <c r="D27" s="188">
        <v>1</v>
      </c>
      <c r="E27" s="188">
        <v>1498</v>
      </c>
      <c r="F27" s="188">
        <v>1</v>
      </c>
      <c r="G27" s="188">
        <f t="shared" si="138"/>
        <v>1498</v>
      </c>
      <c r="H27" s="214">
        <f t="shared" si="2"/>
        <v>1</v>
      </c>
      <c r="I27" s="214">
        <f t="shared" si="3"/>
        <v>1</v>
      </c>
      <c r="J27" s="188">
        <v>1</v>
      </c>
      <c r="K27" s="188">
        <f t="shared" si="4"/>
        <v>1498</v>
      </c>
      <c r="L27" s="214">
        <f t="shared" si="5"/>
        <v>1</v>
      </c>
      <c r="M27" s="214">
        <f t="shared" si="6"/>
        <v>1</v>
      </c>
      <c r="N27" s="188">
        <v>1</v>
      </c>
      <c r="O27" s="188">
        <f t="shared" si="7"/>
        <v>1498</v>
      </c>
      <c r="P27" s="214">
        <f t="shared" si="8"/>
        <v>1</v>
      </c>
      <c r="Q27" s="214">
        <f t="shared" si="9"/>
        <v>1</v>
      </c>
      <c r="R27" s="188"/>
      <c r="S27" s="188">
        <f t="shared" si="10"/>
        <v>0</v>
      </c>
      <c r="T27" s="214">
        <f t="shared" si="11"/>
        <v>0</v>
      </c>
      <c r="U27" s="214">
        <f t="shared" si="12"/>
        <v>0</v>
      </c>
      <c r="V27" s="188">
        <v>0</v>
      </c>
      <c r="W27" s="188">
        <f t="shared" si="13"/>
        <v>0</v>
      </c>
      <c r="X27" s="214">
        <f t="shared" si="14"/>
        <v>0</v>
      </c>
      <c r="Y27" s="214">
        <f t="shared" si="15"/>
        <v>0</v>
      </c>
      <c r="Z27" s="271"/>
      <c r="AA27" s="273">
        <v>1</v>
      </c>
      <c r="AB27" s="189">
        <f t="shared" si="139"/>
        <v>1498</v>
      </c>
      <c r="AC27" s="250">
        <f t="shared" si="140"/>
        <v>1</v>
      </c>
      <c r="AD27" s="250">
        <f t="shared" si="141"/>
        <v>1</v>
      </c>
      <c r="AE27" s="271">
        <f>43127180800/1000000000</f>
        <v>43.127180799999998</v>
      </c>
      <c r="AF27" s="188">
        <f t="shared" si="142"/>
        <v>0</v>
      </c>
      <c r="AG27" s="188"/>
      <c r="AH27" s="188"/>
      <c r="AI27" s="20">
        <v>0</v>
      </c>
      <c r="AJ27" s="20">
        <f t="shared" si="204"/>
        <v>0</v>
      </c>
      <c r="AK27" s="20"/>
      <c r="AL27" s="20">
        <v>0</v>
      </c>
      <c r="AM27" s="20">
        <v>0</v>
      </c>
      <c r="AN27" s="139"/>
      <c r="AO27" s="17">
        <v>0</v>
      </c>
      <c r="AP27" s="17">
        <f t="shared" si="19"/>
        <v>0</v>
      </c>
      <c r="AQ27" s="17">
        <f t="shared" si="20"/>
        <v>0</v>
      </c>
      <c r="AR27" s="17">
        <f t="shared" si="21"/>
        <v>0</v>
      </c>
      <c r="AS27" s="17">
        <f t="shared" si="22"/>
        <v>0</v>
      </c>
      <c r="AT27" s="17">
        <f t="shared" si="23"/>
        <v>0</v>
      </c>
      <c r="AU27" s="17">
        <f t="shared" si="24"/>
        <v>0</v>
      </c>
      <c r="AV27" s="17">
        <f t="shared" si="25"/>
        <v>0</v>
      </c>
      <c r="AW27" s="17">
        <f t="shared" si="26"/>
        <v>0</v>
      </c>
      <c r="AX27" s="17">
        <f t="shared" si="27"/>
        <v>0</v>
      </c>
      <c r="AY27" s="17">
        <f t="shared" si="205"/>
        <v>0</v>
      </c>
      <c r="AZ27" s="17">
        <f t="shared" si="206"/>
        <v>0</v>
      </c>
      <c r="BA27" s="17">
        <f t="shared" si="145"/>
        <v>0</v>
      </c>
      <c r="BB27" s="17">
        <f t="shared" si="146"/>
        <v>0</v>
      </c>
      <c r="BC27" s="29">
        <f t="shared" si="147"/>
        <v>0</v>
      </c>
      <c r="BE27" s="17">
        <f t="shared" si="28"/>
        <v>0</v>
      </c>
      <c r="BF27" s="17">
        <f t="shared" si="29"/>
        <v>0</v>
      </c>
      <c r="BG27" s="17">
        <f t="shared" si="30"/>
        <v>0</v>
      </c>
      <c r="BH27" s="17">
        <f t="shared" si="31"/>
        <v>0</v>
      </c>
      <c r="BI27" s="17">
        <f t="shared" si="32"/>
        <v>0</v>
      </c>
      <c r="BJ27" s="17">
        <f t="shared" si="33"/>
        <v>0</v>
      </c>
      <c r="BK27" s="17">
        <f t="shared" si="148"/>
        <v>0</v>
      </c>
      <c r="BN27" s="143"/>
      <c r="BO27" s="284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B27" s="165">
        <v>1</v>
      </c>
      <c r="CC27" s="109" t="s">
        <v>351</v>
      </c>
      <c r="CD27" s="17">
        <f t="shared" si="35"/>
        <v>0</v>
      </c>
      <c r="CE27" s="17">
        <f t="shared" si="36"/>
        <v>0</v>
      </c>
      <c r="CF27" s="20">
        <f t="shared" si="207"/>
        <v>0</v>
      </c>
      <c r="CG27" s="20">
        <f t="shared" si="208"/>
        <v>0</v>
      </c>
      <c r="CH27" s="20">
        <f t="shared" si="209"/>
        <v>0</v>
      </c>
      <c r="CI27" s="20">
        <f t="shared" si="210"/>
        <v>0</v>
      </c>
      <c r="CJ27" s="20">
        <f t="shared" si="211"/>
        <v>0</v>
      </c>
      <c r="CK27" s="20">
        <f t="shared" si="212"/>
        <v>0</v>
      </c>
      <c r="CL27" s="20">
        <f t="shared" si="213"/>
        <v>0</v>
      </c>
      <c r="CM27" s="20">
        <f t="shared" si="214"/>
        <v>0</v>
      </c>
      <c r="CN27" s="20">
        <f t="shared" si="215"/>
        <v>0</v>
      </c>
      <c r="CO27" s="20">
        <f t="shared" si="216"/>
        <v>0</v>
      </c>
      <c r="CP27" s="20">
        <f t="shared" si="217"/>
        <v>0</v>
      </c>
      <c r="DV27" s="20">
        <f t="shared" si="48"/>
        <v>1498</v>
      </c>
      <c r="DW27" s="20">
        <f t="shared" si="49"/>
        <v>0</v>
      </c>
      <c r="DX27" s="20">
        <f t="shared" si="50"/>
        <v>0</v>
      </c>
      <c r="DY27" s="20">
        <f t="shared" si="51"/>
        <v>0</v>
      </c>
      <c r="DZ27" s="20">
        <f t="shared" si="52"/>
        <v>0</v>
      </c>
      <c r="EA27" s="20">
        <f t="shared" si="53"/>
        <v>1498</v>
      </c>
      <c r="EB27" s="20">
        <f t="shared" si="150"/>
        <v>1498</v>
      </c>
      <c r="EG27" s="57">
        <f t="shared" si="151"/>
        <v>0</v>
      </c>
      <c r="EH27" s="57" t="str">
        <f t="shared" si="152"/>
        <v>E</v>
      </c>
      <c r="EI27" s="17">
        <v>1</v>
      </c>
      <c r="EJ27" s="17">
        <v>1</v>
      </c>
      <c r="EK27" s="17"/>
      <c r="EL27" s="17"/>
      <c r="EM27" s="17"/>
      <c r="EN27" s="17"/>
      <c r="EO27" s="17"/>
      <c r="EP27" s="17"/>
      <c r="EQ27" s="17">
        <v>1</v>
      </c>
      <c r="ER27" s="17">
        <v>1</v>
      </c>
      <c r="ES27" s="17">
        <v>1</v>
      </c>
      <c r="ET27" s="17"/>
      <c r="EU27" s="17"/>
      <c r="EV27" s="189">
        <v>1</v>
      </c>
      <c r="EW27" s="17"/>
      <c r="EX27" s="17"/>
      <c r="EY27" s="17"/>
      <c r="EZ27" s="189">
        <v>1</v>
      </c>
      <c r="FA27" s="189">
        <v>1</v>
      </c>
      <c r="FB27" s="189"/>
      <c r="FC27" s="189">
        <v>1</v>
      </c>
      <c r="FD27" s="17"/>
      <c r="FE27" s="17"/>
      <c r="FF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X27" s="169"/>
      <c r="FY27" s="17">
        <f t="shared" si="153"/>
        <v>0</v>
      </c>
      <c r="FZ27" s="17">
        <f t="shared" si="55"/>
        <v>0</v>
      </c>
      <c r="GA27" s="17">
        <f t="shared" si="56"/>
        <v>0</v>
      </c>
      <c r="GB27" s="17">
        <f t="shared" si="57"/>
        <v>0</v>
      </c>
      <c r="GC27" s="17">
        <f t="shared" si="58"/>
        <v>0</v>
      </c>
      <c r="GD27" s="17">
        <f t="shared" si="59"/>
        <v>0</v>
      </c>
      <c r="GE27" s="17">
        <f t="shared" si="60"/>
        <v>0</v>
      </c>
      <c r="GF27" s="67"/>
      <c r="GG27" s="17">
        <v>0</v>
      </c>
      <c r="GH27" s="17">
        <v>0</v>
      </c>
      <c r="GI27" s="67"/>
      <c r="GJ27" s="62">
        <f t="shared" si="154"/>
        <v>0</v>
      </c>
      <c r="GK27" s="62">
        <f t="shared" si="155"/>
        <v>0</v>
      </c>
      <c r="GO27" s="17">
        <f t="shared" si="61"/>
        <v>0</v>
      </c>
      <c r="GP27" s="17">
        <f t="shared" si="62"/>
        <v>0</v>
      </c>
      <c r="GQ27" s="17">
        <f t="shared" si="63"/>
        <v>0</v>
      </c>
      <c r="GR27" s="17">
        <f t="shared" si="64"/>
        <v>1</v>
      </c>
      <c r="GS27" s="17">
        <f t="shared" si="65"/>
        <v>1</v>
      </c>
      <c r="GT27" s="17">
        <f t="shared" si="156"/>
        <v>0</v>
      </c>
      <c r="GU27" s="101">
        <f t="shared" si="157"/>
        <v>43243</v>
      </c>
      <c r="GV27" s="17" t="str">
        <f t="shared" si="158"/>
        <v>Musyawarah</v>
      </c>
      <c r="GW27" s="17">
        <f t="shared" si="159"/>
        <v>1</v>
      </c>
      <c r="GX27" s="66" t="str">
        <f t="shared" si="160"/>
        <v>Musyawarah</v>
      </c>
      <c r="GY27" s="66">
        <f t="shared" si="161"/>
        <v>24</v>
      </c>
      <c r="GZ27" s="102">
        <f t="shared" si="162"/>
        <v>43267</v>
      </c>
      <c r="HA27" s="83"/>
      <c r="HB27" s="83"/>
      <c r="HC27" s="17">
        <f t="shared" si="66"/>
        <v>0</v>
      </c>
      <c r="HD27" s="17">
        <f t="shared" si="67"/>
        <v>1</v>
      </c>
      <c r="HE27" s="17">
        <f t="shared" si="163"/>
        <v>1</v>
      </c>
      <c r="HF27" s="17">
        <f t="shared" si="164"/>
        <v>0</v>
      </c>
      <c r="HG27" s="17">
        <f t="shared" si="165"/>
        <v>1</v>
      </c>
      <c r="HH27" s="101">
        <f t="shared" si="68"/>
        <v>43288</v>
      </c>
      <c r="HI27" s="101">
        <f t="shared" si="166"/>
        <v>43312</v>
      </c>
      <c r="HJ27" s="27"/>
      <c r="HK27" s="101">
        <f t="shared" si="69"/>
        <v>43312</v>
      </c>
      <c r="HL27" s="83"/>
      <c r="HM27" s="83"/>
      <c r="HN27" s="83"/>
      <c r="HO27" s="83"/>
      <c r="HP27" s="102">
        <f t="shared" si="167"/>
        <v>0</v>
      </c>
      <c r="HQ27" s="66">
        <f t="shared" si="168"/>
        <v>0</v>
      </c>
      <c r="HR27" s="66">
        <f t="shared" si="70"/>
        <v>0</v>
      </c>
      <c r="HS27" s="102">
        <f t="shared" si="169"/>
        <v>43288</v>
      </c>
      <c r="HT27" s="66">
        <f t="shared" si="170"/>
        <v>1</v>
      </c>
      <c r="HU27" s="66">
        <f t="shared" si="71"/>
        <v>1498</v>
      </c>
      <c r="HV27" s="102">
        <f t="shared" si="171"/>
        <v>0</v>
      </c>
      <c r="HW27" s="66">
        <f t="shared" si="72"/>
        <v>0</v>
      </c>
      <c r="HX27" s="66">
        <f t="shared" si="73"/>
        <v>0</v>
      </c>
      <c r="HY27" s="102">
        <f t="shared" si="74"/>
        <v>0</v>
      </c>
      <c r="HZ27" s="66">
        <f t="shared" si="172"/>
        <v>0</v>
      </c>
      <c r="IA27" s="66">
        <f t="shared" si="75"/>
        <v>0</v>
      </c>
      <c r="IB27" s="102">
        <f t="shared" si="173"/>
        <v>0</v>
      </c>
      <c r="IC27" s="66">
        <f t="shared" si="76"/>
        <v>0</v>
      </c>
      <c r="ID27" s="66">
        <f t="shared" si="77"/>
        <v>0</v>
      </c>
      <c r="IE27" s="102">
        <f t="shared" si="78"/>
        <v>0</v>
      </c>
      <c r="IF27" s="66">
        <f t="shared" si="79"/>
        <v>0</v>
      </c>
      <c r="IG27" s="66">
        <f t="shared" si="80"/>
        <v>0</v>
      </c>
      <c r="IH27" s="102">
        <f t="shared" si="174"/>
        <v>0</v>
      </c>
      <c r="II27" s="66">
        <f t="shared" si="175"/>
        <v>0</v>
      </c>
      <c r="IJ27" s="66">
        <f t="shared" si="81"/>
        <v>0</v>
      </c>
      <c r="IK27" s="102">
        <f t="shared" si="82"/>
        <v>0</v>
      </c>
      <c r="IL27" s="66">
        <f t="shared" si="83"/>
        <v>0</v>
      </c>
      <c r="IM27" s="66">
        <f t="shared" si="84"/>
        <v>0</v>
      </c>
      <c r="IN27" s="83"/>
      <c r="IO27" s="102">
        <f t="shared" si="85"/>
        <v>0</v>
      </c>
      <c r="IP27" s="66">
        <f t="shared" si="86"/>
        <v>0</v>
      </c>
      <c r="IQ27" s="66">
        <f t="shared" si="87"/>
        <v>0</v>
      </c>
      <c r="IR27" s="83"/>
      <c r="IS27" s="102"/>
      <c r="IT27" s="66">
        <f t="shared" si="88"/>
        <v>0</v>
      </c>
      <c r="IU27" s="66">
        <f t="shared" si="89"/>
        <v>0</v>
      </c>
      <c r="IV27" s="83"/>
      <c r="IW27" s="102"/>
      <c r="IX27" s="66">
        <f t="shared" si="90"/>
        <v>1</v>
      </c>
      <c r="IY27" s="66">
        <f t="shared" si="91"/>
        <v>1498</v>
      </c>
      <c r="IZ27" s="83"/>
      <c r="JA27" s="102"/>
      <c r="JB27" s="66">
        <f t="shared" si="92"/>
        <v>0</v>
      </c>
      <c r="JC27" s="66">
        <f t="shared" si="93"/>
        <v>0</v>
      </c>
      <c r="JD27" s="83"/>
      <c r="JE27" s="102"/>
      <c r="JF27" s="66">
        <f t="shared" si="176"/>
        <v>2</v>
      </c>
      <c r="JG27" s="66">
        <f t="shared" si="94"/>
        <v>2996</v>
      </c>
      <c r="JH27" s="83"/>
      <c r="JI27" s="102"/>
      <c r="JJ27" s="66">
        <f t="shared" si="95"/>
        <v>1</v>
      </c>
      <c r="JK27" s="66">
        <f t="shared" si="96"/>
        <v>1498</v>
      </c>
      <c r="JM27" s="102">
        <f t="shared" si="177"/>
        <v>43288</v>
      </c>
      <c r="JO27" s="29">
        <f t="shared" si="97"/>
        <v>0</v>
      </c>
      <c r="JP27" s="122">
        <f t="shared" si="98"/>
        <v>0</v>
      </c>
      <c r="JQ27" s="122">
        <f t="shared" si="99"/>
        <v>0</v>
      </c>
      <c r="JR27" s="122">
        <f t="shared" si="100"/>
        <v>0</v>
      </c>
      <c r="JS27" s="122">
        <f t="shared" si="101"/>
        <v>0</v>
      </c>
      <c r="JT27" s="122">
        <f t="shared" si="102"/>
        <v>0</v>
      </c>
      <c r="JU27" s="122">
        <f t="shared" si="103"/>
        <v>0</v>
      </c>
      <c r="JV27" s="122">
        <f t="shared" si="104"/>
        <v>0</v>
      </c>
      <c r="JW27" s="122">
        <f t="shared" si="105"/>
        <v>0</v>
      </c>
      <c r="JX27" s="122">
        <f t="shared" si="106"/>
        <v>0</v>
      </c>
      <c r="JY27" s="122">
        <f t="shared" si="107"/>
        <v>0</v>
      </c>
      <c r="JZ27" s="122">
        <f t="shared" si="108"/>
        <v>0</v>
      </c>
      <c r="KA27" s="122">
        <f t="shared" si="109"/>
        <v>0</v>
      </c>
      <c r="KB27" s="122">
        <f t="shared" si="110"/>
        <v>0</v>
      </c>
      <c r="KD27" s="122">
        <f t="shared" si="178"/>
        <v>0</v>
      </c>
      <c r="KE27" s="122">
        <f t="shared" si="112"/>
        <v>0</v>
      </c>
      <c r="KF27" s="122">
        <f t="shared" si="113"/>
        <v>0</v>
      </c>
      <c r="KG27" s="122">
        <f t="shared" si="114"/>
        <v>0</v>
      </c>
      <c r="KH27" s="122">
        <f t="shared" si="115"/>
        <v>0</v>
      </c>
      <c r="KI27" s="122">
        <f t="shared" si="116"/>
        <v>0</v>
      </c>
      <c r="KJ27" s="122">
        <f t="shared" si="117"/>
        <v>0</v>
      </c>
      <c r="KK27" s="122">
        <f t="shared" si="118"/>
        <v>0</v>
      </c>
      <c r="KL27" s="122">
        <f t="shared" si="119"/>
        <v>0</v>
      </c>
      <c r="KM27" s="122">
        <f t="shared" si="120"/>
        <v>0</v>
      </c>
      <c r="KN27" s="123">
        <f t="shared" si="121"/>
        <v>0</v>
      </c>
      <c r="KO27" s="123">
        <f t="shared" si="122"/>
        <v>0</v>
      </c>
      <c r="KP27" s="123">
        <f t="shared" si="123"/>
        <v>0</v>
      </c>
      <c r="KQ27" s="123">
        <f t="shared" si="124"/>
        <v>0</v>
      </c>
      <c r="KR27" s="123">
        <f t="shared" si="125"/>
        <v>0</v>
      </c>
      <c r="KT27">
        <f t="shared" si="126"/>
        <v>0</v>
      </c>
      <c r="KU27" s="123"/>
      <c r="KV27" s="123"/>
      <c r="KW27" s="123"/>
      <c r="KX27" s="123"/>
      <c r="KY27" s="123"/>
      <c r="KZ27" s="123"/>
      <c r="LA27" s="123"/>
      <c r="LB27" s="123"/>
      <c r="LC27" s="123"/>
      <c r="LD27" s="123"/>
      <c r="LE27" s="123"/>
      <c r="LF27" s="123"/>
      <c r="LG27" s="123"/>
      <c r="LH27" s="123"/>
      <c r="LI27" s="123"/>
      <c r="LJ27" s="123"/>
      <c r="LK27" s="123"/>
      <c r="LL27" s="123"/>
      <c r="LM27" s="123"/>
      <c r="LN27" s="123"/>
      <c r="LO27" s="123"/>
      <c r="LP27" s="123"/>
      <c r="LQ27" s="123"/>
      <c r="LR27" s="123"/>
      <c r="LS27" s="123"/>
      <c r="LT27" s="123"/>
      <c r="LU27" s="123"/>
      <c r="LV27" s="123"/>
      <c r="LW27" s="123"/>
      <c r="LX27" s="123"/>
      <c r="LY27" s="123"/>
      <c r="LZ27" s="123"/>
      <c r="MA27" s="123"/>
      <c r="MB27" s="123"/>
      <c r="MC27" s="123"/>
      <c r="MD27" s="123"/>
      <c r="ME27" s="123"/>
      <c r="MF27" s="123"/>
      <c r="MG27" s="123"/>
      <c r="MH27" s="123"/>
      <c r="MI27" s="123"/>
      <c r="MJ27" s="123"/>
      <c r="MK27" s="123"/>
      <c r="ML27" s="123"/>
      <c r="MM27" s="123"/>
      <c r="MN27" s="123"/>
      <c r="MO27" s="123"/>
      <c r="MP27" s="123"/>
      <c r="MQ27" s="123"/>
      <c r="MR27" s="123"/>
      <c r="MS27" s="123"/>
      <c r="MT27" s="123"/>
      <c r="MU27" s="123"/>
      <c r="MV27" s="123"/>
      <c r="MW27" s="123"/>
      <c r="MX27" s="123"/>
      <c r="MY27" s="123"/>
      <c r="MZ27" s="123"/>
      <c r="NA27" s="123"/>
      <c r="NB27" s="123"/>
      <c r="NC27" s="123"/>
      <c r="ND27" s="123"/>
      <c r="NE27" s="123"/>
      <c r="NF27" s="123"/>
      <c r="NG27" s="123"/>
      <c r="NH27" s="123"/>
      <c r="NI27" s="123"/>
      <c r="NJ27" s="123"/>
      <c r="NK27" s="123"/>
      <c r="NM27">
        <f t="shared" si="179"/>
        <v>0</v>
      </c>
      <c r="NN27">
        <f t="shared" si="180"/>
        <v>0</v>
      </c>
      <c r="NO27">
        <f t="shared" si="181"/>
        <v>0</v>
      </c>
      <c r="NP27">
        <f t="shared" si="182"/>
        <v>0</v>
      </c>
      <c r="NQ27">
        <f t="shared" si="183"/>
        <v>0</v>
      </c>
      <c r="NR27">
        <f t="shared" si="184"/>
        <v>0</v>
      </c>
      <c r="NS27">
        <f t="shared" si="185"/>
        <v>0</v>
      </c>
      <c r="NT27">
        <f t="shared" si="186"/>
        <v>0</v>
      </c>
      <c r="NU27" s="29">
        <f t="shared" si="187"/>
        <v>0</v>
      </c>
      <c r="NY27" s="29">
        <f t="shared" si="128"/>
        <v>0</v>
      </c>
      <c r="NZ27" s="152">
        <v>17800000</v>
      </c>
      <c r="OE27" s="155">
        <f t="shared" si="129"/>
        <v>0</v>
      </c>
      <c r="OF27" s="155">
        <f t="shared" si="130"/>
        <v>0</v>
      </c>
      <c r="OG27" s="155">
        <f t="shared" si="131"/>
        <v>0</v>
      </c>
      <c r="OH27" s="155">
        <f t="shared" si="188"/>
        <v>1</v>
      </c>
      <c r="OI27" s="155">
        <f t="shared" si="132"/>
        <v>1</v>
      </c>
      <c r="OJ27" s="67">
        <f t="shared" si="189"/>
        <v>0</v>
      </c>
      <c r="OK27" s="67">
        <f t="shared" si="190"/>
        <v>0</v>
      </c>
      <c r="OL27" s="67">
        <f t="shared" si="191"/>
        <v>0</v>
      </c>
      <c r="OM27" s="67">
        <f t="shared" si="192"/>
        <v>0</v>
      </c>
      <c r="OO27" s="155">
        <f t="shared" si="133"/>
        <v>0</v>
      </c>
      <c r="OP27" s="155">
        <f t="shared" si="134"/>
        <v>0</v>
      </c>
      <c r="OQ27" s="155">
        <f t="shared" si="193"/>
        <v>0</v>
      </c>
      <c r="OR27" s="155">
        <f t="shared" si="194"/>
        <v>1</v>
      </c>
      <c r="OS27" s="155">
        <f t="shared" si="195"/>
        <v>1</v>
      </c>
      <c r="OT27" s="67">
        <f t="shared" si="196"/>
        <v>0</v>
      </c>
      <c r="OU27" s="67">
        <f t="shared" si="197"/>
        <v>0</v>
      </c>
      <c r="OV27" s="67">
        <f t="shared" si="198"/>
        <v>0</v>
      </c>
      <c r="OW27" s="67">
        <f t="shared" si="199"/>
        <v>0</v>
      </c>
      <c r="PA27" s="166"/>
      <c r="PB27" s="166"/>
      <c r="PC27" s="166"/>
      <c r="PD27" s="210">
        <f t="shared" si="135"/>
        <v>0</v>
      </c>
      <c r="PE27" s="210"/>
      <c r="PF27" s="210">
        <f t="shared" si="136"/>
        <v>0</v>
      </c>
      <c r="PG27" s="210">
        <f t="shared" si="137"/>
        <v>0</v>
      </c>
      <c r="PH27" s="210">
        <f t="shared" si="137"/>
        <v>0</v>
      </c>
      <c r="PI27" s="210">
        <f t="shared" si="137"/>
        <v>0</v>
      </c>
      <c r="PJ27" s="210">
        <f t="shared" si="137"/>
        <v>0</v>
      </c>
      <c r="PK27" s="210">
        <f t="shared" si="137"/>
        <v>0</v>
      </c>
      <c r="PL27" s="210">
        <f t="shared" si="137"/>
        <v>0</v>
      </c>
      <c r="PO27" s="172">
        <f t="shared" si="200"/>
        <v>1498</v>
      </c>
      <c r="PP27" s="172">
        <f t="shared" si="201"/>
        <v>0</v>
      </c>
      <c r="PQ27" s="172">
        <f t="shared" si="202"/>
        <v>0</v>
      </c>
      <c r="XFC27">
        <v>43127180800</v>
      </c>
    </row>
    <row r="28" spans="1:433 16383:16383" ht="16" x14ac:dyDescent="0.2">
      <c r="A28" s="19"/>
      <c r="B28" s="138"/>
      <c r="C28" s="186"/>
      <c r="D28" s="188"/>
      <c r="E28" s="188"/>
      <c r="F28" s="188"/>
      <c r="G28" s="20"/>
      <c r="H28" s="137"/>
      <c r="I28" s="214"/>
      <c r="J28" s="188"/>
      <c r="K28" s="188"/>
      <c r="L28" s="214"/>
      <c r="M28" s="214"/>
      <c r="N28" s="188"/>
      <c r="O28" s="188"/>
      <c r="P28" s="214"/>
      <c r="Q28" s="137"/>
      <c r="R28" s="20"/>
      <c r="S28" s="20"/>
      <c r="T28" s="137"/>
      <c r="U28" s="137"/>
      <c r="V28" s="20"/>
      <c r="W28" s="20"/>
      <c r="X28" s="137"/>
      <c r="Y28" s="137"/>
      <c r="Z28" s="59"/>
      <c r="AA28" s="59"/>
      <c r="AB28" s="17"/>
      <c r="AC28" s="18"/>
      <c r="AD28" s="18"/>
      <c r="AE28" s="59"/>
      <c r="AF28" s="20"/>
      <c r="AG28" s="20"/>
      <c r="AH28" s="20"/>
      <c r="AI28" s="20"/>
      <c r="AJ28" s="20"/>
      <c r="AK28" s="20"/>
      <c r="AL28" s="20"/>
      <c r="AM28" s="20"/>
      <c r="AN28" s="139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29"/>
      <c r="BE28" s="17"/>
      <c r="BF28" s="17"/>
      <c r="BG28" s="17"/>
      <c r="BH28" s="17"/>
      <c r="BI28" s="17"/>
      <c r="BJ28" s="17"/>
      <c r="BK28" s="17"/>
      <c r="BN28" s="143"/>
      <c r="BO28" s="284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B28" s="20"/>
      <c r="CD28" s="17"/>
      <c r="CE28" s="17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DV28" s="20"/>
      <c r="DW28" s="20"/>
      <c r="DX28" s="20"/>
      <c r="DY28" s="20"/>
      <c r="DZ28" s="20"/>
      <c r="EA28" s="20"/>
      <c r="EB28" s="20"/>
      <c r="EG28" s="57"/>
      <c r="EH28" s="5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X28" s="169"/>
      <c r="FY28" s="17"/>
      <c r="FZ28" s="17"/>
      <c r="GA28" s="17"/>
      <c r="GB28" s="17"/>
      <c r="GC28" s="17"/>
      <c r="GD28" s="17"/>
      <c r="GE28" s="17"/>
      <c r="GF28" s="67"/>
      <c r="GG28" s="17"/>
      <c r="GH28" s="17"/>
      <c r="GI28" s="67"/>
      <c r="GJ28" s="62"/>
      <c r="GK28" s="62"/>
      <c r="GO28" s="17"/>
      <c r="GP28" s="17"/>
      <c r="GQ28" s="17"/>
      <c r="GR28" s="17"/>
      <c r="GS28" s="17"/>
      <c r="GT28" s="17"/>
      <c r="GU28" s="101"/>
      <c r="GV28" s="17"/>
      <c r="GW28" s="17"/>
      <c r="GX28" s="66"/>
      <c r="GY28" s="66"/>
      <c r="GZ28" s="102"/>
      <c r="HA28" s="83"/>
      <c r="HB28" s="83"/>
      <c r="HC28" s="17"/>
      <c r="HD28" s="17"/>
      <c r="HE28" s="17"/>
      <c r="HF28" s="17"/>
      <c r="HG28" s="17"/>
      <c r="HH28" s="101"/>
      <c r="HI28" s="101"/>
      <c r="HJ28" s="27"/>
      <c r="HK28" s="101"/>
      <c r="HL28" s="83"/>
      <c r="HM28" s="83"/>
      <c r="HN28" s="83"/>
      <c r="HO28" s="83"/>
      <c r="HP28" s="102"/>
      <c r="HQ28" s="66"/>
      <c r="HR28" s="66"/>
      <c r="HS28" s="102"/>
      <c r="HT28" s="66"/>
      <c r="HU28" s="66"/>
      <c r="HV28" s="102"/>
      <c r="HW28" s="66"/>
      <c r="HX28" s="66"/>
      <c r="HY28" s="102"/>
      <c r="HZ28" s="66"/>
      <c r="IA28" s="66"/>
      <c r="IB28" s="102"/>
      <c r="IC28" s="66"/>
      <c r="ID28" s="66"/>
      <c r="IE28" s="102"/>
      <c r="IF28" s="66"/>
      <c r="IG28" s="66"/>
      <c r="IH28" s="102"/>
      <c r="II28" s="66"/>
      <c r="IJ28" s="66"/>
      <c r="IK28" s="102"/>
      <c r="IL28" s="66"/>
      <c r="IM28" s="66"/>
      <c r="IN28" s="83"/>
      <c r="IO28" s="102"/>
      <c r="IP28" s="66"/>
      <c r="IQ28" s="66"/>
      <c r="IR28" s="83"/>
      <c r="IS28" s="102"/>
      <c r="IT28" s="66"/>
      <c r="IU28" s="66"/>
      <c r="IV28" s="83"/>
      <c r="IW28" s="102"/>
      <c r="IX28" s="66"/>
      <c r="IY28" s="66"/>
      <c r="IZ28" s="83"/>
      <c r="JA28" s="102"/>
      <c r="JB28" s="66"/>
      <c r="JC28" s="66"/>
      <c r="JD28" s="83"/>
      <c r="JE28" s="102"/>
      <c r="JF28" s="66"/>
      <c r="JG28" s="66"/>
      <c r="JH28" s="83"/>
      <c r="JI28" s="102"/>
      <c r="JJ28" s="66"/>
      <c r="JK28" s="66"/>
      <c r="JM28" s="102"/>
      <c r="JO28" s="29"/>
      <c r="JP28" s="122"/>
      <c r="JQ28" s="122"/>
      <c r="JR28" s="122"/>
      <c r="JS28" s="122"/>
      <c r="JT28" s="122"/>
      <c r="JU28" s="122"/>
      <c r="JV28" s="122"/>
      <c r="JW28" s="122"/>
      <c r="JX28" s="122"/>
      <c r="JY28" s="122"/>
      <c r="JZ28" s="122"/>
      <c r="KA28" s="122"/>
      <c r="KB28" s="122"/>
      <c r="KD28" s="122"/>
      <c r="KE28" s="122"/>
      <c r="KF28" s="122"/>
      <c r="KG28" s="122"/>
      <c r="KH28" s="122"/>
      <c r="KI28" s="122"/>
      <c r="KJ28" s="122"/>
      <c r="KK28" s="122"/>
      <c r="KL28" s="122"/>
      <c r="KM28" s="122"/>
      <c r="KN28" s="123"/>
      <c r="KO28" s="123"/>
      <c r="KP28" s="123"/>
      <c r="KQ28" s="123"/>
      <c r="KR28" s="123"/>
      <c r="KU28" s="123"/>
      <c r="KV28" s="123"/>
      <c r="KW28" s="123"/>
      <c r="KX28" s="123"/>
      <c r="KY28" s="123"/>
      <c r="KZ28" s="123"/>
      <c r="LA28" s="123"/>
      <c r="LB28" s="123"/>
      <c r="LC28" s="123"/>
      <c r="LD28" s="123"/>
      <c r="LE28" s="123"/>
      <c r="LF28" s="123"/>
      <c r="LG28" s="123"/>
      <c r="LH28" s="123"/>
      <c r="LI28" s="123"/>
      <c r="LJ28" s="123"/>
      <c r="LK28" s="123"/>
      <c r="LL28" s="123"/>
      <c r="LM28" s="123"/>
      <c r="LN28" s="123"/>
      <c r="LO28" s="123"/>
      <c r="LP28" s="123"/>
      <c r="LQ28" s="123"/>
      <c r="LR28" s="123"/>
      <c r="LS28" s="123"/>
      <c r="LT28" s="123"/>
      <c r="LU28" s="123"/>
      <c r="LV28" s="123"/>
      <c r="LW28" s="123"/>
      <c r="LX28" s="123"/>
      <c r="LY28" s="123"/>
      <c r="LZ28" s="123"/>
      <c r="MA28" s="123"/>
      <c r="MB28" s="123"/>
      <c r="MC28" s="123"/>
      <c r="MD28" s="123"/>
      <c r="ME28" s="123"/>
      <c r="MF28" s="123"/>
      <c r="MG28" s="123"/>
      <c r="MH28" s="123"/>
      <c r="MI28" s="123"/>
      <c r="MJ28" s="123"/>
      <c r="MK28" s="123"/>
      <c r="ML28" s="123"/>
      <c r="MM28" s="123"/>
      <c r="MN28" s="123"/>
      <c r="MO28" s="123"/>
      <c r="MP28" s="123"/>
      <c r="MQ28" s="123"/>
      <c r="MR28" s="123"/>
      <c r="MS28" s="123"/>
      <c r="MT28" s="123"/>
      <c r="MU28" s="123"/>
      <c r="MV28" s="123"/>
      <c r="MW28" s="123"/>
      <c r="MX28" s="123"/>
      <c r="MY28" s="123"/>
      <c r="MZ28" s="123"/>
      <c r="NA28" s="123"/>
      <c r="NB28" s="123"/>
      <c r="NC28" s="123"/>
      <c r="ND28" s="123"/>
      <c r="NE28" s="123"/>
      <c r="NF28" s="123"/>
      <c r="NG28" s="123"/>
      <c r="NH28" s="123"/>
      <c r="NI28" s="123"/>
      <c r="NJ28" s="123"/>
      <c r="NK28" s="123"/>
      <c r="NU28" s="29"/>
      <c r="NY28" s="29"/>
      <c r="NZ28" s="152"/>
      <c r="OE28" s="155"/>
      <c r="OF28" s="155"/>
      <c r="OG28" s="155"/>
      <c r="OH28" s="155"/>
      <c r="OI28" s="155"/>
      <c r="OJ28" s="67"/>
      <c r="OK28" s="67"/>
      <c r="OL28" s="67"/>
      <c r="OM28" s="67"/>
      <c r="OO28" s="155"/>
      <c r="OP28" s="155"/>
      <c r="OQ28" s="155"/>
      <c r="OR28" s="155"/>
      <c r="OS28" s="155"/>
      <c r="OT28" s="67"/>
      <c r="OU28" s="67"/>
      <c r="OV28" s="67"/>
      <c r="OW28" s="67"/>
      <c r="PA28" s="166"/>
      <c r="PB28" s="166"/>
      <c r="PC28" s="166"/>
      <c r="PD28" s="210">
        <f t="shared" si="135"/>
        <v>0</v>
      </c>
      <c r="PE28" s="210"/>
      <c r="PF28" s="210">
        <f t="shared" si="136"/>
        <v>0</v>
      </c>
      <c r="PG28" s="210">
        <f t="shared" si="137"/>
        <v>0</v>
      </c>
      <c r="PH28" s="210">
        <f t="shared" si="137"/>
        <v>0</v>
      </c>
      <c r="PI28" s="210">
        <f t="shared" si="137"/>
        <v>0</v>
      </c>
      <c r="PJ28" s="210">
        <f t="shared" si="137"/>
        <v>0</v>
      </c>
      <c r="PK28" s="210">
        <f t="shared" si="137"/>
        <v>0</v>
      </c>
      <c r="PL28" s="210">
        <f t="shared" si="137"/>
        <v>0</v>
      </c>
      <c r="PO28" s="172"/>
      <c r="PP28" s="172"/>
      <c r="PQ28" s="172"/>
    </row>
    <row r="29" spans="1:433 16383:16383" ht="16" x14ac:dyDescent="0.2">
      <c r="A29" s="19">
        <f>A27+1</f>
        <v>20</v>
      </c>
      <c r="B29" s="138" t="s">
        <v>622</v>
      </c>
      <c r="C29" s="186">
        <v>4</v>
      </c>
      <c r="D29" s="188">
        <v>1</v>
      </c>
      <c r="E29" s="188">
        <v>418</v>
      </c>
      <c r="F29" s="188">
        <v>1</v>
      </c>
      <c r="G29" s="20">
        <f t="shared" ref="G29" si="242">E29</f>
        <v>418</v>
      </c>
      <c r="H29" s="137">
        <f t="shared" ref="H29" si="243">F29/$D29</f>
        <v>1</v>
      </c>
      <c r="I29" s="214">
        <f t="shared" ref="I29" si="244">G29/$E29</f>
        <v>1</v>
      </c>
      <c r="J29" s="188">
        <v>1</v>
      </c>
      <c r="K29" s="188">
        <f t="shared" ref="K29" si="245">IF(J29=D29,E29,0)</f>
        <v>418</v>
      </c>
      <c r="L29" s="214">
        <f t="shared" ref="L29" si="246">J29/$D29</f>
        <v>1</v>
      </c>
      <c r="M29" s="214">
        <f t="shared" ref="M29" si="247">K29/$E29</f>
        <v>1</v>
      </c>
      <c r="N29" s="188">
        <v>1</v>
      </c>
      <c r="O29" s="188">
        <f t="shared" ref="O29" si="248">IF(N29=D29,E29,0)</f>
        <v>418</v>
      </c>
      <c r="P29" s="214">
        <f t="shared" ref="P29" si="249">N29/$D29</f>
        <v>1</v>
      </c>
      <c r="Q29" s="137">
        <f t="shared" ref="Q29" si="250">O29/$E29</f>
        <v>1</v>
      </c>
      <c r="R29" s="20">
        <v>0</v>
      </c>
      <c r="S29" s="20">
        <f t="shared" ref="S29" si="251">IF(R29=D29,E29,0)</f>
        <v>0</v>
      </c>
      <c r="T29" s="137">
        <f t="shared" ref="T29" si="252">R29/$D29</f>
        <v>0</v>
      </c>
      <c r="U29" s="137">
        <f t="shared" ref="U29" si="253">S29/$E29</f>
        <v>0</v>
      </c>
      <c r="V29" s="20">
        <v>0</v>
      </c>
      <c r="W29" s="20">
        <f t="shared" ref="W29" si="254">IF(V29=D29,E29,0)</f>
        <v>0</v>
      </c>
      <c r="X29" s="137">
        <f t="shared" ref="X29" si="255">V29/$D29</f>
        <v>0</v>
      </c>
      <c r="Y29" s="137">
        <f t="shared" ref="Y29" si="256">W29/$E29</f>
        <v>0</v>
      </c>
      <c r="Z29" s="59"/>
      <c r="AA29" s="59"/>
      <c r="AB29" s="17">
        <f t="shared" ref="AB29" si="257">IF(AA29=D29,E29,0)</f>
        <v>0</v>
      </c>
      <c r="AC29" s="18">
        <f t="shared" ref="AC29" si="258">AA29/$D29</f>
        <v>0</v>
      </c>
      <c r="AD29" s="18">
        <f t="shared" ref="AD29" si="259">AB29/$E29</f>
        <v>0</v>
      </c>
      <c r="AE29" s="59"/>
      <c r="AF29" s="20">
        <f t="shared" ref="AF29" si="260">R29-V29</f>
        <v>0</v>
      </c>
      <c r="AG29" s="20"/>
      <c r="AH29" s="20"/>
      <c r="AI29" s="20">
        <v>1</v>
      </c>
      <c r="AJ29" s="20">
        <f t="shared" ref="AJ29" si="261">IF(AI29=D29,E29,0)</f>
        <v>418</v>
      </c>
      <c r="AK29" s="20"/>
      <c r="AL29" s="20">
        <v>0</v>
      </c>
      <c r="AM29" s="20">
        <v>0</v>
      </c>
      <c r="AN29" s="139">
        <v>1</v>
      </c>
      <c r="AO29" s="17">
        <f t="shared" ref="AO29" si="262">IF(AI29=1,D29,0)</f>
        <v>1</v>
      </c>
      <c r="AP29" s="17">
        <f t="shared" ref="AP29" si="263">IF(AO29=D29,E29,0)</f>
        <v>418</v>
      </c>
      <c r="AQ29" s="17">
        <f t="shared" ref="AQ29" si="264">IF(AI29=1,J29,0)</f>
        <v>1</v>
      </c>
      <c r="AR29" s="17">
        <f t="shared" ref="AR29" si="265">IF(AQ29=1,K29,0)</f>
        <v>418</v>
      </c>
      <c r="AS29" s="17">
        <f t="shared" ref="AS29" si="266">IF(AI29=1,N29,0)</f>
        <v>1</v>
      </c>
      <c r="AT29" s="17">
        <f t="shared" ref="AT29" si="267">IF(AS29=1,O29,0)</f>
        <v>418</v>
      </c>
      <c r="AU29" s="17">
        <f t="shared" ref="AU29" si="268">IF(AI29=1,R29,0)</f>
        <v>0</v>
      </c>
      <c r="AV29" s="17">
        <f t="shared" ref="AV29" si="269">IF(AU29=1,S29,0)</f>
        <v>0</v>
      </c>
      <c r="AW29" s="17">
        <f t="shared" ref="AW29" si="270">IF(AI29=1,V29,0)</f>
        <v>0</v>
      </c>
      <c r="AX29" s="17">
        <f t="shared" ref="AX29" si="271">IF(AW29=1,W29,0)</f>
        <v>0</v>
      </c>
      <c r="AY29" s="17">
        <f t="shared" ref="AY29" si="272">AU29-AW29</f>
        <v>0</v>
      </c>
      <c r="AZ29" s="17">
        <f t="shared" ref="AZ29" si="273">AV29-AX29</f>
        <v>0</v>
      </c>
      <c r="BA29" s="17">
        <f t="shared" ref="BA29" si="274">IF(AW29=1,Z29,0)</f>
        <v>0</v>
      </c>
      <c r="BB29" s="17">
        <f t="shared" ref="BB29" si="275">IF(AN29=1,G29,0)</f>
        <v>418</v>
      </c>
      <c r="BC29" s="29">
        <f t="shared" ref="BC29" si="276">D29-R29-AN29-CB29</f>
        <v>0</v>
      </c>
      <c r="BE29" s="17">
        <f t="shared" ref="BE29" si="277">IF(AF29=1,S29,0)</f>
        <v>0</v>
      </c>
      <c r="BF29" s="17">
        <f t="shared" ref="BF29" si="278">IF(AG29="A",S29,0)</f>
        <v>0</v>
      </c>
      <c r="BG29" s="17">
        <f t="shared" ref="BG29" si="279">IF(AG29="B",S29,0)</f>
        <v>0</v>
      </c>
      <c r="BH29" s="17">
        <f t="shared" ref="BH29" si="280">IF(AG29="C",S29,0)</f>
        <v>0</v>
      </c>
      <c r="BI29" s="17">
        <f t="shared" ref="BI29" si="281">IF(AG29="D",S29,0)</f>
        <v>0</v>
      </c>
      <c r="BJ29" s="17">
        <f t="shared" ref="BJ29" si="282">IF(AG29="E",S29,0)</f>
        <v>0</v>
      </c>
      <c r="BK29" s="17">
        <f t="shared" ref="BK29" si="283">SUM(BF29:BJ29)</f>
        <v>0</v>
      </c>
      <c r="BN29" s="143"/>
      <c r="BO29" s="284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B29" s="20"/>
      <c r="CD29" s="17">
        <f t="shared" ref="CD29" si="284">BN29</f>
        <v>0</v>
      </c>
      <c r="CE29" s="17">
        <f t="shared" ref="CE29" si="285">IF(BO29=1,$CD29,0)</f>
        <v>0</v>
      </c>
      <c r="CF29" s="20">
        <f t="shared" ref="CF29" si="286">IF(BP29=1,$CD29,0)</f>
        <v>0</v>
      </c>
      <c r="CG29" s="20">
        <f t="shared" ref="CG29" si="287">IF(BQ29=1,$CD29,0)</f>
        <v>0</v>
      </c>
      <c r="CH29" s="20">
        <f t="shared" ref="CH29" si="288">IF(BR29=1,$CD29,0)</f>
        <v>0</v>
      </c>
      <c r="CI29" s="20">
        <f t="shared" ref="CI29" si="289">IF(BS29=1,$CD29,0)</f>
        <v>0</v>
      </c>
      <c r="CJ29" s="20">
        <f t="shared" ref="CJ29" si="290">IF(BT29=1,$CD29,0)</f>
        <v>0</v>
      </c>
      <c r="CK29" s="20">
        <f t="shared" ref="CK29" si="291">IF(BU29=1,$CD29,0)</f>
        <v>0</v>
      </c>
      <c r="CL29" s="20">
        <f t="shared" ref="CL29" si="292">IF(BV29=1,$CD29,0)</f>
        <v>0</v>
      </c>
      <c r="CM29" s="20">
        <f t="shared" ref="CM29" si="293">IF(BW29=1,$CD29,0)</f>
        <v>0</v>
      </c>
      <c r="CN29" s="20">
        <f t="shared" ref="CN29" si="294">IF(BX29=1,$CD29,0)</f>
        <v>0</v>
      </c>
      <c r="CO29" s="20">
        <f t="shared" ref="CO29" si="295">IF(BY29=1,$CD29,0)</f>
        <v>0</v>
      </c>
      <c r="CP29" s="20">
        <f t="shared" ref="CP29" si="296">IF(BZ29=1,$CD29,0)</f>
        <v>0</v>
      </c>
      <c r="DV29" s="20">
        <f t="shared" ref="DV29" si="297">IF(CB29=1,G29,0)</f>
        <v>0</v>
      </c>
      <c r="DW29" s="20">
        <f t="shared" ref="DW29" si="298">IF(CC29="A",G29,0)</f>
        <v>0</v>
      </c>
      <c r="DX29" s="20">
        <f t="shared" ref="DX29" si="299">IF(CC29="B",G29,0)</f>
        <v>0</v>
      </c>
      <c r="DY29" s="20">
        <f t="shared" ref="DY29" si="300">IF(CC29="C",G29,0)</f>
        <v>0</v>
      </c>
      <c r="DZ29" s="20">
        <f t="shared" ref="DZ29" si="301">IF(CC29="D",G29,0)</f>
        <v>0</v>
      </c>
      <c r="EA29" s="20">
        <f t="shared" ref="EA29" si="302">IF(CC29="E",G29,0)</f>
        <v>0</v>
      </c>
      <c r="EB29" s="20">
        <f t="shared" ref="EB29" si="303">SUM(DW29:EA29)</f>
        <v>0</v>
      </c>
      <c r="EG29" s="57">
        <f t="shared" ref="EG29" si="304">IF(AG29="C","C",IF(AG29="D","D",0))</f>
        <v>0</v>
      </c>
      <c r="EH29" s="57">
        <f t="shared" ref="EH29" si="305">CC29</f>
        <v>0</v>
      </c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X29" s="169"/>
      <c r="FY29" s="17">
        <f t="shared" ref="FY29" si="306">SUM(FZ29:GE29)</f>
        <v>0</v>
      </c>
      <c r="FZ29" s="17">
        <f t="shared" ref="FZ29" si="307">DI29+CE29</f>
        <v>0</v>
      </c>
      <c r="GA29" s="17">
        <f t="shared" ref="GA29" si="308">DJ29+CF29</f>
        <v>0</v>
      </c>
      <c r="GB29" s="17">
        <f t="shared" ref="GB29" si="309">DK29+CG29</f>
        <v>0</v>
      </c>
      <c r="GC29" s="17">
        <f t="shared" ref="GC29" si="310">DM29+CI29</f>
        <v>0</v>
      </c>
      <c r="GD29" s="17">
        <f t="shared" ref="GD29" si="311">DO29+CK29</f>
        <v>0</v>
      </c>
      <c r="GE29" s="17">
        <f t="shared" ref="GE29" si="312">DT29+CP29</f>
        <v>0</v>
      </c>
      <c r="GF29" s="67"/>
      <c r="GG29" s="17">
        <v>0</v>
      </c>
      <c r="GH29" s="17">
        <v>0</v>
      </c>
      <c r="GI29" s="67"/>
      <c r="GJ29" s="62">
        <f t="shared" ref="GJ29" si="313">FY29*GG29/1000000000</f>
        <v>0</v>
      </c>
      <c r="GK29" s="62">
        <f t="shared" ref="GK29" si="314">FY29*GH29/1000000000</f>
        <v>0</v>
      </c>
      <c r="GO29" s="17">
        <f t="shared" ref="GO29" si="315">D29-F29</f>
        <v>0</v>
      </c>
      <c r="GP29" s="17">
        <f t="shared" ref="GP29" si="316">D29-J29</f>
        <v>0</v>
      </c>
      <c r="GQ29" s="17">
        <f t="shared" ref="GQ29" si="317">D29-N29</f>
        <v>0</v>
      </c>
      <c r="GR29" s="17">
        <f t="shared" ref="GR29" si="318">D29-R29</f>
        <v>1</v>
      </c>
      <c r="GS29" s="17">
        <f t="shared" ref="GS29" si="319">D29-V29</f>
        <v>1</v>
      </c>
      <c r="GT29" s="17">
        <f t="shared" ref="GT29" si="320">IF(SUM(GO29:GS29)=0,1,0)</f>
        <v>0</v>
      </c>
      <c r="GU29" s="101">
        <f t="shared" si="157"/>
        <v>43243</v>
      </c>
      <c r="GV29" s="17" t="str">
        <f t="shared" ref="GV29" si="321">IF(GO29&gt;0,$GO$6,IF(GP29&gt;0,$GP$6,IF(GQ29&gt;0,$GQ$6,IF(GR29&gt;0,$GR$6,IF(GS29&gt;0,$GS$6,IF(GT29&gt;0,$GT$6,0))))))</f>
        <v>Musyawarah</v>
      </c>
      <c r="GW29" s="17">
        <f t="shared" ref="GW29" si="322">IF(GV29=$GO$6,GO29,IF(GV29=$GP$6,GP29,IF(GV29=$GQ$6,GQ29,IF(GV29=$GR$6,GR29,IF(GV29=$GS$6,GS29,0)))))</f>
        <v>1</v>
      </c>
      <c r="GX29" s="66" t="str">
        <f t="shared" ref="GX29" si="323">GV29</f>
        <v>Musyawarah</v>
      </c>
      <c r="GY29" s="66">
        <f t="shared" ref="GY29" si="324">IF(GX29="DNP",SUM($GY$4:$GY$8),IF(GX29="Survey KJPP",SUM($GY$5:$GY$8),IF(GX29="Hasil Valuasi",SUM($GY$6:$GY$8),IF(GX29="Musyawarah",SUM($GY$7:$GY$8),IF(GX29="UGR",$GY$8,0)))))</f>
        <v>24</v>
      </c>
      <c r="GZ29" s="102">
        <f t="shared" ref="GZ29" si="325">IF(GW29=0,"SELESAI",GU29+GY29)</f>
        <v>43267</v>
      </c>
      <c r="HA29" s="83"/>
      <c r="HB29" s="83"/>
      <c r="HC29" s="17">
        <f t="shared" ref="HC29" si="326">IF(BH29&gt;0,1,IF(BI29&gt;0,1,0))</f>
        <v>0</v>
      </c>
      <c r="HD29" s="17">
        <f t="shared" ref="HD29" si="327">IF(CB29&gt;0,1,0)</f>
        <v>0</v>
      </c>
      <c r="HE29" s="17">
        <f t="shared" ref="HE29" si="328">HC29+HD29</f>
        <v>0</v>
      </c>
      <c r="HF29" s="17">
        <f t="shared" ref="HF29" si="329">FQ29</f>
        <v>0</v>
      </c>
      <c r="HG29" s="17">
        <f t="shared" ref="HG29" si="330">HE29-HF29</f>
        <v>0</v>
      </c>
      <c r="HH29" s="101" t="str">
        <f t="shared" ref="HH29" si="331">IF(HG29=1,GU29+$HH$8,"TIDAK KONSINYASI")</f>
        <v>TIDAK KONSINYASI</v>
      </c>
      <c r="HI29" s="101">
        <f t="shared" ref="HI29" si="332">IF(GW29=0,"SELESAI",GZ29+$HI$8)</f>
        <v>43312</v>
      </c>
      <c r="HJ29" s="27"/>
      <c r="HK29" s="101">
        <f t="shared" ref="HK29" si="333">MAX(GZ29,HH29,HI29)</f>
        <v>43312</v>
      </c>
      <c r="HL29" s="83"/>
      <c r="HM29" s="83"/>
      <c r="HN29" s="83"/>
      <c r="HO29" s="83"/>
      <c r="HP29" s="102">
        <f t="shared" ref="HP29" si="334">IF(HQ29=1,GZ29,0)</f>
        <v>0</v>
      </c>
      <c r="HQ29" s="66">
        <f t="shared" ref="HQ29" si="335">IF(IX29=0,IF(HT29=0,IF(IP29=0,IF(GV29="UGR",GS29,0),0),0),0)</f>
        <v>0</v>
      </c>
      <c r="HR29" s="66">
        <f t="shared" ref="HR29" si="336">IF(HQ29=1,E29,0)</f>
        <v>0</v>
      </c>
      <c r="HS29" s="102">
        <f t="shared" ref="HS29" si="337">IF(HT29=1,HH29,0)</f>
        <v>0</v>
      </c>
      <c r="HT29" s="66">
        <f t="shared" ref="HT29" si="338">HG29</f>
        <v>0</v>
      </c>
      <c r="HU29" s="66">
        <f t="shared" ref="HU29" si="339">IF(HT29=1,E29,0)</f>
        <v>0</v>
      </c>
      <c r="HV29" s="102">
        <f t="shared" ref="HV29" si="340">IF(HW29=1,GZ29,0)</f>
        <v>0</v>
      </c>
      <c r="HW29" s="66">
        <f t="shared" ref="HW29" si="341">IF(JB29=0,IF(IX29=0,IF(HT29=0,IF(GV29="MUSYAWARAH",GR29,0),0),0),0)</f>
        <v>0</v>
      </c>
      <c r="HX29" s="66">
        <f t="shared" ref="HX29" si="342">IF(HW29=1,E29,0)</f>
        <v>0</v>
      </c>
      <c r="HY29" s="102">
        <f t="shared" ref="HY29" si="343">IF(HZ29=1,HV29+$HI$8,0)</f>
        <v>0</v>
      </c>
      <c r="HZ29" s="66">
        <f t="shared" ref="HZ29" si="344">HW29</f>
        <v>0</v>
      </c>
      <c r="IA29" s="66">
        <f t="shared" ref="IA29" si="345">IF(HZ29=1,E29,0)</f>
        <v>0</v>
      </c>
      <c r="IB29" s="102">
        <f t="shared" ref="IB29" si="346">IF(IC29=1,$GU$3+SUM($GY$6:$GY$8),0)</f>
        <v>0</v>
      </c>
      <c r="IC29" s="66">
        <f t="shared" ref="IC29" si="347">IF(GV29="Hasil Valuasi",GQ29,0)</f>
        <v>0</v>
      </c>
      <c r="ID29" s="66">
        <f t="shared" ref="ID29" si="348">IF(IC29=1,E29,0)</f>
        <v>0</v>
      </c>
      <c r="IE29" s="102">
        <f t="shared" ref="IE29" si="349">IF(IF29=1,IB29+$HI$8,0)</f>
        <v>0</v>
      </c>
      <c r="IF29" s="66">
        <f t="shared" ref="IF29" si="350">IC29</f>
        <v>0</v>
      </c>
      <c r="IG29" s="66">
        <f t="shared" ref="IG29" si="351">IF(IF29=1,E29,0)</f>
        <v>0</v>
      </c>
      <c r="IH29" s="102">
        <f t="shared" ref="IH29" si="352">IF(II29=1,$GU$3+SUM($GY$5:$GY$8),0)</f>
        <v>0</v>
      </c>
      <c r="II29" s="66">
        <f t="shared" ref="II29" si="353">IF(GV29="Survey KJPP",GP29,0)</f>
        <v>0</v>
      </c>
      <c r="IJ29" s="66">
        <f t="shared" ref="IJ29" si="354">IF(II29=1,E29,0)</f>
        <v>0</v>
      </c>
      <c r="IK29" s="102">
        <f t="shared" ref="IK29" si="355">IF(IL29=1,IH29+$HI$8,0)</f>
        <v>0</v>
      </c>
      <c r="IL29" s="66">
        <f t="shared" ref="IL29" si="356">II29</f>
        <v>0</v>
      </c>
      <c r="IM29" s="66">
        <f t="shared" ref="IM29" si="357">IF(IL29=1,E29,0)</f>
        <v>0</v>
      </c>
      <c r="IN29" s="83"/>
      <c r="IO29" s="102">
        <f t="shared" ref="IO29" si="358">IF(IP29=1,+$GU$3+$HH$8,0)</f>
        <v>0</v>
      </c>
      <c r="IP29" s="66">
        <f t="shared" ref="IP29" si="359">IF(BG29&gt;0,1,0)</f>
        <v>0</v>
      </c>
      <c r="IQ29" s="66">
        <f t="shared" ref="IQ29" si="360">IF(IP29=1,E29,0)</f>
        <v>0</v>
      </c>
      <c r="IR29" s="83"/>
      <c r="IS29" s="102"/>
      <c r="IT29" s="66">
        <f t="shared" ref="IT29" si="361">V29</f>
        <v>0</v>
      </c>
      <c r="IU29" s="66">
        <f t="shared" ref="IU29" si="362">W29</f>
        <v>0</v>
      </c>
      <c r="IV29" s="83"/>
      <c r="IW29" s="102"/>
      <c r="IX29" s="66">
        <f t="shared" ref="IX29" si="363">AA29</f>
        <v>0</v>
      </c>
      <c r="IY29" s="66">
        <f t="shared" ref="IY29" si="364">AB29</f>
        <v>0</v>
      </c>
      <c r="IZ29" s="83"/>
      <c r="JA29" s="102"/>
      <c r="JB29" s="66">
        <f t="shared" ref="JB29" si="365">AN29</f>
        <v>1</v>
      </c>
      <c r="JC29" s="66">
        <f t="shared" ref="JC29" si="366">BB29</f>
        <v>418</v>
      </c>
      <c r="JD29" s="83"/>
      <c r="JE29" s="102"/>
      <c r="JF29" s="66">
        <f t="shared" ref="JF29" si="367">IT29+HQ29+HT29+HZ29+IF29+IL29+IP29+IX29+JB29</f>
        <v>1</v>
      </c>
      <c r="JG29" s="66">
        <f t="shared" ref="JG29" si="368">IU29+HR29+HU29+IA29+IG29+IM29+IQ29+IY29+JC29</f>
        <v>418</v>
      </c>
      <c r="JH29" s="83"/>
      <c r="JI29" s="102"/>
      <c r="JJ29" s="66">
        <f t="shared" ref="JJ29" si="369">JF29-D29</f>
        <v>0</v>
      </c>
      <c r="JK29" s="66">
        <f t="shared" ref="JK29" si="370">JG29-E29</f>
        <v>0</v>
      </c>
      <c r="JM29" s="102">
        <f t="shared" ref="JM29" si="371">MAX(IW29,IS29,IO29,IK29,IE29,HY29,HS29,HP29)</f>
        <v>0</v>
      </c>
      <c r="JO29" s="29">
        <f t="shared" ref="JO29" si="372">SUM(JQ29:KB29)</f>
        <v>0</v>
      </c>
      <c r="JP29" s="122">
        <f t="shared" ref="JP29" si="373">BN29+CR29</f>
        <v>0</v>
      </c>
      <c r="JQ29" s="122">
        <f t="shared" ref="JQ29" si="374">IF(BO29+CS29=2,1,IF(BO29+CS29=1,1,0))</f>
        <v>0</v>
      </c>
      <c r="JR29" s="122">
        <f t="shared" ref="JR29" si="375">IF(BP29+CT29=2,1,IF(BP29+CT29=1,1,0))</f>
        <v>0</v>
      </c>
      <c r="JS29" s="122">
        <f t="shared" ref="JS29" si="376">IF(BQ29+CU29=2,1,IF(BQ29+CU29=1,1,0))</f>
        <v>0</v>
      </c>
      <c r="JT29" s="122">
        <f t="shared" ref="JT29" si="377">IF(BR29+CV29=2,1,IF(BR29+CV29=1,1,0))</f>
        <v>0</v>
      </c>
      <c r="JU29" s="122">
        <f t="shared" ref="JU29" si="378">IF(BS29+CW29=2,1,IF(BS29+CW29=1,1,0))</f>
        <v>0</v>
      </c>
      <c r="JV29" s="122">
        <f t="shared" ref="JV29" si="379">IF(BT29+CX29=2,1,IF(BT29+CX29=1,1,0))</f>
        <v>0</v>
      </c>
      <c r="JW29" s="122">
        <f t="shared" ref="JW29" si="380">IF(BU29+CY29=2,1,IF(BU29+CY29=1,1,0))</f>
        <v>0</v>
      </c>
      <c r="JX29" s="122">
        <f t="shared" ref="JX29" si="381">IF(BV29+CZ29=2,1,IF(BV29+CZ29=1,1,0))</f>
        <v>0</v>
      </c>
      <c r="JY29" s="122">
        <f t="shared" ref="JY29" si="382">IF(BW29+DA29=2,1,IF(BW29+DA29=1,1,0))</f>
        <v>0</v>
      </c>
      <c r="JZ29" s="122">
        <f t="shared" ref="JZ29" si="383">IF(BX29+DB29=2,1,IF(BX29+DB29=1,1,0))</f>
        <v>0</v>
      </c>
      <c r="KA29" s="122">
        <f t="shared" ref="KA29" si="384">IF(BY29+DC29=2,1,IF(BY29+DC29=1,1,0))</f>
        <v>0</v>
      </c>
      <c r="KB29" s="122">
        <f t="shared" ref="KB29" si="385">IF(BZ29+DD29=2,1,IF(BZ29+DD29=1,1,0))</f>
        <v>0</v>
      </c>
      <c r="KD29" s="122">
        <f t="shared" ref="KD29" si="386">IF(IF(SUM(GA29:GE29)&gt;100,1,0)+IF(FX29=1,1,0)=2,1,0)</f>
        <v>0</v>
      </c>
      <c r="KE29" s="122">
        <f t="shared" ref="KE29" si="387">IF(KD29=1,KF29,0)</f>
        <v>0</v>
      </c>
      <c r="KF29" s="122">
        <f t="shared" ref="KF29" si="388">CD29+DH29</f>
        <v>0</v>
      </c>
      <c r="KG29" s="122">
        <f t="shared" ref="KG29" si="389">CE29+DI29</f>
        <v>0</v>
      </c>
      <c r="KH29" s="122">
        <f t="shared" ref="KH29" si="390">CF29+DJ29</f>
        <v>0</v>
      </c>
      <c r="KI29" s="122">
        <f t="shared" ref="KI29" si="391">CG29+DK29</f>
        <v>0</v>
      </c>
      <c r="KJ29" s="122">
        <f t="shared" ref="KJ29" si="392">CH29+DL29</f>
        <v>0</v>
      </c>
      <c r="KK29" s="122">
        <f t="shared" ref="KK29" si="393">CI29+DM29</f>
        <v>0</v>
      </c>
      <c r="KL29" s="122">
        <f t="shared" ref="KL29" si="394">CJ29+DN29</f>
        <v>0</v>
      </c>
      <c r="KM29" s="122">
        <f t="shared" ref="KM29" si="395">CK29+DO29</f>
        <v>0</v>
      </c>
      <c r="KN29" s="123">
        <f t="shared" ref="KN29" si="396">CL29+DP29</f>
        <v>0</v>
      </c>
      <c r="KO29" s="123">
        <f t="shared" ref="KO29" si="397">CM29+DQ29</f>
        <v>0</v>
      </c>
      <c r="KP29" s="123">
        <f t="shared" ref="KP29" si="398">CN29+DR29</f>
        <v>0</v>
      </c>
      <c r="KQ29" s="123">
        <f t="shared" ref="KQ29" si="399">CO29+DS29</f>
        <v>0</v>
      </c>
      <c r="KR29" s="123">
        <f t="shared" ref="KR29" si="400">CP29+DT29</f>
        <v>0</v>
      </c>
      <c r="KS29">
        <v>7</v>
      </c>
      <c r="KT29">
        <f t="shared" ref="KT29" si="401">AN29</f>
        <v>1</v>
      </c>
      <c r="KU29" s="123"/>
      <c r="KV29" s="123"/>
      <c r="KW29" s="123"/>
      <c r="KX29" s="123"/>
      <c r="KY29" s="123"/>
      <c r="KZ29" s="123"/>
      <c r="LA29" s="123"/>
      <c r="LB29" s="123"/>
      <c r="LC29" s="123"/>
      <c r="LD29" s="123"/>
      <c r="LE29" s="123"/>
      <c r="LF29" s="123"/>
      <c r="LG29" s="123"/>
      <c r="LH29" s="123"/>
      <c r="LI29" s="123"/>
      <c r="LJ29" s="123"/>
      <c r="LK29" s="123"/>
      <c r="LL29" s="123"/>
      <c r="LM29" s="123"/>
      <c r="LN29" s="123"/>
      <c r="LO29" s="123"/>
      <c r="LP29" s="123"/>
      <c r="LQ29" s="123"/>
      <c r="LR29" s="123"/>
      <c r="LS29" s="123"/>
      <c r="LT29" s="123"/>
      <c r="LU29" s="123"/>
      <c r="LV29" s="123"/>
      <c r="LW29" s="123"/>
      <c r="LX29" s="123"/>
      <c r="LY29" s="123"/>
      <c r="LZ29" s="123"/>
      <c r="MA29" s="123"/>
      <c r="MB29" s="123"/>
      <c r="MC29" s="123"/>
      <c r="MD29" s="123"/>
      <c r="ME29" s="123"/>
      <c r="MF29" s="123"/>
      <c r="MG29" s="123"/>
      <c r="MH29" s="123"/>
      <c r="MI29" s="123"/>
      <c r="MJ29" s="123"/>
      <c r="MK29" s="123"/>
      <c r="ML29" s="123"/>
      <c r="MM29" s="123"/>
      <c r="MN29" s="123"/>
      <c r="MO29" s="123"/>
      <c r="MP29" s="123"/>
      <c r="MQ29" s="123"/>
      <c r="MR29" s="123"/>
      <c r="MS29" s="123"/>
      <c r="MT29" s="123"/>
      <c r="MU29" s="123"/>
      <c r="MV29" s="123"/>
      <c r="MW29" s="123"/>
      <c r="MX29" s="123">
        <v>1</v>
      </c>
      <c r="MY29" s="123"/>
      <c r="MZ29" s="123"/>
      <c r="NA29" s="123"/>
      <c r="NB29" s="123"/>
      <c r="NC29" s="123"/>
      <c r="ND29" s="123"/>
      <c r="NE29" s="123"/>
      <c r="NF29" s="123"/>
      <c r="NG29" s="123"/>
      <c r="NH29" s="123"/>
      <c r="NI29" s="123"/>
      <c r="NJ29" s="123"/>
      <c r="NK29" s="123"/>
      <c r="NM29">
        <f t="shared" ref="NM29" si="402">IF(KS29=1,1,0)</f>
        <v>0</v>
      </c>
      <c r="NN29">
        <f t="shared" ref="NN29" si="403">IF(KS29=2,1,0)</f>
        <v>0</v>
      </c>
      <c r="NO29">
        <f t="shared" ref="NO29" si="404">IF(KS29=3,1,0)</f>
        <v>0</v>
      </c>
      <c r="NP29">
        <f t="shared" ref="NP29" si="405">IF(KS29=4,1,0)</f>
        <v>0</v>
      </c>
      <c r="NQ29">
        <f t="shared" ref="NQ29" si="406">IF(KS29=5,1,0)</f>
        <v>0</v>
      </c>
      <c r="NR29">
        <f t="shared" ref="NR29" si="407">IF(KS29=6,1,0)</f>
        <v>0</v>
      </c>
      <c r="NS29">
        <f t="shared" ref="NS29" si="408">IF(KS29=7,1,0)</f>
        <v>1</v>
      </c>
      <c r="NT29">
        <f t="shared" ref="NT29" si="409">SUM(NM29:NS29)</f>
        <v>1</v>
      </c>
      <c r="NU29" s="29">
        <f t="shared" ref="NU29" si="410">NT29-KT29</f>
        <v>0</v>
      </c>
      <c r="NY29" s="29">
        <f t="shared" ref="NY29" si="411">V29</f>
        <v>0</v>
      </c>
      <c r="NZ29" s="152"/>
      <c r="OE29" s="155">
        <f t="shared" ref="OE29" si="412">D29-J29</f>
        <v>0</v>
      </c>
      <c r="OF29" s="155">
        <f t="shared" ref="OF29" si="413">D29-N29</f>
        <v>0</v>
      </c>
      <c r="OG29" s="155">
        <f t="shared" ref="OG29" si="414">AN29</f>
        <v>1</v>
      </c>
      <c r="OH29" s="155">
        <f t="shared" ref="OH29" si="415">HE29</f>
        <v>0</v>
      </c>
      <c r="OI29" s="155">
        <f t="shared" ref="OI29" si="416">D29-R29</f>
        <v>1</v>
      </c>
      <c r="OJ29" s="67">
        <f t="shared" ref="OJ29" si="417">IF(OG29=1,OF29,0)</f>
        <v>0</v>
      </c>
      <c r="OK29" s="67">
        <f t="shared" ref="OK29" si="418">IF(OH29=1,OF29,0)</f>
        <v>0</v>
      </c>
      <c r="OL29" s="67">
        <f t="shared" ref="OL29" si="419">IF((OG29+OH29)=0,OF29,0)</f>
        <v>0</v>
      </c>
      <c r="OM29" s="67">
        <f t="shared" ref="OM29" si="420">SUM(OJ29:OL29)</f>
        <v>0</v>
      </c>
      <c r="OO29" s="155">
        <f t="shared" ref="OO29" si="421">E29-K29</f>
        <v>0</v>
      </c>
      <c r="OP29" s="155">
        <f t="shared" ref="OP29" si="422">E29-O29</f>
        <v>0</v>
      </c>
      <c r="OQ29" s="155">
        <f t="shared" ref="OQ29" si="423">OG29</f>
        <v>1</v>
      </c>
      <c r="OR29" s="155">
        <f t="shared" ref="OR29" si="424">OH29</f>
        <v>0</v>
      </c>
      <c r="OS29" s="155">
        <f t="shared" ref="OS29" si="425">OI29</f>
        <v>1</v>
      </c>
      <c r="OT29" s="67">
        <f t="shared" ref="OT29" si="426">IF(OQ29=1,OP29,0)</f>
        <v>0</v>
      </c>
      <c r="OU29" s="67">
        <f t="shared" ref="OU29" si="427">IF(OR29=1,OP29,0)</f>
        <v>0</v>
      </c>
      <c r="OV29" s="67">
        <f t="shared" ref="OV29" si="428">IF((OQ29+OR29)=0,OP29,0)</f>
        <v>0</v>
      </c>
      <c r="OW29" s="67">
        <f t="shared" ref="OW29" si="429">SUM(OT29:OV29)</f>
        <v>0</v>
      </c>
      <c r="PA29" s="166"/>
      <c r="PB29" s="166">
        <v>1</v>
      </c>
      <c r="PC29" s="166"/>
      <c r="PD29" s="210">
        <f t="shared" si="135"/>
        <v>1</v>
      </c>
      <c r="PE29" s="210">
        <v>1</v>
      </c>
      <c r="PF29" s="210">
        <f t="shared" si="136"/>
        <v>0</v>
      </c>
      <c r="PG29" s="210">
        <f t="shared" si="137"/>
        <v>0</v>
      </c>
      <c r="PH29" s="210">
        <f t="shared" si="137"/>
        <v>418</v>
      </c>
      <c r="PI29" s="210">
        <f t="shared" si="137"/>
        <v>0</v>
      </c>
      <c r="PJ29" s="210">
        <f t="shared" si="137"/>
        <v>418</v>
      </c>
      <c r="PK29" s="210">
        <f t="shared" si="137"/>
        <v>418</v>
      </c>
      <c r="PL29" s="210">
        <f t="shared" si="137"/>
        <v>0</v>
      </c>
      <c r="PO29" s="172">
        <f t="shared" ref="PO29" si="430">IF(FC29=1,AB29,0)</f>
        <v>0</v>
      </c>
      <c r="PP29" s="172">
        <f t="shared" ref="PP29" si="431">IF(FF29=1,AB29,0)</f>
        <v>0</v>
      </c>
      <c r="PQ29" s="172">
        <f t="shared" ref="PQ29" si="432">AB29-(PO29+PP29)</f>
        <v>0</v>
      </c>
    </row>
    <row r="30" spans="1:433 16383:16383" ht="16" x14ac:dyDescent="0.2">
      <c r="A30" s="19">
        <f>A29+1</f>
        <v>21</v>
      </c>
      <c r="B30" s="186" t="s">
        <v>257</v>
      </c>
      <c r="C30" s="186">
        <v>26</v>
      </c>
      <c r="D30" s="188">
        <v>1</v>
      </c>
      <c r="E30" s="188">
        <v>50</v>
      </c>
      <c r="F30" s="188">
        <v>1</v>
      </c>
      <c r="G30" s="188">
        <f t="shared" si="138"/>
        <v>50</v>
      </c>
      <c r="H30" s="214">
        <f t="shared" ref="H30" si="433">F30/$D30</f>
        <v>1</v>
      </c>
      <c r="I30" s="214">
        <f t="shared" ref="I30" si="434">G30/$E30</f>
        <v>1</v>
      </c>
      <c r="J30" s="188">
        <v>1</v>
      </c>
      <c r="K30" s="188">
        <f t="shared" ref="K30" si="435">IF(J30=D30,E30,0)</f>
        <v>50</v>
      </c>
      <c r="L30" s="214">
        <f t="shared" ref="L30" si="436">J30/$D30</f>
        <v>1</v>
      </c>
      <c r="M30" s="214">
        <f t="shared" ref="M30" si="437">K30/$E30</f>
        <v>1</v>
      </c>
      <c r="N30" s="188">
        <v>1</v>
      </c>
      <c r="O30" s="188">
        <f t="shared" ref="O30" si="438">IF(N30=D30,E30,0)</f>
        <v>50</v>
      </c>
      <c r="P30" s="214">
        <f t="shared" ref="P30" si="439">N30/$D30</f>
        <v>1</v>
      </c>
      <c r="Q30" s="214">
        <f t="shared" ref="Q30" si="440">O30/$E30</f>
        <v>1</v>
      </c>
      <c r="R30" s="188">
        <v>1</v>
      </c>
      <c r="S30" s="188">
        <f t="shared" ref="S30" si="441">IF(R30=D30,E30,0)</f>
        <v>50</v>
      </c>
      <c r="T30" s="214">
        <f t="shared" ref="T30" si="442">R30/$D30</f>
        <v>1</v>
      </c>
      <c r="U30" s="214">
        <f t="shared" ref="U30" si="443">S30/$E30</f>
        <v>1</v>
      </c>
      <c r="V30" s="188">
        <v>1</v>
      </c>
      <c r="W30" s="188">
        <f t="shared" ref="W30" si="444">IF(V30=D30,E30,0)</f>
        <v>50</v>
      </c>
      <c r="X30" s="214">
        <f t="shared" ref="X30" si="445">V30/$D30</f>
        <v>1</v>
      </c>
      <c r="Y30" s="214">
        <f t="shared" ref="Y30" si="446">W30/$E30</f>
        <v>1</v>
      </c>
      <c r="Z30" s="272">
        <f>743682000/1000000000</f>
        <v>0.74368199999999995</v>
      </c>
      <c r="AA30" s="272"/>
      <c r="AB30" s="189">
        <f t="shared" si="139"/>
        <v>0</v>
      </c>
      <c r="AC30" s="250">
        <f t="shared" si="140"/>
        <v>0</v>
      </c>
      <c r="AD30" s="250">
        <f t="shared" si="141"/>
        <v>0</v>
      </c>
      <c r="AE30" s="272"/>
      <c r="AF30" s="188">
        <f t="shared" ref="AF30" si="447">R30-V30</f>
        <v>0</v>
      </c>
      <c r="AG30" s="188"/>
      <c r="AH30" s="187"/>
      <c r="AI30" s="20">
        <v>0</v>
      </c>
      <c r="AJ30" s="20">
        <f t="shared" ref="AJ30" si="448">IF(AI30=D30,E30,0)</f>
        <v>0</v>
      </c>
      <c r="AK30" s="20"/>
      <c r="AL30" s="20">
        <v>0</v>
      </c>
      <c r="AM30" s="20">
        <v>0</v>
      </c>
      <c r="AN30" s="139"/>
      <c r="AO30" s="17">
        <v>0</v>
      </c>
      <c r="AP30" s="17">
        <f t="shared" si="19"/>
        <v>0</v>
      </c>
      <c r="AQ30" s="17">
        <f t="shared" si="20"/>
        <v>0</v>
      </c>
      <c r="AR30" s="17">
        <f t="shared" si="21"/>
        <v>0</v>
      </c>
      <c r="AS30" s="17">
        <f t="shared" si="22"/>
        <v>0</v>
      </c>
      <c r="AT30" s="17">
        <f t="shared" si="23"/>
        <v>0</v>
      </c>
      <c r="AU30" s="17">
        <f t="shared" si="24"/>
        <v>0</v>
      </c>
      <c r="AV30" s="17">
        <f t="shared" si="25"/>
        <v>0</v>
      </c>
      <c r="AW30" s="17">
        <f t="shared" si="26"/>
        <v>0</v>
      </c>
      <c r="AX30" s="17">
        <f t="shared" si="27"/>
        <v>0</v>
      </c>
      <c r="AY30" s="17">
        <f t="shared" ref="AY30" si="449">AU30-AW30</f>
        <v>0</v>
      </c>
      <c r="AZ30" s="17">
        <f t="shared" ref="AZ30" si="450">AV30-AX30</f>
        <v>0</v>
      </c>
      <c r="BA30" s="17">
        <f t="shared" si="145"/>
        <v>0</v>
      </c>
      <c r="BB30" s="17">
        <f t="shared" si="146"/>
        <v>0</v>
      </c>
      <c r="BC30" s="29">
        <f t="shared" si="147"/>
        <v>0</v>
      </c>
      <c r="BE30" s="17">
        <f t="shared" si="28"/>
        <v>0</v>
      </c>
      <c r="BF30" s="17">
        <f t="shared" si="29"/>
        <v>0</v>
      </c>
      <c r="BG30" s="17">
        <f t="shared" si="30"/>
        <v>0</v>
      </c>
      <c r="BH30" s="17">
        <f t="shared" si="31"/>
        <v>0</v>
      </c>
      <c r="BI30" s="17">
        <f t="shared" si="32"/>
        <v>0</v>
      </c>
      <c r="BJ30" s="17">
        <f t="shared" si="33"/>
        <v>0</v>
      </c>
      <c r="BK30" s="17">
        <f t="shared" si="148"/>
        <v>0</v>
      </c>
      <c r="BN30" s="284">
        <v>27</v>
      </c>
      <c r="BO30">
        <v>1</v>
      </c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B30" s="20"/>
      <c r="CD30" s="17">
        <f t="shared" si="35"/>
        <v>27</v>
      </c>
      <c r="CE30" s="17">
        <f t="shared" si="36"/>
        <v>27</v>
      </c>
      <c r="CF30" s="20">
        <f t="shared" si="207"/>
        <v>0</v>
      </c>
      <c r="CG30" s="20">
        <f t="shared" si="208"/>
        <v>0</v>
      </c>
      <c r="CH30" s="20">
        <f t="shared" si="209"/>
        <v>0</v>
      </c>
      <c r="CI30" s="20">
        <f t="shared" si="210"/>
        <v>0</v>
      </c>
      <c r="CJ30" s="20">
        <f t="shared" si="211"/>
        <v>0</v>
      </c>
      <c r="CK30" s="20">
        <f t="shared" si="212"/>
        <v>0</v>
      </c>
      <c r="CL30" s="20">
        <f t="shared" si="213"/>
        <v>0</v>
      </c>
      <c r="CM30" s="20">
        <f t="shared" si="214"/>
        <v>0</v>
      </c>
      <c r="CN30" s="20">
        <f t="shared" si="215"/>
        <v>0</v>
      </c>
      <c r="CO30" s="20">
        <f t="shared" si="216"/>
        <v>0</v>
      </c>
      <c r="CP30" s="20">
        <f t="shared" si="217"/>
        <v>0</v>
      </c>
      <c r="DV30" s="20">
        <f t="shared" si="48"/>
        <v>0</v>
      </c>
      <c r="DW30" s="20">
        <f t="shared" si="49"/>
        <v>0</v>
      </c>
      <c r="DX30" s="20">
        <f t="shared" si="50"/>
        <v>0</v>
      </c>
      <c r="DY30" s="20">
        <f t="shared" si="51"/>
        <v>0</v>
      </c>
      <c r="DZ30" s="20">
        <f t="shared" si="52"/>
        <v>0</v>
      </c>
      <c r="EA30" s="20">
        <f t="shared" si="53"/>
        <v>0</v>
      </c>
      <c r="EB30" s="20">
        <f t="shared" si="150"/>
        <v>0</v>
      </c>
      <c r="EG30" s="57">
        <f t="shared" si="151"/>
        <v>0</v>
      </c>
      <c r="EH30" s="57">
        <f t="shared" si="152"/>
        <v>0</v>
      </c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X30" s="169">
        <v>1</v>
      </c>
      <c r="FY30" s="17">
        <f t="shared" si="153"/>
        <v>27</v>
      </c>
      <c r="FZ30" s="17">
        <f t="shared" ref="FZ30:GB31" si="451">DI30+CE30</f>
        <v>27</v>
      </c>
      <c r="GA30" s="17">
        <f t="shared" si="451"/>
        <v>0</v>
      </c>
      <c r="GB30" s="17">
        <f t="shared" si="451"/>
        <v>0</v>
      </c>
      <c r="GC30" s="17">
        <f>DM30+CI30</f>
        <v>0</v>
      </c>
      <c r="GD30" s="17">
        <f>DO30+CK30</f>
        <v>0</v>
      </c>
      <c r="GE30" s="17">
        <f>DT30+CP30</f>
        <v>0</v>
      </c>
      <c r="GF30" s="67"/>
      <c r="GG30" s="17">
        <v>0</v>
      </c>
      <c r="GH30" s="17">
        <v>0</v>
      </c>
      <c r="GI30" s="67"/>
      <c r="GJ30" s="62">
        <f t="shared" si="154"/>
        <v>0</v>
      </c>
      <c r="GK30" s="62">
        <f t="shared" si="155"/>
        <v>0</v>
      </c>
      <c r="GO30" s="17">
        <f>D30-F30</f>
        <v>0</v>
      </c>
      <c r="GP30" s="17">
        <f>D30-J30</f>
        <v>0</v>
      </c>
      <c r="GQ30" s="17">
        <f>D30-N30</f>
        <v>0</v>
      </c>
      <c r="GR30" s="17">
        <f>D30-R30</f>
        <v>0</v>
      </c>
      <c r="GS30" s="17">
        <f>D30-V30</f>
        <v>0</v>
      </c>
      <c r="GT30" s="17">
        <f t="shared" si="156"/>
        <v>1</v>
      </c>
      <c r="GU30" s="101">
        <f t="shared" si="157"/>
        <v>43243</v>
      </c>
      <c r="GV30" s="17" t="str">
        <f t="shared" si="158"/>
        <v>SELESAI</v>
      </c>
      <c r="GW30" s="17">
        <f t="shared" si="159"/>
        <v>0</v>
      </c>
      <c r="GX30" s="66" t="str">
        <f t="shared" si="160"/>
        <v>SELESAI</v>
      </c>
      <c r="GY30" s="66">
        <f t="shared" si="161"/>
        <v>0</v>
      </c>
      <c r="GZ30" s="102" t="str">
        <f t="shared" si="162"/>
        <v>SELESAI</v>
      </c>
      <c r="HA30" s="83"/>
      <c r="HB30" s="83"/>
      <c r="HC30" s="17">
        <f>IF(BH30&gt;0,1,IF(BI30&gt;0,1,0))</f>
        <v>0</v>
      </c>
      <c r="HD30" s="17">
        <f>IF(CB30&gt;0,1,0)</f>
        <v>0</v>
      </c>
      <c r="HE30" s="17">
        <f t="shared" si="163"/>
        <v>0</v>
      </c>
      <c r="HF30" s="17">
        <f t="shared" si="164"/>
        <v>0</v>
      </c>
      <c r="HG30" s="17">
        <f t="shared" si="165"/>
        <v>0</v>
      </c>
      <c r="HH30" s="101" t="str">
        <f t="shared" si="68"/>
        <v>TIDAK KONSINYASI</v>
      </c>
      <c r="HI30" s="101" t="str">
        <f t="shared" si="166"/>
        <v>SELESAI</v>
      </c>
      <c r="HJ30" s="27"/>
      <c r="HK30" s="101">
        <f t="shared" si="69"/>
        <v>0</v>
      </c>
      <c r="HL30" s="83"/>
      <c r="HM30" s="83"/>
      <c r="HN30" s="83"/>
      <c r="HO30" s="83"/>
      <c r="HP30" s="102">
        <f t="shared" si="167"/>
        <v>0</v>
      </c>
      <c r="HQ30" s="66">
        <f t="shared" si="168"/>
        <v>0</v>
      </c>
      <c r="HR30" s="66">
        <f>IF(HQ30=1,E30,0)</f>
        <v>0</v>
      </c>
      <c r="HS30" s="102">
        <f t="shared" si="169"/>
        <v>0</v>
      </c>
      <c r="HT30" s="66">
        <f t="shared" si="170"/>
        <v>0</v>
      </c>
      <c r="HU30" s="66">
        <f>IF(HT30=1,E30,0)</f>
        <v>0</v>
      </c>
      <c r="HV30" s="102">
        <f t="shared" si="171"/>
        <v>0</v>
      </c>
      <c r="HW30" s="66">
        <f t="shared" si="72"/>
        <v>0</v>
      </c>
      <c r="HX30" s="66">
        <f>IF(HW30=1,E30,0)</f>
        <v>0</v>
      </c>
      <c r="HY30" s="102">
        <f t="shared" si="74"/>
        <v>0</v>
      </c>
      <c r="HZ30" s="66">
        <f t="shared" si="172"/>
        <v>0</v>
      </c>
      <c r="IA30" s="66">
        <f>IF(HZ30=1,E30,0)</f>
        <v>0</v>
      </c>
      <c r="IB30" s="102">
        <f t="shared" si="173"/>
        <v>0</v>
      </c>
      <c r="IC30" s="66">
        <f t="shared" si="76"/>
        <v>0</v>
      </c>
      <c r="ID30" s="66">
        <f>IF(IC30=1,E30,0)</f>
        <v>0</v>
      </c>
      <c r="IE30" s="102">
        <f t="shared" si="78"/>
        <v>0</v>
      </c>
      <c r="IF30" s="66">
        <f t="shared" si="79"/>
        <v>0</v>
      </c>
      <c r="IG30" s="66">
        <f>IF(IF30=1,E30,0)</f>
        <v>0</v>
      </c>
      <c r="IH30" s="102">
        <f t="shared" si="174"/>
        <v>0</v>
      </c>
      <c r="II30" s="66">
        <f t="shared" si="175"/>
        <v>0</v>
      </c>
      <c r="IJ30" s="66">
        <f>IF(II30=1,E30,0)</f>
        <v>0</v>
      </c>
      <c r="IK30" s="102">
        <f t="shared" si="82"/>
        <v>0</v>
      </c>
      <c r="IL30" s="66">
        <f t="shared" si="83"/>
        <v>0</v>
      </c>
      <c r="IM30" s="66">
        <f>IF(IL30=1,E30,0)</f>
        <v>0</v>
      </c>
      <c r="IN30" s="83"/>
      <c r="IO30" s="102">
        <f t="shared" si="85"/>
        <v>0</v>
      </c>
      <c r="IP30" s="66">
        <f>IF(BG30&gt;0,1,0)</f>
        <v>0</v>
      </c>
      <c r="IQ30" s="66">
        <f>IF(IP30=1,E30,0)</f>
        <v>0</v>
      </c>
      <c r="IR30" s="83"/>
      <c r="IS30" s="102"/>
      <c r="IT30" s="66">
        <f t="shared" ref="IT30:IU31" si="452">V30</f>
        <v>1</v>
      </c>
      <c r="IU30" s="66">
        <f t="shared" si="452"/>
        <v>50</v>
      </c>
      <c r="IV30" s="83"/>
      <c r="IW30" s="102"/>
      <c r="IX30" s="66">
        <f t="shared" ref="IX30:IY31" si="453">AA30</f>
        <v>0</v>
      </c>
      <c r="IY30" s="66">
        <f t="shared" si="453"/>
        <v>0</v>
      </c>
      <c r="IZ30" s="83"/>
      <c r="JA30" s="102"/>
      <c r="JB30" s="66">
        <f>AN30</f>
        <v>0</v>
      </c>
      <c r="JC30" s="66">
        <f>BB30</f>
        <v>0</v>
      </c>
      <c r="JD30" s="83"/>
      <c r="JE30" s="102"/>
      <c r="JF30" s="66">
        <f t="shared" si="176"/>
        <v>1</v>
      </c>
      <c r="JG30" s="66">
        <f t="shared" si="94"/>
        <v>50</v>
      </c>
      <c r="JH30" s="83"/>
      <c r="JI30" s="102"/>
      <c r="JJ30" s="66">
        <f t="shared" ref="JJ30:JK31" si="454">JF30-D30</f>
        <v>0</v>
      </c>
      <c r="JK30" s="66">
        <f t="shared" si="454"/>
        <v>0</v>
      </c>
      <c r="JM30" s="102">
        <f t="shared" si="177"/>
        <v>0</v>
      </c>
      <c r="JO30" s="29">
        <f t="shared" si="97"/>
        <v>1</v>
      </c>
      <c r="JP30" s="122">
        <f>BN30+CR30</f>
        <v>27</v>
      </c>
      <c r="JQ30" s="122">
        <f t="shared" ref="JQ30:KB31" si="455">IF(BO30+CS30=2,1,IF(BO30+CS30=1,1,0))</f>
        <v>1</v>
      </c>
      <c r="JR30" s="122">
        <f t="shared" si="455"/>
        <v>0</v>
      </c>
      <c r="JS30" s="122">
        <f t="shared" si="455"/>
        <v>0</v>
      </c>
      <c r="JT30" s="122">
        <f t="shared" si="455"/>
        <v>0</v>
      </c>
      <c r="JU30" s="122">
        <f t="shared" si="455"/>
        <v>0</v>
      </c>
      <c r="JV30" s="122">
        <f t="shared" si="455"/>
        <v>0</v>
      </c>
      <c r="JW30" s="122">
        <f t="shared" si="455"/>
        <v>0</v>
      </c>
      <c r="JX30" s="122">
        <f t="shared" si="455"/>
        <v>0</v>
      </c>
      <c r="JY30" s="122">
        <f t="shared" si="455"/>
        <v>0</v>
      </c>
      <c r="JZ30" s="122">
        <f t="shared" si="455"/>
        <v>0</v>
      </c>
      <c r="KA30" s="122">
        <f t="shared" si="455"/>
        <v>0</v>
      </c>
      <c r="KB30" s="122">
        <f t="shared" si="455"/>
        <v>0</v>
      </c>
      <c r="KD30" s="122">
        <f t="shared" si="178"/>
        <v>0</v>
      </c>
      <c r="KE30" s="122">
        <f t="shared" si="112"/>
        <v>0</v>
      </c>
      <c r="KF30" s="122">
        <f t="shared" ref="KF30:KR31" si="456">CD30+DH30</f>
        <v>27</v>
      </c>
      <c r="KG30" s="122">
        <f t="shared" si="456"/>
        <v>27</v>
      </c>
      <c r="KH30" s="122">
        <f t="shared" si="456"/>
        <v>0</v>
      </c>
      <c r="KI30" s="122">
        <f t="shared" si="456"/>
        <v>0</v>
      </c>
      <c r="KJ30" s="122">
        <f t="shared" si="456"/>
        <v>0</v>
      </c>
      <c r="KK30" s="122">
        <f t="shared" si="456"/>
        <v>0</v>
      </c>
      <c r="KL30" s="122">
        <f t="shared" si="456"/>
        <v>0</v>
      </c>
      <c r="KM30" s="122">
        <f t="shared" si="456"/>
        <v>0</v>
      </c>
      <c r="KN30" s="123">
        <f t="shared" si="456"/>
        <v>0</v>
      </c>
      <c r="KO30" s="123">
        <f t="shared" si="456"/>
        <v>0</v>
      </c>
      <c r="KP30" s="123">
        <f t="shared" si="456"/>
        <v>0</v>
      </c>
      <c r="KQ30" s="123">
        <f t="shared" si="456"/>
        <v>0</v>
      </c>
      <c r="KR30" s="123">
        <f t="shared" si="456"/>
        <v>0</v>
      </c>
      <c r="KT30">
        <f>AN30</f>
        <v>0</v>
      </c>
      <c r="KU30" s="123"/>
      <c r="KV30" s="123"/>
      <c r="KW30" s="123"/>
      <c r="KX30" s="123"/>
      <c r="KY30" s="123"/>
      <c r="KZ30" s="123"/>
      <c r="LA30" s="123"/>
      <c r="LB30" s="123"/>
      <c r="LC30" s="123"/>
      <c r="LD30" s="123"/>
      <c r="LE30" s="123"/>
      <c r="LF30" s="123"/>
      <c r="LG30" s="123"/>
      <c r="LH30" s="123"/>
      <c r="LI30" s="123"/>
      <c r="LJ30" s="123"/>
      <c r="LK30" s="123"/>
      <c r="LL30" s="123"/>
      <c r="LM30" s="123"/>
      <c r="LN30" s="123"/>
      <c r="LO30" s="123"/>
      <c r="LP30" s="123"/>
      <c r="LQ30" s="123"/>
      <c r="LR30" s="123"/>
      <c r="LS30" s="123"/>
      <c r="LT30" s="123"/>
      <c r="LU30" s="123"/>
      <c r="LV30" s="123"/>
      <c r="LW30" s="123"/>
      <c r="LX30" s="123"/>
      <c r="LY30" s="123"/>
      <c r="LZ30" s="123"/>
      <c r="MA30" s="123"/>
      <c r="MB30" s="123"/>
      <c r="MC30" s="123"/>
      <c r="MD30" s="123"/>
      <c r="ME30" s="123"/>
      <c r="MF30" s="123"/>
      <c r="MG30" s="123"/>
      <c r="MH30" s="123"/>
      <c r="MI30" s="123"/>
      <c r="MJ30" s="123"/>
      <c r="MK30" s="123"/>
      <c r="ML30" s="123"/>
      <c r="MM30" s="123"/>
      <c r="MN30" s="123"/>
      <c r="MO30" s="123"/>
      <c r="MP30" s="123"/>
      <c r="MQ30" s="123"/>
      <c r="MR30" s="123"/>
      <c r="MS30" s="123"/>
      <c r="MT30" s="123"/>
      <c r="MU30" s="123"/>
      <c r="MV30" s="123"/>
      <c r="MW30" s="123"/>
      <c r="MX30" s="123"/>
      <c r="MY30" s="123"/>
      <c r="MZ30" s="123"/>
      <c r="NA30" s="123"/>
      <c r="NB30" s="123"/>
      <c r="NC30" s="123"/>
      <c r="ND30" s="123"/>
      <c r="NE30" s="123"/>
      <c r="NF30" s="123"/>
      <c r="NG30" s="123"/>
      <c r="NH30" s="123"/>
      <c r="NI30" s="123"/>
      <c r="NJ30" s="123"/>
      <c r="NK30" s="123"/>
      <c r="NM30">
        <f t="shared" si="179"/>
        <v>0</v>
      </c>
      <c r="NN30">
        <f t="shared" si="180"/>
        <v>0</v>
      </c>
      <c r="NO30">
        <f t="shared" si="181"/>
        <v>0</v>
      </c>
      <c r="NP30">
        <f t="shared" si="182"/>
        <v>0</v>
      </c>
      <c r="NQ30">
        <f t="shared" si="183"/>
        <v>0</v>
      </c>
      <c r="NR30">
        <f t="shared" si="184"/>
        <v>0</v>
      </c>
      <c r="NS30">
        <f t="shared" si="185"/>
        <v>0</v>
      </c>
      <c r="NT30">
        <f t="shared" si="186"/>
        <v>0</v>
      </c>
      <c r="NU30" s="29">
        <f t="shared" si="187"/>
        <v>0</v>
      </c>
      <c r="NY30" s="29">
        <f>V30</f>
        <v>1</v>
      </c>
      <c r="NZ30" s="152">
        <v>8624000</v>
      </c>
      <c r="OE30" s="155">
        <f>D30-J30</f>
        <v>0</v>
      </c>
      <c r="OF30" s="155">
        <f>D30-N30</f>
        <v>0</v>
      </c>
      <c r="OG30" s="155">
        <f>AN30</f>
        <v>0</v>
      </c>
      <c r="OH30" s="155">
        <f t="shared" si="188"/>
        <v>0</v>
      </c>
      <c r="OI30" s="155">
        <f>D30-R30</f>
        <v>0</v>
      </c>
      <c r="OJ30" s="67">
        <f t="shared" si="189"/>
        <v>0</v>
      </c>
      <c r="OK30" s="67">
        <f t="shared" si="190"/>
        <v>0</v>
      </c>
      <c r="OL30" s="67">
        <f t="shared" si="191"/>
        <v>0</v>
      </c>
      <c r="OM30" s="67">
        <f t="shared" si="192"/>
        <v>0</v>
      </c>
      <c r="OO30" s="155">
        <f>E30-K30</f>
        <v>0</v>
      </c>
      <c r="OP30" s="155">
        <f>E30-O30</f>
        <v>0</v>
      </c>
      <c r="OQ30" s="155">
        <f t="shared" si="193"/>
        <v>0</v>
      </c>
      <c r="OR30" s="155">
        <f t="shared" si="194"/>
        <v>0</v>
      </c>
      <c r="OS30" s="155">
        <f t="shared" si="195"/>
        <v>0</v>
      </c>
      <c r="OT30" s="67">
        <f t="shared" si="196"/>
        <v>0</v>
      </c>
      <c r="OU30" s="67">
        <f t="shared" si="197"/>
        <v>0</v>
      </c>
      <c r="OV30" s="67">
        <f t="shared" si="198"/>
        <v>0</v>
      </c>
      <c r="OW30" s="67">
        <f t="shared" si="199"/>
        <v>0</v>
      </c>
      <c r="PA30" s="166"/>
      <c r="PB30" s="166"/>
      <c r="PC30" s="166"/>
      <c r="PD30" s="210">
        <f t="shared" si="135"/>
        <v>0</v>
      </c>
      <c r="PE30" s="210"/>
      <c r="PF30" s="210">
        <f t="shared" si="136"/>
        <v>0</v>
      </c>
      <c r="PG30" s="210">
        <f t="shared" si="137"/>
        <v>0</v>
      </c>
      <c r="PH30" s="210">
        <f t="shared" si="137"/>
        <v>0</v>
      </c>
      <c r="PI30" s="210">
        <f t="shared" si="137"/>
        <v>0</v>
      </c>
      <c r="PJ30" s="210">
        <f t="shared" si="137"/>
        <v>0</v>
      </c>
      <c r="PK30" s="210">
        <f t="shared" si="137"/>
        <v>0</v>
      </c>
      <c r="PL30" s="210">
        <f t="shared" si="137"/>
        <v>0</v>
      </c>
      <c r="PO30" s="172">
        <f t="shared" si="200"/>
        <v>0</v>
      </c>
      <c r="PP30" s="172">
        <f t="shared" si="201"/>
        <v>0</v>
      </c>
      <c r="PQ30" s="172">
        <f t="shared" si="202"/>
        <v>0</v>
      </c>
    </row>
    <row r="31" spans="1:433 16383:16383" ht="16" x14ac:dyDescent="0.2">
      <c r="A31" s="19">
        <f>A30+1</f>
        <v>22</v>
      </c>
      <c r="B31" s="186" t="s">
        <v>305</v>
      </c>
      <c r="C31" s="186">
        <v>27</v>
      </c>
      <c r="D31" s="188">
        <v>1</v>
      </c>
      <c r="E31" s="188">
        <v>186</v>
      </c>
      <c r="F31" s="188">
        <v>1</v>
      </c>
      <c r="G31" s="188">
        <f t="shared" si="138"/>
        <v>186</v>
      </c>
      <c r="H31" s="214">
        <f>F31/$D31</f>
        <v>1</v>
      </c>
      <c r="I31" s="214">
        <f>G31/$E31</f>
        <v>1</v>
      </c>
      <c r="J31" s="188">
        <v>1</v>
      </c>
      <c r="K31" s="188">
        <f>IF(J31=D31,E31,0)</f>
        <v>186</v>
      </c>
      <c r="L31" s="214">
        <f>J31/$D31</f>
        <v>1</v>
      </c>
      <c r="M31" s="214">
        <f>K31/$E31</f>
        <v>1</v>
      </c>
      <c r="N31" s="188">
        <v>1</v>
      </c>
      <c r="O31" s="188">
        <f>IF(N31=D31,E31,0)</f>
        <v>186</v>
      </c>
      <c r="P31" s="214">
        <f>N31/$D31</f>
        <v>1</v>
      </c>
      <c r="Q31" s="214">
        <f>O31/$E31</f>
        <v>1</v>
      </c>
      <c r="R31" s="188">
        <v>1</v>
      </c>
      <c r="S31" s="188">
        <f>IF(R31=D31,E31,0)</f>
        <v>186</v>
      </c>
      <c r="T31" s="214">
        <f>R31/$D31</f>
        <v>1</v>
      </c>
      <c r="U31" s="214">
        <f>S31/$E31</f>
        <v>1</v>
      </c>
      <c r="V31" s="188">
        <v>1</v>
      </c>
      <c r="W31" s="188">
        <f>IF(V31=D31,E31,0)</f>
        <v>186</v>
      </c>
      <c r="X31" s="214">
        <f>V31/$D31</f>
        <v>1</v>
      </c>
      <c r="Y31" s="214">
        <f>W31/$E31</f>
        <v>1</v>
      </c>
      <c r="Z31" s="274">
        <f>1591678000/1000000000</f>
        <v>1.5916779999999999</v>
      </c>
      <c r="AA31" s="275"/>
      <c r="AB31" s="189">
        <f>IF(AA31=D31,E31,0)</f>
        <v>0</v>
      </c>
      <c r="AC31" s="250">
        <f>AA31/$D31</f>
        <v>0</v>
      </c>
      <c r="AD31" s="250">
        <f>AB31/$E31</f>
        <v>0</v>
      </c>
      <c r="AE31" s="275"/>
      <c r="AF31" s="188">
        <f>R31-V31</f>
        <v>0</v>
      </c>
      <c r="AG31" s="188"/>
      <c r="AH31" s="187"/>
      <c r="AI31" s="20">
        <v>0</v>
      </c>
      <c r="AJ31" s="20">
        <f>IF(AI31=D31,E31,0)</f>
        <v>0</v>
      </c>
      <c r="AK31" s="20"/>
      <c r="AL31" s="20">
        <v>0</v>
      </c>
      <c r="AM31" s="20">
        <v>0</v>
      </c>
      <c r="AN31" s="139"/>
      <c r="AO31" s="17">
        <v>0</v>
      </c>
      <c r="AP31" s="17">
        <f>IF(AO31=D31,E31,0)</f>
        <v>0</v>
      </c>
      <c r="AQ31" s="17">
        <f>IF(AI31=1,J31,0)</f>
        <v>0</v>
      </c>
      <c r="AR31" s="17">
        <f>IF(AQ31=1,K31,0)</f>
        <v>0</v>
      </c>
      <c r="AS31" s="17">
        <f>IF(AI31=1,N31,0)</f>
        <v>0</v>
      </c>
      <c r="AT31" s="17">
        <f>IF(AS31=1,O31,0)</f>
        <v>0</v>
      </c>
      <c r="AU31" s="17">
        <f>IF(AI31=1,R31,0)</f>
        <v>0</v>
      </c>
      <c r="AV31" s="17">
        <f>IF(AU31=1,S31,0)</f>
        <v>0</v>
      </c>
      <c r="AW31" s="17">
        <f>IF(AI31=1,V31,0)</f>
        <v>0</v>
      </c>
      <c r="AX31" s="17">
        <f>IF(AW31=1,W31,0)</f>
        <v>0</v>
      </c>
      <c r="AY31" s="17">
        <f>AU31-AW31</f>
        <v>0</v>
      </c>
      <c r="AZ31" s="17">
        <f>AV31-AX31</f>
        <v>0</v>
      </c>
      <c r="BA31" s="17">
        <f>IF(AW31=1,Z31,0)</f>
        <v>0</v>
      </c>
      <c r="BB31" s="17">
        <f>IF(AN31=1,G31,0)</f>
        <v>0</v>
      </c>
      <c r="BC31" s="29">
        <f>D31-R31-AN31-CB31</f>
        <v>0</v>
      </c>
      <c r="BE31" s="17">
        <f>IF(AF31=1,S31,0)</f>
        <v>0</v>
      </c>
      <c r="BF31" s="17">
        <f>IF(AG31="A",S31,0)</f>
        <v>0</v>
      </c>
      <c r="BG31" s="17">
        <f>IF(AG31="B",S31,0)</f>
        <v>0</v>
      </c>
      <c r="BH31" s="17">
        <f>IF(AG31="C",S31,0)</f>
        <v>0</v>
      </c>
      <c r="BI31" s="17">
        <f>IF(AG31="D",S31,0)</f>
        <v>0</v>
      </c>
      <c r="BJ31" s="17">
        <f>IF(AG31="E",S31,0)</f>
        <v>0</v>
      </c>
      <c r="BK31" s="17">
        <f>SUM(BF31:BJ31)</f>
        <v>0</v>
      </c>
      <c r="BN31" s="143"/>
      <c r="BO31" s="126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B31" s="20"/>
      <c r="CD31" s="17">
        <f>BN31</f>
        <v>0</v>
      </c>
      <c r="CE31" s="17">
        <f t="shared" ref="CE31:CP31" si="457">IF(BO31=1,$CD31,0)</f>
        <v>0</v>
      </c>
      <c r="CF31" s="20">
        <f t="shared" si="457"/>
        <v>0</v>
      </c>
      <c r="CG31" s="20">
        <f t="shared" si="457"/>
        <v>0</v>
      </c>
      <c r="CH31" s="20">
        <f t="shared" si="457"/>
        <v>0</v>
      </c>
      <c r="CI31" s="20">
        <f t="shared" si="457"/>
        <v>0</v>
      </c>
      <c r="CJ31" s="20">
        <f t="shared" si="457"/>
        <v>0</v>
      </c>
      <c r="CK31" s="20">
        <f t="shared" si="457"/>
        <v>0</v>
      </c>
      <c r="CL31" s="20">
        <f t="shared" si="457"/>
        <v>0</v>
      </c>
      <c r="CM31" s="20">
        <f t="shared" si="457"/>
        <v>0</v>
      </c>
      <c r="CN31" s="20">
        <f t="shared" si="457"/>
        <v>0</v>
      </c>
      <c r="CO31" s="20">
        <f t="shared" si="457"/>
        <v>0</v>
      </c>
      <c r="CP31" s="20">
        <f t="shared" si="457"/>
        <v>0</v>
      </c>
      <c r="DV31" s="20">
        <f>IF(CB31=1,G31,0)</f>
        <v>0</v>
      </c>
      <c r="DW31" s="20">
        <f>IF(CC31="A",G31,0)</f>
        <v>0</v>
      </c>
      <c r="DX31" s="20">
        <f>IF(CC31="B",G31,0)</f>
        <v>0</v>
      </c>
      <c r="DY31" s="20">
        <f>IF(CC31="C",G31,0)</f>
        <v>0</v>
      </c>
      <c r="DZ31" s="20">
        <f>IF(CC31="D",G31,0)</f>
        <v>0</v>
      </c>
      <c r="EA31" s="20">
        <f>IF(CC31="E",G31,0)</f>
        <v>0</v>
      </c>
      <c r="EB31" s="20">
        <f>SUM(DW31:EA31)</f>
        <v>0</v>
      </c>
      <c r="EG31" s="57">
        <f>IF(AG31="C","C",IF(AG31="D","D",0))</f>
        <v>0</v>
      </c>
      <c r="EH31" s="57">
        <f>CC31</f>
        <v>0</v>
      </c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X31" s="169"/>
      <c r="FY31" s="17">
        <f>SUM(FZ31:GE31)</f>
        <v>0</v>
      </c>
      <c r="FZ31" s="17">
        <f t="shared" si="451"/>
        <v>0</v>
      </c>
      <c r="GA31" s="17">
        <f t="shared" si="451"/>
        <v>0</v>
      </c>
      <c r="GB31" s="17">
        <f t="shared" si="451"/>
        <v>0</v>
      </c>
      <c r="GC31" s="17">
        <f>DM31+CI31</f>
        <v>0</v>
      </c>
      <c r="GD31" s="17">
        <f>DO31+CK31</f>
        <v>0</v>
      </c>
      <c r="GE31" s="17">
        <f>DT31+CP31</f>
        <v>0</v>
      </c>
      <c r="GF31" s="67"/>
      <c r="GG31" s="17">
        <v>0</v>
      </c>
      <c r="GH31" s="17">
        <v>0</v>
      </c>
      <c r="GI31" s="67"/>
      <c r="GJ31" s="62">
        <f>FY31*GG31/1000000000</f>
        <v>0</v>
      </c>
      <c r="GK31" s="62">
        <f>FY31*GH31/1000000000</f>
        <v>0</v>
      </c>
      <c r="GO31" s="17">
        <f>D31-F31</f>
        <v>0</v>
      </c>
      <c r="GP31" s="17">
        <f>D31-J31</f>
        <v>0</v>
      </c>
      <c r="GQ31" s="17">
        <f>D31-N31</f>
        <v>0</v>
      </c>
      <c r="GR31" s="17">
        <f>D31-R31</f>
        <v>0</v>
      </c>
      <c r="GS31" s="17">
        <f>D31-V31</f>
        <v>0</v>
      </c>
      <c r="GT31" s="17">
        <f>IF(SUM(GO31:GS31)=0,1,0)</f>
        <v>1</v>
      </c>
      <c r="GU31" s="101">
        <f t="shared" si="157"/>
        <v>43243</v>
      </c>
      <c r="GV31" s="17" t="str">
        <f>IF(GO31&gt;0,$GO$6,IF(GP31&gt;0,$GP$6,IF(GQ31&gt;0,$GQ$6,IF(GR31&gt;0,$GR$6,IF(GS31&gt;0,$GS$6,IF(GT31&gt;0,$GT$6,0))))))</f>
        <v>SELESAI</v>
      </c>
      <c r="GW31" s="17">
        <f>IF(GV31=$GO$6,GO31,IF(GV31=$GP$6,GP31,IF(GV31=$GQ$6,GQ31,IF(GV31=$GR$6,GR31,IF(GV31=$GS$6,GS31,0)))))</f>
        <v>0</v>
      </c>
      <c r="GX31" s="66" t="str">
        <f>GV31</f>
        <v>SELESAI</v>
      </c>
      <c r="GY31" s="66">
        <f>IF(GX31="DNP",SUM($GY$4:$GY$8),IF(GX31="Survey KJPP",SUM($GY$5:$GY$8),IF(GX31="Hasil Valuasi",SUM($GY$6:$GY$8),IF(GX31="Musyawarah",SUM($GY$7:$GY$8),IF(GX31="UGR",$GY$8,0)))))</f>
        <v>0</v>
      </c>
      <c r="GZ31" s="102" t="str">
        <f>IF(GW31=0,"SELESAI",GU31+GY31)</f>
        <v>SELESAI</v>
      </c>
      <c r="HA31" s="83"/>
      <c r="HB31" s="83"/>
      <c r="HC31" s="17">
        <f>IF(BH31&gt;0,1,IF(BI31&gt;0,1,0))</f>
        <v>0</v>
      </c>
      <c r="HD31" s="17">
        <f>IF(CB31&gt;0,1,0)</f>
        <v>0</v>
      </c>
      <c r="HE31" s="17">
        <f>HC31+HD31</f>
        <v>0</v>
      </c>
      <c r="HF31" s="17">
        <f>FQ31</f>
        <v>0</v>
      </c>
      <c r="HG31" s="17">
        <f>HE31-HF31</f>
        <v>0</v>
      </c>
      <c r="HH31" s="101" t="str">
        <f>IF(HG31=1,GU31+$HH$8,"TIDAK KONSINYASI")</f>
        <v>TIDAK KONSINYASI</v>
      </c>
      <c r="HI31" s="101" t="str">
        <f>IF(GW31=0,"SELESAI",GZ31+$HI$8)</f>
        <v>SELESAI</v>
      </c>
      <c r="HJ31" s="27"/>
      <c r="HK31" s="101">
        <f>MAX(GZ31,HH31,HI31)</f>
        <v>0</v>
      </c>
      <c r="HL31" s="83"/>
      <c r="HM31" s="83"/>
      <c r="HN31" s="83"/>
      <c r="HO31" s="83"/>
      <c r="HP31" s="102">
        <f>IF(HQ31=1,GZ31,0)</f>
        <v>0</v>
      </c>
      <c r="HQ31" s="66">
        <f>IF(IX31=0,IF(HT31=0,IF(IP31=0,IF(GV31="UGR",GS31,0),0),0),0)</f>
        <v>0</v>
      </c>
      <c r="HR31" s="66">
        <f>IF(HQ31=1,E31,0)</f>
        <v>0</v>
      </c>
      <c r="HS31" s="102">
        <f>IF(HT31=1,HH31,0)</f>
        <v>0</v>
      </c>
      <c r="HT31" s="66">
        <f>HG31</f>
        <v>0</v>
      </c>
      <c r="HU31" s="66">
        <f>IF(HT31=1,E31,0)</f>
        <v>0</v>
      </c>
      <c r="HV31" s="102">
        <f>IF(HW31=1,GZ31,0)</f>
        <v>0</v>
      </c>
      <c r="HW31" s="66">
        <f>IF(JB31=0,IF(IX31=0,IF(HT31=0,IF(GV31="MUSYAWARAH",GR31,0),0),0),0)</f>
        <v>0</v>
      </c>
      <c r="HX31" s="66">
        <f>IF(HW31=1,E31,0)</f>
        <v>0</v>
      </c>
      <c r="HY31" s="102">
        <f>IF(HZ31=1,HV31+$HI$8,0)</f>
        <v>0</v>
      </c>
      <c r="HZ31" s="66">
        <f>HW31</f>
        <v>0</v>
      </c>
      <c r="IA31" s="66">
        <f>IF(HZ31=1,E31,0)</f>
        <v>0</v>
      </c>
      <c r="IB31" s="102">
        <f>IF(IC31=1,$GU$3+SUM($GY$6:$GY$8),0)</f>
        <v>0</v>
      </c>
      <c r="IC31" s="66">
        <f>IF(GV31="Hasil Valuasi",GQ31,0)</f>
        <v>0</v>
      </c>
      <c r="ID31" s="66">
        <f>IF(IC31=1,E31,0)</f>
        <v>0</v>
      </c>
      <c r="IE31" s="102">
        <f>IF(IF31=1,IB31+$HI$8,0)</f>
        <v>0</v>
      </c>
      <c r="IF31" s="66">
        <f>IC31</f>
        <v>0</v>
      </c>
      <c r="IG31" s="66">
        <f>IF(IF31=1,E31,0)</f>
        <v>0</v>
      </c>
      <c r="IH31" s="102">
        <f>IF(II31=1,$GU$3+SUM($GY$5:$GY$8),0)</f>
        <v>0</v>
      </c>
      <c r="II31" s="66">
        <f>IF(GV31="Survey KJPP",GP31,0)</f>
        <v>0</v>
      </c>
      <c r="IJ31" s="66">
        <f>IF(II31=1,E31,0)</f>
        <v>0</v>
      </c>
      <c r="IK31" s="102">
        <f>IF(IL31=1,IH31+$HI$8,0)</f>
        <v>0</v>
      </c>
      <c r="IL31" s="66">
        <f>II31</f>
        <v>0</v>
      </c>
      <c r="IM31" s="66">
        <f>IF(IL31=1,E31,0)</f>
        <v>0</v>
      </c>
      <c r="IN31" s="83"/>
      <c r="IO31" s="102">
        <f>IF(IP31=1,+$GU$3+$HH$8,0)</f>
        <v>0</v>
      </c>
      <c r="IP31" s="66">
        <f>IF(BG31&gt;0,1,0)</f>
        <v>0</v>
      </c>
      <c r="IQ31" s="66">
        <f>IF(IP31=1,E31,0)</f>
        <v>0</v>
      </c>
      <c r="IR31" s="83"/>
      <c r="IS31" s="102"/>
      <c r="IT31" s="66">
        <f t="shared" si="452"/>
        <v>1</v>
      </c>
      <c r="IU31" s="66">
        <f t="shared" si="452"/>
        <v>186</v>
      </c>
      <c r="IV31" s="83"/>
      <c r="IW31" s="102"/>
      <c r="IX31" s="66">
        <f t="shared" si="453"/>
        <v>0</v>
      </c>
      <c r="IY31" s="66">
        <f t="shared" si="453"/>
        <v>0</v>
      </c>
      <c r="IZ31" s="83"/>
      <c r="JA31" s="102"/>
      <c r="JB31" s="66">
        <f>AN31</f>
        <v>0</v>
      </c>
      <c r="JC31" s="66">
        <f>BB31</f>
        <v>0</v>
      </c>
      <c r="JD31" s="83"/>
      <c r="JE31" s="102"/>
      <c r="JF31" s="66">
        <f>IT31+HQ31+HT31+HZ31+IF31+IL31+IP31+IX31+JB31</f>
        <v>1</v>
      </c>
      <c r="JG31" s="66">
        <f>IU31+HR31+HU31+IA31+IG31+IM31+IQ31+IY31+JC31</f>
        <v>186</v>
      </c>
      <c r="JH31" s="83"/>
      <c r="JI31" s="102"/>
      <c r="JJ31" s="66">
        <f t="shared" si="454"/>
        <v>0</v>
      </c>
      <c r="JK31" s="66">
        <f t="shared" si="454"/>
        <v>0</v>
      </c>
      <c r="JM31" s="102">
        <f>MAX(IW31,IS31,IO31,IK31,IE31,HY31,HS31,HP31)</f>
        <v>0</v>
      </c>
      <c r="JO31" s="29">
        <f>SUM(JQ31:KB31)</f>
        <v>0</v>
      </c>
      <c r="JP31" s="122">
        <f>BN31+CR31</f>
        <v>0</v>
      </c>
      <c r="JQ31" s="122">
        <f t="shared" si="455"/>
        <v>0</v>
      </c>
      <c r="JR31" s="122">
        <f t="shared" si="455"/>
        <v>0</v>
      </c>
      <c r="JS31" s="122">
        <f t="shared" si="455"/>
        <v>0</v>
      </c>
      <c r="JT31" s="122">
        <f t="shared" si="455"/>
        <v>0</v>
      </c>
      <c r="JU31" s="122">
        <f t="shared" si="455"/>
        <v>0</v>
      </c>
      <c r="JV31" s="122">
        <f t="shared" si="455"/>
        <v>0</v>
      </c>
      <c r="JW31" s="122">
        <f t="shared" si="455"/>
        <v>0</v>
      </c>
      <c r="JX31" s="122">
        <f t="shared" si="455"/>
        <v>0</v>
      </c>
      <c r="JY31" s="122">
        <f t="shared" si="455"/>
        <v>0</v>
      </c>
      <c r="JZ31" s="122">
        <f t="shared" si="455"/>
        <v>0</v>
      </c>
      <c r="KA31" s="122">
        <f t="shared" si="455"/>
        <v>0</v>
      </c>
      <c r="KB31" s="122">
        <f t="shared" si="455"/>
        <v>0</v>
      </c>
      <c r="KD31" s="122">
        <f t="shared" si="178"/>
        <v>0</v>
      </c>
      <c r="KE31" s="122">
        <f t="shared" si="112"/>
        <v>0</v>
      </c>
      <c r="KF31" s="122">
        <f t="shared" si="456"/>
        <v>0</v>
      </c>
      <c r="KG31" s="122">
        <f t="shared" si="456"/>
        <v>0</v>
      </c>
      <c r="KH31" s="122">
        <f t="shared" si="456"/>
        <v>0</v>
      </c>
      <c r="KI31" s="122">
        <f t="shared" si="456"/>
        <v>0</v>
      </c>
      <c r="KJ31" s="122">
        <f t="shared" si="456"/>
        <v>0</v>
      </c>
      <c r="KK31" s="122">
        <f t="shared" si="456"/>
        <v>0</v>
      </c>
      <c r="KL31" s="122">
        <f t="shared" si="456"/>
        <v>0</v>
      </c>
      <c r="KM31" s="122">
        <f t="shared" si="456"/>
        <v>0</v>
      </c>
      <c r="KN31" s="123">
        <f t="shared" si="456"/>
        <v>0</v>
      </c>
      <c r="KO31" s="123">
        <f t="shared" si="456"/>
        <v>0</v>
      </c>
      <c r="KP31" s="123">
        <f t="shared" si="456"/>
        <v>0</v>
      </c>
      <c r="KQ31" s="123">
        <f t="shared" si="456"/>
        <v>0</v>
      </c>
      <c r="KR31" s="123">
        <f t="shared" si="456"/>
        <v>0</v>
      </c>
      <c r="KT31">
        <f>AN31</f>
        <v>0</v>
      </c>
      <c r="KU31" s="123"/>
      <c r="KV31" s="123"/>
      <c r="KW31" s="123"/>
      <c r="KX31" s="123"/>
      <c r="KY31" s="123"/>
      <c r="KZ31" s="123"/>
      <c r="LA31" s="123"/>
      <c r="LB31" s="123"/>
      <c r="LC31" s="123"/>
      <c r="LD31" s="123"/>
      <c r="LE31" s="123"/>
      <c r="LF31" s="123"/>
      <c r="LG31" s="123"/>
      <c r="LH31" s="123"/>
      <c r="LI31" s="123"/>
      <c r="LJ31" s="123"/>
      <c r="LK31" s="123"/>
      <c r="LL31" s="123"/>
      <c r="LM31" s="123"/>
      <c r="LN31" s="123"/>
      <c r="LO31" s="123"/>
      <c r="LP31" s="123"/>
      <c r="LQ31" s="123"/>
      <c r="LR31" s="123"/>
      <c r="LS31" s="123"/>
      <c r="LT31" s="123"/>
      <c r="LU31" s="123"/>
      <c r="LV31" s="123"/>
      <c r="LW31" s="123"/>
      <c r="LX31" s="123"/>
      <c r="LY31" s="123"/>
      <c r="LZ31" s="123"/>
      <c r="MA31" s="123"/>
      <c r="MB31" s="123"/>
      <c r="MC31" s="123"/>
      <c r="MD31" s="123"/>
      <c r="ME31" s="123"/>
      <c r="MF31" s="123"/>
      <c r="MG31" s="123"/>
      <c r="MH31" s="123"/>
      <c r="MI31" s="123"/>
      <c r="MJ31" s="123"/>
      <c r="MK31" s="123"/>
      <c r="ML31" s="123"/>
      <c r="MM31" s="123"/>
      <c r="MN31" s="123"/>
      <c r="MO31" s="123"/>
      <c r="MP31" s="123"/>
      <c r="MQ31" s="123"/>
      <c r="MR31" s="123"/>
      <c r="MS31" s="123"/>
      <c r="MT31" s="123"/>
      <c r="MU31" s="123"/>
      <c r="MV31" s="123"/>
      <c r="MW31" s="123"/>
      <c r="MX31" s="123"/>
      <c r="MY31" s="123"/>
      <c r="MZ31" s="123"/>
      <c r="NA31" s="123"/>
      <c r="NB31" s="123"/>
      <c r="NC31" s="123"/>
      <c r="ND31" s="123"/>
      <c r="NE31" s="123"/>
      <c r="NF31" s="123"/>
      <c r="NG31" s="123"/>
      <c r="NH31" s="123"/>
      <c r="NI31" s="123"/>
      <c r="NJ31" s="123"/>
      <c r="NK31" s="123"/>
      <c r="NM31">
        <f>IF(KS31=1,1,0)</f>
        <v>0</v>
      </c>
      <c r="NN31">
        <f>IF(KS31=2,1,0)</f>
        <v>0</v>
      </c>
      <c r="NO31">
        <f>IF(KS31=3,1,0)</f>
        <v>0</v>
      </c>
      <c r="NP31">
        <f>IF(KS31=4,1,0)</f>
        <v>0</v>
      </c>
      <c r="NQ31">
        <f>IF(KS31=5,1,0)</f>
        <v>0</v>
      </c>
      <c r="NR31">
        <f>IF(KS31=6,1,0)</f>
        <v>0</v>
      </c>
      <c r="NS31">
        <f>IF(KS31=7,1,0)</f>
        <v>0</v>
      </c>
      <c r="NT31">
        <f>SUM(NM31:NS31)</f>
        <v>0</v>
      </c>
      <c r="NU31" s="29">
        <f>NT31-KT31</f>
        <v>0</v>
      </c>
      <c r="NY31" s="29">
        <f>V31</f>
        <v>1</v>
      </c>
      <c r="NZ31" s="152">
        <v>8036000</v>
      </c>
      <c r="OE31" s="155">
        <f>D31-J31</f>
        <v>0</v>
      </c>
      <c r="OF31" s="155">
        <f>D31-N31</f>
        <v>0</v>
      </c>
      <c r="OG31" s="155">
        <f>AN31</f>
        <v>0</v>
      </c>
      <c r="OH31" s="155">
        <f>HE31</f>
        <v>0</v>
      </c>
      <c r="OI31" s="155">
        <f>D31-R31</f>
        <v>0</v>
      </c>
      <c r="OJ31" s="67">
        <f>IF(OG31=1,OF31,0)</f>
        <v>0</v>
      </c>
      <c r="OK31" s="67">
        <f>IF(OH31=1,OF31,0)</f>
        <v>0</v>
      </c>
      <c r="OL31" s="67">
        <f>IF((OG31+OH31)=0,OF31,0)</f>
        <v>0</v>
      </c>
      <c r="OM31" s="67">
        <f>SUM(OJ31:OL31)</f>
        <v>0</v>
      </c>
      <c r="OO31" s="155">
        <f>E31-K31</f>
        <v>0</v>
      </c>
      <c r="OP31" s="155">
        <f>E31-O31</f>
        <v>0</v>
      </c>
      <c r="OQ31" s="155">
        <f t="shared" ref="OQ31:OS31" si="458">OG31</f>
        <v>0</v>
      </c>
      <c r="OR31" s="155">
        <f t="shared" si="458"/>
        <v>0</v>
      </c>
      <c r="OS31" s="155">
        <f t="shared" si="458"/>
        <v>0</v>
      </c>
      <c r="OT31" s="67">
        <f>IF(OQ31=1,OP31,0)</f>
        <v>0</v>
      </c>
      <c r="OU31" s="67">
        <f>IF(OR31=1,OP31,0)</f>
        <v>0</v>
      </c>
      <c r="OV31" s="67">
        <f>IF((OQ31+OR31)=0,OP31,0)</f>
        <v>0</v>
      </c>
      <c r="OW31" s="67">
        <f>SUM(OT31:OV31)</f>
        <v>0</v>
      </c>
      <c r="PA31" s="166"/>
      <c r="PB31" s="166"/>
      <c r="PC31" s="166"/>
      <c r="PD31" s="210">
        <f t="shared" si="135"/>
        <v>0</v>
      </c>
      <c r="PE31" s="210"/>
      <c r="PF31" s="210">
        <f t="shared" si="136"/>
        <v>0</v>
      </c>
      <c r="PG31" s="210">
        <f t="shared" si="137"/>
        <v>0</v>
      </c>
      <c r="PH31" s="210">
        <f t="shared" si="137"/>
        <v>0</v>
      </c>
      <c r="PI31" s="210">
        <f t="shared" si="137"/>
        <v>0</v>
      </c>
      <c r="PJ31" s="210">
        <f t="shared" si="137"/>
        <v>0</v>
      </c>
      <c r="PK31" s="210">
        <f t="shared" si="137"/>
        <v>0</v>
      </c>
      <c r="PL31" s="210">
        <f t="shared" si="137"/>
        <v>0</v>
      </c>
      <c r="PO31" s="172">
        <f t="shared" si="200"/>
        <v>0</v>
      </c>
      <c r="PP31" s="172">
        <f t="shared" si="201"/>
        <v>0</v>
      </c>
      <c r="PQ31" s="172">
        <f t="shared" si="202"/>
        <v>0</v>
      </c>
    </row>
    <row r="32" spans="1:433 16383:16383" ht="16" x14ac:dyDescent="0.2">
      <c r="A32" s="19">
        <f t="shared" ref="A32:A35" si="459">A31+1</f>
        <v>23</v>
      </c>
      <c r="B32" s="237" t="s">
        <v>605</v>
      </c>
      <c r="C32" s="186">
        <v>1</v>
      </c>
      <c r="D32" s="188">
        <v>1</v>
      </c>
      <c r="E32" s="188">
        <v>79</v>
      </c>
      <c r="F32" s="188">
        <v>1</v>
      </c>
      <c r="G32" s="188">
        <f t="shared" si="138"/>
        <v>79</v>
      </c>
      <c r="H32" s="214">
        <f t="shared" ref="H32:H34" si="460">F32/$D32</f>
        <v>1</v>
      </c>
      <c r="I32" s="214">
        <f t="shared" ref="I32:I34" si="461">G32/$E32</f>
        <v>1</v>
      </c>
      <c r="J32" s="188">
        <v>1</v>
      </c>
      <c r="K32" s="188">
        <f t="shared" ref="K32:K34" si="462">IF(J32=D32,E32,0)</f>
        <v>79</v>
      </c>
      <c r="L32" s="214">
        <f t="shared" ref="L32:L34" si="463">J32/$D32</f>
        <v>1</v>
      </c>
      <c r="M32" s="214">
        <f t="shared" ref="M32:M34" si="464">K32/$E32</f>
        <v>1</v>
      </c>
      <c r="N32" s="188">
        <v>1</v>
      </c>
      <c r="O32" s="188">
        <f t="shared" ref="O32:O34" si="465">IF(N32=D32,E32,0)</f>
        <v>79</v>
      </c>
      <c r="P32" s="214">
        <f t="shared" ref="P32:P34" si="466">N32/$D32</f>
        <v>1</v>
      </c>
      <c r="Q32" s="214">
        <f t="shared" ref="Q32:Q34" si="467">O32/$E32</f>
        <v>1</v>
      </c>
      <c r="R32" s="188"/>
      <c r="S32" s="188">
        <f t="shared" ref="S32:S34" si="468">IF(R32=D32,E32,0)</f>
        <v>0</v>
      </c>
      <c r="T32" s="214">
        <f t="shared" ref="T32:T34" si="469">R32/$D32</f>
        <v>0</v>
      </c>
      <c r="U32" s="214">
        <f t="shared" ref="U32:U34" si="470">S32/$E32</f>
        <v>0</v>
      </c>
      <c r="V32" s="188"/>
      <c r="W32" s="188">
        <f t="shared" ref="W32:W34" si="471">IF(V32=D32,E32,0)</f>
        <v>0</v>
      </c>
      <c r="X32" s="214">
        <f t="shared" ref="X32:X34" si="472">V32/$D32</f>
        <v>0</v>
      </c>
      <c r="Y32" s="214">
        <f t="shared" ref="Y32:Y34" si="473">W32/$E32</f>
        <v>0</v>
      </c>
      <c r="Z32" s="274"/>
      <c r="AA32" s="275"/>
      <c r="AB32" s="189">
        <f t="shared" ref="AB32:AB34" si="474">IF(AA32=D32,E32,0)</f>
        <v>0</v>
      </c>
      <c r="AC32" s="250">
        <f t="shared" ref="AC32:AC34" si="475">AA32/$D32</f>
        <v>0</v>
      </c>
      <c r="AD32" s="250">
        <f t="shared" ref="AD32:AD34" si="476">AB32/$E32</f>
        <v>0</v>
      </c>
      <c r="AE32" s="275"/>
      <c r="AF32" s="188">
        <f t="shared" ref="AF32:AF34" si="477">R32-V32</f>
        <v>0</v>
      </c>
      <c r="AG32" s="188"/>
      <c r="AH32" s="187"/>
      <c r="AI32" s="20">
        <v>0</v>
      </c>
      <c r="AJ32" s="20">
        <f t="shared" ref="AJ32:AJ34" si="478">IF(AI32=D32,E32,0)</f>
        <v>0</v>
      </c>
      <c r="AK32" s="20"/>
      <c r="AL32" s="20">
        <v>0</v>
      </c>
      <c r="AM32" s="20">
        <v>0</v>
      </c>
      <c r="AN32" s="139">
        <v>1</v>
      </c>
      <c r="AO32" s="17">
        <v>0</v>
      </c>
      <c r="AP32" s="17">
        <f t="shared" ref="AP32:AP34" si="479">IF(AO32=D32,E32,0)</f>
        <v>0</v>
      </c>
      <c r="AQ32" s="17">
        <f t="shared" ref="AQ32:AQ34" si="480">IF(AI32=1,J32,0)</f>
        <v>0</v>
      </c>
      <c r="AR32" s="17">
        <f t="shared" ref="AR32:AR34" si="481">IF(AQ32=1,K32,0)</f>
        <v>0</v>
      </c>
      <c r="AS32" s="17">
        <f t="shared" ref="AS32:AS34" si="482">IF(AI32=1,N32,0)</f>
        <v>0</v>
      </c>
      <c r="AT32" s="17">
        <f t="shared" ref="AT32:AT34" si="483">IF(AS32=1,O32,0)</f>
        <v>0</v>
      </c>
      <c r="AU32" s="17">
        <f t="shared" ref="AU32:AU34" si="484">IF(AI32=1,R32,0)</f>
        <v>0</v>
      </c>
      <c r="AV32" s="17">
        <f t="shared" ref="AV32:AV34" si="485">IF(AU32=1,S32,0)</f>
        <v>0</v>
      </c>
      <c r="AW32" s="17">
        <f t="shared" ref="AW32:AW34" si="486">IF(AI32=1,V32,0)</f>
        <v>0</v>
      </c>
      <c r="AX32" s="17">
        <f t="shared" ref="AX32:AX34" si="487">IF(AW32=1,W32,0)</f>
        <v>0</v>
      </c>
      <c r="AY32" s="17">
        <f t="shared" ref="AY32:AY34" si="488">AU32-AW32</f>
        <v>0</v>
      </c>
      <c r="AZ32" s="17">
        <f t="shared" ref="AZ32:AZ34" si="489">AV32-AX32</f>
        <v>0</v>
      </c>
      <c r="BA32" s="17">
        <f t="shared" ref="BA32:BA34" si="490">IF(AW32=1,Z32,0)</f>
        <v>0</v>
      </c>
      <c r="BB32" s="17">
        <f t="shared" ref="BB32:BB34" si="491">IF(AN32=1,E32,0)</f>
        <v>79</v>
      </c>
      <c r="BC32" s="29">
        <f t="shared" ref="BC32:BC34" si="492">D32-R32-AN32-CB32</f>
        <v>0</v>
      </c>
      <c r="BE32" s="17">
        <f t="shared" ref="BE32:BE34" si="493">IF(AF32=1,S32,0)</f>
        <v>0</v>
      </c>
      <c r="BF32" s="17">
        <f t="shared" ref="BF32:BF34" si="494">IF(AG32="A",S32,0)</f>
        <v>0</v>
      </c>
      <c r="BG32" s="17">
        <f t="shared" ref="BG32:BG34" si="495">IF(AG32="B",S32,0)</f>
        <v>0</v>
      </c>
      <c r="BH32" s="17">
        <f t="shared" ref="BH32:BH34" si="496">IF(AG32="C",S32,0)</f>
        <v>0</v>
      </c>
      <c r="BI32" s="17">
        <f t="shared" ref="BI32:BI34" si="497">IF(AG32="D",S32,0)</f>
        <v>0</v>
      </c>
      <c r="BJ32" s="17">
        <f t="shared" ref="BJ32:BJ34" si="498">IF(AG32="E",S32,0)</f>
        <v>0</v>
      </c>
      <c r="BK32" s="17">
        <f t="shared" ref="BK32:BK34" si="499">SUM(BF32:BJ32)</f>
        <v>0</v>
      </c>
      <c r="BN32" s="143"/>
      <c r="BO32" s="126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B32" s="20"/>
      <c r="CD32" s="17">
        <f t="shared" ref="CD32:CD34" si="500">BN32</f>
        <v>0</v>
      </c>
      <c r="CE32" s="17">
        <f t="shared" ref="CE32:CE35" si="501">IF(BO32=1,$CD32,0)</f>
        <v>0</v>
      </c>
      <c r="CF32" s="20">
        <f t="shared" ref="CF32:CF35" si="502">IF(BP32=1,$CD32,0)</f>
        <v>0</v>
      </c>
      <c r="CG32" s="20">
        <f t="shared" ref="CG32:CG35" si="503">IF(BQ32=1,$CD32,0)</f>
        <v>0</v>
      </c>
      <c r="CH32" s="20">
        <f t="shared" ref="CH32:CH35" si="504">IF(BR32=1,$CD32,0)</f>
        <v>0</v>
      </c>
      <c r="CI32" s="20">
        <f t="shared" ref="CI32:CI35" si="505">IF(BS32=1,$CD32,0)</f>
        <v>0</v>
      </c>
      <c r="CJ32" s="20">
        <f t="shared" ref="CJ32:CJ35" si="506">IF(BT32=1,$CD32,0)</f>
        <v>0</v>
      </c>
      <c r="CK32" s="20">
        <f t="shared" ref="CK32:CK35" si="507">IF(BU32=1,$CD32,0)</f>
        <v>0</v>
      </c>
      <c r="CL32" s="20">
        <f t="shared" ref="CL32:CL35" si="508">IF(BV32=1,$CD32,0)</f>
        <v>0</v>
      </c>
      <c r="CM32" s="20">
        <f t="shared" ref="CM32:CM35" si="509">IF(BW32=1,$CD32,0)</f>
        <v>0</v>
      </c>
      <c r="CN32" s="20">
        <f t="shared" ref="CN32:CN35" si="510">IF(BX32=1,$CD32,0)</f>
        <v>0</v>
      </c>
      <c r="CO32" s="20">
        <f t="shared" ref="CO32:CO35" si="511">IF(BY32=1,$CD32,0)</f>
        <v>0</v>
      </c>
      <c r="CP32" s="20">
        <f t="shared" ref="CP32:CP35" si="512">IF(BZ32=1,$CD32,0)</f>
        <v>0</v>
      </c>
      <c r="DV32" s="20">
        <f t="shared" ref="DV32:DV34" si="513">IF(CB32=1,G32,0)</f>
        <v>0</v>
      </c>
      <c r="DW32" s="20">
        <f t="shared" ref="DW32:DW34" si="514">IF(CC32="A",G32,0)</f>
        <v>0</v>
      </c>
      <c r="DX32" s="20">
        <f t="shared" ref="DX32:DX34" si="515">IF(CC32="B",G32,0)</f>
        <v>0</v>
      </c>
      <c r="DY32" s="20">
        <f t="shared" ref="DY32:DY34" si="516">IF(CC32="C",G32,0)</f>
        <v>0</v>
      </c>
      <c r="DZ32" s="20">
        <f t="shared" ref="DZ32:DZ34" si="517">IF(CC32="D",G32,0)</f>
        <v>0</v>
      </c>
      <c r="EA32" s="20">
        <f t="shared" ref="EA32:EA34" si="518">IF(CC32="E",G32,0)</f>
        <v>0</v>
      </c>
      <c r="EB32" s="20">
        <f t="shared" ref="EB32:EB34" si="519">SUM(DW32:EA32)</f>
        <v>0</v>
      </c>
      <c r="EG32" s="57">
        <f t="shared" ref="EG32:EG34" si="520">IF(AG32="C","C",IF(AG32="D","D",0))</f>
        <v>0</v>
      </c>
      <c r="EH32" s="57">
        <f t="shared" ref="EH32:EH34" si="521">CC32</f>
        <v>0</v>
      </c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X32" s="169"/>
      <c r="FY32" s="17">
        <f t="shared" ref="FY32:FY34" si="522">SUM(FZ32:GE32)</f>
        <v>0</v>
      </c>
      <c r="FZ32" s="17">
        <f t="shared" ref="FZ32:FZ35" si="523">DI32+CE32</f>
        <v>0</v>
      </c>
      <c r="GA32" s="17">
        <f t="shared" ref="GA32:GA35" si="524">DJ32+CF32</f>
        <v>0</v>
      </c>
      <c r="GB32" s="17">
        <f t="shared" ref="GB32:GB35" si="525">DK32+CG32</f>
        <v>0</v>
      </c>
      <c r="GC32" s="17">
        <f t="shared" ref="GC32:GC34" si="526">DM32+CI32</f>
        <v>0</v>
      </c>
      <c r="GD32" s="17">
        <f t="shared" ref="GD32:GD34" si="527">DO32+CK32</f>
        <v>0</v>
      </c>
      <c r="GE32" s="17">
        <f t="shared" ref="GE32:GE34" si="528">DT32+CP32</f>
        <v>0</v>
      </c>
      <c r="GF32" s="67"/>
      <c r="GG32" s="17">
        <v>0</v>
      </c>
      <c r="GH32" s="17">
        <v>0</v>
      </c>
      <c r="GI32" s="67"/>
      <c r="GJ32" s="62">
        <f t="shared" ref="GJ32:GJ34" si="529">FY32*GG32/1000000000</f>
        <v>0</v>
      </c>
      <c r="GK32" s="62">
        <f t="shared" ref="GK32:GK34" si="530">FY32*GH32/1000000000</f>
        <v>0</v>
      </c>
      <c r="GO32" s="17">
        <f t="shared" ref="GO32:GO34" si="531">D32-F32</f>
        <v>0</v>
      </c>
      <c r="GP32" s="17">
        <f t="shared" ref="GP32:GP34" si="532">D32-J32</f>
        <v>0</v>
      </c>
      <c r="GQ32" s="17">
        <f t="shared" ref="GQ32:GQ34" si="533">D32-N32</f>
        <v>0</v>
      </c>
      <c r="GR32" s="17">
        <f t="shared" ref="GR32:GR34" si="534">D32-R32</f>
        <v>1</v>
      </c>
      <c r="GS32" s="17">
        <f t="shared" ref="GS32:GS34" si="535">D32-V32</f>
        <v>1</v>
      </c>
      <c r="GT32" s="17">
        <f t="shared" ref="GT32:GT34" si="536">IF(SUM(GO32:GS32)=0,1,0)</f>
        <v>0</v>
      </c>
      <c r="GU32" s="101">
        <f t="shared" si="157"/>
        <v>43243</v>
      </c>
      <c r="GV32" s="17" t="str">
        <f t="shared" ref="GV32:GV34" si="537">IF(GO32&gt;0,$GO$6,IF(GP32&gt;0,$GP$6,IF(GQ32&gt;0,$GQ$6,IF(GR32&gt;0,$GR$6,IF(GS32&gt;0,$GS$6,IF(GT32&gt;0,$GT$6,0))))))</f>
        <v>Musyawarah</v>
      </c>
      <c r="GW32" s="17">
        <f t="shared" ref="GW32:GW34" si="538">IF(GV32=$GO$6,GO32,IF(GV32=$GP$6,GP32,IF(GV32=$GQ$6,GQ32,IF(GV32=$GR$6,GR32,IF(GV32=$GS$6,GS32,0)))))</f>
        <v>1</v>
      </c>
      <c r="GX32" s="66" t="str">
        <f t="shared" ref="GX32:GX34" si="539">GV32</f>
        <v>Musyawarah</v>
      </c>
      <c r="GY32" s="66">
        <f t="shared" ref="GY32:GY34" si="540">IF(GX32="DNP",SUM($GY$4:$GY$8),IF(GX32="Survey KJPP",SUM($GY$5:$GY$8),IF(GX32="Hasil Valuasi",SUM($GY$6:$GY$8),IF(GX32="Musyawarah",SUM($GY$7:$GY$8),IF(GX32="UGR",$GY$8,0)))))</f>
        <v>24</v>
      </c>
      <c r="GZ32" s="102">
        <f t="shared" ref="GZ32:GZ34" si="541">IF(GW32=0,"SELESAI",GU32+GY32)</f>
        <v>43267</v>
      </c>
      <c r="HA32" s="83"/>
      <c r="HB32" s="83"/>
      <c r="HC32" s="17">
        <f t="shared" ref="HC32:HC34" si="542">IF(BH32&gt;0,1,IF(BI32&gt;0,1,0))</f>
        <v>0</v>
      </c>
      <c r="HD32" s="17">
        <f t="shared" ref="HD32:HD34" si="543">IF(CB32&gt;0,1,0)</f>
        <v>0</v>
      </c>
      <c r="HE32" s="17">
        <f t="shared" ref="HE32:HE34" si="544">HC32+HD32</f>
        <v>0</v>
      </c>
      <c r="HF32" s="17">
        <f t="shared" ref="HF32:HF34" si="545">FQ32</f>
        <v>0</v>
      </c>
      <c r="HG32" s="17">
        <f t="shared" ref="HG32:HG34" si="546">HE32-HF32</f>
        <v>0</v>
      </c>
      <c r="HH32" s="101" t="str">
        <f t="shared" ref="HH32:HH34" si="547">IF(HG32=1,GU32+$HH$8,"TIDAK KONSINYASI")</f>
        <v>TIDAK KONSINYASI</v>
      </c>
      <c r="HI32" s="101">
        <f t="shared" ref="HI32:HI34" si="548">IF(GW32=0,"SELESAI",GZ32+$HI$8)</f>
        <v>43312</v>
      </c>
      <c r="HJ32" s="27"/>
      <c r="HK32" s="101">
        <f t="shared" ref="HK32:HK34" si="549">MAX(GZ32,HH32,HI32)</f>
        <v>43312</v>
      </c>
      <c r="HL32" s="83"/>
      <c r="HM32" s="83"/>
      <c r="HN32" s="83"/>
      <c r="HO32" s="83"/>
      <c r="HP32" s="102">
        <f t="shared" ref="HP32:HP34" si="550">IF(HQ32=1,GZ32,0)</f>
        <v>0</v>
      </c>
      <c r="HQ32" s="66">
        <f t="shared" ref="HQ32:HQ34" si="551">IF(IX32=0,IF(HT32=0,IF(IP32=0,IF(GV32="UGR",GS32,0),0),0),0)</f>
        <v>0</v>
      </c>
      <c r="HR32" s="66">
        <f t="shared" ref="HR32:HR34" si="552">IF(HQ32=1,E32,0)</f>
        <v>0</v>
      </c>
      <c r="HS32" s="102">
        <f t="shared" ref="HS32:HS34" si="553">IF(HT32=1,HH32,0)</f>
        <v>0</v>
      </c>
      <c r="HT32" s="66">
        <f t="shared" ref="HT32:HT34" si="554">HG32</f>
        <v>0</v>
      </c>
      <c r="HU32" s="66">
        <f t="shared" ref="HU32:HU34" si="555">IF(HT32=1,E32,0)</f>
        <v>0</v>
      </c>
      <c r="HV32" s="102">
        <f t="shared" ref="HV32:HV34" si="556">IF(HW32=1,GZ32,0)</f>
        <v>0</v>
      </c>
      <c r="HW32" s="66">
        <f t="shared" ref="HW32:HW34" si="557">IF(JB32=0,IF(IX32=0,IF(HT32=0,IF(GV32="MUSYAWARAH",GR32,0),0),0),0)</f>
        <v>0</v>
      </c>
      <c r="HX32" s="66">
        <f t="shared" ref="HX32:HX34" si="558">IF(HW32=1,E32,0)</f>
        <v>0</v>
      </c>
      <c r="HY32" s="102">
        <f t="shared" ref="HY32:HY34" si="559">IF(HZ32=1,HV32+$HI$8,0)</f>
        <v>0</v>
      </c>
      <c r="HZ32" s="66">
        <f t="shared" ref="HZ32:HZ34" si="560">HW32</f>
        <v>0</v>
      </c>
      <c r="IA32" s="66">
        <f t="shared" ref="IA32:IA34" si="561">IF(HZ32=1,E32,0)</f>
        <v>0</v>
      </c>
      <c r="IB32" s="102">
        <f t="shared" ref="IB32:IB34" si="562">IF(IC32=1,$GU$3+SUM($GY$6:$GY$8),0)</f>
        <v>0</v>
      </c>
      <c r="IC32" s="66">
        <f t="shared" ref="IC32:IC34" si="563">IF(GV32="Hasil Valuasi",GQ32,0)</f>
        <v>0</v>
      </c>
      <c r="ID32" s="66">
        <f t="shared" ref="ID32:ID34" si="564">IF(IC32=1,E32,0)</f>
        <v>0</v>
      </c>
      <c r="IE32" s="102">
        <f t="shared" ref="IE32:IE34" si="565">IF(IF32=1,IB32+$HI$8,0)</f>
        <v>0</v>
      </c>
      <c r="IF32" s="66">
        <f t="shared" ref="IF32:IF34" si="566">IC32</f>
        <v>0</v>
      </c>
      <c r="IG32" s="66">
        <f t="shared" ref="IG32:IG34" si="567">IF(IF32=1,E32,0)</f>
        <v>0</v>
      </c>
      <c r="IH32" s="102">
        <f t="shared" ref="IH32:IH34" si="568">IF(II32=1,$GU$3+SUM($GY$5:$GY$8),0)</f>
        <v>0</v>
      </c>
      <c r="II32" s="66">
        <f t="shared" ref="II32:II34" si="569">IF(GV32="Survey KJPP",GP32,0)</f>
        <v>0</v>
      </c>
      <c r="IJ32" s="66">
        <f t="shared" ref="IJ32:IJ34" si="570">IF(II32=1,E32,0)</f>
        <v>0</v>
      </c>
      <c r="IK32" s="102">
        <f t="shared" ref="IK32:IK34" si="571">IF(IL32=1,IH32+$HI$8,0)</f>
        <v>0</v>
      </c>
      <c r="IL32" s="66">
        <f t="shared" ref="IL32:IL34" si="572">II32</f>
        <v>0</v>
      </c>
      <c r="IM32" s="66">
        <f t="shared" ref="IM32:IM34" si="573">IF(IL32=1,E32,0)</f>
        <v>0</v>
      </c>
      <c r="IN32" s="83"/>
      <c r="IO32" s="102">
        <f t="shared" ref="IO32:IO34" si="574">IF(IP32=1,+$GU$3+$HH$8,0)</f>
        <v>0</v>
      </c>
      <c r="IP32" s="66">
        <f t="shared" ref="IP32:IP34" si="575">IF(BG32&gt;0,1,0)</f>
        <v>0</v>
      </c>
      <c r="IQ32" s="66">
        <f t="shared" ref="IQ32:IQ34" si="576">IF(IP32=1,E32,0)</f>
        <v>0</v>
      </c>
      <c r="IR32" s="83"/>
      <c r="IS32" s="102"/>
      <c r="IT32" s="66">
        <f t="shared" ref="IT32:IT35" si="577">V32</f>
        <v>0</v>
      </c>
      <c r="IU32" s="66">
        <f t="shared" ref="IU32:IU35" si="578">W32</f>
        <v>0</v>
      </c>
      <c r="IV32" s="83"/>
      <c r="IW32" s="102"/>
      <c r="IX32" s="66">
        <f t="shared" ref="IX32:IX35" si="579">AA32</f>
        <v>0</v>
      </c>
      <c r="IY32" s="66">
        <f t="shared" ref="IY32:IY35" si="580">AB32</f>
        <v>0</v>
      </c>
      <c r="IZ32" s="83"/>
      <c r="JA32" s="102"/>
      <c r="JB32" s="66">
        <f t="shared" ref="JB32:JB34" si="581">AN32</f>
        <v>1</v>
      </c>
      <c r="JC32" s="66">
        <f t="shared" ref="JC32:JC34" si="582">BB32</f>
        <v>79</v>
      </c>
      <c r="JD32" s="83"/>
      <c r="JE32" s="102"/>
      <c r="JF32" s="66">
        <f t="shared" ref="JF32:JF34" si="583">IT32+HQ32+HT32+HZ32+IF32+IL32+IP32+IX32+JB32</f>
        <v>1</v>
      </c>
      <c r="JG32" s="66">
        <f t="shared" ref="JG32:JG34" si="584">IU32+HR32+HU32+IA32+IG32+IM32+IQ32+IY32+JC32</f>
        <v>79</v>
      </c>
      <c r="JH32" s="83"/>
      <c r="JI32" s="102"/>
      <c r="JJ32" s="66">
        <f t="shared" ref="JJ32:JJ35" si="585">JF32-D32</f>
        <v>0</v>
      </c>
      <c r="JK32" s="66">
        <f t="shared" ref="JK32:JK35" si="586">JG32-E32</f>
        <v>0</v>
      </c>
      <c r="JM32" s="102">
        <f t="shared" ref="JM32:JM34" si="587">MAX(IW32,IS32,IO32,IK32,IE32,HY32,HS32,HP32)</f>
        <v>0</v>
      </c>
      <c r="JO32" s="29">
        <f t="shared" ref="JO32:JO34" si="588">SUM(JQ32:KB32)</f>
        <v>0</v>
      </c>
      <c r="JP32" s="122">
        <f t="shared" ref="JP32:JP34" si="589">BN32+CR32</f>
        <v>0</v>
      </c>
      <c r="JQ32" s="122">
        <f t="shared" ref="JQ32:JQ35" si="590">IF(BO32+CS32=2,1,IF(BO32+CS32=1,1,0))</f>
        <v>0</v>
      </c>
      <c r="JR32" s="122">
        <f t="shared" ref="JR32:JR35" si="591">IF(BP32+CT32=2,1,IF(BP32+CT32=1,1,0))</f>
        <v>0</v>
      </c>
      <c r="JS32" s="122">
        <f t="shared" ref="JS32:JS35" si="592">IF(BQ32+CU32=2,1,IF(BQ32+CU32=1,1,0))</f>
        <v>0</v>
      </c>
      <c r="JT32" s="122">
        <f t="shared" ref="JT32:JT35" si="593">IF(BR32+CV32=2,1,IF(BR32+CV32=1,1,0))</f>
        <v>0</v>
      </c>
      <c r="JU32" s="122">
        <f t="shared" ref="JU32:JU35" si="594">IF(BS32+CW32=2,1,IF(BS32+CW32=1,1,0))</f>
        <v>0</v>
      </c>
      <c r="JV32" s="122">
        <f t="shared" ref="JV32:JV35" si="595">IF(BT32+CX32=2,1,IF(BT32+CX32=1,1,0))</f>
        <v>0</v>
      </c>
      <c r="JW32" s="122">
        <f t="shared" ref="JW32:JW35" si="596">IF(BU32+CY32=2,1,IF(BU32+CY32=1,1,0))</f>
        <v>0</v>
      </c>
      <c r="JX32" s="122">
        <f t="shared" ref="JX32:JX35" si="597">IF(BV32+CZ32=2,1,IF(BV32+CZ32=1,1,0))</f>
        <v>0</v>
      </c>
      <c r="JY32" s="122">
        <f t="shared" ref="JY32:JY35" si="598">IF(BW32+DA32=2,1,IF(BW32+DA32=1,1,0))</f>
        <v>0</v>
      </c>
      <c r="JZ32" s="122">
        <f t="shared" ref="JZ32:JZ35" si="599">IF(BX32+DB32=2,1,IF(BX32+DB32=1,1,0))</f>
        <v>0</v>
      </c>
      <c r="KA32" s="122">
        <f t="shared" ref="KA32:KA35" si="600">IF(BY32+DC32=2,1,IF(BY32+DC32=1,1,0))</f>
        <v>0</v>
      </c>
      <c r="KB32" s="122">
        <f t="shared" ref="KB32:KB35" si="601">IF(BZ32+DD32=2,1,IF(BZ32+DD32=1,1,0))</f>
        <v>0</v>
      </c>
      <c r="KD32" s="122">
        <f t="shared" ref="KD32:KD34" si="602">IF(IF(SUM(GA32:GE32)&gt;100,1,0)+IF(FX32=1,1,0)=2,1,0)</f>
        <v>0</v>
      </c>
      <c r="KE32" s="122">
        <f t="shared" ref="KE32:KE35" si="603">IF(KD32=1,KF32,0)</f>
        <v>0</v>
      </c>
      <c r="KF32" s="122">
        <f t="shared" ref="KF32:KF35" si="604">CD32+DH32</f>
        <v>0</v>
      </c>
      <c r="KG32" s="122">
        <f t="shared" ref="KG32:KG35" si="605">CE32+DI32</f>
        <v>0</v>
      </c>
      <c r="KH32" s="122">
        <f t="shared" ref="KH32:KH35" si="606">CF32+DJ32</f>
        <v>0</v>
      </c>
      <c r="KI32" s="122">
        <f t="shared" ref="KI32:KI35" si="607">CG32+DK32</f>
        <v>0</v>
      </c>
      <c r="KJ32" s="122">
        <f t="shared" ref="KJ32:KJ35" si="608">CH32+DL32</f>
        <v>0</v>
      </c>
      <c r="KK32" s="122">
        <f t="shared" ref="KK32:KK35" si="609">CI32+DM32</f>
        <v>0</v>
      </c>
      <c r="KL32" s="122">
        <f t="shared" ref="KL32:KL35" si="610">CJ32+DN32</f>
        <v>0</v>
      </c>
      <c r="KM32" s="122">
        <f t="shared" ref="KM32:KM35" si="611">CK32+DO32</f>
        <v>0</v>
      </c>
      <c r="KN32" s="123">
        <f t="shared" ref="KN32:KN35" si="612">CL32+DP32</f>
        <v>0</v>
      </c>
      <c r="KO32" s="123">
        <f t="shared" ref="KO32:KO35" si="613">CM32+DQ32</f>
        <v>0</v>
      </c>
      <c r="KP32" s="123">
        <f t="shared" ref="KP32:KP35" si="614">CN32+DR32</f>
        <v>0</v>
      </c>
      <c r="KQ32" s="123">
        <f t="shared" ref="KQ32:KQ35" si="615">CO32+DS32</f>
        <v>0</v>
      </c>
      <c r="KR32" s="123">
        <f t="shared" ref="KR32:KR35" si="616">CP32+DT32</f>
        <v>0</v>
      </c>
      <c r="KS32">
        <v>2</v>
      </c>
      <c r="KT32">
        <f t="shared" ref="KT32:KT34" si="617">AN32</f>
        <v>1</v>
      </c>
      <c r="KU32" s="123"/>
      <c r="KV32" s="123"/>
      <c r="KW32" s="123"/>
      <c r="KX32" s="123"/>
      <c r="KY32" s="123"/>
      <c r="KZ32" s="123"/>
      <c r="LA32" s="123"/>
      <c r="LB32" s="123"/>
      <c r="LC32" s="123"/>
      <c r="LD32" s="123"/>
      <c r="LE32" s="123"/>
      <c r="LF32" s="123"/>
      <c r="LG32" s="123"/>
      <c r="LH32" s="123"/>
      <c r="LI32" s="123"/>
      <c r="LJ32" s="123"/>
      <c r="LK32" s="123"/>
      <c r="LL32" s="123"/>
      <c r="LM32" s="123">
        <v>1</v>
      </c>
      <c r="LN32" s="123">
        <v>1</v>
      </c>
      <c r="LO32" s="123"/>
      <c r="LP32" s="123"/>
      <c r="LQ32" s="123"/>
      <c r="LR32" s="123"/>
      <c r="LS32" s="123"/>
      <c r="LT32" s="123"/>
      <c r="LU32" s="123"/>
      <c r="LV32" s="123"/>
      <c r="LW32" s="123"/>
      <c r="LX32" s="123"/>
      <c r="LY32" s="123"/>
      <c r="LZ32" s="123"/>
      <c r="MA32" s="123"/>
      <c r="MB32" s="123"/>
      <c r="MC32" s="123"/>
      <c r="MD32" s="123"/>
      <c r="ME32" s="123"/>
      <c r="MF32" s="123"/>
      <c r="MG32" s="123"/>
      <c r="MH32" s="123"/>
      <c r="MI32" s="123"/>
      <c r="MJ32" s="123"/>
      <c r="MK32" s="123"/>
      <c r="ML32" s="123"/>
      <c r="MM32" s="123"/>
      <c r="MN32" s="123"/>
      <c r="MO32" s="123"/>
      <c r="MP32" s="123"/>
      <c r="MQ32" s="123"/>
      <c r="MR32" s="123"/>
      <c r="MS32" s="123"/>
      <c r="MT32" s="123"/>
      <c r="MU32" s="123"/>
      <c r="MV32" s="123"/>
      <c r="MW32" s="123"/>
      <c r="MX32" s="123"/>
      <c r="MY32" s="123"/>
      <c r="MZ32" s="123"/>
      <c r="NA32" s="123"/>
      <c r="NB32" s="123"/>
      <c r="NC32" s="123"/>
      <c r="ND32" s="123"/>
      <c r="NE32" s="123"/>
      <c r="NF32" s="123"/>
      <c r="NG32" s="123"/>
      <c r="NH32" s="123"/>
      <c r="NI32" s="123"/>
      <c r="NJ32" s="123"/>
      <c r="NK32" s="123"/>
      <c r="NM32">
        <f t="shared" ref="NM32:NM34" si="618">IF(KS32=1,1,0)</f>
        <v>0</v>
      </c>
      <c r="NN32">
        <f t="shared" ref="NN32:NN34" si="619">IF(KS32=2,1,0)</f>
        <v>1</v>
      </c>
      <c r="NO32">
        <f t="shared" ref="NO32:NO34" si="620">IF(KS32=3,1,0)</f>
        <v>0</v>
      </c>
      <c r="NP32">
        <f t="shared" ref="NP32:NP34" si="621">IF(KS32=4,1,0)</f>
        <v>0</v>
      </c>
      <c r="NQ32">
        <f t="shared" ref="NQ32:NQ34" si="622">IF(KS32=5,1,0)</f>
        <v>0</v>
      </c>
      <c r="NR32">
        <f t="shared" ref="NR32:NR34" si="623">IF(KS32=6,1,0)</f>
        <v>0</v>
      </c>
      <c r="NS32">
        <f t="shared" ref="NS32:NS34" si="624">IF(KS32=7,1,0)</f>
        <v>0</v>
      </c>
      <c r="NT32">
        <f t="shared" ref="NT32:NT34" si="625">SUM(NM32:NS32)</f>
        <v>1</v>
      </c>
      <c r="NU32" s="29">
        <f t="shared" ref="NU32:NU34" si="626">NT32-KT32</f>
        <v>0</v>
      </c>
      <c r="NY32" s="29">
        <f t="shared" ref="NY32:NY34" si="627">V32</f>
        <v>0</v>
      </c>
      <c r="NZ32" s="152"/>
      <c r="OE32" s="155">
        <f>D32-J32</f>
        <v>0</v>
      </c>
      <c r="OF32" s="155"/>
      <c r="OG32" s="155"/>
      <c r="OH32" s="155"/>
      <c r="OI32" s="155"/>
      <c r="OJ32" s="67"/>
      <c r="OK32" s="67"/>
      <c r="OL32" s="67"/>
      <c r="OM32" s="67"/>
      <c r="OO32" s="155"/>
      <c r="OP32" s="155"/>
      <c r="OQ32" s="155"/>
      <c r="OR32" s="155"/>
      <c r="OS32" s="155"/>
      <c r="OT32" s="67"/>
      <c r="OU32" s="67"/>
      <c r="OV32" s="67"/>
      <c r="OW32" s="67"/>
      <c r="PA32" s="166">
        <v>1</v>
      </c>
      <c r="PB32" s="166"/>
      <c r="PC32" s="166"/>
      <c r="PD32" s="210">
        <f t="shared" si="135"/>
        <v>0</v>
      </c>
      <c r="PE32" s="210"/>
      <c r="PF32" s="210">
        <f t="shared" si="136"/>
        <v>0</v>
      </c>
      <c r="PG32" s="210">
        <f t="shared" si="137"/>
        <v>79</v>
      </c>
      <c r="PH32" s="210">
        <f t="shared" si="137"/>
        <v>0</v>
      </c>
      <c r="PI32" s="210">
        <f t="shared" si="137"/>
        <v>0</v>
      </c>
      <c r="PJ32" s="210">
        <f t="shared" si="137"/>
        <v>0</v>
      </c>
      <c r="PK32" s="210">
        <f t="shared" si="137"/>
        <v>0</v>
      </c>
      <c r="PL32" s="210">
        <f t="shared" si="137"/>
        <v>0</v>
      </c>
      <c r="PO32" s="172">
        <f t="shared" ref="PO32:PO35" si="628">IF(FC32=1,AB32,0)</f>
        <v>0</v>
      </c>
      <c r="PP32" s="172">
        <f t="shared" ref="PP32:PP35" si="629">IF(FF32=1,AB32,0)</f>
        <v>0</v>
      </c>
      <c r="PQ32" s="172">
        <f t="shared" ref="PQ32:PQ35" si="630">AB32-(PO32+PP32)</f>
        <v>0</v>
      </c>
    </row>
    <row r="33" spans="1:433 16383:16384" s="195" customFormat="1" ht="16" x14ac:dyDescent="0.2">
      <c r="A33" s="213">
        <f t="shared" si="459"/>
        <v>24</v>
      </c>
      <c r="B33" s="237" t="s">
        <v>703</v>
      </c>
      <c r="C33" s="186">
        <v>5</v>
      </c>
      <c r="D33" s="188">
        <v>1</v>
      </c>
      <c r="E33" s="188">
        <v>440</v>
      </c>
      <c r="F33" s="188">
        <v>1</v>
      </c>
      <c r="G33" s="188">
        <f t="shared" si="138"/>
        <v>440</v>
      </c>
      <c r="H33" s="214">
        <f t="shared" si="460"/>
        <v>1</v>
      </c>
      <c r="I33" s="214">
        <f t="shared" si="461"/>
        <v>1</v>
      </c>
      <c r="J33" s="188">
        <v>1</v>
      </c>
      <c r="K33" s="188">
        <f t="shared" si="462"/>
        <v>440</v>
      </c>
      <c r="L33" s="214">
        <f t="shared" si="463"/>
        <v>1</v>
      </c>
      <c r="M33" s="214">
        <f t="shared" si="464"/>
        <v>1</v>
      </c>
      <c r="N33" s="188">
        <v>1</v>
      </c>
      <c r="O33" s="188">
        <f t="shared" si="465"/>
        <v>440</v>
      </c>
      <c r="P33" s="214">
        <f t="shared" si="466"/>
        <v>1</v>
      </c>
      <c r="Q33" s="214">
        <f t="shared" si="467"/>
        <v>1</v>
      </c>
      <c r="R33" s="188"/>
      <c r="S33" s="188">
        <f t="shared" si="468"/>
        <v>0</v>
      </c>
      <c r="T33" s="214">
        <f t="shared" si="469"/>
        <v>0</v>
      </c>
      <c r="U33" s="214">
        <f t="shared" si="470"/>
        <v>0</v>
      </c>
      <c r="V33" s="188"/>
      <c r="W33" s="188">
        <f t="shared" si="471"/>
        <v>0</v>
      </c>
      <c r="X33" s="214">
        <f t="shared" si="472"/>
        <v>0</v>
      </c>
      <c r="Y33" s="214">
        <f t="shared" si="473"/>
        <v>0</v>
      </c>
      <c r="Z33" s="274"/>
      <c r="AA33" s="275"/>
      <c r="AB33" s="189">
        <f t="shared" si="474"/>
        <v>0</v>
      </c>
      <c r="AC33" s="250">
        <f t="shared" si="475"/>
        <v>0</v>
      </c>
      <c r="AD33" s="250">
        <f t="shared" si="476"/>
        <v>0</v>
      </c>
      <c r="AE33" s="275"/>
      <c r="AF33" s="188">
        <f t="shared" si="477"/>
        <v>0</v>
      </c>
      <c r="AG33" s="188"/>
      <c r="AH33" s="187"/>
      <c r="AI33" s="188">
        <v>0</v>
      </c>
      <c r="AJ33" s="188">
        <f t="shared" si="478"/>
        <v>0</v>
      </c>
      <c r="AK33" s="188"/>
      <c r="AL33" s="188">
        <v>0</v>
      </c>
      <c r="AM33" s="188">
        <v>0</v>
      </c>
      <c r="AN33" s="217">
        <v>1</v>
      </c>
      <c r="AO33" s="189">
        <v>0</v>
      </c>
      <c r="AP33" s="189">
        <f t="shared" si="479"/>
        <v>0</v>
      </c>
      <c r="AQ33" s="189">
        <f t="shared" si="480"/>
        <v>0</v>
      </c>
      <c r="AR33" s="189">
        <f t="shared" si="481"/>
        <v>0</v>
      </c>
      <c r="AS33" s="189">
        <f t="shared" si="482"/>
        <v>0</v>
      </c>
      <c r="AT33" s="189">
        <f t="shared" si="483"/>
        <v>0</v>
      </c>
      <c r="AU33" s="189">
        <f t="shared" si="484"/>
        <v>0</v>
      </c>
      <c r="AV33" s="189">
        <f t="shared" si="485"/>
        <v>0</v>
      </c>
      <c r="AW33" s="189">
        <f t="shared" si="486"/>
        <v>0</v>
      </c>
      <c r="AX33" s="189">
        <f t="shared" si="487"/>
        <v>0</v>
      </c>
      <c r="AY33" s="189">
        <f t="shared" si="488"/>
        <v>0</v>
      </c>
      <c r="AZ33" s="189">
        <f t="shared" si="489"/>
        <v>0</v>
      </c>
      <c r="BA33" s="189">
        <f t="shared" si="490"/>
        <v>0</v>
      </c>
      <c r="BB33" s="189">
        <f t="shared" si="491"/>
        <v>440</v>
      </c>
      <c r="BC33" s="196">
        <f t="shared" si="492"/>
        <v>0</v>
      </c>
      <c r="BE33" s="189">
        <f t="shared" si="493"/>
        <v>0</v>
      </c>
      <c r="BF33" s="189">
        <f t="shared" si="494"/>
        <v>0</v>
      </c>
      <c r="BG33" s="189">
        <f t="shared" si="495"/>
        <v>0</v>
      </c>
      <c r="BH33" s="189">
        <f t="shared" si="496"/>
        <v>0</v>
      </c>
      <c r="BI33" s="189">
        <f t="shared" si="497"/>
        <v>0</v>
      </c>
      <c r="BJ33" s="189">
        <f t="shared" si="498"/>
        <v>0</v>
      </c>
      <c r="BK33" s="189">
        <f t="shared" si="499"/>
        <v>0</v>
      </c>
      <c r="BN33" s="215"/>
      <c r="BO33" s="308"/>
      <c r="BP33" s="188"/>
      <c r="BQ33" s="188"/>
      <c r="BR33" s="188"/>
      <c r="BS33" s="188"/>
      <c r="BT33" s="188"/>
      <c r="BU33" s="188"/>
      <c r="BV33" s="188"/>
      <c r="BW33" s="188"/>
      <c r="BX33" s="188"/>
      <c r="BY33" s="188"/>
      <c r="BZ33" s="188"/>
      <c r="CB33" s="188"/>
      <c r="CD33" s="189">
        <f t="shared" si="500"/>
        <v>0</v>
      </c>
      <c r="CE33" s="189">
        <f t="shared" si="501"/>
        <v>0</v>
      </c>
      <c r="CF33" s="188">
        <f t="shared" si="502"/>
        <v>0</v>
      </c>
      <c r="CG33" s="188">
        <f t="shared" si="503"/>
        <v>0</v>
      </c>
      <c r="CH33" s="188">
        <f t="shared" si="504"/>
        <v>0</v>
      </c>
      <c r="CI33" s="188">
        <f t="shared" si="505"/>
        <v>0</v>
      </c>
      <c r="CJ33" s="188">
        <f t="shared" si="506"/>
        <v>0</v>
      </c>
      <c r="CK33" s="188">
        <f t="shared" si="507"/>
        <v>0</v>
      </c>
      <c r="CL33" s="188">
        <f t="shared" si="508"/>
        <v>0</v>
      </c>
      <c r="CM33" s="188">
        <f t="shared" si="509"/>
        <v>0</v>
      </c>
      <c r="CN33" s="188">
        <f t="shared" si="510"/>
        <v>0</v>
      </c>
      <c r="CO33" s="188">
        <f t="shared" si="511"/>
        <v>0</v>
      </c>
      <c r="CP33" s="188">
        <f t="shared" si="512"/>
        <v>0</v>
      </c>
      <c r="DV33" s="188">
        <f t="shared" si="513"/>
        <v>0</v>
      </c>
      <c r="DW33" s="188">
        <f t="shared" si="514"/>
        <v>0</v>
      </c>
      <c r="DX33" s="188">
        <f t="shared" si="515"/>
        <v>0</v>
      </c>
      <c r="DY33" s="188">
        <f t="shared" si="516"/>
        <v>0</v>
      </c>
      <c r="DZ33" s="188">
        <f t="shared" si="517"/>
        <v>0</v>
      </c>
      <c r="EA33" s="188">
        <f t="shared" si="518"/>
        <v>0</v>
      </c>
      <c r="EB33" s="188">
        <f t="shared" si="519"/>
        <v>0</v>
      </c>
      <c r="EG33" s="252">
        <f t="shared" si="520"/>
        <v>0</v>
      </c>
      <c r="EH33" s="252">
        <f t="shared" si="521"/>
        <v>0</v>
      </c>
      <c r="EI33" s="189"/>
      <c r="EJ33" s="189"/>
      <c r="EK33" s="189"/>
      <c r="EL33" s="189"/>
      <c r="EM33" s="189"/>
      <c r="EN33" s="189"/>
      <c r="EO33" s="189"/>
      <c r="EP33" s="189"/>
      <c r="EQ33" s="189"/>
      <c r="ER33" s="189"/>
      <c r="ES33" s="189"/>
      <c r="ET33" s="189"/>
      <c r="EU33" s="189"/>
      <c r="EV33" s="189"/>
      <c r="EW33" s="189"/>
      <c r="EX33" s="189"/>
      <c r="EY33" s="189"/>
      <c r="EZ33" s="189"/>
      <c r="FA33" s="189"/>
      <c r="FB33" s="189"/>
      <c r="FC33" s="189"/>
      <c r="FD33" s="189"/>
      <c r="FE33" s="189"/>
      <c r="FF33" s="189"/>
      <c r="FH33" s="189"/>
      <c r="FI33" s="189"/>
      <c r="FJ33" s="189"/>
      <c r="FK33" s="189"/>
      <c r="FL33" s="189"/>
      <c r="FM33" s="189"/>
      <c r="FN33" s="189"/>
      <c r="FO33" s="189"/>
      <c r="FP33" s="189"/>
      <c r="FQ33" s="189"/>
      <c r="FR33" s="189"/>
      <c r="FS33" s="189"/>
      <c r="FT33" s="189"/>
      <c r="FU33" s="189"/>
      <c r="FV33" s="189"/>
      <c r="FX33" s="253"/>
      <c r="FY33" s="189">
        <f t="shared" si="522"/>
        <v>0</v>
      </c>
      <c r="FZ33" s="189">
        <f t="shared" si="523"/>
        <v>0</v>
      </c>
      <c r="GA33" s="189">
        <f t="shared" si="524"/>
        <v>0</v>
      </c>
      <c r="GB33" s="189">
        <f t="shared" si="525"/>
        <v>0</v>
      </c>
      <c r="GC33" s="189">
        <f t="shared" si="526"/>
        <v>0</v>
      </c>
      <c r="GD33" s="189">
        <f t="shared" si="527"/>
        <v>0</v>
      </c>
      <c r="GE33" s="189">
        <f t="shared" si="528"/>
        <v>0</v>
      </c>
      <c r="GF33" s="199"/>
      <c r="GG33" s="189">
        <v>0</v>
      </c>
      <c r="GH33" s="189">
        <v>0</v>
      </c>
      <c r="GI33" s="199"/>
      <c r="GJ33" s="200">
        <f t="shared" si="529"/>
        <v>0</v>
      </c>
      <c r="GK33" s="200">
        <f t="shared" si="530"/>
        <v>0</v>
      </c>
      <c r="GO33" s="189">
        <f t="shared" si="531"/>
        <v>0</v>
      </c>
      <c r="GP33" s="189">
        <f t="shared" si="532"/>
        <v>0</v>
      </c>
      <c r="GQ33" s="189">
        <f t="shared" si="533"/>
        <v>0</v>
      </c>
      <c r="GR33" s="189">
        <f t="shared" si="534"/>
        <v>1</v>
      </c>
      <c r="GS33" s="189">
        <f t="shared" si="535"/>
        <v>1</v>
      </c>
      <c r="GT33" s="189">
        <f t="shared" si="536"/>
        <v>0</v>
      </c>
      <c r="GU33" s="201">
        <f t="shared" si="157"/>
        <v>43243</v>
      </c>
      <c r="GV33" s="189" t="str">
        <f t="shared" si="537"/>
        <v>Musyawarah</v>
      </c>
      <c r="GW33" s="189">
        <f t="shared" si="538"/>
        <v>1</v>
      </c>
      <c r="GX33" s="202" t="str">
        <f t="shared" si="539"/>
        <v>Musyawarah</v>
      </c>
      <c r="GY33" s="202">
        <f t="shared" si="540"/>
        <v>24</v>
      </c>
      <c r="GZ33" s="203">
        <f t="shared" si="541"/>
        <v>43267</v>
      </c>
      <c r="HA33" s="204"/>
      <c r="HB33" s="204"/>
      <c r="HC33" s="189">
        <f t="shared" si="542"/>
        <v>0</v>
      </c>
      <c r="HD33" s="189">
        <f t="shared" si="543"/>
        <v>0</v>
      </c>
      <c r="HE33" s="189">
        <f t="shared" si="544"/>
        <v>0</v>
      </c>
      <c r="HF33" s="189">
        <f t="shared" si="545"/>
        <v>0</v>
      </c>
      <c r="HG33" s="189">
        <f t="shared" si="546"/>
        <v>0</v>
      </c>
      <c r="HH33" s="201" t="str">
        <f t="shared" si="547"/>
        <v>TIDAK KONSINYASI</v>
      </c>
      <c r="HI33" s="201">
        <f t="shared" si="548"/>
        <v>43312</v>
      </c>
      <c r="HJ33" s="205"/>
      <c r="HK33" s="201">
        <f t="shared" si="549"/>
        <v>43312</v>
      </c>
      <c r="HL33" s="204"/>
      <c r="HM33" s="204"/>
      <c r="HN33" s="204"/>
      <c r="HO33" s="204"/>
      <c r="HP33" s="203">
        <f t="shared" si="550"/>
        <v>0</v>
      </c>
      <c r="HQ33" s="202">
        <f t="shared" si="551"/>
        <v>0</v>
      </c>
      <c r="HR33" s="202">
        <f t="shared" si="552"/>
        <v>0</v>
      </c>
      <c r="HS33" s="203">
        <f t="shared" si="553"/>
        <v>0</v>
      </c>
      <c r="HT33" s="202">
        <f t="shared" si="554"/>
        <v>0</v>
      </c>
      <c r="HU33" s="202">
        <f t="shared" si="555"/>
        <v>0</v>
      </c>
      <c r="HV33" s="203">
        <f t="shared" si="556"/>
        <v>0</v>
      </c>
      <c r="HW33" s="202">
        <f t="shared" si="557"/>
        <v>0</v>
      </c>
      <c r="HX33" s="202">
        <f t="shared" si="558"/>
        <v>0</v>
      </c>
      <c r="HY33" s="203">
        <f t="shared" si="559"/>
        <v>0</v>
      </c>
      <c r="HZ33" s="202">
        <f t="shared" si="560"/>
        <v>0</v>
      </c>
      <c r="IA33" s="202">
        <f t="shared" si="561"/>
        <v>0</v>
      </c>
      <c r="IB33" s="203">
        <f t="shared" si="562"/>
        <v>0</v>
      </c>
      <c r="IC33" s="202">
        <f t="shared" si="563"/>
        <v>0</v>
      </c>
      <c r="ID33" s="202">
        <f t="shared" si="564"/>
        <v>0</v>
      </c>
      <c r="IE33" s="203">
        <f t="shared" si="565"/>
        <v>0</v>
      </c>
      <c r="IF33" s="202">
        <f t="shared" si="566"/>
        <v>0</v>
      </c>
      <c r="IG33" s="202">
        <f t="shared" si="567"/>
        <v>0</v>
      </c>
      <c r="IH33" s="203">
        <f t="shared" si="568"/>
        <v>0</v>
      </c>
      <c r="II33" s="202">
        <f t="shared" si="569"/>
        <v>0</v>
      </c>
      <c r="IJ33" s="202">
        <f t="shared" si="570"/>
        <v>0</v>
      </c>
      <c r="IK33" s="203">
        <f t="shared" si="571"/>
        <v>0</v>
      </c>
      <c r="IL33" s="202">
        <f t="shared" si="572"/>
        <v>0</v>
      </c>
      <c r="IM33" s="202">
        <f t="shared" si="573"/>
        <v>0</v>
      </c>
      <c r="IN33" s="204"/>
      <c r="IO33" s="203">
        <f t="shared" si="574"/>
        <v>0</v>
      </c>
      <c r="IP33" s="202">
        <f t="shared" si="575"/>
        <v>0</v>
      </c>
      <c r="IQ33" s="202">
        <f t="shared" si="576"/>
        <v>0</v>
      </c>
      <c r="IR33" s="204"/>
      <c r="IS33" s="203"/>
      <c r="IT33" s="202">
        <f t="shared" si="577"/>
        <v>0</v>
      </c>
      <c r="IU33" s="202">
        <f t="shared" si="578"/>
        <v>0</v>
      </c>
      <c r="IV33" s="204"/>
      <c r="IW33" s="203"/>
      <c r="IX33" s="202">
        <f t="shared" si="579"/>
        <v>0</v>
      </c>
      <c r="IY33" s="202">
        <f t="shared" si="580"/>
        <v>0</v>
      </c>
      <c r="IZ33" s="204"/>
      <c r="JA33" s="203"/>
      <c r="JB33" s="202">
        <f t="shared" si="581"/>
        <v>1</v>
      </c>
      <c r="JC33" s="202">
        <f t="shared" si="582"/>
        <v>440</v>
      </c>
      <c r="JD33" s="204"/>
      <c r="JE33" s="203"/>
      <c r="JF33" s="202">
        <f t="shared" si="583"/>
        <v>1</v>
      </c>
      <c r="JG33" s="202">
        <f t="shared" si="584"/>
        <v>440</v>
      </c>
      <c r="JH33" s="204"/>
      <c r="JI33" s="203"/>
      <c r="JJ33" s="202">
        <f t="shared" si="585"/>
        <v>0</v>
      </c>
      <c r="JK33" s="202">
        <f t="shared" si="586"/>
        <v>0</v>
      </c>
      <c r="JM33" s="203">
        <f t="shared" si="587"/>
        <v>0</v>
      </c>
      <c r="JO33" s="196">
        <f t="shared" si="588"/>
        <v>0</v>
      </c>
      <c r="JP33" s="206">
        <f t="shared" si="589"/>
        <v>0</v>
      </c>
      <c r="JQ33" s="206">
        <f t="shared" si="590"/>
        <v>0</v>
      </c>
      <c r="JR33" s="206">
        <f t="shared" si="591"/>
        <v>0</v>
      </c>
      <c r="JS33" s="206">
        <f t="shared" si="592"/>
        <v>0</v>
      </c>
      <c r="JT33" s="206">
        <f t="shared" si="593"/>
        <v>0</v>
      </c>
      <c r="JU33" s="206">
        <f t="shared" si="594"/>
        <v>0</v>
      </c>
      <c r="JV33" s="206">
        <f t="shared" si="595"/>
        <v>0</v>
      </c>
      <c r="JW33" s="206">
        <f t="shared" si="596"/>
        <v>0</v>
      </c>
      <c r="JX33" s="206">
        <f t="shared" si="597"/>
        <v>0</v>
      </c>
      <c r="JY33" s="206">
        <f t="shared" si="598"/>
        <v>0</v>
      </c>
      <c r="JZ33" s="206">
        <f t="shared" si="599"/>
        <v>0</v>
      </c>
      <c r="KA33" s="206">
        <f t="shared" si="600"/>
        <v>0</v>
      </c>
      <c r="KB33" s="206">
        <f t="shared" si="601"/>
        <v>0</v>
      </c>
      <c r="KD33" s="206">
        <f t="shared" si="602"/>
        <v>0</v>
      </c>
      <c r="KE33" s="206">
        <f t="shared" si="603"/>
        <v>0</v>
      </c>
      <c r="KF33" s="206">
        <f t="shared" si="604"/>
        <v>0</v>
      </c>
      <c r="KG33" s="206">
        <f t="shared" si="605"/>
        <v>0</v>
      </c>
      <c r="KH33" s="206">
        <f t="shared" si="606"/>
        <v>0</v>
      </c>
      <c r="KI33" s="206">
        <f t="shared" si="607"/>
        <v>0</v>
      </c>
      <c r="KJ33" s="206">
        <f t="shared" si="608"/>
        <v>0</v>
      </c>
      <c r="KK33" s="206">
        <f t="shared" si="609"/>
        <v>0</v>
      </c>
      <c r="KL33" s="206">
        <f t="shared" si="610"/>
        <v>0</v>
      </c>
      <c r="KM33" s="206">
        <f t="shared" si="611"/>
        <v>0</v>
      </c>
      <c r="KN33" s="221">
        <f t="shared" si="612"/>
        <v>0</v>
      </c>
      <c r="KO33" s="221">
        <f t="shared" si="613"/>
        <v>0</v>
      </c>
      <c r="KP33" s="221">
        <f t="shared" si="614"/>
        <v>0</v>
      </c>
      <c r="KQ33" s="221">
        <f t="shared" si="615"/>
        <v>0</v>
      </c>
      <c r="KR33" s="221">
        <f t="shared" si="616"/>
        <v>0</v>
      </c>
      <c r="KS33" s="195">
        <v>2</v>
      </c>
      <c r="KT33" s="195">
        <f t="shared" si="617"/>
        <v>1</v>
      </c>
      <c r="KU33" s="221"/>
      <c r="KV33" s="221"/>
      <c r="KW33" s="221"/>
      <c r="KX33" s="221"/>
      <c r="KY33" s="221"/>
      <c r="KZ33" s="221"/>
      <c r="LA33" s="221"/>
      <c r="LB33" s="221"/>
      <c r="LC33" s="221"/>
      <c r="LD33" s="221"/>
      <c r="LE33" s="221"/>
      <c r="LF33" s="221"/>
      <c r="LG33" s="221"/>
      <c r="LH33" s="221"/>
      <c r="LI33" s="221"/>
      <c r="LJ33" s="221"/>
      <c r="LK33" s="221"/>
      <c r="LL33" s="221"/>
      <c r="LM33" s="221">
        <v>1</v>
      </c>
      <c r="LN33" s="221">
        <v>1</v>
      </c>
      <c r="LO33" s="221"/>
      <c r="LP33" s="221"/>
      <c r="LQ33" s="221"/>
      <c r="LR33" s="221"/>
      <c r="LS33" s="221"/>
      <c r="LT33" s="221"/>
      <c r="LU33" s="221"/>
      <c r="LV33" s="221"/>
      <c r="LW33" s="221"/>
      <c r="LX33" s="221"/>
      <c r="LY33" s="221"/>
      <c r="LZ33" s="221"/>
      <c r="MA33" s="221"/>
      <c r="MB33" s="221"/>
      <c r="MC33" s="221"/>
      <c r="MD33" s="221"/>
      <c r="ME33" s="221"/>
      <c r="MF33" s="221"/>
      <c r="MG33" s="221"/>
      <c r="MH33" s="221"/>
      <c r="MI33" s="221"/>
      <c r="MJ33" s="221"/>
      <c r="MK33" s="221"/>
      <c r="ML33" s="221"/>
      <c r="MM33" s="221"/>
      <c r="MN33" s="221"/>
      <c r="MO33" s="221"/>
      <c r="MP33" s="221"/>
      <c r="MQ33" s="221"/>
      <c r="MR33" s="221"/>
      <c r="MS33" s="221"/>
      <c r="MT33" s="221"/>
      <c r="MU33" s="221"/>
      <c r="MV33" s="221"/>
      <c r="MW33" s="221"/>
      <c r="MX33" s="221"/>
      <c r="MY33" s="221"/>
      <c r="MZ33" s="221"/>
      <c r="NA33" s="221"/>
      <c r="NB33" s="221"/>
      <c r="NC33" s="221"/>
      <c r="ND33" s="221"/>
      <c r="NE33" s="221"/>
      <c r="NF33" s="221"/>
      <c r="NG33" s="221"/>
      <c r="NH33" s="221"/>
      <c r="NI33" s="221"/>
      <c r="NJ33" s="221"/>
      <c r="NK33" s="221"/>
      <c r="NM33" s="195">
        <f t="shared" si="618"/>
        <v>0</v>
      </c>
      <c r="NN33" s="195">
        <f t="shared" si="619"/>
        <v>1</v>
      </c>
      <c r="NO33" s="195">
        <f t="shared" si="620"/>
        <v>0</v>
      </c>
      <c r="NP33" s="195">
        <f t="shared" si="621"/>
        <v>0</v>
      </c>
      <c r="NQ33" s="195">
        <f t="shared" si="622"/>
        <v>0</v>
      </c>
      <c r="NR33" s="195">
        <f t="shared" si="623"/>
        <v>0</v>
      </c>
      <c r="NS33" s="195">
        <f t="shared" si="624"/>
        <v>0</v>
      </c>
      <c r="NT33" s="195">
        <f t="shared" si="625"/>
        <v>1</v>
      </c>
      <c r="NU33" s="196">
        <f t="shared" si="626"/>
        <v>0</v>
      </c>
      <c r="NY33" s="196">
        <f t="shared" si="627"/>
        <v>0</v>
      </c>
      <c r="NZ33" s="222"/>
      <c r="OE33" s="207"/>
      <c r="OF33" s="207"/>
      <c r="OG33" s="207"/>
      <c r="OH33" s="207"/>
      <c r="OI33" s="207"/>
      <c r="OJ33" s="199"/>
      <c r="OK33" s="199"/>
      <c r="OL33" s="199"/>
      <c r="OM33" s="199"/>
      <c r="OO33" s="207"/>
      <c r="OP33" s="207"/>
      <c r="OQ33" s="207"/>
      <c r="OR33" s="207"/>
      <c r="OS33" s="207"/>
      <c r="OT33" s="199"/>
      <c r="OU33" s="199"/>
      <c r="OV33" s="199"/>
      <c r="OW33" s="199"/>
      <c r="PA33" s="209">
        <v>1</v>
      </c>
      <c r="PB33" s="209"/>
      <c r="PC33" s="209"/>
      <c r="PD33" s="210">
        <f t="shared" si="135"/>
        <v>0</v>
      </c>
      <c r="PE33" s="210"/>
      <c r="PF33" s="210">
        <f t="shared" si="136"/>
        <v>0</v>
      </c>
      <c r="PG33" s="210">
        <f t="shared" si="137"/>
        <v>440</v>
      </c>
      <c r="PH33" s="210">
        <f t="shared" si="137"/>
        <v>0</v>
      </c>
      <c r="PI33" s="210">
        <f t="shared" si="137"/>
        <v>0</v>
      </c>
      <c r="PJ33" s="210">
        <f t="shared" si="137"/>
        <v>0</v>
      </c>
      <c r="PK33" s="210">
        <f t="shared" si="137"/>
        <v>0</v>
      </c>
      <c r="PL33" s="210">
        <f t="shared" si="137"/>
        <v>0</v>
      </c>
      <c r="PO33" s="212">
        <f t="shared" si="628"/>
        <v>0</v>
      </c>
      <c r="PP33" s="212">
        <f t="shared" si="629"/>
        <v>0</v>
      </c>
      <c r="PQ33" s="212">
        <f t="shared" si="630"/>
        <v>0</v>
      </c>
    </row>
    <row r="34" spans="1:433 16383:16384" ht="16" x14ac:dyDescent="0.2">
      <c r="A34" s="19">
        <f t="shared" si="459"/>
        <v>25</v>
      </c>
      <c r="B34" s="237" t="s">
        <v>664</v>
      </c>
      <c r="C34" s="186">
        <v>3</v>
      </c>
      <c r="D34" s="188">
        <v>1</v>
      </c>
      <c r="E34" s="188">
        <v>14</v>
      </c>
      <c r="F34" s="188">
        <v>1</v>
      </c>
      <c r="G34" s="188">
        <f t="shared" si="138"/>
        <v>14</v>
      </c>
      <c r="H34" s="214">
        <f t="shared" si="460"/>
        <v>1</v>
      </c>
      <c r="I34" s="214">
        <f t="shared" si="461"/>
        <v>1</v>
      </c>
      <c r="J34" s="188">
        <v>1</v>
      </c>
      <c r="K34" s="188">
        <f t="shared" si="462"/>
        <v>14</v>
      </c>
      <c r="L34" s="214">
        <f t="shared" si="463"/>
        <v>1</v>
      </c>
      <c r="M34" s="214">
        <f t="shared" si="464"/>
        <v>1</v>
      </c>
      <c r="N34" s="188">
        <v>1</v>
      </c>
      <c r="O34" s="188">
        <f t="shared" si="465"/>
        <v>14</v>
      </c>
      <c r="P34" s="214">
        <f t="shared" si="466"/>
        <v>1</v>
      </c>
      <c r="Q34" s="214">
        <f t="shared" si="467"/>
        <v>1</v>
      </c>
      <c r="R34" s="188"/>
      <c r="S34" s="188">
        <f t="shared" si="468"/>
        <v>0</v>
      </c>
      <c r="T34" s="214">
        <f t="shared" si="469"/>
        <v>0</v>
      </c>
      <c r="U34" s="214">
        <f t="shared" si="470"/>
        <v>0</v>
      </c>
      <c r="V34" s="188"/>
      <c r="W34" s="188">
        <f t="shared" si="471"/>
        <v>0</v>
      </c>
      <c r="X34" s="214">
        <f t="shared" si="472"/>
        <v>0</v>
      </c>
      <c r="Y34" s="214">
        <f t="shared" si="473"/>
        <v>0</v>
      </c>
      <c r="Z34" s="274"/>
      <c r="AA34" s="275"/>
      <c r="AB34" s="189">
        <f t="shared" si="474"/>
        <v>0</v>
      </c>
      <c r="AC34" s="250">
        <f t="shared" si="475"/>
        <v>0</v>
      </c>
      <c r="AD34" s="250">
        <f t="shared" si="476"/>
        <v>0</v>
      </c>
      <c r="AE34" s="275"/>
      <c r="AF34" s="188">
        <f t="shared" si="477"/>
        <v>0</v>
      </c>
      <c r="AG34" s="188"/>
      <c r="AH34" s="187"/>
      <c r="AI34" s="20">
        <v>0</v>
      </c>
      <c r="AJ34" s="20">
        <f t="shared" si="478"/>
        <v>0</v>
      </c>
      <c r="AK34" s="20"/>
      <c r="AL34" s="20">
        <v>0</v>
      </c>
      <c r="AM34" s="20">
        <v>0</v>
      </c>
      <c r="AN34" s="139">
        <v>1</v>
      </c>
      <c r="AO34" s="17">
        <v>0</v>
      </c>
      <c r="AP34" s="17">
        <f t="shared" si="479"/>
        <v>0</v>
      </c>
      <c r="AQ34" s="17">
        <f t="shared" si="480"/>
        <v>0</v>
      </c>
      <c r="AR34" s="17">
        <f t="shared" si="481"/>
        <v>0</v>
      </c>
      <c r="AS34" s="17">
        <f t="shared" si="482"/>
        <v>0</v>
      </c>
      <c r="AT34" s="17">
        <f t="shared" si="483"/>
        <v>0</v>
      </c>
      <c r="AU34" s="17">
        <f t="shared" si="484"/>
        <v>0</v>
      </c>
      <c r="AV34" s="17">
        <f t="shared" si="485"/>
        <v>0</v>
      </c>
      <c r="AW34" s="17">
        <f t="shared" si="486"/>
        <v>0</v>
      </c>
      <c r="AX34" s="17">
        <f t="shared" si="487"/>
        <v>0</v>
      </c>
      <c r="AY34" s="17">
        <f t="shared" si="488"/>
        <v>0</v>
      </c>
      <c r="AZ34" s="17">
        <f t="shared" si="489"/>
        <v>0</v>
      </c>
      <c r="BA34" s="17">
        <f t="shared" si="490"/>
        <v>0</v>
      </c>
      <c r="BB34" s="17">
        <f t="shared" si="491"/>
        <v>14</v>
      </c>
      <c r="BC34" s="29">
        <f t="shared" si="492"/>
        <v>0</v>
      </c>
      <c r="BE34" s="17">
        <f t="shared" si="493"/>
        <v>0</v>
      </c>
      <c r="BF34" s="17">
        <f t="shared" si="494"/>
        <v>0</v>
      </c>
      <c r="BG34" s="17">
        <f t="shared" si="495"/>
        <v>0</v>
      </c>
      <c r="BH34" s="17">
        <f t="shared" si="496"/>
        <v>0</v>
      </c>
      <c r="BI34" s="17">
        <f t="shared" si="497"/>
        <v>0</v>
      </c>
      <c r="BJ34" s="17">
        <f t="shared" si="498"/>
        <v>0</v>
      </c>
      <c r="BK34" s="17">
        <f t="shared" si="499"/>
        <v>0</v>
      </c>
      <c r="BN34" s="143"/>
      <c r="BO34" s="126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B34" s="20"/>
      <c r="CD34" s="17">
        <f t="shared" si="500"/>
        <v>0</v>
      </c>
      <c r="CE34" s="17">
        <f t="shared" si="501"/>
        <v>0</v>
      </c>
      <c r="CF34" s="20">
        <f t="shared" si="502"/>
        <v>0</v>
      </c>
      <c r="CG34" s="20">
        <f t="shared" si="503"/>
        <v>0</v>
      </c>
      <c r="CH34" s="20">
        <f t="shared" si="504"/>
        <v>0</v>
      </c>
      <c r="CI34" s="20">
        <f t="shared" si="505"/>
        <v>0</v>
      </c>
      <c r="CJ34" s="20">
        <f t="shared" si="506"/>
        <v>0</v>
      </c>
      <c r="CK34" s="20">
        <f t="shared" si="507"/>
        <v>0</v>
      </c>
      <c r="CL34" s="20">
        <f t="shared" si="508"/>
        <v>0</v>
      </c>
      <c r="CM34" s="20">
        <f t="shared" si="509"/>
        <v>0</v>
      </c>
      <c r="CN34" s="20">
        <f t="shared" si="510"/>
        <v>0</v>
      </c>
      <c r="CO34" s="20">
        <f t="shared" si="511"/>
        <v>0</v>
      </c>
      <c r="CP34" s="20">
        <f t="shared" si="512"/>
        <v>0</v>
      </c>
      <c r="DV34" s="20">
        <f t="shared" si="513"/>
        <v>0</v>
      </c>
      <c r="DW34" s="20">
        <f t="shared" si="514"/>
        <v>0</v>
      </c>
      <c r="DX34" s="20">
        <f t="shared" si="515"/>
        <v>0</v>
      </c>
      <c r="DY34" s="20">
        <f t="shared" si="516"/>
        <v>0</v>
      </c>
      <c r="DZ34" s="20">
        <f t="shared" si="517"/>
        <v>0</v>
      </c>
      <c r="EA34" s="20">
        <f t="shared" si="518"/>
        <v>0</v>
      </c>
      <c r="EB34" s="20">
        <f t="shared" si="519"/>
        <v>0</v>
      </c>
      <c r="EG34" s="57">
        <f t="shared" si="520"/>
        <v>0</v>
      </c>
      <c r="EH34" s="57">
        <f t="shared" si="521"/>
        <v>0</v>
      </c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X34" s="169"/>
      <c r="FY34" s="17">
        <f t="shared" si="522"/>
        <v>0</v>
      </c>
      <c r="FZ34" s="17">
        <f t="shared" si="523"/>
        <v>0</v>
      </c>
      <c r="GA34" s="17">
        <f t="shared" si="524"/>
        <v>0</v>
      </c>
      <c r="GB34" s="17">
        <f t="shared" si="525"/>
        <v>0</v>
      </c>
      <c r="GC34" s="17">
        <f t="shared" si="526"/>
        <v>0</v>
      </c>
      <c r="GD34" s="17">
        <f t="shared" si="527"/>
        <v>0</v>
      </c>
      <c r="GE34" s="17">
        <f t="shared" si="528"/>
        <v>0</v>
      </c>
      <c r="GF34" s="67"/>
      <c r="GG34" s="17">
        <v>0</v>
      </c>
      <c r="GH34" s="17">
        <v>0</v>
      </c>
      <c r="GI34" s="67"/>
      <c r="GJ34" s="62">
        <f t="shared" si="529"/>
        <v>0</v>
      </c>
      <c r="GK34" s="62">
        <f t="shared" si="530"/>
        <v>0</v>
      </c>
      <c r="GO34" s="17">
        <f t="shared" si="531"/>
        <v>0</v>
      </c>
      <c r="GP34" s="17">
        <f t="shared" si="532"/>
        <v>0</v>
      </c>
      <c r="GQ34" s="17">
        <f t="shared" si="533"/>
        <v>0</v>
      </c>
      <c r="GR34" s="17">
        <f t="shared" si="534"/>
        <v>1</v>
      </c>
      <c r="GS34" s="17">
        <f t="shared" si="535"/>
        <v>1</v>
      </c>
      <c r="GT34" s="17">
        <f t="shared" si="536"/>
        <v>0</v>
      </c>
      <c r="GU34" s="101">
        <f t="shared" si="157"/>
        <v>43243</v>
      </c>
      <c r="GV34" s="17" t="str">
        <f t="shared" si="537"/>
        <v>Musyawarah</v>
      </c>
      <c r="GW34" s="17">
        <f t="shared" si="538"/>
        <v>1</v>
      </c>
      <c r="GX34" s="66" t="str">
        <f t="shared" si="539"/>
        <v>Musyawarah</v>
      </c>
      <c r="GY34" s="66">
        <f t="shared" si="540"/>
        <v>24</v>
      </c>
      <c r="GZ34" s="102">
        <f t="shared" si="541"/>
        <v>43267</v>
      </c>
      <c r="HA34" s="83"/>
      <c r="HB34" s="83"/>
      <c r="HC34" s="17">
        <f t="shared" si="542"/>
        <v>0</v>
      </c>
      <c r="HD34" s="17">
        <f t="shared" si="543"/>
        <v>0</v>
      </c>
      <c r="HE34" s="17">
        <f t="shared" si="544"/>
        <v>0</v>
      </c>
      <c r="HF34" s="17">
        <f t="shared" si="545"/>
        <v>0</v>
      </c>
      <c r="HG34" s="17">
        <f t="shared" si="546"/>
        <v>0</v>
      </c>
      <c r="HH34" s="101" t="str">
        <f t="shared" si="547"/>
        <v>TIDAK KONSINYASI</v>
      </c>
      <c r="HI34" s="101">
        <f t="shared" si="548"/>
        <v>43312</v>
      </c>
      <c r="HJ34" s="27"/>
      <c r="HK34" s="101">
        <f t="shared" si="549"/>
        <v>43312</v>
      </c>
      <c r="HL34" s="83"/>
      <c r="HM34" s="83"/>
      <c r="HN34" s="83"/>
      <c r="HO34" s="83"/>
      <c r="HP34" s="102">
        <f t="shared" si="550"/>
        <v>0</v>
      </c>
      <c r="HQ34" s="66">
        <f t="shared" si="551"/>
        <v>0</v>
      </c>
      <c r="HR34" s="66">
        <f t="shared" si="552"/>
        <v>0</v>
      </c>
      <c r="HS34" s="102">
        <f t="shared" si="553"/>
        <v>0</v>
      </c>
      <c r="HT34" s="66">
        <f t="shared" si="554"/>
        <v>0</v>
      </c>
      <c r="HU34" s="66">
        <f t="shared" si="555"/>
        <v>0</v>
      </c>
      <c r="HV34" s="102">
        <f t="shared" si="556"/>
        <v>0</v>
      </c>
      <c r="HW34" s="66">
        <f t="shared" si="557"/>
        <v>0</v>
      </c>
      <c r="HX34" s="66">
        <f t="shared" si="558"/>
        <v>0</v>
      </c>
      <c r="HY34" s="102">
        <f t="shared" si="559"/>
        <v>0</v>
      </c>
      <c r="HZ34" s="66">
        <f t="shared" si="560"/>
        <v>0</v>
      </c>
      <c r="IA34" s="66">
        <f t="shared" si="561"/>
        <v>0</v>
      </c>
      <c r="IB34" s="102">
        <f t="shared" si="562"/>
        <v>0</v>
      </c>
      <c r="IC34" s="66">
        <f t="shared" si="563"/>
        <v>0</v>
      </c>
      <c r="ID34" s="66">
        <f t="shared" si="564"/>
        <v>0</v>
      </c>
      <c r="IE34" s="102">
        <f t="shared" si="565"/>
        <v>0</v>
      </c>
      <c r="IF34" s="66">
        <f t="shared" si="566"/>
        <v>0</v>
      </c>
      <c r="IG34" s="66">
        <f t="shared" si="567"/>
        <v>0</v>
      </c>
      <c r="IH34" s="102">
        <f t="shared" si="568"/>
        <v>0</v>
      </c>
      <c r="II34" s="66">
        <f t="shared" si="569"/>
        <v>0</v>
      </c>
      <c r="IJ34" s="66">
        <f t="shared" si="570"/>
        <v>0</v>
      </c>
      <c r="IK34" s="102">
        <f t="shared" si="571"/>
        <v>0</v>
      </c>
      <c r="IL34" s="66">
        <f t="shared" si="572"/>
        <v>0</v>
      </c>
      <c r="IM34" s="66">
        <f t="shared" si="573"/>
        <v>0</v>
      </c>
      <c r="IN34" s="83"/>
      <c r="IO34" s="102">
        <f t="shared" si="574"/>
        <v>0</v>
      </c>
      <c r="IP34" s="66">
        <f t="shared" si="575"/>
        <v>0</v>
      </c>
      <c r="IQ34" s="66">
        <f t="shared" si="576"/>
        <v>0</v>
      </c>
      <c r="IR34" s="83"/>
      <c r="IS34" s="102"/>
      <c r="IT34" s="66">
        <f t="shared" si="577"/>
        <v>0</v>
      </c>
      <c r="IU34" s="66">
        <f t="shared" si="578"/>
        <v>0</v>
      </c>
      <c r="IV34" s="83"/>
      <c r="IW34" s="102"/>
      <c r="IX34" s="66">
        <f t="shared" si="579"/>
        <v>0</v>
      </c>
      <c r="IY34" s="66">
        <f t="shared" si="580"/>
        <v>0</v>
      </c>
      <c r="IZ34" s="83"/>
      <c r="JA34" s="102"/>
      <c r="JB34" s="66">
        <f t="shared" si="581"/>
        <v>1</v>
      </c>
      <c r="JC34" s="66">
        <f t="shared" si="582"/>
        <v>14</v>
      </c>
      <c r="JD34" s="83"/>
      <c r="JE34" s="102"/>
      <c r="JF34" s="66">
        <f t="shared" si="583"/>
        <v>1</v>
      </c>
      <c r="JG34" s="66">
        <f t="shared" si="584"/>
        <v>14</v>
      </c>
      <c r="JH34" s="83"/>
      <c r="JI34" s="102"/>
      <c r="JJ34" s="66">
        <f t="shared" si="585"/>
        <v>0</v>
      </c>
      <c r="JK34" s="66">
        <f t="shared" si="586"/>
        <v>0</v>
      </c>
      <c r="JM34" s="102">
        <f t="shared" si="587"/>
        <v>0</v>
      </c>
      <c r="JO34" s="29">
        <f t="shared" si="588"/>
        <v>0</v>
      </c>
      <c r="JP34" s="122">
        <f t="shared" si="589"/>
        <v>0</v>
      </c>
      <c r="JQ34" s="122">
        <f t="shared" si="590"/>
        <v>0</v>
      </c>
      <c r="JR34" s="122">
        <f t="shared" si="591"/>
        <v>0</v>
      </c>
      <c r="JS34" s="122">
        <f t="shared" si="592"/>
        <v>0</v>
      </c>
      <c r="JT34" s="122">
        <f t="shared" si="593"/>
        <v>0</v>
      </c>
      <c r="JU34" s="122">
        <f t="shared" si="594"/>
        <v>0</v>
      </c>
      <c r="JV34" s="122">
        <f t="shared" si="595"/>
        <v>0</v>
      </c>
      <c r="JW34" s="122">
        <f t="shared" si="596"/>
        <v>0</v>
      </c>
      <c r="JX34" s="122">
        <f t="shared" si="597"/>
        <v>0</v>
      </c>
      <c r="JY34" s="122">
        <f t="shared" si="598"/>
        <v>0</v>
      </c>
      <c r="JZ34" s="122">
        <f t="shared" si="599"/>
        <v>0</v>
      </c>
      <c r="KA34" s="122">
        <f t="shared" si="600"/>
        <v>0</v>
      </c>
      <c r="KB34" s="122">
        <f t="shared" si="601"/>
        <v>0</v>
      </c>
      <c r="KD34" s="122">
        <f t="shared" si="602"/>
        <v>0</v>
      </c>
      <c r="KE34" s="122">
        <f t="shared" si="603"/>
        <v>0</v>
      </c>
      <c r="KF34" s="122">
        <f t="shared" si="604"/>
        <v>0</v>
      </c>
      <c r="KG34" s="122">
        <f t="shared" si="605"/>
        <v>0</v>
      </c>
      <c r="KH34" s="122">
        <f t="shared" si="606"/>
        <v>0</v>
      </c>
      <c r="KI34" s="122">
        <f t="shared" si="607"/>
        <v>0</v>
      </c>
      <c r="KJ34" s="122">
        <f t="shared" si="608"/>
        <v>0</v>
      </c>
      <c r="KK34" s="122">
        <f t="shared" si="609"/>
        <v>0</v>
      </c>
      <c r="KL34" s="122">
        <f t="shared" si="610"/>
        <v>0</v>
      </c>
      <c r="KM34" s="122">
        <f t="shared" si="611"/>
        <v>0</v>
      </c>
      <c r="KN34" s="123">
        <f t="shared" si="612"/>
        <v>0</v>
      </c>
      <c r="KO34" s="123">
        <f t="shared" si="613"/>
        <v>0</v>
      </c>
      <c r="KP34" s="123">
        <f t="shared" si="614"/>
        <v>0</v>
      </c>
      <c r="KQ34" s="123">
        <f t="shared" si="615"/>
        <v>0</v>
      </c>
      <c r="KR34" s="123">
        <f t="shared" si="616"/>
        <v>0</v>
      </c>
      <c r="KS34">
        <v>2</v>
      </c>
      <c r="KT34">
        <f t="shared" si="617"/>
        <v>1</v>
      </c>
      <c r="KU34" s="123"/>
      <c r="KV34" s="123"/>
      <c r="KW34" s="123"/>
      <c r="KX34" s="123"/>
      <c r="KY34" s="123"/>
      <c r="KZ34" s="123"/>
      <c r="LA34" s="123"/>
      <c r="LB34" s="123"/>
      <c r="LC34" s="123"/>
      <c r="LD34" s="123"/>
      <c r="LE34" s="123"/>
      <c r="LF34" s="123"/>
      <c r="LG34" s="123"/>
      <c r="LH34" s="123"/>
      <c r="LI34" s="123"/>
      <c r="LJ34" s="123"/>
      <c r="LK34" s="123"/>
      <c r="LL34" s="123"/>
      <c r="LM34" s="123">
        <v>1</v>
      </c>
      <c r="LN34" s="123">
        <v>1</v>
      </c>
      <c r="LO34" s="123"/>
      <c r="LP34" s="123"/>
      <c r="LQ34" s="123"/>
      <c r="LR34" s="123"/>
      <c r="LS34" s="123"/>
      <c r="LT34" s="123"/>
      <c r="LU34" s="123"/>
      <c r="LV34" s="123"/>
      <c r="LW34" s="123"/>
      <c r="LX34" s="123"/>
      <c r="LY34" s="123"/>
      <c r="LZ34" s="123"/>
      <c r="MA34" s="123"/>
      <c r="MB34" s="123"/>
      <c r="MC34" s="123"/>
      <c r="MD34" s="123"/>
      <c r="ME34" s="123"/>
      <c r="MF34" s="123"/>
      <c r="MG34" s="123"/>
      <c r="MH34" s="123"/>
      <c r="MI34" s="123"/>
      <c r="MJ34" s="123"/>
      <c r="MK34" s="123"/>
      <c r="ML34" s="123"/>
      <c r="MM34" s="123"/>
      <c r="MN34" s="123"/>
      <c r="MO34" s="123"/>
      <c r="MP34" s="123"/>
      <c r="MQ34" s="123"/>
      <c r="MR34" s="123"/>
      <c r="MS34" s="123"/>
      <c r="MT34" s="123"/>
      <c r="MU34" s="123"/>
      <c r="MV34" s="123"/>
      <c r="MW34" s="123"/>
      <c r="MX34" s="123"/>
      <c r="MY34" s="123"/>
      <c r="MZ34" s="123"/>
      <c r="NA34" s="123"/>
      <c r="NB34" s="123"/>
      <c r="NC34" s="123"/>
      <c r="ND34" s="123"/>
      <c r="NE34" s="123"/>
      <c r="NF34" s="123"/>
      <c r="NG34" s="123"/>
      <c r="NH34" s="123"/>
      <c r="NI34" s="123"/>
      <c r="NJ34" s="123"/>
      <c r="NK34" s="123"/>
      <c r="NM34">
        <f t="shared" si="618"/>
        <v>0</v>
      </c>
      <c r="NN34">
        <f t="shared" si="619"/>
        <v>1</v>
      </c>
      <c r="NO34">
        <f t="shared" si="620"/>
        <v>0</v>
      </c>
      <c r="NP34">
        <f t="shared" si="621"/>
        <v>0</v>
      </c>
      <c r="NQ34">
        <f t="shared" si="622"/>
        <v>0</v>
      </c>
      <c r="NR34">
        <f t="shared" si="623"/>
        <v>0</v>
      </c>
      <c r="NS34">
        <f t="shared" si="624"/>
        <v>0</v>
      </c>
      <c r="NT34">
        <f t="shared" si="625"/>
        <v>1</v>
      </c>
      <c r="NU34" s="29">
        <f t="shared" si="626"/>
        <v>0</v>
      </c>
      <c r="NY34" s="29">
        <f t="shared" si="627"/>
        <v>0</v>
      </c>
      <c r="NZ34" s="152"/>
      <c r="OE34" s="155"/>
      <c r="OF34" s="155"/>
      <c r="OG34" s="155"/>
      <c r="OH34" s="155"/>
      <c r="OI34" s="155"/>
      <c r="OJ34" s="67"/>
      <c r="OK34" s="67"/>
      <c r="OL34" s="67"/>
      <c r="OM34" s="67"/>
      <c r="OO34" s="155"/>
      <c r="OP34" s="155"/>
      <c r="OQ34" s="155"/>
      <c r="OR34" s="155"/>
      <c r="OS34" s="155"/>
      <c r="OT34" s="67"/>
      <c r="OU34" s="67"/>
      <c r="OV34" s="67"/>
      <c r="OW34" s="67"/>
      <c r="PA34" s="166"/>
      <c r="PB34" s="166">
        <v>1</v>
      </c>
      <c r="PC34" s="166"/>
      <c r="PD34" s="210">
        <f t="shared" si="135"/>
        <v>1</v>
      </c>
      <c r="PE34" s="210">
        <v>1</v>
      </c>
      <c r="PF34" s="210">
        <f t="shared" si="136"/>
        <v>0</v>
      </c>
      <c r="PG34" s="210">
        <f t="shared" si="137"/>
        <v>0</v>
      </c>
      <c r="PH34" s="210">
        <f t="shared" si="137"/>
        <v>14</v>
      </c>
      <c r="PI34" s="210">
        <f t="shared" si="137"/>
        <v>0</v>
      </c>
      <c r="PJ34" s="210">
        <f t="shared" si="137"/>
        <v>14</v>
      </c>
      <c r="PK34" s="210">
        <f t="shared" si="137"/>
        <v>14</v>
      </c>
      <c r="PL34" s="210">
        <f t="shared" si="137"/>
        <v>0</v>
      </c>
      <c r="PO34" s="172">
        <f t="shared" si="628"/>
        <v>0</v>
      </c>
      <c r="PP34" s="172">
        <f t="shared" si="629"/>
        <v>0</v>
      </c>
      <c r="PQ34" s="172">
        <f t="shared" si="630"/>
        <v>0</v>
      </c>
    </row>
    <row r="35" spans="1:433 16383:16384" s="109" customFormat="1" ht="16" x14ac:dyDescent="0.2">
      <c r="A35" s="316">
        <f t="shared" si="459"/>
        <v>26</v>
      </c>
      <c r="B35" s="317" t="s">
        <v>704</v>
      </c>
      <c r="C35" s="318">
        <v>1</v>
      </c>
      <c r="D35" s="165">
        <v>1</v>
      </c>
      <c r="E35" s="165">
        <v>14</v>
      </c>
      <c r="F35" s="165">
        <v>1</v>
      </c>
      <c r="G35" s="165">
        <f t="shared" ref="G35" si="631">E35</f>
        <v>14</v>
      </c>
      <c r="H35" s="319">
        <f>F35/$D35</f>
        <v>1</v>
      </c>
      <c r="I35" s="319">
        <f>G35/$E35</f>
        <v>1</v>
      </c>
      <c r="J35" s="165">
        <v>1</v>
      </c>
      <c r="K35" s="165">
        <f>IF(J35=D35,E35,0)</f>
        <v>14</v>
      </c>
      <c r="L35" s="319">
        <f>J35/$D35</f>
        <v>1</v>
      </c>
      <c r="M35" s="319">
        <f>K35/$E35</f>
        <v>1</v>
      </c>
      <c r="N35" s="165">
        <v>1</v>
      </c>
      <c r="O35" s="165">
        <f>IF(N35=D35,E35,0)</f>
        <v>14</v>
      </c>
      <c r="P35" s="319">
        <f>N35/$D35</f>
        <v>1</v>
      </c>
      <c r="Q35" s="319">
        <f>O35/$E35</f>
        <v>1</v>
      </c>
      <c r="R35" s="165">
        <v>1</v>
      </c>
      <c r="S35" s="165">
        <f>IF(R35=D35,E35,0)</f>
        <v>14</v>
      </c>
      <c r="T35" s="319">
        <f>R35/$D35</f>
        <v>1</v>
      </c>
      <c r="U35" s="319">
        <f>S35/$E35</f>
        <v>1</v>
      </c>
      <c r="V35" s="165">
        <v>1</v>
      </c>
      <c r="W35" s="165">
        <f>IF(V35=D35,E35,0)</f>
        <v>14</v>
      </c>
      <c r="X35" s="319">
        <f>V35/$D35</f>
        <v>1</v>
      </c>
      <c r="Y35" s="319">
        <f>W35/$E35</f>
        <v>1</v>
      </c>
      <c r="Z35" s="320">
        <f>207903000/1000000000</f>
        <v>0.207903</v>
      </c>
      <c r="AA35" s="321"/>
      <c r="AB35" s="168">
        <f>IF(AA35=D35,E35,0)</f>
        <v>0</v>
      </c>
      <c r="AC35" s="322">
        <f>AA35/$D35</f>
        <v>0</v>
      </c>
      <c r="AD35" s="322">
        <f>AB35/$E35</f>
        <v>0</v>
      </c>
      <c r="AE35" s="321"/>
      <c r="AF35" s="165">
        <f>R35-V35</f>
        <v>0</v>
      </c>
      <c r="AG35" s="165"/>
      <c r="AH35" s="323"/>
      <c r="AI35" s="165">
        <v>0</v>
      </c>
      <c r="AJ35" s="165">
        <f>IF(AI35=D35,E35,0)</f>
        <v>0</v>
      </c>
      <c r="AK35" s="165"/>
      <c r="AL35" s="165">
        <v>0</v>
      </c>
      <c r="AM35" s="165">
        <v>0</v>
      </c>
      <c r="AN35" s="156"/>
      <c r="AO35" s="168">
        <v>0</v>
      </c>
      <c r="AP35" s="168">
        <f>IF(AO35=D35,E35,0)</f>
        <v>0</v>
      </c>
      <c r="AQ35" s="168">
        <f>IF(AI35=1,J35,0)</f>
        <v>0</v>
      </c>
      <c r="AR35" s="168">
        <f>IF(AQ35=1,K35,0)</f>
        <v>0</v>
      </c>
      <c r="AS35" s="168">
        <f>IF(AI35=1,N35,0)</f>
        <v>0</v>
      </c>
      <c r="AT35" s="168">
        <f>IF(AS35=1,O35,0)</f>
        <v>0</v>
      </c>
      <c r="AU35" s="168">
        <f>IF(AI35=1,R35,0)</f>
        <v>0</v>
      </c>
      <c r="AV35" s="168">
        <f>IF(AU35=1,S35,0)</f>
        <v>0</v>
      </c>
      <c r="AW35" s="168">
        <f>IF(AI35=1,V35,0)</f>
        <v>0</v>
      </c>
      <c r="AX35" s="168">
        <f>IF(AW35=1,W35,0)</f>
        <v>0</v>
      </c>
      <c r="AY35" s="168">
        <f>AU35-AW35</f>
        <v>0</v>
      </c>
      <c r="AZ35" s="168">
        <f>AV35-AX35</f>
        <v>0</v>
      </c>
      <c r="BA35" s="168">
        <f>IF(AW35=1,Z35,0)</f>
        <v>0</v>
      </c>
      <c r="BB35" s="168">
        <f>IF(AN35=1,G35,0)</f>
        <v>0</v>
      </c>
      <c r="BC35" s="324">
        <f>D35-R35-AN35-CB35</f>
        <v>0</v>
      </c>
      <c r="BE35" s="168">
        <f>IF(AF35=1,S35,0)</f>
        <v>0</v>
      </c>
      <c r="BF35" s="168">
        <f>IF(AG35="A",S35,0)</f>
        <v>0</v>
      </c>
      <c r="BG35" s="168">
        <f>IF(AG35="B",S35,0)</f>
        <v>0</v>
      </c>
      <c r="BH35" s="168">
        <f>IF(AG35="C",S35,0)</f>
        <v>0</v>
      </c>
      <c r="BI35" s="168">
        <f>IF(AG35="D",S35,0)</f>
        <v>0</v>
      </c>
      <c r="BJ35" s="168">
        <f>IF(AG35="E",S35,0)</f>
        <v>0</v>
      </c>
      <c r="BK35" s="168">
        <f>SUM(BF35:BJ35)</f>
        <v>0</v>
      </c>
      <c r="BN35" s="267"/>
      <c r="BO35" s="325"/>
      <c r="BP35" s="165"/>
      <c r="BQ35" s="165"/>
      <c r="BR35" s="165"/>
      <c r="BS35" s="165"/>
      <c r="BT35" s="165"/>
      <c r="BU35" s="165"/>
      <c r="BV35" s="165"/>
      <c r="BW35" s="165"/>
      <c r="BX35" s="165"/>
      <c r="BY35" s="165"/>
      <c r="BZ35" s="165"/>
      <c r="CB35" s="165"/>
      <c r="CD35" s="168">
        <f>BN35</f>
        <v>0</v>
      </c>
      <c r="CE35" s="168">
        <f t="shared" si="501"/>
        <v>0</v>
      </c>
      <c r="CF35" s="165">
        <f t="shared" si="502"/>
        <v>0</v>
      </c>
      <c r="CG35" s="165">
        <f t="shared" si="503"/>
        <v>0</v>
      </c>
      <c r="CH35" s="165">
        <f t="shared" si="504"/>
        <v>0</v>
      </c>
      <c r="CI35" s="165">
        <f t="shared" si="505"/>
        <v>0</v>
      </c>
      <c r="CJ35" s="165">
        <f t="shared" si="506"/>
        <v>0</v>
      </c>
      <c r="CK35" s="165">
        <f t="shared" si="507"/>
        <v>0</v>
      </c>
      <c r="CL35" s="165">
        <f t="shared" si="508"/>
        <v>0</v>
      </c>
      <c r="CM35" s="165">
        <f t="shared" si="509"/>
        <v>0</v>
      </c>
      <c r="CN35" s="165">
        <f t="shared" si="510"/>
        <v>0</v>
      </c>
      <c r="CO35" s="165">
        <f t="shared" si="511"/>
        <v>0</v>
      </c>
      <c r="CP35" s="165">
        <f t="shared" si="512"/>
        <v>0</v>
      </c>
      <c r="DV35" s="165">
        <f>IF(CB35=1,G35,0)</f>
        <v>0</v>
      </c>
      <c r="DW35" s="165">
        <f>IF(CC35="A",G35,0)</f>
        <v>0</v>
      </c>
      <c r="DX35" s="165">
        <f>IF(CC35="B",G35,0)</f>
        <v>0</v>
      </c>
      <c r="DY35" s="165">
        <f>IF(CC35="C",G35,0)</f>
        <v>0</v>
      </c>
      <c r="DZ35" s="165">
        <f>IF(CC35="D",G35,0)</f>
        <v>0</v>
      </c>
      <c r="EA35" s="165">
        <f>IF(CC35="E",G35,0)</f>
        <v>0</v>
      </c>
      <c r="EB35" s="165">
        <f>SUM(DW35:EA35)</f>
        <v>0</v>
      </c>
      <c r="EG35" s="326">
        <f>IF(AG35="C","C",IF(AG35="D","D",0))</f>
        <v>0</v>
      </c>
      <c r="EH35" s="326">
        <f>CC35</f>
        <v>0</v>
      </c>
      <c r="EI35" s="168"/>
      <c r="EJ35" s="168"/>
      <c r="EK35" s="168"/>
      <c r="EL35" s="168"/>
      <c r="EM35" s="168"/>
      <c r="EN35" s="168"/>
      <c r="EO35" s="168"/>
      <c r="EP35" s="168"/>
      <c r="EQ35" s="168"/>
      <c r="ER35" s="168"/>
      <c r="ES35" s="168"/>
      <c r="ET35" s="168"/>
      <c r="EU35" s="168"/>
      <c r="EV35" s="168"/>
      <c r="EW35" s="168"/>
      <c r="EX35" s="168"/>
      <c r="EY35" s="168"/>
      <c r="EZ35" s="168"/>
      <c r="FA35" s="168"/>
      <c r="FB35" s="168"/>
      <c r="FC35" s="168"/>
      <c r="FD35" s="168"/>
      <c r="FE35" s="168"/>
      <c r="FF35" s="168"/>
      <c r="FH35" s="168"/>
      <c r="FI35" s="168"/>
      <c r="FJ35" s="168"/>
      <c r="FK35" s="168"/>
      <c r="FL35" s="168"/>
      <c r="FM35" s="168"/>
      <c r="FN35" s="168"/>
      <c r="FO35" s="168"/>
      <c r="FP35" s="168"/>
      <c r="FQ35" s="168"/>
      <c r="FR35" s="168"/>
      <c r="FS35" s="168"/>
      <c r="FT35" s="168"/>
      <c r="FU35" s="168"/>
      <c r="FV35" s="168"/>
      <c r="FX35" s="327"/>
      <c r="FY35" s="168">
        <f>SUM(FZ35:GE35)</f>
        <v>0</v>
      </c>
      <c r="FZ35" s="168">
        <f t="shared" si="523"/>
        <v>0</v>
      </c>
      <c r="GA35" s="168">
        <f t="shared" si="524"/>
        <v>0</v>
      </c>
      <c r="GB35" s="168">
        <f t="shared" si="525"/>
        <v>0</v>
      </c>
      <c r="GC35" s="168">
        <f>DM35+CI35</f>
        <v>0</v>
      </c>
      <c r="GD35" s="168">
        <f>DO35+CK35</f>
        <v>0</v>
      </c>
      <c r="GE35" s="168">
        <f>DT35+CP35</f>
        <v>0</v>
      </c>
      <c r="GF35" s="328"/>
      <c r="GG35" s="168">
        <v>0</v>
      </c>
      <c r="GH35" s="168">
        <v>0</v>
      </c>
      <c r="GI35" s="328"/>
      <c r="GJ35" s="329">
        <f>FY35*GG35/1000000000</f>
        <v>0</v>
      </c>
      <c r="GK35" s="329">
        <f>FY35*GH35/1000000000</f>
        <v>0</v>
      </c>
      <c r="GO35" s="168">
        <f>D35-F35</f>
        <v>0</v>
      </c>
      <c r="GP35" s="168">
        <f>D35-J35</f>
        <v>0</v>
      </c>
      <c r="GQ35" s="168">
        <f>D35-N35</f>
        <v>0</v>
      </c>
      <c r="GR35" s="168">
        <f>D35-R35</f>
        <v>0</v>
      </c>
      <c r="GS35" s="168">
        <f>D35-V35</f>
        <v>0</v>
      </c>
      <c r="GT35" s="168">
        <f>IF(SUM(GO35:GS35)=0,1,0)</f>
        <v>1</v>
      </c>
      <c r="GU35" s="330">
        <f t="shared" si="157"/>
        <v>43243</v>
      </c>
      <c r="GV35" s="168" t="str">
        <f>IF(GO35&gt;0,$GO$6,IF(GP35&gt;0,$GP$6,IF(GQ35&gt;0,$GQ$6,IF(GR35&gt;0,$GR$6,IF(GS35&gt;0,$GS$6,IF(GT35&gt;0,$GT$6,0))))))</f>
        <v>SELESAI</v>
      </c>
      <c r="GW35" s="168">
        <f>IF(GV35=$GO$6,GO35,IF(GV35=$GP$6,GP35,IF(GV35=$GQ$6,GQ35,IF(GV35=$GR$6,GR35,IF(GV35=$GS$6,GS35,0)))))</f>
        <v>0</v>
      </c>
      <c r="GX35" s="331" t="str">
        <f>GV35</f>
        <v>SELESAI</v>
      </c>
      <c r="GY35" s="331">
        <f>IF(GX35="DNP",SUM($GY$4:$GY$8),IF(GX35="Survey KJPP",SUM($GY$5:$GY$8),IF(GX35="Hasil Valuasi",SUM($GY$6:$GY$8),IF(GX35="Musyawarah",SUM($GY$7:$GY$8),IF(GX35="UGR",$GY$8,0)))))</f>
        <v>0</v>
      </c>
      <c r="GZ35" s="332" t="str">
        <f>IF(GW35=0,"SELESAI",GU35+GY35)</f>
        <v>SELESAI</v>
      </c>
      <c r="HA35" s="111"/>
      <c r="HB35" s="111"/>
      <c r="HC35" s="168">
        <f>IF(BH35&gt;0,1,IF(BI35&gt;0,1,0))</f>
        <v>0</v>
      </c>
      <c r="HD35" s="168">
        <f>IF(CB35&gt;0,1,0)</f>
        <v>0</v>
      </c>
      <c r="HE35" s="168">
        <f>HC35+HD35</f>
        <v>0</v>
      </c>
      <c r="HF35" s="168">
        <f>FQ35</f>
        <v>0</v>
      </c>
      <c r="HG35" s="168">
        <f>HE35-HF35</f>
        <v>0</v>
      </c>
      <c r="HH35" s="330" t="str">
        <f>IF(HG35=1,GU35+$HH$8,"TIDAK KONSINYASI")</f>
        <v>TIDAK KONSINYASI</v>
      </c>
      <c r="HI35" s="330" t="str">
        <f>IF(GW35=0,"SELESAI",GZ35+$HI$8)</f>
        <v>SELESAI</v>
      </c>
      <c r="HJ35" s="333"/>
      <c r="HK35" s="330">
        <f>MAX(GZ35,HH35,HI35)</f>
        <v>0</v>
      </c>
      <c r="HL35" s="111"/>
      <c r="HM35" s="111"/>
      <c r="HN35" s="111"/>
      <c r="HO35" s="111"/>
      <c r="HP35" s="332">
        <f>IF(HQ35=1,GZ35,0)</f>
        <v>0</v>
      </c>
      <c r="HQ35" s="331">
        <f>IF(IX35=0,IF(HT35=0,IF(IP35=0,IF(GV35="UGR",GS35,0),0),0),0)</f>
        <v>0</v>
      </c>
      <c r="HR35" s="331">
        <f>IF(HQ35=1,E35,0)</f>
        <v>0</v>
      </c>
      <c r="HS35" s="332">
        <f>IF(HT35=1,HH35,0)</f>
        <v>0</v>
      </c>
      <c r="HT35" s="331">
        <f>HG35</f>
        <v>0</v>
      </c>
      <c r="HU35" s="331">
        <f>IF(HT35=1,E35,0)</f>
        <v>0</v>
      </c>
      <c r="HV35" s="332">
        <f>IF(HW35=1,GZ35,0)</f>
        <v>0</v>
      </c>
      <c r="HW35" s="331">
        <f>IF(JB35=0,IF(IX35=0,IF(HT35=0,IF(GV35="MUSYAWARAH",GR35,0),0),0),0)</f>
        <v>0</v>
      </c>
      <c r="HX35" s="331">
        <f>IF(HW35=1,E35,0)</f>
        <v>0</v>
      </c>
      <c r="HY35" s="332">
        <f>IF(HZ35=1,HV35+$HI$8,0)</f>
        <v>0</v>
      </c>
      <c r="HZ35" s="331">
        <f>HW35</f>
        <v>0</v>
      </c>
      <c r="IA35" s="331">
        <f>IF(HZ35=1,E35,0)</f>
        <v>0</v>
      </c>
      <c r="IB35" s="332">
        <f>IF(IC35=1,$GU$3+SUM($GY$6:$GY$8),0)</f>
        <v>0</v>
      </c>
      <c r="IC35" s="331">
        <f>IF(GV35="Hasil Valuasi",GQ35,0)</f>
        <v>0</v>
      </c>
      <c r="ID35" s="331">
        <f>IF(IC35=1,E35,0)</f>
        <v>0</v>
      </c>
      <c r="IE35" s="332">
        <f>IF(IF35=1,IB35+$HI$8,0)</f>
        <v>0</v>
      </c>
      <c r="IF35" s="331">
        <f>IC35</f>
        <v>0</v>
      </c>
      <c r="IG35" s="331">
        <f>IF(IF35=1,E35,0)</f>
        <v>0</v>
      </c>
      <c r="IH35" s="332">
        <f>IF(II35=1,$GU$3+SUM($GY$5:$GY$8),0)</f>
        <v>0</v>
      </c>
      <c r="II35" s="331">
        <f>IF(GV35="Survey KJPP",GP35,0)</f>
        <v>0</v>
      </c>
      <c r="IJ35" s="331">
        <f>IF(II35=1,E35,0)</f>
        <v>0</v>
      </c>
      <c r="IK35" s="332">
        <f>IF(IL35=1,IH35+$HI$8,0)</f>
        <v>0</v>
      </c>
      <c r="IL35" s="331">
        <f>II35</f>
        <v>0</v>
      </c>
      <c r="IM35" s="331">
        <f>IF(IL35=1,E35,0)</f>
        <v>0</v>
      </c>
      <c r="IN35" s="111"/>
      <c r="IO35" s="332">
        <f>IF(IP35=1,+$GU$3+$HH$8,0)</f>
        <v>0</v>
      </c>
      <c r="IP35" s="331">
        <f>IF(BG35&gt;0,1,0)</f>
        <v>0</v>
      </c>
      <c r="IQ35" s="331">
        <f>IF(IP35=1,E35,0)</f>
        <v>0</v>
      </c>
      <c r="IR35" s="111"/>
      <c r="IS35" s="332"/>
      <c r="IT35" s="331">
        <f t="shared" si="577"/>
        <v>1</v>
      </c>
      <c r="IU35" s="331">
        <f t="shared" si="578"/>
        <v>14</v>
      </c>
      <c r="IV35" s="111"/>
      <c r="IW35" s="332"/>
      <c r="IX35" s="331">
        <f t="shared" si="579"/>
        <v>0</v>
      </c>
      <c r="IY35" s="331">
        <f t="shared" si="580"/>
        <v>0</v>
      </c>
      <c r="IZ35" s="111"/>
      <c r="JA35" s="332"/>
      <c r="JB35" s="331">
        <f>AN35</f>
        <v>0</v>
      </c>
      <c r="JC35" s="331">
        <f>BB35</f>
        <v>0</v>
      </c>
      <c r="JD35" s="111"/>
      <c r="JE35" s="332"/>
      <c r="JF35" s="331">
        <f>IT35+HQ35+HT35+HZ35+IF35+IL35+IP35+IX35+JB35</f>
        <v>1</v>
      </c>
      <c r="JG35" s="331">
        <f>IU35+HR35+HU35+IA35+IG35+IM35+IQ35+IY35+JC35</f>
        <v>14</v>
      </c>
      <c r="JH35" s="111"/>
      <c r="JI35" s="332"/>
      <c r="JJ35" s="331">
        <f t="shared" si="585"/>
        <v>0</v>
      </c>
      <c r="JK35" s="331">
        <f t="shared" si="586"/>
        <v>0</v>
      </c>
      <c r="JM35" s="332">
        <f>MAX(IW35,IS35,IO35,IK35,IE35,HY35,HS35,HP35)</f>
        <v>0</v>
      </c>
      <c r="JO35" s="324">
        <f>SUM(JQ35:KB35)</f>
        <v>0</v>
      </c>
      <c r="JP35" s="334">
        <f>BN35+CR35</f>
        <v>0</v>
      </c>
      <c r="JQ35" s="334">
        <f t="shared" si="590"/>
        <v>0</v>
      </c>
      <c r="JR35" s="334">
        <f t="shared" si="591"/>
        <v>0</v>
      </c>
      <c r="JS35" s="334">
        <f t="shared" si="592"/>
        <v>0</v>
      </c>
      <c r="JT35" s="334">
        <f t="shared" si="593"/>
        <v>0</v>
      </c>
      <c r="JU35" s="334">
        <f t="shared" si="594"/>
        <v>0</v>
      </c>
      <c r="JV35" s="334">
        <f t="shared" si="595"/>
        <v>0</v>
      </c>
      <c r="JW35" s="334">
        <f t="shared" si="596"/>
        <v>0</v>
      </c>
      <c r="JX35" s="334">
        <f t="shared" si="597"/>
        <v>0</v>
      </c>
      <c r="JY35" s="334">
        <f t="shared" si="598"/>
        <v>0</v>
      </c>
      <c r="JZ35" s="334">
        <f t="shared" si="599"/>
        <v>0</v>
      </c>
      <c r="KA35" s="334">
        <f t="shared" si="600"/>
        <v>0</v>
      </c>
      <c r="KB35" s="334">
        <f t="shared" si="601"/>
        <v>0</v>
      </c>
      <c r="KD35" s="334">
        <f t="shared" ref="KD35" si="632">IF(IF(SUM(GA35:GE35)&gt;100,1,0)+IF(FX35=1,1,0)=2,1,0)</f>
        <v>0</v>
      </c>
      <c r="KE35" s="334">
        <f t="shared" si="603"/>
        <v>0</v>
      </c>
      <c r="KF35" s="334">
        <f t="shared" si="604"/>
        <v>0</v>
      </c>
      <c r="KG35" s="334">
        <f t="shared" si="605"/>
        <v>0</v>
      </c>
      <c r="KH35" s="334">
        <f t="shared" si="606"/>
        <v>0</v>
      </c>
      <c r="KI35" s="334">
        <f t="shared" si="607"/>
        <v>0</v>
      </c>
      <c r="KJ35" s="334">
        <f t="shared" si="608"/>
        <v>0</v>
      </c>
      <c r="KK35" s="334">
        <f t="shared" si="609"/>
        <v>0</v>
      </c>
      <c r="KL35" s="334">
        <f t="shared" si="610"/>
        <v>0</v>
      </c>
      <c r="KM35" s="334">
        <f t="shared" si="611"/>
        <v>0</v>
      </c>
      <c r="KN35" s="335">
        <f t="shared" si="612"/>
        <v>0</v>
      </c>
      <c r="KO35" s="335">
        <f t="shared" si="613"/>
        <v>0</v>
      </c>
      <c r="KP35" s="335">
        <f t="shared" si="614"/>
        <v>0</v>
      </c>
      <c r="KQ35" s="335">
        <f t="shared" si="615"/>
        <v>0</v>
      </c>
      <c r="KR35" s="335">
        <f t="shared" si="616"/>
        <v>0</v>
      </c>
      <c r="KT35" s="109">
        <f>AN35</f>
        <v>0</v>
      </c>
      <c r="KU35" s="335"/>
      <c r="KV35" s="335"/>
      <c r="KW35" s="335"/>
      <c r="KX35" s="335"/>
      <c r="KY35" s="335"/>
      <c r="KZ35" s="335"/>
      <c r="LA35" s="335"/>
      <c r="LB35" s="335"/>
      <c r="LC35" s="335"/>
      <c r="LD35" s="335"/>
      <c r="LE35" s="335"/>
      <c r="LF35" s="335"/>
      <c r="LG35" s="335"/>
      <c r="LH35" s="335"/>
      <c r="LI35" s="335"/>
      <c r="LJ35" s="335"/>
      <c r="LK35" s="335"/>
      <c r="LL35" s="335"/>
      <c r="LM35" s="335"/>
      <c r="LN35" s="335"/>
      <c r="LO35" s="335"/>
      <c r="LP35" s="335"/>
      <c r="LQ35" s="335"/>
      <c r="LR35" s="335"/>
      <c r="LS35" s="335"/>
      <c r="LT35" s="335"/>
      <c r="LU35" s="335"/>
      <c r="LV35" s="335"/>
      <c r="LW35" s="335"/>
      <c r="LX35" s="335"/>
      <c r="LY35" s="335"/>
      <c r="LZ35" s="335"/>
      <c r="MA35" s="335"/>
      <c r="MB35" s="335"/>
      <c r="MC35" s="335"/>
      <c r="MD35" s="335"/>
      <c r="ME35" s="335"/>
      <c r="MF35" s="335"/>
      <c r="MG35" s="335"/>
      <c r="MH35" s="335"/>
      <c r="MI35" s="335"/>
      <c r="MJ35" s="335"/>
      <c r="MK35" s="335"/>
      <c r="ML35" s="335"/>
      <c r="MM35" s="335"/>
      <c r="MN35" s="335"/>
      <c r="MO35" s="335"/>
      <c r="MP35" s="335"/>
      <c r="MQ35" s="335"/>
      <c r="MR35" s="335"/>
      <c r="MS35" s="335"/>
      <c r="MT35" s="335"/>
      <c r="MU35" s="335"/>
      <c r="MV35" s="335"/>
      <c r="MW35" s="335"/>
      <c r="MX35" s="335"/>
      <c r="MY35" s="335"/>
      <c r="MZ35" s="335"/>
      <c r="NA35" s="335"/>
      <c r="NB35" s="335"/>
      <c r="NC35" s="335"/>
      <c r="ND35" s="335"/>
      <c r="NE35" s="335"/>
      <c r="NF35" s="335"/>
      <c r="NG35" s="335"/>
      <c r="NH35" s="335"/>
      <c r="NI35" s="335"/>
      <c r="NJ35" s="335"/>
      <c r="NK35" s="335"/>
      <c r="NM35" s="109">
        <f>IF(KS35=1,1,0)</f>
        <v>0</v>
      </c>
      <c r="NN35" s="109">
        <f>IF(KS35=2,1,0)</f>
        <v>0</v>
      </c>
      <c r="NO35" s="109">
        <f>IF(KS35=3,1,0)</f>
        <v>0</v>
      </c>
      <c r="NP35" s="109">
        <f>IF(KS35=4,1,0)</f>
        <v>0</v>
      </c>
      <c r="NQ35" s="109">
        <f>IF(KS35=5,1,0)</f>
        <v>0</v>
      </c>
      <c r="NR35" s="109">
        <f>IF(KS35=6,1,0)</f>
        <v>0</v>
      </c>
      <c r="NS35" s="109">
        <f>IF(KS35=7,1,0)</f>
        <v>0</v>
      </c>
      <c r="NT35" s="109">
        <f>SUM(NM35:NS35)</f>
        <v>0</v>
      </c>
      <c r="NU35" s="324">
        <f>NT35-KT35</f>
        <v>0</v>
      </c>
      <c r="NY35" s="324">
        <f>V35</f>
        <v>1</v>
      </c>
      <c r="NZ35" s="336">
        <f>120400000/14</f>
        <v>8600000</v>
      </c>
      <c r="OE35" s="337">
        <f>D35-J35</f>
        <v>0</v>
      </c>
      <c r="OF35" s="337">
        <f>D35-N35</f>
        <v>0</v>
      </c>
      <c r="OG35" s="337">
        <f>AN35</f>
        <v>0</v>
      </c>
      <c r="OH35" s="337">
        <f>HE35</f>
        <v>0</v>
      </c>
      <c r="OI35" s="337">
        <f>D35-R35</f>
        <v>0</v>
      </c>
      <c r="OJ35" s="328">
        <f>IF(OG35=1,OF35,0)</f>
        <v>0</v>
      </c>
      <c r="OK35" s="328">
        <f>IF(OH35=1,OF35,0)</f>
        <v>0</v>
      </c>
      <c r="OL35" s="328">
        <f>IF((OG35+OH35)=0,OF35,0)</f>
        <v>0</v>
      </c>
      <c r="OM35" s="328">
        <f>SUM(OJ35:OL35)</f>
        <v>0</v>
      </c>
      <c r="OO35" s="337">
        <f>E35-K35</f>
        <v>0</v>
      </c>
      <c r="OP35" s="337">
        <f>E35-O35</f>
        <v>0</v>
      </c>
      <c r="OQ35" s="337">
        <f t="shared" ref="OQ35" si="633">OG35</f>
        <v>0</v>
      </c>
      <c r="OR35" s="337">
        <f t="shared" ref="OR35" si="634">OH35</f>
        <v>0</v>
      </c>
      <c r="OS35" s="337">
        <f t="shared" ref="OS35" si="635">OI35</f>
        <v>0</v>
      </c>
      <c r="OT35" s="328">
        <f>IF(OQ35=1,OP35,0)</f>
        <v>0</v>
      </c>
      <c r="OU35" s="328">
        <f>IF(OR35=1,OP35,0)</f>
        <v>0</v>
      </c>
      <c r="OV35" s="328">
        <f>IF((OQ35+OR35)=0,OP35,0)</f>
        <v>0</v>
      </c>
      <c r="OW35" s="328">
        <f>SUM(OT35:OV35)</f>
        <v>0</v>
      </c>
      <c r="PA35" s="171"/>
      <c r="PB35" s="171"/>
      <c r="PC35" s="171"/>
      <c r="PD35" s="338">
        <f t="shared" ref="PD35" si="636">PB35-PC35</f>
        <v>0</v>
      </c>
      <c r="PE35" s="338"/>
      <c r="PF35" s="338">
        <f t="shared" ref="PF35" si="637">PD35-PE35</f>
        <v>0</v>
      </c>
      <c r="PG35" s="338">
        <f t="shared" ref="PG35" si="638">IF(PA35=1,$BB35,0)</f>
        <v>0</v>
      </c>
      <c r="PH35" s="338">
        <f t="shared" ref="PH35" si="639">IF(PB35=1,$BB35,0)</f>
        <v>0</v>
      </c>
      <c r="PI35" s="338">
        <f t="shared" ref="PI35" si="640">IF(PC35=1,$BB35,0)</f>
        <v>0</v>
      </c>
      <c r="PJ35" s="338">
        <f t="shared" ref="PJ35" si="641">IF(PD35=1,$BB35,0)</f>
        <v>0</v>
      </c>
      <c r="PK35" s="338">
        <f t="shared" ref="PK35" si="642">IF(PE35=1,$BB35,0)</f>
        <v>0</v>
      </c>
      <c r="PL35" s="338">
        <f t="shared" ref="PL35" si="643">IF(PF35=1,$BB35,0)</f>
        <v>0</v>
      </c>
      <c r="PO35" s="339">
        <f t="shared" si="628"/>
        <v>0</v>
      </c>
      <c r="PP35" s="339">
        <f t="shared" si="629"/>
        <v>0</v>
      </c>
      <c r="PQ35" s="339">
        <f t="shared" si="630"/>
        <v>0</v>
      </c>
    </row>
    <row r="36" spans="1:433 16383:16384" ht="16" x14ac:dyDescent="0.2">
      <c r="A36" s="21"/>
      <c r="B36" s="22" t="s">
        <v>18</v>
      </c>
      <c r="C36" s="22"/>
      <c r="D36" s="23">
        <f>SUM(D9:D35)</f>
        <v>26</v>
      </c>
      <c r="E36" s="23">
        <f>SUM(E9:E35)</f>
        <v>6687</v>
      </c>
      <c r="F36" s="310">
        <f>SUM(F9:F35)</f>
        <v>26</v>
      </c>
      <c r="G36" s="310">
        <f>SUM(G9:G35)</f>
        <v>6687</v>
      </c>
      <c r="H36" s="311">
        <f t="shared" ref="H36" si="644">F36/$D36</f>
        <v>1</v>
      </c>
      <c r="I36" s="311">
        <f t="shared" ref="I36" si="645">G36/$E36</f>
        <v>1</v>
      </c>
      <c r="J36" s="310">
        <f>SUM(J9:J35)</f>
        <v>26</v>
      </c>
      <c r="K36" s="310">
        <f>SUM(K9:K35)</f>
        <v>6687</v>
      </c>
      <c r="L36" s="311">
        <f t="shared" si="5"/>
        <v>1</v>
      </c>
      <c r="M36" s="311">
        <f t="shared" si="6"/>
        <v>1</v>
      </c>
      <c r="N36" s="310">
        <f>SUM(N9:N35)</f>
        <v>26</v>
      </c>
      <c r="O36" s="310">
        <f>SUM(O9:O35)</f>
        <v>6687</v>
      </c>
      <c r="P36" s="24">
        <f t="shared" si="8"/>
        <v>1</v>
      </c>
      <c r="Q36" s="24">
        <f t="shared" si="9"/>
        <v>1</v>
      </c>
      <c r="R36" s="23">
        <f>SUM(R9:R35)</f>
        <v>20</v>
      </c>
      <c r="S36" s="23">
        <f>SUM(S9:S35)</f>
        <v>3794</v>
      </c>
      <c r="T36" s="24">
        <f t="shared" ref="T36" si="646">R36/$D36</f>
        <v>0.76923076923076927</v>
      </c>
      <c r="U36" s="24">
        <f t="shared" ref="U36" si="647">S36/$E36</f>
        <v>0.56736952295498733</v>
      </c>
      <c r="V36" s="23">
        <f>SUM(V9:V35)</f>
        <v>20</v>
      </c>
      <c r="W36" s="23">
        <f>SUM(W9:W35)</f>
        <v>3794</v>
      </c>
      <c r="X36" s="24">
        <f t="shared" ref="X36" si="648">V36/$D36</f>
        <v>0.76923076923076927</v>
      </c>
      <c r="Y36" s="24">
        <f t="shared" ref="Y36" si="649">W36/$E36</f>
        <v>0.56736952295498733</v>
      </c>
      <c r="Z36" s="39">
        <f>SUM(Z9:Z35)</f>
        <v>41.909229999999994</v>
      </c>
      <c r="AA36" s="23">
        <f>SUM(AA9:AA35)</f>
        <v>1</v>
      </c>
      <c r="AB36" s="23">
        <f>SUM(AB9:AB35)</f>
        <v>1498</v>
      </c>
      <c r="AC36" s="24">
        <f t="shared" ref="AC36" si="650">AA36/$D36</f>
        <v>3.8461538461538464E-2</v>
      </c>
      <c r="AD36" s="24">
        <f t="shared" ref="AD36" si="651">AB36/$E36</f>
        <v>0.22401674891580678</v>
      </c>
      <c r="AE36" s="39">
        <f>SUM(AE9:AE35)</f>
        <v>43.127180799999998</v>
      </c>
      <c r="AF36" s="23">
        <f>SUM(AF9:AF35)</f>
        <v>0</v>
      </c>
      <c r="AG36" s="23"/>
      <c r="AH36" s="23"/>
      <c r="AI36" s="23">
        <f>SUM(AI9:AI35)</f>
        <v>4</v>
      </c>
      <c r="AJ36" s="23">
        <f>SUM(AJ9:AJ35)</f>
        <v>2065</v>
      </c>
      <c r="AK36" s="23"/>
      <c r="AL36" s="23">
        <f t="shared" ref="AL36:BB36" si="652">SUM(AL9:AL35)</f>
        <v>0</v>
      </c>
      <c r="AM36" s="23">
        <f t="shared" si="652"/>
        <v>0</v>
      </c>
      <c r="AN36" s="23">
        <f t="shared" si="652"/>
        <v>5</v>
      </c>
      <c r="AO36" s="23">
        <f t="shared" si="652"/>
        <v>4</v>
      </c>
      <c r="AP36" s="23">
        <f t="shared" si="652"/>
        <v>2065</v>
      </c>
      <c r="AQ36" s="23">
        <f t="shared" si="652"/>
        <v>4</v>
      </c>
      <c r="AR36" s="23">
        <f t="shared" si="652"/>
        <v>2065</v>
      </c>
      <c r="AS36" s="23">
        <f t="shared" si="652"/>
        <v>4</v>
      </c>
      <c r="AT36" s="23">
        <f t="shared" si="652"/>
        <v>2065</v>
      </c>
      <c r="AU36" s="23">
        <f t="shared" si="652"/>
        <v>2</v>
      </c>
      <c r="AV36" s="23">
        <f t="shared" si="652"/>
        <v>1203</v>
      </c>
      <c r="AW36" s="23">
        <f t="shared" si="652"/>
        <v>2</v>
      </c>
      <c r="AX36" s="23">
        <f t="shared" si="652"/>
        <v>1203</v>
      </c>
      <c r="AY36" s="23">
        <f t="shared" si="652"/>
        <v>0</v>
      </c>
      <c r="AZ36" s="23">
        <f t="shared" si="652"/>
        <v>0</v>
      </c>
      <c r="BA36" s="23">
        <f t="shared" si="652"/>
        <v>8.3505040000000008</v>
      </c>
      <c r="BB36" s="23">
        <f t="shared" si="652"/>
        <v>1395</v>
      </c>
      <c r="BC36" s="29">
        <f t="shared" si="147"/>
        <v>0</v>
      </c>
      <c r="BE36" s="23">
        <f t="shared" ref="BE36:BK36" si="653">SUM(BE9:BE35)</f>
        <v>0</v>
      </c>
      <c r="BF36" s="23">
        <f t="shared" si="653"/>
        <v>0</v>
      </c>
      <c r="BG36" s="23">
        <f t="shared" si="653"/>
        <v>0</v>
      </c>
      <c r="BH36" s="23">
        <f t="shared" si="653"/>
        <v>0</v>
      </c>
      <c r="BI36" s="23">
        <f t="shared" si="653"/>
        <v>0</v>
      </c>
      <c r="BJ36" s="23">
        <f t="shared" si="653"/>
        <v>0</v>
      </c>
      <c r="BK36" s="23">
        <f t="shared" si="653"/>
        <v>0</v>
      </c>
      <c r="BN36" s="23">
        <f t="shared" ref="BN36:BZ36" si="654">SUM(BN9:BN35)</f>
        <v>219</v>
      </c>
      <c r="BO36" s="23">
        <f t="shared" si="654"/>
        <v>8</v>
      </c>
      <c r="BP36" s="23">
        <f t="shared" si="654"/>
        <v>0</v>
      </c>
      <c r="BQ36" s="23">
        <f t="shared" si="654"/>
        <v>0</v>
      </c>
      <c r="BR36" s="23">
        <f t="shared" si="654"/>
        <v>0</v>
      </c>
      <c r="BS36" s="23">
        <f t="shared" si="654"/>
        <v>0</v>
      </c>
      <c r="BT36" s="23">
        <f t="shared" si="654"/>
        <v>0</v>
      </c>
      <c r="BU36" s="23">
        <f t="shared" si="654"/>
        <v>0</v>
      </c>
      <c r="BV36" s="23">
        <f t="shared" si="654"/>
        <v>0</v>
      </c>
      <c r="BW36" s="23">
        <f t="shared" si="654"/>
        <v>0</v>
      </c>
      <c r="BX36" s="23">
        <f t="shared" si="654"/>
        <v>0</v>
      </c>
      <c r="BY36" s="23">
        <f t="shared" si="654"/>
        <v>0</v>
      </c>
      <c r="BZ36" s="23">
        <f t="shared" si="654"/>
        <v>0</v>
      </c>
      <c r="CB36" s="23">
        <f>SUM(CB9:CB35)</f>
        <v>1</v>
      </c>
      <c r="CD36" s="23">
        <f t="shared" ref="CD36:CP36" si="655">SUM(CD9:CD35)</f>
        <v>219</v>
      </c>
      <c r="CE36" s="23">
        <f t="shared" si="655"/>
        <v>219</v>
      </c>
      <c r="CF36" s="23">
        <f t="shared" si="655"/>
        <v>0</v>
      </c>
      <c r="CG36" s="23">
        <f t="shared" si="655"/>
        <v>0</v>
      </c>
      <c r="CH36" s="23">
        <f t="shared" si="655"/>
        <v>0</v>
      </c>
      <c r="CI36" s="23">
        <f t="shared" si="655"/>
        <v>0</v>
      </c>
      <c r="CJ36" s="23">
        <f t="shared" si="655"/>
        <v>0</v>
      </c>
      <c r="CK36" s="23">
        <f t="shared" si="655"/>
        <v>0</v>
      </c>
      <c r="CL36" s="23">
        <f t="shared" si="655"/>
        <v>0</v>
      </c>
      <c r="CM36" s="23">
        <f t="shared" si="655"/>
        <v>0</v>
      </c>
      <c r="CN36" s="23">
        <f t="shared" si="655"/>
        <v>0</v>
      </c>
      <c r="CO36" s="23">
        <f t="shared" si="655"/>
        <v>0</v>
      </c>
      <c r="CP36" s="23">
        <f t="shared" si="655"/>
        <v>0</v>
      </c>
      <c r="DV36" s="23">
        <f t="shared" ref="DV36:EB36" si="656">SUM(DV9:DV35)</f>
        <v>1498</v>
      </c>
      <c r="DW36" s="23">
        <f t="shared" si="656"/>
        <v>0</v>
      </c>
      <c r="DX36" s="23">
        <f t="shared" si="656"/>
        <v>0</v>
      </c>
      <c r="DY36" s="23">
        <f t="shared" si="656"/>
        <v>0</v>
      </c>
      <c r="DZ36" s="23">
        <f t="shared" si="656"/>
        <v>0</v>
      </c>
      <c r="EA36" s="23">
        <f t="shared" si="656"/>
        <v>1498</v>
      </c>
      <c r="EB36" s="23">
        <f t="shared" si="656"/>
        <v>1498</v>
      </c>
      <c r="EG36" s="58">
        <f>COUNTIF(EG9:EG35,"&gt;&lt;0")</f>
        <v>0</v>
      </c>
      <c r="EH36" s="58">
        <f>COUNTIF(EH9:EH35,"&gt;&lt;0")</f>
        <v>1</v>
      </c>
      <c r="EI36" s="23">
        <f t="shared" ref="EI36:FF36" si="657">SUM(EI9:EI35)</f>
        <v>1</v>
      </c>
      <c r="EJ36" s="23">
        <f t="shared" si="657"/>
        <v>1</v>
      </c>
      <c r="EK36" s="23">
        <f t="shared" si="657"/>
        <v>0</v>
      </c>
      <c r="EL36" s="23">
        <f t="shared" si="657"/>
        <v>0</v>
      </c>
      <c r="EM36" s="23">
        <f t="shared" si="657"/>
        <v>0</v>
      </c>
      <c r="EN36" s="23">
        <f t="shared" si="657"/>
        <v>0</v>
      </c>
      <c r="EO36" s="23">
        <f t="shared" si="657"/>
        <v>0</v>
      </c>
      <c r="EP36" s="23">
        <f t="shared" si="657"/>
        <v>0</v>
      </c>
      <c r="EQ36" s="23">
        <f t="shared" si="657"/>
        <v>1</v>
      </c>
      <c r="ER36" s="23">
        <f t="shared" si="657"/>
        <v>1</v>
      </c>
      <c r="ES36" s="23">
        <f t="shared" si="657"/>
        <v>1</v>
      </c>
      <c r="ET36" s="23">
        <f t="shared" si="657"/>
        <v>0</v>
      </c>
      <c r="EU36" s="23">
        <f t="shared" si="657"/>
        <v>0</v>
      </c>
      <c r="EV36" s="23">
        <f t="shared" si="657"/>
        <v>1</v>
      </c>
      <c r="EW36" s="23">
        <f t="shared" si="657"/>
        <v>0</v>
      </c>
      <c r="EX36" s="23">
        <f t="shared" si="657"/>
        <v>0</v>
      </c>
      <c r="EY36" s="23">
        <f t="shared" si="657"/>
        <v>0</v>
      </c>
      <c r="EZ36" s="23">
        <f t="shared" si="657"/>
        <v>1</v>
      </c>
      <c r="FA36" s="23">
        <f t="shared" si="657"/>
        <v>1</v>
      </c>
      <c r="FB36" s="23">
        <f t="shared" si="657"/>
        <v>0</v>
      </c>
      <c r="FC36" s="23">
        <f t="shared" si="657"/>
        <v>1</v>
      </c>
      <c r="FD36" s="23">
        <f t="shared" si="657"/>
        <v>0</v>
      </c>
      <c r="FE36" s="23">
        <f t="shared" si="657"/>
        <v>0</v>
      </c>
      <c r="FF36" s="23">
        <f t="shared" si="657"/>
        <v>0</v>
      </c>
      <c r="FH36" s="23">
        <f t="shared" ref="FH36:FV36" si="658">SUM(FH9:FH35)</f>
        <v>0</v>
      </c>
      <c r="FI36" s="23">
        <f t="shared" si="658"/>
        <v>0</v>
      </c>
      <c r="FJ36" s="23">
        <f t="shared" si="658"/>
        <v>0</v>
      </c>
      <c r="FK36" s="23">
        <f t="shared" si="658"/>
        <v>0</v>
      </c>
      <c r="FL36" s="23">
        <f t="shared" si="658"/>
        <v>0</v>
      </c>
      <c r="FM36" s="23">
        <f t="shared" si="658"/>
        <v>0</v>
      </c>
      <c r="FN36" s="23">
        <f t="shared" si="658"/>
        <v>0</v>
      </c>
      <c r="FO36" s="23">
        <f t="shared" si="658"/>
        <v>0</v>
      </c>
      <c r="FP36" s="23">
        <f t="shared" si="658"/>
        <v>0</v>
      </c>
      <c r="FQ36" s="23">
        <f t="shared" si="658"/>
        <v>0</v>
      </c>
      <c r="FR36" s="23">
        <f t="shared" si="658"/>
        <v>0</v>
      </c>
      <c r="FS36" s="23">
        <f t="shared" si="658"/>
        <v>0</v>
      </c>
      <c r="FT36" s="23">
        <f t="shared" si="658"/>
        <v>0</v>
      </c>
      <c r="FU36" s="23">
        <f t="shared" si="658"/>
        <v>0</v>
      </c>
      <c r="FV36" s="23">
        <f t="shared" si="658"/>
        <v>0</v>
      </c>
      <c r="FX36" s="23">
        <f t="shared" ref="FX36:GE36" si="659">SUM(FX9:FX35)</f>
        <v>8</v>
      </c>
      <c r="FY36" s="23">
        <f t="shared" si="659"/>
        <v>219</v>
      </c>
      <c r="FZ36" s="23">
        <f t="shared" si="659"/>
        <v>219</v>
      </c>
      <c r="GA36" s="23">
        <f t="shared" si="659"/>
        <v>0</v>
      </c>
      <c r="GB36" s="23">
        <f t="shared" si="659"/>
        <v>0</v>
      </c>
      <c r="GC36" s="23">
        <f t="shared" si="659"/>
        <v>0</v>
      </c>
      <c r="GD36" s="23">
        <f t="shared" si="659"/>
        <v>0</v>
      </c>
      <c r="GE36" s="23">
        <f t="shared" si="659"/>
        <v>0</v>
      </c>
      <c r="GG36" s="23">
        <f>SUM(GG9:GG35)</f>
        <v>0</v>
      </c>
      <c r="GH36" s="23">
        <f>SUM(GH9:GH35)</f>
        <v>0</v>
      </c>
      <c r="GJ36" s="39">
        <f>SUM(GJ9:GJ35)</f>
        <v>0</v>
      </c>
      <c r="GK36" s="39">
        <f>SUM(GK9:GK35)</f>
        <v>0</v>
      </c>
      <c r="GO36" s="103">
        <f t="shared" ref="GO36:GT36" si="660">SUM(GO9:GO35)</f>
        <v>0</v>
      </c>
      <c r="GP36" s="103">
        <f t="shared" si="660"/>
        <v>0</v>
      </c>
      <c r="GQ36" s="103">
        <f t="shared" si="660"/>
        <v>0</v>
      </c>
      <c r="GR36" s="103">
        <f t="shared" si="660"/>
        <v>6</v>
      </c>
      <c r="GS36" s="103">
        <f t="shared" si="660"/>
        <v>6</v>
      </c>
      <c r="GT36" s="103">
        <f t="shared" si="660"/>
        <v>20</v>
      </c>
      <c r="GU36" s="103">
        <f>COUNTA(GU9:GU35)</f>
        <v>26</v>
      </c>
      <c r="GV36" s="103">
        <f>COUNTA(GV9:GV35)</f>
        <v>26</v>
      </c>
      <c r="GW36" s="103">
        <f>SUM(GW9:GW35)</f>
        <v>6</v>
      </c>
      <c r="GX36" s="103">
        <f>COUNTA(GX9:GX35)</f>
        <v>26</v>
      </c>
      <c r="GY36" s="103"/>
      <c r="GZ36" s="103">
        <f>COUNTA(GZ9:GZ35)</f>
        <v>26</v>
      </c>
      <c r="HA36" s="83"/>
      <c r="HB36" s="83"/>
      <c r="HC36" s="103">
        <f>SUM(HC9:HC35)</f>
        <v>0</v>
      </c>
      <c r="HD36" s="103">
        <f>SUM(HD9:HD35)</f>
        <v>1</v>
      </c>
      <c r="HE36" s="103">
        <f>SUM(HE9:HE35)</f>
        <v>1</v>
      </c>
      <c r="HF36" s="103">
        <f>SUM(HF9:HF35)</f>
        <v>0</v>
      </c>
      <c r="HG36" s="103">
        <f>SUM(HG9:HG35)</f>
        <v>1</v>
      </c>
      <c r="HH36" s="103">
        <f>COUNTA(HH9:HH35)</f>
        <v>26</v>
      </c>
      <c r="HI36" s="103">
        <f>COUNTA(HI9:HI35)</f>
        <v>26</v>
      </c>
      <c r="HJ36" s="83"/>
      <c r="HK36" s="103">
        <f>COUNTA(HK9:HK35)</f>
        <v>26</v>
      </c>
      <c r="HL36" s="83"/>
      <c r="HM36" s="83"/>
      <c r="HN36" s="83"/>
      <c r="HO36" s="83"/>
      <c r="HP36" s="104">
        <f>HP38</f>
        <v>43257</v>
      </c>
      <c r="HQ36" s="103">
        <f>SUM(HQ9:HQ35)</f>
        <v>0</v>
      </c>
      <c r="HR36" s="103">
        <f>SUM(HR9:HR35)</f>
        <v>0</v>
      </c>
      <c r="HS36" s="104">
        <f>HS38</f>
        <v>43288</v>
      </c>
      <c r="HT36" s="103">
        <f>SUM(HT9:HT35)</f>
        <v>1</v>
      </c>
      <c r="HU36" s="103">
        <f>SUM(HU9:HU35)</f>
        <v>1498</v>
      </c>
      <c r="HV36" s="104">
        <f>HV38</f>
        <v>43267</v>
      </c>
      <c r="HW36" s="103">
        <f>SUM(HW9:HW35)</f>
        <v>0</v>
      </c>
      <c r="HX36" s="103">
        <f>SUM(HX9:HX35)</f>
        <v>0</v>
      </c>
      <c r="HY36" s="104">
        <f>HY38</f>
        <v>43312</v>
      </c>
      <c r="HZ36" s="103">
        <f>SUM(HZ9:HZ35)</f>
        <v>0</v>
      </c>
      <c r="IA36" s="103">
        <f>SUM(IA9:IA35)</f>
        <v>0</v>
      </c>
      <c r="IB36" s="104">
        <f>IB38</f>
        <v>43277</v>
      </c>
      <c r="IC36" s="103">
        <f>SUM(IC9:IC35)</f>
        <v>0</v>
      </c>
      <c r="ID36" s="103">
        <f>SUM(ID9:ID35)</f>
        <v>0</v>
      </c>
      <c r="IE36" s="104">
        <f>IE38</f>
        <v>43322</v>
      </c>
      <c r="IF36" s="103">
        <f>SUM(IF9:IF35)</f>
        <v>0</v>
      </c>
      <c r="IG36" s="103">
        <f>SUM(IG9:IG35)</f>
        <v>0</v>
      </c>
      <c r="IH36" s="104">
        <f>IH38</f>
        <v>43297</v>
      </c>
      <c r="II36" s="103">
        <f>SUM(II9:II35)</f>
        <v>0</v>
      </c>
      <c r="IJ36" s="103">
        <f>SUM(IJ9:IJ35)</f>
        <v>0</v>
      </c>
      <c r="IK36" s="104">
        <f>IK38</f>
        <v>43342</v>
      </c>
      <c r="IL36" s="103">
        <f>SUM(IL9:IL35)</f>
        <v>0</v>
      </c>
      <c r="IM36" s="103">
        <f>SUM(IM9:IM35)</f>
        <v>0</v>
      </c>
      <c r="IN36" s="83"/>
      <c r="IO36" s="104">
        <f>IO38</f>
        <v>43288</v>
      </c>
      <c r="IP36" s="103">
        <f>SUM(IP9:IP35)</f>
        <v>0</v>
      </c>
      <c r="IQ36" s="103">
        <f>SUM(IQ9:IQ35)</f>
        <v>0</v>
      </c>
      <c r="IR36" s="83"/>
      <c r="IS36" s="104">
        <f>$D$3</f>
        <v>44201</v>
      </c>
      <c r="IT36" s="103">
        <f>SUM(IT9:IT35)</f>
        <v>20</v>
      </c>
      <c r="IU36" s="103">
        <f>SUM(IU9:IU35)</f>
        <v>3794</v>
      </c>
      <c r="IV36" s="83"/>
      <c r="IW36" s="104">
        <f>$D$3</f>
        <v>44201</v>
      </c>
      <c r="IX36" s="103">
        <f>SUM(IX9:IX35)</f>
        <v>1</v>
      </c>
      <c r="IY36" s="103">
        <f>SUM(IY9:IY35)</f>
        <v>1498</v>
      </c>
      <c r="IZ36" s="83"/>
      <c r="JA36" s="103"/>
      <c r="JB36" s="103">
        <f>SUM(JB9:JB35)</f>
        <v>5</v>
      </c>
      <c r="JC36" s="103">
        <f>SUM(JC9:JC35)</f>
        <v>1395</v>
      </c>
      <c r="JD36" s="83"/>
      <c r="JE36" s="103"/>
      <c r="JF36" s="103">
        <f>SUM(JF9:JF35)</f>
        <v>27</v>
      </c>
      <c r="JG36" s="103">
        <f>SUM(JG9:JG35)</f>
        <v>8185</v>
      </c>
      <c r="JH36" s="83"/>
      <c r="JI36" s="103"/>
      <c r="JJ36" s="103">
        <f>SUM(JJ9:JJ35)</f>
        <v>1</v>
      </c>
      <c r="JK36" s="103">
        <f>SUM(JK9:JK35)</f>
        <v>1498</v>
      </c>
      <c r="JM36" s="104">
        <f>MAX(JM9:JM35)</f>
        <v>43288</v>
      </c>
      <c r="JO36" s="29">
        <f>MAX(JO9:JO35)</f>
        <v>1</v>
      </c>
      <c r="JP36" s="125">
        <f t="shared" ref="JP36:KB36" si="661">SUM(JP9:JP35)</f>
        <v>219</v>
      </c>
      <c r="JQ36" s="125">
        <f t="shared" si="661"/>
        <v>8</v>
      </c>
      <c r="JR36" s="125">
        <f t="shared" si="661"/>
        <v>0</v>
      </c>
      <c r="JS36" s="125">
        <f t="shared" si="661"/>
        <v>0</v>
      </c>
      <c r="JT36" s="125">
        <f t="shared" si="661"/>
        <v>0</v>
      </c>
      <c r="JU36" s="125">
        <f t="shared" si="661"/>
        <v>0</v>
      </c>
      <c r="JV36" s="125">
        <f t="shared" si="661"/>
        <v>0</v>
      </c>
      <c r="JW36" s="125">
        <f t="shared" si="661"/>
        <v>0</v>
      </c>
      <c r="JX36" s="125">
        <f t="shared" si="661"/>
        <v>0</v>
      </c>
      <c r="JY36" s="125">
        <f t="shared" si="661"/>
        <v>0</v>
      </c>
      <c r="JZ36" s="125">
        <f t="shared" si="661"/>
        <v>0</v>
      </c>
      <c r="KA36" s="125">
        <f t="shared" si="661"/>
        <v>0</v>
      </c>
      <c r="KB36" s="125">
        <f t="shared" si="661"/>
        <v>0</v>
      </c>
      <c r="KD36" s="125">
        <f t="shared" ref="KD36:KR36" si="662">SUM(KD9:KD35)</f>
        <v>0</v>
      </c>
      <c r="KE36" s="125">
        <f t="shared" si="662"/>
        <v>0</v>
      </c>
      <c r="KF36" s="125">
        <f t="shared" si="662"/>
        <v>219</v>
      </c>
      <c r="KG36" s="125">
        <f t="shared" si="662"/>
        <v>219</v>
      </c>
      <c r="KH36" s="125">
        <f t="shared" si="662"/>
        <v>0</v>
      </c>
      <c r="KI36" s="125">
        <f t="shared" si="662"/>
        <v>0</v>
      </c>
      <c r="KJ36" s="125">
        <f t="shared" si="662"/>
        <v>0</v>
      </c>
      <c r="KK36" s="125">
        <f t="shared" si="662"/>
        <v>0</v>
      </c>
      <c r="KL36" s="125">
        <f t="shared" si="662"/>
        <v>0</v>
      </c>
      <c r="KM36" s="125">
        <f t="shared" si="662"/>
        <v>0</v>
      </c>
      <c r="KN36" s="125">
        <f t="shared" si="662"/>
        <v>0</v>
      </c>
      <c r="KO36" s="125">
        <f t="shared" si="662"/>
        <v>0</v>
      </c>
      <c r="KP36" s="125">
        <f t="shared" si="662"/>
        <v>0</v>
      </c>
      <c r="KQ36" s="125">
        <f t="shared" si="662"/>
        <v>0</v>
      </c>
      <c r="KR36" s="125">
        <f t="shared" si="662"/>
        <v>0</v>
      </c>
      <c r="KT36" s="125">
        <f t="shared" ref="KT36:LY36" si="663">SUM(KT9:KT35)</f>
        <v>5</v>
      </c>
      <c r="KU36" s="125">
        <f t="shared" si="663"/>
        <v>0</v>
      </c>
      <c r="KV36" s="125">
        <f t="shared" si="663"/>
        <v>0</v>
      </c>
      <c r="KW36" s="125">
        <f t="shared" si="663"/>
        <v>0</v>
      </c>
      <c r="KX36" s="125">
        <f t="shared" si="663"/>
        <v>0</v>
      </c>
      <c r="KY36" s="125">
        <f t="shared" si="663"/>
        <v>0</v>
      </c>
      <c r="KZ36" s="125">
        <f t="shared" si="663"/>
        <v>0</v>
      </c>
      <c r="LA36" s="125">
        <f t="shared" si="663"/>
        <v>0</v>
      </c>
      <c r="LB36" s="125">
        <f t="shared" si="663"/>
        <v>0</v>
      </c>
      <c r="LC36" s="125">
        <f t="shared" si="663"/>
        <v>0</v>
      </c>
      <c r="LD36" s="125">
        <f t="shared" si="663"/>
        <v>0</v>
      </c>
      <c r="LE36" s="125">
        <f t="shared" si="663"/>
        <v>0</v>
      </c>
      <c r="LF36" s="125">
        <f t="shared" si="663"/>
        <v>0</v>
      </c>
      <c r="LG36" s="125">
        <f t="shared" si="663"/>
        <v>0</v>
      </c>
      <c r="LH36" s="125">
        <f t="shared" si="663"/>
        <v>0</v>
      </c>
      <c r="LI36" s="125">
        <f t="shared" si="663"/>
        <v>0</v>
      </c>
      <c r="LJ36" s="125">
        <f t="shared" si="663"/>
        <v>0</v>
      </c>
      <c r="LK36" s="125">
        <f t="shared" si="663"/>
        <v>0</v>
      </c>
      <c r="LL36" s="125">
        <f t="shared" si="663"/>
        <v>0</v>
      </c>
      <c r="LM36" s="125">
        <f t="shared" si="663"/>
        <v>3</v>
      </c>
      <c r="LN36" s="125">
        <f t="shared" si="663"/>
        <v>3</v>
      </c>
      <c r="LO36" s="125">
        <f t="shared" si="663"/>
        <v>0</v>
      </c>
      <c r="LP36" s="125">
        <f t="shared" si="663"/>
        <v>0</v>
      </c>
      <c r="LQ36" s="125">
        <f t="shared" si="663"/>
        <v>0</v>
      </c>
      <c r="LR36" s="125">
        <f t="shared" si="663"/>
        <v>0</v>
      </c>
      <c r="LS36" s="125">
        <f t="shared" si="663"/>
        <v>0</v>
      </c>
      <c r="LT36" s="125">
        <f t="shared" si="663"/>
        <v>0</v>
      </c>
      <c r="LU36" s="125">
        <f t="shared" si="663"/>
        <v>0</v>
      </c>
      <c r="LV36" s="125">
        <f t="shared" si="663"/>
        <v>0</v>
      </c>
      <c r="LW36" s="125">
        <f t="shared" si="663"/>
        <v>0</v>
      </c>
      <c r="LX36" s="125">
        <f t="shared" si="663"/>
        <v>0</v>
      </c>
      <c r="LY36" s="125">
        <f t="shared" si="663"/>
        <v>0</v>
      </c>
      <c r="LZ36" s="125">
        <f t="shared" ref="LZ36:MX36" si="664">SUM(LZ9:LZ35)</f>
        <v>0</v>
      </c>
      <c r="MA36" s="125">
        <f t="shared" si="664"/>
        <v>0</v>
      </c>
      <c r="MB36" s="125">
        <f t="shared" si="664"/>
        <v>0</v>
      </c>
      <c r="MC36" s="125">
        <f t="shared" si="664"/>
        <v>0</v>
      </c>
      <c r="MD36" s="125">
        <f t="shared" si="664"/>
        <v>0</v>
      </c>
      <c r="ME36" s="125">
        <f t="shared" si="664"/>
        <v>0</v>
      </c>
      <c r="MF36" s="125">
        <f t="shared" si="664"/>
        <v>0</v>
      </c>
      <c r="MG36" s="125">
        <f t="shared" si="664"/>
        <v>0</v>
      </c>
      <c r="MH36" s="125">
        <f t="shared" si="664"/>
        <v>0</v>
      </c>
      <c r="MI36" s="125">
        <f t="shared" si="664"/>
        <v>0</v>
      </c>
      <c r="MJ36" s="125">
        <f t="shared" si="664"/>
        <v>0</v>
      </c>
      <c r="MK36" s="125">
        <f t="shared" si="664"/>
        <v>0</v>
      </c>
      <c r="ML36" s="125">
        <f t="shared" si="664"/>
        <v>0</v>
      </c>
      <c r="MM36" s="125">
        <f t="shared" si="664"/>
        <v>0</v>
      </c>
      <c r="MN36" s="125">
        <f t="shared" si="664"/>
        <v>0</v>
      </c>
      <c r="MO36" s="125">
        <f t="shared" si="664"/>
        <v>0</v>
      </c>
      <c r="MP36" s="125">
        <f t="shared" si="664"/>
        <v>0</v>
      </c>
      <c r="MQ36" s="125">
        <f t="shared" si="664"/>
        <v>0</v>
      </c>
      <c r="MR36" s="125">
        <f t="shared" si="664"/>
        <v>0</v>
      </c>
      <c r="MS36" s="125">
        <f t="shared" si="664"/>
        <v>0</v>
      </c>
      <c r="MT36" s="125">
        <f t="shared" si="664"/>
        <v>0</v>
      </c>
      <c r="MU36" s="125">
        <f t="shared" si="664"/>
        <v>0</v>
      </c>
      <c r="MV36" s="125">
        <f t="shared" si="664"/>
        <v>0</v>
      </c>
      <c r="MW36" s="125">
        <f t="shared" si="664"/>
        <v>0</v>
      </c>
      <c r="MX36" s="125">
        <f t="shared" si="664"/>
        <v>2</v>
      </c>
      <c r="MY36" s="125"/>
      <c r="MZ36" s="125"/>
      <c r="NA36" s="125"/>
      <c r="NB36" s="125">
        <f t="shared" ref="NB36:NK36" si="665">SUM(NB9:NB35)</f>
        <v>0</v>
      </c>
      <c r="NC36" s="125">
        <f t="shared" si="665"/>
        <v>0</v>
      </c>
      <c r="ND36" s="125">
        <f t="shared" si="665"/>
        <v>0</v>
      </c>
      <c r="NE36" s="125">
        <f t="shared" si="665"/>
        <v>0</v>
      </c>
      <c r="NF36" s="125">
        <f t="shared" si="665"/>
        <v>0</v>
      </c>
      <c r="NG36" s="125">
        <f t="shared" si="665"/>
        <v>0</v>
      </c>
      <c r="NH36" s="125">
        <f t="shared" si="665"/>
        <v>0</v>
      </c>
      <c r="NI36" s="125">
        <f t="shared" si="665"/>
        <v>0</v>
      </c>
      <c r="NJ36" s="125">
        <f t="shared" si="665"/>
        <v>0</v>
      </c>
      <c r="NK36" s="125">
        <f t="shared" si="665"/>
        <v>0</v>
      </c>
      <c r="NM36" s="125">
        <f t="shared" ref="NM36:NU36" si="666">SUM(NM9:NM35)</f>
        <v>0</v>
      </c>
      <c r="NN36" s="125">
        <f t="shared" si="666"/>
        <v>3</v>
      </c>
      <c r="NO36" s="125">
        <f t="shared" si="666"/>
        <v>0</v>
      </c>
      <c r="NP36" s="125">
        <f t="shared" si="666"/>
        <v>0</v>
      </c>
      <c r="NQ36" s="125">
        <f t="shared" si="666"/>
        <v>0</v>
      </c>
      <c r="NR36" s="125">
        <f t="shared" si="666"/>
        <v>0</v>
      </c>
      <c r="NS36" s="125">
        <f t="shared" si="666"/>
        <v>2</v>
      </c>
      <c r="NT36" s="125">
        <f t="shared" si="666"/>
        <v>5</v>
      </c>
      <c r="NU36" s="125">
        <f t="shared" si="666"/>
        <v>0</v>
      </c>
      <c r="NZ36" s="153">
        <f>MAX(NZ9:NZ35)</f>
        <v>17800000</v>
      </c>
      <c r="OA36" s="153">
        <f>MIN(NZ9:NZ35)</f>
        <v>6523250</v>
      </c>
      <c r="OB36" s="153">
        <f>AVERAGE(NZ9:NZ35)</f>
        <v>8756454.2857142854</v>
      </c>
      <c r="OE36" s="125">
        <f t="shared" ref="OE36:OM36" si="667">SUM(OE9:OE35)</f>
        <v>0</v>
      </c>
      <c r="OF36" s="125">
        <f t="shared" si="667"/>
        <v>0</v>
      </c>
      <c r="OG36" s="125">
        <f t="shared" si="667"/>
        <v>2</v>
      </c>
      <c r="OH36" s="125">
        <f t="shared" si="667"/>
        <v>1</v>
      </c>
      <c r="OI36" s="125">
        <f t="shared" si="667"/>
        <v>3</v>
      </c>
      <c r="OJ36" s="125">
        <f t="shared" si="667"/>
        <v>0</v>
      </c>
      <c r="OK36" s="125">
        <f t="shared" si="667"/>
        <v>0</v>
      </c>
      <c r="OL36" s="125">
        <f t="shared" si="667"/>
        <v>0</v>
      </c>
      <c r="OM36" s="125">
        <f t="shared" si="667"/>
        <v>0</v>
      </c>
      <c r="OO36" s="125">
        <f t="shared" ref="OO36:OW36" si="668">SUM(OO9:OO35)</f>
        <v>0</v>
      </c>
      <c r="OP36" s="125">
        <f t="shared" si="668"/>
        <v>0</v>
      </c>
      <c r="OQ36" s="125">
        <f t="shared" si="668"/>
        <v>2</v>
      </c>
      <c r="OR36" s="125">
        <f t="shared" si="668"/>
        <v>1</v>
      </c>
      <c r="OS36" s="125">
        <f t="shared" si="668"/>
        <v>3</v>
      </c>
      <c r="OT36" s="125">
        <f t="shared" si="668"/>
        <v>0</v>
      </c>
      <c r="OU36" s="125">
        <f t="shared" si="668"/>
        <v>0</v>
      </c>
      <c r="OV36" s="125">
        <f t="shared" si="668"/>
        <v>0</v>
      </c>
      <c r="OW36" s="125">
        <f t="shared" si="668"/>
        <v>0</v>
      </c>
      <c r="PA36" s="125">
        <f t="shared" ref="PA36:PL36" si="669">SUM(PA9:PA35)</f>
        <v>2</v>
      </c>
      <c r="PB36" s="125">
        <f t="shared" si="669"/>
        <v>3</v>
      </c>
      <c r="PC36" s="125">
        <f t="shared" si="669"/>
        <v>0</v>
      </c>
      <c r="PD36" s="125">
        <f t="shared" si="669"/>
        <v>3</v>
      </c>
      <c r="PE36" s="125">
        <f t="shared" si="669"/>
        <v>3</v>
      </c>
      <c r="PF36" s="125">
        <f t="shared" si="669"/>
        <v>0</v>
      </c>
      <c r="PG36" s="125">
        <f t="shared" si="669"/>
        <v>519</v>
      </c>
      <c r="PH36" s="125">
        <f t="shared" si="669"/>
        <v>876</v>
      </c>
      <c r="PI36" s="125">
        <f t="shared" si="669"/>
        <v>0</v>
      </c>
      <c r="PJ36" s="125">
        <f t="shared" si="669"/>
        <v>876</v>
      </c>
      <c r="PK36" s="125">
        <f t="shared" si="669"/>
        <v>876</v>
      </c>
      <c r="PL36" s="125">
        <f t="shared" si="669"/>
        <v>0</v>
      </c>
      <c r="PO36" s="125">
        <f>SUM(PO9:PO35)</f>
        <v>1498</v>
      </c>
      <c r="PP36" s="125">
        <f>SUM(PP9:PP35)</f>
        <v>0</v>
      </c>
      <c r="PQ36" s="125">
        <f>SUM(PQ9:PQ35)</f>
        <v>0</v>
      </c>
      <c r="XFC36" s="125">
        <f>SUM(XFC9:XFC35)</f>
        <v>43127180800</v>
      </c>
      <c r="XFD36" s="125">
        <f>SUM(XFD9:XFD35)</f>
        <v>0</v>
      </c>
    </row>
    <row r="37" spans="1:433 16383:16384" ht="16" x14ac:dyDescent="0.2">
      <c r="A37" s="25"/>
      <c r="B37" s="25"/>
      <c r="C37" s="25"/>
      <c r="D37" s="25"/>
      <c r="E37" s="25"/>
      <c r="F37" s="312"/>
      <c r="G37" s="312"/>
      <c r="H37" s="312"/>
      <c r="I37" s="312"/>
      <c r="J37" s="312"/>
      <c r="K37" s="312"/>
      <c r="L37" s="312"/>
      <c r="M37" s="312"/>
      <c r="N37" s="195"/>
      <c r="O37" s="19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6"/>
      <c r="AG37" s="27"/>
      <c r="GO37" s="83"/>
      <c r="GP37" s="83"/>
      <c r="GQ37" s="83"/>
      <c r="GR37" s="83"/>
      <c r="GS37" s="83"/>
      <c r="GT37" s="83"/>
      <c r="GU37" s="83"/>
      <c r="GV37" s="83"/>
      <c r="GW37" s="83"/>
      <c r="GX37" s="83"/>
      <c r="GY37" s="83"/>
      <c r="GZ37" s="83"/>
      <c r="HA37" s="83"/>
      <c r="HB37" s="83"/>
      <c r="HC37" s="83"/>
      <c r="HD37" s="83"/>
      <c r="HE37" s="83"/>
      <c r="HF37" s="83"/>
      <c r="HG37" s="83"/>
      <c r="HH37" s="83"/>
      <c r="HI37" s="83"/>
      <c r="HJ37" s="83"/>
      <c r="HK37" s="83"/>
      <c r="HL37" s="83"/>
      <c r="HM37" s="83"/>
      <c r="HN37" s="83"/>
      <c r="HO37" s="83"/>
      <c r="HP37" s="83"/>
      <c r="HQ37" s="83"/>
      <c r="HR37" s="83"/>
      <c r="HS37" s="83"/>
      <c r="HT37" s="83"/>
      <c r="HU37" s="83"/>
      <c r="HV37" s="83"/>
      <c r="HW37" s="83"/>
      <c r="HX37" s="83"/>
      <c r="HY37" s="105"/>
      <c r="HZ37" s="83"/>
      <c r="IA37" s="83"/>
      <c r="IB37" s="83"/>
      <c r="IC37" s="83"/>
      <c r="ID37" s="83"/>
      <c r="IE37" s="83"/>
      <c r="IF37" s="83"/>
      <c r="IG37" s="83"/>
      <c r="IH37" s="83"/>
      <c r="II37" s="83"/>
      <c r="IJ37" s="83"/>
      <c r="IK37" s="83"/>
      <c r="IL37" s="83"/>
      <c r="IM37" s="83"/>
      <c r="IN37" s="83"/>
      <c r="IO37" s="83"/>
      <c r="IP37" s="83"/>
      <c r="IQ37" s="83"/>
      <c r="IR37" s="83"/>
      <c r="IS37" s="83"/>
      <c r="IT37" s="83"/>
      <c r="IU37" s="83"/>
      <c r="IV37" s="83"/>
      <c r="IW37" s="83"/>
      <c r="IX37" s="83"/>
      <c r="IY37" s="83"/>
      <c r="IZ37" s="83"/>
      <c r="JA37" s="83"/>
      <c r="JB37" s="83"/>
      <c r="JC37" s="83"/>
      <c r="JD37" s="83"/>
      <c r="JE37" s="83"/>
      <c r="JF37" s="83"/>
      <c r="JG37" s="83"/>
      <c r="JH37" s="83"/>
      <c r="JI37" s="83"/>
      <c r="JJ37" s="83"/>
      <c r="JK37" s="83"/>
      <c r="JP37" s="124">
        <f>SUM(JQ36:KB36)</f>
        <v>8</v>
      </c>
      <c r="KF37" s="124">
        <f>SUM(KG36:KR36)</f>
        <v>219</v>
      </c>
      <c r="NZ37" t="s">
        <v>593</v>
      </c>
      <c r="OA37" t="s">
        <v>594</v>
      </c>
      <c r="OB37" t="s">
        <v>595</v>
      </c>
    </row>
    <row r="38" spans="1:433 16383:16384" ht="16" x14ac:dyDescent="0.2">
      <c r="E38" s="29"/>
      <c r="F38" s="196"/>
      <c r="G38" s="196"/>
      <c r="H38" s="196"/>
      <c r="I38" s="196"/>
      <c r="J38" s="196"/>
      <c r="K38" s="196"/>
      <c r="L38" s="196"/>
      <c r="M38" s="196"/>
      <c r="N38" s="196"/>
      <c r="O38" s="196"/>
      <c r="P38" s="29"/>
      <c r="Q38" s="29"/>
      <c r="R38" s="29"/>
      <c r="S38" s="29"/>
      <c r="T38" s="29"/>
      <c r="U38" s="29"/>
      <c r="V38" s="29"/>
      <c r="W38" s="29"/>
      <c r="X38" s="29"/>
      <c r="Y38" t="s">
        <v>18</v>
      </c>
      <c r="Z38" t="s">
        <v>294</v>
      </c>
      <c r="AG38" s="29">
        <f>COUNTIF(AG9:AG35,"A")</f>
        <v>0</v>
      </c>
      <c r="BW38" t="s">
        <v>344</v>
      </c>
      <c r="CC38" s="29">
        <f>COUNTIF(CC9:CC35,"A")</f>
        <v>0</v>
      </c>
      <c r="GO38" s="106">
        <f>GO36</f>
        <v>0</v>
      </c>
      <c r="GP38" s="106">
        <f>GP36-GO36</f>
        <v>0</v>
      </c>
      <c r="GQ38" s="106">
        <f>GQ36-GP36</f>
        <v>0</v>
      </c>
      <c r="GR38" s="106">
        <f>GR36-GQ36</f>
        <v>6</v>
      </c>
      <c r="GS38" s="106">
        <f>GS36-GR36</f>
        <v>0</v>
      </c>
      <c r="GT38" s="106">
        <f>GT36</f>
        <v>20</v>
      </c>
      <c r="GU38" s="83"/>
      <c r="GV38" s="83"/>
      <c r="GW38" s="83"/>
      <c r="GX38" s="83"/>
      <c r="GY38" s="107" t="s">
        <v>464</v>
      </c>
      <c r="GZ38" s="105">
        <f>MAX(GZ9:GZ35)</f>
        <v>43267</v>
      </c>
      <c r="HA38" s="83"/>
      <c r="HB38" s="83"/>
      <c r="HC38" s="83"/>
      <c r="HD38" s="83"/>
      <c r="HE38" s="83"/>
      <c r="HF38" s="83"/>
      <c r="HG38" s="83"/>
      <c r="HH38" s="105">
        <f>MAX(HH9:HH35)</f>
        <v>43288</v>
      </c>
      <c r="HI38" s="83"/>
      <c r="HJ38" s="83"/>
      <c r="HK38" s="83"/>
      <c r="HL38" s="83"/>
      <c r="HM38" s="83"/>
      <c r="HN38" s="83"/>
      <c r="HO38" s="83"/>
      <c r="HP38" s="102">
        <f>+$GU$3+$GY$8</f>
        <v>43257</v>
      </c>
      <c r="HQ38" s="106">
        <f>HQ36</f>
        <v>0</v>
      </c>
      <c r="HR38" s="106">
        <f>HR36</f>
        <v>0</v>
      </c>
      <c r="HS38" s="102">
        <f>+$GU$3+$HH$8</f>
        <v>43288</v>
      </c>
      <c r="HT38" s="106">
        <f>HT36</f>
        <v>1</v>
      </c>
      <c r="HU38" s="106">
        <f>HU36</f>
        <v>1498</v>
      </c>
      <c r="HV38" s="102">
        <f>+$GU$3+SUM($GY$7:$GY$8)</f>
        <v>43267</v>
      </c>
      <c r="HW38" s="106">
        <f>HW36</f>
        <v>0</v>
      </c>
      <c r="HX38" s="106">
        <f>HX36</f>
        <v>0</v>
      </c>
      <c r="HY38" s="102">
        <f>+$GU$3+SUM($GY$7:$GY$8)+$HI$8</f>
        <v>43312</v>
      </c>
      <c r="HZ38" s="106">
        <f>HZ36</f>
        <v>0</v>
      </c>
      <c r="IA38" s="106">
        <f>IA36</f>
        <v>0</v>
      </c>
      <c r="IB38" s="102">
        <f>+$GU$3+SUM($GY$6:$GY$8)</f>
        <v>43277</v>
      </c>
      <c r="IC38" s="106">
        <f>IC36</f>
        <v>0</v>
      </c>
      <c r="ID38" s="106">
        <f>ID36</f>
        <v>0</v>
      </c>
      <c r="IE38" s="102">
        <f>+$GU$3+SUM($GY$6:$GY$8)+$HI$8</f>
        <v>43322</v>
      </c>
      <c r="IF38" s="106">
        <f>IF36</f>
        <v>0</v>
      </c>
      <c r="IG38" s="106">
        <f>IG36</f>
        <v>0</v>
      </c>
      <c r="IH38" s="102">
        <f>+$GU$3+SUM($GY$5:$GY$8)</f>
        <v>43297</v>
      </c>
      <c r="II38" s="106">
        <f>II36</f>
        <v>0</v>
      </c>
      <c r="IJ38" s="106">
        <f>IJ36</f>
        <v>0</v>
      </c>
      <c r="IK38" s="102">
        <f>+$GU$3+SUM($GY$5:$GY$8)+$HI$8</f>
        <v>43342</v>
      </c>
      <c r="IL38" s="106">
        <f>IL36</f>
        <v>0</v>
      </c>
      <c r="IM38" s="106">
        <f>IM36</f>
        <v>0</v>
      </c>
      <c r="IN38" s="83"/>
      <c r="IO38" s="102">
        <f>+$GU$3+$HH$8</f>
        <v>43288</v>
      </c>
      <c r="IP38" s="106">
        <f>IP36</f>
        <v>0</v>
      </c>
      <c r="IQ38" s="106">
        <f>IQ36</f>
        <v>0</v>
      </c>
      <c r="IR38" s="83"/>
      <c r="IS38" s="102"/>
      <c r="IT38" s="106">
        <f>IT36</f>
        <v>20</v>
      </c>
      <c r="IU38" s="106">
        <f>IU36</f>
        <v>3794</v>
      </c>
      <c r="IV38" s="83"/>
      <c r="IW38" s="102"/>
      <c r="IX38" s="106">
        <f>IX36</f>
        <v>1</v>
      </c>
      <c r="IY38" s="106">
        <f>IY36</f>
        <v>1498</v>
      </c>
      <c r="IZ38" s="83"/>
      <c r="JA38" s="102"/>
      <c r="JB38" s="106">
        <f>JB36</f>
        <v>5</v>
      </c>
      <c r="JC38" s="106">
        <f>JC36</f>
        <v>1395</v>
      </c>
      <c r="JD38" s="83"/>
      <c r="JE38" s="102"/>
      <c r="JF38" s="106">
        <f>JF36</f>
        <v>27</v>
      </c>
      <c r="JG38" s="106">
        <f>JG36</f>
        <v>8185</v>
      </c>
      <c r="JH38" s="83"/>
      <c r="JI38" s="102"/>
      <c r="JJ38" s="66">
        <f>JJ36</f>
        <v>1</v>
      </c>
      <c r="JK38" s="66">
        <f>JK36</f>
        <v>1498</v>
      </c>
    </row>
    <row r="39" spans="1:433 16383:16384" x14ac:dyDescent="0.2">
      <c r="F39" s="195"/>
      <c r="G39" s="195"/>
      <c r="H39" s="195"/>
      <c r="I39" s="195"/>
      <c r="J39" s="195"/>
      <c r="K39" s="195"/>
      <c r="L39" s="195"/>
      <c r="M39" s="195"/>
      <c r="N39" s="195"/>
      <c r="O39" s="195"/>
      <c r="Y39" t="s">
        <v>18</v>
      </c>
      <c r="Z39" t="s">
        <v>295</v>
      </c>
      <c r="AG39" s="29">
        <f>COUNTIF(AG9:AG35,"b")</f>
        <v>0</v>
      </c>
      <c r="BW39" t="s">
        <v>345</v>
      </c>
      <c r="CC39" s="29">
        <f>COUNTIF(CC9:CC35,"b")</f>
        <v>0</v>
      </c>
      <c r="GO39" s="83"/>
      <c r="GP39" s="83"/>
      <c r="GQ39" s="83"/>
      <c r="GR39" s="83"/>
      <c r="GS39" s="83"/>
      <c r="GT39" s="106">
        <f>SUM(GO38:GT38)</f>
        <v>26</v>
      </c>
      <c r="GU39" s="83"/>
      <c r="GV39" s="83"/>
      <c r="GW39" s="83"/>
      <c r="GX39" s="83"/>
      <c r="GY39" s="107" t="s">
        <v>465</v>
      </c>
      <c r="GZ39" s="105">
        <f>MIN(GZ9:GZ35)</f>
        <v>43267</v>
      </c>
      <c r="HA39" s="83"/>
      <c r="HB39" s="83"/>
      <c r="HC39" s="83"/>
      <c r="HD39" s="83"/>
      <c r="HE39" s="83"/>
      <c r="HF39" s="83"/>
      <c r="HG39" s="83"/>
      <c r="HH39" s="105">
        <f>MIN(HH9:HH35)</f>
        <v>43288</v>
      </c>
      <c r="HI39" s="83"/>
      <c r="HJ39" s="83"/>
      <c r="HK39" s="83"/>
      <c r="HL39" s="83"/>
      <c r="HM39" s="83"/>
      <c r="HN39" s="83"/>
      <c r="HO39" s="83"/>
      <c r="HP39" s="83"/>
      <c r="HQ39" s="83"/>
      <c r="HR39" s="83"/>
      <c r="HS39" s="83"/>
      <c r="HT39" s="83"/>
      <c r="HU39" s="83"/>
      <c r="HV39" s="83"/>
      <c r="HW39" s="83"/>
      <c r="HX39" s="83"/>
      <c r="HY39" s="83"/>
      <c r="HZ39" s="83"/>
      <c r="IA39" s="83"/>
      <c r="IB39" s="83"/>
      <c r="IC39" s="83"/>
      <c r="ID39" s="83"/>
      <c r="IE39" s="83"/>
      <c r="IF39" s="83"/>
      <c r="IG39" s="83"/>
      <c r="IH39" s="83"/>
      <c r="II39" s="83"/>
      <c r="IJ39" s="83"/>
      <c r="IK39" s="83"/>
      <c r="IL39" s="83"/>
      <c r="IM39" s="83"/>
      <c r="IN39" s="83"/>
      <c r="IO39" s="83"/>
      <c r="IP39" s="83"/>
      <c r="IQ39" s="83"/>
      <c r="IR39" s="83"/>
      <c r="IS39" s="83"/>
      <c r="IT39" s="83"/>
      <c r="IU39" s="83"/>
      <c r="IV39" s="83"/>
      <c r="IW39" s="83"/>
      <c r="IX39" s="83"/>
      <c r="IY39" s="83"/>
      <c r="IZ39" s="83"/>
      <c r="JA39" s="83"/>
      <c r="JB39" s="83"/>
      <c r="JC39" s="83"/>
      <c r="JD39" s="83"/>
      <c r="JE39" s="83"/>
      <c r="JF39" s="83"/>
      <c r="JG39" s="83"/>
      <c r="JH39" s="83"/>
      <c r="JI39" s="83"/>
      <c r="JJ39" s="83"/>
      <c r="JK39" s="83"/>
    </row>
    <row r="40" spans="1:433 16383:16384" x14ac:dyDescent="0.2">
      <c r="F40" s="195"/>
      <c r="G40" s="195"/>
      <c r="H40" s="195"/>
      <c r="I40" s="195"/>
      <c r="J40" s="195"/>
      <c r="K40" s="195"/>
      <c r="L40" s="195"/>
      <c r="M40" s="195"/>
      <c r="N40" s="195"/>
      <c r="O40" s="195"/>
      <c r="Y40" t="s">
        <v>18</v>
      </c>
      <c r="Z40" t="s">
        <v>296</v>
      </c>
      <c r="AG40" s="29">
        <f>COUNTIF(AG9:AG35,"c")</f>
        <v>0</v>
      </c>
      <c r="BW40" t="s">
        <v>346</v>
      </c>
      <c r="CC40" s="29">
        <f>COUNTIF(CC9:CC35,"c")</f>
        <v>0</v>
      </c>
      <c r="GO40" s="83"/>
      <c r="GP40" s="83"/>
      <c r="GQ40" s="83"/>
      <c r="GR40" s="83"/>
      <c r="GS40" s="83"/>
      <c r="GT40" s="83"/>
      <c r="GU40" s="83"/>
      <c r="GV40" s="83"/>
      <c r="GW40" s="83"/>
      <c r="GX40" s="83"/>
      <c r="GY40" s="83"/>
      <c r="GZ40" s="83"/>
      <c r="HA40" s="83"/>
      <c r="HB40" s="83"/>
      <c r="HC40" s="83"/>
      <c r="HD40" s="83"/>
      <c r="HE40" s="83"/>
      <c r="HF40" s="83"/>
      <c r="HG40" s="83"/>
      <c r="HH40" s="83"/>
      <c r="HI40" s="83"/>
      <c r="HJ40" s="83"/>
      <c r="HK40" s="83"/>
      <c r="HL40" s="83"/>
      <c r="HM40" s="83"/>
      <c r="HN40" s="83"/>
      <c r="HO40" s="83"/>
      <c r="HP40" s="83"/>
      <c r="HQ40" s="83"/>
      <c r="HR40" s="83"/>
      <c r="HS40" s="83"/>
      <c r="HT40" s="83"/>
      <c r="HU40" s="83"/>
      <c r="HV40" s="83"/>
      <c r="HW40" s="83"/>
      <c r="HX40" s="83"/>
      <c r="HY40" s="83"/>
      <c r="HZ40" s="83"/>
      <c r="IA40" s="83"/>
      <c r="IB40" s="83"/>
      <c r="IC40" s="83"/>
      <c r="ID40" s="83"/>
      <c r="IE40" s="83"/>
      <c r="IF40" s="83"/>
      <c r="IG40" s="83"/>
      <c r="IH40" s="83"/>
      <c r="II40" s="83"/>
      <c r="IJ40" s="83"/>
      <c r="IK40" s="83"/>
      <c r="IL40" s="83"/>
      <c r="IM40" s="83"/>
      <c r="IN40" s="83"/>
      <c r="IO40" s="83"/>
      <c r="IP40" s="83"/>
      <c r="IQ40" s="83"/>
      <c r="IR40" s="83"/>
      <c r="IS40" s="83"/>
      <c r="IT40" s="83"/>
      <c r="IU40" s="83"/>
      <c r="IV40" s="83"/>
      <c r="IW40" s="83"/>
      <c r="IX40" s="83"/>
      <c r="IY40" s="83"/>
      <c r="IZ40" s="83"/>
      <c r="JA40" s="83"/>
      <c r="JB40" s="83"/>
      <c r="JC40" s="83"/>
      <c r="JD40" s="83"/>
      <c r="JE40" s="83"/>
      <c r="JF40" s="83"/>
      <c r="JG40" s="83"/>
      <c r="JH40" s="83"/>
      <c r="JI40" s="83"/>
      <c r="JJ40" s="83"/>
      <c r="JK40" s="83"/>
    </row>
    <row r="41" spans="1:433 16383:16384" x14ac:dyDescent="0.2">
      <c r="F41" s="195"/>
      <c r="G41" s="195"/>
      <c r="H41" s="195"/>
      <c r="I41" s="195"/>
      <c r="J41" s="195"/>
      <c r="K41" s="195"/>
      <c r="L41" s="195"/>
      <c r="M41" s="195"/>
      <c r="N41" s="195"/>
      <c r="O41" s="195"/>
      <c r="Y41" t="s">
        <v>18</v>
      </c>
      <c r="Z41" t="s">
        <v>297</v>
      </c>
      <c r="AG41" s="29">
        <f>COUNTIF(AG9:AG35,"D")</f>
        <v>0</v>
      </c>
      <c r="BW41" t="s">
        <v>347</v>
      </c>
      <c r="CC41" s="29">
        <f>COUNTIF(CC9:CC35,"D")</f>
        <v>0</v>
      </c>
      <c r="GO41" s="83"/>
      <c r="GP41" s="83"/>
      <c r="GQ41" s="83"/>
      <c r="GR41" s="83"/>
      <c r="GS41" s="83"/>
      <c r="GT41" s="83"/>
      <c r="GU41" s="83"/>
      <c r="GV41" s="83"/>
      <c r="GW41" s="83"/>
      <c r="GX41" s="107" t="s">
        <v>434</v>
      </c>
      <c r="GY41" s="105">
        <f>$GU$3+SUM($GY$4:$GY$8)</f>
        <v>43317</v>
      </c>
      <c r="GZ41" s="83">
        <f t="shared" ref="GZ41:GZ46" si="670">COUNTIF($GZ$9:$GZ$35,GY41)</f>
        <v>0</v>
      </c>
      <c r="HA41" s="83"/>
      <c r="HB41" s="83"/>
      <c r="HC41" s="83"/>
      <c r="HD41" s="83"/>
      <c r="HE41" s="83"/>
      <c r="HF41" s="107"/>
      <c r="HG41" s="105"/>
      <c r="HH41" s="83"/>
      <c r="HI41" s="83">
        <f t="shared" ref="HI41:HI46" si="671">COUNTIF($HI$9:$HI$35,HK41)</f>
        <v>0</v>
      </c>
      <c r="HJ41" s="83"/>
      <c r="HK41" s="105">
        <f>GY41+$HI$8</f>
        <v>43362</v>
      </c>
      <c r="HL41" s="83"/>
      <c r="HM41" s="83"/>
      <c r="HN41" s="83"/>
      <c r="HO41" s="83"/>
      <c r="HP41" s="83"/>
      <c r="HQ41" s="83"/>
      <c r="HR41" s="83"/>
      <c r="HS41" s="83"/>
      <c r="HT41" s="83"/>
      <c r="HU41" s="83"/>
      <c r="HV41" s="83"/>
      <c r="HW41" s="83"/>
      <c r="HX41" s="83"/>
      <c r="HY41" s="83"/>
      <c r="HZ41" s="83"/>
      <c r="IA41" s="83"/>
      <c r="IB41" s="83"/>
      <c r="IC41" s="83"/>
      <c r="ID41" s="83"/>
      <c r="IE41" s="83"/>
      <c r="IF41" s="83"/>
      <c r="IG41" s="83"/>
      <c r="IH41" s="83"/>
      <c r="II41" s="83"/>
      <c r="IJ41" s="83"/>
      <c r="IK41" s="83"/>
      <c r="IL41" s="83"/>
      <c r="IM41" s="83"/>
      <c r="IN41" s="83"/>
      <c r="IO41" s="83"/>
      <c r="IP41" s="83"/>
      <c r="IQ41" s="83"/>
      <c r="IR41" s="83"/>
      <c r="IS41" s="83"/>
      <c r="IT41" s="83"/>
      <c r="IU41" s="83"/>
      <c r="IV41" s="83"/>
      <c r="IW41" s="83"/>
      <c r="IX41" s="83"/>
      <c r="IY41" s="83"/>
      <c r="IZ41" s="83"/>
      <c r="JA41" s="83"/>
      <c r="JB41" s="83"/>
      <c r="JC41" s="83"/>
      <c r="JD41" s="83"/>
      <c r="JE41" s="83"/>
      <c r="JF41" s="83"/>
      <c r="JG41" s="83"/>
      <c r="JH41" s="83"/>
      <c r="JI41" s="83"/>
      <c r="JJ41" s="83"/>
      <c r="JK41" s="83"/>
    </row>
    <row r="42" spans="1:433 16383:16384" x14ac:dyDescent="0.2">
      <c r="F42" s="195"/>
      <c r="G42" s="195"/>
      <c r="H42" s="195"/>
      <c r="I42" s="195"/>
      <c r="J42" s="195"/>
      <c r="K42" s="195"/>
      <c r="L42" s="195"/>
      <c r="M42" s="195"/>
      <c r="N42" s="195"/>
      <c r="O42" s="195"/>
      <c r="AG42" s="29"/>
      <c r="BW42" t="s">
        <v>348</v>
      </c>
      <c r="CC42" s="29">
        <f>COUNTIF(CC9:CC35,"E")</f>
        <v>1</v>
      </c>
      <c r="GO42" s="83"/>
      <c r="GP42" s="83"/>
      <c r="GQ42" s="83"/>
      <c r="GR42" s="83"/>
      <c r="GS42" s="83"/>
      <c r="GT42" s="83"/>
      <c r="GU42" s="83"/>
      <c r="GV42" s="83"/>
      <c r="GW42" s="83"/>
      <c r="GX42" s="83" t="s">
        <v>440</v>
      </c>
      <c r="GY42" s="105">
        <f>+$GU$3+SUM($GY$5:$GY$8)</f>
        <v>43297</v>
      </c>
      <c r="GZ42" s="83">
        <f t="shared" si="670"/>
        <v>0</v>
      </c>
      <c r="HA42" s="83"/>
      <c r="HB42" s="83"/>
      <c r="HC42" s="83"/>
      <c r="HD42" s="83"/>
      <c r="HE42" s="83"/>
      <c r="HF42" s="83"/>
      <c r="HG42" s="105"/>
      <c r="HH42" s="83"/>
      <c r="HI42" s="83">
        <f t="shared" si="671"/>
        <v>0</v>
      </c>
      <c r="HJ42" s="83"/>
      <c r="HK42" s="105">
        <f t="shared" ref="HK42:HK45" si="672">GY42+$HI$8</f>
        <v>43342</v>
      </c>
      <c r="HL42" s="83"/>
      <c r="HM42" s="83"/>
      <c r="HN42" s="83"/>
      <c r="HO42" s="83"/>
      <c r="HP42" s="83"/>
      <c r="HQ42" s="83"/>
      <c r="HR42" s="83"/>
      <c r="HS42" s="83"/>
      <c r="HT42" s="83"/>
      <c r="HU42" s="83"/>
      <c r="HV42" s="83"/>
      <c r="HW42" s="83"/>
      <c r="HX42" s="83"/>
      <c r="HY42" s="83"/>
      <c r="HZ42" s="83"/>
      <c r="IA42" s="83"/>
      <c r="IB42" s="83"/>
      <c r="IC42" s="83"/>
      <c r="ID42" s="83"/>
      <c r="IE42" s="83"/>
      <c r="IF42" s="83"/>
      <c r="IG42" s="83"/>
      <c r="IH42" s="83"/>
      <c r="II42" s="83"/>
      <c r="IJ42" s="83"/>
      <c r="IK42" s="83"/>
      <c r="IL42" s="83"/>
      <c r="IM42" s="83"/>
      <c r="IN42" s="83"/>
      <c r="IO42" s="83"/>
      <c r="IP42" s="83"/>
      <c r="IQ42" s="83"/>
      <c r="IR42" s="83"/>
      <c r="IS42" s="83"/>
      <c r="IT42" s="83"/>
      <c r="IU42" s="83"/>
      <c r="IV42" s="83"/>
      <c r="IW42" s="83"/>
      <c r="IX42" s="83"/>
      <c r="IY42" s="83"/>
      <c r="IZ42" s="83"/>
      <c r="JA42" s="83"/>
      <c r="JB42" s="83"/>
      <c r="JC42" s="83"/>
      <c r="JD42" s="83"/>
      <c r="JE42" s="83"/>
      <c r="JF42" s="83"/>
      <c r="JG42" s="83"/>
      <c r="JH42" s="83"/>
      <c r="JI42" s="83"/>
      <c r="JJ42" s="83"/>
      <c r="JK42" s="83"/>
    </row>
    <row r="43" spans="1:433 16383:16384" x14ac:dyDescent="0.2">
      <c r="F43" s="195"/>
      <c r="G43" s="195"/>
      <c r="H43" s="195"/>
      <c r="I43" s="195"/>
      <c r="J43" s="195"/>
      <c r="K43" s="195"/>
      <c r="L43" s="195"/>
      <c r="M43" s="195"/>
      <c r="N43" s="195"/>
      <c r="O43" s="195"/>
      <c r="Y43" t="s">
        <v>18</v>
      </c>
      <c r="Z43" t="s">
        <v>299</v>
      </c>
      <c r="AG43" s="29">
        <f>SUM(AG38:AG42)</f>
        <v>0</v>
      </c>
      <c r="BW43" t="s">
        <v>299</v>
      </c>
      <c r="CC43" s="29">
        <f>SUM(CC38:CC42)</f>
        <v>1</v>
      </c>
      <c r="GO43" s="83"/>
      <c r="GP43" s="83"/>
      <c r="GQ43" s="83"/>
      <c r="GR43" s="83"/>
      <c r="GS43" s="83"/>
      <c r="GT43" s="83"/>
      <c r="GU43" s="83"/>
      <c r="GV43" s="83"/>
      <c r="GW43" s="83"/>
      <c r="GX43" s="83" t="s">
        <v>7</v>
      </c>
      <c r="GY43" s="105">
        <f>$GU$3+SUM($GY$6:$GY$8)</f>
        <v>43277</v>
      </c>
      <c r="GZ43" s="83">
        <f t="shared" si="670"/>
        <v>0</v>
      </c>
      <c r="HA43" s="83"/>
      <c r="HB43" s="83"/>
      <c r="HC43" s="83"/>
      <c r="HD43" s="83"/>
      <c r="HE43" s="83"/>
      <c r="HF43" s="83"/>
      <c r="HG43" s="105"/>
      <c r="HH43" s="83"/>
      <c r="HI43" s="83">
        <f t="shared" si="671"/>
        <v>0</v>
      </c>
      <c r="HJ43" s="83"/>
      <c r="HK43" s="105">
        <f t="shared" si="672"/>
        <v>43322</v>
      </c>
      <c r="HL43" s="83"/>
      <c r="HM43" s="83"/>
      <c r="HN43" s="83"/>
      <c r="HO43" s="83"/>
      <c r="HP43" s="83"/>
      <c r="HQ43" s="83"/>
      <c r="HR43" s="83"/>
      <c r="HS43" s="83"/>
      <c r="HT43" s="83"/>
      <c r="HU43" s="83"/>
      <c r="HV43" s="83"/>
      <c r="HW43" s="83"/>
      <c r="HX43" s="83"/>
      <c r="HY43" s="83"/>
      <c r="HZ43" s="83"/>
      <c r="IA43" s="83"/>
      <c r="IB43" s="83"/>
      <c r="IC43" s="83"/>
      <c r="ID43" s="83"/>
      <c r="IE43" s="83"/>
      <c r="IF43" s="83"/>
      <c r="IG43" s="83"/>
      <c r="IH43" s="83"/>
      <c r="II43" s="83"/>
      <c r="IJ43" s="83"/>
      <c r="IK43" s="83"/>
      <c r="IL43" s="83"/>
      <c r="IM43" s="83"/>
      <c r="IN43" s="83"/>
      <c r="IO43" s="83"/>
      <c r="IP43" s="83"/>
      <c r="IQ43" s="83"/>
      <c r="IR43" s="83"/>
      <c r="IS43" s="83"/>
      <c r="IT43" s="83"/>
      <c r="IU43" s="83"/>
      <c r="IV43" s="83"/>
      <c r="IW43" s="83"/>
      <c r="IX43" s="83"/>
      <c r="IY43" s="83"/>
      <c r="IZ43" s="83"/>
      <c r="JA43" s="83"/>
      <c r="JB43" s="83"/>
      <c r="JC43" s="83"/>
      <c r="JD43" s="83"/>
      <c r="JE43" s="83"/>
      <c r="JF43" s="83"/>
      <c r="JG43" s="83"/>
      <c r="JH43" s="83"/>
      <c r="JI43" s="83"/>
      <c r="JJ43" s="83"/>
      <c r="JK43" s="83"/>
    </row>
    <row r="44" spans="1:433 16383:16384" x14ac:dyDescent="0.2">
      <c r="F44" s="195"/>
      <c r="G44" s="195"/>
      <c r="H44" s="195"/>
      <c r="I44" s="195"/>
      <c r="J44" s="195"/>
      <c r="K44" s="195"/>
      <c r="L44" s="195"/>
      <c r="M44" s="195"/>
      <c r="N44" s="195"/>
      <c r="O44" s="195"/>
      <c r="GO44" s="83"/>
      <c r="GP44" s="83"/>
      <c r="GQ44" s="83"/>
      <c r="GR44" s="83"/>
      <c r="GS44" s="83"/>
      <c r="GT44" s="83"/>
      <c r="GU44" s="83"/>
      <c r="GV44" s="83"/>
      <c r="GW44" s="83"/>
      <c r="GX44" s="83" t="s">
        <v>265</v>
      </c>
      <c r="GY44" s="105">
        <f>$GU$3+SUM($GY$7:$GY$8)</f>
        <v>43267</v>
      </c>
      <c r="GZ44" s="83">
        <f t="shared" si="670"/>
        <v>6</v>
      </c>
      <c r="HA44" s="83"/>
      <c r="HB44" s="83"/>
      <c r="HC44" s="83"/>
      <c r="HD44" s="83"/>
      <c r="HE44" s="83"/>
      <c r="HF44" s="83"/>
      <c r="HG44" s="105"/>
      <c r="HH44" s="83"/>
      <c r="HI44" s="83">
        <f t="shared" si="671"/>
        <v>6</v>
      </c>
      <c r="HJ44" s="83"/>
      <c r="HK44" s="105">
        <f t="shared" si="672"/>
        <v>43312</v>
      </c>
      <c r="HL44" s="83"/>
      <c r="HM44" s="83"/>
      <c r="HN44" s="83"/>
      <c r="HO44" s="83"/>
      <c r="HP44" s="83"/>
      <c r="HQ44" s="83"/>
      <c r="HR44" s="83"/>
      <c r="HS44" s="83"/>
      <c r="HT44" s="83"/>
      <c r="HU44" s="83"/>
      <c r="HV44" s="83"/>
      <c r="HW44" s="83"/>
      <c r="HX44" s="83"/>
      <c r="HY44" s="83"/>
      <c r="HZ44" s="83"/>
      <c r="IA44" s="83"/>
      <c r="IB44" s="83"/>
      <c r="IC44" s="83"/>
      <c r="ID44" s="83"/>
      <c r="IE44" s="83"/>
      <c r="IF44" s="83"/>
      <c r="IG44" s="83"/>
      <c r="IH44" s="83"/>
      <c r="II44" s="83"/>
      <c r="IJ44" s="83"/>
      <c r="IK44" s="83"/>
      <c r="IL44" s="83"/>
      <c r="IM44" s="83"/>
      <c r="IN44" s="83"/>
      <c r="IO44" s="83"/>
      <c r="IP44" s="83"/>
      <c r="IQ44" s="83"/>
      <c r="IR44" s="83"/>
      <c r="IS44" s="83"/>
      <c r="IT44" s="83"/>
      <c r="IU44" s="83"/>
      <c r="IV44" s="83"/>
      <c r="IW44" s="83"/>
      <c r="IX44" s="83"/>
      <c r="IY44" s="83"/>
      <c r="IZ44" s="83"/>
      <c r="JA44" s="83"/>
      <c r="JB44" s="83"/>
      <c r="JC44" s="83"/>
      <c r="JD44" s="83"/>
      <c r="JE44" s="83"/>
      <c r="JF44" s="83"/>
      <c r="JG44" s="83"/>
      <c r="JH44" s="83"/>
      <c r="JI44" s="83"/>
      <c r="JJ44" s="83"/>
      <c r="JK44" s="83"/>
    </row>
    <row r="45" spans="1:433 16383:16384" x14ac:dyDescent="0.2">
      <c r="F45" s="195"/>
      <c r="G45" s="195"/>
      <c r="H45" s="195"/>
      <c r="I45" s="195"/>
      <c r="J45" s="195"/>
      <c r="K45" s="195"/>
      <c r="L45" s="195"/>
      <c r="M45" s="195"/>
      <c r="N45" s="195"/>
      <c r="O45" s="195"/>
      <c r="GO45" s="83"/>
      <c r="GP45" s="83"/>
      <c r="GQ45" s="83"/>
      <c r="GR45" s="83"/>
      <c r="GS45" s="83"/>
      <c r="GT45" s="83"/>
      <c r="GU45" s="83"/>
      <c r="GV45" s="83"/>
      <c r="GW45" s="83"/>
      <c r="GX45" s="83" t="s">
        <v>447</v>
      </c>
      <c r="GY45" s="105">
        <f>$GU$3+$GY$8</f>
        <v>43257</v>
      </c>
      <c r="GZ45" s="83">
        <f t="shared" si="670"/>
        <v>0</v>
      </c>
      <c r="HA45" s="83"/>
      <c r="HB45" s="83"/>
      <c r="HC45" s="83"/>
      <c r="HD45" s="105">
        <f>$GU$3+$HH$8</f>
        <v>43288</v>
      </c>
      <c r="HE45" s="83"/>
      <c r="HF45" s="83"/>
      <c r="HG45" s="83"/>
      <c r="HH45" s="83">
        <f>COUNTIF($HH$9:$HH$35,HD45)</f>
        <v>1</v>
      </c>
      <c r="HI45" s="83">
        <f t="shared" si="671"/>
        <v>0</v>
      </c>
      <c r="HJ45" s="83"/>
      <c r="HK45" s="105">
        <f t="shared" si="672"/>
        <v>43302</v>
      </c>
      <c r="HL45" s="83"/>
      <c r="HM45" s="83"/>
      <c r="HN45" s="83"/>
      <c r="HO45" s="83"/>
      <c r="HP45" s="83"/>
      <c r="HQ45" s="83"/>
      <c r="HR45" s="83"/>
      <c r="HS45" s="83"/>
      <c r="HT45" s="83"/>
      <c r="HU45" s="83"/>
      <c r="HV45" s="83"/>
      <c r="HW45" s="83"/>
      <c r="HX45" s="83"/>
      <c r="HY45" s="83"/>
      <c r="HZ45" s="83"/>
      <c r="IA45" s="83"/>
      <c r="IB45" s="83"/>
      <c r="IC45" s="83"/>
      <c r="ID45" s="83"/>
      <c r="IE45" s="83"/>
      <c r="IF45" s="83"/>
      <c r="IG45" s="83"/>
      <c r="IH45" s="83"/>
      <c r="II45" s="83"/>
      <c r="IJ45" s="83"/>
      <c r="IK45" s="83"/>
      <c r="IL45" s="83"/>
      <c r="IM45" s="83"/>
      <c r="IN45" s="83"/>
      <c r="IO45" s="83"/>
      <c r="IP45" s="83"/>
      <c r="IQ45" s="83"/>
      <c r="IR45" s="83"/>
      <c r="IS45" s="83"/>
      <c r="IT45" s="83"/>
      <c r="IU45" s="83"/>
      <c r="IV45" s="83"/>
      <c r="IW45" s="83"/>
      <c r="IX45" s="83"/>
      <c r="IY45" s="83"/>
      <c r="IZ45" s="83"/>
      <c r="JA45" s="83"/>
      <c r="JB45" s="83"/>
      <c r="JC45" s="83"/>
      <c r="JD45" s="83"/>
      <c r="JE45" s="83"/>
      <c r="JF45" s="83"/>
      <c r="JG45" s="83"/>
      <c r="JH45" s="83"/>
      <c r="JI45" s="83"/>
      <c r="JJ45" s="83"/>
      <c r="JK45" s="83"/>
    </row>
    <row r="46" spans="1:433 16383:16384" x14ac:dyDescent="0.2">
      <c r="F46" s="195"/>
      <c r="G46" s="195"/>
      <c r="H46" s="195"/>
      <c r="I46" s="195"/>
      <c r="J46" s="195"/>
      <c r="K46" s="195"/>
      <c r="L46" s="195"/>
      <c r="M46" s="195"/>
      <c r="N46" s="195"/>
      <c r="O46" s="195"/>
      <c r="GO46" s="83"/>
      <c r="GP46" s="83"/>
      <c r="GQ46" s="83"/>
      <c r="GR46" s="83"/>
      <c r="GS46" s="83"/>
      <c r="GT46" s="83"/>
      <c r="GU46" s="83"/>
      <c r="GV46" s="83"/>
      <c r="GW46" s="83"/>
      <c r="GX46" s="107" t="s">
        <v>448</v>
      </c>
      <c r="GY46" s="107" t="s">
        <v>448</v>
      </c>
      <c r="GZ46" s="83">
        <f t="shared" si="670"/>
        <v>20</v>
      </c>
      <c r="HA46" s="83"/>
      <c r="HB46" s="83"/>
      <c r="HC46" s="83"/>
      <c r="HD46" s="107" t="s">
        <v>466</v>
      </c>
      <c r="HE46" s="83"/>
      <c r="HF46" s="83"/>
      <c r="HG46" s="83"/>
      <c r="HH46" s="83">
        <f>COUNTIF($HH$9:$HH$35,HD46)</f>
        <v>25</v>
      </c>
      <c r="HI46" s="83">
        <f t="shared" si="671"/>
        <v>20</v>
      </c>
      <c r="HJ46" s="83"/>
      <c r="HK46" s="108" t="s">
        <v>448</v>
      </c>
      <c r="HL46" s="83"/>
      <c r="HM46" s="83"/>
      <c r="HN46" s="83"/>
      <c r="HO46" s="83"/>
      <c r="HP46" s="83"/>
      <c r="HQ46" s="83"/>
      <c r="HR46" s="83"/>
      <c r="HS46" s="83"/>
      <c r="HT46" s="83"/>
      <c r="HU46" s="83"/>
      <c r="HV46" s="83"/>
      <c r="HW46" s="83"/>
      <c r="HX46" s="83"/>
      <c r="HY46" s="83"/>
      <c r="HZ46" s="83"/>
      <c r="IA46" s="83"/>
      <c r="IB46" s="83"/>
      <c r="IC46" s="83"/>
      <c r="ID46" s="83"/>
      <c r="IE46" s="83"/>
      <c r="IF46" s="83"/>
      <c r="IG46" s="83"/>
      <c r="IH46" s="83"/>
      <c r="II46" s="83"/>
      <c r="IJ46" s="83"/>
      <c r="IK46" s="83"/>
      <c r="IL46" s="83"/>
      <c r="IM46" s="83"/>
      <c r="IN46" s="83"/>
      <c r="IO46" s="83"/>
      <c r="IP46" s="83"/>
      <c r="IQ46" s="83"/>
      <c r="IR46" s="83"/>
      <c r="IS46" s="83"/>
      <c r="IT46" s="83"/>
      <c r="IU46" s="83"/>
      <c r="IV46" s="83"/>
      <c r="IW46" s="83"/>
      <c r="IX46" s="83"/>
      <c r="IY46" s="83"/>
      <c r="IZ46" s="83"/>
      <c r="JA46" s="83"/>
      <c r="JB46" s="83"/>
      <c r="JC46" s="83"/>
      <c r="JD46" s="83"/>
      <c r="JE46" s="83"/>
      <c r="JF46" s="83"/>
      <c r="JG46" s="83"/>
      <c r="JH46" s="83"/>
      <c r="JI46" s="83"/>
      <c r="JJ46" s="83"/>
      <c r="JK46" s="83"/>
      <c r="PD46" s="195"/>
    </row>
    <row r="47" spans="1:433 16383:16384" x14ac:dyDescent="0.2">
      <c r="F47" s="195"/>
      <c r="G47" s="195"/>
      <c r="H47" s="195"/>
      <c r="I47" s="195"/>
      <c r="J47" s="195"/>
      <c r="K47" s="195"/>
      <c r="L47" s="195"/>
      <c r="M47" s="195"/>
      <c r="N47" s="195"/>
      <c r="O47" s="195"/>
      <c r="GO47" s="83"/>
      <c r="GP47" s="83"/>
      <c r="GQ47" s="83"/>
      <c r="GR47" s="83"/>
      <c r="GS47" s="83"/>
      <c r="GT47" s="83"/>
      <c r="GU47" s="83"/>
      <c r="GV47" s="83"/>
      <c r="GW47" s="83"/>
      <c r="GX47" s="83"/>
      <c r="GY47" s="83"/>
      <c r="GZ47" s="83">
        <f>SUM(GZ41:GZ46)</f>
        <v>26</v>
      </c>
      <c r="HA47" s="83"/>
      <c r="HB47" s="83"/>
      <c r="HC47" s="83"/>
      <c r="HD47" s="83"/>
      <c r="HE47" s="83"/>
      <c r="HF47" s="83"/>
      <c r="HG47" s="83"/>
      <c r="HH47" s="83">
        <f>SUM(HH41:HH46)</f>
        <v>26</v>
      </c>
      <c r="HI47" s="83">
        <f>SUM(HI41:HI46)</f>
        <v>26</v>
      </c>
      <c r="HJ47" s="83"/>
      <c r="HK47" s="105"/>
      <c r="HL47" s="83"/>
      <c r="HM47" s="83"/>
      <c r="HN47" s="83"/>
      <c r="HO47" s="83"/>
      <c r="HP47" s="83"/>
      <c r="HQ47" s="83"/>
      <c r="HR47" s="83"/>
      <c r="HS47" s="83"/>
      <c r="HT47" s="83"/>
      <c r="HU47" s="83"/>
      <c r="HV47" s="83"/>
      <c r="HW47" s="83"/>
      <c r="HX47" s="83"/>
      <c r="HY47" s="83"/>
      <c r="HZ47" s="83"/>
      <c r="IA47" s="83"/>
      <c r="IB47" s="83"/>
      <c r="IC47" s="83"/>
      <c r="ID47" s="83"/>
      <c r="IE47" s="83"/>
      <c r="IF47" s="83"/>
      <c r="IG47" s="83"/>
      <c r="IH47" s="83"/>
      <c r="II47" s="83"/>
      <c r="IJ47" s="83"/>
      <c r="IK47" s="83"/>
      <c r="IL47" s="83"/>
      <c r="IM47" s="83"/>
      <c r="IN47" s="83"/>
      <c r="IO47" s="83"/>
      <c r="IP47" s="83"/>
      <c r="IQ47" s="83"/>
      <c r="IR47" s="83"/>
      <c r="IS47" s="83"/>
      <c r="IT47" s="83"/>
      <c r="IU47" s="83"/>
      <c r="IV47" s="83"/>
      <c r="IW47" s="83"/>
      <c r="IX47" s="83"/>
      <c r="IY47" s="83"/>
      <c r="IZ47" s="83"/>
      <c r="JA47" s="83"/>
      <c r="JB47" s="83"/>
      <c r="JC47" s="83"/>
      <c r="JD47" s="83"/>
      <c r="JE47" s="83"/>
      <c r="JF47" s="83"/>
      <c r="JG47" s="83"/>
      <c r="JH47" s="83"/>
      <c r="JI47" s="83"/>
      <c r="JJ47" s="83"/>
      <c r="JK47" s="83"/>
    </row>
    <row r="48" spans="1:433 16383:16384" x14ac:dyDescent="0.2">
      <c r="F48" s="195"/>
      <c r="G48" s="195"/>
      <c r="H48" s="195"/>
      <c r="I48" s="195"/>
      <c r="J48" s="195"/>
      <c r="K48" s="195"/>
      <c r="L48" s="195"/>
      <c r="M48" s="195"/>
      <c r="N48" s="195"/>
      <c r="O48" s="195"/>
    </row>
    <row r="49" spans="6:15" x14ac:dyDescent="0.2">
      <c r="F49" s="195"/>
      <c r="G49" s="195"/>
      <c r="H49" s="195"/>
      <c r="I49" s="195"/>
      <c r="J49" s="195"/>
      <c r="K49" s="195"/>
      <c r="L49" s="195"/>
      <c r="M49" s="195"/>
      <c r="N49" s="195"/>
      <c r="O49" s="195"/>
    </row>
    <row r="50" spans="6:15" x14ac:dyDescent="0.2">
      <c r="F50" s="195"/>
      <c r="G50" s="195"/>
      <c r="H50" s="195"/>
      <c r="I50" s="195"/>
      <c r="J50" s="195"/>
      <c r="K50" s="195"/>
      <c r="L50" s="195"/>
      <c r="M50" s="195"/>
      <c r="N50" s="195"/>
      <c r="O50" s="195"/>
    </row>
    <row r="51" spans="6:15" x14ac:dyDescent="0.2">
      <c r="F51" s="195"/>
      <c r="G51" s="195"/>
      <c r="H51" s="195"/>
      <c r="I51" s="195"/>
      <c r="J51" s="195"/>
      <c r="K51" s="195"/>
      <c r="L51" s="195"/>
      <c r="M51" s="195"/>
      <c r="N51" s="195"/>
      <c r="O51" s="195"/>
    </row>
    <row r="52" spans="6:15" x14ac:dyDescent="0.2">
      <c r="F52" s="195"/>
      <c r="G52" s="195"/>
      <c r="H52" s="195"/>
      <c r="I52" s="195"/>
      <c r="J52" s="195"/>
      <c r="K52" s="195"/>
      <c r="L52" s="195"/>
      <c r="M52" s="195"/>
      <c r="N52" s="195"/>
      <c r="O52" s="195"/>
    </row>
    <row r="53" spans="6:15" x14ac:dyDescent="0.2">
      <c r="F53" s="195"/>
      <c r="G53" s="195"/>
      <c r="H53" s="195"/>
      <c r="I53" s="195"/>
      <c r="J53" s="195"/>
      <c r="K53" s="195"/>
      <c r="L53" s="195"/>
      <c r="M53" s="195"/>
      <c r="N53" s="195"/>
      <c r="O53" s="195"/>
    </row>
    <row r="54" spans="6:15" x14ac:dyDescent="0.2">
      <c r="F54" s="195"/>
      <c r="G54" s="195"/>
      <c r="H54" s="195"/>
      <c r="I54" s="195"/>
      <c r="J54" s="195"/>
      <c r="K54" s="195"/>
      <c r="L54" s="195"/>
      <c r="M54" s="195"/>
      <c r="N54" s="195"/>
      <c r="O54" s="195"/>
    </row>
    <row r="55" spans="6:15" x14ac:dyDescent="0.2">
      <c r="F55" s="195"/>
      <c r="G55" s="195"/>
      <c r="H55" s="195"/>
      <c r="I55" s="195"/>
      <c r="J55" s="195"/>
      <c r="K55" s="195"/>
      <c r="L55" s="195"/>
      <c r="M55" s="195"/>
      <c r="N55" s="195"/>
      <c r="O55" s="195"/>
    </row>
    <row r="56" spans="6:15" x14ac:dyDescent="0.2">
      <c r="F56" s="195"/>
      <c r="G56" s="195"/>
      <c r="H56" s="195"/>
      <c r="I56" s="195"/>
      <c r="J56" s="195"/>
      <c r="K56" s="195"/>
      <c r="L56" s="195"/>
      <c r="M56" s="195"/>
      <c r="N56" s="195"/>
      <c r="O56" s="195"/>
    </row>
    <row r="57" spans="6:15" x14ac:dyDescent="0.2">
      <c r="F57" s="195"/>
      <c r="G57" s="195"/>
      <c r="H57" s="195"/>
      <c r="I57" s="195"/>
      <c r="J57" s="195"/>
      <c r="K57" s="195"/>
      <c r="L57" s="195"/>
      <c r="M57" s="195"/>
      <c r="N57" s="195"/>
      <c r="O57" s="195"/>
    </row>
    <row r="58" spans="6:15" x14ac:dyDescent="0.2">
      <c r="F58" s="195"/>
      <c r="G58" s="195"/>
      <c r="H58" s="195"/>
      <c r="I58" s="195"/>
      <c r="J58" s="195"/>
      <c r="K58" s="195"/>
      <c r="L58" s="195"/>
      <c r="M58" s="195"/>
      <c r="N58" s="195"/>
      <c r="O58" s="195"/>
    </row>
    <row r="59" spans="6:15" x14ac:dyDescent="0.2">
      <c r="F59" s="195"/>
      <c r="G59" s="195"/>
      <c r="H59" s="195"/>
      <c r="I59" s="195"/>
      <c r="J59" s="195"/>
      <c r="K59" s="195"/>
      <c r="L59" s="195"/>
      <c r="M59" s="195"/>
      <c r="N59" s="195"/>
      <c r="O59" s="195"/>
    </row>
  </sheetData>
  <sortState xmlns:xlrd2="http://schemas.microsoft.com/office/spreadsheetml/2017/richdata2" ref="B9:AG29">
    <sortCondition ref="C9:C29"/>
  </sortState>
  <mergeCells count="331">
    <mergeCell ref="PA5:PL5"/>
    <mergeCell ref="PA6:PF6"/>
    <mergeCell ref="PG6:PL6"/>
    <mergeCell ref="PD7:PD8"/>
    <mergeCell ref="PE7:PE8"/>
    <mergeCell ref="PF7:PF8"/>
    <mergeCell ref="PJ7:PJ8"/>
    <mergeCell ref="PK7:PK8"/>
    <mergeCell ref="PL7:PL8"/>
    <mergeCell ref="PO1:PQ1"/>
    <mergeCell ref="PO2:PO7"/>
    <mergeCell ref="PP2:PP7"/>
    <mergeCell ref="PQ2:PQ7"/>
    <mergeCell ref="KD4:KD8"/>
    <mergeCell ref="KE4:KE8"/>
    <mergeCell ref="OO5:OO8"/>
    <mergeCell ref="OP5:OP8"/>
    <mergeCell ref="OQ5:OQ8"/>
    <mergeCell ref="OR5:OR8"/>
    <mergeCell ref="OS5:OS8"/>
    <mergeCell ref="OT5:OT8"/>
    <mergeCell ref="OU5:OU8"/>
    <mergeCell ref="LF6:LF8"/>
    <mergeCell ref="LG6:LG8"/>
    <mergeCell ref="LH6:LH8"/>
    <mergeCell ref="LI6:LI8"/>
    <mergeCell ref="LJ6:LJ8"/>
    <mergeCell ref="LK6:LK8"/>
    <mergeCell ref="LL6:LL8"/>
    <mergeCell ref="NJ5:NJ8"/>
    <mergeCell ref="MC6:MC8"/>
    <mergeCell ref="MD6:MD8"/>
    <mergeCell ref="ME6:ME8"/>
    <mergeCell ref="OV5:OV8"/>
    <mergeCell ref="OW5:OW8"/>
    <mergeCell ref="NZ4:NZ8"/>
    <mergeCell ref="KP7:KP8"/>
    <mergeCell ref="KQ7:KQ8"/>
    <mergeCell ref="KR7:KR8"/>
    <mergeCell ref="KU5:KU7"/>
    <mergeCell ref="KV5:KV7"/>
    <mergeCell ref="KW5:KW8"/>
    <mergeCell ref="KX5:KX8"/>
    <mergeCell ref="KY5:KY8"/>
    <mergeCell ref="KZ5:LA7"/>
    <mergeCell ref="LB5:LC7"/>
    <mergeCell ref="LD5:LE7"/>
    <mergeCell ref="LF5:LL5"/>
    <mergeCell ref="MJ6:MJ8"/>
    <mergeCell ref="MK6:MK8"/>
    <mergeCell ref="ML6:ML8"/>
    <mergeCell ref="MM6:MM8"/>
    <mergeCell ref="MN6:MN8"/>
    <mergeCell ref="NK5:NK8"/>
    <mergeCell ref="MP5:MW5"/>
    <mergeCell ref="MX5:NB5"/>
    <mergeCell ref="NC5:NE6"/>
    <mergeCell ref="JX7:JX8"/>
    <mergeCell ref="JZ7:JZ8"/>
    <mergeCell ref="KA7:KA8"/>
    <mergeCell ref="KB7:KB8"/>
    <mergeCell ref="KH7:KH8"/>
    <mergeCell ref="KI7:KJ7"/>
    <mergeCell ref="KK7:KL7"/>
    <mergeCell ref="KM7:KM8"/>
    <mergeCell ref="KN7:KN8"/>
    <mergeCell ref="JQ3:KB3"/>
    <mergeCell ref="KG3:KR3"/>
    <mergeCell ref="JP4:JP8"/>
    <mergeCell ref="JQ4:JQ8"/>
    <mergeCell ref="JR4:KB4"/>
    <mergeCell ref="KF4:KF8"/>
    <mergeCell ref="KG4:KG8"/>
    <mergeCell ref="KH4:KR4"/>
    <mergeCell ref="JR5:JX5"/>
    <mergeCell ref="JY5:KB5"/>
    <mergeCell ref="KH5:KN5"/>
    <mergeCell ref="KO5:KR5"/>
    <mergeCell ref="JR6:JV6"/>
    <mergeCell ref="JW6:JX6"/>
    <mergeCell ref="JY6:JY8"/>
    <mergeCell ref="JZ6:KB6"/>
    <mergeCell ref="KH6:KL6"/>
    <mergeCell ref="KM6:KN6"/>
    <mergeCell ref="KO6:KO8"/>
    <mergeCell ref="KP6:KR6"/>
    <mergeCell ref="JR7:JR8"/>
    <mergeCell ref="JS7:JT7"/>
    <mergeCell ref="JU7:JV7"/>
    <mergeCell ref="JW7:JW8"/>
    <mergeCell ref="IO6:IQ7"/>
    <mergeCell ref="IS6:IU7"/>
    <mergeCell ref="IW6:IY7"/>
    <mergeCell ref="JA6:JC7"/>
    <mergeCell ref="HK4:HK8"/>
    <mergeCell ref="HC5:HC8"/>
    <mergeCell ref="HD5:HD8"/>
    <mergeCell ref="HE5:HE8"/>
    <mergeCell ref="HF5:HF8"/>
    <mergeCell ref="GV7:GV8"/>
    <mergeCell ref="GW7:GW8"/>
    <mergeCell ref="HV7:HX7"/>
    <mergeCell ref="HY7:IA7"/>
    <mergeCell ref="IB7:ID7"/>
    <mergeCell ref="IE7:IG7"/>
    <mergeCell ref="IH7:IJ7"/>
    <mergeCell ref="IK7:IM7"/>
    <mergeCell ref="HP6:HR7"/>
    <mergeCell ref="HS6:HU7"/>
    <mergeCell ref="HV6:IA6"/>
    <mergeCell ref="IB6:IG6"/>
    <mergeCell ref="IH6:IM6"/>
    <mergeCell ref="FT2:FT7"/>
    <mergeCell ref="FU2:FU7"/>
    <mergeCell ref="FV2:FV7"/>
    <mergeCell ref="D3:E3"/>
    <mergeCell ref="GX3:GY3"/>
    <mergeCell ref="GO4:GT5"/>
    <mergeCell ref="GV4:GW6"/>
    <mergeCell ref="GZ4:GZ8"/>
    <mergeCell ref="HC4:HI4"/>
    <mergeCell ref="GK4:GK8"/>
    <mergeCell ref="GD4:GD8"/>
    <mergeCell ref="GE4:GE8"/>
    <mergeCell ref="GG4:GG8"/>
    <mergeCell ref="EG2:EG8"/>
    <mergeCell ref="EH2:EH8"/>
    <mergeCell ref="EI2:EI7"/>
    <mergeCell ref="FL2:FL7"/>
    <mergeCell ref="FM2:FM7"/>
    <mergeCell ref="FK2:FK7"/>
    <mergeCell ref="FN2:FN7"/>
    <mergeCell ref="EJ2:EJ7"/>
    <mergeCell ref="EK2:EP2"/>
    <mergeCell ref="EQ2:EQ7"/>
    <mergeCell ref="ER2:ER7"/>
    <mergeCell ref="BO3:BZ3"/>
    <mergeCell ref="CE3:CP3"/>
    <mergeCell ref="BO4:BO8"/>
    <mergeCell ref="BP4:BZ4"/>
    <mergeCell ref="CB4:CB8"/>
    <mergeCell ref="CD4:CD8"/>
    <mergeCell ref="CE4:CE8"/>
    <mergeCell ref="CF4:CP4"/>
    <mergeCell ref="BP5:BV5"/>
    <mergeCell ref="BW5:BZ5"/>
    <mergeCell ref="CF5:CL5"/>
    <mergeCell ref="CM5:CP5"/>
    <mergeCell ref="CM6:CM8"/>
    <mergeCell ref="CK6:CL6"/>
    <mergeCell ref="CK7:CK8"/>
    <mergeCell ref="CL7:CL8"/>
    <mergeCell ref="A4:A8"/>
    <mergeCell ref="B4:B8"/>
    <mergeCell ref="C4:C8"/>
    <mergeCell ref="D4:E6"/>
    <mergeCell ref="AI4:AK4"/>
    <mergeCell ref="AI5:AK7"/>
    <mergeCell ref="N6:Q7"/>
    <mergeCell ref="J6:M7"/>
    <mergeCell ref="F5:I7"/>
    <mergeCell ref="J5:Q5"/>
    <mergeCell ref="R5:U7"/>
    <mergeCell ref="V5:Z7"/>
    <mergeCell ref="AF6:AF8"/>
    <mergeCell ref="AG6:AG8"/>
    <mergeCell ref="AF4:AH5"/>
    <mergeCell ref="F4:AE4"/>
    <mergeCell ref="AA5:AE7"/>
    <mergeCell ref="AH6:AH8"/>
    <mergeCell ref="D7:E7"/>
    <mergeCell ref="AL4:AM5"/>
    <mergeCell ref="AL6:AL8"/>
    <mergeCell ref="AM6:AM8"/>
    <mergeCell ref="AO4:AZ4"/>
    <mergeCell ref="AO5:AP6"/>
    <mergeCell ref="AS5:AT6"/>
    <mergeCell ref="AQ5:AR6"/>
    <mergeCell ref="AU5:AV6"/>
    <mergeCell ref="AW5:AX6"/>
    <mergeCell ref="AY5:AZ6"/>
    <mergeCell ref="FH2:FH7"/>
    <mergeCell ref="FI2:FI7"/>
    <mergeCell ref="FJ2:FJ7"/>
    <mergeCell ref="ES2:ES7"/>
    <mergeCell ref="ET2:ET7"/>
    <mergeCell ref="AN4:AN8"/>
    <mergeCell ref="EB6:EB8"/>
    <mergeCell ref="BP6:BT6"/>
    <mergeCell ref="BU6:BV6"/>
    <mergeCell ref="BW6:BW8"/>
    <mergeCell ref="CN6:CP6"/>
    <mergeCell ref="CP7:CP8"/>
    <mergeCell ref="BA4:BA8"/>
    <mergeCell ref="BB4:BB8"/>
    <mergeCell ref="CN7:CN8"/>
    <mergeCell ref="CO7:CO8"/>
    <mergeCell ref="BP7:BP8"/>
    <mergeCell ref="BQ7:BR7"/>
    <mergeCell ref="BS7:BT7"/>
    <mergeCell ref="BU7:BU8"/>
    <mergeCell ref="BV7:BV8"/>
    <mergeCell ref="CF6:CJ6"/>
    <mergeCell ref="BN4:BN8"/>
    <mergeCell ref="BY7:BY8"/>
    <mergeCell ref="FO2:FO7"/>
    <mergeCell ref="FP2:FP7"/>
    <mergeCell ref="FQ2:FQ7"/>
    <mergeCell ref="FR2:FR7"/>
    <mergeCell ref="FS2:FS7"/>
    <mergeCell ref="EK3:EK7"/>
    <mergeCell ref="EL3:EL7"/>
    <mergeCell ref="EM3:EM7"/>
    <mergeCell ref="EN3:EN7"/>
    <mergeCell ref="EO3:EO7"/>
    <mergeCell ref="EP3:EP7"/>
    <mergeCell ref="EW3:EW7"/>
    <mergeCell ref="EX3:EX7"/>
    <mergeCell ref="EY3:EY7"/>
    <mergeCell ref="EU2:EU7"/>
    <mergeCell ref="EV2:EV7"/>
    <mergeCell ref="EW2:EY2"/>
    <mergeCell ref="EZ2:EZ7"/>
    <mergeCell ref="FA2:FA7"/>
    <mergeCell ref="FB2:FB7"/>
    <mergeCell ref="FD2:FD7"/>
    <mergeCell ref="FC2:FC7"/>
    <mergeCell ref="FF2:FF7"/>
    <mergeCell ref="FE2:FE7"/>
    <mergeCell ref="DV4:EB5"/>
    <mergeCell ref="DV6:DV8"/>
    <mergeCell ref="DW6:DW8"/>
    <mergeCell ref="DX6:DX8"/>
    <mergeCell ref="DY6:DY8"/>
    <mergeCell ref="DZ6:DZ8"/>
    <mergeCell ref="EA6:EA8"/>
    <mergeCell ref="BE6:BE8"/>
    <mergeCell ref="BF6:BF8"/>
    <mergeCell ref="BG6:BG8"/>
    <mergeCell ref="BH6:BH8"/>
    <mergeCell ref="BI6:BI8"/>
    <mergeCell ref="BX7:BX8"/>
    <mergeCell ref="CF7:CF8"/>
    <mergeCell ref="CG7:CH7"/>
    <mergeCell ref="CI7:CJ7"/>
    <mergeCell ref="BZ7:BZ8"/>
    <mergeCell ref="BX6:BZ6"/>
    <mergeCell ref="BE4:BK5"/>
    <mergeCell ref="BJ6:BJ8"/>
    <mergeCell ref="BK6:BK8"/>
    <mergeCell ref="NE7:NE8"/>
    <mergeCell ref="NF7:NF8"/>
    <mergeCell ref="NG7:NG8"/>
    <mergeCell ref="MY6:MY8"/>
    <mergeCell ref="MZ6:MZ8"/>
    <mergeCell ref="NA6:NA8"/>
    <mergeCell ref="GJ4:GJ8"/>
    <mergeCell ref="FY4:FY8"/>
    <mergeCell ref="FZ4:FZ8"/>
    <mergeCell ref="GA4:GA8"/>
    <mergeCell ref="GB4:GB8"/>
    <mergeCell ref="GC4:GC8"/>
    <mergeCell ref="GH4:GH8"/>
    <mergeCell ref="HG5:HG8"/>
    <mergeCell ref="HH5:HH7"/>
    <mergeCell ref="HI5:HI7"/>
    <mergeCell ref="GO6:GO8"/>
    <mergeCell ref="GP6:GP8"/>
    <mergeCell ref="GQ6:GQ8"/>
    <mergeCell ref="GR6:GR8"/>
    <mergeCell ref="GS6:GS8"/>
    <mergeCell ref="GT6:GT8"/>
    <mergeCell ref="JE6:JG7"/>
    <mergeCell ref="JI6:JK7"/>
    <mergeCell ref="LM6:LM8"/>
    <mergeCell ref="LN6:LN8"/>
    <mergeCell ref="MO6:MO8"/>
    <mergeCell ref="MP6:MP8"/>
    <mergeCell ref="MQ6:MQ8"/>
    <mergeCell ref="LX6:LX8"/>
    <mergeCell ref="LY6:LY8"/>
    <mergeCell ref="LZ6:LZ8"/>
    <mergeCell ref="NF5:NI6"/>
    <mergeCell ref="MA6:MA8"/>
    <mergeCell ref="MB6:MB8"/>
    <mergeCell ref="NH7:NH8"/>
    <mergeCell ref="NI7:NI8"/>
    <mergeCell ref="MR6:MR8"/>
    <mergeCell ref="MS6:MS8"/>
    <mergeCell ref="MT6:MT8"/>
    <mergeCell ref="MU6:MU8"/>
    <mergeCell ref="MV6:MV8"/>
    <mergeCell ref="MW6:MW8"/>
    <mergeCell ref="MX6:MX8"/>
    <mergeCell ref="NB6:NB8"/>
    <mergeCell ref="NC7:NC8"/>
    <mergeCell ref="MF6:MF8"/>
    <mergeCell ref="MG6:MG8"/>
    <mergeCell ref="LQ6:LQ8"/>
    <mergeCell ref="LR6:LR8"/>
    <mergeCell ref="LS6:LS8"/>
    <mergeCell ref="LT6:LT8"/>
    <mergeCell ref="LU6:LU8"/>
    <mergeCell ref="LV6:LV8"/>
    <mergeCell ref="LW6:LW8"/>
    <mergeCell ref="MH6:MH8"/>
    <mergeCell ref="MI6:MI8"/>
    <mergeCell ref="FX4:FX8"/>
    <mergeCell ref="PA7:PA8"/>
    <mergeCell ref="PB7:PB8"/>
    <mergeCell ref="PC7:PC8"/>
    <mergeCell ref="PG7:PG8"/>
    <mergeCell ref="PH7:PH8"/>
    <mergeCell ref="PI7:PI8"/>
    <mergeCell ref="OE5:OE8"/>
    <mergeCell ref="OF5:OF8"/>
    <mergeCell ref="OG5:OG8"/>
    <mergeCell ref="OH5:OH8"/>
    <mergeCell ref="OI5:OI8"/>
    <mergeCell ref="OJ5:OJ8"/>
    <mergeCell ref="OK5:OK8"/>
    <mergeCell ref="OL5:OL8"/>
    <mergeCell ref="OM5:OM8"/>
    <mergeCell ref="NM7:NT7"/>
    <mergeCell ref="ND7:ND8"/>
    <mergeCell ref="LM5:LS5"/>
    <mergeCell ref="LT5:LZ5"/>
    <mergeCell ref="MA5:MJ5"/>
    <mergeCell ref="MK5:MO5"/>
    <mergeCell ref="LO6:LO8"/>
    <mergeCell ref="LP6:LP8"/>
  </mergeCells>
  <conditionalFormatting sqref="FY9:GE27 FY30:GE31">
    <cfRule type="cellIs" dxfId="126" priority="50" operator="greaterThan">
      <formula>0</formula>
    </cfRule>
  </conditionalFormatting>
  <conditionalFormatting sqref="JJ9:JK27 JJ30:JK31">
    <cfRule type="cellIs" dxfId="125" priority="46" operator="notEqual">
      <formula>0</formula>
    </cfRule>
  </conditionalFormatting>
  <conditionalFormatting sqref="JJ38:JK38">
    <cfRule type="cellIs" dxfId="124" priority="45" operator="notEqual">
      <formula>0</formula>
    </cfRule>
  </conditionalFormatting>
  <conditionalFormatting sqref="KT9:KT27 KT30:KT31">
    <cfRule type="cellIs" dxfId="123" priority="44" operator="notEqual">
      <formula>0</formula>
    </cfRule>
  </conditionalFormatting>
  <conditionalFormatting sqref="PA9:PC27 PA30:PC31">
    <cfRule type="cellIs" dxfId="122" priority="40" operator="equal">
      <formula>0</formula>
    </cfRule>
  </conditionalFormatting>
  <conditionalFormatting sqref="PA9:PC27 PA30:PC31">
    <cfRule type="cellIs" dxfId="121" priority="39" operator="equal">
      <formula>0</formula>
    </cfRule>
  </conditionalFormatting>
  <conditionalFormatting sqref="PA9:PC27 PA30:PC31">
    <cfRule type="cellIs" dxfId="120" priority="38" operator="equal">
      <formula>0</formula>
    </cfRule>
  </conditionalFormatting>
  <conditionalFormatting sqref="PC9:PC27 PC30:PC31">
    <cfRule type="cellIs" dxfId="119" priority="37" operator="equal">
      <formula>0</formula>
    </cfRule>
  </conditionalFormatting>
  <conditionalFormatting sqref="FY32:GE34">
    <cfRule type="cellIs" dxfId="118" priority="36" operator="greaterThan">
      <formula>0</formula>
    </cfRule>
  </conditionalFormatting>
  <conditionalFormatting sqref="JJ32:JK34">
    <cfRule type="cellIs" dxfId="117" priority="35" operator="notEqual">
      <formula>0</formula>
    </cfRule>
  </conditionalFormatting>
  <conditionalFormatting sqref="KT32:KT34">
    <cfRule type="cellIs" dxfId="116" priority="34" operator="notEqual">
      <formula>0</formula>
    </cfRule>
  </conditionalFormatting>
  <conditionalFormatting sqref="PA32:PC34">
    <cfRule type="cellIs" dxfId="115" priority="33" operator="equal">
      <formula>0</formula>
    </cfRule>
  </conditionalFormatting>
  <conditionalFormatting sqref="PA32:PC34">
    <cfRule type="cellIs" dxfId="114" priority="32" operator="equal">
      <formula>0</formula>
    </cfRule>
  </conditionalFormatting>
  <conditionalFormatting sqref="PA32:PC34">
    <cfRule type="cellIs" dxfId="113" priority="31" operator="equal">
      <formula>0</formula>
    </cfRule>
  </conditionalFormatting>
  <conditionalFormatting sqref="PC32:PC34">
    <cfRule type="cellIs" dxfId="112" priority="30" operator="equal">
      <formula>0</formula>
    </cfRule>
  </conditionalFormatting>
  <conditionalFormatting sqref="FY28:GE28">
    <cfRule type="cellIs" dxfId="111" priority="29" operator="greaterThan">
      <formula>0</formula>
    </cfRule>
  </conditionalFormatting>
  <conditionalFormatting sqref="JJ28:JK28">
    <cfRule type="cellIs" dxfId="110" priority="28" operator="notEqual">
      <formula>0</formula>
    </cfRule>
  </conditionalFormatting>
  <conditionalFormatting sqref="KT28">
    <cfRule type="cellIs" dxfId="109" priority="27" operator="notEqual">
      <formula>0</formula>
    </cfRule>
  </conditionalFormatting>
  <conditionalFormatting sqref="PA28:PC28">
    <cfRule type="cellIs" dxfId="108" priority="26" operator="equal">
      <formula>0</formula>
    </cfRule>
  </conditionalFormatting>
  <conditionalFormatting sqref="PA28:PC28">
    <cfRule type="cellIs" dxfId="107" priority="25" operator="equal">
      <formula>0</formula>
    </cfRule>
  </conditionalFormatting>
  <conditionalFormatting sqref="PA28:PC28">
    <cfRule type="cellIs" dxfId="106" priority="24" operator="equal">
      <formula>0</formula>
    </cfRule>
  </conditionalFormatting>
  <conditionalFormatting sqref="PC28">
    <cfRule type="cellIs" dxfId="105" priority="23" operator="equal">
      <formula>0</formula>
    </cfRule>
  </conditionalFormatting>
  <conditionalFormatting sqref="FY29:GE29">
    <cfRule type="cellIs" dxfId="104" priority="22" operator="greaterThan">
      <formula>0</formula>
    </cfRule>
  </conditionalFormatting>
  <conditionalFormatting sqref="JJ29:JK29">
    <cfRule type="cellIs" dxfId="103" priority="21" operator="notEqual">
      <formula>0</formula>
    </cfRule>
  </conditionalFormatting>
  <conditionalFormatting sqref="KT29">
    <cfRule type="cellIs" dxfId="102" priority="20" operator="notEqual">
      <formula>0</formula>
    </cfRule>
  </conditionalFormatting>
  <conditionalFormatting sqref="PA29:PC29">
    <cfRule type="cellIs" dxfId="101" priority="19" operator="equal">
      <formula>0</formula>
    </cfRule>
  </conditionalFormatting>
  <conditionalFormatting sqref="PA29:PC29">
    <cfRule type="cellIs" dxfId="100" priority="18" operator="equal">
      <formula>0</formula>
    </cfRule>
  </conditionalFormatting>
  <conditionalFormatting sqref="PA29:PC29">
    <cfRule type="cellIs" dxfId="99" priority="17" operator="equal">
      <formula>0</formula>
    </cfRule>
  </conditionalFormatting>
  <conditionalFormatting sqref="PC29">
    <cfRule type="cellIs" dxfId="98" priority="16" operator="equal">
      <formula>0</formula>
    </cfRule>
  </conditionalFormatting>
  <conditionalFormatting sqref="PD9:PF34">
    <cfRule type="cellIs" dxfId="97" priority="15" operator="equal">
      <formula>0</formula>
    </cfRule>
  </conditionalFormatting>
  <conditionalFormatting sqref="PD9:PF34">
    <cfRule type="cellIs" dxfId="96" priority="14" operator="equal">
      <formula>0</formula>
    </cfRule>
  </conditionalFormatting>
  <conditionalFormatting sqref="PD9:PF34">
    <cfRule type="cellIs" dxfId="95" priority="13" operator="equal">
      <formula>0</formula>
    </cfRule>
  </conditionalFormatting>
  <conditionalFormatting sqref="PD9:PF34">
    <cfRule type="cellIs" dxfId="94" priority="12" operator="equal">
      <formula>0</formula>
    </cfRule>
  </conditionalFormatting>
  <conditionalFormatting sqref="FY35:GE35">
    <cfRule type="cellIs" dxfId="93" priority="11" operator="greaterThan">
      <formula>0</formula>
    </cfRule>
  </conditionalFormatting>
  <conditionalFormatting sqref="JJ35:JK35">
    <cfRule type="cellIs" dxfId="92" priority="10" operator="notEqual">
      <formula>0</formula>
    </cfRule>
  </conditionalFormatting>
  <conditionalFormatting sqref="KT35">
    <cfRule type="cellIs" dxfId="91" priority="9" operator="notEqual">
      <formula>0</formula>
    </cfRule>
  </conditionalFormatting>
  <conditionalFormatting sqref="PA35:PC35">
    <cfRule type="cellIs" dxfId="90" priority="8" operator="equal">
      <formula>0</formula>
    </cfRule>
  </conditionalFormatting>
  <conditionalFormatting sqref="PA35:PC35">
    <cfRule type="cellIs" dxfId="89" priority="7" operator="equal">
      <formula>0</formula>
    </cfRule>
  </conditionalFormatting>
  <conditionalFormatting sqref="PA35:PC35">
    <cfRule type="cellIs" dxfId="88" priority="6" operator="equal">
      <formula>0</formula>
    </cfRule>
  </conditionalFormatting>
  <conditionalFormatting sqref="PC35">
    <cfRule type="cellIs" dxfId="87" priority="5" operator="equal">
      <formula>0</formula>
    </cfRule>
  </conditionalFormatting>
  <conditionalFormatting sqref="PD35:PF35">
    <cfRule type="cellIs" dxfId="86" priority="4" operator="equal">
      <formula>0</formula>
    </cfRule>
  </conditionalFormatting>
  <conditionalFormatting sqref="PD35:PF35">
    <cfRule type="cellIs" dxfId="85" priority="3" operator="equal">
      <formula>0</formula>
    </cfRule>
  </conditionalFormatting>
  <conditionalFormatting sqref="PD35:PF35">
    <cfRule type="cellIs" dxfId="84" priority="2" operator="equal">
      <formula>0</formula>
    </cfRule>
  </conditionalFormatting>
  <conditionalFormatting sqref="PD35:PF35">
    <cfRule type="cellIs" dxfId="83" priority="1" operator="equal">
      <formula>0</formula>
    </cfRule>
  </conditionalFormatting>
  <pageMargins left="0.7" right="0.7" top="0.75" bottom="0.75" header="0.3" footer="0.3"/>
  <pageSetup paperSize="9" orientation="portrait" horizontalDpi="4294967293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Q46"/>
  <sheetViews>
    <sheetView showGridLines="0" zoomScale="70" zoomScaleNormal="70" workbookViewId="0">
      <pane xSplit="5" ySplit="8" topLeftCell="OR9" activePane="bottomRight" state="frozen"/>
      <selection activeCell="NZ67" sqref="NZ67"/>
      <selection pane="topRight" activeCell="NZ67" sqref="NZ67"/>
      <selection pane="bottomLeft" activeCell="NZ67" sqref="NZ67"/>
      <selection pane="bottomRight" activeCell="NZ67" sqref="NZ67"/>
    </sheetView>
  </sheetViews>
  <sheetFormatPr baseColWidth="10" defaultColWidth="8.5" defaultRowHeight="15" x14ac:dyDescent="0.2"/>
  <cols>
    <col min="1" max="1" width="9.5" customWidth="1"/>
    <col min="2" max="2" width="31.5" bestFit="1" customWidth="1"/>
    <col min="3" max="3" width="10.5" bestFit="1" customWidth="1"/>
    <col min="4" max="4" width="7.5" bestFit="1" customWidth="1"/>
    <col min="5" max="5" width="10" bestFit="1" customWidth="1"/>
    <col min="6" max="6" width="7.5" bestFit="1" customWidth="1"/>
    <col min="7" max="7" width="8.5" bestFit="1" customWidth="1"/>
    <col min="8" max="8" width="10.5" bestFit="1" customWidth="1"/>
    <col min="9" max="9" width="8.5" bestFit="1" customWidth="1"/>
    <col min="10" max="10" width="7.5" bestFit="1" customWidth="1"/>
    <col min="11" max="11" width="8.5" bestFit="1" customWidth="1"/>
    <col min="12" max="12" width="10.5" bestFit="1" customWidth="1"/>
    <col min="13" max="13" width="8.5" bestFit="1" customWidth="1"/>
    <col min="14" max="14" width="7.5" bestFit="1" customWidth="1"/>
    <col min="15" max="15" width="8.5" bestFit="1" customWidth="1"/>
    <col min="16" max="16" width="10.5" bestFit="1" customWidth="1"/>
    <col min="17" max="17" width="8.5" bestFit="1" customWidth="1"/>
    <col min="18" max="18" width="7.5" bestFit="1" customWidth="1"/>
    <col min="19" max="19" width="8.5" bestFit="1" customWidth="1"/>
    <col min="20" max="20" width="10.5" bestFit="1" customWidth="1"/>
    <col min="21" max="21" width="8.5" bestFit="1" customWidth="1"/>
    <col min="22" max="23" width="7.5" bestFit="1" customWidth="1"/>
    <col min="24" max="24" width="10.5" bestFit="1" customWidth="1"/>
    <col min="25" max="25" width="8.5" bestFit="1" customWidth="1"/>
    <col min="26" max="26" width="9.5" bestFit="1" customWidth="1"/>
    <col min="27" max="31" width="9.5" customWidth="1"/>
    <col min="32" max="32" width="14.5" customWidth="1"/>
    <col min="33" max="33" width="17.5" customWidth="1"/>
    <col min="34" max="34" width="13.5" bestFit="1" customWidth="1"/>
    <col min="37" max="37" width="21.5" bestFit="1" customWidth="1"/>
    <col min="38" max="38" width="14" customWidth="1"/>
    <col min="39" max="39" width="15.5" customWidth="1"/>
    <col min="40" max="40" width="23.5" customWidth="1"/>
    <col min="135" max="135" width="82.5" bestFit="1" customWidth="1"/>
    <col min="137" max="138" width="12.5" customWidth="1"/>
    <col min="139" max="177" width="15.5" customWidth="1"/>
    <col min="273" max="273" width="9.5" bestFit="1" customWidth="1"/>
  </cols>
  <sheetData>
    <row r="1" spans="1:433" ht="24" x14ac:dyDescent="0.2">
      <c r="A1" s="1" t="s">
        <v>0</v>
      </c>
      <c r="B1" s="2"/>
      <c r="C1" s="2"/>
      <c r="D1" s="2"/>
      <c r="E1" s="2"/>
      <c r="F1" s="2"/>
      <c r="G1" s="3"/>
      <c r="H1" s="3"/>
      <c r="I1" s="4"/>
      <c r="J1" s="4"/>
      <c r="K1" s="4"/>
      <c r="L1" s="4"/>
      <c r="M1" s="4"/>
      <c r="N1" s="4"/>
      <c r="O1" s="4"/>
      <c r="P1" s="4"/>
      <c r="Q1" s="4"/>
      <c r="R1" s="2"/>
      <c r="S1" s="2"/>
      <c r="T1" s="2"/>
      <c r="U1" s="2"/>
      <c r="V1" s="5"/>
      <c r="W1" s="5"/>
      <c r="X1" s="5"/>
      <c r="Y1" s="5"/>
      <c r="Z1" s="2"/>
      <c r="AA1" s="7"/>
      <c r="AB1" s="7"/>
      <c r="AC1" s="7"/>
      <c r="AD1" s="7"/>
      <c r="AE1" s="7"/>
      <c r="AF1" s="34" t="s">
        <v>294</v>
      </c>
      <c r="AG1" s="34" t="s">
        <v>296</v>
      </c>
      <c r="BF1" s="34" t="s">
        <v>294</v>
      </c>
      <c r="BG1" s="34"/>
      <c r="BH1" s="34" t="s">
        <v>296</v>
      </c>
      <c r="EI1" s="47">
        <v>1</v>
      </c>
      <c r="EJ1" s="47">
        <f>EI1+1</f>
        <v>2</v>
      </c>
      <c r="EK1" s="47">
        <f t="shared" ref="EK1:FF1" si="0">EJ1+1</f>
        <v>3</v>
      </c>
      <c r="EL1" s="47">
        <f t="shared" si="0"/>
        <v>4</v>
      </c>
      <c r="EM1" s="47">
        <f t="shared" si="0"/>
        <v>5</v>
      </c>
      <c r="EN1" s="47">
        <f t="shared" si="0"/>
        <v>6</v>
      </c>
      <c r="EO1" s="47">
        <f t="shared" si="0"/>
        <v>7</v>
      </c>
      <c r="EP1" s="47">
        <f t="shared" si="0"/>
        <v>8</v>
      </c>
      <c r="EQ1" s="47">
        <f t="shared" si="0"/>
        <v>9</v>
      </c>
      <c r="ER1" s="47">
        <f t="shared" si="0"/>
        <v>10</v>
      </c>
      <c r="ES1" s="47">
        <f t="shared" si="0"/>
        <v>11</v>
      </c>
      <c r="ET1" s="47">
        <f t="shared" si="0"/>
        <v>12</v>
      </c>
      <c r="EU1" s="47">
        <f t="shared" si="0"/>
        <v>13</v>
      </c>
      <c r="EV1" s="47">
        <f t="shared" si="0"/>
        <v>14</v>
      </c>
      <c r="EW1" s="47">
        <f t="shared" si="0"/>
        <v>15</v>
      </c>
      <c r="EX1" s="47">
        <f t="shared" si="0"/>
        <v>16</v>
      </c>
      <c r="EY1" s="47">
        <f t="shared" si="0"/>
        <v>17</v>
      </c>
      <c r="EZ1" s="47">
        <f t="shared" si="0"/>
        <v>18</v>
      </c>
      <c r="FA1" s="47">
        <f t="shared" si="0"/>
        <v>19</v>
      </c>
      <c r="FB1" s="47">
        <f t="shared" si="0"/>
        <v>20</v>
      </c>
      <c r="FC1" s="47">
        <f t="shared" si="0"/>
        <v>21</v>
      </c>
      <c r="FD1" s="47">
        <f t="shared" si="0"/>
        <v>22</v>
      </c>
      <c r="FE1" s="47">
        <f t="shared" si="0"/>
        <v>23</v>
      </c>
      <c r="FF1" s="47">
        <f t="shared" si="0"/>
        <v>24</v>
      </c>
      <c r="FH1" s="47">
        <f t="shared" ref="FH1:FV1" si="1">FG1+1</f>
        <v>1</v>
      </c>
      <c r="FI1" s="47">
        <f t="shared" si="1"/>
        <v>2</v>
      </c>
      <c r="FJ1" s="47">
        <f t="shared" si="1"/>
        <v>3</v>
      </c>
      <c r="FK1" s="47">
        <f t="shared" si="1"/>
        <v>4</v>
      </c>
      <c r="FL1" s="47">
        <f t="shared" si="1"/>
        <v>5</v>
      </c>
      <c r="FM1" s="47">
        <f t="shared" si="1"/>
        <v>6</v>
      </c>
      <c r="FN1" s="47">
        <f t="shared" si="1"/>
        <v>7</v>
      </c>
      <c r="FO1" s="47">
        <f t="shared" si="1"/>
        <v>8</v>
      </c>
      <c r="FP1" s="47">
        <f t="shared" si="1"/>
        <v>9</v>
      </c>
      <c r="FQ1" s="47">
        <f t="shared" si="1"/>
        <v>10</v>
      </c>
      <c r="FR1" s="47">
        <f t="shared" si="1"/>
        <v>11</v>
      </c>
      <c r="FS1" s="47">
        <f t="shared" si="1"/>
        <v>12</v>
      </c>
      <c r="FT1" s="47">
        <f t="shared" si="1"/>
        <v>13</v>
      </c>
      <c r="FU1" s="47">
        <f t="shared" si="1"/>
        <v>14</v>
      </c>
      <c r="FV1" s="47">
        <f t="shared" si="1"/>
        <v>15</v>
      </c>
      <c r="GO1" s="83"/>
      <c r="GP1" s="83"/>
      <c r="GQ1" s="83"/>
      <c r="GR1" s="83"/>
      <c r="GS1" s="83"/>
      <c r="GT1" s="83"/>
      <c r="GU1" s="83"/>
      <c r="GV1" s="83"/>
      <c r="GW1" s="83"/>
      <c r="GX1" s="83"/>
      <c r="GY1" s="83"/>
      <c r="GZ1" s="83"/>
      <c r="HA1" s="83"/>
      <c r="HB1" s="83"/>
      <c r="HC1" s="83"/>
      <c r="HD1" s="83"/>
      <c r="HE1" s="83"/>
      <c r="HF1" s="83"/>
      <c r="HG1" s="83"/>
      <c r="HH1" s="83"/>
      <c r="HI1" s="83"/>
      <c r="HJ1" s="83"/>
      <c r="HK1" s="83"/>
      <c r="HL1" s="83"/>
      <c r="HM1" s="83"/>
      <c r="HN1" s="83"/>
      <c r="HO1" s="83"/>
      <c r="HP1" s="84"/>
      <c r="HQ1" s="84"/>
      <c r="HR1" s="84"/>
      <c r="HS1" s="84" t="s">
        <v>425</v>
      </c>
      <c r="HT1" s="84"/>
      <c r="HU1" s="84"/>
      <c r="HV1" s="84"/>
      <c r="HW1" s="84"/>
      <c r="HX1" s="84"/>
      <c r="HY1" s="84"/>
      <c r="HZ1" s="84"/>
      <c r="IA1" s="84"/>
      <c r="IB1" s="84"/>
      <c r="IC1" s="84"/>
      <c r="ID1" s="84"/>
      <c r="IE1" s="84"/>
      <c r="IF1" s="84"/>
      <c r="IG1" s="84"/>
      <c r="IH1" s="84"/>
      <c r="II1" s="84"/>
      <c r="IJ1" s="84"/>
      <c r="IK1" s="84"/>
      <c r="IL1" s="84"/>
      <c r="IM1" s="83"/>
      <c r="IN1" s="83"/>
      <c r="IO1" s="83"/>
      <c r="IP1" s="83"/>
      <c r="IQ1" s="83"/>
      <c r="IR1" s="83"/>
      <c r="IS1" s="83"/>
      <c r="IT1" s="83"/>
      <c r="IU1" s="83"/>
      <c r="IV1" s="83"/>
      <c r="IW1" s="83"/>
      <c r="IX1" s="83"/>
      <c r="IY1" s="83"/>
      <c r="IZ1" s="83"/>
      <c r="JA1" s="83"/>
      <c r="JB1" s="83"/>
      <c r="JC1" s="83"/>
      <c r="JD1" s="83"/>
      <c r="JE1" s="83"/>
      <c r="JF1" s="83"/>
      <c r="JG1" s="83"/>
      <c r="JH1" s="83"/>
      <c r="JI1" s="83"/>
      <c r="JJ1" s="83"/>
      <c r="JK1" s="83"/>
      <c r="KS1">
        <v>1</v>
      </c>
      <c r="KT1" t="s">
        <v>580</v>
      </c>
      <c r="PO1" s="557" t="s">
        <v>630</v>
      </c>
      <c r="PP1" s="558"/>
      <c r="PQ1" s="559"/>
    </row>
    <row r="2" spans="1:433" ht="23.75" customHeight="1" x14ac:dyDescent="0.2">
      <c r="A2" s="6" t="s">
        <v>26</v>
      </c>
      <c r="B2" s="7"/>
      <c r="C2" s="7"/>
      <c r="D2" s="7"/>
      <c r="E2" s="7"/>
      <c r="F2" s="7"/>
      <c r="G2" s="8"/>
      <c r="H2" s="8"/>
      <c r="I2" s="9"/>
      <c r="J2" s="9"/>
      <c r="K2" s="9"/>
      <c r="L2" s="9"/>
      <c r="M2" s="9"/>
      <c r="N2" s="9"/>
      <c r="O2" s="9"/>
      <c r="P2" s="9"/>
      <c r="Q2" s="9"/>
      <c r="R2" s="7"/>
      <c r="S2" s="7"/>
      <c r="T2" s="7"/>
      <c r="U2" s="7"/>
      <c r="V2" s="10"/>
      <c r="W2" s="10"/>
      <c r="X2" s="10"/>
      <c r="Y2" s="10"/>
      <c r="Z2" s="7"/>
      <c r="AA2" s="7"/>
      <c r="AB2" s="7"/>
      <c r="AC2" s="7"/>
      <c r="AD2" s="7"/>
      <c r="AE2" s="7"/>
      <c r="AF2" s="34" t="s">
        <v>295</v>
      </c>
      <c r="AG2" s="35" t="s">
        <v>297</v>
      </c>
      <c r="BF2" s="34" t="s">
        <v>295</v>
      </c>
      <c r="BG2" s="34"/>
      <c r="BH2" s="35" t="s">
        <v>297</v>
      </c>
      <c r="BN2" s="30" t="s">
        <v>338</v>
      </c>
      <c r="CD2" s="30" t="s">
        <v>338</v>
      </c>
      <c r="ED2" s="48"/>
      <c r="EE2" s="49"/>
      <c r="EG2" s="533" t="s">
        <v>388</v>
      </c>
      <c r="EH2" s="533" t="s">
        <v>352</v>
      </c>
      <c r="EI2" s="429" t="s">
        <v>387</v>
      </c>
      <c r="EJ2" s="429" t="s">
        <v>482</v>
      </c>
      <c r="EK2" s="507" t="s">
        <v>483</v>
      </c>
      <c r="EL2" s="508"/>
      <c r="EM2" s="508"/>
      <c r="EN2" s="508"/>
      <c r="EO2" s="508"/>
      <c r="EP2" s="509"/>
      <c r="EQ2" s="429" t="s">
        <v>353</v>
      </c>
      <c r="ER2" s="429" t="s">
        <v>484</v>
      </c>
      <c r="ES2" s="429" t="s">
        <v>354</v>
      </c>
      <c r="ET2" s="429" t="s">
        <v>397</v>
      </c>
      <c r="EU2" s="429" t="s">
        <v>485</v>
      </c>
      <c r="EV2" s="429" t="s">
        <v>355</v>
      </c>
      <c r="EW2" s="507" t="s">
        <v>486</v>
      </c>
      <c r="EX2" s="508"/>
      <c r="EY2" s="509"/>
      <c r="EZ2" s="429" t="s">
        <v>356</v>
      </c>
      <c r="FA2" s="429" t="s">
        <v>357</v>
      </c>
      <c r="FB2" s="429" t="s">
        <v>358</v>
      </c>
      <c r="FC2" s="429" t="s">
        <v>623</v>
      </c>
      <c r="FD2" s="429" t="s">
        <v>359</v>
      </c>
      <c r="FE2" s="429" t="s">
        <v>360</v>
      </c>
      <c r="FF2" s="429" t="s">
        <v>629</v>
      </c>
      <c r="FH2" s="429" t="s">
        <v>11</v>
      </c>
      <c r="FI2" s="429" t="s">
        <v>487</v>
      </c>
      <c r="FJ2" s="429" t="s">
        <v>488</v>
      </c>
      <c r="FK2" s="429" t="s">
        <v>489</v>
      </c>
      <c r="FL2" s="429" t="s">
        <v>490</v>
      </c>
      <c r="FM2" s="429" t="s">
        <v>491</v>
      </c>
      <c r="FN2" s="429" t="s">
        <v>492</v>
      </c>
      <c r="FO2" s="429" t="s">
        <v>493</v>
      </c>
      <c r="FP2" s="429" t="s">
        <v>494</v>
      </c>
      <c r="FQ2" s="429" t="s">
        <v>495</v>
      </c>
      <c r="FR2" s="429" t="s">
        <v>496</v>
      </c>
      <c r="FS2" s="429" t="s">
        <v>497</v>
      </c>
      <c r="FT2" s="429" t="s">
        <v>498</v>
      </c>
      <c r="FU2" s="429" t="s">
        <v>499</v>
      </c>
      <c r="FV2" s="429" t="s">
        <v>500</v>
      </c>
      <c r="GO2" s="83"/>
      <c r="GP2" s="83"/>
      <c r="GQ2" s="83"/>
      <c r="GR2" s="83"/>
      <c r="GS2" s="83"/>
      <c r="GT2" s="83"/>
      <c r="GU2" s="83" t="s">
        <v>467</v>
      </c>
      <c r="GV2" s="83"/>
      <c r="GW2" s="83"/>
      <c r="GX2" s="83"/>
      <c r="GY2" s="83"/>
      <c r="GZ2" s="83"/>
      <c r="HA2" s="83"/>
      <c r="HB2" s="83"/>
      <c r="HC2" s="83"/>
      <c r="HD2" s="83"/>
      <c r="HE2" s="83"/>
      <c r="HF2" s="83"/>
      <c r="HG2" s="83"/>
      <c r="HH2" s="83"/>
      <c r="HI2" s="83"/>
      <c r="HJ2" s="83"/>
      <c r="HK2" s="83"/>
      <c r="HL2" s="83"/>
      <c r="HM2" s="83"/>
      <c r="HN2" s="83"/>
      <c r="HO2" s="83"/>
      <c r="HP2" s="82"/>
      <c r="HQ2" s="82"/>
      <c r="HR2" s="82"/>
      <c r="HS2" t="s">
        <v>426</v>
      </c>
      <c r="HT2" s="82"/>
      <c r="HU2" s="82"/>
      <c r="HV2" s="82"/>
      <c r="HW2" s="82"/>
      <c r="HX2" s="82"/>
      <c r="HY2" s="82"/>
      <c r="HZ2" s="82"/>
      <c r="IA2" s="82"/>
      <c r="IB2" s="82"/>
      <c r="IC2" s="82"/>
      <c r="ID2" s="82"/>
      <c r="IE2" s="82"/>
      <c r="IF2" s="82"/>
      <c r="IG2" s="82"/>
      <c r="IH2" s="82"/>
      <c r="II2" s="82"/>
      <c r="IJ2" s="82"/>
      <c r="IK2" s="82"/>
      <c r="IL2" s="82"/>
      <c r="IM2" s="83"/>
      <c r="IN2" s="83"/>
      <c r="IO2" s="83"/>
      <c r="IP2" s="83"/>
      <c r="IQ2" s="83"/>
      <c r="IR2" s="83"/>
      <c r="IS2" s="83"/>
      <c r="IT2" s="83"/>
      <c r="IU2" s="83"/>
      <c r="IV2" s="83"/>
      <c r="IW2" s="83"/>
      <c r="IX2" s="83"/>
      <c r="IY2" s="83"/>
      <c r="IZ2" s="83"/>
      <c r="JA2" s="83"/>
      <c r="JB2" s="83"/>
      <c r="JC2" s="83"/>
      <c r="JD2" s="83"/>
      <c r="JE2" s="83"/>
      <c r="JF2" s="83"/>
      <c r="JG2" s="83"/>
      <c r="JH2" s="83"/>
      <c r="JI2" s="83"/>
      <c r="JJ2" s="83"/>
      <c r="JK2" s="83"/>
      <c r="JP2" s="30" t="s">
        <v>338</v>
      </c>
      <c r="KB2" s="121" t="s">
        <v>477</v>
      </c>
      <c r="KF2" s="30" t="s">
        <v>338</v>
      </c>
      <c r="KR2" s="121" t="s">
        <v>477</v>
      </c>
      <c r="KS2">
        <v>2</v>
      </c>
      <c r="KT2" t="s">
        <v>581</v>
      </c>
      <c r="PO2" s="560" t="s">
        <v>623</v>
      </c>
      <c r="PP2" s="563" t="s">
        <v>629</v>
      </c>
      <c r="PQ2" s="563" t="s">
        <v>631</v>
      </c>
    </row>
    <row r="3" spans="1:433" ht="24" x14ac:dyDescent="0.2">
      <c r="A3" s="6" t="s">
        <v>424</v>
      </c>
      <c r="B3" s="82"/>
      <c r="C3" s="6"/>
      <c r="D3" s="584">
        <f>Jaticempaka!D3</f>
        <v>44201</v>
      </c>
      <c r="E3" s="585"/>
      <c r="F3" s="7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7"/>
      <c r="S3" s="7"/>
      <c r="T3" s="7"/>
      <c r="U3" s="7"/>
      <c r="V3" s="10"/>
      <c r="W3" s="10"/>
      <c r="X3" s="10"/>
      <c r="Y3" s="10"/>
      <c r="Z3" s="7"/>
      <c r="AA3" s="7"/>
      <c r="AB3" s="7"/>
      <c r="AC3" s="7"/>
      <c r="AD3" s="7"/>
      <c r="AE3" s="7"/>
      <c r="AF3" s="33"/>
      <c r="AG3" s="33"/>
      <c r="BF3" s="33"/>
      <c r="BG3" s="36"/>
      <c r="BH3" s="36"/>
      <c r="BN3" s="46" t="s">
        <v>336</v>
      </c>
      <c r="BO3" s="529" t="s">
        <v>337</v>
      </c>
      <c r="BP3" s="529"/>
      <c r="BQ3" s="529"/>
      <c r="BR3" s="529"/>
      <c r="BS3" s="529"/>
      <c r="BT3" s="529"/>
      <c r="BU3" s="529"/>
      <c r="BV3" s="529"/>
      <c r="BW3" s="529"/>
      <c r="BX3" s="529"/>
      <c r="BY3" s="529"/>
      <c r="BZ3" s="529"/>
      <c r="CB3" s="30" t="s">
        <v>340</v>
      </c>
      <c r="CD3" s="46"/>
      <c r="CE3" s="529"/>
      <c r="CF3" s="529"/>
      <c r="CG3" s="529"/>
      <c r="CH3" s="529"/>
      <c r="CI3" s="529"/>
      <c r="CJ3" s="529"/>
      <c r="CK3" s="529"/>
      <c r="CL3" s="529"/>
      <c r="CM3" s="529"/>
      <c r="CN3" s="529"/>
      <c r="CO3" s="529"/>
      <c r="CP3" s="529"/>
      <c r="ED3" s="50"/>
      <c r="EE3" s="51"/>
      <c r="EG3" s="533"/>
      <c r="EH3" s="533"/>
      <c r="EI3" s="429"/>
      <c r="EJ3" s="429"/>
      <c r="EK3" s="510" t="s">
        <v>308</v>
      </c>
      <c r="EL3" s="510" t="s">
        <v>501</v>
      </c>
      <c r="EM3" s="510" t="s">
        <v>502</v>
      </c>
      <c r="EN3" s="510" t="s">
        <v>503</v>
      </c>
      <c r="EO3" s="510"/>
      <c r="EP3" s="510"/>
      <c r="EQ3" s="429"/>
      <c r="ER3" s="429"/>
      <c r="ES3" s="429"/>
      <c r="ET3" s="429"/>
      <c r="EU3" s="429"/>
      <c r="EV3" s="429"/>
      <c r="EW3" s="510" t="s">
        <v>504</v>
      </c>
      <c r="EX3" s="510" t="s">
        <v>309</v>
      </c>
      <c r="EY3" s="510" t="s">
        <v>505</v>
      </c>
      <c r="EZ3" s="429"/>
      <c r="FA3" s="429"/>
      <c r="FB3" s="429"/>
      <c r="FC3" s="429"/>
      <c r="FD3" s="429"/>
      <c r="FE3" s="429"/>
      <c r="FF3" s="429"/>
      <c r="FH3" s="429"/>
      <c r="FI3" s="429"/>
      <c r="FJ3" s="429"/>
      <c r="FK3" s="429"/>
      <c r="FL3" s="429"/>
      <c r="FM3" s="429"/>
      <c r="FN3" s="429"/>
      <c r="FO3" s="429"/>
      <c r="FP3" s="429"/>
      <c r="FQ3" s="429"/>
      <c r="FR3" s="429"/>
      <c r="FS3" s="429"/>
      <c r="FT3" s="429"/>
      <c r="FU3" s="429"/>
      <c r="FV3" s="429"/>
      <c r="GU3" s="85">
        <v>43243</v>
      </c>
      <c r="GX3" s="519" t="s">
        <v>427</v>
      </c>
      <c r="GY3" s="520"/>
      <c r="GZ3" s="86"/>
      <c r="HA3" s="83"/>
      <c r="HB3" s="83"/>
      <c r="HC3" s="86"/>
      <c r="HD3" s="86"/>
      <c r="HE3" s="86"/>
      <c r="HF3" s="82"/>
      <c r="HG3" s="82"/>
      <c r="HH3" s="82" t="s">
        <v>428</v>
      </c>
      <c r="HI3" s="82"/>
      <c r="HJ3" s="86"/>
      <c r="HK3" s="82"/>
      <c r="HL3" s="83"/>
      <c r="HM3" s="83"/>
      <c r="HN3" s="83"/>
      <c r="HO3" s="83"/>
      <c r="HP3" s="86"/>
      <c r="HQ3" s="86"/>
      <c r="HR3" s="86"/>
      <c r="HS3" t="s">
        <v>429</v>
      </c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 t="s">
        <v>430</v>
      </c>
      <c r="II3" s="86"/>
      <c r="IJ3" s="86"/>
      <c r="IK3" s="86"/>
      <c r="IL3" s="86"/>
      <c r="IM3" s="83"/>
      <c r="IN3" s="83"/>
      <c r="IO3" s="83"/>
      <c r="IP3" s="83"/>
      <c r="IQ3" s="83"/>
      <c r="IR3" s="83"/>
      <c r="IS3" s="83"/>
      <c r="IT3" s="83"/>
      <c r="IU3" s="83"/>
      <c r="IV3" s="83"/>
      <c r="IW3" s="83"/>
      <c r="IX3" s="83"/>
      <c r="IY3" s="83"/>
      <c r="IZ3" s="83"/>
      <c r="JA3" s="83"/>
      <c r="JB3" s="83"/>
      <c r="JC3" s="83"/>
      <c r="JD3" s="83"/>
      <c r="JE3" s="83"/>
      <c r="JF3" s="83"/>
      <c r="JG3" s="83"/>
      <c r="JH3" s="83"/>
      <c r="JI3" s="83"/>
      <c r="JJ3" s="83"/>
      <c r="JK3" s="83"/>
      <c r="JP3" s="46" t="s">
        <v>336</v>
      </c>
      <c r="JQ3" s="529" t="s">
        <v>337</v>
      </c>
      <c r="JR3" s="529"/>
      <c r="JS3" s="529"/>
      <c r="JT3" s="529"/>
      <c r="JU3" s="529"/>
      <c r="JV3" s="529"/>
      <c r="JW3" s="529"/>
      <c r="JX3" s="529"/>
      <c r="JY3" s="529"/>
      <c r="JZ3" s="529"/>
      <c r="KA3" s="529"/>
      <c r="KB3" s="529"/>
      <c r="KF3" s="46"/>
      <c r="KG3" s="529"/>
      <c r="KH3" s="529"/>
      <c r="KI3" s="529"/>
      <c r="KJ3" s="529"/>
      <c r="KK3" s="529"/>
      <c r="KL3" s="529"/>
      <c r="KM3" s="529"/>
      <c r="KN3" s="529"/>
      <c r="KO3" s="529"/>
      <c r="KP3" s="529"/>
      <c r="KQ3" s="529"/>
      <c r="KR3" s="529"/>
      <c r="KS3">
        <v>3</v>
      </c>
      <c r="KT3" t="s">
        <v>582</v>
      </c>
      <c r="KU3" s="30" t="s">
        <v>508</v>
      </c>
      <c r="PO3" s="561"/>
      <c r="PP3" s="563"/>
      <c r="PQ3" s="563"/>
    </row>
    <row r="4" spans="1:433" ht="18" customHeight="1" thickBot="1" x14ac:dyDescent="0.25">
      <c r="A4" s="479" t="s">
        <v>1</v>
      </c>
      <c r="B4" s="479" t="s">
        <v>2</v>
      </c>
      <c r="C4" s="479" t="s">
        <v>3</v>
      </c>
      <c r="D4" s="482" t="s">
        <v>4</v>
      </c>
      <c r="E4" s="483"/>
      <c r="F4" s="499" t="s">
        <v>5</v>
      </c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0"/>
      <c r="AA4" s="500"/>
      <c r="AB4" s="500"/>
      <c r="AC4" s="500"/>
      <c r="AD4" s="500"/>
      <c r="AE4" s="501"/>
      <c r="AF4" s="431" t="s">
        <v>298</v>
      </c>
      <c r="AG4" s="432"/>
      <c r="AH4" s="433"/>
      <c r="AI4" s="496" t="s">
        <v>261</v>
      </c>
      <c r="AJ4" s="497"/>
      <c r="AK4" s="498"/>
      <c r="AL4" s="573" t="s">
        <v>292</v>
      </c>
      <c r="AM4" s="574"/>
      <c r="AN4" s="566" t="s">
        <v>312</v>
      </c>
      <c r="BB4" s="570" t="s">
        <v>349</v>
      </c>
      <c r="BE4" s="431" t="s">
        <v>298</v>
      </c>
      <c r="BF4" s="432"/>
      <c r="BG4" s="432"/>
      <c r="BH4" s="432"/>
      <c r="BI4" s="432"/>
      <c r="BJ4" s="432"/>
      <c r="BK4" s="433"/>
      <c r="BN4" s="400" t="s">
        <v>319</v>
      </c>
      <c r="BO4" s="397" t="s">
        <v>320</v>
      </c>
      <c r="BP4" s="468" t="s">
        <v>321</v>
      </c>
      <c r="BQ4" s="468"/>
      <c r="BR4" s="468"/>
      <c r="BS4" s="468"/>
      <c r="BT4" s="468"/>
      <c r="BU4" s="468"/>
      <c r="BV4" s="468"/>
      <c r="BW4" s="468"/>
      <c r="BX4" s="468"/>
      <c r="BY4" s="468"/>
      <c r="BZ4" s="468"/>
      <c r="CB4" s="469" t="s">
        <v>339</v>
      </c>
      <c r="CD4" s="400" t="s">
        <v>319</v>
      </c>
      <c r="CE4" s="397" t="s">
        <v>320</v>
      </c>
      <c r="CF4" s="468" t="s">
        <v>321</v>
      </c>
      <c r="CG4" s="468"/>
      <c r="CH4" s="468"/>
      <c r="CI4" s="468"/>
      <c r="CJ4" s="468"/>
      <c r="CK4" s="468"/>
      <c r="CL4" s="468"/>
      <c r="CM4" s="468"/>
      <c r="CN4" s="468"/>
      <c r="CO4" s="468"/>
      <c r="CP4" s="468"/>
      <c r="DV4" s="513" t="s">
        <v>350</v>
      </c>
      <c r="DW4" s="514"/>
      <c r="DX4" s="514"/>
      <c r="DY4" s="514"/>
      <c r="DZ4" s="514"/>
      <c r="EA4" s="514"/>
      <c r="EB4" s="515"/>
      <c r="ED4" s="50"/>
      <c r="EE4" s="51"/>
      <c r="EG4" s="533"/>
      <c r="EH4" s="533"/>
      <c r="EI4" s="429"/>
      <c r="EJ4" s="429"/>
      <c r="EK4" s="511"/>
      <c r="EL4" s="511"/>
      <c r="EM4" s="511"/>
      <c r="EN4" s="511"/>
      <c r="EO4" s="511"/>
      <c r="EP4" s="511"/>
      <c r="EQ4" s="429"/>
      <c r="ER4" s="429"/>
      <c r="ES4" s="429"/>
      <c r="ET4" s="429"/>
      <c r="EU4" s="429"/>
      <c r="EV4" s="429"/>
      <c r="EW4" s="511"/>
      <c r="EX4" s="511"/>
      <c r="EY4" s="511"/>
      <c r="EZ4" s="429"/>
      <c r="FA4" s="429"/>
      <c r="FB4" s="429"/>
      <c r="FC4" s="429"/>
      <c r="FD4" s="429"/>
      <c r="FE4" s="429"/>
      <c r="FF4" s="429"/>
      <c r="FH4" s="429"/>
      <c r="FI4" s="429"/>
      <c r="FJ4" s="429"/>
      <c r="FK4" s="429"/>
      <c r="FL4" s="429"/>
      <c r="FM4" s="429"/>
      <c r="FN4" s="429"/>
      <c r="FO4" s="429"/>
      <c r="FP4" s="429"/>
      <c r="FQ4" s="429"/>
      <c r="FR4" s="429"/>
      <c r="FS4" s="429"/>
      <c r="FT4" s="429"/>
      <c r="FU4" s="429"/>
      <c r="FV4" s="429"/>
      <c r="FX4" s="365" t="s">
        <v>624</v>
      </c>
      <c r="FY4" s="412" t="s">
        <v>319</v>
      </c>
      <c r="FZ4" s="397" t="s">
        <v>320</v>
      </c>
      <c r="GA4" s="397" t="s">
        <v>378</v>
      </c>
      <c r="GB4" s="397" t="s">
        <v>379</v>
      </c>
      <c r="GC4" s="397" t="s">
        <v>380</v>
      </c>
      <c r="GD4" s="397" t="s">
        <v>381</v>
      </c>
      <c r="GE4" s="397" t="s">
        <v>382</v>
      </c>
      <c r="GF4" s="27"/>
      <c r="GG4" s="397" t="s">
        <v>383</v>
      </c>
      <c r="GH4" s="397" t="s">
        <v>384</v>
      </c>
      <c r="GI4" s="27"/>
      <c r="GJ4" s="397" t="s">
        <v>385</v>
      </c>
      <c r="GK4" s="397" t="s">
        <v>386</v>
      </c>
      <c r="GO4" s="521" t="s">
        <v>431</v>
      </c>
      <c r="GP4" s="522"/>
      <c r="GQ4" s="522"/>
      <c r="GR4" s="522"/>
      <c r="GS4" s="522"/>
      <c r="GT4" s="523"/>
      <c r="GU4" s="87" t="s">
        <v>432</v>
      </c>
      <c r="GV4" s="521" t="s">
        <v>433</v>
      </c>
      <c r="GW4" s="523"/>
      <c r="GX4" s="88" t="s">
        <v>434</v>
      </c>
      <c r="GY4" s="89">
        <f>Jaticempaka!GY4</f>
        <v>20</v>
      </c>
      <c r="GZ4" s="423"/>
      <c r="HA4" s="83"/>
      <c r="HB4" s="83"/>
      <c r="HC4" s="426" t="s">
        <v>436</v>
      </c>
      <c r="HD4" s="427"/>
      <c r="HE4" s="427"/>
      <c r="HF4" s="427"/>
      <c r="HG4" s="427"/>
      <c r="HH4" s="427"/>
      <c r="HI4" s="428"/>
      <c r="HJ4" s="90"/>
      <c r="HK4" s="398" t="s">
        <v>437</v>
      </c>
      <c r="HL4" s="83"/>
      <c r="HM4" s="83"/>
      <c r="HN4" s="83"/>
      <c r="HO4" s="83"/>
      <c r="HS4" t="s">
        <v>438</v>
      </c>
      <c r="IM4" s="83"/>
      <c r="IN4" s="83"/>
      <c r="IO4" s="83"/>
      <c r="IP4" s="83"/>
      <c r="IQ4" s="83"/>
      <c r="IR4" s="83"/>
      <c r="IS4" s="83"/>
      <c r="IT4" s="83"/>
      <c r="IU4" s="83"/>
      <c r="IV4" s="83"/>
      <c r="IW4" s="83"/>
      <c r="IX4" s="83"/>
      <c r="IY4" s="83"/>
      <c r="IZ4" s="83"/>
      <c r="JA4" s="83"/>
      <c r="JB4" s="83"/>
      <c r="JC4" s="83"/>
      <c r="JD4" s="83"/>
      <c r="JE4" s="83"/>
      <c r="JF4" s="83"/>
      <c r="JG4" s="83"/>
      <c r="JH4" s="83"/>
      <c r="JI4" s="83"/>
      <c r="JJ4" s="83"/>
      <c r="JK4" s="83"/>
      <c r="JP4" s="400" t="s">
        <v>319</v>
      </c>
      <c r="JQ4" s="397" t="s">
        <v>320</v>
      </c>
      <c r="JR4" s="468" t="s">
        <v>321</v>
      </c>
      <c r="JS4" s="468"/>
      <c r="JT4" s="468"/>
      <c r="JU4" s="468"/>
      <c r="JV4" s="468"/>
      <c r="JW4" s="468"/>
      <c r="JX4" s="468"/>
      <c r="JY4" s="468"/>
      <c r="JZ4" s="468"/>
      <c r="KA4" s="468"/>
      <c r="KB4" s="468"/>
      <c r="KD4" s="400" t="s">
        <v>626</v>
      </c>
      <c r="KE4" s="400" t="s">
        <v>627</v>
      </c>
      <c r="KF4" s="400" t="s">
        <v>319</v>
      </c>
      <c r="KG4" s="397" t="s">
        <v>320</v>
      </c>
      <c r="KH4" s="468" t="s">
        <v>321</v>
      </c>
      <c r="KI4" s="468"/>
      <c r="KJ4" s="468"/>
      <c r="KK4" s="468"/>
      <c r="KL4" s="468"/>
      <c r="KM4" s="468"/>
      <c r="KN4" s="468"/>
      <c r="KO4" s="468"/>
      <c r="KP4" s="468"/>
      <c r="KQ4" s="468"/>
      <c r="KR4" s="468"/>
      <c r="KS4">
        <v>4</v>
      </c>
      <c r="KT4" t="s">
        <v>583</v>
      </c>
      <c r="LF4">
        <v>1</v>
      </c>
      <c r="LM4">
        <v>2</v>
      </c>
      <c r="LT4">
        <v>3</v>
      </c>
      <c r="MA4">
        <v>4</v>
      </c>
      <c r="MK4">
        <v>5</v>
      </c>
      <c r="MP4">
        <v>6</v>
      </c>
      <c r="MX4">
        <v>7</v>
      </c>
      <c r="NZ4" s="341" t="s">
        <v>592</v>
      </c>
      <c r="PO4" s="561"/>
      <c r="PP4" s="563"/>
      <c r="PQ4" s="563"/>
    </row>
    <row r="5" spans="1:433" ht="18" customHeight="1" x14ac:dyDescent="0.2">
      <c r="A5" s="480"/>
      <c r="B5" s="480"/>
      <c r="C5" s="480"/>
      <c r="D5" s="484"/>
      <c r="E5" s="485"/>
      <c r="F5" s="493" t="s">
        <v>6</v>
      </c>
      <c r="G5" s="493"/>
      <c r="H5" s="493"/>
      <c r="I5" s="493"/>
      <c r="J5" s="496" t="s">
        <v>283</v>
      </c>
      <c r="K5" s="497" t="s">
        <v>283</v>
      </c>
      <c r="L5" s="497" t="s">
        <v>283</v>
      </c>
      <c r="M5" s="497" t="s">
        <v>283</v>
      </c>
      <c r="N5" s="497" t="s">
        <v>283</v>
      </c>
      <c r="O5" s="497" t="s">
        <v>283</v>
      </c>
      <c r="P5" s="497" t="s">
        <v>283</v>
      </c>
      <c r="Q5" s="498" t="s">
        <v>283</v>
      </c>
      <c r="R5" s="493" t="s">
        <v>8</v>
      </c>
      <c r="S5" s="493"/>
      <c r="T5" s="493"/>
      <c r="U5" s="493"/>
      <c r="V5" s="493" t="s">
        <v>9</v>
      </c>
      <c r="W5" s="493"/>
      <c r="X5" s="493"/>
      <c r="Y5" s="493"/>
      <c r="Z5" s="493"/>
      <c r="AA5" s="502" t="s">
        <v>396</v>
      </c>
      <c r="AB5" s="502"/>
      <c r="AC5" s="502"/>
      <c r="AD5" s="502"/>
      <c r="AE5" s="502"/>
      <c r="AF5" s="434"/>
      <c r="AG5" s="435"/>
      <c r="AH5" s="436"/>
      <c r="AI5" s="489" t="s">
        <v>262</v>
      </c>
      <c r="AJ5" s="482"/>
      <c r="AK5" s="483"/>
      <c r="AL5" s="575"/>
      <c r="AM5" s="576"/>
      <c r="AN5" s="567"/>
      <c r="BB5" s="571"/>
      <c r="BE5" s="434"/>
      <c r="BF5" s="435"/>
      <c r="BG5" s="435"/>
      <c r="BH5" s="435"/>
      <c r="BI5" s="435"/>
      <c r="BJ5" s="435"/>
      <c r="BK5" s="436"/>
      <c r="BN5" s="400"/>
      <c r="BO5" s="397"/>
      <c r="BP5" s="472" t="s">
        <v>315</v>
      </c>
      <c r="BQ5" s="472"/>
      <c r="BR5" s="472"/>
      <c r="BS5" s="472"/>
      <c r="BT5" s="472"/>
      <c r="BU5" s="472"/>
      <c r="BV5" s="472"/>
      <c r="BW5" s="472" t="s">
        <v>330</v>
      </c>
      <c r="BX5" s="472"/>
      <c r="BY5" s="472"/>
      <c r="BZ5" s="472"/>
      <c r="CB5" s="470"/>
      <c r="CD5" s="400"/>
      <c r="CE5" s="397"/>
      <c r="CF5" s="472" t="s">
        <v>315</v>
      </c>
      <c r="CG5" s="472"/>
      <c r="CH5" s="472"/>
      <c r="CI5" s="472"/>
      <c r="CJ5" s="472"/>
      <c r="CK5" s="472"/>
      <c r="CL5" s="472"/>
      <c r="CM5" s="472" t="s">
        <v>330</v>
      </c>
      <c r="CN5" s="472"/>
      <c r="CO5" s="472"/>
      <c r="CP5" s="472"/>
      <c r="DV5" s="516"/>
      <c r="DW5" s="517"/>
      <c r="DX5" s="517"/>
      <c r="DY5" s="517"/>
      <c r="DZ5" s="517"/>
      <c r="EA5" s="517"/>
      <c r="EB5" s="518"/>
      <c r="ED5" s="52" t="s">
        <v>361</v>
      </c>
      <c r="EE5" s="51"/>
      <c r="EG5" s="533"/>
      <c r="EH5" s="533"/>
      <c r="EI5" s="429"/>
      <c r="EJ5" s="429"/>
      <c r="EK5" s="511"/>
      <c r="EL5" s="511"/>
      <c r="EM5" s="511"/>
      <c r="EN5" s="511"/>
      <c r="EO5" s="511"/>
      <c r="EP5" s="511"/>
      <c r="EQ5" s="429"/>
      <c r="ER5" s="429"/>
      <c r="ES5" s="429"/>
      <c r="ET5" s="429"/>
      <c r="EU5" s="429"/>
      <c r="EV5" s="429"/>
      <c r="EW5" s="511"/>
      <c r="EX5" s="511"/>
      <c r="EY5" s="511"/>
      <c r="EZ5" s="429"/>
      <c r="FA5" s="429"/>
      <c r="FB5" s="429"/>
      <c r="FC5" s="429"/>
      <c r="FD5" s="429"/>
      <c r="FE5" s="429"/>
      <c r="FF5" s="429"/>
      <c r="FH5" s="429"/>
      <c r="FI5" s="429"/>
      <c r="FJ5" s="429"/>
      <c r="FK5" s="429"/>
      <c r="FL5" s="429"/>
      <c r="FM5" s="429"/>
      <c r="FN5" s="429"/>
      <c r="FO5" s="429"/>
      <c r="FP5" s="429"/>
      <c r="FQ5" s="429"/>
      <c r="FR5" s="429"/>
      <c r="FS5" s="429"/>
      <c r="FT5" s="429"/>
      <c r="FU5" s="429"/>
      <c r="FV5" s="429"/>
      <c r="FX5" s="366"/>
      <c r="FY5" s="413"/>
      <c r="FZ5" s="397"/>
      <c r="GA5" s="397"/>
      <c r="GB5" s="397"/>
      <c r="GC5" s="397"/>
      <c r="GD5" s="397"/>
      <c r="GE5" s="397"/>
      <c r="GF5" s="27"/>
      <c r="GG5" s="397"/>
      <c r="GH5" s="397"/>
      <c r="GI5" s="27"/>
      <c r="GJ5" s="397"/>
      <c r="GK5" s="397"/>
      <c r="GO5" s="524"/>
      <c r="GP5" s="525"/>
      <c r="GQ5" s="525"/>
      <c r="GR5" s="525"/>
      <c r="GS5" s="525"/>
      <c r="GT5" s="526"/>
      <c r="GU5" s="91" t="s">
        <v>439</v>
      </c>
      <c r="GV5" s="524"/>
      <c r="GW5" s="526"/>
      <c r="GX5" s="92" t="s">
        <v>440</v>
      </c>
      <c r="GY5" s="93">
        <f>Jaticempaka!GY5</f>
        <v>20</v>
      </c>
      <c r="GZ5" s="424"/>
      <c r="HA5" s="83"/>
      <c r="HB5" s="83"/>
      <c r="HC5" s="399" t="s">
        <v>441</v>
      </c>
      <c r="HD5" s="399" t="s">
        <v>442</v>
      </c>
      <c r="HE5" s="399" t="s">
        <v>18</v>
      </c>
      <c r="HF5" s="399" t="s">
        <v>443</v>
      </c>
      <c r="HG5" s="399" t="s">
        <v>444</v>
      </c>
      <c r="HH5" s="398" t="s">
        <v>445</v>
      </c>
      <c r="HI5" s="398" t="s">
        <v>446</v>
      </c>
      <c r="HJ5" s="90"/>
      <c r="HK5" s="399"/>
      <c r="HL5" s="83"/>
      <c r="HM5" s="83"/>
      <c r="HN5" s="83"/>
      <c r="HO5" s="83"/>
      <c r="HP5">
        <v>1</v>
      </c>
      <c r="HS5" s="94">
        <v>2</v>
      </c>
      <c r="HV5">
        <v>3</v>
      </c>
      <c r="HY5">
        <v>4</v>
      </c>
      <c r="IB5">
        <v>5</v>
      </c>
      <c r="IE5">
        <v>6</v>
      </c>
      <c r="IH5">
        <v>7</v>
      </c>
      <c r="IK5">
        <v>8</v>
      </c>
      <c r="IM5" s="83"/>
      <c r="IN5" s="83"/>
      <c r="IO5" s="83"/>
      <c r="IP5" s="83"/>
      <c r="IQ5" s="83"/>
      <c r="IR5" s="83"/>
      <c r="IS5" s="83"/>
      <c r="IT5" s="83"/>
      <c r="IU5" s="83"/>
      <c r="IV5" s="83"/>
      <c r="IW5" s="83"/>
      <c r="IX5" s="83"/>
      <c r="IY5" s="83"/>
      <c r="IZ5" s="83"/>
      <c r="JA5" s="83"/>
      <c r="JB5" s="83"/>
      <c r="JC5" s="83"/>
      <c r="JD5" s="83"/>
      <c r="JE5" s="83"/>
      <c r="JF5" s="83"/>
      <c r="JG5" s="83"/>
      <c r="JH5" s="83"/>
      <c r="JI5" s="83"/>
      <c r="JJ5" s="83"/>
      <c r="JK5" s="83"/>
      <c r="JP5" s="400"/>
      <c r="JQ5" s="397"/>
      <c r="JR5" s="472" t="s">
        <v>315</v>
      </c>
      <c r="JS5" s="472"/>
      <c r="JT5" s="472"/>
      <c r="JU5" s="472"/>
      <c r="JV5" s="472"/>
      <c r="JW5" s="472"/>
      <c r="JX5" s="472"/>
      <c r="JY5" s="472" t="s">
        <v>330</v>
      </c>
      <c r="JZ5" s="472"/>
      <c r="KA5" s="472"/>
      <c r="KB5" s="472"/>
      <c r="KD5" s="400"/>
      <c r="KE5" s="400"/>
      <c r="KF5" s="400"/>
      <c r="KG5" s="397"/>
      <c r="KH5" s="472" t="s">
        <v>315</v>
      </c>
      <c r="KI5" s="472"/>
      <c r="KJ5" s="472"/>
      <c r="KK5" s="472"/>
      <c r="KL5" s="472"/>
      <c r="KM5" s="472"/>
      <c r="KN5" s="472"/>
      <c r="KO5" s="472" t="s">
        <v>330</v>
      </c>
      <c r="KP5" s="472"/>
      <c r="KQ5" s="472"/>
      <c r="KR5" s="472"/>
      <c r="KS5">
        <v>5</v>
      </c>
      <c r="KT5" t="s">
        <v>519</v>
      </c>
      <c r="KU5" s="534" t="s">
        <v>509</v>
      </c>
      <c r="KV5" s="534" t="s">
        <v>510</v>
      </c>
      <c r="KW5" s="536" t="s">
        <v>11</v>
      </c>
      <c r="KX5" s="537" t="s">
        <v>511</v>
      </c>
      <c r="KY5" s="537" t="s">
        <v>434</v>
      </c>
      <c r="KZ5" s="540" t="s">
        <v>512</v>
      </c>
      <c r="LA5" s="540"/>
      <c r="LB5" s="540" t="s">
        <v>513</v>
      </c>
      <c r="LC5" s="540"/>
      <c r="LD5" s="541" t="s">
        <v>514</v>
      </c>
      <c r="LE5" s="541"/>
      <c r="LF5" s="544" t="s">
        <v>515</v>
      </c>
      <c r="LG5" s="544"/>
      <c r="LH5" s="544"/>
      <c r="LI5" s="544"/>
      <c r="LJ5" s="544"/>
      <c r="LK5" s="544"/>
      <c r="LL5" s="544"/>
      <c r="LM5" s="547" t="s">
        <v>516</v>
      </c>
      <c r="LN5" s="547"/>
      <c r="LO5" s="547"/>
      <c r="LP5" s="547"/>
      <c r="LQ5" s="547"/>
      <c r="LR5" s="547"/>
      <c r="LS5" s="547"/>
      <c r="LT5" s="548" t="s">
        <v>517</v>
      </c>
      <c r="LU5" s="548"/>
      <c r="LV5" s="548"/>
      <c r="LW5" s="548"/>
      <c r="LX5" s="548"/>
      <c r="LY5" s="548"/>
      <c r="LZ5" s="548"/>
      <c r="MA5" s="549" t="s">
        <v>518</v>
      </c>
      <c r="MB5" s="549"/>
      <c r="MC5" s="549"/>
      <c r="MD5" s="549"/>
      <c r="ME5" s="549"/>
      <c r="MF5" s="549"/>
      <c r="MG5" s="549"/>
      <c r="MH5" s="549"/>
      <c r="MI5" s="549"/>
      <c r="MJ5" s="549"/>
      <c r="MK5" s="550" t="s">
        <v>519</v>
      </c>
      <c r="ML5" s="551"/>
      <c r="MM5" s="551"/>
      <c r="MN5" s="551"/>
      <c r="MO5" s="552"/>
      <c r="MP5" s="372" t="s">
        <v>520</v>
      </c>
      <c r="MQ5" s="373"/>
      <c r="MR5" s="373"/>
      <c r="MS5" s="373"/>
      <c r="MT5" s="373"/>
      <c r="MU5" s="373"/>
      <c r="MV5" s="373"/>
      <c r="MW5" s="374"/>
      <c r="MX5" s="375" t="s">
        <v>575</v>
      </c>
      <c r="MY5" s="376"/>
      <c r="MZ5" s="376"/>
      <c r="NA5" s="376"/>
      <c r="NB5" s="377"/>
      <c r="NC5" s="378" t="s">
        <v>521</v>
      </c>
      <c r="ND5" s="379"/>
      <c r="NE5" s="380"/>
      <c r="NF5" s="384" t="s">
        <v>522</v>
      </c>
      <c r="NG5" s="385"/>
      <c r="NH5" s="385"/>
      <c r="NI5" s="386"/>
      <c r="NJ5" s="350" t="s">
        <v>523</v>
      </c>
      <c r="NK5" s="370" t="s">
        <v>524</v>
      </c>
      <c r="NZ5" s="341"/>
      <c r="OE5" s="340" t="s">
        <v>596</v>
      </c>
      <c r="OF5" s="340" t="s">
        <v>597</v>
      </c>
      <c r="OG5" s="340" t="s">
        <v>457</v>
      </c>
      <c r="OH5" s="340" t="s">
        <v>303</v>
      </c>
      <c r="OI5" s="340" t="s">
        <v>598</v>
      </c>
      <c r="OJ5" s="340" t="s">
        <v>599</v>
      </c>
      <c r="OK5" s="340" t="s">
        <v>600</v>
      </c>
      <c r="OL5" s="340" t="s">
        <v>601</v>
      </c>
      <c r="OM5" s="340" t="s">
        <v>602</v>
      </c>
      <c r="OO5" s="340" t="s">
        <v>596</v>
      </c>
      <c r="OP5" s="340" t="s">
        <v>597</v>
      </c>
      <c r="OQ5" s="340" t="s">
        <v>457</v>
      </c>
      <c r="OR5" s="340" t="s">
        <v>303</v>
      </c>
      <c r="OS5" s="340" t="s">
        <v>598</v>
      </c>
      <c r="OT5" s="340" t="s">
        <v>599</v>
      </c>
      <c r="OU5" s="340" t="s">
        <v>600</v>
      </c>
      <c r="OV5" s="340" t="s">
        <v>601</v>
      </c>
      <c r="OW5" s="340" t="s">
        <v>602</v>
      </c>
      <c r="PA5" s="529" t="s">
        <v>617</v>
      </c>
      <c r="PB5" s="529"/>
      <c r="PC5" s="529"/>
      <c r="PD5" s="529"/>
      <c r="PE5" s="529"/>
      <c r="PF5" s="529"/>
      <c r="PG5" s="529"/>
      <c r="PH5" s="529"/>
      <c r="PI5" s="529"/>
      <c r="PJ5" s="529"/>
      <c r="PK5" s="529"/>
      <c r="PL5" s="529"/>
      <c r="PO5" s="561"/>
      <c r="PP5" s="563"/>
      <c r="PQ5" s="563"/>
    </row>
    <row r="6" spans="1:433" ht="14.75" customHeight="1" x14ac:dyDescent="0.2">
      <c r="A6" s="480"/>
      <c r="B6" s="480"/>
      <c r="C6" s="480"/>
      <c r="D6" s="484"/>
      <c r="E6" s="485"/>
      <c r="F6" s="494"/>
      <c r="G6" s="494"/>
      <c r="H6" s="494"/>
      <c r="I6" s="494"/>
      <c r="J6" s="489" t="s">
        <v>284</v>
      </c>
      <c r="K6" s="482" t="s">
        <v>284</v>
      </c>
      <c r="L6" s="482" t="s">
        <v>284</v>
      </c>
      <c r="M6" s="483" t="s">
        <v>284</v>
      </c>
      <c r="N6" s="489" t="s">
        <v>7</v>
      </c>
      <c r="O6" s="482" t="s">
        <v>285</v>
      </c>
      <c r="P6" s="482" t="s">
        <v>285</v>
      </c>
      <c r="Q6" s="483" t="s">
        <v>285</v>
      </c>
      <c r="R6" s="494"/>
      <c r="S6" s="494"/>
      <c r="T6" s="494"/>
      <c r="U6" s="494"/>
      <c r="V6" s="494"/>
      <c r="W6" s="494"/>
      <c r="X6" s="494"/>
      <c r="Y6" s="494"/>
      <c r="Z6" s="494"/>
      <c r="AA6" s="503"/>
      <c r="AB6" s="503"/>
      <c r="AC6" s="503"/>
      <c r="AD6" s="503"/>
      <c r="AE6" s="503"/>
      <c r="AF6" s="454" t="s">
        <v>11</v>
      </c>
      <c r="AG6" s="457" t="s">
        <v>311</v>
      </c>
      <c r="AH6" s="486" t="s">
        <v>293</v>
      </c>
      <c r="AI6" s="569"/>
      <c r="AJ6" s="484"/>
      <c r="AK6" s="485"/>
      <c r="AL6" s="577" t="s">
        <v>265</v>
      </c>
      <c r="AM6" s="580" t="s">
        <v>9</v>
      </c>
      <c r="AN6" s="567"/>
      <c r="BB6" s="571"/>
      <c r="BE6" s="454" t="s">
        <v>11</v>
      </c>
      <c r="BF6" s="457" t="s">
        <v>306</v>
      </c>
      <c r="BG6" s="457" t="s">
        <v>307</v>
      </c>
      <c r="BH6" s="457" t="s">
        <v>308</v>
      </c>
      <c r="BI6" s="457" t="s">
        <v>309</v>
      </c>
      <c r="BJ6" s="457"/>
      <c r="BK6" s="457" t="s">
        <v>310</v>
      </c>
      <c r="BN6" s="400"/>
      <c r="BO6" s="397"/>
      <c r="BP6" s="472" t="s">
        <v>316</v>
      </c>
      <c r="BQ6" s="472"/>
      <c r="BR6" s="472"/>
      <c r="BS6" s="472"/>
      <c r="BT6" s="472"/>
      <c r="BU6" s="473" t="s">
        <v>325</v>
      </c>
      <c r="BV6" s="474"/>
      <c r="BW6" s="475" t="s">
        <v>331</v>
      </c>
      <c r="BX6" s="472" t="s">
        <v>332</v>
      </c>
      <c r="BY6" s="472"/>
      <c r="BZ6" s="472"/>
      <c r="CB6" s="470"/>
      <c r="CD6" s="400"/>
      <c r="CE6" s="397"/>
      <c r="CF6" s="472" t="s">
        <v>316</v>
      </c>
      <c r="CG6" s="472"/>
      <c r="CH6" s="472"/>
      <c r="CI6" s="472"/>
      <c r="CJ6" s="472"/>
      <c r="CK6" s="473" t="s">
        <v>325</v>
      </c>
      <c r="CL6" s="474"/>
      <c r="CM6" s="475" t="s">
        <v>331</v>
      </c>
      <c r="CN6" s="472" t="s">
        <v>332</v>
      </c>
      <c r="CO6" s="472"/>
      <c r="CP6" s="472"/>
      <c r="DV6" s="530" t="s">
        <v>11</v>
      </c>
      <c r="DW6" s="476" t="s">
        <v>300</v>
      </c>
      <c r="DX6" s="476" t="s">
        <v>301</v>
      </c>
      <c r="DY6" s="476" t="s">
        <v>343</v>
      </c>
      <c r="DZ6" s="476" t="s">
        <v>302</v>
      </c>
      <c r="EA6" s="476" t="s">
        <v>351</v>
      </c>
      <c r="EB6" s="476" t="s">
        <v>18</v>
      </c>
      <c r="ED6" s="50"/>
      <c r="EE6" s="51"/>
      <c r="EG6" s="533"/>
      <c r="EH6" s="533"/>
      <c r="EI6" s="429"/>
      <c r="EJ6" s="429"/>
      <c r="EK6" s="511"/>
      <c r="EL6" s="511"/>
      <c r="EM6" s="511"/>
      <c r="EN6" s="511"/>
      <c r="EO6" s="511"/>
      <c r="EP6" s="511"/>
      <c r="EQ6" s="429"/>
      <c r="ER6" s="429"/>
      <c r="ES6" s="429"/>
      <c r="ET6" s="429"/>
      <c r="EU6" s="429"/>
      <c r="EV6" s="429"/>
      <c r="EW6" s="511"/>
      <c r="EX6" s="511"/>
      <c r="EY6" s="511"/>
      <c r="EZ6" s="429"/>
      <c r="FA6" s="429"/>
      <c r="FB6" s="429"/>
      <c r="FC6" s="429"/>
      <c r="FD6" s="429"/>
      <c r="FE6" s="429"/>
      <c r="FF6" s="429"/>
      <c r="FH6" s="429"/>
      <c r="FI6" s="429"/>
      <c r="FJ6" s="429"/>
      <c r="FK6" s="429"/>
      <c r="FL6" s="429"/>
      <c r="FM6" s="429"/>
      <c r="FN6" s="429"/>
      <c r="FO6" s="429"/>
      <c r="FP6" s="429"/>
      <c r="FQ6" s="429"/>
      <c r="FR6" s="429"/>
      <c r="FS6" s="429"/>
      <c r="FT6" s="429"/>
      <c r="FU6" s="429"/>
      <c r="FV6" s="429"/>
      <c r="FX6" s="366"/>
      <c r="FY6" s="413"/>
      <c r="FZ6" s="397"/>
      <c r="GA6" s="397"/>
      <c r="GB6" s="397"/>
      <c r="GC6" s="397"/>
      <c r="GD6" s="397"/>
      <c r="GE6" s="397"/>
      <c r="GF6" s="27"/>
      <c r="GG6" s="397"/>
      <c r="GH6" s="397"/>
      <c r="GI6" s="27"/>
      <c r="GJ6" s="397"/>
      <c r="GK6" s="397"/>
      <c r="GO6" s="423" t="s">
        <v>434</v>
      </c>
      <c r="GP6" s="423" t="s">
        <v>440</v>
      </c>
      <c r="GQ6" s="423" t="s">
        <v>7</v>
      </c>
      <c r="GR6" s="423" t="s">
        <v>265</v>
      </c>
      <c r="GS6" s="423" t="s">
        <v>447</v>
      </c>
      <c r="GT6" s="423" t="s">
        <v>448</v>
      </c>
      <c r="GU6" s="91"/>
      <c r="GV6" s="527"/>
      <c r="GW6" s="528"/>
      <c r="GX6" s="92" t="s">
        <v>7</v>
      </c>
      <c r="GY6" s="93">
        <f>Jaticempaka!GY6</f>
        <v>10</v>
      </c>
      <c r="GZ6" s="424"/>
      <c r="HA6" s="83"/>
      <c r="HB6" s="83"/>
      <c r="HC6" s="399"/>
      <c r="HD6" s="399"/>
      <c r="HE6" s="399"/>
      <c r="HF6" s="399"/>
      <c r="HG6" s="399"/>
      <c r="HH6" s="399"/>
      <c r="HI6" s="399"/>
      <c r="HJ6" s="90"/>
      <c r="HK6" s="399"/>
      <c r="HL6" s="83"/>
      <c r="HM6" s="83"/>
      <c r="HN6" s="83"/>
      <c r="HO6" s="83"/>
      <c r="HP6" s="418" t="s">
        <v>449</v>
      </c>
      <c r="HQ6" s="419"/>
      <c r="HR6" s="420"/>
      <c r="HS6" s="406" t="s">
        <v>450</v>
      </c>
      <c r="HT6" s="407"/>
      <c r="HU6" s="408"/>
      <c r="HV6" s="415" t="s">
        <v>451</v>
      </c>
      <c r="HW6" s="416"/>
      <c r="HX6" s="416"/>
      <c r="HY6" s="416"/>
      <c r="HZ6" s="416"/>
      <c r="IA6" s="417"/>
      <c r="IB6" s="403" t="s">
        <v>452</v>
      </c>
      <c r="IC6" s="404"/>
      <c r="ID6" s="404"/>
      <c r="IE6" s="404"/>
      <c r="IF6" s="404"/>
      <c r="IG6" s="405"/>
      <c r="IH6" s="403" t="s">
        <v>453</v>
      </c>
      <c r="II6" s="404"/>
      <c r="IJ6" s="404"/>
      <c r="IK6" s="404"/>
      <c r="IL6" s="404"/>
      <c r="IM6" s="405"/>
      <c r="IN6" s="83"/>
      <c r="IO6" s="406" t="s">
        <v>454</v>
      </c>
      <c r="IP6" s="407"/>
      <c r="IQ6" s="408"/>
      <c r="IR6" s="83"/>
      <c r="IS6" s="406" t="s">
        <v>455</v>
      </c>
      <c r="IT6" s="407"/>
      <c r="IU6" s="408"/>
      <c r="IV6" s="83"/>
      <c r="IW6" s="406" t="s">
        <v>456</v>
      </c>
      <c r="IX6" s="407"/>
      <c r="IY6" s="408"/>
      <c r="IZ6" s="83"/>
      <c r="JA6" s="406" t="s">
        <v>457</v>
      </c>
      <c r="JB6" s="407"/>
      <c r="JC6" s="408"/>
      <c r="JD6" s="83"/>
      <c r="JE6" s="406" t="s">
        <v>18</v>
      </c>
      <c r="JF6" s="407"/>
      <c r="JG6" s="408"/>
      <c r="JH6" s="83"/>
      <c r="JI6" s="406" t="s">
        <v>458</v>
      </c>
      <c r="JJ6" s="407"/>
      <c r="JK6" s="408"/>
      <c r="JP6" s="400"/>
      <c r="JQ6" s="397"/>
      <c r="JR6" s="472" t="s">
        <v>316</v>
      </c>
      <c r="JS6" s="472"/>
      <c r="JT6" s="472"/>
      <c r="JU6" s="472"/>
      <c r="JV6" s="472"/>
      <c r="JW6" s="473" t="s">
        <v>325</v>
      </c>
      <c r="JX6" s="474"/>
      <c r="JY6" s="475" t="s">
        <v>331</v>
      </c>
      <c r="JZ6" s="472" t="s">
        <v>332</v>
      </c>
      <c r="KA6" s="472"/>
      <c r="KB6" s="472"/>
      <c r="KD6" s="400"/>
      <c r="KE6" s="400"/>
      <c r="KF6" s="400"/>
      <c r="KG6" s="397"/>
      <c r="KH6" s="472" t="s">
        <v>316</v>
      </c>
      <c r="KI6" s="472"/>
      <c r="KJ6" s="472"/>
      <c r="KK6" s="472"/>
      <c r="KL6" s="472"/>
      <c r="KM6" s="473" t="s">
        <v>325</v>
      </c>
      <c r="KN6" s="474"/>
      <c r="KO6" s="475" t="s">
        <v>331</v>
      </c>
      <c r="KP6" s="472" t="s">
        <v>332</v>
      </c>
      <c r="KQ6" s="472"/>
      <c r="KR6" s="472"/>
      <c r="KS6">
        <v>6</v>
      </c>
      <c r="KT6" t="s">
        <v>584</v>
      </c>
      <c r="KU6" s="535"/>
      <c r="KV6" s="535"/>
      <c r="KW6" s="536"/>
      <c r="KX6" s="538"/>
      <c r="KY6" s="538"/>
      <c r="KZ6" s="540"/>
      <c r="LA6" s="540"/>
      <c r="LB6" s="540"/>
      <c r="LC6" s="540"/>
      <c r="LD6" s="542"/>
      <c r="LE6" s="542"/>
      <c r="LF6" s="545" t="s">
        <v>525</v>
      </c>
      <c r="LG6" s="545" t="s">
        <v>526</v>
      </c>
      <c r="LH6" s="546" t="s">
        <v>527</v>
      </c>
      <c r="LI6" s="545" t="s">
        <v>528</v>
      </c>
      <c r="LJ6" s="545" t="s">
        <v>529</v>
      </c>
      <c r="LK6" s="545" t="s">
        <v>530</v>
      </c>
      <c r="LL6" s="545" t="s">
        <v>531</v>
      </c>
      <c r="LM6" s="396" t="s">
        <v>532</v>
      </c>
      <c r="LN6" s="396" t="s">
        <v>533</v>
      </c>
      <c r="LO6" s="553" t="s">
        <v>534</v>
      </c>
      <c r="LP6" s="554" t="s">
        <v>535</v>
      </c>
      <c r="LQ6" s="396" t="s">
        <v>529</v>
      </c>
      <c r="LR6" s="396" t="s">
        <v>536</v>
      </c>
      <c r="LS6" s="396" t="s">
        <v>531</v>
      </c>
      <c r="LT6" s="356" t="s">
        <v>537</v>
      </c>
      <c r="LU6" s="356" t="s">
        <v>538</v>
      </c>
      <c r="LV6" s="356" t="s">
        <v>539</v>
      </c>
      <c r="LW6" s="356" t="s">
        <v>540</v>
      </c>
      <c r="LX6" s="356" t="s">
        <v>541</v>
      </c>
      <c r="LY6" s="356" t="s">
        <v>542</v>
      </c>
      <c r="LZ6" s="356" t="s">
        <v>531</v>
      </c>
      <c r="MA6" s="345" t="s">
        <v>543</v>
      </c>
      <c r="MB6" s="345" t="s">
        <v>544</v>
      </c>
      <c r="MC6" s="345" t="s">
        <v>545</v>
      </c>
      <c r="MD6" s="345" t="s">
        <v>546</v>
      </c>
      <c r="ME6" s="345" t="s">
        <v>547</v>
      </c>
      <c r="MF6" s="345" t="s">
        <v>548</v>
      </c>
      <c r="MG6" s="345" t="s">
        <v>549</v>
      </c>
      <c r="MH6" s="345" t="s">
        <v>550</v>
      </c>
      <c r="MI6" s="345" t="s">
        <v>529</v>
      </c>
      <c r="MJ6" s="345" t="s">
        <v>531</v>
      </c>
      <c r="MK6" s="342" t="s">
        <v>551</v>
      </c>
      <c r="ML6" s="342" t="s">
        <v>552</v>
      </c>
      <c r="MM6" s="342" t="s">
        <v>553</v>
      </c>
      <c r="MN6" s="342" t="s">
        <v>529</v>
      </c>
      <c r="MO6" s="342" t="s">
        <v>531</v>
      </c>
      <c r="MP6" s="362" t="s">
        <v>554</v>
      </c>
      <c r="MQ6" s="362" t="s">
        <v>555</v>
      </c>
      <c r="MR6" s="362" t="s">
        <v>556</v>
      </c>
      <c r="MS6" s="362" t="s">
        <v>557</v>
      </c>
      <c r="MT6" s="362" t="s">
        <v>558</v>
      </c>
      <c r="MU6" s="362" t="s">
        <v>529</v>
      </c>
      <c r="MV6" s="362" t="s">
        <v>559</v>
      </c>
      <c r="MW6" s="362" t="s">
        <v>531</v>
      </c>
      <c r="MX6" s="359" t="s">
        <v>576</v>
      </c>
      <c r="MY6" s="359" t="s">
        <v>577</v>
      </c>
      <c r="MZ6" s="359" t="s">
        <v>578</v>
      </c>
      <c r="NA6" s="359" t="s">
        <v>579</v>
      </c>
      <c r="NB6" s="359" t="s">
        <v>522</v>
      </c>
      <c r="NC6" s="381"/>
      <c r="ND6" s="382"/>
      <c r="NE6" s="383"/>
      <c r="NF6" s="387"/>
      <c r="NG6" s="388"/>
      <c r="NH6" s="388"/>
      <c r="NI6" s="389"/>
      <c r="NJ6" s="351"/>
      <c r="NK6" s="371"/>
      <c r="NZ6" s="341"/>
      <c r="OE6" s="340"/>
      <c r="OF6" s="340"/>
      <c r="OG6" s="340"/>
      <c r="OH6" s="340"/>
      <c r="OI6" s="340"/>
      <c r="OJ6" s="340"/>
      <c r="OK6" s="340"/>
      <c r="OL6" s="340"/>
      <c r="OM6" s="340"/>
      <c r="OO6" s="340"/>
      <c r="OP6" s="340"/>
      <c r="OQ6" s="340"/>
      <c r="OR6" s="340"/>
      <c r="OS6" s="340"/>
      <c r="OT6" s="340"/>
      <c r="OU6" s="340"/>
      <c r="OV6" s="340"/>
      <c r="OW6" s="340"/>
      <c r="PA6" s="415" t="s">
        <v>11</v>
      </c>
      <c r="PB6" s="416"/>
      <c r="PC6" s="416"/>
      <c r="PD6" s="416"/>
      <c r="PE6" s="416"/>
      <c r="PF6" s="417"/>
      <c r="PG6" s="355" t="s">
        <v>13</v>
      </c>
      <c r="PH6" s="355"/>
      <c r="PI6" s="355"/>
      <c r="PJ6" s="355"/>
      <c r="PK6" s="355"/>
      <c r="PL6" s="355"/>
      <c r="PO6" s="561"/>
      <c r="PP6" s="563"/>
      <c r="PQ6" s="563"/>
    </row>
    <row r="7" spans="1:433" ht="15.5" customHeight="1" x14ac:dyDescent="0.2">
      <c r="A7" s="480"/>
      <c r="B7" s="480"/>
      <c r="C7" s="480"/>
      <c r="D7" s="496" t="s">
        <v>10</v>
      </c>
      <c r="E7" s="498"/>
      <c r="F7" s="495"/>
      <c r="G7" s="495"/>
      <c r="H7" s="495"/>
      <c r="I7" s="495"/>
      <c r="J7" s="490" t="s">
        <v>284</v>
      </c>
      <c r="K7" s="491" t="s">
        <v>284</v>
      </c>
      <c r="L7" s="491" t="s">
        <v>284</v>
      </c>
      <c r="M7" s="492" t="s">
        <v>284</v>
      </c>
      <c r="N7" s="490" t="s">
        <v>285</v>
      </c>
      <c r="O7" s="491" t="s">
        <v>285</v>
      </c>
      <c r="P7" s="491" t="s">
        <v>285</v>
      </c>
      <c r="Q7" s="492" t="s">
        <v>285</v>
      </c>
      <c r="R7" s="495"/>
      <c r="S7" s="495"/>
      <c r="T7" s="495"/>
      <c r="U7" s="495"/>
      <c r="V7" s="495"/>
      <c r="W7" s="495"/>
      <c r="X7" s="495"/>
      <c r="Y7" s="495"/>
      <c r="Z7" s="495"/>
      <c r="AA7" s="504"/>
      <c r="AB7" s="504"/>
      <c r="AC7" s="504"/>
      <c r="AD7" s="504"/>
      <c r="AE7" s="504"/>
      <c r="AF7" s="455"/>
      <c r="AG7" s="458"/>
      <c r="AH7" s="487"/>
      <c r="AI7" s="490"/>
      <c r="AJ7" s="491"/>
      <c r="AK7" s="492"/>
      <c r="AL7" s="578"/>
      <c r="AM7" s="581"/>
      <c r="AN7" s="567"/>
      <c r="BB7" s="571"/>
      <c r="BE7" s="455"/>
      <c r="BF7" s="458"/>
      <c r="BG7" s="458"/>
      <c r="BH7" s="458"/>
      <c r="BI7" s="458"/>
      <c r="BJ7" s="458"/>
      <c r="BK7" s="458"/>
      <c r="BN7" s="400"/>
      <c r="BO7" s="397"/>
      <c r="BP7" s="397" t="s">
        <v>317</v>
      </c>
      <c r="BQ7" s="472" t="s">
        <v>318</v>
      </c>
      <c r="BR7" s="472"/>
      <c r="BS7" s="472" t="s">
        <v>322</v>
      </c>
      <c r="BT7" s="472"/>
      <c r="BU7" s="397" t="s">
        <v>327</v>
      </c>
      <c r="BV7" s="401" t="s">
        <v>326</v>
      </c>
      <c r="BW7" s="475"/>
      <c r="BX7" s="401" t="s">
        <v>333</v>
      </c>
      <c r="BY7" s="401" t="s">
        <v>334</v>
      </c>
      <c r="BZ7" s="397" t="s">
        <v>335</v>
      </c>
      <c r="CB7" s="470"/>
      <c r="CD7" s="400"/>
      <c r="CE7" s="397"/>
      <c r="CF7" s="397" t="s">
        <v>317</v>
      </c>
      <c r="CG7" s="472" t="s">
        <v>318</v>
      </c>
      <c r="CH7" s="472"/>
      <c r="CI7" s="472" t="s">
        <v>322</v>
      </c>
      <c r="CJ7" s="472"/>
      <c r="CK7" s="397" t="s">
        <v>327</v>
      </c>
      <c r="CL7" s="401" t="s">
        <v>326</v>
      </c>
      <c r="CM7" s="475"/>
      <c r="CN7" s="401" t="s">
        <v>333</v>
      </c>
      <c r="CO7" s="401" t="s">
        <v>334</v>
      </c>
      <c r="CP7" s="397" t="s">
        <v>335</v>
      </c>
      <c r="DV7" s="531"/>
      <c r="DW7" s="477"/>
      <c r="DX7" s="477"/>
      <c r="DY7" s="477"/>
      <c r="DZ7" s="477"/>
      <c r="EA7" s="477"/>
      <c r="EB7" s="477"/>
      <c r="ED7" s="50"/>
      <c r="EE7" s="51"/>
      <c r="EG7" s="533"/>
      <c r="EH7" s="533"/>
      <c r="EI7" s="429"/>
      <c r="EJ7" s="429"/>
      <c r="EK7" s="512"/>
      <c r="EL7" s="512"/>
      <c r="EM7" s="512"/>
      <c r="EN7" s="512"/>
      <c r="EO7" s="512"/>
      <c r="EP7" s="512"/>
      <c r="EQ7" s="429"/>
      <c r="ER7" s="429"/>
      <c r="ES7" s="429"/>
      <c r="ET7" s="429"/>
      <c r="EU7" s="429"/>
      <c r="EV7" s="429"/>
      <c r="EW7" s="512"/>
      <c r="EX7" s="512"/>
      <c r="EY7" s="512"/>
      <c r="EZ7" s="429"/>
      <c r="FA7" s="429"/>
      <c r="FB7" s="429"/>
      <c r="FC7" s="429"/>
      <c r="FD7" s="429"/>
      <c r="FE7" s="429"/>
      <c r="FF7" s="429"/>
      <c r="FH7" s="429"/>
      <c r="FI7" s="429"/>
      <c r="FJ7" s="429"/>
      <c r="FK7" s="429"/>
      <c r="FL7" s="429"/>
      <c r="FM7" s="429"/>
      <c r="FN7" s="429"/>
      <c r="FO7" s="429"/>
      <c r="FP7" s="429"/>
      <c r="FQ7" s="429"/>
      <c r="FR7" s="429"/>
      <c r="FS7" s="429"/>
      <c r="FT7" s="429"/>
      <c r="FU7" s="429"/>
      <c r="FV7" s="429"/>
      <c r="FX7" s="366"/>
      <c r="FY7" s="413"/>
      <c r="FZ7" s="397"/>
      <c r="GA7" s="397"/>
      <c r="GB7" s="397"/>
      <c r="GC7" s="397"/>
      <c r="GD7" s="397"/>
      <c r="GE7" s="397"/>
      <c r="GF7" s="27"/>
      <c r="GG7" s="397"/>
      <c r="GH7" s="397"/>
      <c r="GI7" s="27"/>
      <c r="GJ7" s="397"/>
      <c r="GK7" s="397"/>
      <c r="GO7" s="424"/>
      <c r="GP7" s="424"/>
      <c r="GQ7" s="424"/>
      <c r="GR7" s="424"/>
      <c r="GS7" s="424"/>
      <c r="GT7" s="424"/>
      <c r="GU7" s="91"/>
      <c r="GV7" s="423" t="s">
        <v>459</v>
      </c>
      <c r="GW7" s="423" t="s">
        <v>460</v>
      </c>
      <c r="GX7" s="92" t="s">
        <v>265</v>
      </c>
      <c r="GY7" s="93">
        <f>Jaticempaka!GY7</f>
        <v>10</v>
      </c>
      <c r="GZ7" s="424"/>
      <c r="HA7" s="83"/>
      <c r="HB7" s="83"/>
      <c r="HC7" s="399"/>
      <c r="HD7" s="399"/>
      <c r="HE7" s="399"/>
      <c r="HF7" s="399"/>
      <c r="HG7" s="399"/>
      <c r="HH7" s="399"/>
      <c r="HI7" s="399"/>
      <c r="HJ7" s="90"/>
      <c r="HK7" s="399"/>
      <c r="HL7" s="83"/>
      <c r="HM7" s="83"/>
      <c r="HN7" s="83"/>
      <c r="HO7" s="83"/>
      <c r="HP7" s="421"/>
      <c r="HQ7" s="388"/>
      <c r="HR7" s="422"/>
      <c r="HS7" s="409"/>
      <c r="HT7" s="410"/>
      <c r="HU7" s="411"/>
      <c r="HV7" s="415" t="s">
        <v>461</v>
      </c>
      <c r="HW7" s="416"/>
      <c r="HX7" s="417"/>
      <c r="HY7" s="415" t="s">
        <v>462</v>
      </c>
      <c r="HZ7" s="416"/>
      <c r="IA7" s="417"/>
      <c r="IB7" s="415" t="s">
        <v>461</v>
      </c>
      <c r="IC7" s="416"/>
      <c r="ID7" s="417"/>
      <c r="IE7" s="415" t="s">
        <v>462</v>
      </c>
      <c r="IF7" s="416"/>
      <c r="IG7" s="417"/>
      <c r="IH7" s="415" t="s">
        <v>461</v>
      </c>
      <c r="II7" s="416"/>
      <c r="IJ7" s="417"/>
      <c r="IK7" s="415" t="s">
        <v>462</v>
      </c>
      <c r="IL7" s="416"/>
      <c r="IM7" s="417"/>
      <c r="IN7" s="83"/>
      <c r="IO7" s="409"/>
      <c r="IP7" s="410"/>
      <c r="IQ7" s="411"/>
      <c r="IR7" s="83"/>
      <c r="IS7" s="409"/>
      <c r="IT7" s="410"/>
      <c r="IU7" s="411"/>
      <c r="IV7" s="83"/>
      <c r="IW7" s="409"/>
      <c r="IX7" s="410"/>
      <c r="IY7" s="411"/>
      <c r="IZ7" s="83"/>
      <c r="JA7" s="409"/>
      <c r="JB7" s="410"/>
      <c r="JC7" s="411"/>
      <c r="JD7" s="83"/>
      <c r="JE7" s="409"/>
      <c r="JF7" s="410"/>
      <c r="JG7" s="411"/>
      <c r="JH7" s="83"/>
      <c r="JI7" s="409"/>
      <c r="JJ7" s="410"/>
      <c r="JK7" s="411"/>
      <c r="JP7" s="400"/>
      <c r="JQ7" s="397"/>
      <c r="JR7" s="397" t="s">
        <v>317</v>
      </c>
      <c r="JS7" s="472" t="s">
        <v>318</v>
      </c>
      <c r="JT7" s="472"/>
      <c r="JU7" s="472" t="s">
        <v>322</v>
      </c>
      <c r="JV7" s="472"/>
      <c r="JW7" s="397" t="s">
        <v>327</v>
      </c>
      <c r="JX7" s="401" t="s">
        <v>478</v>
      </c>
      <c r="JY7" s="475"/>
      <c r="JZ7" s="401" t="s">
        <v>333</v>
      </c>
      <c r="KA7" s="401" t="s">
        <v>334</v>
      </c>
      <c r="KB7" s="397" t="s">
        <v>335</v>
      </c>
      <c r="KD7" s="400"/>
      <c r="KE7" s="400"/>
      <c r="KF7" s="400"/>
      <c r="KG7" s="397"/>
      <c r="KH7" s="397" t="s">
        <v>317</v>
      </c>
      <c r="KI7" s="472" t="s">
        <v>318</v>
      </c>
      <c r="KJ7" s="472"/>
      <c r="KK7" s="472" t="s">
        <v>322</v>
      </c>
      <c r="KL7" s="472"/>
      <c r="KM7" s="397" t="s">
        <v>327</v>
      </c>
      <c r="KN7" s="401" t="s">
        <v>478</v>
      </c>
      <c r="KO7" s="475"/>
      <c r="KP7" s="401" t="s">
        <v>333</v>
      </c>
      <c r="KQ7" s="401" t="s">
        <v>334</v>
      </c>
      <c r="KR7" s="397" t="s">
        <v>335</v>
      </c>
      <c r="KS7">
        <v>7</v>
      </c>
      <c r="KT7" t="s">
        <v>585</v>
      </c>
      <c r="KU7" s="535"/>
      <c r="KV7" s="535"/>
      <c r="KW7" s="536"/>
      <c r="KX7" s="538"/>
      <c r="KY7" s="538"/>
      <c r="KZ7" s="540"/>
      <c r="LA7" s="540"/>
      <c r="LB7" s="540"/>
      <c r="LC7" s="540"/>
      <c r="LD7" s="543"/>
      <c r="LE7" s="543"/>
      <c r="LF7" s="545"/>
      <c r="LG7" s="545"/>
      <c r="LH7" s="546"/>
      <c r="LI7" s="545"/>
      <c r="LJ7" s="545"/>
      <c r="LK7" s="545"/>
      <c r="LL7" s="545"/>
      <c r="LM7" s="396"/>
      <c r="LN7" s="396"/>
      <c r="LO7" s="553"/>
      <c r="LP7" s="554"/>
      <c r="LQ7" s="396"/>
      <c r="LR7" s="396"/>
      <c r="LS7" s="396"/>
      <c r="LT7" s="357"/>
      <c r="LU7" s="357"/>
      <c r="LV7" s="357"/>
      <c r="LW7" s="357"/>
      <c r="LX7" s="357"/>
      <c r="LY7" s="357"/>
      <c r="LZ7" s="357"/>
      <c r="MA7" s="346"/>
      <c r="MB7" s="346"/>
      <c r="MC7" s="346"/>
      <c r="MD7" s="346"/>
      <c r="ME7" s="346"/>
      <c r="MF7" s="346"/>
      <c r="MG7" s="346"/>
      <c r="MH7" s="346"/>
      <c r="MI7" s="346"/>
      <c r="MJ7" s="346"/>
      <c r="MK7" s="343"/>
      <c r="ML7" s="343"/>
      <c r="MM7" s="343"/>
      <c r="MN7" s="343"/>
      <c r="MO7" s="343"/>
      <c r="MP7" s="363"/>
      <c r="MQ7" s="363"/>
      <c r="MR7" s="363"/>
      <c r="MS7" s="363"/>
      <c r="MT7" s="363"/>
      <c r="MU7" s="363"/>
      <c r="MV7" s="363"/>
      <c r="MW7" s="363"/>
      <c r="MX7" s="360"/>
      <c r="MY7" s="360"/>
      <c r="MZ7" s="360"/>
      <c r="NA7" s="360"/>
      <c r="NB7" s="360"/>
      <c r="NC7" s="348" t="s">
        <v>542</v>
      </c>
      <c r="ND7" s="555" t="s">
        <v>560</v>
      </c>
      <c r="NE7" s="390" t="s">
        <v>531</v>
      </c>
      <c r="NF7" s="392" t="s">
        <v>561</v>
      </c>
      <c r="NG7" s="394" t="s">
        <v>562</v>
      </c>
      <c r="NH7" s="394" t="s">
        <v>563</v>
      </c>
      <c r="NI7" s="353" t="s">
        <v>564</v>
      </c>
      <c r="NJ7" s="351"/>
      <c r="NK7" s="371"/>
      <c r="NM7" s="355" t="s">
        <v>586</v>
      </c>
      <c r="NN7" s="355"/>
      <c r="NO7" s="355"/>
      <c r="NP7" s="355"/>
      <c r="NQ7" s="355"/>
      <c r="NR7" s="355"/>
      <c r="NS7" s="355"/>
      <c r="NT7" s="355"/>
      <c r="NU7" t="s">
        <v>588</v>
      </c>
      <c r="NZ7" s="341"/>
      <c r="OE7" s="340"/>
      <c r="OF7" s="340"/>
      <c r="OG7" s="340"/>
      <c r="OH7" s="340"/>
      <c r="OI7" s="340"/>
      <c r="OJ7" s="340"/>
      <c r="OK7" s="340"/>
      <c r="OL7" s="340"/>
      <c r="OM7" s="340"/>
      <c r="OO7" s="340"/>
      <c r="OP7" s="340"/>
      <c r="OQ7" s="340"/>
      <c r="OR7" s="340"/>
      <c r="OS7" s="340"/>
      <c r="OT7" s="340"/>
      <c r="OU7" s="340"/>
      <c r="OV7" s="340"/>
      <c r="OW7" s="340"/>
      <c r="PA7" s="368" t="s">
        <v>618</v>
      </c>
      <c r="PB7" s="368" t="s">
        <v>619</v>
      </c>
      <c r="PC7" s="368" t="s">
        <v>620</v>
      </c>
      <c r="PD7" s="368" t="s">
        <v>698</v>
      </c>
      <c r="PE7" s="368" t="s">
        <v>699</v>
      </c>
      <c r="PF7" s="368" t="s">
        <v>700</v>
      </c>
      <c r="PG7" s="368" t="s">
        <v>618</v>
      </c>
      <c r="PH7" s="368" t="s">
        <v>619</v>
      </c>
      <c r="PI7" s="368" t="s">
        <v>620</v>
      </c>
      <c r="PJ7" s="368" t="s">
        <v>698</v>
      </c>
      <c r="PK7" s="368" t="s">
        <v>699</v>
      </c>
      <c r="PL7" s="368" t="s">
        <v>700</v>
      </c>
      <c r="PO7" s="562"/>
      <c r="PP7" s="563"/>
      <c r="PQ7" s="563"/>
    </row>
    <row r="8" spans="1:433" ht="49" thickBot="1" x14ac:dyDescent="0.25">
      <c r="A8" s="481"/>
      <c r="B8" s="481"/>
      <c r="C8" s="481"/>
      <c r="D8" s="11" t="s">
        <v>11</v>
      </c>
      <c r="E8" s="11" t="s">
        <v>12</v>
      </c>
      <c r="F8" s="11" t="s">
        <v>11</v>
      </c>
      <c r="G8" s="12" t="s">
        <v>13</v>
      </c>
      <c r="H8" s="12" t="s">
        <v>14</v>
      </c>
      <c r="I8" s="13" t="s">
        <v>15</v>
      </c>
      <c r="J8" s="11" t="s">
        <v>11</v>
      </c>
      <c r="K8" s="12" t="s">
        <v>13</v>
      </c>
      <c r="L8" s="12" t="s">
        <v>14</v>
      </c>
      <c r="M8" s="12" t="s">
        <v>16</v>
      </c>
      <c r="N8" s="11" t="s">
        <v>11</v>
      </c>
      <c r="O8" s="12" t="s">
        <v>13</v>
      </c>
      <c r="P8" s="12" t="s">
        <v>14</v>
      </c>
      <c r="Q8" s="12" t="s">
        <v>16</v>
      </c>
      <c r="R8" s="11" t="s">
        <v>11</v>
      </c>
      <c r="S8" s="12" t="s">
        <v>13</v>
      </c>
      <c r="T8" s="12" t="s">
        <v>14</v>
      </c>
      <c r="U8" s="12" t="s">
        <v>16</v>
      </c>
      <c r="V8" s="11" t="s">
        <v>11</v>
      </c>
      <c r="W8" s="12" t="s">
        <v>13</v>
      </c>
      <c r="X8" s="12" t="s">
        <v>14</v>
      </c>
      <c r="Y8" s="12" t="s">
        <v>16</v>
      </c>
      <c r="Z8" s="12" t="s">
        <v>17</v>
      </c>
      <c r="AA8" s="63" t="s">
        <v>11</v>
      </c>
      <c r="AB8" s="64" t="s">
        <v>13</v>
      </c>
      <c r="AC8" s="64" t="s">
        <v>14</v>
      </c>
      <c r="AD8" s="64" t="s">
        <v>16</v>
      </c>
      <c r="AE8" s="64" t="s">
        <v>17</v>
      </c>
      <c r="AF8" s="456"/>
      <c r="AG8" s="459"/>
      <c r="AH8" s="488"/>
      <c r="AI8" s="11" t="s">
        <v>11</v>
      </c>
      <c r="AJ8" s="12" t="s">
        <v>13</v>
      </c>
      <c r="AK8" s="12" t="s">
        <v>263</v>
      </c>
      <c r="AL8" s="579"/>
      <c r="AM8" s="582"/>
      <c r="AN8" s="568"/>
      <c r="BB8" s="572"/>
      <c r="BE8" s="456"/>
      <c r="BF8" s="459"/>
      <c r="BG8" s="459"/>
      <c r="BH8" s="459"/>
      <c r="BI8" s="459"/>
      <c r="BJ8" s="459"/>
      <c r="BK8" s="459"/>
      <c r="BN8" s="400"/>
      <c r="BO8" s="397"/>
      <c r="BP8" s="397"/>
      <c r="BQ8" s="44" t="s">
        <v>328</v>
      </c>
      <c r="BR8" s="45" t="s">
        <v>329</v>
      </c>
      <c r="BS8" s="44" t="s">
        <v>323</v>
      </c>
      <c r="BT8" s="45" t="s">
        <v>324</v>
      </c>
      <c r="BU8" s="397"/>
      <c r="BV8" s="401"/>
      <c r="BW8" s="475"/>
      <c r="BX8" s="401"/>
      <c r="BY8" s="401"/>
      <c r="BZ8" s="397"/>
      <c r="CB8" s="471"/>
      <c r="CD8" s="400"/>
      <c r="CE8" s="397"/>
      <c r="CF8" s="397"/>
      <c r="CG8" s="44" t="s">
        <v>328</v>
      </c>
      <c r="CH8" s="45" t="s">
        <v>329</v>
      </c>
      <c r="CI8" s="44" t="s">
        <v>323</v>
      </c>
      <c r="CJ8" s="45" t="s">
        <v>324</v>
      </c>
      <c r="CK8" s="397"/>
      <c r="CL8" s="401"/>
      <c r="CM8" s="475"/>
      <c r="CN8" s="401"/>
      <c r="CO8" s="401"/>
      <c r="CP8" s="397"/>
      <c r="DV8" s="532"/>
      <c r="DW8" s="478"/>
      <c r="DX8" s="478"/>
      <c r="DY8" s="478"/>
      <c r="DZ8" s="478"/>
      <c r="EA8" s="478"/>
      <c r="EB8" s="478"/>
      <c r="ED8" s="53"/>
      <c r="EE8" s="54"/>
      <c r="EG8" s="533"/>
      <c r="EH8" s="533"/>
      <c r="EI8" s="47" t="s">
        <v>363</v>
      </c>
      <c r="EJ8" s="47" t="s">
        <v>506</v>
      </c>
      <c r="EK8" s="47"/>
      <c r="EL8" s="47"/>
      <c r="EM8" s="47"/>
      <c r="EN8" s="47"/>
      <c r="EO8" s="47"/>
      <c r="EP8" s="47"/>
      <c r="EQ8" s="47" t="s">
        <v>362</v>
      </c>
      <c r="ER8" s="47" t="s">
        <v>507</v>
      </c>
      <c r="ES8" s="47" t="s">
        <v>364</v>
      </c>
      <c r="ET8" s="47" t="s">
        <v>363</v>
      </c>
      <c r="EU8" s="47" t="s">
        <v>364</v>
      </c>
      <c r="EV8" s="47" t="s">
        <v>364</v>
      </c>
      <c r="EW8" s="47" t="s">
        <v>364</v>
      </c>
      <c r="EX8" s="47" t="s">
        <v>364</v>
      </c>
      <c r="EY8" s="47" t="s">
        <v>364</v>
      </c>
      <c r="EZ8" s="47" t="s">
        <v>365</v>
      </c>
      <c r="FA8" s="47" t="s">
        <v>364</v>
      </c>
      <c r="FB8" s="47" t="s">
        <v>362</v>
      </c>
      <c r="FC8" s="47" t="s">
        <v>364</v>
      </c>
      <c r="FD8" s="47" t="s">
        <v>363</v>
      </c>
      <c r="FE8" s="47" t="s">
        <v>364</v>
      </c>
      <c r="FF8" s="47" t="s">
        <v>364</v>
      </c>
      <c r="FH8" s="47"/>
      <c r="FI8" s="47"/>
      <c r="FJ8" s="47"/>
      <c r="FK8" s="47"/>
      <c r="FL8" s="47"/>
      <c r="FM8" s="47"/>
      <c r="FN8" s="47"/>
      <c r="FO8" s="47"/>
      <c r="FP8" s="47"/>
      <c r="FQ8" s="47"/>
      <c r="FR8" s="47"/>
      <c r="FS8" s="47"/>
      <c r="FT8" s="47"/>
      <c r="FU8" s="47"/>
      <c r="FV8" s="47"/>
      <c r="FX8" s="367"/>
      <c r="FY8" s="414"/>
      <c r="FZ8" s="397"/>
      <c r="GA8" s="397"/>
      <c r="GB8" s="397"/>
      <c r="GC8" s="397"/>
      <c r="GD8" s="397"/>
      <c r="GE8" s="397"/>
      <c r="GF8" s="27"/>
      <c r="GG8" s="397"/>
      <c r="GH8" s="397"/>
      <c r="GI8" s="27"/>
      <c r="GJ8" s="397"/>
      <c r="GK8" s="397"/>
      <c r="GO8" s="425"/>
      <c r="GP8" s="425"/>
      <c r="GQ8" s="425"/>
      <c r="GR8" s="425"/>
      <c r="GS8" s="425"/>
      <c r="GT8" s="425"/>
      <c r="GU8" s="95"/>
      <c r="GV8" s="425"/>
      <c r="GW8" s="425"/>
      <c r="GX8" s="96" t="s">
        <v>447</v>
      </c>
      <c r="GY8" s="97">
        <f>Jaticempaka!GY8</f>
        <v>14</v>
      </c>
      <c r="GZ8" s="425"/>
      <c r="HA8" s="83"/>
      <c r="HB8" s="83"/>
      <c r="HC8" s="402"/>
      <c r="HD8" s="402"/>
      <c r="HE8" s="402"/>
      <c r="HF8" s="402"/>
      <c r="HG8" s="402"/>
      <c r="HH8" s="98">
        <f>Jaticempaka!HH8</f>
        <v>45</v>
      </c>
      <c r="HI8" s="98">
        <f>Jaticempaka!HI8</f>
        <v>45</v>
      </c>
      <c r="HJ8" s="90"/>
      <c r="HK8" s="402"/>
      <c r="HL8" s="83"/>
      <c r="HM8" s="83"/>
      <c r="HN8" s="83"/>
      <c r="HO8" s="83"/>
      <c r="HP8" s="99" t="s">
        <v>463</v>
      </c>
      <c r="HQ8" s="99" t="s">
        <v>11</v>
      </c>
      <c r="HR8" s="100" t="s">
        <v>13</v>
      </c>
      <c r="HS8" s="99" t="s">
        <v>463</v>
      </c>
      <c r="HT8" s="99" t="s">
        <v>11</v>
      </c>
      <c r="HU8" s="100" t="s">
        <v>13</v>
      </c>
      <c r="HV8" s="99" t="s">
        <v>463</v>
      </c>
      <c r="HW8" s="99" t="s">
        <v>11</v>
      </c>
      <c r="HX8" s="100" t="s">
        <v>13</v>
      </c>
      <c r="HY8" s="99" t="s">
        <v>463</v>
      </c>
      <c r="HZ8" s="99" t="s">
        <v>11</v>
      </c>
      <c r="IA8" s="100" t="s">
        <v>13</v>
      </c>
      <c r="IB8" s="99" t="s">
        <v>463</v>
      </c>
      <c r="IC8" s="99" t="s">
        <v>11</v>
      </c>
      <c r="ID8" s="100" t="s">
        <v>13</v>
      </c>
      <c r="IE8" s="99" t="s">
        <v>463</v>
      </c>
      <c r="IF8" s="99" t="s">
        <v>11</v>
      </c>
      <c r="IG8" s="100" t="s">
        <v>13</v>
      </c>
      <c r="IH8" s="99" t="s">
        <v>463</v>
      </c>
      <c r="II8" s="99" t="s">
        <v>11</v>
      </c>
      <c r="IJ8" s="100" t="s">
        <v>13</v>
      </c>
      <c r="IK8" s="99" t="s">
        <v>463</v>
      </c>
      <c r="IL8" s="99" t="s">
        <v>11</v>
      </c>
      <c r="IM8" s="100" t="s">
        <v>13</v>
      </c>
      <c r="IN8" s="83"/>
      <c r="IO8" s="99" t="s">
        <v>463</v>
      </c>
      <c r="IP8" s="99" t="s">
        <v>11</v>
      </c>
      <c r="IQ8" s="100" t="s">
        <v>13</v>
      </c>
      <c r="IR8" s="83"/>
      <c r="IS8" s="99" t="s">
        <v>463</v>
      </c>
      <c r="IT8" s="99" t="s">
        <v>11</v>
      </c>
      <c r="IU8" s="100" t="s">
        <v>13</v>
      </c>
      <c r="IV8" s="83"/>
      <c r="IW8" s="99" t="s">
        <v>463</v>
      </c>
      <c r="IX8" s="99" t="s">
        <v>11</v>
      </c>
      <c r="IY8" s="100" t="s">
        <v>13</v>
      </c>
      <c r="IZ8" s="83"/>
      <c r="JA8" s="99" t="s">
        <v>463</v>
      </c>
      <c r="JB8" s="99" t="s">
        <v>11</v>
      </c>
      <c r="JC8" s="100" t="s">
        <v>13</v>
      </c>
      <c r="JD8" s="83"/>
      <c r="JE8" s="99" t="s">
        <v>463</v>
      </c>
      <c r="JF8" s="99" t="s">
        <v>11</v>
      </c>
      <c r="JG8" s="100" t="s">
        <v>13</v>
      </c>
      <c r="JH8" s="83"/>
      <c r="JI8" s="99" t="s">
        <v>463</v>
      </c>
      <c r="JJ8" s="99" t="s">
        <v>11</v>
      </c>
      <c r="JK8" s="100" t="s">
        <v>13</v>
      </c>
      <c r="JM8" t="s">
        <v>468</v>
      </c>
      <c r="JP8" s="400"/>
      <c r="JQ8" s="397"/>
      <c r="JR8" s="397"/>
      <c r="JS8" s="44" t="s">
        <v>328</v>
      </c>
      <c r="JT8" s="45" t="s">
        <v>479</v>
      </c>
      <c r="JU8" s="44" t="s">
        <v>323</v>
      </c>
      <c r="JV8" s="45" t="s">
        <v>324</v>
      </c>
      <c r="JW8" s="397"/>
      <c r="JX8" s="401"/>
      <c r="JY8" s="475"/>
      <c r="JZ8" s="401"/>
      <c r="KA8" s="401"/>
      <c r="KB8" s="397"/>
      <c r="KD8" s="400"/>
      <c r="KE8" s="400"/>
      <c r="KF8" s="400"/>
      <c r="KG8" s="397"/>
      <c r="KH8" s="397"/>
      <c r="KI8" s="44" t="s">
        <v>328</v>
      </c>
      <c r="KJ8" s="45" t="s">
        <v>479</v>
      </c>
      <c r="KK8" s="44" t="s">
        <v>323</v>
      </c>
      <c r="KL8" s="45" t="s">
        <v>324</v>
      </c>
      <c r="KM8" s="397"/>
      <c r="KN8" s="401"/>
      <c r="KO8" s="475"/>
      <c r="KP8" s="401"/>
      <c r="KQ8" s="401"/>
      <c r="KR8" s="397"/>
      <c r="KU8" s="130" t="s">
        <v>565</v>
      </c>
      <c r="KV8" s="130" t="s">
        <v>565</v>
      </c>
      <c r="KW8" s="536"/>
      <c r="KX8" s="539"/>
      <c r="KY8" s="539"/>
      <c r="KZ8" s="129" t="s">
        <v>12</v>
      </c>
      <c r="LA8" s="131" t="s">
        <v>566</v>
      </c>
      <c r="LB8" s="129" t="s">
        <v>12</v>
      </c>
      <c r="LC8" s="131" t="s">
        <v>566</v>
      </c>
      <c r="LD8" s="132" t="s">
        <v>567</v>
      </c>
      <c r="LE8" s="133" t="s">
        <v>568</v>
      </c>
      <c r="LF8" s="545"/>
      <c r="LG8" s="545"/>
      <c r="LH8" s="546"/>
      <c r="LI8" s="545"/>
      <c r="LJ8" s="545"/>
      <c r="LK8" s="545"/>
      <c r="LL8" s="545"/>
      <c r="LM8" s="396"/>
      <c r="LN8" s="396"/>
      <c r="LO8" s="553"/>
      <c r="LP8" s="554"/>
      <c r="LQ8" s="396"/>
      <c r="LR8" s="396"/>
      <c r="LS8" s="396"/>
      <c r="LT8" s="358"/>
      <c r="LU8" s="358"/>
      <c r="LV8" s="358"/>
      <c r="LW8" s="358"/>
      <c r="LX8" s="358"/>
      <c r="LY8" s="358"/>
      <c r="LZ8" s="358"/>
      <c r="MA8" s="347"/>
      <c r="MB8" s="347"/>
      <c r="MC8" s="347"/>
      <c r="MD8" s="347"/>
      <c r="ME8" s="347"/>
      <c r="MF8" s="347"/>
      <c r="MG8" s="347"/>
      <c r="MH8" s="347"/>
      <c r="MI8" s="347"/>
      <c r="MJ8" s="347"/>
      <c r="MK8" s="344"/>
      <c r="ML8" s="344"/>
      <c r="MM8" s="344"/>
      <c r="MN8" s="344"/>
      <c r="MO8" s="344"/>
      <c r="MP8" s="364"/>
      <c r="MQ8" s="364"/>
      <c r="MR8" s="364"/>
      <c r="MS8" s="364"/>
      <c r="MT8" s="364"/>
      <c r="MU8" s="364"/>
      <c r="MV8" s="364"/>
      <c r="MW8" s="364"/>
      <c r="MX8" s="361"/>
      <c r="MY8" s="361"/>
      <c r="MZ8" s="361"/>
      <c r="NA8" s="361"/>
      <c r="NB8" s="361"/>
      <c r="NC8" s="349"/>
      <c r="ND8" s="556"/>
      <c r="NE8" s="391"/>
      <c r="NF8" s="393"/>
      <c r="NG8" s="395"/>
      <c r="NH8" s="395"/>
      <c r="NI8" s="354"/>
      <c r="NJ8" s="352"/>
      <c r="NK8" s="371"/>
      <c r="NM8" s="80">
        <v>1</v>
      </c>
      <c r="NN8" s="80">
        <v>2</v>
      </c>
      <c r="NO8" s="80">
        <v>3</v>
      </c>
      <c r="NP8" s="80">
        <v>4</v>
      </c>
      <c r="NQ8" s="80">
        <v>5</v>
      </c>
      <c r="NR8" s="80">
        <v>6</v>
      </c>
      <c r="NS8" s="80">
        <v>7</v>
      </c>
      <c r="NT8" s="80" t="s">
        <v>587</v>
      </c>
      <c r="NU8" t="s">
        <v>589</v>
      </c>
      <c r="NZ8" s="341"/>
      <c r="OE8" s="340"/>
      <c r="OF8" s="340"/>
      <c r="OG8" s="340"/>
      <c r="OH8" s="340"/>
      <c r="OI8" s="340"/>
      <c r="OJ8" s="340"/>
      <c r="OK8" s="340"/>
      <c r="OL8" s="340"/>
      <c r="OM8" s="340"/>
      <c r="OO8" s="340"/>
      <c r="OP8" s="340"/>
      <c r="OQ8" s="340"/>
      <c r="OR8" s="340"/>
      <c r="OS8" s="340"/>
      <c r="OT8" s="340"/>
      <c r="OU8" s="340"/>
      <c r="OV8" s="340"/>
      <c r="OW8" s="340"/>
      <c r="PA8" s="369"/>
      <c r="PB8" s="369"/>
      <c r="PC8" s="369"/>
      <c r="PD8" s="369"/>
      <c r="PE8" s="369"/>
      <c r="PF8" s="369"/>
      <c r="PG8" s="369"/>
      <c r="PH8" s="369"/>
      <c r="PI8" s="369"/>
      <c r="PJ8" s="369"/>
      <c r="PK8" s="369"/>
      <c r="PL8" s="369"/>
      <c r="PO8" s="47" t="s">
        <v>364</v>
      </c>
      <c r="PP8" s="47" t="s">
        <v>364</v>
      </c>
      <c r="PQ8" s="47" t="s">
        <v>364</v>
      </c>
    </row>
    <row r="9" spans="1:433" ht="16" x14ac:dyDescent="0.2">
      <c r="A9" s="14">
        <v>1</v>
      </c>
      <c r="B9" s="15" t="s">
        <v>282</v>
      </c>
      <c r="C9" s="16">
        <v>1</v>
      </c>
      <c r="D9" s="17">
        <v>1</v>
      </c>
      <c r="E9" s="17">
        <v>418</v>
      </c>
      <c r="F9" s="17">
        <v>1</v>
      </c>
      <c r="G9" s="17">
        <f>E9</f>
        <v>418</v>
      </c>
      <c r="H9" s="18">
        <f t="shared" ref="H9:H13" si="2">F9/$D9</f>
        <v>1</v>
      </c>
      <c r="I9" s="18">
        <f t="shared" ref="I9:I13" si="3">G9/$E9</f>
        <v>1</v>
      </c>
      <c r="J9" s="17">
        <v>1</v>
      </c>
      <c r="K9" s="17">
        <f>IF(J9=D9,E9,0)</f>
        <v>418</v>
      </c>
      <c r="L9" s="18">
        <f>J9/$D9</f>
        <v>1</v>
      </c>
      <c r="M9" s="18">
        <f>K9/$E9</f>
        <v>1</v>
      </c>
      <c r="N9" s="17">
        <v>1</v>
      </c>
      <c r="O9" s="17">
        <f>IF(N9=D9,E9,0)</f>
        <v>418</v>
      </c>
      <c r="P9" s="18">
        <f>N9/$D9</f>
        <v>1</v>
      </c>
      <c r="Q9" s="18">
        <f>O9/$E9</f>
        <v>1</v>
      </c>
      <c r="R9" s="17">
        <v>1</v>
      </c>
      <c r="S9" s="17">
        <f>IF(R9=D9,E9,0)</f>
        <v>418</v>
      </c>
      <c r="T9" s="18">
        <f t="shared" ref="T9:T13" si="4">R9/$D9</f>
        <v>1</v>
      </c>
      <c r="U9" s="18">
        <f t="shared" ref="U9:U13" si="5">S9/$E9</f>
        <v>1</v>
      </c>
      <c r="V9" s="17">
        <v>0</v>
      </c>
      <c r="W9" s="17">
        <f>IF(V9=D9,E9,0)</f>
        <v>0</v>
      </c>
      <c r="X9" s="18">
        <f t="shared" ref="X9:X13" si="6">V9/$D9</f>
        <v>0</v>
      </c>
      <c r="Y9" s="18">
        <f t="shared" ref="Y9:Y13" si="7">W9/$E9</f>
        <v>0</v>
      </c>
      <c r="Z9" s="17">
        <v>0</v>
      </c>
      <c r="AA9" s="168">
        <v>1</v>
      </c>
      <c r="AB9" s="17">
        <f>IF(AA9=D9,E9,0)</f>
        <v>418</v>
      </c>
      <c r="AC9" s="18">
        <f t="shared" ref="AC9" si="8">AA9/$D9</f>
        <v>1</v>
      </c>
      <c r="AD9" s="18">
        <f t="shared" ref="AD9" si="9">AB9/$E9</f>
        <v>1</v>
      </c>
      <c r="AE9" s="62">
        <f>3437118000/1000000000</f>
        <v>3.4371179999999999</v>
      </c>
      <c r="AF9" s="17">
        <f>R9-V9</f>
        <v>1</v>
      </c>
      <c r="AG9" s="17" t="s">
        <v>343</v>
      </c>
      <c r="AH9" s="17"/>
      <c r="AI9" s="17">
        <v>0</v>
      </c>
      <c r="AJ9" s="17">
        <f>IF(AI9=D9,E9,0)</f>
        <v>0</v>
      </c>
      <c r="AK9" s="17"/>
      <c r="AL9" s="17">
        <v>0</v>
      </c>
      <c r="AM9" s="17">
        <v>0</v>
      </c>
      <c r="AN9" s="72"/>
      <c r="BB9" s="17">
        <f>IF(AN9=1,G9,0)</f>
        <v>0</v>
      </c>
      <c r="BE9" s="17">
        <f>IF(AF9=1,S9,0)</f>
        <v>418</v>
      </c>
      <c r="BF9" s="17">
        <f>IF(AG9="A",S9,0)</f>
        <v>0</v>
      </c>
      <c r="BG9" s="17">
        <f>IF(AG9="B",S9,0)</f>
        <v>0</v>
      </c>
      <c r="BH9" s="17">
        <f>IF(AG9="C",S9,0)</f>
        <v>418</v>
      </c>
      <c r="BI9" s="17">
        <f>IF(AG9="D",S9,0)</f>
        <v>0</v>
      </c>
      <c r="BJ9" s="17">
        <f>IF(AG9="E",S9,0)</f>
        <v>0</v>
      </c>
      <c r="BK9" s="17">
        <f t="shared" ref="BK9" si="10">SUM(BF9:BJ9)</f>
        <v>418</v>
      </c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B9" s="17"/>
      <c r="CD9" s="17">
        <f>BN9</f>
        <v>0</v>
      </c>
      <c r="CE9" s="17">
        <f>IF(BO9=1,$CD9,0)</f>
        <v>0</v>
      </c>
      <c r="CF9" s="17">
        <f t="shared" ref="CF9:CP9" si="11">IF(BP9=1,$CD9,0)</f>
        <v>0</v>
      </c>
      <c r="CG9" s="17">
        <f t="shared" si="11"/>
        <v>0</v>
      </c>
      <c r="CH9" s="17">
        <f t="shared" si="11"/>
        <v>0</v>
      </c>
      <c r="CI9" s="17">
        <f t="shared" si="11"/>
        <v>0</v>
      </c>
      <c r="CJ9" s="17">
        <f t="shared" si="11"/>
        <v>0</v>
      </c>
      <c r="CK9" s="17">
        <f t="shared" si="11"/>
        <v>0</v>
      </c>
      <c r="CL9" s="17">
        <f t="shared" si="11"/>
        <v>0</v>
      </c>
      <c r="CM9" s="17">
        <f t="shared" si="11"/>
        <v>0</v>
      </c>
      <c r="CN9" s="17">
        <f t="shared" si="11"/>
        <v>0</v>
      </c>
      <c r="CO9" s="17">
        <f t="shared" si="11"/>
        <v>0</v>
      </c>
      <c r="CP9" s="17">
        <f t="shared" si="11"/>
        <v>0</v>
      </c>
      <c r="DV9" s="17">
        <f>IF(CB9=1,G9,0)</f>
        <v>0</v>
      </c>
      <c r="DW9" s="17">
        <f>IF(CC9="A",G9,0)</f>
        <v>0</v>
      </c>
      <c r="DX9" s="17">
        <f>IF(CC9="B",G9,0)</f>
        <v>0</v>
      </c>
      <c r="DY9" s="17">
        <f>IF(CC9="C",G9,0)</f>
        <v>0</v>
      </c>
      <c r="DZ9" s="17">
        <f>IF(CC9="D",G9,0)</f>
        <v>0</v>
      </c>
      <c r="EA9" s="17">
        <f>IF(CC9="E",G9,0)</f>
        <v>0</v>
      </c>
      <c r="EB9" s="17">
        <f t="shared" ref="EB9" si="12">SUM(DW9:EA9)</f>
        <v>0</v>
      </c>
      <c r="ED9" s="46" t="s">
        <v>366</v>
      </c>
      <c r="EE9" s="46" t="s">
        <v>367</v>
      </c>
      <c r="EG9" s="57" t="str">
        <f>IF(AG9="C","C",IF(AG9="D","D",0))</f>
        <v>C</v>
      </c>
      <c r="EH9" s="57">
        <f>CC9</f>
        <v>0</v>
      </c>
      <c r="EI9" s="17">
        <v>1</v>
      </c>
      <c r="EJ9" s="17">
        <v>1</v>
      </c>
      <c r="EK9" s="17"/>
      <c r="EL9" s="17"/>
      <c r="EM9" s="17"/>
      <c r="EN9" s="17"/>
      <c r="EO9" s="17"/>
      <c r="EP9" s="17"/>
      <c r="EQ9" s="17">
        <v>1</v>
      </c>
      <c r="ER9" s="17">
        <v>1</v>
      </c>
      <c r="ES9" s="17">
        <v>1</v>
      </c>
      <c r="ET9" s="17"/>
      <c r="EU9" s="17"/>
      <c r="EV9" s="17">
        <v>1</v>
      </c>
      <c r="EW9" s="17"/>
      <c r="EX9" s="17"/>
      <c r="EY9" s="17"/>
      <c r="EZ9" s="17">
        <v>1</v>
      </c>
      <c r="FA9" s="17">
        <v>1</v>
      </c>
      <c r="FB9" s="189">
        <v>1</v>
      </c>
      <c r="FC9" s="17"/>
      <c r="FD9" s="17"/>
      <c r="FE9" s="168">
        <v>1</v>
      </c>
      <c r="FF9" s="168">
        <v>1</v>
      </c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X9" s="80"/>
      <c r="FY9" s="17">
        <f>SUM(FZ9:GE9)</f>
        <v>0</v>
      </c>
      <c r="FZ9" s="17">
        <f t="shared" ref="FZ9:GB12" si="13">DI9+CE9</f>
        <v>0</v>
      </c>
      <c r="GA9" s="17">
        <f t="shared" si="13"/>
        <v>0</v>
      </c>
      <c r="GB9" s="17">
        <f t="shared" si="13"/>
        <v>0</v>
      </c>
      <c r="GC9" s="17">
        <f>DM9+CI9</f>
        <v>0</v>
      </c>
      <c r="GD9" s="17">
        <f>DO9+CK9</f>
        <v>0</v>
      </c>
      <c r="GE9" s="17">
        <f>DT9+CP9</f>
        <v>0</v>
      </c>
      <c r="GF9" s="67"/>
      <c r="GG9" s="17">
        <v>0</v>
      </c>
      <c r="GH9" s="17">
        <v>0</v>
      </c>
      <c r="GI9" s="67"/>
      <c r="GJ9" s="62">
        <f>FY9*GG9/1000000000</f>
        <v>0</v>
      </c>
      <c r="GK9" s="62">
        <f>FY9*GH9/1000000000</f>
        <v>0</v>
      </c>
      <c r="GO9" s="17">
        <f>D9-F9</f>
        <v>0</v>
      </c>
      <c r="GP9" s="17">
        <f>D9-J9</f>
        <v>0</v>
      </c>
      <c r="GQ9" s="17">
        <f>D9-N9</f>
        <v>0</v>
      </c>
      <c r="GR9" s="17">
        <f>D9-R9</f>
        <v>0</v>
      </c>
      <c r="GS9" s="17">
        <f>D9-V9</f>
        <v>1</v>
      </c>
      <c r="GT9" s="17">
        <f>IF(SUM(GO9:GS9)=0,1,0)</f>
        <v>0</v>
      </c>
      <c r="GU9" s="101">
        <f>$GU$3</f>
        <v>43243</v>
      </c>
      <c r="GV9" s="17" t="str">
        <f>IF(GO9&gt;0,$GO$6,IF(GP9&gt;0,$GP$6,IF(GQ9&gt;0,$GQ$6,IF(GR9&gt;0,$GR$6,IF(GS9&gt;0,$GS$6,IF(GT9&gt;0,$GT$6,0))))))</f>
        <v>UGR</v>
      </c>
      <c r="GW9" s="17">
        <f>IF(GV9=$GO$6,GO9,IF(GV9=$GP$6,GP9,IF(GV9=$GQ$6,GQ9,IF(GV9=$GR$6,GR9,IF(GV9=$GS$6,GS9,0)))))</f>
        <v>1</v>
      </c>
      <c r="GX9" s="66" t="str">
        <f>GV9</f>
        <v>UGR</v>
      </c>
      <c r="GY9" s="66">
        <f>IF(GX9="DNP",SUM($GY$4:$GY$8),IF(GX9="Survey KJPP",SUM($GY$5:$GY$8),IF(GX9="Hasil Valuasi",SUM($GY$6:$GY$8),IF(GX9="Musyawarah",SUM($GY$7:$GY$8),IF(GX9="UGR",$GY$8,0)))))</f>
        <v>14</v>
      </c>
      <c r="GZ9" s="102">
        <f>IF(GW9=0,"SELESAI",GU9+GY9)</f>
        <v>43257</v>
      </c>
      <c r="HA9" s="83"/>
      <c r="HB9" s="83"/>
      <c r="HC9" s="17">
        <f>IF(BH9&gt;0,1,IF(BI9&gt;0,1,0))</f>
        <v>1</v>
      </c>
      <c r="HD9" s="17">
        <f>IF(CB9&gt;0,1,0)</f>
        <v>0</v>
      </c>
      <c r="HE9" s="17">
        <f>HC9+HD9</f>
        <v>1</v>
      </c>
      <c r="HF9" s="17">
        <f>FQ9</f>
        <v>0</v>
      </c>
      <c r="HG9" s="17">
        <f>HE9-HF9</f>
        <v>1</v>
      </c>
      <c r="HH9" s="101">
        <f t="shared" ref="HH9" si="14">IF(HG9=1,GU9+$HH$8,"TIDAK KONSINYASI")</f>
        <v>43288</v>
      </c>
      <c r="HI9" s="101">
        <f>IF(GW9=0,"SELESAI",GZ9+$HI$8)</f>
        <v>43302</v>
      </c>
      <c r="HJ9" s="27"/>
      <c r="HK9" s="101">
        <f t="shared" ref="HK9" si="15">MAX(GZ9,HH9,HI9)</f>
        <v>43302</v>
      </c>
      <c r="HL9" s="83"/>
      <c r="HM9" s="83"/>
      <c r="HN9" s="83"/>
      <c r="HO9" s="83"/>
      <c r="HP9" s="102">
        <f>IF(HQ9=1,GZ9,0)</f>
        <v>0</v>
      </c>
      <c r="HQ9" s="66">
        <f>IF(IX9=0,IF(HT9=0,IF(IP9=0,IF(GV9="UGR",GS9,0),0),0),0)</f>
        <v>0</v>
      </c>
      <c r="HR9" s="66">
        <f>IF(HQ9=1,E9,0)</f>
        <v>0</v>
      </c>
      <c r="HS9" s="102">
        <f>IF(HT9=1,HH9,0)</f>
        <v>43288</v>
      </c>
      <c r="HT9" s="66">
        <f>HG9</f>
        <v>1</v>
      </c>
      <c r="HU9" s="66">
        <f>IF(HT9=1,E9,0)</f>
        <v>418</v>
      </c>
      <c r="HV9" s="102">
        <f>IF(HW9=1,GZ9,0)</f>
        <v>0</v>
      </c>
      <c r="HW9" s="66">
        <f t="shared" ref="HW9" si="16">IF(JB9=0,IF(IX9=0,IF(HT9=0,IF(GV9="MUSYAWARAH",GR9,0),0),0),0)</f>
        <v>0</v>
      </c>
      <c r="HX9" s="66">
        <f>IF(HW9=1,E9,0)</f>
        <v>0</v>
      </c>
      <c r="HY9" s="102">
        <f t="shared" ref="HY9" si="17">IF(HZ9=1,HV9+$HI$8,0)</f>
        <v>0</v>
      </c>
      <c r="HZ9" s="66">
        <f>HW9</f>
        <v>0</v>
      </c>
      <c r="IA9" s="66">
        <f>IF(HZ9=1,E9,0)</f>
        <v>0</v>
      </c>
      <c r="IB9" s="102">
        <f>IF(IC9=1,$GU$3+SUM($GY$6:$GY$8),0)</f>
        <v>0</v>
      </c>
      <c r="IC9" s="66">
        <f t="shared" ref="IC9" si="18">IF(GV9="Hasil Valuasi",GQ9,0)</f>
        <v>0</v>
      </c>
      <c r="ID9" s="66">
        <f>IF(IC9=1,E9,0)</f>
        <v>0</v>
      </c>
      <c r="IE9" s="102">
        <f t="shared" ref="IE9" si="19">IF(IF9=1,IB9+$HI$8,0)</f>
        <v>0</v>
      </c>
      <c r="IF9" s="66">
        <f t="shared" ref="IF9" si="20">IC9</f>
        <v>0</v>
      </c>
      <c r="IG9" s="66">
        <f>IF(IF9=1,E9,0)</f>
        <v>0</v>
      </c>
      <c r="IH9" s="102">
        <f>IF(II9=1,$GU$3+SUM($GY$5:$GY$8),0)</f>
        <v>0</v>
      </c>
      <c r="II9" s="66">
        <f>IF(GV9="Survey KJPP",GP9,0)</f>
        <v>0</v>
      </c>
      <c r="IJ9" s="66">
        <f>IF(II9=1,E9,0)</f>
        <v>0</v>
      </c>
      <c r="IK9" s="102">
        <f t="shared" ref="IK9" si="21">IF(IL9=1,IH9+$HI$8,0)</f>
        <v>0</v>
      </c>
      <c r="IL9" s="66">
        <f t="shared" ref="IL9" si="22">II9</f>
        <v>0</v>
      </c>
      <c r="IM9" s="66">
        <f>IF(IL9=1,E9,0)</f>
        <v>0</v>
      </c>
      <c r="IN9" s="83"/>
      <c r="IO9" s="102">
        <f t="shared" ref="IO9" si="23">IF(IP9=1,+$GU$3+$HH$8,0)</f>
        <v>0</v>
      </c>
      <c r="IP9" s="66">
        <f>IF(BG9&gt;0,1,0)</f>
        <v>0</v>
      </c>
      <c r="IQ9" s="66">
        <f>IF(IP9=1,E9,0)</f>
        <v>0</v>
      </c>
      <c r="IR9" s="83"/>
      <c r="IS9" s="102"/>
      <c r="IT9" s="66">
        <f t="shared" ref="IT9:IU12" si="24">V9</f>
        <v>0</v>
      </c>
      <c r="IU9" s="66">
        <f t="shared" si="24"/>
        <v>0</v>
      </c>
      <c r="IV9" s="83"/>
      <c r="IW9" s="102"/>
      <c r="IX9" s="66">
        <f t="shared" ref="IX9:IY12" si="25">AA9</f>
        <v>1</v>
      </c>
      <c r="IY9" s="66">
        <f t="shared" si="25"/>
        <v>418</v>
      </c>
      <c r="IZ9" s="83"/>
      <c r="JA9" s="102"/>
      <c r="JB9" s="66">
        <f>AN9</f>
        <v>0</v>
      </c>
      <c r="JC9" s="66">
        <f>BB9</f>
        <v>0</v>
      </c>
      <c r="JD9" s="83"/>
      <c r="JE9" s="102"/>
      <c r="JF9" s="66">
        <f>IT9+HQ9+HT9+HZ9+IF9+IL9+IP9+IX9+JB9</f>
        <v>2</v>
      </c>
      <c r="JG9" s="66">
        <f t="shared" ref="JG9" si="26">IU9+HR9+HU9+IA9+IG9+IM9+IQ9+IY9+JC9</f>
        <v>836</v>
      </c>
      <c r="JH9" s="83"/>
      <c r="JI9" s="102"/>
      <c r="JJ9" s="66">
        <f t="shared" ref="JJ9:JK12" si="27">JF9-D9</f>
        <v>1</v>
      </c>
      <c r="JK9" s="66">
        <f t="shared" si="27"/>
        <v>418</v>
      </c>
      <c r="JM9" s="102">
        <f>MAX(IW9,IS9,IO9,IK9,IE9,HY9,HS9,HP9)</f>
        <v>43288</v>
      </c>
      <c r="JO9" s="29">
        <f t="shared" ref="JO9" si="28">SUM(JQ9:KB9)</f>
        <v>0</v>
      </c>
      <c r="JP9" s="122">
        <f>BN9+CR9</f>
        <v>0</v>
      </c>
      <c r="JQ9" s="122">
        <f t="shared" ref="JQ9:KB12" si="29">IF(BO9+CS9=2,1,IF(BO9+CS9=1,1,0))</f>
        <v>0</v>
      </c>
      <c r="JR9" s="122">
        <f t="shared" si="29"/>
        <v>0</v>
      </c>
      <c r="JS9" s="122">
        <f t="shared" si="29"/>
        <v>0</v>
      </c>
      <c r="JT9" s="122">
        <f t="shared" si="29"/>
        <v>0</v>
      </c>
      <c r="JU9" s="122">
        <f t="shared" si="29"/>
        <v>0</v>
      </c>
      <c r="JV9" s="122">
        <f t="shared" si="29"/>
        <v>0</v>
      </c>
      <c r="JW9" s="122">
        <f t="shared" si="29"/>
        <v>0</v>
      </c>
      <c r="JX9" s="122">
        <f t="shared" si="29"/>
        <v>0</v>
      </c>
      <c r="JY9" s="122">
        <f t="shared" si="29"/>
        <v>0</v>
      </c>
      <c r="JZ9" s="122">
        <f t="shared" si="29"/>
        <v>0</v>
      </c>
      <c r="KA9" s="122">
        <f t="shared" si="29"/>
        <v>0</v>
      </c>
      <c r="KB9" s="122">
        <f t="shared" si="29"/>
        <v>0</v>
      </c>
      <c r="KD9" s="122">
        <f t="shared" ref="KD9" si="30">IF(IF(SUM(GA9:GE9)&gt;100,1,0)+IF(FX9=1,1,0)=2,1,0)</f>
        <v>0</v>
      </c>
      <c r="KE9" s="122">
        <f t="shared" ref="KE9:KE12" si="31">IF(KD9=1,KF9,0)</f>
        <v>0</v>
      </c>
      <c r="KF9" s="122">
        <f t="shared" ref="KF9:KR12" si="32">CD9+DH9</f>
        <v>0</v>
      </c>
      <c r="KG9" s="122">
        <f t="shared" si="32"/>
        <v>0</v>
      </c>
      <c r="KH9" s="122">
        <f t="shared" si="32"/>
        <v>0</v>
      </c>
      <c r="KI9" s="122">
        <f t="shared" si="32"/>
        <v>0</v>
      </c>
      <c r="KJ9" s="122">
        <f t="shared" si="32"/>
        <v>0</v>
      </c>
      <c r="KK9" s="122">
        <f t="shared" si="32"/>
        <v>0</v>
      </c>
      <c r="KL9" s="122">
        <f t="shared" si="32"/>
        <v>0</v>
      </c>
      <c r="KM9" s="122">
        <f t="shared" si="32"/>
        <v>0</v>
      </c>
      <c r="KN9" s="122">
        <f t="shared" si="32"/>
        <v>0</v>
      </c>
      <c r="KO9" s="122">
        <f t="shared" si="32"/>
        <v>0</v>
      </c>
      <c r="KP9" s="122">
        <f t="shared" si="32"/>
        <v>0</v>
      </c>
      <c r="KQ9" s="122">
        <f t="shared" si="32"/>
        <v>0</v>
      </c>
      <c r="KR9" s="122">
        <f t="shared" si="32"/>
        <v>0</v>
      </c>
      <c r="KT9">
        <f>AN9</f>
        <v>0</v>
      </c>
      <c r="KU9" s="122"/>
      <c r="KV9" s="122"/>
      <c r="KW9" s="122"/>
      <c r="KX9" s="122"/>
      <c r="KY9" s="122"/>
      <c r="KZ9" s="122"/>
      <c r="LA9" s="122"/>
      <c r="LB9" s="122"/>
      <c r="LC9" s="122"/>
      <c r="LD9" s="122"/>
      <c r="LE9" s="122"/>
      <c r="LF9" s="122"/>
      <c r="LG9" s="122"/>
      <c r="LH9" s="122"/>
      <c r="LI9" s="122"/>
      <c r="LJ9" s="122"/>
      <c r="LK9" s="122"/>
      <c r="LL9" s="122"/>
      <c r="LM9" s="122"/>
      <c r="LN9" s="122"/>
      <c r="LO9" s="122"/>
      <c r="LP9" s="122"/>
      <c r="LQ9" s="122"/>
      <c r="LR9" s="122"/>
      <c r="LS9" s="122"/>
      <c r="LT9" s="122"/>
      <c r="LU9" s="122"/>
      <c r="LV9" s="122"/>
      <c r="LW9" s="122"/>
      <c r="LX9" s="122"/>
      <c r="LY9" s="122"/>
      <c r="LZ9" s="122"/>
      <c r="MA9" s="122"/>
      <c r="MB9" s="122"/>
      <c r="MC9" s="122"/>
      <c r="MD9" s="122"/>
      <c r="ME9" s="122"/>
      <c r="MF9" s="122"/>
      <c r="MG9" s="122"/>
      <c r="MH9" s="122"/>
      <c r="MI9" s="122"/>
      <c r="MJ9" s="122"/>
      <c r="MK9" s="122"/>
      <c r="ML9" s="122"/>
      <c r="MM9" s="122"/>
      <c r="MN9" s="122"/>
      <c r="MO9" s="122"/>
      <c r="MP9" s="122"/>
      <c r="MQ9" s="122"/>
      <c r="MR9" s="122"/>
      <c r="MS9" s="122"/>
      <c r="MT9" s="122"/>
      <c r="MU9" s="122"/>
      <c r="MV9" s="122"/>
      <c r="MW9" s="122"/>
      <c r="MX9" s="122"/>
      <c r="MY9" s="122"/>
      <c r="MZ9" s="122"/>
      <c r="NA9" s="122"/>
      <c r="NB9" s="122"/>
      <c r="NC9" s="122"/>
      <c r="ND9" s="122"/>
      <c r="NE9" s="122"/>
      <c r="NF9" s="122"/>
      <c r="NG9" s="122"/>
      <c r="NH9" s="122"/>
      <c r="NI9" s="122"/>
      <c r="NJ9" s="122"/>
      <c r="NK9" s="122"/>
      <c r="NM9">
        <f>IF(KS9=1,1,0)</f>
        <v>0</v>
      </c>
      <c r="NN9">
        <f>IF(KS9=2,1,0)</f>
        <v>0</v>
      </c>
      <c r="NO9">
        <f>IF(KS9=3,1,0)</f>
        <v>0</v>
      </c>
      <c r="NP9">
        <f>IF(KS9=4,1,0)</f>
        <v>0</v>
      </c>
      <c r="NQ9">
        <f>IF(KS9=5,1,0)</f>
        <v>0</v>
      </c>
      <c r="NR9">
        <f>IF(KS9=6,1,0)</f>
        <v>0</v>
      </c>
      <c r="NS9">
        <f>IF(KS9=7,1,0)</f>
        <v>0</v>
      </c>
      <c r="NT9">
        <f>SUM(NM9:NS9)</f>
        <v>0</v>
      </c>
      <c r="NU9" s="29">
        <f t="shared" ref="NU9" si="33">NT9-KT9</f>
        <v>0</v>
      </c>
      <c r="NY9" s="29">
        <f>V9</f>
        <v>0</v>
      </c>
      <c r="NZ9">
        <v>6750000</v>
      </c>
      <c r="OE9" s="155">
        <f>D9-J9</f>
        <v>0</v>
      </c>
      <c r="OF9" s="155">
        <f>D9-N9</f>
        <v>0</v>
      </c>
      <c r="OG9" s="155">
        <f>AN9</f>
        <v>0</v>
      </c>
      <c r="OH9" s="155">
        <f>HE9</f>
        <v>1</v>
      </c>
      <c r="OI9" s="155">
        <f>D9-R9</f>
        <v>0</v>
      </c>
      <c r="OJ9" s="67">
        <f>IF(OG9=1,OF9,0)</f>
        <v>0</v>
      </c>
      <c r="OK9" s="67">
        <f>IF(OH9=1,OF9,0)</f>
        <v>0</v>
      </c>
      <c r="OL9" s="67">
        <f>IF((OG9+OH9)=0,OF9,0)</f>
        <v>0</v>
      </c>
      <c r="OM9" s="67">
        <f>SUM(OJ9:OL9)</f>
        <v>0</v>
      </c>
      <c r="OO9" s="155">
        <f>E9-K9</f>
        <v>0</v>
      </c>
      <c r="OP9" s="155">
        <f>E9-O9</f>
        <v>0</v>
      </c>
      <c r="OQ9" s="155">
        <f t="shared" ref="OQ9:OS9" si="34">OG9</f>
        <v>0</v>
      </c>
      <c r="OR9" s="155">
        <f t="shared" si="34"/>
        <v>1</v>
      </c>
      <c r="OS9" s="155">
        <f t="shared" si="34"/>
        <v>0</v>
      </c>
      <c r="OT9" s="67">
        <f>IF(OQ9=1,OP9,0)</f>
        <v>0</v>
      </c>
      <c r="OU9" s="67">
        <f>IF(OR9=1,OP9,0)</f>
        <v>0</v>
      </c>
      <c r="OV9" s="67">
        <f>IF((OQ9+OR9)=0,OP9,0)</f>
        <v>0</v>
      </c>
      <c r="OW9" s="67">
        <f>SUM(OT9:OV9)</f>
        <v>0</v>
      </c>
      <c r="OZ9" s="163">
        <f>AN9</f>
        <v>0</v>
      </c>
      <c r="PA9" s="166"/>
      <c r="PB9" s="166"/>
      <c r="PC9" s="166"/>
      <c r="PD9" s="210">
        <f t="shared" ref="PD9:PD12" si="35">PB9-PC9</f>
        <v>0</v>
      </c>
      <c r="PE9" s="210"/>
      <c r="PF9" s="210">
        <f t="shared" ref="PF9:PF12" si="36">PD9-PE9</f>
        <v>0</v>
      </c>
      <c r="PG9" s="210">
        <f t="shared" ref="PG9:PL12" si="37">IF(PA9=1,$BB9,0)</f>
        <v>0</v>
      </c>
      <c r="PH9" s="210">
        <f t="shared" si="37"/>
        <v>0</v>
      </c>
      <c r="PI9" s="210">
        <f t="shared" si="37"/>
        <v>0</v>
      </c>
      <c r="PJ9" s="210">
        <f t="shared" si="37"/>
        <v>0</v>
      </c>
      <c r="PK9" s="210">
        <f t="shared" si="37"/>
        <v>0</v>
      </c>
      <c r="PL9" s="210">
        <f t="shared" si="37"/>
        <v>0</v>
      </c>
      <c r="PO9" s="172">
        <f>IF(FC9=1,AB9,0)</f>
        <v>0</v>
      </c>
      <c r="PP9" s="172">
        <f>IF(FF9=1,AB9,0)</f>
        <v>418</v>
      </c>
      <c r="PQ9" s="172">
        <f>AB9-(PO9+PP9)</f>
        <v>0</v>
      </c>
    </row>
    <row r="10" spans="1:433" ht="16" x14ac:dyDescent="0.2">
      <c r="A10" s="19">
        <f>A9+1</f>
        <v>2</v>
      </c>
      <c r="B10" s="15" t="s">
        <v>282</v>
      </c>
      <c r="C10" s="138">
        <v>2</v>
      </c>
      <c r="D10" s="20">
        <v>1</v>
      </c>
      <c r="E10" s="20">
        <v>151</v>
      </c>
      <c r="F10" s="20">
        <v>1</v>
      </c>
      <c r="G10" s="20">
        <f t="shared" ref="G10:G12" si="38">E10</f>
        <v>151</v>
      </c>
      <c r="H10" s="137">
        <f>F10/$D10</f>
        <v>1</v>
      </c>
      <c r="I10" s="137">
        <f>G10/$E10</f>
        <v>1</v>
      </c>
      <c r="J10" s="20">
        <v>1</v>
      </c>
      <c r="K10" s="20">
        <f>IF(J10=D10,E10,0)</f>
        <v>151</v>
      </c>
      <c r="L10" s="137">
        <f>J10/$D10</f>
        <v>1</v>
      </c>
      <c r="M10" s="137">
        <f>K10/$E10</f>
        <v>1</v>
      </c>
      <c r="N10" s="20">
        <v>1</v>
      </c>
      <c r="O10" s="20">
        <f>IF(N10=D10,E10,0)</f>
        <v>151</v>
      </c>
      <c r="P10" s="137">
        <f>N10/$D10</f>
        <v>1</v>
      </c>
      <c r="Q10" s="137">
        <f>O10/$E10</f>
        <v>1</v>
      </c>
      <c r="R10" s="20">
        <v>1</v>
      </c>
      <c r="S10" s="20">
        <f t="shared" ref="S10:S11" si="39">IF(R10=D10,E10,0)</f>
        <v>151</v>
      </c>
      <c r="T10" s="137">
        <f>R10/$D10</f>
        <v>1</v>
      </c>
      <c r="U10" s="137">
        <f>S10/$E10</f>
        <v>1</v>
      </c>
      <c r="V10" s="20">
        <v>0</v>
      </c>
      <c r="W10" s="20">
        <f t="shared" ref="W10:W11" si="40">IF(V10=D10,E10,0)</f>
        <v>0</v>
      </c>
      <c r="X10" s="137">
        <f>V10/$D10</f>
        <v>0</v>
      </c>
      <c r="Y10" s="137">
        <f>W10/$E10</f>
        <v>0</v>
      </c>
      <c r="Z10" s="20">
        <v>0</v>
      </c>
      <c r="AA10" s="165">
        <v>1</v>
      </c>
      <c r="AB10" s="17">
        <f>IF(AA10=D10,E10,0)</f>
        <v>151</v>
      </c>
      <c r="AC10" s="18">
        <f>AA10/$D10</f>
        <v>1</v>
      </c>
      <c r="AD10" s="18">
        <f>AB10/$E10</f>
        <v>1</v>
      </c>
      <c r="AE10" s="38">
        <f>1347259000/1000000000</f>
        <v>1.347259</v>
      </c>
      <c r="AF10" s="20">
        <f t="shared" ref="AF10:AF11" si="41">R10-V10</f>
        <v>1</v>
      </c>
      <c r="AG10" s="20" t="s">
        <v>343</v>
      </c>
      <c r="AH10" s="17"/>
      <c r="AI10" s="20">
        <v>0</v>
      </c>
      <c r="AJ10" s="20">
        <f t="shared" ref="AJ10:AJ11" si="42">IF(AI10=D10,E10,0)</f>
        <v>0</v>
      </c>
      <c r="AK10" s="20"/>
      <c r="AL10" s="20">
        <v>0</v>
      </c>
      <c r="AM10" s="20">
        <v>0</v>
      </c>
      <c r="AN10" s="139"/>
      <c r="BB10" s="17">
        <f>IF(AN10=1,G10,0)</f>
        <v>0</v>
      </c>
      <c r="BE10" s="17">
        <f>IF(AF10=1,S10,0)</f>
        <v>151</v>
      </c>
      <c r="BF10" s="17">
        <f>IF(AG10="A",S10,0)</f>
        <v>0</v>
      </c>
      <c r="BG10" s="17">
        <f>IF(AG10="B",S10,0)</f>
        <v>0</v>
      </c>
      <c r="BH10" s="17">
        <f>IF(AG10="C",S10,0)</f>
        <v>151</v>
      </c>
      <c r="BI10" s="17">
        <f>IF(AG10="D",S10,0)</f>
        <v>0</v>
      </c>
      <c r="BJ10" s="17">
        <f>IF(AG10="E",S10,0)</f>
        <v>0</v>
      </c>
      <c r="BK10" s="17">
        <f t="shared" ref="BK10:BK11" si="43">SUM(BF10:BJ10)</f>
        <v>151</v>
      </c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B10" s="17"/>
      <c r="CD10" s="17">
        <f t="shared" ref="CD10:CD11" si="44">BN10</f>
        <v>0</v>
      </c>
      <c r="CE10" s="17">
        <f>IF(BO10=1,$CD10,0)</f>
        <v>0</v>
      </c>
      <c r="CF10" s="17">
        <f t="shared" ref="CF10:CP12" si="45">IF(BP10=1,$CD10,0)</f>
        <v>0</v>
      </c>
      <c r="CG10" s="17">
        <f t="shared" si="45"/>
        <v>0</v>
      </c>
      <c r="CH10" s="17">
        <f t="shared" si="45"/>
        <v>0</v>
      </c>
      <c r="CI10" s="17">
        <f t="shared" si="45"/>
        <v>0</v>
      </c>
      <c r="CJ10" s="17">
        <f t="shared" si="45"/>
        <v>0</v>
      </c>
      <c r="CK10" s="17">
        <f t="shared" si="45"/>
        <v>0</v>
      </c>
      <c r="CL10" s="20">
        <f t="shared" si="45"/>
        <v>0</v>
      </c>
      <c r="CM10" s="20">
        <f t="shared" si="45"/>
        <v>0</v>
      </c>
      <c r="CN10" s="20">
        <f t="shared" si="45"/>
        <v>0</v>
      </c>
      <c r="CO10" s="20">
        <f t="shared" si="45"/>
        <v>0</v>
      </c>
      <c r="CP10" s="20">
        <f t="shared" si="45"/>
        <v>0</v>
      </c>
      <c r="DV10" s="20">
        <f>IF(CB10=1,G10,0)</f>
        <v>0</v>
      </c>
      <c r="DW10" s="20">
        <f>IF(CC10="A",G10,0)</f>
        <v>0</v>
      </c>
      <c r="DX10" s="20">
        <f>IF(CC10="B",G10,0)</f>
        <v>0</v>
      </c>
      <c r="DY10" s="20">
        <f>IF(CC10="C",G10,0)</f>
        <v>0</v>
      </c>
      <c r="DZ10" s="20">
        <f>IF(CC10="D",G10,0)</f>
        <v>0</v>
      </c>
      <c r="EA10" s="20">
        <f>IF(CC10="E",G10,0)</f>
        <v>0</v>
      </c>
      <c r="EB10" s="20">
        <f t="shared" ref="EB10:EB11" si="46">SUM(DW10:EA10)</f>
        <v>0</v>
      </c>
      <c r="ED10" s="46" t="s">
        <v>368</v>
      </c>
      <c r="EE10" s="46" t="s">
        <v>369</v>
      </c>
      <c r="EG10" s="57" t="str">
        <f>IF(AG10="C","C",IF(AG10="D","D",0))</f>
        <v>C</v>
      </c>
      <c r="EH10" s="57">
        <f>CC10</f>
        <v>0</v>
      </c>
      <c r="EI10" s="17">
        <v>1</v>
      </c>
      <c r="EJ10" s="17">
        <v>1</v>
      </c>
      <c r="EK10" s="17"/>
      <c r="EL10" s="17"/>
      <c r="EM10" s="17"/>
      <c r="EN10" s="17"/>
      <c r="EO10" s="17"/>
      <c r="EP10" s="17"/>
      <c r="EQ10" s="17">
        <v>1</v>
      </c>
      <c r="ER10" s="17">
        <v>1</v>
      </c>
      <c r="ES10" s="17">
        <v>1</v>
      </c>
      <c r="ET10" s="17"/>
      <c r="EU10" s="17"/>
      <c r="EV10" s="17">
        <v>1</v>
      </c>
      <c r="EW10" s="17"/>
      <c r="EX10" s="17"/>
      <c r="EY10" s="17"/>
      <c r="EZ10" s="17">
        <v>1</v>
      </c>
      <c r="FA10" s="17">
        <v>1</v>
      </c>
      <c r="FB10" s="189">
        <v>1</v>
      </c>
      <c r="FC10" s="17"/>
      <c r="FD10" s="17"/>
      <c r="FE10" s="168">
        <v>1</v>
      </c>
      <c r="FF10" s="168">
        <v>1</v>
      </c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X10" s="80"/>
      <c r="FY10" s="17">
        <f>SUM(FZ10:GE10)</f>
        <v>0</v>
      </c>
      <c r="FZ10" s="17">
        <f t="shared" si="13"/>
        <v>0</v>
      </c>
      <c r="GA10" s="17">
        <f t="shared" si="13"/>
        <v>0</v>
      </c>
      <c r="GB10" s="17">
        <f t="shared" si="13"/>
        <v>0</v>
      </c>
      <c r="GC10" s="17">
        <f>DM10+CI10</f>
        <v>0</v>
      </c>
      <c r="GD10" s="17">
        <f>DO10+CK10</f>
        <v>0</v>
      </c>
      <c r="GE10" s="17">
        <f>DT10+CP10</f>
        <v>0</v>
      </c>
      <c r="GF10" s="67"/>
      <c r="GG10" s="17">
        <v>0</v>
      </c>
      <c r="GH10" s="17">
        <v>0</v>
      </c>
      <c r="GI10" s="67"/>
      <c r="GJ10" s="62">
        <f>FY10*GG10/1000000000</f>
        <v>0</v>
      </c>
      <c r="GK10" s="62">
        <f>FY10*GH10/1000000000</f>
        <v>0</v>
      </c>
      <c r="GO10" s="17">
        <f>D10-F10</f>
        <v>0</v>
      </c>
      <c r="GP10" s="17">
        <f>D10-J10</f>
        <v>0</v>
      </c>
      <c r="GQ10" s="17">
        <f>D10-N10</f>
        <v>0</v>
      </c>
      <c r="GR10" s="17">
        <f>D10-R10</f>
        <v>0</v>
      </c>
      <c r="GS10" s="17">
        <f>D10-V10</f>
        <v>1</v>
      </c>
      <c r="GT10" s="17">
        <f t="shared" ref="GT10:GT11" si="47">IF(SUM(GO10:GS10)=0,1,0)</f>
        <v>0</v>
      </c>
      <c r="GU10" s="101">
        <f t="shared" ref="GU10:GU12" si="48">$GU$3</f>
        <v>43243</v>
      </c>
      <c r="GV10" s="17" t="str">
        <f t="shared" ref="GV10:GV11" si="49">IF(GO10&gt;0,$GO$6,IF(GP10&gt;0,$GP$6,IF(GQ10&gt;0,$GQ$6,IF(GR10&gt;0,$GR$6,IF(GS10&gt;0,$GS$6,IF(GT10&gt;0,$GT$6,0))))))</f>
        <v>UGR</v>
      </c>
      <c r="GW10" s="17">
        <f t="shared" ref="GW10:GW11" si="50">IF(GV10=$GO$6,GO10,IF(GV10=$GP$6,GP10,IF(GV10=$GQ$6,GQ10,IF(GV10=$GR$6,GR10,IF(GV10=$GS$6,GS10,0)))))</f>
        <v>1</v>
      </c>
      <c r="GX10" s="66" t="str">
        <f t="shared" ref="GX10:GX11" si="51">GV10</f>
        <v>UGR</v>
      </c>
      <c r="GY10" s="66">
        <f t="shared" ref="GY10:GY11" si="52">IF(GX10="DNP",SUM($GY$4:$GY$8),IF(GX10="Survey KJPP",SUM($GY$5:$GY$8),IF(GX10="Hasil Valuasi",SUM($GY$6:$GY$8),IF(GX10="Musyawarah",SUM($GY$7:$GY$8),IF(GX10="UGR",$GY$8,0)))))</f>
        <v>14</v>
      </c>
      <c r="GZ10" s="102">
        <f t="shared" ref="GZ10:GZ11" si="53">IF(GW10=0,"SELESAI",GU10+GY10)</f>
        <v>43257</v>
      </c>
      <c r="HA10" s="83"/>
      <c r="HB10" s="83"/>
      <c r="HC10" s="17">
        <f>IF(BH10&gt;0,1,IF(BI10&gt;0,1,0))</f>
        <v>1</v>
      </c>
      <c r="HD10" s="17">
        <f>IF(CB10&gt;0,1,0)</f>
        <v>0</v>
      </c>
      <c r="HE10" s="17">
        <f t="shared" ref="HE10:HE11" si="54">HC10+HD10</f>
        <v>1</v>
      </c>
      <c r="HF10" s="17">
        <f t="shared" ref="HF10:HF11" si="55">FQ10</f>
        <v>0</v>
      </c>
      <c r="HG10" s="17">
        <f t="shared" ref="HG10:HG11" si="56">HE10-HF10</f>
        <v>1</v>
      </c>
      <c r="HH10" s="101">
        <f>IF(HG10=1,GU10+$HH$8,"TIDAK KONSINYASI")</f>
        <v>43288</v>
      </c>
      <c r="HI10" s="101">
        <f t="shared" ref="HI10:HI11" si="57">IF(GW10=0,"SELESAI",GZ10+$HI$8)</f>
        <v>43302</v>
      </c>
      <c r="HJ10" s="27"/>
      <c r="HK10" s="101">
        <f>MAX(GZ10,HH10,HI10)</f>
        <v>43302</v>
      </c>
      <c r="HL10" s="83"/>
      <c r="HM10" s="83"/>
      <c r="HN10" s="83"/>
      <c r="HO10" s="83"/>
      <c r="HP10" s="102">
        <f t="shared" ref="HP10:HP11" si="58">IF(HQ10=1,GZ10,0)</f>
        <v>0</v>
      </c>
      <c r="HQ10" s="66">
        <f t="shared" ref="HQ10:HQ11" si="59">IF(IX10=0,IF(HT10=0,IF(IP10=0,IF(GV10="UGR",GS10,0),0),0),0)</f>
        <v>0</v>
      </c>
      <c r="HR10" s="66">
        <f>IF(HQ10=1,E10,0)</f>
        <v>0</v>
      </c>
      <c r="HS10" s="102">
        <f t="shared" ref="HS10:HS11" si="60">IF(HT10=1,HH10,0)</f>
        <v>43288</v>
      </c>
      <c r="HT10" s="66">
        <f t="shared" ref="HT10:HT11" si="61">HG10</f>
        <v>1</v>
      </c>
      <c r="HU10" s="66">
        <f>IF(HT10=1,E10,0)</f>
        <v>151</v>
      </c>
      <c r="HV10" s="102">
        <f t="shared" ref="HV10:HV11" si="62">IF(HW10=1,GZ10,0)</f>
        <v>0</v>
      </c>
      <c r="HW10" s="66">
        <f>IF(JB10=0,IF(IX10=0,IF(HT10=0,IF(GV10="MUSYAWARAH",GR10,0),0),0),0)</f>
        <v>0</v>
      </c>
      <c r="HX10" s="66">
        <f>IF(HW10=1,E10,0)</f>
        <v>0</v>
      </c>
      <c r="HY10" s="102">
        <f>IF(HZ10=1,HV10+$HI$8,0)</f>
        <v>0</v>
      </c>
      <c r="HZ10" s="66">
        <f t="shared" ref="HZ10:HZ11" si="63">HW10</f>
        <v>0</v>
      </c>
      <c r="IA10" s="66">
        <f>IF(HZ10=1,E10,0)</f>
        <v>0</v>
      </c>
      <c r="IB10" s="102">
        <f t="shared" ref="IB10:IB11" si="64">IF(IC10=1,$GU$3+SUM($GY$6:$GY$8),0)</f>
        <v>0</v>
      </c>
      <c r="IC10" s="66">
        <f>IF(GV10="Hasil Valuasi",GQ10,0)</f>
        <v>0</v>
      </c>
      <c r="ID10" s="66">
        <f>IF(IC10=1,E10,0)</f>
        <v>0</v>
      </c>
      <c r="IE10" s="102">
        <f>IF(IF10=1,IB10+$HI$8,0)</f>
        <v>0</v>
      </c>
      <c r="IF10" s="66">
        <f>IC10</f>
        <v>0</v>
      </c>
      <c r="IG10" s="66">
        <f>IF(IF10=1,E10,0)</f>
        <v>0</v>
      </c>
      <c r="IH10" s="102">
        <f t="shared" ref="IH10:IH11" si="65">IF(II10=1,$GU$3+SUM($GY$5:$GY$8),0)</f>
        <v>0</v>
      </c>
      <c r="II10" s="66">
        <f t="shared" ref="II10:II11" si="66">IF(GV10="Survey KJPP",GP10,0)</f>
        <v>0</v>
      </c>
      <c r="IJ10" s="66">
        <f>IF(II10=1,E10,0)</f>
        <v>0</v>
      </c>
      <c r="IK10" s="102">
        <f>IF(IL10=1,IH10+$HI$8,0)</f>
        <v>0</v>
      </c>
      <c r="IL10" s="66">
        <f>II10</f>
        <v>0</v>
      </c>
      <c r="IM10" s="66">
        <f>IF(IL10=1,E10,0)</f>
        <v>0</v>
      </c>
      <c r="IN10" s="83"/>
      <c r="IO10" s="102">
        <f>IF(IP10=1,+$GU$3+$HH$8,0)</f>
        <v>0</v>
      </c>
      <c r="IP10" s="66">
        <f>IF(BG10&gt;0,1,0)</f>
        <v>0</v>
      </c>
      <c r="IQ10" s="66">
        <f>IF(IP10=1,E10,0)</f>
        <v>0</v>
      </c>
      <c r="IR10" s="83"/>
      <c r="IS10" s="102"/>
      <c r="IT10" s="66">
        <f t="shared" si="24"/>
        <v>0</v>
      </c>
      <c r="IU10" s="66">
        <f t="shared" si="24"/>
        <v>0</v>
      </c>
      <c r="IV10" s="83"/>
      <c r="IW10" s="102"/>
      <c r="IX10" s="66">
        <f t="shared" si="25"/>
        <v>1</v>
      </c>
      <c r="IY10" s="66">
        <f t="shared" si="25"/>
        <v>151</v>
      </c>
      <c r="IZ10" s="83"/>
      <c r="JA10" s="102"/>
      <c r="JB10" s="66">
        <f>AN10</f>
        <v>0</v>
      </c>
      <c r="JC10" s="66">
        <f>BB10</f>
        <v>0</v>
      </c>
      <c r="JD10" s="83"/>
      <c r="JE10" s="102"/>
      <c r="JF10" s="66">
        <f t="shared" ref="JF10:JF11" si="67">IT10+HQ10+HT10+HZ10+IF10+IL10+IP10+IX10+JB10</f>
        <v>2</v>
      </c>
      <c r="JG10" s="66">
        <f>IU10+HR10+HU10+IA10+IG10+IM10+IQ10+IY10+JC10</f>
        <v>302</v>
      </c>
      <c r="JH10" s="83"/>
      <c r="JI10" s="102"/>
      <c r="JJ10" s="66">
        <f t="shared" si="27"/>
        <v>1</v>
      </c>
      <c r="JK10" s="66">
        <f t="shared" si="27"/>
        <v>151</v>
      </c>
      <c r="JM10" s="102">
        <f t="shared" ref="JM10:JM11" si="68">MAX(IW10,IS10,IO10,IK10,IE10,HY10,HS10,HP10)</f>
        <v>43288</v>
      </c>
      <c r="JO10" s="29">
        <f>SUM(JQ10:KB10)</f>
        <v>0</v>
      </c>
      <c r="JP10" s="122">
        <f>BN10+CR10</f>
        <v>0</v>
      </c>
      <c r="JQ10" s="122">
        <f t="shared" si="29"/>
        <v>0</v>
      </c>
      <c r="JR10" s="122">
        <f t="shared" si="29"/>
        <v>0</v>
      </c>
      <c r="JS10" s="122">
        <f t="shared" si="29"/>
        <v>0</v>
      </c>
      <c r="JT10" s="122">
        <f t="shared" si="29"/>
        <v>0</v>
      </c>
      <c r="JU10" s="122">
        <f t="shared" si="29"/>
        <v>0</v>
      </c>
      <c r="JV10" s="122">
        <f t="shared" si="29"/>
        <v>0</v>
      </c>
      <c r="JW10" s="122">
        <f t="shared" si="29"/>
        <v>0</v>
      </c>
      <c r="JX10" s="122">
        <f t="shared" si="29"/>
        <v>0</v>
      </c>
      <c r="JY10" s="122">
        <f t="shared" si="29"/>
        <v>0</v>
      </c>
      <c r="JZ10" s="122">
        <f t="shared" si="29"/>
        <v>0</v>
      </c>
      <c r="KA10" s="122">
        <f t="shared" si="29"/>
        <v>0</v>
      </c>
      <c r="KB10" s="122">
        <f t="shared" si="29"/>
        <v>0</v>
      </c>
      <c r="KD10" s="122">
        <f t="shared" ref="KD10:KD12" si="69">IF(IF(SUM(GA10:GE10)&gt;100,1,0)+IF(FX10=1,1,0)=2,1,0)</f>
        <v>0</v>
      </c>
      <c r="KE10" s="122">
        <f t="shared" si="31"/>
        <v>0</v>
      </c>
      <c r="KF10" s="122">
        <f t="shared" si="32"/>
        <v>0</v>
      </c>
      <c r="KG10" s="122">
        <f t="shared" si="32"/>
        <v>0</v>
      </c>
      <c r="KH10" s="122">
        <f t="shared" si="32"/>
        <v>0</v>
      </c>
      <c r="KI10" s="122">
        <f t="shared" si="32"/>
        <v>0</v>
      </c>
      <c r="KJ10" s="122">
        <f t="shared" si="32"/>
        <v>0</v>
      </c>
      <c r="KK10" s="122">
        <f t="shared" si="32"/>
        <v>0</v>
      </c>
      <c r="KL10" s="122">
        <f t="shared" si="32"/>
        <v>0</v>
      </c>
      <c r="KM10" s="122">
        <f t="shared" si="32"/>
        <v>0</v>
      </c>
      <c r="KN10" s="123">
        <f t="shared" si="32"/>
        <v>0</v>
      </c>
      <c r="KO10" s="123">
        <f t="shared" si="32"/>
        <v>0</v>
      </c>
      <c r="KP10" s="123">
        <f t="shared" si="32"/>
        <v>0</v>
      </c>
      <c r="KQ10" s="123">
        <f t="shared" si="32"/>
        <v>0</v>
      </c>
      <c r="KR10" s="123">
        <f t="shared" si="32"/>
        <v>0</v>
      </c>
      <c r="KT10">
        <f>AN10</f>
        <v>0</v>
      </c>
      <c r="KU10" s="123"/>
      <c r="KV10" s="123"/>
      <c r="KW10" s="123"/>
      <c r="KX10" s="123"/>
      <c r="KY10" s="123"/>
      <c r="KZ10" s="123"/>
      <c r="LA10" s="123"/>
      <c r="LB10" s="123"/>
      <c r="LC10" s="123"/>
      <c r="LD10" s="123"/>
      <c r="LE10" s="123"/>
      <c r="LF10" s="123"/>
      <c r="LG10" s="123"/>
      <c r="LH10" s="123"/>
      <c r="LI10" s="123"/>
      <c r="LJ10" s="123"/>
      <c r="LK10" s="123"/>
      <c r="LL10" s="123"/>
      <c r="LM10" s="123"/>
      <c r="LN10" s="123"/>
      <c r="LO10" s="123"/>
      <c r="LP10" s="123"/>
      <c r="LQ10" s="123"/>
      <c r="LR10" s="123"/>
      <c r="LS10" s="123"/>
      <c r="LT10" s="123"/>
      <c r="LU10" s="123"/>
      <c r="LV10" s="123"/>
      <c r="LW10" s="123"/>
      <c r="LX10" s="123"/>
      <c r="LY10" s="123"/>
      <c r="LZ10" s="123"/>
      <c r="MA10" s="123"/>
      <c r="MB10" s="123"/>
      <c r="MC10" s="123"/>
      <c r="MD10" s="123"/>
      <c r="ME10" s="123"/>
      <c r="MF10" s="123"/>
      <c r="MG10" s="123"/>
      <c r="MH10" s="123"/>
      <c r="MI10" s="123"/>
      <c r="MJ10" s="123"/>
      <c r="MK10" s="123"/>
      <c r="ML10" s="123"/>
      <c r="MM10" s="123"/>
      <c r="MN10" s="123"/>
      <c r="MO10" s="123"/>
      <c r="MP10" s="123"/>
      <c r="MQ10" s="123"/>
      <c r="MR10" s="123"/>
      <c r="MS10" s="123"/>
      <c r="MT10" s="123"/>
      <c r="MU10" s="123"/>
      <c r="MV10" s="123"/>
      <c r="MW10" s="123"/>
      <c r="MX10" s="123"/>
      <c r="MY10" s="123"/>
      <c r="MZ10" s="123"/>
      <c r="NA10" s="123"/>
      <c r="NB10" s="123"/>
      <c r="NC10" s="123"/>
      <c r="ND10" s="123"/>
      <c r="NE10" s="123"/>
      <c r="NF10" s="123"/>
      <c r="NG10" s="123"/>
      <c r="NH10" s="123"/>
      <c r="NI10" s="123"/>
      <c r="NJ10" s="123"/>
      <c r="NK10" s="123"/>
      <c r="NM10">
        <f>IF(KS10=1,1,0)</f>
        <v>0</v>
      </c>
      <c r="NN10">
        <f>IF(KS10=2,1,0)</f>
        <v>0</v>
      </c>
      <c r="NO10">
        <f>IF(KS10=3,1,0)</f>
        <v>0</v>
      </c>
      <c r="NP10">
        <f>IF(KS10=4,1,0)</f>
        <v>0</v>
      </c>
      <c r="NQ10">
        <f>IF(KS10=5,1,0)</f>
        <v>0</v>
      </c>
      <c r="NR10">
        <f>IF(KS10=6,1,0)</f>
        <v>0</v>
      </c>
      <c r="NS10">
        <f>IF(KS10=7,1,0)</f>
        <v>0</v>
      </c>
      <c r="NT10">
        <f>SUM(NM10:NS10)</f>
        <v>0</v>
      </c>
      <c r="NU10" s="29">
        <f t="shared" ref="NU10:NU11" si="70">NT10-KT10</f>
        <v>0</v>
      </c>
      <c r="NY10" s="29">
        <f>V10</f>
        <v>0</v>
      </c>
      <c r="NZ10">
        <v>6750000</v>
      </c>
      <c r="OE10" s="155">
        <f>D10-J10</f>
        <v>0</v>
      </c>
      <c r="OF10" s="155">
        <f>D10-N10</f>
        <v>0</v>
      </c>
      <c r="OG10" s="155">
        <f>AN10</f>
        <v>0</v>
      </c>
      <c r="OH10" s="155">
        <f t="shared" ref="OH10" si="71">HE10</f>
        <v>1</v>
      </c>
      <c r="OI10" s="155">
        <f>D10-R10</f>
        <v>0</v>
      </c>
      <c r="OJ10" s="67">
        <f t="shared" ref="OJ10" si="72">IF(OG10=1,OF10,0)</f>
        <v>0</v>
      </c>
      <c r="OK10" s="67">
        <f t="shared" ref="OK10" si="73">IF(OH10=1,OF10,0)</f>
        <v>0</v>
      </c>
      <c r="OL10" s="67">
        <f t="shared" ref="OL10" si="74">IF((OG10+OH10)=0,OF10,0)</f>
        <v>0</v>
      </c>
      <c r="OM10" s="67">
        <f t="shared" ref="OM10" si="75">SUM(OJ10:OL10)</f>
        <v>0</v>
      </c>
      <c r="OO10" s="155">
        <f>E10-K10</f>
        <v>0</v>
      </c>
      <c r="OP10" s="155">
        <f>E10-O10</f>
        <v>0</v>
      </c>
      <c r="OQ10" s="155">
        <f t="shared" ref="OQ10" si="76">OG10</f>
        <v>0</v>
      </c>
      <c r="OR10" s="155">
        <f t="shared" ref="OR10" si="77">OH10</f>
        <v>1</v>
      </c>
      <c r="OS10" s="155">
        <f t="shared" ref="OS10" si="78">OI10</f>
        <v>0</v>
      </c>
      <c r="OT10" s="67">
        <f t="shared" ref="OT10" si="79">IF(OQ10=1,OP10,0)</f>
        <v>0</v>
      </c>
      <c r="OU10" s="67">
        <f t="shared" ref="OU10" si="80">IF(OR10=1,OP10,0)</f>
        <v>0</v>
      </c>
      <c r="OV10" s="67">
        <f t="shared" ref="OV10" si="81">IF((OQ10+OR10)=0,OP10,0)</f>
        <v>0</v>
      </c>
      <c r="OW10" s="67">
        <f t="shared" ref="OW10" si="82">SUM(OT10:OV10)</f>
        <v>0</v>
      </c>
      <c r="OZ10" s="163">
        <f>AN10</f>
        <v>0</v>
      </c>
      <c r="PA10" s="166"/>
      <c r="PB10" s="166"/>
      <c r="PC10" s="166"/>
      <c r="PD10" s="210">
        <f t="shared" si="35"/>
        <v>0</v>
      </c>
      <c r="PE10" s="210"/>
      <c r="PF10" s="210">
        <f t="shared" si="36"/>
        <v>0</v>
      </c>
      <c r="PG10" s="210">
        <f t="shared" si="37"/>
        <v>0</v>
      </c>
      <c r="PH10" s="210">
        <f t="shared" si="37"/>
        <v>0</v>
      </c>
      <c r="PI10" s="210">
        <f t="shared" si="37"/>
        <v>0</v>
      </c>
      <c r="PJ10" s="210">
        <f t="shared" si="37"/>
        <v>0</v>
      </c>
      <c r="PK10" s="210">
        <f t="shared" si="37"/>
        <v>0</v>
      </c>
      <c r="PL10" s="210">
        <f t="shared" si="37"/>
        <v>0</v>
      </c>
      <c r="PO10" s="172">
        <f t="shared" ref="PO10:PO12" si="83">IF(FC10=1,AB10,0)</f>
        <v>0</v>
      </c>
      <c r="PP10" s="172">
        <f t="shared" ref="PP10:PP12" si="84">IF(FF10=1,AB10,0)</f>
        <v>151</v>
      </c>
      <c r="PQ10" s="172">
        <f t="shared" ref="PQ10:PQ12" si="85">AB10-(PO10+PP10)</f>
        <v>0</v>
      </c>
    </row>
    <row r="11" spans="1:433" ht="16" x14ac:dyDescent="0.2">
      <c r="A11" s="19">
        <f t="shared" ref="A11:A12" si="86">A10+1</f>
        <v>3</v>
      </c>
      <c r="B11" s="158" t="s">
        <v>606</v>
      </c>
      <c r="C11" s="249">
        <v>1</v>
      </c>
      <c r="D11" s="17">
        <v>1</v>
      </c>
      <c r="E11" s="188">
        <v>390</v>
      </c>
      <c r="F11" s="189">
        <v>1</v>
      </c>
      <c r="G11" s="20">
        <f t="shared" si="38"/>
        <v>390</v>
      </c>
      <c r="H11" s="137">
        <f>F11/$D11</f>
        <v>1</v>
      </c>
      <c r="I11" s="137">
        <f>G11/$E11</f>
        <v>1</v>
      </c>
      <c r="J11" s="168">
        <v>1</v>
      </c>
      <c r="K11" s="20">
        <f>IF(J11=D11,E11,0)</f>
        <v>390</v>
      </c>
      <c r="L11" s="137">
        <f>J11/$D11</f>
        <v>1</v>
      </c>
      <c r="M11" s="137">
        <f>K11/$E11</f>
        <v>1</v>
      </c>
      <c r="N11" s="168">
        <v>1</v>
      </c>
      <c r="O11" s="20">
        <f>IF(N11=D11,E11,0)</f>
        <v>390</v>
      </c>
      <c r="P11" s="137">
        <f>N11/$D11</f>
        <v>1</v>
      </c>
      <c r="Q11" s="137">
        <f>O11/$E11</f>
        <v>1</v>
      </c>
      <c r="R11" s="20"/>
      <c r="S11" s="20">
        <f t="shared" si="39"/>
        <v>0</v>
      </c>
      <c r="T11" s="137">
        <f>R11/$D11</f>
        <v>0</v>
      </c>
      <c r="U11" s="137">
        <f>S11/$E11</f>
        <v>0</v>
      </c>
      <c r="V11" s="20">
        <v>0</v>
      </c>
      <c r="W11" s="20">
        <f t="shared" si="40"/>
        <v>0</v>
      </c>
      <c r="X11" s="137">
        <f>V11/$D11</f>
        <v>0</v>
      </c>
      <c r="Y11" s="137">
        <f>W11/$E11</f>
        <v>0</v>
      </c>
      <c r="Z11" s="20">
        <v>0</v>
      </c>
      <c r="AA11" s="20"/>
      <c r="AB11" s="17">
        <f>IF(AA11=D11,E11,0)</f>
        <v>0</v>
      </c>
      <c r="AC11" s="18">
        <f>AA11/$D11</f>
        <v>0</v>
      </c>
      <c r="AD11" s="18">
        <f>AB11/$E11</f>
        <v>0</v>
      </c>
      <c r="AE11" s="20"/>
      <c r="AF11" s="20">
        <f t="shared" si="41"/>
        <v>0</v>
      </c>
      <c r="AG11" s="20"/>
      <c r="AH11" s="17"/>
      <c r="AI11" s="20">
        <v>0</v>
      </c>
      <c r="AJ11" s="20">
        <f t="shared" si="42"/>
        <v>0</v>
      </c>
      <c r="AK11" s="20"/>
      <c r="AL11" s="20">
        <v>0</v>
      </c>
      <c r="AM11" s="20">
        <v>0</v>
      </c>
      <c r="AN11" s="139">
        <v>1</v>
      </c>
      <c r="BB11" s="17">
        <f>IF(AN11=1,E11,0)</f>
        <v>390</v>
      </c>
      <c r="BE11" s="17">
        <f>IF(AF11=1,S11,0)</f>
        <v>0</v>
      </c>
      <c r="BF11" s="17">
        <f>IF(AG11="A",S11,0)</f>
        <v>0</v>
      </c>
      <c r="BG11" s="17">
        <f>IF(AG11="B",S11,0)</f>
        <v>0</v>
      </c>
      <c r="BH11" s="17">
        <f>IF(AG11="C",S11,0)</f>
        <v>0</v>
      </c>
      <c r="BI11" s="17">
        <f>IF(AG11="D",S11,0)</f>
        <v>0</v>
      </c>
      <c r="BJ11" s="17">
        <f>IF(AG11="E",S11,0)</f>
        <v>0</v>
      </c>
      <c r="BK11" s="17">
        <f t="shared" si="43"/>
        <v>0</v>
      </c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B11" s="17"/>
      <c r="CD11" s="17">
        <f t="shared" si="44"/>
        <v>0</v>
      </c>
      <c r="CE11" s="17">
        <f>IF(BO11=1,$CD11,0)</f>
        <v>0</v>
      </c>
      <c r="CF11" s="17">
        <f t="shared" ref="CF11" si="87">IF(BP11=1,$CD11,0)</f>
        <v>0</v>
      </c>
      <c r="CG11" s="17">
        <f t="shared" ref="CG11" si="88">IF(BQ11=1,$CD11,0)</f>
        <v>0</v>
      </c>
      <c r="CH11" s="17">
        <f t="shared" ref="CH11" si="89">IF(BR11=1,$CD11,0)</f>
        <v>0</v>
      </c>
      <c r="CI11" s="17">
        <f t="shared" ref="CI11" si="90">IF(BS11=1,$CD11,0)</f>
        <v>0</v>
      </c>
      <c r="CJ11" s="17">
        <f t="shared" ref="CJ11" si="91">IF(BT11=1,$CD11,0)</f>
        <v>0</v>
      </c>
      <c r="CK11" s="17">
        <f t="shared" ref="CK11" si="92">IF(BU11=1,$CD11,0)</f>
        <v>0</v>
      </c>
      <c r="CL11" s="20">
        <f t="shared" ref="CL11" si="93">IF(BV11=1,$CD11,0)</f>
        <v>0</v>
      </c>
      <c r="CM11" s="20">
        <f t="shared" ref="CM11" si="94">IF(BW11=1,$CD11,0)</f>
        <v>0</v>
      </c>
      <c r="CN11" s="20">
        <f t="shared" ref="CN11" si="95">IF(BX11=1,$CD11,0)</f>
        <v>0</v>
      </c>
      <c r="CO11" s="20">
        <f t="shared" ref="CO11" si="96">IF(BY11=1,$CD11,0)</f>
        <v>0</v>
      </c>
      <c r="CP11" s="20">
        <f t="shared" ref="CP11" si="97">IF(BZ11=1,$CD11,0)</f>
        <v>0</v>
      </c>
      <c r="DV11" s="20">
        <f>IF(CB11=1,G11,0)</f>
        <v>0</v>
      </c>
      <c r="DW11" s="20">
        <f>IF(CC11="A",G11,0)</f>
        <v>0</v>
      </c>
      <c r="DX11" s="20">
        <f>IF(CC11="B",G11,0)</f>
        <v>0</v>
      </c>
      <c r="DY11" s="20">
        <f>IF(CC11="C",G11,0)</f>
        <v>0</v>
      </c>
      <c r="DZ11" s="20">
        <f>IF(CC11="D",G11,0)</f>
        <v>0</v>
      </c>
      <c r="EA11" s="20">
        <f>IF(CC11="E",G11,0)</f>
        <v>0</v>
      </c>
      <c r="EB11" s="20">
        <f t="shared" si="46"/>
        <v>0</v>
      </c>
      <c r="ED11" s="46" t="s">
        <v>368</v>
      </c>
      <c r="EE11" s="46" t="s">
        <v>369</v>
      </c>
      <c r="EG11" s="57">
        <f>IF(AG11="C","C",IF(AG11="D","D",0))</f>
        <v>0</v>
      </c>
      <c r="EH11" s="57">
        <f>CC11</f>
        <v>0</v>
      </c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89"/>
      <c r="FC11" s="17"/>
      <c r="FD11" s="17"/>
      <c r="FE11" s="17"/>
      <c r="FF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X11" s="80"/>
      <c r="FY11" s="17">
        <f>SUM(FZ11:GE11)</f>
        <v>0</v>
      </c>
      <c r="FZ11" s="17">
        <f t="shared" ref="FZ11" si="98">DI11+CE11</f>
        <v>0</v>
      </c>
      <c r="GA11" s="17">
        <f t="shared" ref="GA11" si="99">DJ11+CF11</f>
        <v>0</v>
      </c>
      <c r="GB11" s="17">
        <f t="shared" ref="GB11" si="100">DK11+CG11</f>
        <v>0</v>
      </c>
      <c r="GC11" s="17">
        <f>DM11+CI11</f>
        <v>0</v>
      </c>
      <c r="GD11" s="17">
        <f>DO11+CK11</f>
        <v>0</v>
      </c>
      <c r="GE11" s="17">
        <f>DT11+CP11</f>
        <v>0</v>
      </c>
      <c r="GF11" s="67"/>
      <c r="GG11" s="17">
        <v>0</v>
      </c>
      <c r="GH11" s="17">
        <v>0</v>
      </c>
      <c r="GI11" s="67"/>
      <c r="GJ11" s="62">
        <f>FY11*GG11/1000000000</f>
        <v>0</v>
      </c>
      <c r="GK11" s="62">
        <f>FY11*GH11/1000000000</f>
        <v>0</v>
      </c>
      <c r="GO11" s="17">
        <f>D11-F11</f>
        <v>0</v>
      </c>
      <c r="GP11" s="17">
        <f>D11-J11</f>
        <v>0</v>
      </c>
      <c r="GQ11" s="17">
        <f>D11-N11</f>
        <v>0</v>
      </c>
      <c r="GR11" s="17">
        <f>D11-R11</f>
        <v>1</v>
      </c>
      <c r="GS11" s="17">
        <f>D11-V11</f>
        <v>1</v>
      </c>
      <c r="GT11" s="17">
        <f t="shared" si="47"/>
        <v>0</v>
      </c>
      <c r="GU11" s="101">
        <f t="shared" si="48"/>
        <v>43243</v>
      </c>
      <c r="GV11" s="17" t="str">
        <f t="shared" si="49"/>
        <v>Musyawarah</v>
      </c>
      <c r="GW11" s="17">
        <f t="shared" si="50"/>
        <v>1</v>
      </c>
      <c r="GX11" s="66" t="str">
        <f t="shared" si="51"/>
        <v>Musyawarah</v>
      </c>
      <c r="GY11" s="66">
        <f t="shared" si="52"/>
        <v>24</v>
      </c>
      <c r="GZ11" s="102">
        <f t="shared" si="53"/>
        <v>43267</v>
      </c>
      <c r="HA11" s="83"/>
      <c r="HB11" s="83"/>
      <c r="HC11" s="17">
        <f>IF(BH11&gt;0,1,IF(BI11&gt;0,1,0))</f>
        <v>0</v>
      </c>
      <c r="HD11" s="17">
        <f>IF(CB11&gt;0,1,0)</f>
        <v>0</v>
      </c>
      <c r="HE11" s="17">
        <f t="shared" si="54"/>
        <v>0</v>
      </c>
      <c r="HF11" s="17">
        <f t="shared" si="55"/>
        <v>0</v>
      </c>
      <c r="HG11" s="17">
        <f t="shared" si="56"/>
        <v>0</v>
      </c>
      <c r="HH11" s="101" t="str">
        <f>IF(HG11=1,GU11+$HH$8,"TIDAK KONSINYASI")</f>
        <v>TIDAK KONSINYASI</v>
      </c>
      <c r="HI11" s="101">
        <f t="shared" si="57"/>
        <v>43312</v>
      </c>
      <c r="HJ11" s="27"/>
      <c r="HK11" s="101">
        <f>MAX(GZ11,HH11,HI11)</f>
        <v>43312</v>
      </c>
      <c r="HL11" s="83"/>
      <c r="HM11" s="83"/>
      <c r="HN11" s="83"/>
      <c r="HO11" s="83"/>
      <c r="HP11" s="102">
        <f t="shared" si="58"/>
        <v>0</v>
      </c>
      <c r="HQ11" s="66">
        <f t="shared" si="59"/>
        <v>0</v>
      </c>
      <c r="HR11" s="66">
        <f>IF(HQ11=1,E11,0)</f>
        <v>0</v>
      </c>
      <c r="HS11" s="102">
        <f t="shared" si="60"/>
        <v>0</v>
      </c>
      <c r="HT11" s="66">
        <f t="shared" si="61"/>
        <v>0</v>
      </c>
      <c r="HU11" s="66">
        <f>IF(HT11=1,E11,0)</f>
        <v>0</v>
      </c>
      <c r="HV11" s="102">
        <f t="shared" si="62"/>
        <v>0</v>
      </c>
      <c r="HW11" s="66">
        <f>IF(JB11=0,IF(IX11=0,IF(HT11=0,IF(GV11="MUSYAWARAH",GR11,0),0),0),0)</f>
        <v>0</v>
      </c>
      <c r="HX11" s="66">
        <f>IF(HW11=1,E11,0)</f>
        <v>0</v>
      </c>
      <c r="HY11" s="102">
        <f>IF(HZ11=1,HV11+$HI$8,0)</f>
        <v>0</v>
      </c>
      <c r="HZ11" s="66">
        <f t="shared" si="63"/>
        <v>0</v>
      </c>
      <c r="IA11" s="66">
        <f>IF(HZ11=1,E11,0)</f>
        <v>0</v>
      </c>
      <c r="IB11" s="102">
        <f t="shared" si="64"/>
        <v>0</v>
      </c>
      <c r="IC11" s="66">
        <f>IF(GV11="Hasil Valuasi",GQ11,0)</f>
        <v>0</v>
      </c>
      <c r="ID11" s="66">
        <f>IF(IC11=1,E11,0)</f>
        <v>0</v>
      </c>
      <c r="IE11" s="102">
        <f>IF(IF11=1,IB11+$HI$8,0)</f>
        <v>0</v>
      </c>
      <c r="IF11" s="66">
        <f>IC11</f>
        <v>0</v>
      </c>
      <c r="IG11" s="66">
        <f>IF(IF11=1,E11,0)</f>
        <v>0</v>
      </c>
      <c r="IH11" s="102">
        <f t="shared" si="65"/>
        <v>0</v>
      </c>
      <c r="II11" s="66">
        <f t="shared" si="66"/>
        <v>0</v>
      </c>
      <c r="IJ11" s="66">
        <f>IF(II11=1,E11,0)</f>
        <v>0</v>
      </c>
      <c r="IK11" s="102">
        <f>IF(IL11=1,IH11+$HI$8,0)</f>
        <v>0</v>
      </c>
      <c r="IL11" s="66">
        <f>II11</f>
        <v>0</v>
      </c>
      <c r="IM11" s="66">
        <f>IF(IL11=1,E11,0)</f>
        <v>0</v>
      </c>
      <c r="IN11" s="83"/>
      <c r="IO11" s="102">
        <f>IF(IP11=1,+$GU$3+$HH$8,0)</f>
        <v>0</v>
      </c>
      <c r="IP11" s="66">
        <f>IF(BG11&gt;0,1,0)</f>
        <v>0</v>
      </c>
      <c r="IQ11" s="66">
        <f>IF(IP11=1,E11,0)</f>
        <v>0</v>
      </c>
      <c r="IR11" s="83"/>
      <c r="IS11" s="102"/>
      <c r="IT11" s="66">
        <f t="shared" ref="IT11" si="101">V11</f>
        <v>0</v>
      </c>
      <c r="IU11" s="66">
        <f t="shared" ref="IU11" si="102">W11</f>
        <v>0</v>
      </c>
      <c r="IV11" s="83"/>
      <c r="IW11" s="102"/>
      <c r="IX11" s="66">
        <f t="shared" ref="IX11" si="103">AA11</f>
        <v>0</v>
      </c>
      <c r="IY11" s="66">
        <f t="shared" ref="IY11" si="104">AB11</f>
        <v>0</v>
      </c>
      <c r="IZ11" s="83"/>
      <c r="JA11" s="102"/>
      <c r="JB11" s="66">
        <f>AN11</f>
        <v>1</v>
      </c>
      <c r="JC11" s="66">
        <f>BB11</f>
        <v>390</v>
      </c>
      <c r="JD11" s="83"/>
      <c r="JE11" s="102"/>
      <c r="JF11" s="66">
        <f t="shared" si="67"/>
        <v>1</v>
      </c>
      <c r="JG11" s="66">
        <f>IU11+HR11+HU11+IA11+IG11+IM11+IQ11+IY11+JC11</f>
        <v>390</v>
      </c>
      <c r="JH11" s="83"/>
      <c r="JI11" s="102"/>
      <c r="JJ11" s="66">
        <f t="shared" ref="JJ11" si="105">JF11-D11</f>
        <v>0</v>
      </c>
      <c r="JK11" s="66">
        <f t="shared" ref="JK11" si="106">JG11-E11</f>
        <v>0</v>
      </c>
      <c r="JM11" s="102">
        <f t="shared" si="68"/>
        <v>0</v>
      </c>
      <c r="JO11" s="29">
        <f>SUM(JQ11:KB11)</f>
        <v>0</v>
      </c>
      <c r="JP11" s="122">
        <f>BN11+CR11</f>
        <v>0</v>
      </c>
      <c r="JQ11" s="122">
        <f t="shared" ref="JQ11" si="107">IF(BO11+CS11=2,1,IF(BO11+CS11=1,1,0))</f>
        <v>0</v>
      </c>
      <c r="JR11" s="122">
        <f t="shared" ref="JR11" si="108">IF(BP11+CT11=2,1,IF(BP11+CT11=1,1,0))</f>
        <v>0</v>
      </c>
      <c r="JS11" s="122">
        <f t="shared" ref="JS11" si="109">IF(BQ11+CU11=2,1,IF(BQ11+CU11=1,1,0))</f>
        <v>0</v>
      </c>
      <c r="JT11" s="122">
        <f t="shared" ref="JT11" si="110">IF(BR11+CV11=2,1,IF(BR11+CV11=1,1,0))</f>
        <v>0</v>
      </c>
      <c r="JU11" s="122">
        <f t="shared" ref="JU11" si="111">IF(BS11+CW11=2,1,IF(BS11+CW11=1,1,0))</f>
        <v>0</v>
      </c>
      <c r="JV11" s="122">
        <f t="shared" ref="JV11" si="112">IF(BT11+CX11=2,1,IF(BT11+CX11=1,1,0))</f>
        <v>0</v>
      </c>
      <c r="JW11" s="122">
        <f t="shared" ref="JW11" si="113">IF(BU11+CY11=2,1,IF(BU11+CY11=1,1,0))</f>
        <v>0</v>
      </c>
      <c r="JX11" s="122">
        <f t="shared" ref="JX11" si="114">IF(BV11+CZ11=2,1,IF(BV11+CZ11=1,1,0))</f>
        <v>0</v>
      </c>
      <c r="JY11" s="122">
        <f t="shared" ref="JY11" si="115">IF(BW11+DA11=2,1,IF(BW11+DA11=1,1,0))</f>
        <v>0</v>
      </c>
      <c r="JZ11" s="122">
        <f t="shared" ref="JZ11" si="116">IF(BX11+DB11=2,1,IF(BX11+DB11=1,1,0))</f>
        <v>0</v>
      </c>
      <c r="KA11" s="122">
        <f t="shared" ref="KA11" si="117">IF(BY11+DC11=2,1,IF(BY11+DC11=1,1,0))</f>
        <v>0</v>
      </c>
      <c r="KB11" s="122">
        <f t="shared" ref="KB11" si="118">IF(BZ11+DD11=2,1,IF(BZ11+DD11=1,1,0))</f>
        <v>0</v>
      </c>
      <c r="KD11" s="122">
        <f t="shared" ref="KD11" si="119">IF(IF(SUM(GA11:GE11)&gt;100,1,0)+IF(FX11=1,1,0)=2,1,0)</f>
        <v>0</v>
      </c>
      <c r="KE11" s="122">
        <f t="shared" ref="KE11" si="120">IF(KD11=1,KF11,0)</f>
        <v>0</v>
      </c>
      <c r="KF11" s="122">
        <f t="shared" ref="KF11" si="121">CD11+DH11</f>
        <v>0</v>
      </c>
      <c r="KG11" s="122">
        <f t="shared" ref="KG11" si="122">CE11+DI11</f>
        <v>0</v>
      </c>
      <c r="KH11" s="122">
        <f t="shared" ref="KH11" si="123">CF11+DJ11</f>
        <v>0</v>
      </c>
      <c r="KI11" s="122">
        <f t="shared" ref="KI11" si="124">CG11+DK11</f>
        <v>0</v>
      </c>
      <c r="KJ11" s="122">
        <f t="shared" ref="KJ11" si="125">CH11+DL11</f>
        <v>0</v>
      </c>
      <c r="KK11" s="122">
        <f t="shared" ref="KK11" si="126">CI11+DM11</f>
        <v>0</v>
      </c>
      <c r="KL11" s="122">
        <f t="shared" ref="KL11" si="127">CJ11+DN11</f>
        <v>0</v>
      </c>
      <c r="KM11" s="122">
        <f t="shared" ref="KM11" si="128">CK11+DO11</f>
        <v>0</v>
      </c>
      <c r="KN11" s="123">
        <f t="shared" ref="KN11" si="129">CL11+DP11</f>
        <v>0</v>
      </c>
      <c r="KO11" s="123">
        <f t="shared" ref="KO11" si="130">CM11+DQ11</f>
        <v>0</v>
      </c>
      <c r="KP11" s="123">
        <f t="shared" ref="KP11" si="131">CN11+DR11</f>
        <v>0</v>
      </c>
      <c r="KQ11" s="123">
        <f t="shared" ref="KQ11" si="132">CO11+DS11</f>
        <v>0</v>
      </c>
      <c r="KR11" s="123">
        <f t="shared" ref="KR11" si="133">CP11+DT11</f>
        <v>0</v>
      </c>
      <c r="KS11">
        <v>2</v>
      </c>
      <c r="KT11">
        <f>AN11</f>
        <v>1</v>
      </c>
      <c r="KU11" s="123"/>
      <c r="KV11" s="123"/>
      <c r="KW11" s="123"/>
      <c r="KX11" s="123"/>
      <c r="KY11" s="123"/>
      <c r="KZ11" s="123"/>
      <c r="LA11" s="123"/>
      <c r="LB11" s="123"/>
      <c r="LC11" s="123"/>
      <c r="LD11" s="123"/>
      <c r="LE11" s="123"/>
      <c r="LF11" s="123"/>
      <c r="LG11" s="123"/>
      <c r="LH11" s="123"/>
      <c r="LI11" s="123"/>
      <c r="LJ11" s="123"/>
      <c r="LK11" s="123"/>
      <c r="LL11" s="123"/>
      <c r="LM11" s="123">
        <v>1</v>
      </c>
      <c r="LN11" s="123">
        <v>1</v>
      </c>
      <c r="LO11" s="123"/>
      <c r="LP11" s="123"/>
      <c r="LQ11" s="123"/>
      <c r="LR11" s="123"/>
      <c r="LS11" s="123"/>
      <c r="LT11" s="123"/>
      <c r="LU11" s="123"/>
      <c r="LV11" s="123"/>
      <c r="LW11" s="123"/>
      <c r="LX11" s="123"/>
      <c r="LY11" s="123"/>
      <c r="LZ11" s="123"/>
      <c r="MA11" s="123"/>
      <c r="MB11" s="123"/>
      <c r="MC11" s="123"/>
      <c r="MD11" s="123"/>
      <c r="ME11" s="123"/>
      <c r="MF11" s="123"/>
      <c r="MG11" s="123"/>
      <c r="MH11" s="123"/>
      <c r="MI11" s="123"/>
      <c r="MJ11" s="123"/>
      <c r="MK11" s="123"/>
      <c r="ML11" s="123"/>
      <c r="MM11" s="123"/>
      <c r="MN11" s="123"/>
      <c r="MO11" s="123"/>
      <c r="MP11" s="123"/>
      <c r="MQ11" s="123"/>
      <c r="MR11" s="123"/>
      <c r="MS11" s="123"/>
      <c r="MT11" s="123"/>
      <c r="MU11" s="123"/>
      <c r="MV11" s="123"/>
      <c r="MW11" s="123"/>
      <c r="MX11" s="123"/>
      <c r="MY11" s="123"/>
      <c r="MZ11" s="123"/>
      <c r="NA11" s="123"/>
      <c r="NB11" s="123"/>
      <c r="NC11" s="123"/>
      <c r="ND11" s="123"/>
      <c r="NE11" s="123"/>
      <c r="NF11" s="123"/>
      <c r="NG11" s="123"/>
      <c r="NH11" s="123"/>
      <c r="NI11" s="123"/>
      <c r="NJ11" s="123"/>
      <c r="NK11" s="123"/>
      <c r="NM11">
        <f>IF(KS11=1,1,0)</f>
        <v>0</v>
      </c>
      <c r="NN11">
        <f>IF(KS11=2,1,0)</f>
        <v>1</v>
      </c>
      <c r="NO11">
        <f>IF(KS11=3,1,0)</f>
        <v>0</v>
      </c>
      <c r="NP11">
        <f>IF(KS11=4,1,0)</f>
        <v>0</v>
      </c>
      <c r="NQ11">
        <f>IF(KS11=5,1,0)</f>
        <v>0</v>
      </c>
      <c r="NR11">
        <f>IF(KS11=6,1,0)</f>
        <v>0</v>
      </c>
      <c r="NS11">
        <f>IF(KS11=7,1,0)</f>
        <v>0</v>
      </c>
      <c r="NT11">
        <f>SUM(NM11:NS11)</f>
        <v>1</v>
      </c>
      <c r="NU11" s="29">
        <f t="shared" si="70"/>
        <v>0</v>
      </c>
      <c r="NY11" s="29"/>
      <c r="OE11" s="155"/>
      <c r="OF11" s="155"/>
      <c r="OG11" s="155"/>
      <c r="OH11" s="155"/>
      <c r="OI11" s="155"/>
      <c r="OJ11" s="67"/>
      <c r="OK11" s="67"/>
      <c r="OL11" s="67"/>
      <c r="OM11" s="67"/>
      <c r="OO11" s="155"/>
      <c r="OP11" s="155"/>
      <c r="OQ11" s="155"/>
      <c r="OR11" s="155"/>
      <c r="OS11" s="155"/>
      <c r="OT11" s="67"/>
      <c r="OU11" s="67"/>
      <c r="OV11" s="67"/>
      <c r="OW11" s="67"/>
      <c r="OZ11" s="163">
        <f>AN11</f>
        <v>1</v>
      </c>
      <c r="PA11" s="166">
        <v>1</v>
      </c>
      <c r="PB11" s="166"/>
      <c r="PC11" s="166"/>
      <c r="PD11" s="210">
        <f t="shared" si="35"/>
        <v>0</v>
      </c>
      <c r="PE11" s="210"/>
      <c r="PF11" s="210">
        <f t="shared" si="36"/>
        <v>0</v>
      </c>
      <c r="PG11" s="210">
        <f t="shared" si="37"/>
        <v>390</v>
      </c>
      <c r="PH11" s="210">
        <f t="shared" si="37"/>
        <v>0</v>
      </c>
      <c r="PI11" s="210">
        <f t="shared" si="37"/>
        <v>0</v>
      </c>
      <c r="PJ11" s="210">
        <f t="shared" si="37"/>
        <v>0</v>
      </c>
      <c r="PK11" s="210">
        <f t="shared" si="37"/>
        <v>0</v>
      </c>
      <c r="PL11" s="210">
        <f t="shared" si="37"/>
        <v>0</v>
      </c>
      <c r="PO11" s="172">
        <f t="shared" ref="PO11" si="134">IF(FC11=1,AB11,0)</f>
        <v>0</v>
      </c>
      <c r="PP11" s="172">
        <f t="shared" ref="PP11" si="135">IF(FF11=1,AB11,0)</f>
        <v>0</v>
      </c>
      <c r="PQ11" s="172">
        <f t="shared" ref="PQ11" si="136">AB11-(PO11+PP11)</f>
        <v>0</v>
      </c>
    </row>
    <row r="12" spans="1:433" ht="16" x14ac:dyDescent="0.2">
      <c r="A12" s="19">
        <f t="shared" si="86"/>
        <v>4</v>
      </c>
      <c r="B12" s="237" t="s">
        <v>665</v>
      </c>
      <c r="C12" s="249">
        <v>2</v>
      </c>
      <c r="D12" s="17">
        <v>1</v>
      </c>
      <c r="E12" s="20">
        <v>1729</v>
      </c>
      <c r="F12" s="189">
        <v>1</v>
      </c>
      <c r="G12" s="20">
        <f t="shared" si="38"/>
        <v>1729</v>
      </c>
      <c r="H12" s="137">
        <f>F12/$D12</f>
        <v>1</v>
      </c>
      <c r="I12" s="137">
        <f>G12/$E12</f>
        <v>1</v>
      </c>
      <c r="J12" s="189">
        <v>1</v>
      </c>
      <c r="K12" s="20">
        <f>IF(J12=D12,E12,0)</f>
        <v>1729</v>
      </c>
      <c r="L12" s="137">
        <f>J12/$D12</f>
        <v>1</v>
      </c>
      <c r="M12" s="137">
        <f>K12/$E12</f>
        <v>1</v>
      </c>
      <c r="N12" s="189">
        <v>1</v>
      </c>
      <c r="O12" s="20">
        <f>IF(N12=D12,E12,0)</f>
        <v>1729</v>
      </c>
      <c r="P12" s="137">
        <f>N12/$D12</f>
        <v>1</v>
      </c>
      <c r="Q12" s="137">
        <f>O12/$E12</f>
        <v>1</v>
      </c>
      <c r="R12" s="20"/>
      <c r="S12" s="20">
        <f t="shared" ref="S12" si="137">IF(R12=D12,E12,0)</f>
        <v>0</v>
      </c>
      <c r="T12" s="137">
        <f>R12/$D12</f>
        <v>0</v>
      </c>
      <c r="U12" s="137">
        <f>S12/$E12</f>
        <v>0</v>
      </c>
      <c r="V12" s="20">
        <v>0</v>
      </c>
      <c r="W12" s="20">
        <f t="shared" ref="W12" si="138">IF(V12=D12,E12,0)</f>
        <v>0</v>
      </c>
      <c r="X12" s="137">
        <f>V12/$D12</f>
        <v>0</v>
      </c>
      <c r="Y12" s="137">
        <f>W12/$E12</f>
        <v>0</v>
      </c>
      <c r="Z12" s="20">
        <v>0</v>
      </c>
      <c r="AA12" s="20"/>
      <c r="AB12" s="17">
        <f>IF(AA12=D12,E12,0)</f>
        <v>0</v>
      </c>
      <c r="AC12" s="18">
        <f>AA12/$D12</f>
        <v>0</v>
      </c>
      <c r="AD12" s="18">
        <f>AB12/$E12</f>
        <v>0</v>
      </c>
      <c r="AE12" s="20"/>
      <c r="AF12" s="20">
        <f t="shared" ref="AF12" si="139">R12-V12</f>
        <v>0</v>
      </c>
      <c r="AG12" s="20"/>
      <c r="AH12" s="17"/>
      <c r="AI12" s="20">
        <v>0</v>
      </c>
      <c r="AJ12" s="20">
        <f t="shared" ref="AJ12" si="140">IF(AI12=D12,E12,0)</f>
        <v>0</v>
      </c>
      <c r="AK12" s="20"/>
      <c r="AL12" s="20">
        <v>0</v>
      </c>
      <c r="AM12" s="20">
        <v>0</v>
      </c>
      <c r="AN12" s="139">
        <v>1</v>
      </c>
      <c r="BB12" s="17">
        <f>IF(AN12=1,E12,0)</f>
        <v>1729</v>
      </c>
      <c r="BE12" s="17">
        <f>IF(AF12=1,S12,0)</f>
        <v>0</v>
      </c>
      <c r="BF12" s="17">
        <f>IF(AG12="A",S12,0)</f>
        <v>0</v>
      </c>
      <c r="BG12" s="17">
        <f>IF(AG12="B",S12,0)</f>
        <v>0</v>
      </c>
      <c r="BH12" s="17">
        <f>IF(AG12="C",S12,0)</f>
        <v>0</v>
      </c>
      <c r="BI12" s="17">
        <f>IF(AG12="D",S12,0)</f>
        <v>0</v>
      </c>
      <c r="BJ12" s="17">
        <f>IF(AG12="E",S12,0)</f>
        <v>0</v>
      </c>
      <c r="BK12" s="17">
        <f t="shared" ref="BK12" si="141">SUM(BF12:BJ12)</f>
        <v>0</v>
      </c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B12" s="17"/>
      <c r="CD12" s="17">
        <f t="shared" ref="CD12" si="142">BN12</f>
        <v>0</v>
      </c>
      <c r="CE12" s="17">
        <f>IF(BO12=1,$CD12,0)</f>
        <v>0</v>
      </c>
      <c r="CF12" s="17">
        <f t="shared" si="45"/>
        <v>0</v>
      </c>
      <c r="CG12" s="17">
        <f t="shared" si="45"/>
        <v>0</v>
      </c>
      <c r="CH12" s="17">
        <f t="shared" si="45"/>
        <v>0</v>
      </c>
      <c r="CI12" s="17">
        <f t="shared" si="45"/>
        <v>0</v>
      </c>
      <c r="CJ12" s="17">
        <f t="shared" si="45"/>
        <v>0</v>
      </c>
      <c r="CK12" s="17">
        <f t="shared" si="45"/>
        <v>0</v>
      </c>
      <c r="CL12" s="20">
        <f t="shared" si="45"/>
        <v>0</v>
      </c>
      <c r="CM12" s="20">
        <f t="shared" si="45"/>
        <v>0</v>
      </c>
      <c r="CN12" s="20">
        <f t="shared" si="45"/>
        <v>0</v>
      </c>
      <c r="CO12" s="20">
        <f t="shared" si="45"/>
        <v>0</v>
      </c>
      <c r="CP12" s="20">
        <f t="shared" si="45"/>
        <v>0</v>
      </c>
      <c r="DV12" s="20">
        <f>IF(CB12=1,G12,0)</f>
        <v>0</v>
      </c>
      <c r="DW12" s="20">
        <f>IF(CC12="A",G12,0)</f>
        <v>0</v>
      </c>
      <c r="DX12" s="20">
        <f>IF(CC12="B",G12,0)</f>
        <v>0</v>
      </c>
      <c r="DY12" s="20">
        <f>IF(CC12="C",G12,0)</f>
        <v>0</v>
      </c>
      <c r="DZ12" s="20">
        <f>IF(CC12="D",G12,0)</f>
        <v>0</v>
      </c>
      <c r="EA12" s="20">
        <f>IF(CC12="E",G12,0)</f>
        <v>0</v>
      </c>
      <c r="EB12" s="20">
        <f t="shared" ref="EB12" si="143">SUM(DW12:EA12)</f>
        <v>0</v>
      </c>
      <c r="ED12" s="46" t="s">
        <v>368</v>
      </c>
      <c r="EE12" s="46" t="s">
        <v>369</v>
      </c>
      <c r="EG12" s="57">
        <f>IF(AG12="C","C",IF(AG12="D","D",0))</f>
        <v>0</v>
      </c>
      <c r="EH12" s="57">
        <f>CC12</f>
        <v>0</v>
      </c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X12" s="80"/>
      <c r="FY12" s="17">
        <f>SUM(FZ12:GE12)</f>
        <v>0</v>
      </c>
      <c r="FZ12" s="17">
        <f t="shared" si="13"/>
        <v>0</v>
      </c>
      <c r="GA12" s="17">
        <f t="shared" si="13"/>
        <v>0</v>
      </c>
      <c r="GB12" s="17">
        <f t="shared" si="13"/>
        <v>0</v>
      </c>
      <c r="GC12" s="17">
        <f>DM12+CI12</f>
        <v>0</v>
      </c>
      <c r="GD12" s="17">
        <f>DO12+CK12</f>
        <v>0</v>
      </c>
      <c r="GE12" s="17">
        <f>DT12+CP12</f>
        <v>0</v>
      </c>
      <c r="GF12" s="67"/>
      <c r="GG12" s="17">
        <v>0</v>
      </c>
      <c r="GH12" s="17">
        <v>0</v>
      </c>
      <c r="GI12" s="67"/>
      <c r="GJ12" s="62">
        <f>FY12*GG12/1000000000</f>
        <v>0</v>
      </c>
      <c r="GK12" s="62">
        <f>FY12*GH12/1000000000</f>
        <v>0</v>
      </c>
      <c r="GO12" s="17">
        <f>D12-F12</f>
        <v>0</v>
      </c>
      <c r="GP12" s="17">
        <f>D12-J12</f>
        <v>0</v>
      </c>
      <c r="GQ12" s="17">
        <f>D12-N12</f>
        <v>0</v>
      </c>
      <c r="GR12" s="17">
        <f>D12-R12</f>
        <v>1</v>
      </c>
      <c r="GS12" s="17">
        <f>D12-V12</f>
        <v>1</v>
      </c>
      <c r="GT12" s="17">
        <f t="shared" ref="GT12" si="144">IF(SUM(GO12:GS12)=0,1,0)</f>
        <v>0</v>
      </c>
      <c r="GU12" s="101">
        <f t="shared" si="48"/>
        <v>43243</v>
      </c>
      <c r="GV12" s="17" t="str">
        <f t="shared" ref="GV12" si="145">IF(GO12&gt;0,$GO$6,IF(GP12&gt;0,$GP$6,IF(GQ12&gt;0,$GQ$6,IF(GR12&gt;0,$GR$6,IF(GS12&gt;0,$GS$6,IF(GT12&gt;0,$GT$6,0))))))</f>
        <v>Musyawarah</v>
      </c>
      <c r="GW12" s="17">
        <f t="shared" ref="GW12" si="146">IF(GV12=$GO$6,GO12,IF(GV12=$GP$6,GP12,IF(GV12=$GQ$6,GQ12,IF(GV12=$GR$6,GR12,IF(GV12=$GS$6,GS12,0)))))</f>
        <v>1</v>
      </c>
      <c r="GX12" s="66" t="str">
        <f t="shared" ref="GX12" si="147">GV12</f>
        <v>Musyawarah</v>
      </c>
      <c r="GY12" s="66">
        <f t="shared" ref="GY12" si="148">IF(GX12="DNP",SUM($GY$4:$GY$8),IF(GX12="Survey KJPP",SUM($GY$5:$GY$8),IF(GX12="Hasil Valuasi",SUM($GY$6:$GY$8),IF(GX12="Musyawarah",SUM($GY$7:$GY$8),IF(GX12="UGR",$GY$8,0)))))</f>
        <v>24</v>
      </c>
      <c r="GZ12" s="102">
        <f t="shared" ref="GZ12" si="149">IF(GW12=0,"SELESAI",GU12+GY12)</f>
        <v>43267</v>
      </c>
      <c r="HA12" s="83"/>
      <c r="HB12" s="83"/>
      <c r="HC12" s="17">
        <f>IF(BH12&gt;0,1,IF(BI12&gt;0,1,0))</f>
        <v>0</v>
      </c>
      <c r="HD12" s="17">
        <f>IF(CB12&gt;0,1,0)</f>
        <v>0</v>
      </c>
      <c r="HE12" s="17">
        <f t="shared" ref="HE12" si="150">HC12+HD12</f>
        <v>0</v>
      </c>
      <c r="HF12" s="17">
        <f t="shared" ref="HF12" si="151">FQ12</f>
        <v>0</v>
      </c>
      <c r="HG12" s="17">
        <f t="shared" ref="HG12" si="152">HE12-HF12</f>
        <v>0</v>
      </c>
      <c r="HH12" s="101" t="str">
        <f>IF(HG12=1,GU12+$HH$8,"TIDAK KONSINYASI")</f>
        <v>TIDAK KONSINYASI</v>
      </c>
      <c r="HI12" s="101">
        <f t="shared" ref="HI12" si="153">IF(GW12=0,"SELESAI",GZ12+$HI$8)</f>
        <v>43312</v>
      </c>
      <c r="HJ12" s="27"/>
      <c r="HK12" s="101">
        <f>MAX(GZ12,HH12,HI12)</f>
        <v>43312</v>
      </c>
      <c r="HL12" s="83"/>
      <c r="HM12" s="83"/>
      <c r="HN12" s="83"/>
      <c r="HO12" s="83"/>
      <c r="HP12" s="102">
        <f t="shared" ref="HP12" si="154">IF(HQ12=1,GZ12,0)</f>
        <v>0</v>
      </c>
      <c r="HQ12" s="66">
        <f t="shared" ref="HQ12" si="155">IF(IX12=0,IF(HT12=0,IF(IP12=0,IF(GV12="UGR",GS12,0),0),0),0)</f>
        <v>0</v>
      </c>
      <c r="HR12" s="66">
        <f>IF(HQ12=1,E12,0)</f>
        <v>0</v>
      </c>
      <c r="HS12" s="102">
        <f t="shared" ref="HS12" si="156">IF(HT12=1,HH12,0)</f>
        <v>0</v>
      </c>
      <c r="HT12" s="66">
        <f t="shared" ref="HT12" si="157">HG12</f>
        <v>0</v>
      </c>
      <c r="HU12" s="66">
        <f>IF(HT12=1,E12,0)</f>
        <v>0</v>
      </c>
      <c r="HV12" s="102">
        <f t="shared" ref="HV12" si="158">IF(HW12=1,GZ12,0)</f>
        <v>0</v>
      </c>
      <c r="HW12" s="66">
        <f>IF(JB12=0,IF(IX12=0,IF(HT12=0,IF(GV12="MUSYAWARAH",GR12,0),0),0),0)</f>
        <v>0</v>
      </c>
      <c r="HX12" s="66">
        <f>IF(HW12=1,E12,0)</f>
        <v>0</v>
      </c>
      <c r="HY12" s="102">
        <f>IF(HZ12=1,HV12+$HI$8,0)</f>
        <v>0</v>
      </c>
      <c r="HZ12" s="66">
        <f t="shared" ref="HZ12" si="159">HW12</f>
        <v>0</v>
      </c>
      <c r="IA12" s="66">
        <f>IF(HZ12=1,E12,0)</f>
        <v>0</v>
      </c>
      <c r="IB12" s="102">
        <f t="shared" ref="IB12" si="160">IF(IC12=1,$GU$3+SUM($GY$6:$GY$8),0)</f>
        <v>0</v>
      </c>
      <c r="IC12" s="66">
        <f>IF(GV12="Hasil Valuasi",GQ12,0)</f>
        <v>0</v>
      </c>
      <c r="ID12" s="66">
        <f>IF(IC12=1,E12,0)</f>
        <v>0</v>
      </c>
      <c r="IE12" s="102">
        <f>IF(IF12=1,IB12+$HI$8,0)</f>
        <v>0</v>
      </c>
      <c r="IF12" s="66">
        <f>IC12</f>
        <v>0</v>
      </c>
      <c r="IG12" s="66">
        <f>IF(IF12=1,E12,0)</f>
        <v>0</v>
      </c>
      <c r="IH12" s="102">
        <f t="shared" ref="IH12" si="161">IF(II12=1,$GU$3+SUM($GY$5:$GY$8),0)</f>
        <v>0</v>
      </c>
      <c r="II12" s="66">
        <f t="shared" ref="II12" si="162">IF(GV12="Survey KJPP",GP12,0)</f>
        <v>0</v>
      </c>
      <c r="IJ12" s="66">
        <f>IF(II12=1,E12,0)</f>
        <v>0</v>
      </c>
      <c r="IK12" s="102">
        <f>IF(IL12=1,IH12+$HI$8,0)</f>
        <v>0</v>
      </c>
      <c r="IL12" s="66">
        <f>II12</f>
        <v>0</v>
      </c>
      <c r="IM12" s="66">
        <f>IF(IL12=1,E12,0)</f>
        <v>0</v>
      </c>
      <c r="IN12" s="83"/>
      <c r="IO12" s="102">
        <f>IF(IP12=1,+$GU$3+$HH$8,0)</f>
        <v>0</v>
      </c>
      <c r="IP12" s="66">
        <f>IF(BG12&gt;0,1,0)</f>
        <v>0</v>
      </c>
      <c r="IQ12" s="66">
        <f>IF(IP12=1,E12,0)</f>
        <v>0</v>
      </c>
      <c r="IR12" s="83"/>
      <c r="IS12" s="102"/>
      <c r="IT12" s="66">
        <f t="shared" si="24"/>
        <v>0</v>
      </c>
      <c r="IU12" s="66">
        <f t="shared" si="24"/>
        <v>0</v>
      </c>
      <c r="IV12" s="83"/>
      <c r="IW12" s="102"/>
      <c r="IX12" s="66">
        <f t="shared" si="25"/>
        <v>0</v>
      </c>
      <c r="IY12" s="66">
        <f t="shared" si="25"/>
        <v>0</v>
      </c>
      <c r="IZ12" s="83"/>
      <c r="JA12" s="102"/>
      <c r="JB12" s="66">
        <f>AN12</f>
        <v>1</v>
      </c>
      <c r="JC12" s="66">
        <f>BB12</f>
        <v>1729</v>
      </c>
      <c r="JD12" s="83"/>
      <c r="JE12" s="102"/>
      <c r="JF12" s="66">
        <f t="shared" ref="JF12" si="163">IT12+HQ12+HT12+HZ12+IF12+IL12+IP12+IX12+JB12</f>
        <v>1</v>
      </c>
      <c r="JG12" s="66">
        <f>IU12+HR12+HU12+IA12+IG12+IM12+IQ12+IY12+JC12</f>
        <v>1729</v>
      </c>
      <c r="JH12" s="83"/>
      <c r="JI12" s="102"/>
      <c r="JJ12" s="66">
        <f t="shared" si="27"/>
        <v>0</v>
      </c>
      <c r="JK12" s="66">
        <f t="shared" si="27"/>
        <v>0</v>
      </c>
      <c r="JM12" s="102">
        <f t="shared" ref="JM12" si="164">MAX(IW12,IS12,IO12,IK12,IE12,HY12,HS12,HP12)</f>
        <v>0</v>
      </c>
      <c r="JO12" s="29">
        <f>SUM(JQ12:KB12)</f>
        <v>0</v>
      </c>
      <c r="JP12" s="122">
        <f>BN12+CR12</f>
        <v>0</v>
      </c>
      <c r="JQ12" s="122">
        <f t="shared" si="29"/>
        <v>0</v>
      </c>
      <c r="JR12" s="122">
        <f t="shared" si="29"/>
        <v>0</v>
      </c>
      <c r="JS12" s="122">
        <f t="shared" si="29"/>
        <v>0</v>
      </c>
      <c r="JT12" s="122">
        <f t="shared" si="29"/>
        <v>0</v>
      </c>
      <c r="JU12" s="122">
        <f t="shared" si="29"/>
        <v>0</v>
      </c>
      <c r="JV12" s="122">
        <f t="shared" si="29"/>
        <v>0</v>
      </c>
      <c r="JW12" s="122">
        <f t="shared" si="29"/>
        <v>0</v>
      </c>
      <c r="JX12" s="122">
        <f t="shared" si="29"/>
        <v>0</v>
      </c>
      <c r="JY12" s="122">
        <f t="shared" si="29"/>
        <v>0</v>
      </c>
      <c r="JZ12" s="122">
        <f t="shared" si="29"/>
        <v>0</v>
      </c>
      <c r="KA12" s="122">
        <f t="shared" si="29"/>
        <v>0</v>
      </c>
      <c r="KB12" s="122">
        <f t="shared" si="29"/>
        <v>0</v>
      </c>
      <c r="KD12" s="122">
        <f t="shared" si="69"/>
        <v>0</v>
      </c>
      <c r="KE12" s="122">
        <f t="shared" si="31"/>
        <v>0</v>
      </c>
      <c r="KF12" s="122">
        <f t="shared" si="32"/>
        <v>0</v>
      </c>
      <c r="KG12" s="122">
        <f t="shared" si="32"/>
        <v>0</v>
      </c>
      <c r="KH12" s="122">
        <f t="shared" si="32"/>
        <v>0</v>
      </c>
      <c r="KI12" s="122">
        <f t="shared" si="32"/>
        <v>0</v>
      </c>
      <c r="KJ12" s="122">
        <f t="shared" si="32"/>
        <v>0</v>
      </c>
      <c r="KK12" s="122">
        <f t="shared" si="32"/>
        <v>0</v>
      </c>
      <c r="KL12" s="122">
        <f t="shared" si="32"/>
        <v>0</v>
      </c>
      <c r="KM12" s="122">
        <f t="shared" si="32"/>
        <v>0</v>
      </c>
      <c r="KN12" s="123">
        <f t="shared" si="32"/>
        <v>0</v>
      </c>
      <c r="KO12" s="123">
        <f t="shared" si="32"/>
        <v>0</v>
      </c>
      <c r="KP12" s="123">
        <f t="shared" si="32"/>
        <v>0</v>
      </c>
      <c r="KQ12" s="123">
        <f t="shared" si="32"/>
        <v>0</v>
      </c>
      <c r="KR12" s="123">
        <f t="shared" si="32"/>
        <v>0</v>
      </c>
      <c r="KS12">
        <v>1</v>
      </c>
      <c r="KT12">
        <f>AN12</f>
        <v>1</v>
      </c>
      <c r="KU12" s="123"/>
      <c r="KV12" s="123"/>
      <c r="KW12" s="123"/>
      <c r="KX12" s="123"/>
      <c r="KY12" s="123"/>
      <c r="KZ12" s="123"/>
      <c r="LA12" s="123"/>
      <c r="LB12" s="123"/>
      <c r="LC12" s="123"/>
      <c r="LD12" s="123"/>
      <c r="LE12" s="123"/>
      <c r="LF12" s="123"/>
      <c r="LG12" s="123"/>
      <c r="LH12" s="123"/>
      <c r="LI12" s="123"/>
      <c r="LJ12" s="123"/>
      <c r="LK12" s="123"/>
      <c r="LL12" s="123"/>
      <c r="LM12" s="123"/>
      <c r="LN12" s="123"/>
      <c r="LO12" s="123"/>
      <c r="LP12" s="123"/>
      <c r="LQ12" s="123"/>
      <c r="LR12" s="123"/>
      <c r="LS12" s="123"/>
      <c r="LT12" s="123"/>
      <c r="LU12" s="123"/>
      <c r="LV12" s="123"/>
      <c r="LW12" s="123"/>
      <c r="LX12" s="123"/>
      <c r="LY12" s="123"/>
      <c r="LZ12" s="123"/>
      <c r="MA12" s="123"/>
      <c r="MB12" s="123"/>
      <c r="MC12" s="123"/>
      <c r="MD12" s="123"/>
      <c r="ME12" s="123"/>
      <c r="MF12" s="123"/>
      <c r="MG12" s="123"/>
      <c r="MH12" s="123"/>
      <c r="MI12" s="123"/>
      <c r="MJ12" s="123"/>
      <c r="MK12" s="123"/>
      <c r="ML12" s="123"/>
      <c r="MM12" s="123"/>
      <c r="MN12" s="123"/>
      <c r="MO12" s="123"/>
      <c r="MP12" s="123"/>
      <c r="MQ12" s="123"/>
      <c r="MR12" s="123"/>
      <c r="MS12" s="123"/>
      <c r="MT12" s="123"/>
      <c r="MU12" s="123"/>
      <c r="MV12" s="123"/>
      <c r="MW12" s="123"/>
      <c r="MX12" s="123"/>
      <c r="MY12" s="123"/>
      <c r="MZ12" s="123"/>
      <c r="NA12" s="123"/>
      <c r="NB12" s="123"/>
      <c r="NC12" s="123"/>
      <c r="ND12" s="123"/>
      <c r="NE12" s="123"/>
      <c r="NF12" s="123"/>
      <c r="NG12" s="123"/>
      <c r="NH12" s="123"/>
      <c r="NI12" s="123"/>
      <c r="NJ12" s="123"/>
      <c r="NK12" s="123"/>
      <c r="NM12">
        <f>IF(KS12=1,1,0)</f>
        <v>1</v>
      </c>
      <c r="NN12">
        <f>IF(KS12=2,1,0)</f>
        <v>0</v>
      </c>
      <c r="NO12">
        <f>IF(KS12=3,1,0)</f>
        <v>0</v>
      </c>
      <c r="NP12">
        <f>IF(KS12=4,1,0)</f>
        <v>0</v>
      </c>
      <c r="NQ12">
        <f>IF(KS12=5,1,0)</f>
        <v>0</v>
      </c>
      <c r="NR12">
        <f>IF(KS12=6,1,0)</f>
        <v>0</v>
      </c>
      <c r="NS12">
        <f>IF(KS12=7,1,0)</f>
        <v>0</v>
      </c>
      <c r="NT12">
        <f>SUM(NM12:NS12)</f>
        <v>1</v>
      </c>
      <c r="NU12" s="29">
        <f t="shared" ref="NU12" si="165">NT12-KT12</f>
        <v>0</v>
      </c>
      <c r="NY12" s="29"/>
      <c r="OE12" s="155"/>
      <c r="OF12" s="155"/>
      <c r="OG12" s="155"/>
      <c r="OH12" s="155"/>
      <c r="OI12" s="155"/>
      <c r="OJ12" s="67"/>
      <c r="OK12" s="67"/>
      <c r="OL12" s="67"/>
      <c r="OM12" s="67"/>
      <c r="OO12" s="155"/>
      <c r="OP12" s="155"/>
      <c r="OQ12" s="155"/>
      <c r="OR12" s="155"/>
      <c r="OS12" s="155"/>
      <c r="OT12" s="67"/>
      <c r="OU12" s="67"/>
      <c r="OV12" s="67"/>
      <c r="OW12" s="67"/>
      <c r="OZ12" s="163">
        <f>AN12</f>
        <v>1</v>
      </c>
      <c r="PA12" s="166">
        <v>1</v>
      </c>
      <c r="PB12" s="166"/>
      <c r="PC12" s="166"/>
      <c r="PD12" s="210">
        <f t="shared" si="35"/>
        <v>0</v>
      </c>
      <c r="PE12" s="210"/>
      <c r="PF12" s="210">
        <f t="shared" si="36"/>
        <v>0</v>
      </c>
      <c r="PG12" s="210">
        <f t="shared" si="37"/>
        <v>1729</v>
      </c>
      <c r="PH12" s="210">
        <f t="shared" si="37"/>
        <v>0</v>
      </c>
      <c r="PI12" s="210">
        <f t="shared" si="37"/>
        <v>0</v>
      </c>
      <c r="PJ12" s="210">
        <f t="shared" si="37"/>
        <v>0</v>
      </c>
      <c r="PK12" s="210">
        <f t="shared" si="37"/>
        <v>0</v>
      </c>
      <c r="PL12" s="210">
        <f t="shared" si="37"/>
        <v>0</v>
      </c>
      <c r="PO12" s="172">
        <f t="shared" si="83"/>
        <v>0</v>
      </c>
      <c r="PP12" s="172">
        <f t="shared" si="84"/>
        <v>0</v>
      </c>
      <c r="PQ12" s="172">
        <f t="shared" si="85"/>
        <v>0</v>
      </c>
    </row>
    <row r="13" spans="1:433" ht="16" x14ac:dyDescent="0.2">
      <c r="A13" s="21"/>
      <c r="B13" s="22" t="s">
        <v>18</v>
      </c>
      <c r="C13" s="22"/>
      <c r="D13" s="23">
        <f>SUM(D9:D12)</f>
        <v>4</v>
      </c>
      <c r="E13" s="23">
        <f>SUM(E9:E12)</f>
        <v>2688</v>
      </c>
      <c r="F13" s="23">
        <f>SUM(F9:F12)</f>
        <v>4</v>
      </c>
      <c r="G13" s="23">
        <f>SUM(G9:G12)</f>
        <v>2688</v>
      </c>
      <c r="H13" s="24">
        <f t="shared" si="2"/>
        <v>1</v>
      </c>
      <c r="I13" s="24">
        <f t="shared" si="3"/>
        <v>1</v>
      </c>
      <c r="J13" s="23">
        <f>SUM(J9:J12)</f>
        <v>4</v>
      </c>
      <c r="K13" s="23">
        <f>SUM(K9:K12)</f>
        <v>2688</v>
      </c>
      <c r="L13" s="24">
        <f>J13/$D13</f>
        <v>1</v>
      </c>
      <c r="M13" s="24">
        <f>K13/$E13</f>
        <v>1</v>
      </c>
      <c r="N13" s="23">
        <f>SUM(N9:N12)</f>
        <v>4</v>
      </c>
      <c r="O13" s="23">
        <f>SUM(O9:O12)</f>
        <v>2688</v>
      </c>
      <c r="P13" s="24">
        <f>N13/$D13</f>
        <v>1</v>
      </c>
      <c r="Q13" s="24">
        <f>O13/$E13</f>
        <v>1</v>
      </c>
      <c r="R13" s="23">
        <f>SUM(R9:R12)</f>
        <v>2</v>
      </c>
      <c r="S13" s="23">
        <f>SUM(S9:S12)</f>
        <v>569</v>
      </c>
      <c r="T13" s="24">
        <f t="shared" si="4"/>
        <v>0.5</v>
      </c>
      <c r="U13" s="24">
        <f t="shared" si="5"/>
        <v>0.21168154761904762</v>
      </c>
      <c r="V13" s="23">
        <f>SUM(V9:V12)</f>
        <v>0</v>
      </c>
      <c r="W13" s="23">
        <f>SUM(W9:W12)</f>
        <v>0</v>
      </c>
      <c r="X13" s="24">
        <f t="shared" si="6"/>
        <v>0</v>
      </c>
      <c r="Y13" s="24">
        <f t="shared" si="7"/>
        <v>0</v>
      </c>
      <c r="Z13" s="23">
        <f>SUM(Z9:Z12)</f>
        <v>0</v>
      </c>
      <c r="AA13" s="23">
        <f>SUM(AA9:AA12)</f>
        <v>2</v>
      </c>
      <c r="AB13" s="23">
        <f>SUM(AB9:AB12)</f>
        <v>569</v>
      </c>
      <c r="AC13" s="24">
        <f t="shared" ref="AC13" si="166">AA13/$D13</f>
        <v>0.5</v>
      </c>
      <c r="AD13" s="24">
        <f t="shared" ref="AD13" si="167">AB13/$E13</f>
        <v>0.21168154761904762</v>
      </c>
      <c r="AE13" s="39">
        <f>SUM(AE9:AE12)</f>
        <v>4.7843770000000001</v>
      </c>
      <c r="AF13" s="23">
        <f>SUM(AF9:AF12)</f>
        <v>2</v>
      </c>
      <c r="AG13" s="23"/>
      <c r="AH13" s="23"/>
      <c r="AI13" s="23">
        <f>SUM(AI9:AI12)</f>
        <v>0</v>
      </c>
      <c r="AJ13" s="23">
        <f>SUM(AJ9:AJ12)</f>
        <v>0</v>
      </c>
      <c r="AK13" s="23"/>
      <c r="AL13" s="23">
        <f>SUM(AL9:AL12)</f>
        <v>0</v>
      </c>
      <c r="AM13" s="23">
        <f>SUM(AM9:AM12)</f>
        <v>0</v>
      </c>
      <c r="AN13" s="23">
        <f>SUM(AN9:AN12)</f>
        <v>2</v>
      </c>
      <c r="BB13" s="23">
        <f>SUM(BB9:BB12)</f>
        <v>2119</v>
      </c>
      <c r="BE13" s="23">
        <f t="shared" ref="BE13:BK13" si="168">SUM(BE9:BE12)</f>
        <v>569</v>
      </c>
      <c r="BF13" s="23">
        <f t="shared" si="168"/>
        <v>0</v>
      </c>
      <c r="BG13" s="23">
        <f t="shared" si="168"/>
        <v>0</v>
      </c>
      <c r="BH13" s="23">
        <f t="shared" si="168"/>
        <v>569</v>
      </c>
      <c r="BI13" s="23">
        <f t="shared" si="168"/>
        <v>0</v>
      </c>
      <c r="BJ13" s="23">
        <f t="shared" si="168"/>
        <v>0</v>
      </c>
      <c r="BK13" s="23">
        <f t="shared" si="168"/>
        <v>569</v>
      </c>
      <c r="BN13" s="23">
        <f t="shared" ref="BN13:BZ13" si="169">SUM(BN9:BN12)</f>
        <v>0</v>
      </c>
      <c r="BO13" s="23">
        <f t="shared" si="169"/>
        <v>0</v>
      </c>
      <c r="BP13" s="23">
        <f t="shared" si="169"/>
        <v>0</v>
      </c>
      <c r="BQ13" s="23">
        <f t="shared" si="169"/>
        <v>0</v>
      </c>
      <c r="BR13" s="23">
        <f t="shared" si="169"/>
        <v>0</v>
      </c>
      <c r="BS13" s="23">
        <f t="shared" si="169"/>
        <v>0</v>
      </c>
      <c r="BT13" s="23">
        <f t="shared" si="169"/>
        <v>0</v>
      </c>
      <c r="BU13" s="23">
        <f t="shared" si="169"/>
        <v>0</v>
      </c>
      <c r="BV13" s="23">
        <f t="shared" si="169"/>
        <v>0</v>
      </c>
      <c r="BW13" s="23">
        <f t="shared" si="169"/>
        <v>0</v>
      </c>
      <c r="BX13" s="23">
        <f t="shared" si="169"/>
        <v>0</v>
      </c>
      <c r="BY13" s="23">
        <f t="shared" si="169"/>
        <v>0</v>
      </c>
      <c r="BZ13" s="23">
        <f t="shared" si="169"/>
        <v>0</v>
      </c>
      <c r="CB13" s="23">
        <f>SUM(CB9:CB12)</f>
        <v>0</v>
      </c>
      <c r="CD13" s="23">
        <f t="shared" ref="CD13:CP13" si="170">SUM(CD9:CD12)</f>
        <v>0</v>
      </c>
      <c r="CE13" s="23">
        <f t="shared" si="170"/>
        <v>0</v>
      </c>
      <c r="CF13" s="23">
        <f t="shared" si="170"/>
        <v>0</v>
      </c>
      <c r="CG13" s="23">
        <f t="shared" si="170"/>
        <v>0</v>
      </c>
      <c r="CH13" s="23">
        <f t="shared" si="170"/>
        <v>0</v>
      </c>
      <c r="CI13" s="23">
        <f t="shared" si="170"/>
        <v>0</v>
      </c>
      <c r="CJ13" s="23">
        <f t="shared" si="170"/>
        <v>0</v>
      </c>
      <c r="CK13" s="23">
        <f t="shared" si="170"/>
        <v>0</v>
      </c>
      <c r="CL13" s="23">
        <f t="shared" si="170"/>
        <v>0</v>
      </c>
      <c r="CM13" s="23">
        <f t="shared" si="170"/>
        <v>0</v>
      </c>
      <c r="CN13" s="23">
        <f t="shared" si="170"/>
        <v>0</v>
      </c>
      <c r="CO13" s="23">
        <f t="shared" si="170"/>
        <v>0</v>
      </c>
      <c r="CP13" s="23">
        <f t="shared" si="170"/>
        <v>0</v>
      </c>
      <c r="DV13" s="23">
        <f t="shared" ref="DV13:EB13" si="171">SUM(DV9:DV12)</f>
        <v>0</v>
      </c>
      <c r="DW13" s="23">
        <f t="shared" si="171"/>
        <v>0</v>
      </c>
      <c r="DX13" s="23">
        <f t="shared" si="171"/>
        <v>0</v>
      </c>
      <c r="DY13" s="23">
        <f t="shared" si="171"/>
        <v>0</v>
      </c>
      <c r="DZ13" s="23">
        <f t="shared" si="171"/>
        <v>0</v>
      </c>
      <c r="EA13" s="23">
        <f t="shared" si="171"/>
        <v>0</v>
      </c>
      <c r="EB13" s="23">
        <f t="shared" si="171"/>
        <v>0</v>
      </c>
      <c r="ED13" s="55" t="s">
        <v>368</v>
      </c>
      <c r="EE13" s="55" t="s">
        <v>370</v>
      </c>
      <c r="EF13" s="56"/>
      <c r="EG13" s="58">
        <f>COUNTIF(EG9:EG12,"&gt;&lt;0")</f>
        <v>2</v>
      </c>
      <c r="EH13" s="58">
        <f>COUNTIF(EH9:EH12,"&gt;&lt;0")</f>
        <v>0</v>
      </c>
      <c r="EI13" s="23">
        <f t="shared" ref="EI13:FE13" si="172">SUM(EI9:EI12)</f>
        <v>2</v>
      </c>
      <c r="EJ13" s="23">
        <f t="shared" si="172"/>
        <v>2</v>
      </c>
      <c r="EK13" s="23">
        <f t="shared" si="172"/>
        <v>0</v>
      </c>
      <c r="EL13" s="23">
        <f t="shared" si="172"/>
        <v>0</v>
      </c>
      <c r="EM13" s="23">
        <f t="shared" si="172"/>
        <v>0</v>
      </c>
      <c r="EN13" s="23">
        <f t="shared" si="172"/>
        <v>0</v>
      </c>
      <c r="EO13" s="23">
        <f t="shared" si="172"/>
        <v>0</v>
      </c>
      <c r="EP13" s="23">
        <f t="shared" si="172"/>
        <v>0</v>
      </c>
      <c r="EQ13" s="23">
        <f t="shared" si="172"/>
        <v>2</v>
      </c>
      <c r="ER13" s="23">
        <f t="shared" si="172"/>
        <v>2</v>
      </c>
      <c r="ES13" s="23">
        <f t="shared" si="172"/>
        <v>2</v>
      </c>
      <c r="ET13" s="23">
        <f t="shared" si="172"/>
        <v>0</v>
      </c>
      <c r="EU13" s="23">
        <f t="shared" si="172"/>
        <v>0</v>
      </c>
      <c r="EV13" s="23">
        <f t="shared" si="172"/>
        <v>2</v>
      </c>
      <c r="EW13" s="23">
        <f t="shared" si="172"/>
        <v>0</v>
      </c>
      <c r="EX13" s="23">
        <f t="shared" si="172"/>
        <v>0</v>
      </c>
      <c r="EY13" s="23">
        <f t="shared" si="172"/>
        <v>0</v>
      </c>
      <c r="EZ13" s="23">
        <f t="shared" si="172"/>
        <v>2</v>
      </c>
      <c r="FA13" s="23">
        <f t="shared" si="172"/>
        <v>2</v>
      </c>
      <c r="FB13" s="23">
        <f t="shared" si="172"/>
        <v>2</v>
      </c>
      <c r="FC13" s="23">
        <f t="shared" si="172"/>
        <v>0</v>
      </c>
      <c r="FD13" s="23">
        <f t="shared" si="172"/>
        <v>0</v>
      </c>
      <c r="FE13" s="23">
        <f t="shared" si="172"/>
        <v>2</v>
      </c>
      <c r="FF13" s="23">
        <f t="shared" ref="FF13" si="173">SUM(FF9:FF12)</f>
        <v>2</v>
      </c>
      <c r="FH13" s="23">
        <f t="shared" ref="FH13:FV13" si="174">SUM(FH9:FH12)</f>
        <v>0</v>
      </c>
      <c r="FI13" s="23">
        <f t="shared" si="174"/>
        <v>0</v>
      </c>
      <c r="FJ13" s="23">
        <f t="shared" si="174"/>
        <v>0</v>
      </c>
      <c r="FK13" s="23">
        <f t="shared" si="174"/>
        <v>0</v>
      </c>
      <c r="FL13" s="23">
        <f t="shared" si="174"/>
        <v>0</v>
      </c>
      <c r="FM13" s="23">
        <f t="shared" si="174"/>
        <v>0</v>
      </c>
      <c r="FN13" s="23">
        <f t="shared" si="174"/>
        <v>0</v>
      </c>
      <c r="FO13" s="23">
        <f t="shared" si="174"/>
        <v>0</v>
      </c>
      <c r="FP13" s="23">
        <f t="shared" si="174"/>
        <v>0</v>
      </c>
      <c r="FQ13" s="23">
        <f t="shared" si="174"/>
        <v>0</v>
      </c>
      <c r="FR13" s="23">
        <f t="shared" si="174"/>
        <v>0</v>
      </c>
      <c r="FS13" s="23">
        <f t="shared" si="174"/>
        <v>0</v>
      </c>
      <c r="FT13" s="23">
        <f t="shared" si="174"/>
        <v>0</v>
      </c>
      <c r="FU13" s="23">
        <f t="shared" si="174"/>
        <v>0</v>
      </c>
      <c r="FV13" s="23">
        <f t="shared" si="174"/>
        <v>0</v>
      </c>
      <c r="FX13" s="23">
        <f t="shared" ref="FX13:GE13" si="175">SUM(FX9:FX12)</f>
        <v>0</v>
      </c>
      <c r="FY13" s="23">
        <f t="shared" si="175"/>
        <v>0</v>
      </c>
      <c r="FZ13" s="23">
        <f t="shared" si="175"/>
        <v>0</v>
      </c>
      <c r="GA13" s="23">
        <f t="shared" si="175"/>
        <v>0</v>
      </c>
      <c r="GB13" s="23">
        <f t="shared" si="175"/>
        <v>0</v>
      </c>
      <c r="GC13" s="23">
        <f t="shared" si="175"/>
        <v>0</v>
      </c>
      <c r="GD13" s="23">
        <f t="shared" si="175"/>
        <v>0</v>
      </c>
      <c r="GE13" s="23">
        <f t="shared" si="175"/>
        <v>0</v>
      </c>
      <c r="GG13" s="23">
        <f>SUM(GG9:GG12)</f>
        <v>0</v>
      </c>
      <c r="GH13" s="23">
        <f>SUM(GH9:GH12)</f>
        <v>0</v>
      </c>
      <c r="GJ13" s="39">
        <f>SUM(GJ9:GJ12)</f>
        <v>0</v>
      </c>
      <c r="GK13" s="39">
        <f>SUM(GK9:GK12)</f>
        <v>0</v>
      </c>
      <c r="GO13" s="103">
        <f t="shared" ref="GO13:GT13" si="176">SUM(GO9:GO12)</f>
        <v>0</v>
      </c>
      <c r="GP13" s="103">
        <f t="shared" si="176"/>
        <v>0</v>
      </c>
      <c r="GQ13" s="103">
        <f t="shared" si="176"/>
        <v>0</v>
      </c>
      <c r="GR13" s="103">
        <f t="shared" si="176"/>
        <v>2</v>
      </c>
      <c r="GS13" s="103">
        <f t="shared" si="176"/>
        <v>4</v>
      </c>
      <c r="GT13" s="103">
        <f t="shared" si="176"/>
        <v>0</v>
      </c>
      <c r="GU13" s="103">
        <f>COUNTA(GU9:GU12)</f>
        <v>4</v>
      </c>
      <c r="GV13" s="103">
        <f>COUNTA(GV9:GV12)</f>
        <v>4</v>
      </c>
      <c r="GW13" s="103">
        <f>SUM(GW9:GW12)</f>
        <v>4</v>
      </c>
      <c r="GX13" s="103">
        <f>COUNTA(GX9:GX12)</f>
        <v>4</v>
      </c>
      <c r="GY13" s="103"/>
      <c r="GZ13" s="103">
        <f>COUNTA(GZ9:GZ12)</f>
        <v>4</v>
      </c>
      <c r="HA13" s="83"/>
      <c r="HB13" s="83"/>
      <c r="HC13" s="103">
        <f>SUM(HC9:HC12)</f>
        <v>2</v>
      </c>
      <c r="HD13" s="103">
        <f>SUM(HD9:HD12)</f>
        <v>0</v>
      </c>
      <c r="HE13" s="103">
        <f>SUM(HE9:HE12)</f>
        <v>2</v>
      </c>
      <c r="HF13" s="103">
        <f>SUM(HF9:HF12)</f>
        <v>0</v>
      </c>
      <c r="HG13" s="103">
        <f>SUM(HG9:HG12)</f>
        <v>2</v>
      </c>
      <c r="HH13" s="103">
        <f>COUNTA(HH9:HH12)</f>
        <v>4</v>
      </c>
      <c r="HI13" s="103">
        <f>COUNTA(HI9:HI12)</f>
        <v>4</v>
      </c>
      <c r="HJ13" s="83"/>
      <c r="HK13" s="103">
        <f>COUNTA(HK9:HK12)</f>
        <v>4</v>
      </c>
      <c r="HL13" s="83"/>
      <c r="HM13" s="83"/>
      <c r="HN13" s="83"/>
      <c r="HO13" s="83"/>
      <c r="HP13" s="104">
        <f>HP15</f>
        <v>43257</v>
      </c>
      <c r="HQ13" s="103">
        <f>SUM(HQ9:HQ12)</f>
        <v>0</v>
      </c>
      <c r="HR13" s="103">
        <f>SUM(HR9:HR12)</f>
        <v>0</v>
      </c>
      <c r="HS13" s="104">
        <f>HS15</f>
        <v>43288</v>
      </c>
      <c r="HT13" s="103">
        <f>SUM(HT9:HT12)</f>
        <v>2</v>
      </c>
      <c r="HU13" s="103">
        <f>SUM(HU9:HU12)</f>
        <v>569</v>
      </c>
      <c r="HV13" s="104">
        <f>HV15</f>
        <v>43267</v>
      </c>
      <c r="HW13" s="103">
        <f>SUM(HW9:HW12)</f>
        <v>0</v>
      </c>
      <c r="HX13" s="103">
        <f>SUM(HX9:HX12)</f>
        <v>0</v>
      </c>
      <c r="HY13" s="104">
        <f>HY15</f>
        <v>43312</v>
      </c>
      <c r="HZ13" s="103">
        <f>SUM(HZ9:HZ12)</f>
        <v>0</v>
      </c>
      <c r="IA13" s="103">
        <f>SUM(IA9:IA12)</f>
        <v>0</v>
      </c>
      <c r="IB13" s="104">
        <f>IB15</f>
        <v>43277</v>
      </c>
      <c r="IC13" s="103">
        <f>SUM(IC9:IC12)</f>
        <v>0</v>
      </c>
      <c r="ID13" s="103">
        <f>SUM(ID9:ID12)</f>
        <v>0</v>
      </c>
      <c r="IE13" s="104">
        <f>IE15</f>
        <v>43322</v>
      </c>
      <c r="IF13" s="103">
        <f>SUM(IF9:IF12)</f>
        <v>0</v>
      </c>
      <c r="IG13" s="103">
        <f>SUM(IG9:IG12)</f>
        <v>0</v>
      </c>
      <c r="IH13" s="104">
        <f>IH15</f>
        <v>43297</v>
      </c>
      <c r="II13" s="103">
        <f>SUM(II9:II12)</f>
        <v>0</v>
      </c>
      <c r="IJ13" s="103">
        <f>SUM(IJ9:IJ12)</f>
        <v>0</v>
      </c>
      <c r="IK13" s="104">
        <f>IK15</f>
        <v>43342</v>
      </c>
      <c r="IL13" s="103">
        <f>SUM(IL9:IL12)</f>
        <v>0</v>
      </c>
      <c r="IM13" s="103">
        <f>SUM(IM9:IM12)</f>
        <v>0</v>
      </c>
      <c r="IN13" s="83"/>
      <c r="IO13" s="104">
        <f>IO15</f>
        <v>43288</v>
      </c>
      <c r="IP13" s="103">
        <f>SUM(IP9:IP12)</f>
        <v>0</v>
      </c>
      <c r="IQ13" s="103">
        <f>SUM(IQ9:IQ12)</f>
        <v>0</v>
      </c>
      <c r="IR13" s="83"/>
      <c r="IS13" s="104">
        <f>$D$3</f>
        <v>44201</v>
      </c>
      <c r="IT13" s="103">
        <f>SUM(IT9:IT12)</f>
        <v>0</v>
      </c>
      <c r="IU13" s="103">
        <f>SUM(IU9:IU12)</f>
        <v>0</v>
      </c>
      <c r="IV13" s="83"/>
      <c r="IW13" s="104">
        <f>$D$3</f>
        <v>44201</v>
      </c>
      <c r="IX13" s="103">
        <f>SUM(IX9:IX12)</f>
        <v>2</v>
      </c>
      <c r="IY13" s="103">
        <f>SUM(IY9:IY12)</f>
        <v>569</v>
      </c>
      <c r="IZ13" s="83"/>
      <c r="JA13" s="103"/>
      <c r="JB13" s="103">
        <f>SUM(JB9:JB12)</f>
        <v>2</v>
      </c>
      <c r="JC13" s="103">
        <f>SUM(JC9:JC12)</f>
        <v>2119</v>
      </c>
      <c r="JD13" s="83"/>
      <c r="JE13" s="103"/>
      <c r="JF13" s="103">
        <f>SUM(JF9:JF12)</f>
        <v>6</v>
      </c>
      <c r="JG13" s="103">
        <f>SUM(JG9:JG12)</f>
        <v>3257</v>
      </c>
      <c r="JH13" s="83"/>
      <c r="JI13" s="103"/>
      <c r="JJ13" s="103">
        <f>SUM(JJ9:JJ12)</f>
        <v>2</v>
      </c>
      <c r="JK13" s="103">
        <f>SUM(JK9:JK12)</f>
        <v>569</v>
      </c>
      <c r="JM13" s="104">
        <f>MAX(JM9:JM12)</f>
        <v>43288</v>
      </c>
      <c r="JO13" s="29">
        <f>MAX(JO9:JO12)</f>
        <v>0</v>
      </c>
      <c r="JP13" s="125">
        <f t="shared" ref="JP13:KB13" si="177">SUM(JP9:JP12)</f>
        <v>0</v>
      </c>
      <c r="JQ13" s="125">
        <f t="shared" si="177"/>
        <v>0</v>
      </c>
      <c r="JR13" s="125">
        <f t="shared" si="177"/>
        <v>0</v>
      </c>
      <c r="JS13" s="125">
        <f t="shared" si="177"/>
        <v>0</v>
      </c>
      <c r="JT13" s="125">
        <f t="shared" si="177"/>
        <v>0</v>
      </c>
      <c r="JU13" s="125">
        <f t="shared" si="177"/>
        <v>0</v>
      </c>
      <c r="JV13" s="125">
        <f t="shared" si="177"/>
        <v>0</v>
      </c>
      <c r="JW13" s="125">
        <f t="shared" si="177"/>
        <v>0</v>
      </c>
      <c r="JX13" s="125">
        <f t="shared" si="177"/>
        <v>0</v>
      </c>
      <c r="JY13" s="125">
        <f t="shared" si="177"/>
        <v>0</v>
      </c>
      <c r="JZ13" s="125">
        <f t="shared" si="177"/>
        <v>0</v>
      </c>
      <c r="KA13" s="125">
        <f t="shared" si="177"/>
        <v>0</v>
      </c>
      <c r="KB13" s="125">
        <f t="shared" si="177"/>
        <v>0</v>
      </c>
      <c r="KD13" s="125">
        <f t="shared" ref="KD13:KR13" si="178">SUM(KD9:KD12)</f>
        <v>0</v>
      </c>
      <c r="KE13" s="125">
        <f t="shared" si="178"/>
        <v>0</v>
      </c>
      <c r="KF13" s="125">
        <f t="shared" si="178"/>
        <v>0</v>
      </c>
      <c r="KG13" s="125">
        <f t="shared" si="178"/>
        <v>0</v>
      </c>
      <c r="KH13" s="125">
        <f t="shared" si="178"/>
        <v>0</v>
      </c>
      <c r="KI13" s="125">
        <f t="shared" si="178"/>
        <v>0</v>
      </c>
      <c r="KJ13" s="125">
        <f t="shared" si="178"/>
        <v>0</v>
      </c>
      <c r="KK13" s="125">
        <f t="shared" si="178"/>
        <v>0</v>
      </c>
      <c r="KL13" s="125">
        <f t="shared" si="178"/>
        <v>0</v>
      </c>
      <c r="KM13" s="125">
        <f t="shared" si="178"/>
        <v>0</v>
      </c>
      <c r="KN13" s="125">
        <f t="shared" si="178"/>
        <v>0</v>
      </c>
      <c r="KO13" s="125">
        <f t="shared" si="178"/>
        <v>0</v>
      </c>
      <c r="KP13" s="125">
        <f t="shared" si="178"/>
        <v>0</v>
      </c>
      <c r="KQ13" s="125">
        <f t="shared" si="178"/>
        <v>0</v>
      </c>
      <c r="KR13" s="125">
        <f t="shared" si="178"/>
        <v>0</v>
      </c>
      <c r="KT13" s="125">
        <f t="shared" ref="KT13:LY13" si="179">SUM(KT9:KT12)</f>
        <v>2</v>
      </c>
      <c r="KU13" s="125">
        <f t="shared" si="179"/>
        <v>0</v>
      </c>
      <c r="KV13" s="125">
        <f t="shared" si="179"/>
        <v>0</v>
      </c>
      <c r="KW13" s="125">
        <f t="shared" si="179"/>
        <v>0</v>
      </c>
      <c r="KX13" s="125">
        <f t="shared" si="179"/>
        <v>0</v>
      </c>
      <c r="KY13" s="125">
        <f t="shared" si="179"/>
        <v>0</v>
      </c>
      <c r="KZ13" s="125">
        <f t="shared" si="179"/>
        <v>0</v>
      </c>
      <c r="LA13" s="125">
        <f t="shared" si="179"/>
        <v>0</v>
      </c>
      <c r="LB13" s="125">
        <f t="shared" si="179"/>
        <v>0</v>
      </c>
      <c r="LC13" s="125">
        <f t="shared" si="179"/>
        <v>0</v>
      </c>
      <c r="LD13" s="125">
        <f t="shared" si="179"/>
        <v>0</v>
      </c>
      <c r="LE13" s="125">
        <f t="shared" si="179"/>
        <v>0</v>
      </c>
      <c r="LF13" s="125">
        <f t="shared" si="179"/>
        <v>0</v>
      </c>
      <c r="LG13" s="125">
        <f t="shared" si="179"/>
        <v>0</v>
      </c>
      <c r="LH13" s="125">
        <f t="shared" si="179"/>
        <v>0</v>
      </c>
      <c r="LI13" s="125">
        <f t="shared" si="179"/>
        <v>0</v>
      </c>
      <c r="LJ13" s="125">
        <f t="shared" si="179"/>
        <v>0</v>
      </c>
      <c r="LK13" s="125">
        <f t="shared" si="179"/>
        <v>0</v>
      </c>
      <c r="LL13" s="125">
        <f t="shared" si="179"/>
        <v>0</v>
      </c>
      <c r="LM13" s="125">
        <f t="shared" si="179"/>
        <v>1</v>
      </c>
      <c r="LN13" s="125">
        <f t="shared" si="179"/>
        <v>1</v>
      </c>
      <c r="LO13" s="125">
        <f t="shared" si="179"/>
        <v>0</v>
      </c>
      <c r="LP13" s="125">
        <f t="shared" si="179"/>
        <v>0</v>
      </c>
      <c r="LQ13" s="125">
        <f t="shared" si="179"/>
        <v>0</v>
      </c>
      <c r="LR13" s="125">
        <f t="shared" si="179"/>
        <v>0</v>
      </c>
      <c r="LS13" s="125">
        <f t="shared" si="179"/>
        <v>0</v>
      </c>
      <c r="LT13" s="125">
        <f t="shared" si="179"/>
        <v>0</v>
      </c>
      <c r="LU13" s="125">
        <f t="shared" si="179"/>
        <v>0</v>
      </c>
      <c r="LV13" s="125">
        <f t="shared" si="179"/>
        <v>0</v>
      </c>
      <c r="LW13" s="125">
        <f t="shared" si="179"/>
        <v>0</v>
      </c>
      <c r="LX13" s="125">
        <f t="shared" si="179"/>
        <v>0</v>
      </c>
      <c r="LY13" s="125">
        <f t="shared" si="179"/>
        <v>0</v>
      </c>
      <c r="LZ13" s="125">
        <f t="shared" ref="LZ13:MX13" si="180">SUM(LZ9:LZ12)</f>
        <v>0</v>
      </c>
      <c r="MA13" s="125">
        <f t="shared" si="180"/>
        <v>0</v>
      </c>
      <c r="MB13" s="125">
        <f t="shared" si="180"/>
        <v>0</v>
      </c>
      <c r="MC13" s="125">
        <f t="shared" si="180"/>
        <v>0</v>
      </c>
      <c r="MD13" s="125">
        <f t="shared" si="180"/>
        <v>0</v>
      </c>
      <c r="ME13" s="125">
        <f t="shared" si="180"/>
        <v>0</v>
      </c>
      <c r="MF13" s="125">
        <f t="shared" si="180"/>
        <v>0</v>
      </c>
      <c r="MG13" s="125">
        <f t="shared" si="180"/>
        <v>0</v>
      </c>
      <c r="MH13" s="125">
        <f t="shared" si="180"/>
        <v>0</v>
      </c>
      <c r="MI13" s="125">
        <f t="shared" si="180"/>
        <v>0</v>
      </c>
      <c r="MJ13" s="125">
        <f t="shared" si="180"/>
        <v>0</v>
      </c>
      <c r="MK13" s="125">
        <f t="shared" si="180"/>
        <v>0</v>
      </c>
      <c r="ML13" s="125">
        <f t="shared" si="180"/>
        <v>0</v>
      </c>
      <c r="MM13" s="125">
        <f t="shared" si="180"/>
        <v>0</v>
      </c>
      <c r="MN13" s="125">
        <f t="shared" si="180"/>
        <v>0</v>
      </c>
      <c r="MO13" s="125">
        <f t="shared" si="180"/>
        <v>0</v>
      </c>
      <c r="MP13" s="125">
        <f t="shared" si="180"/>
        <v>0</v>
      </c>
      <c r="MQ13" s="125">
        <f t="shared" si="180"/>
        <v>0</v>
      </c>
      <c r="MR13" s="125">
        <f t="shared" si="180"/>
        <v>0</v>
      </c>
      <c r="MS13" s="125">
        <f t="shared" si="180"/>
        <v>0</v>
      </c>
      <c r="MT13" s="125">
        <f t="shared" si="180"/>
        <v>0</v>
      </c>
      <c r="MU13" s="125">
        <f t="shared" si="180"/>
        <v>0</v>
      </c>
      <c r="MV13" s="125">
        <f t="shared" si="180"/>
        <v>0</v>
      </c>
      <c r="MW13" s="125">
        <f t="shared" si="180"/>
        <v>0</v>
      </c>
      <c r="MX13" s="125">
        <f t="shared" si="180"/>
        <v>0</v>
      </c>
      <c r="MY13" s="125"/>
      <c r="MZ13" s="125"/>
      <c r="NA13" s="125"/>
      <c r="NB13" s="125">
        <f t="shared" ref="NB13:NK13" si="181">SUM(NB9:NB12)</f>
        <v>0</v>
      </c>
      <c r="NC13" s="125">
        <f t="shared" si="181"/>
        <v>0</v>
      </c>
      <c r="ND13" s="125">
        <f t="shared" si="181"/>
        <v>0</v>
      </c>
      <c r="NE13" s="125">
        <f t="shared" si="181"/>
        <v>0</v>
      </c>
      <c r="NF13" s="125">
        <f t="shared" si="181"/>
        <v>0</v>
      </c>
      <c r="NG13" s="125">
        <f t="shared" si="181"/>
        <v>0</v>
      </c>
      <c r="NH13" s="125">
        <f t="shared" si="181"/>
        <v>0</v>
      </c>
      <c r="NI13" s="125">
        <f t="shared" si="181"/>
        <v>0</v>
      </c>
      <c r="NJ13" s="125">
        <f t="shared" si="181"/>
        <v>0</v>
      </c>
      <c r="NK13" s="125">
        <f t="shared" si="181"/>
        <v>0</v>
      </c>
      <c r="NM13" s="125">
        <f t="shared" ref="NM13:NU13" si="182">SUM(NM9:NM12)</f>
        <v>1</v>
      </c>
      <c r="NN13" s="125">
        <f t="shared" si="182"/>
        <v>1</v>
      </c>
      <c r="NO13" s="125">
        <f t="shared" si="182"/>
        <v>0</v>
      </c>
      <c r="NP13" s="125">
        <f t="shared" si="182"/>
        <v>0</v>
      </c>
      <c r="NQ13" s="125">
        <f t="shared" si="182"/>
        <v>0</v>
      </c>
      <c r="NR13" s="125">
        <f t="shared" si="182"/>
        <v>0</v>
      </c>
      <c r="NS13" s="125">
        <f t="shared" si="182"/>
        <v>0</v>
      </c>
      <c r="NT13" s="125">
        <f t="shared" si="182"/>
        <v>2</v>
      </c>
      <c r="NU13" s="125">
        <f t="shared" si="182"/>
        <v>0</v>
      </c>
      <c r="NZ13">
        <f>MAX(NZ9:NZ12)</f>
        <v>6750000</v>
      </c>
      <c r="OA13">
        <f>MIN(NZ9:NZ12)</f>
        <v>6750000</v>
      </c>
      <c r="OB13">
        <f>AVERAGE(NZ9:NZ12)</f>
        <v>6750000</v>
      </c>
      <c r="OE13" s="125">
        <f>SUM(OE9:OE12)</f>
        <v>0</v>
      </c>
      <c r="OF13" s="125">
        <f t="shared" ref="OF13:OM13" si="183">SUM(OF9:OF12)</f>
        <v>0</v>
      </c>
      <c r="OG13" s="125">
        <f t="shared" si="183"/>
        <v>0</v>
      </c>
      <c r="OH13" s="125">
        <f t="shared" si="183"/>
        <v>2</v>
      </c>
      <c r="OI13" s="125">
        <f t="shared" si="183"/>
        <v>0</v>
      </c>
      <c r="OJ13" s="125">
        <f t="shared" si="183"/>
        <v>0</v>
      </c>
      <c r="OK13" s="125">
        <f t="shared" si="183"/>
        <v>0</v>
      </c>
      <c r="OL13" s="125">
        <f t="shared" si="183"/>
        <v>0</v>
      </c>
      <c r="OM13" s="125">
        <f t="shared" si="183"/>
        <v>0</v>
      </c>
      <c r="OO13" s="125">
        <f>SUM(OO9:OO12)</f>
        <v>0</v>
      </c>
      <c r="OP13" s="125">
        <f t="shared" ref="OP13" si="184">SUM(OP9:OP12)</f>
        <v>0</v>
      </c>
      <c r="OQ13" s="125">
        <f t="shared" ref="OQ13" si="185">SUM(OQ9:OQ12)</f>
        <v>0</v>
      </c>
      <c r="OR13" s="125">
        <f t="shared" ref="OR13" si="186">SUM(OR9:OR12)</f>
        <v>2</v>
      </c>
      <c r="OS13" s="125">
        <f t="shared" ref="OS13" si="187">SUM(OS9:OS12)</f>
        <v>0</v>
      </c>
      <c r="OT13" s="125">
        <f t="shared" ref="OT13" si="188">SUM(OT9:OT12)</f>
        <v>0</v>
      </c>
      <c r="OU13" s="125">
        <f t="shared" ref="OU13" si="189">SUM(OU9:OU12)</f>
        <v>0</v>
      </c>
      <c r="OV13" s="125">
        <f t="shared" ref="OV13" si="190">SUM(OV9:OV12)</f>
        <v>0</v>
      </c>
      <c r="OW13" s="125">
        <f t="shared" ref="OW13" si="191">SUM(OW9:OW12)</f>
        <v>0</v>
      </c>
      <c r="PA13" s="125">
        <f t="shared" ref="PA13:PL13" si="192">SUM(PA9:PA12)</f>
        <v>2</v>
      </c>
      <c r="PB13" s="125">
        <f t="shared" si="192"/>
        <v>0</v>
      </c>
      <c r="PC13" s="125">
        <f t="shared" si="192"/>
        <v>0</v>
      </c>
      <c r="PD13" s="125">
        <f t="shared" si="192"/>
        <v>0</v>
      </c>
      <c r="PE13" s="125">
        <f t="shared" si="192"/>
        <v>0</v>
      </c>
      <c r="PF13" s="125">
        <f t="shared" si="192"/>
        <v>0</v>
      </c>
      <c r="PG13" s="125">
        <f t="shared" si="192"/>
        <v>2119</v>
      </c>
      <c r="PH13" s="125">
        <f t="shared" si="192"/>
        <v>0</v>
      </c>
      <c r="PI13" s="125">
        <f t="shared" si="192"/>
        <v>0</v>
      </c>
      <c r="PJ13" s="125">
        <f t="shared" si="192"/>
        <v>0</v>
      </c>
      <c r="PK13" s="125">
        <f t="shared" si="192"/>
        <v>0</v>
      </c>
      <c r="PL13" s="125">
        <f t="shared" si="192"/>
        <v>0</v>
      </c>
      <c r="PO13" s="125">
        <f t="shared" ref="PO13:PQ13" si="193">SUM(PO9:PO12)</f>
        <v>0</v>
      </c>
      <c r="PP13" s="125">
        <f t="shared" si="193"/>
        <v>569</v>
      </c>
      <c r="PQ13" s="125">
        <f t="shared" si="193"/>
        <v>0</v>
      </c>
    </row>
    <row r="14" spans="1:433" ht="16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6"/>
      <c r="AG14" s="27"/>
      <c r="ED14" s="55" t="s">
        <v>371</v>
      </c>
      <c r="EE14" s="55" t="s">
        <v>372</v>
      </c>
      <c r="EF14" s="56"/>
      <c r="GO14" s="83"/>
      <c r="GP14" s="83"/>
      <c r="GQ14" s="83"/>
      <c r="GR14" s="83"/>
      <c r="GS14" s="83"/>
      <c r="GT14" s="83"/>
      <c r="GU14" s="83"/>
      <c r="GV14" s="83"/>
      <c r="GW14" s="83"/>
      <c r="GX14" s="83"/>
      <c r="GY14" s="83"/>
      <c r="GZ14" s="83"/>
      <c r="HA14" s="83"/>
      <c r="HB14" s="83"/>
      <c r="HC14" s="83"/>
      <c r="HD14" s="83"/>
      <c r="HE14" s="83"/>
      <c r="HF14" s="83"/>
      <c r="HG14" s="83"/>
      <c r="HH14" s="83"/>
      <c r="HI14" s="83"/>
      <c r="HJ14" s="83"/>
      <c r="HK14" s="83"/>
      <c r="HL14" s="83"/>
      <c r="HM14" s="83"/>
      <c r="HN14" s="83"/>
      <c r="HO14" s="83"/>
      <c r="HP14" s="83"/>
      <c r="HQ14" s="83"/>
      <c r="HR14" s="83"/>
      <c r="HS14" s="83"/>
      <c r="HT14" s="83"/>
      <c r="HU14" s="83"/>
      <c r="HV14" s="83"/>
      <c r="HW14" s="83"/>
      <c r="HX14" s="83"/>
      <c r="HY14" s="105"/>
      <c r="HZ14" s="83"/>
      <c r="IA14" s="83"/>
      <c r="IB14" s="83"/>
      <c r="IC14" s="83"/>
      <c r="ID14" s="83"/>
      <c r="IE14" s="83"/>
      <c r="IF14" s="83"/>
      <c r="IG14" s="83"/>
      <c r="IH14" s="83"/>
      <c r="II14" s="83"/>
      <c r="IJ14" s="83"/>
      <c r="IK14" s="83"/>
      <c r="IL14" s="83"/>
      <c r="IM14" s="83"/>
      <c r="IN14" s="83"/>
      <c r="IO14" s="83"/>
      <c r="IP14" s="83"/>
      <c r="IQ14" s="83"/>
      <c r="IR14" s="83"/>
      <c r="IS14" s="83"/>
      <c r="IT14" s="83"/>
      <c r="IU14" s="83"/>
      <c r="IV14" s="83"/>
      <c r="IW14" s="83"/>
      <c r="IX14" s="83"/>
      <c r="IY14" s="83"/>
      <c r="IZ14" s="83"/>
      <c r="JA14" s="83"/>
      <c r="JB14" s="83"/>
      <c r="JC14" s="83"/>
      <c r="JD14" s="83"/>
      <c r="JE14" s="83"/>
      <c r="JF14" s="83"/>
      <c r="JG14" s="83"/>
      <c r="JH14" s="83"/>
      <c r="JI14" s="83"/>
      <c r="JJ14" s="83"/>
      <c r="JK14" s="83"/>
      <c r="JP14" s="124">
        <f>SUM(JQ13:KB13)</f>
        <v>0</v>
      </c>
      <c r="KF14" s="124">
        <f>SUM(KG13:KR13)</f>
        <v>0</v>
      </c>
      <c r="NZ14" t="s">
        <v>593</v>
      </c>
      <c r="OA14" t="s">
        <v>594</v>
      </c>
      <c r="OB14" t="s">
        <v>595</v>
      </c>
    </row>
    <row r="15" spans="1:433" ht="16" x14ac:dyDescent="0.2">
      <c r="Y15" t="s">
        <v>18</v>
      </c>
      <c r="Z15" t="s">
        <v>294</v>
      </c>
      <c r="AG15" s="29">
        <f>COUNTIF(AG9:AG12,"A")</f>
        <v>0</v>
      </c>
      <c r="BW15" t="s">
        <v>344</v>
      </c>
      <c r="CC15" s="29">
        <f>COUNTIF(CC9:CC12,"A")</f>
        <v>0</v>
      </c>
      <c r="ED15" s="55" t="s">
        <v>300</v>
      </c>
      <c r="EE15" s="55" t="s">
        <v>373</v>
      </c>
      <c r="EF15" s="56"/>
      <c r="GO15" s="106">
        <f>GO13</f>
        <v>0</v>
      </c>
      <c r="GP15" s="106">
        <f>GP13-GO13</f>
        <v>0</v>
      </c>
      <c r="GQ15" s="106">
        <f>GQ13-GP13</f>
        <v>0</v>
      </c>
      <c r="GR15" s="106">
        <f>GR13-GQ13</f>
        <v>2</v>
      </c>
      <c r="GS15" s="106">
        <f>GS13-GR13</f>
        <v>2</v>
      </c>
      <c r="GT15" s="106">
        <f>GT13</f>
        <v>0</v>
      </c>
      <c r="GU15" s="83"/>
      <c r="GV15" s="83"/>
      <c r="GW15" s="83"/>
      <c r="GX15" s="83"/>
      <c r="GY15" s="107" t="s">
        <v>464</v>
      </c>
      <c r="GZ15" s="105">
        <f>MAX(GZ9:GZ12)</f>
        <v>43267</v>
      </c>
      <c r="HA15" s="83"/>
      <c r="HB15" s="83"/>
      <c r="HC15" s="83"/>
      <c r="HD15" s="83"/>
      <c r="HE15" s="83"/>
      <c r="HF15" s="83"/>
      <c r="HG15" s="83"/>
      <c r="HH15" s="105">
        <f>MAX(HH9:HH12)</f>
        <v>43288</v>
      </c>
      <c r="HI15" s="83"/>
      <c r="HJ15" s="83"/>
      <c r="HK15" s="83"/>
      <c r="HL15" s="83"/>
      <c r="HM15" s="83"/>
      <c r="HN15" s="83"/>
      <c r="HO15" s="83"/>
      <c r="HP15" s="102">
        <f>+$GU$3+$GY$8</f>
        <v>43257</v>
      </c>
      <c r="HQ15" s="106">
        <f>HQ13</f>
        <v>0</v>
      </c>
      <c r="HR15" s="106">
        <f>HR13</f>
        <v>0</v>
      </c>
      <c r="HS15" s="102">
        <f>+$GU$3+$HH$8</f>
        <v>43288</v>
      </c>
      <c r="HT15" s="106">
        <f>HT13</f>
        <v>2</v>
      </c>
      <c r="HU15" s="106">
        <f>HU13</f>
        <v>569</v>
      </c>
      <c r="HV15" s="102">
        <f>+$GU$3+SUM($GY$7:$GY$8)</f>
        <v>43267</v>
      </c>
      <c r="HW15" s="106">
        <f>HW13</f>
        <v>0</v>
      </c>
      <c r="HX15" s="106">
        <f>HX13</f>
        <v>0</v>
      </c>
      <c r="HY15" s="102">
        <f>+$GU$3+SUM($GY$7:$GY$8)+$HI$8</f>
        <v>43312</v>
      </c>
      <c r="HZ15" s="106">
        <f>HZ13</f>
        <v>0</v>
      </c>
      <c r="IA15" s="106">
        <f>IA13</f>
        <v>0</v>
      </c>
      <c r="IB15" s="102">
        <f>+$GU$3+SUM($GY$6:$GY$8)</f>
        <v>43277</v>
      </c>
      <c r="IC15" s="106">
        <f>IC13</f>
        <v>0</v>
      </c>
      <c r="ID15" s="106">
        <f>ID13</f>
        <v>0</v>
      </c>
      <c r="IE15" s="102">
        <f>+$GU$3+SUM($GY$6:$GY$8)+$HI$8</f>
        <v>43322</v>
      </c>
      <c r="IF15" s="106">
        <f>IF13</f>
        <v>0</v>
      </c>
      <c r="IG15" s="106">
        <f>IG13</f>
        <v>0</v>
      </c>
      <c r="IH15" s="102">
        <f>+$GU$3+SUM($GY$5:$GY$8)</f>
        <v>43297</v>
      </c>
      <c r="II15" s="106">
        <f>II13</f>
        <v>0</v>
      </c>
      <c r="IJ15" s="106">
        <f>IJ13</f>
        <v>0</v>
      </c>
      <c r="IK15" s="102">
        <f>+$GU$3+SUM($GY$5:$GY$8)+$HI$8</f>
        <v>43342</v>
      </c>
      <c r="IL15" s="106">
        <f>IL13</f>
        <v>0</v>
      </c>
      <c r="IM15" s="106">
        <f>IM13</f>
        <v>0</v>
      </c>
      <c r="IN15" s="83"/>
      <c r="IO15" s="102">
        <f>+$GU$3+$HH$8</f>
        <v>43288</v>
      </c>
      <c r="IP15" s="106">
        <f>IP13</f>
        <v>0</v>
      </c>
      <c r="IQ15" s="106">
        <f>IQ13</f>
        <v>0</v>
      </c>
      <c r="IR15" s="83"/>
      <c r="IS15" s="102"/>
      <c r="IT15" s="106">
        <f>IT13</f>
        <v>0</v>
      </c>
      <c r="IU15" s="106">
        <f>IU13</f>
        <v>0</v>
      </c>
      <c r="IV15" s="83"/>
      <c r="IW15" s="102"/>
      <c r="IX15" s="106">
        <f>IX13</f>
        <v>2</v>
      </c>
      <c r="IY15" s="106">
        <f>IY13</f>
        <v>569</v>
      </c>
      <c r="IZ15" s="83"/>
      <c r="JA15" s="102"/>
      <c r="JB15" s="106">
        <f>JB13</f>
        <v>2</v>
      </c>
      <c r="JC15" s="106">
        <f>JC13</f>
        <v>2119</v>
      </c>
      <c r="JD15" s="83"/>
      <c r="JE15" s="102"/>
      <c r="JF15" s="106">
        <f>JF13</f>
        <v>6</v>
      </c>
      <c r="JG15" s="106">
        <f>JG13</f>
        <v>3257</v>
      </c>
      <c r="JH15" s="83"/>
      <c r="JI15" s="102"/>
      <c r="JJ15" s="66">
        <f>JJ13</f>
        <v>2</v>
      </c>
      <c r="JK15" s="66">
        <f>JK13</f>
        <v>569</v>
      </c>
    </row>
    <row r="16" spans="1:433" x14ac:dyDescent="0.2">
      <c r="D16" s="29"/>
      <c r="E16" s="29"/>
      <c r="F16" s="29"/>
      <c r="G16" s="29"/>
      <c r="H16" s="29"/>
      <c r="I16" s="29"/>
      <c r="J16" s="29"/>
      <c r="K16" s="29"/>
      <c r="L16" s="29"/>
      <c r="M16" s="29"/>
      <c r="R16" s="29"/>
      <c r="S16" s="29"/>
      <c r="T16" s="29"/>
      <c r="U16" s="29"/>
      <c r="V16" s="29"/>
      <c r="W16" s="29"/>
      <c r="X16" s="29"/>
      <c r="Y16" t="s">
        <v>18</v>
      </c>
      <c r="Z16" t="s">
        <v>295</v>
      </c>
      <c r="AG16" s="29">
        <f>COUNTIF(AG9:AG12,"b")</f>
        <v>0</v>
      </c>
      <c r="BW16" t="s">
        <v>345</v>
      </c>
      <c r="CC16" s="29">
        <f>COUNTIF(CC9:CC12,"b")</f>
        <v>0</v>
      </c>
      <c r="ED16" s="55" t="s">
        <v>301</v>
      </c>
      <c r="EE16" s="55" t="s">
        <v>374</v>
      </c>
      <c r="EF16" s="56"/>
      <c r="GO16" s="83"/>
      <c r="GP16" s="83"/>
      <c r="GQ16" s="83"/>
      <c r="GR16" s="83"/>
      <c r="GS16" s="83"/>
      <c r="GT16" s="106">
        <f>SUM(GO15:GT15)</f>
        <v>4</v>
      </c>
      <c r="GU16" s="83"/>
      <c r="GV16" s="83"/>
      <c r="GW16" s="83"/>
      <c r="GX16" s="83"/>
      <c r="GY16" s="107" t="s">
        <v>465</v>
      </c>
      <c r="GZ16" s="105">
        <f>MIN(GZ9:GZ12)</f>
        <v>43257</v>
      </c>
      <c r="HA16" s="83"/>
      <c r="HB16" s="83"/>
      <c r="HC16" s="83"/>
      <c r="HD16" s="83"/>
      <c r="HE16" s="83"/>
      <c r="HF16" s="83"/>
      <c r="HG16" s="83"/>
      <c r="HH16" s="105">
        <f>MIN(HH9:HH12)</f>
        <v>43288</v>
      </c>
      <c r="HI16" s="83"/>
      <c r="HJ16" s="83"/>
      <c r="HK16" s="83"/>
      <c r="HL16" s="83"/>
      <c r="HM16" s="83"/>
      <c r="HN16" s="83"/>
      <c r="HO16" s="83"/>
      <c r="HP16" s="83"/>
      <c r="HQ16" s="83"/>
      <c r="HR16" s="83"/>
      <c r="HS16" s="83"/>
      <c r="HT16" s="83"/>
      <c r="HU16" s="83"/>
      <c r="HV16" s="83"/>
      <c r="HW16" s="83"/>
      <c r="HX16" s="83"/>
      <c r="HY16" s="83"/>
      <c r="HZ16" s="83"/>
      <c r="IA16" s="83"/>
      <c r="IB16" s="83"/>
      <c r="IC16" s="83"/>
      <c r="ID16" s="83"/>
      <c r="IE16" s="83"/>
      <c r="IF16" s="83"/>
      <c r="IG16" s="83"/>
      <c r="IH16" s="83"/>
      <c r="II16" s="83"/>
      <c r="IJ16" s="83"/>
      <c r="IK16" s="83"/>
      <c r="IL16" s="83"/>
      <c r="IM16" s="83"/>
      <c r="IN16" s="83"/>
      <c r="IO16" s="83"/>
      <c r="IP16" s="83"/>
      <c r="IQ16" s="83"/>
      <c r="IR16" s="83"/>
      <c r="IS16" s="83"/>
      <c r="IT16" s="83"/>
      <c r="IU16" s="83"/>
      <c r="IV16" s="83"/>
      <c r="IW16" s="83"/>
      <c r="IX16" s="83"/>
      <c r="IY16" s="83"/>
      <c r="IZ16" s="83"/>
      <c r="JA16" s="83"/>
      <c r="JB16" s="83"/>
      <c r="JC16" s="83"/>
      <c r="JD16" s="83"/>
      <c r="JE16" s="83"/>
      <c r="JF16" s="83"/>
      <c r="JG16" s="83"/>
      <c r="JH16" s="83"/>
      <c r="JI16" s="83"/>
      <c r="JJ16" s="83"/>
      <c r="JK16" s="83"/>
    </row>
    <row r="17" spans="25:271" x14ac:dyDescent="0.2">
      <c r="Y17" t="s">
        <v>18</v>
      </c>
      <c r="Z17" t="s">
        <v>296</v>
      </c>
      <c r="AG17" s="29">
        <f>COUNTIF(AG9:AG12,"c")</f>
        <v>2</v>
      </c>
      <c r="BW17" t="s">
        <v>346</v>
      </c>
      <c r="CC17" s="29">
        <f>COUNTIF(CC9:CC12,"c")</f>
        <v>0</v>
      </c>
      <c r="ED17" s="55" t="s">
        <v>343</v>
      </c>
      <c r="EE17" s="55" t="s">
        <v>375</v>
      </c>
      <c r="EF17" s="56"/>
      <c r="GO17" s="83"/>
      <c r="GP17" s="83"/>
      <c r="GQ17" s="83"/>
      <c r="GR17" s="83"/>
      <c r="GS17" s="83"/>
      <c r="GT17" s="83"/>
      <c r="GU17" s="83"/>
      <c r="GV17" s="83"/>
      <c r="GW17" s="83"/>
      <c r="GX17" s="83"/>
      <c r="GY17" s="83"/>
      <c r="GZ17" s="83"/>
      <c r="HA17" s="83"/>
      <c r="HB17" s="83"/>
      <c r="HC17" s="83"/>
      <c r="HD17" s="83"/>
      <c r="HE17" s="83"/>
      <c r="HF17" s="83"/>
      <c r="HG17" s="83"/>
      <c r="HH17" s="83"/>
      <c r="HI17" s="83"/>
      <c r="HJ17" s="83"/>
      <c r="HK17" s="83"/>
      <c r="HL17" s="83"/>
      <c r="HM17" s="83"/>
      <c r="HN17" s="83"/>
      <c r="HO17" s="83"/>
      <c r="HP17" s="83"/>
      <c r="HQ17" s="83"/>
      <c r="HR17" s="83"/>
      <c r="HS17" s="83"/>
      <c r="HT17" s="83"/>
      <c r="HU17" s="83"/>
      <c r="HV17" s="83"/>
      <c r="HW17" s="83"/>
      <c r="HX17" s="83"/>
      <c r="HY17" s="83"/>
      <c r="HZ17" s="83"/>
      <c r="IA17" s="83"/>
      <c r="IB17" s="83"/>
      <c r="IC17" s="83"/>
      <c r="ID17" s="83"/>
      <c r="IE17" s="83"/>
      <c r="IF17" s="83"/>
      <c r="IG17" s="83"/>
      <c r="IH17" s="83"/>
      <c r="II17" s="83"/>
      <c r="IJ17" s="83"/>
      <c r="IK17" s="83"/>
      <c r="IL17" s="83"/>
      <c r="IM17" s="83"/>
      <c r="IN17" s="83"/>
      <c r="IO17" s="83"/>
      <c r="IP17" s="83"/>
      <c r="IQ17" s="83"/>
      <c r="IR17" s="83"/>
      <c r="IS17" s="83"/>
      <c r="IT17" s="83"/>
      <c r="IU17" s="83"/>
      <c r="IV17" s="83"/>
      <c r="IW17" s="83"/>
      <c r="IX17" s="83"/>
      <c r="IY17" s="83"/>
      <c r="IZ17" s="83"/>
      <c r="JA17" s="83"/>
      <c r="JB17" s="83"/>
      <c r="JC17" s="83"/>
      <c r="JD17" s="83"/>
      <c r="JE17" s="83"/>
      <c r="JF17" s="83"/>
      <c r="JG17" s="83"/>
      <c r="JH17" s="83"/>
      <c r="JI17" s="83"/>
      <c r="JJ17" s="83"/>
      <c r="JK17" s="83"/>
    </row>
    <row r="18" spans="25:271" x14ac:dyDescent="0.2">
      <c r="Y18" t="s">
        <v>18</v>
      </c>
      <c r="Z18" t="s">
        <v>297</v>
      </c>
      <c r="AG18" s="29">
        <f>COUNTIF(AG9:AG12,"D")</f>
        <v>0</v>
      </c>
      <c r="BW18" t="s">
        <v>347</v>
      </c>
      <c r="CC18" s="29">
        <f>COUNTIF(CC9:CC12,"D")</f>
        <v>0</v>
      </c>
      <c r="ED18" s="55" t="s">
        <v>302</v>
      </c>
      <c r="EE18" s="55" t="s">
        <v>376</v>
      </c>
      <c r="EF18" s="56"/>
      <c r="GO18" s="83"/>
      <c r="GP18" s="83"/>
      <c r="GQ18" s="83"/>
      <c r="GR18" s="83"/>
      <c r="GS18" s="83"/>
      <c r="GT18" s="83"/>
      <c r="GU18" s="83"/>
      <c r="GV18" s="83"/>
      <c r="GW18" s="83"/>
      <c r="GX18" s="107" t="s">
        <v>434</v>
      </c>
      <c r="GY18" s="105">
        <f>$GU$3+SUM($GY$4:$GY$8)</f>
        <v>43317</v>
      </c>
      <c r="GZ18" s="83">
        <f t="shared" ref="GZ18:GZ23" si="194">COUNTIF($GZ$9:$GZ$12,GY18)</f>
        <v>0</v>
      </c>
      <c r="HA18" s="83"/>
      <c r="HB18" s="83"/>
      <c r="HC18" s="83"/>
      <c r="HD18" s="83"/>
      <c r="HE18" s="83"/>
      <c r="HF18" s="107"/>
      <c r="HG18" s="105"/>
      <c r="HH18" s="83"/>
      <c r="HI18" s="83">
        <f t="shared" ref="HI18:HI23" si="195">COUNTIF($HI$9:$HI$12,HK18)</f>
        <v>0</v>
      </c>
      <c r="HJ18" s="83"/>
      <c r="HK18" s="105">
        <f>GY18+$HI$8</f>
        <v>43362</v>
      </c>
      <c r="HL18" s="83"/>
      <c r="HM18" s="83"/>
      <c r="HN18" s="83"/>
      <c r="HO18" s="83"/>
      <c r="HP18" s="83"/>
      <c r="HQ18" s="83"/>
      <c r="HR18" s="83"/>
      <c r="HS18" s="83"/>
      <c r="HT18" s="83"/>
      <c r="HU18" s="83"/>
      <c r="HV18" s="83"/>
      <c r="HW18" s="83"/>
      <c r="HX18" s="83"/>
      <c r="HY18" s="83"/>
      <c r="HZ18" s="83"/>
      <c r="IA18" s="83"/>
      <c r="IB18" s="83"/>
      <c r="IC18" s="83"/>
      <c r="ID18" s="83"/>
      <c r="IE18" s="83"/>
      <c r="IF18" s="83"/>
      <c r="IG18" s="83"/>
      <c r="IH18" s="83"/>
      <c r="II18" s="83"/>
      <c r="IJ18" s="83"/>
      <c r="IK18" s="83"/>
      <c r="IL18" s="83"/>
      <c r="IM18" s="83"/>
      <c r="IN18" s="83"/>
      <c r="IO18" s="83"/>
      <c r="IP18" s="83"/>
      <c r="IQ18" s="83"/>
      <c r="IR18" s="83"/>
      <c r="IS18" s="83"/>
      <c r="IT18" s="83"/>
      <c r="IU18" s="83"/>
      <c r="IV18" s="83"/>
      <c r="IW18" s="83"/>
      <c r="IX18" s="83"/>
      <c r="IY18" s="83"/>
      <c r="IZ18" s="83"/>
      <c r="JA18" s="83"/>
      <c r="JB18" s="83"/>
      <c r="JC18" s="83"/>
      <c r="JD18" s="83"/>
      <c r="JE18" s="83"/>
      <c r="JF18" s="83"/>
      <c r="JG18" s="83"/>
      <c r="JH18" s="83"/>
      <c r="JI18" s="83"/>
      <c r="JJ18" s="83"/>
      <c r="JK18" s="83"/>
    </row>
    <row r="19" spans="25:271" x14ac:dyDescent="0.2">
      <c r="AG19" s="29"/>
      <c r="BW19" t="s">
        <v>348</v>
      </c>
      <c r="CC19" s="29">
        <f>COUNTIF(CC9:CC12,"E")</f>
        <v>0</v>
      </c>
      <c r="ED19" s="55" t="s">
        <v>351</v>
      </c>
      <c r="EE19" s="55" t="s">
        <v>377</v>
      </c>
      <c r="EF19" s="56"/>
      <c r="GO19" s="83"/>
      <c r="GP19" s="83"/>
      <c r="GQ19" s="83"/>
      <c r="GR19" s="83"/>
      <c r="GS19" s="83"/>
      <c r="GT19" s="83"/>
      <c r="GU19" s="83"/>
      <c r="GV19" s="83"/>
      <c r="GW19" s="83"/>
      <c r="GX19" s="83" t="s">
        <v>440</v>
      </c>
      <c r="GY19" s="105">
        <f>+$GU$3+SUM($GY$5:$GY$8)</f>
        <v>43297</v>
      </c>
      <c r="GZ19" s="83">
        <f t="shared" si="194"/>
        <v>0</v>
      </c>
      <c r="HA19" s="83"/>
      <c r="HB19" s="83"/>
      <c r="HC19" s="83"/>
      <c r="HD19" s="83"/>
      <c r="HE19" s="83"/>
      <c r="HF19" s="83"/>
      <c r="HG19" s="105"/>
      <c r="HH19" s="83"/>
      <c r="HI19" s="83">
        <f t="shared" si="195"/>
        <v>0</v>
      </c>
      <c r="HJ19" s="83"/>
      <c r="HK19" s="105">
        <f t="shared" ref="HK19:HK22" si="196">GY19+$HI$8</f>
        <v>43342</v>
      </c>
      <c r="HL19" s="83"/>
      <c r="HM19" s="83"/>
      <c r="HN19" s="83"/>
      <c r="HO19" s="83"/>
      <c r="HP19" s="83"/>
      <c r="HQ19" s="83"/>
      <c r="HR19" s="83"/>
      <c r="HS19" s="83"/>
      <c r="HT19" s="83"/>
      <c r="HU19" s="83"/>
      <c r="HV19" s="83"/>
      <c r="HW19" s="83"/>
      <c r="HX19" s="83"/>
      <c r="HY19" s="83"/>
      <c r="HZ19" s="83"/>
      <c r="IA19" s="83"/>
      <c r="IB19" s="83"/>
      <c r="IC19" s="83"/>
      <c r="ID19" s="83"/>
      <c r="IE19" s="83"/>
      <c r="IF19" s="83"/>
      <c r="IG19" s="83"/>
      <c r="IH19" s="83"/>
      <c r="II19" s="83"/>
      <c r="IJ19" s="83"/>
      <c r="IK19" s="83"/>
      <c r="IL19" s="83"/>
      <c r="IM19" s="83"/>
      <c r="IN19" s="83"/>
      <c r="IO19" s="83"/>
      <c r="IP19" s="83"/>
      <c r="IQ19" s="83"/>
      <c r="IR19" s="83"/>
      <c r="IS19" s="83"/>
      <c r="IT19" s="83"/>
      <c r="IU19" s="83"/>
      <c r="IV19" s="83"/>
      <c r="IW19" s="83"/>
      <c r="IX19" s="83"/>
      <c r="IY19" s="83"/>
      <c r="IZ19" s="83"/>
      <c r="JA19" s="83"/>
      <c r="JB19" s="83"/>
      <c r="JC19" s="83"/>
      <c r="JD19" s="83"/>
      <c r="JE19" s="83"/>
      <c r="JF19" s="83"/>
      <c r="JG19" s="83"/>
      <c r="JH19" s="83"/>
      <c r="JI19" s="83"/>
      <c r="JJ19" s="83"/>
      <c r="JK19" s="83"/>
    </row>
    <row r="20" spans="25:271" x14ac:dyDescent="0.2">
      <c r="Y20" t="s">
        <v>18</v>
      </c>
      <c r="Z20" t="s">
        <v>299</v>
      </c>
      <c r="AG20" s="29">
        <f>SUM(AG15:AG19)</f>
        <v>2</v>
      </c>
      <c r="BW20" t="s">
        <v>299</v>
      </c>
      <c r="CC20" s="29">
        <f>SUM(CC15:CC19)</f>
        <v>0</v>
      </c>
      <c r="GO20" s="83"/>
      <c r="GP20" s="83"/>
      <c r="GQ20" s="83"/>
      <c r="GR20" s="83"/>
      <c r="GS20" s="83"/>
      <c r="GT20" s="83"/>
      <c r="GU20" s="83"/>
      <c r="GV20" s="83"/>
      <c r="GW20" s="83"/>
      <c r="GX20" s="83" t="s">
        <v>7</v>
      </c>
      <c r="GY20" s="105">
        <f>$GU$3+SUM($GY$6:$GY$8)</f>
        <v>43277</v>
      </c>
      <c r="GZ20" s="83">
        <f t="shared" si="194"/>
        <v>0</v>
      </c>
      <c r="HA20" s="83"/>
      <c r="HB20" s="83"/>
      <c r="HC20" s="83"/>
      <c r="HD20" s="83"/>
      <c r="HE20" s="83"/>
      <c r="HF20" s="83"/>
      <c r="HG20" s="105"/>
      <c r="HH20" s="83"/>
      <c r="HI20" s="83">
        <f t="shared" si="195"/>
        <v>0</v>
      </c>
      <c r="HJ20" s="83"/>
      <c r="HK20" s="105">
        <f t="shared" si="196"/>
        <v>43322</v>
      </c>
      <c r="HL20" s="83"/>
      <c r="HM20" s="83"/>
      <c r="HN20" s="83"/>
      <c r="HO20" s="83"/>
      <c r="HP20" s="83"/>
      <c r="HQ20" s="83"/>
      <c r="HR20" s="83"/>
      <c r="HS20" s="83"/>
      <c r="HT20" s="83"/>
      <c r="HU20" s="83"/>
      <c r="HV20" s="83"/>
      <c r="HW20" s="83"/>
      <c r="HX20" s="83"/>
      <c r="HY20" s="83"/>
      <c r="HZ20" s="83"/>
      <c r="IA20" s="83"/>
      <c r="IB20" s="83"/>
      <c r="IC20" s="83"/>
      <c r="ID20" s="83"/>
      <c r="IE20" s="83"/>
      <c r="IF20" s="83"/>
      <c r="IG20" s="83"/>
      <c r="IH20" s="83"/>
      <c r="II20" s="83"/>
      <c r="IJ20" s="83"/>
      <c r="IK20" s="83"/>
      <c r="IL20" s="83"/>
      <c r="IM20" s="83"/>
      <c r="IN20" s="83"/>
      <c r="IO20" s="83"/>
      <c r="IP20" s="83"/>
      <c r="IQ20" s="83"/>
      <c r="IR20" s="83"/>
      <c r="IS20" s="83"/>
      <c r="IT20" s="83"/>
      <c r="IU20" s="83"/>
      <c r="IV20" s="83"/>
      <c r="IW20" s="83"/>
      <c r="IX20" s="83"/>
      <c r="IY20" s="83"/>
      <c r="IZ20" s="83"/>
      <c r="JA20" s="83"/>
      <c r="JB20" s="83"/>
      <c r="JC20" s="83"/>
      <c r="JD20" s="83"/>
      <c r="JE20" s="83"/>
      <c r="JF20" s="83"/>
      <c r="JG20" s="83"/>
      <c r="JH20" s="83"/>
      <c r="JI20" s="83"/>
      <c r="JJ20" s="83"/>
      <c r="JK20" s="83"/>
    </row>
    <row r="21" spans="25:271" x14ac:dyDescent="0.2">
      <c r="GO21" s="83"/>
      <c r="GP21" s="83"/>
      <c r="GQ21" s="83"/>
      <c r="GR21" s="83"/>
      <c r="GS21" s="83"/>
      <c r="GT21" s="83"/>
      <c r="GU21" s="83"/>
      <c r="GV21" s="83"/>
      <c r="GW21" s="83"/>
      <c r="GX21" s="83" t="s">
        <v>265</v>
      </c>
      <c r="GY21" s="105">
        <f>$GU$3+SUM($GY$7:$GY$8)</f>
        <v>43267</v>
      </c>
      <c r="GZ21" s="83">
        <f t="shared" si="194"/>
        <v>2</v>
      </c>
      <c r="HA21" s="83"/>
      <c r="HB21" s="83"/>
      <c r="HC21" s="83"/>
      <c r="HD21" s="83"/>
      <c r="HE21" s="83"/>
      <c r="HF21" s="83"/>
      <c r="HG21" s="105"/>
      <c r="HH21" s="83"/>
      <c r="HI21" s="83">
        <f t="shared" si="195"/>
        <v>2</v>
      </c>
      <c r="HJ21" s="83"/>
      <c r="HK21" s="105">
        <f t="shared" si="196"/>
        <v>43312</v>
      </c>
      <c r="HL21" s="83"/>
      <c r="HM21" s="83"/>
      <c r="HN21" s="83"/>
      <c r="HO21" s="83"/>
      <c r="HP21" s="83"/>
      <c r="HQ21" s="83"/>
      <c r="HR21" s="83"/>
      <c r="HS21" s="83"/>
      <c r="HT21" s="83"/>
      <c r="HU21" s="83"/>
      <c r="HV21" s="83"/>
      <c r="HW21" s="83"/>
      <c r="HX21" s="83"/>
      <c r="HY21" s="83"/>
      <c r="HZ21" s="83"/>
      <c r="IA21" s="83"/>
      <c r="IB21" s="83"/>
      <c r="IC21" s="83"/>
      <c r="ID21" s="83"/>
      <c r="IE21" s="83"/>
      <c r="IF21" s="83"/>
      <c r="IG21" s="83"/>
      <c r="IH21" s="83"/>
      <c r="II21" s="83"/>
      <c r="IJ21" s="83"/>
      <c r="IK21" s="83"/>
      <c r="IL21" s="83"/>
      <c r="IM21" s="83"/>
      <c r="IN21" s="83"/>
      <c r="IO21" s="83"/>
      <c r="IP21" s="83"/>
      <c r="IQ21" s="83"/>
      <c r="IR21" s="83"/>
      <c r="IS21" s="83"/>
      <c r="IT21" s="83"/>
      <c r="IU21" s="83"/>
      <c r="IV21" s="83"/>
      <c r="IW21" s="83"/>
      <c r="IX21" s="83"/>
      <c r="IY21" s="83"/>
      <c r="IZ21" s="83"/>
      <c r="JA21" s="83"/>
      <c r="JB21" s="83"/>
      <c r="JC21" s="83"/>
      <c r="JD21" s="83"/>
      <c r="JE21" s="83"/>
      <c r="JF21" s="83"/>
      <c r="JG21" s="83"/>
      <c r="JH21" s="83"/>
      <c r="JI21" s="83"/>
      <c r="JJ21" s="83"/>
      <c r="JK21" s="83"/>
    </row>
    <row r="22" spans="25:271" x14ac:dyDescent="0.2">
      <c r="GO22" s="83"/>
      <c r="GP22" s="83"/>
      <c r="GQ22" s="83"/>
      <c r="GR22" s="83"/>
      <c r="GS22" s="83"/>
      <c r="GT22" s="83"/>
      <c r="GU22" s="83"/>
      <c r="GV22" s="83"/>
      <c r="GW22" s="83"/>
      <c r="GX22" s="83" t="s">
        <v>447</v>
      </c>
      <c r="GY22" s="105">
        <f>$GU$3+$GY$8</f>
        <v>43257</v>
      </c>
      <c r="GZ22" s="83">
        <f t="shared" si="194"/>
        <v>2</v>
      </c>
      <c r="HA22" s="83"/>
      <c r="HB22" s="83"/>
      <c r="HC22" s="83"/>
      <c r="HD22" s="105">
        <f>$GU$3+$HH$8</f>
        <v>43288</v>
      </c>
      <c r="HE22" s="83"/>
      <c r="HF22" s="83"/>
      <c r="HG22" s="83"/>
      <c r="HH22" s="83">
        <f>COUNTIF($HH$9:$HH$12,HD22)</f>
        <v>2</v>
      </c>
      <c r="HI22" s="83">
        <f t="shared" si="195"/>
        <v>2</v>
      </c>
      <c r="HJ22" s="83"/>
      <c r="HK22" s="105">
        <f t="shared" si="196"/>
        <v>43302</v>
      </c>
      <c r="HL22" s="83"/>
      <c r="HM22" s="83"/>
      <c r="HN22" s="83"/>
      <c r="HO22" s="83"/>
      <c r="HP22" s="83"/>
      <c r="HQ22" s="83"/>
      <c r="HR22" s="83"/>
      <c r="HS22" s="83"/>
      <c r="HT22" s="83"/>
      <c r="HU22" s="83"/>
      <c r="HV22" s="83"/>
      <c r="HW22" s="83"/>
      <c r="HX22" s="83"/>
      <c r="HY22" s="83"/>
      <c r="HZ22" s="83"/>
      <c r="IA22" s="83"/>
      <c r="IB22" s="83"/>
      <c r="IC22" s="83"/>
      <c r="ID22" s="83"/>
      <c r="IE22" s="83"/>
      <c r="IF22" s="83"/>
      <c r="IG22" s="83"/>
      <c r="IH22" s="83"/>
      <c r="II22" s="83"/>
      <c r="IJ22" s="83"/>
      <c r="IK22" s="83"/>
      <c r="IL22" s="83"/>
      <c r="IM22" s="83"/>
      <c r="IN22" s="83"/>
      <c r="IO22" s="83"/>
      <c r="IP22" s="83"/>
      <c r="IQ22" s="83"/>
      <c r="IR22" s="83"/>
      <c r="IS22" s="83"/>
      <c r="IT22" s="83"/>
      <c r="IU22" s="83"/>
      <c r="IV22" s="83"/>
      <c r="IW22" s="83"/>
      <c r="IX22" s="83"/>
      <c r="IY22" s="83"/>
      <c r="IZ22" s="83"/>
      <c r="JA22" s="83"/>
      <c r="JB22" s="83"/>
      <c r="JC22" s="83"/>
      <c r="JD22" s="83"/>
      <c r="JE22" s="83"/>
      <c r="JF22" s="83"/>
      <c r="JG22" s="83"/>
      <c r="JH22" s="83"/>
      <c r="JI22" s="83"/>
      <c r="JJ22" s="83"/>
      <c r="JK22" s="83"/>
    </row>
    <row r="23" spans="25:271" x14ac:dyDescent="0.2">
      <c r="GO23" s="83"/>
      <c r="GP23" s="83"/>
      <c r="GQ23" s="83"/>
      <c r="GR23" s="83"/>
      <c r="GS23" s="83"/>
      <c r="GT23" s="83"/>
      <c r="GU23" s="83"/>
      <c r="GV23" s="83"/>
      <c r="GW23" s="83"/>
      <c r="GX23" s="107" t="s">
        <v>448</v>
      </c>
      <c r="GY23" s="107" t="s">
        <v>448</v>
      </c>
      <c r="GZ23" s="83">
        <f t="shared" si="194"/>
        <v>0</v>
      </c>
      <c r="HA23" s="83"/>
      <c r="HB23" s="83"/>
      <c r="HC23" s="83"/>
      <c r="HD23" s="107" t="s">
        <v>466</v>
      </c>
      <c r="HE23" s="83"/>
      <c r="HF23" s="83"/>
      <c r="HG23" s="83"/>
      <c r="HH23" s="83">
        <f>COUNTIF($HH$9:$HH$12,HD23)</f>
        <v>2</v>
      </c>
      <c r="HI23" s="83">
        <f t="shared" si="195"/>
        <v>0</v>
      </c>
      <c r="HJ23" s="83"/>
      <c r="HK23" s="108" t="s">
        <v>448</v>
      </c>
      <c r="HL23" s="83"/>
      <c r="HM23" s="83"/>
      <c r="HN23" s="83"/>
      <c r="HO23" s="83"/>
      <c r="HP23" s="83"/>
      <c r="HQ23" s="83"/>
      <c r="HR23" s="83"/>
      <c r="HS23" s="83"/>
      <c r="HT23" s="83"/>
      <c r="HU23" s="83"/>
      <c r="HV23" s="83"/>
      <c r="HW23" s="83"/>
      <c r="HX23" s="83"/>
      <c r="HY23" s="83"/>
      <c r="HZ23" s="83"/>
      <c r="IA23" s="83"/>
      <c r="IB23" s="83"/>
      <c r="IC23" s="83"/>
      <c r="ID23" s="83"/>
      <c r="IE23" s="83"/>
      <c r="IF23" s="83"/>
      <c r="IG23" s="83"/>
      <c r="IH23" s="83"/>
      <c r="II23" s="83"/>
      <c r="IJ23" s="83"/>
      <c r="IK23" s="83"/>
      <c r="IL23" s="83"/>
      <c r="IM23" s="83"/>
      <c r="IN23" s="83"/>
      <c r="IO23" s="83"/>
      <c r="IP23" s="83"/>
      <c r="IQ23" s="83"/>
      <c r="IR23" s="83"/>
      <c r="IS23" s="83"/>
      <c r="IT23" s="83"/>
      <c r="IU23" s="83"/>
      <c r="IV23" s="83"/>
      <c r="IW23" s="83"/>
      <c r="IX23" s="83"/>
      <c r="IY23" s="83"/>
      <c r="IZ23" s="83"/>
      <c r="JA23" s="83"/>
      <c r="JB23" s="83"/>
      <c r="JC23" s="83"/>
      <c r="JD23" s="83"/>
      <c r="JE23" s="83"/>
      <c r="JF23" s="83"/>
      <c r="JG23" s="83"/>
      <c r="JH23" s="83"/>
      <c r="JI23" s="83"/>
      <c r="JJ23" s="83"/>
      <c r="JK23" s="83"/>
    </row>
    <row r="24" spans="25:271" x14ac:dyDescent="0.2">
      <c r="GO24" s="83"/>
      <c r="GP24" s="83"/>
      <c r="GQ24" s="83"/>
      <c r="GR24" s="83"/>
      <c r="GS24" s="83"/>
      <c r="GT24" s="83"/>
      <c r="GU24" s="83"/>
      <c r="GV24" s="83"/>
      <c r="GW24" s="83"/>
      <c r="GX24" s="83"/>
      <c r="GY24" s="83"/>
      <c r="GZ24" s="83">
        <f>SUM(GZ18:GZ23)</f>
        <v>4</v>
      </c>
      <c r="HA24" s="83"/>
      <c r="HB24" s="83"/>
      <c r="HC24" s="83"/>
      <c r="HD24" s="83"/>
      <c r="HE24" s="83"/>
      <c r="HF24" s="83"/>
      <c r="HG24" s="83"/>
      <c r="HH24" s="83">
        <f>SUM(HH18:HH23)</f>
        <v>4</v>
      </c>
      <c r="HI24" s="83">
        <f>SUM(HI18:HI23)</f>
        <v>4</v>
      </c>
      <c r="HJ24" s="83"/>
      <c r="HK24" s="105"/>
      <c r="HL24" s="83"/>
      <c r="HM24" s="83"/>
      <c r="HN24" s="83"/>
      <c r="HO24" s="83"/>
      <c r="HP24" s="83"/>
      <c r="HQ24" s="83"/>
      <c r="HR24" s="83"/>
      <c r="HS24" s="83"/>
      <c r="HT24" s="83"/>
      <c r="HU24" s="83"/>
      <c r="HV24" s="83"/>
      <c r="HW24" s="83"/>
      <c r="HX24" s="83"/>
      <c r="HY24" s="83"/>
      <c r="HZ24" s="83"/>
      <c r="IA24" s="83"/>
      <c r="IB24" s="83"/>
      <c r="IC24" s="83"/>
      <c r="ID24" s="83"/>
      <c r="IE24" s="83"/>
      <c r="IF24" s="83"/>
      <c r="IG24" s="83"/>
      <c r="IH24" s="83"/>
      <c r="II24" s="83"/>
      <c r="IJ24" s="83"/>
      <c r="IK24" s="83"/>
      <c r="IL24" s="83"/>
      <c r="IM24" s="83"/>
      <c r="IN24" s="83"/>
      <c r="IO24" s="83"/>
      <c r="IP24" s="83"/>
      <c r="IQ24" s="83"/>
      <c r="IR24" s="83"/>
      <c r="IS24" s="83"/>
      <c r="IT24" s="83"/>
      <c r="IU24" s="83"/>
      <c r="IV24" s="83"/>
      <c r="IW24" s="83"/>
      <c r="IX24" s="83"/>
      <c r="IY24" s="83"/>
      <c r="IZ24" s="83"/>
      <c r="JA24" s="83"/>
      <c r="JB24" s="83"/>
      <c r="JC24" s="83"/>
      <c r="JD24" s="83"/>
      <c r="JE24" s="83"/>
      <c r="JF24" s="83"/>
      <c r="JG24" s="83"/>
      <c r="JH24" s="83"/>
      <c r="JI24" s="83"/>
      <c r="JJ24" s="83"/>
      <c r="JK24" s="83"/>
    </row>
    <row r="46" spans="420:420" x14ac:dyDescent="0.2">
      <c r="PD46" s="195"/>
    </row>
  </sheetData>
  <mergeCells count="323">
    <mergeCell ref="PO1:PQ1"/>
    <mergeCell ref="PO2:PO7"/>
    <mergeCell ref="PP2:PP7"/>
    <mergeCell ref="PQ2:PQ7"/>
    <mergeCell ref="KD4:KD8"/>
    <mergeCell ref="KE4:KE8"/>
    <mergeCell ref="NZ4:NZ8"/>
    <mergeCell ref="KP7:KP8"/>
    <mergeCell ref="KQ7:KQ8"/>
    <mergeCell ref="KR7:KR8"/>
    <mergeCell ref="KU5:KU7"/>
    <mergeCell ref="KV5:KV7"/>
    <mergeCell ref="KW5:KW8"/>
    <mergeCell ref="KX5:KX8"/>
    <mergeCell ref="KY5:KY8"/>
    <mergeCell ref="KZ5:LA7"/>
    <mergeCell ref="LB5:LC7"/>
    <mergeCell ref="LD5:LE7"/>
    <mergeCell ref="LF5:LL5"/>
    <mergeCell ref="LF6:LF8"/>
    <mergeCell ref="LG6:LG8"/>
    <mergeCell ref="LH6:LH8"/>
    <mergeCell ref="LI6:LI8"/>
    <mergeCell ref="LJ6:LJ8"/>
    <mergeCell ref="JX7:JX8"/>
    <mergeCell ref="JZ7:JZ8"/>
    <mergeCell ref="KA7:KA8"/>
    <mergeCell ref="KB7:KB8"/>
    <mergeCell ref="KH7:KH8"/>
    <mergeCell ref="KI7:KJ7"/>
    <mergeCell ref="KK7:KL7"/>
    <mergeCell ref="KM7:KM8"/>
    <mergeCell ref="KN7:KN8"/>
    <mergeCell ref="JQ3:KB3"/>
    <mergeCell ref="KG3:KR3"/>
    <mergeCell ref="JP4:JP8"/>
    <mergeCell ref="JQ4:JQ8"/>
    <mergeCell ref="JR4:KB4"/>
    <mergeCell ref="KF4:KF8"/>
    <mergeCell ref="KG4:KG8"/>
    <mergeCell ref="KH4:KR4"/>
    <mergeCell ref="JR5:JX5"/>
    <mergeCell ref="JY5:KB5"/>
    <mergeCell ref="KH5:KN5"/>
    <mergeCell ref="KO5:KR5"/>
    <mergeCell ref="JR6:JV6"/>
    <mergeCell ref="JW6:JX6"/>
    <mergeCell ref="JY6:JY8"/>
    <mergeCell ref="JZ6:KB6"/>
    <mergeCell ref="KH6:KL6"/>
    <mergeCell ref="KM6:KN6"/>
    <mergeCell ref="KO6:KO8"/>
    <mergeCell ref="KP6:KR6"/>
    <mergeCell ref="JR7:JR8"/>
    <mergeCell ref="JS7:JT7"/>
    <mergeCell ref="JU7:JV7"/>
    <mergeCell ref="JW7:JW8"/>
    <mergeCell ref="JE6:JG7"/>
    <mergeCell ref="JI6:JK7"/>
    <mergeCell ref="GV7:GV8"/>
    <mergeCell ref="GW7:GW8"/>
    <mergeCell ref="HV7:HX7"/>
    <mergeCell ref="HY7:IA7"/>
    <mergeCell ref="IB7:ID7"/>
    <mergeCell ref="IE7:IG7"/>
    <mergeCell ref="IH7:IJ7"/>
    <mergeCell ref="IK7:IM7"/>
    <mergeCell ref="HP6:HR7"/>
    <mergeCell ref="HS6:HU7"/>
    <mergeCell ref="HV6:IA6"/>
    <mergeCell ref="IB6:IG6"/>
    <mergeCell ref="IH6:IM6"/>
    <mergeCell ref="IO6:IQ7"/>
    <mergeCell ref="IS6:IU7"/>
    <mergeCell ref="IW6:IY7"/>
    <mergeCell ref="JA6:JC7"/>
    <mergeCell ref="D3:E3"/>
    <mergeCell ref="GX3:GY3"/>
    <mergeCell ref="GO4:GT5"/>
    <mergeCell ref="GV4:GW6"/>
    <mergeCell ref="GZ4:GZ8"/>
    <mergeCell ref="HC4:HI4"/>
    <mergeCell ref="HK4:HK8"/>
    <mergeCell ref="HC5:HC8"/>
    <mergeCell ref="HD5:HD8"/>
    <mergeCell ref="HE5:HE8"/>
    <mergeCell ref="HF5:HF8"/>
    <mergeCell ref="HG5:HG8"/>
    <mergeCell ref="HH5:HH7"/>
    <mergeCell ref="HI5:HI7"/>
    <mergeCell ref="GO6:GO8"/>
    <mergeCell ref="GP6:GP8"/>
    <mergeCell ref="GQ6:GQ8"/>
    <mergeCell ref="GR6:GR8"/>
    <mergeCell ref="GS6:GS8"/>
    <mergeCell ref="GT6:GT8"/>
    <mergeCell ref="GA4:GA8"/>
    <mergeCell ref="GB4:GB8"/>
    <mergeCell ref="GC4:GC8"/>
    <mergeCell ref="GK4:GK8"/>
    <mergeCell ref="BO3:BZ3"/>
    <mergeCell ref="CE3:CP3"/>
    <mergeCell ref="BN4:BN8"/>
    <mergeCell ref="BO4:BO8"/>
    <mergeCell ref="BP4:BZ4"/>
    <mergeCell ref="CB4:CB8"/>
    <mergeCell ref="CD4:CD8"/>
    <mergeCell ref="CE4:CE8"/>
    <mergeCell ref="CF4:CP4"/>
    <mergeCell ref="BP5:BV5"/>
    <mergeCell ref="BW5:BZ5"/>
    <mergeCell ref="CF5:CL5"/>
    <mergeCell ref="CM5:CP5"/>
    <mergeCell ref="BP6:BT6"/>
    <mergeCell ref="BU6:BV6"/>
    <mergeCell ref="CK7:CK8"/>
    <mergeCell ref="CL7:CL8"/>
    <mergeCell ref="CN7:CN8"/>
    <mergeCell ref="CO7:CO8"/>
    <mergeCell ref="CP7:CP8"/>
    <mergeCell ref="CN6:CP6"/>
    <mergeCell ref="BX7:BX8"/>
    <mergeCell ref="BY7:BY8"/>
    <mergeCell ref="BZ7:BZ8"/>
    <mergeCell ref="F5:I7"/>
    <mergeCell ref="J5:Q5"/>
    <mergeCell ref="R5:U7"/>
    <mergeCell ref="V5:Z7"/>
    <mergeCell ref="F4:AE4"/>
    <mergeCell ref="AA5:AE7"/>
    <mergeCell ref="D7:E7"/>
    <mergeCell ref="BE4:BK5"/>
    <mergeCell ref="BE6:BE8"/>
    <mergeCell ref="BF6:BF8"/>
    <mergeCell ref="BG6:BG8"/>
    <mergeCell ref="BH6:BH8"/>
    <mergeCell ref="BI6:BI8"/>
    <mergeCell ref="BJ6:BJ8"/>
    <mergeCell ref="BK6:BK8"/>
    <mergeCell ref="CF7:CF8"/>
    <mergeCell ref="CG7:CH7"/>
    <mergeCell ref="CI7:CJ7"/>
    <mergeCell ref="A4:A8"/>
    <mergeCell ref="B4:B8"/>
    <mergeCell ref="C4:C8"/>
    <mergeCell ref="D4:E6"/>
    <mergeCell ref="AN4:AN8"/>
    <mergeCell ref="AI4:AK4"/>
    <mergeCell ref="AI5:AK7"/>
    <mergeCell ref="AF6:AF8"/>
    <mergeCell ref="BB4:BB8"/>
    <mergeCell ref="AG6:AG8"/>
    <mergeCell ref="AF4:AH5"/>
    <mergeCell ref="AH6:AH8"/>
    <mergeCell ref="AL4:AM5"/>
    <mergeCell ref="AL6:AL8"/>
    <mergeCell ref="AM6:AM8"/>
    <mergeCell ref="N6:Q7"/>
    <mergeCell ref="J6:M7"/>
    <mergeCell ref="BP7:BP8"/>
    <mergeCell ref="BQ7:BR7"/>
    <mergeCell ref="BS7:BT7"/>
    <mergeCell ref="BU7:BU8"/>
    <mergeCell ref="BV7:BV8"/>
    <mergeCell ref="BX6:BZ6"/>
    <mergeCell ref="CF6:CJ6"/>
    <mergeCell ref="CK6:CL6"/>
    <mergeCell ref="CM6:CM8"/>
    <mergeCell ref="BW6:BW8"/>
    <mergeCell ref="EI2:EI7"/>
    <mergeCell ref="FL2:FL7"/>
    <mergeCell ref="FM2:FM7"/>
    <mergeCell ref="FK2:FK7"/>
    <mergeCell ref="EJ2:EJ7"/>
    <mergeCell ref="EK2:EP2"/>
    <mergeCell ref="EQ2:EQ7"/>
    <mergeCell ref="ER2:ER7"/>
    <mergeCell ref="ES2:ES7"/>
    <mergeCell ref="ET2:ET7"/>
    <mergeCell ref="EU2:EU7"/>
    <mergeCell ref="EV2:EV7"/>
    <mergeCell ref="EW2:EY2"/>
    <mergeCell ref="EZ2:EZ7"/>
    <mergeCell ref="FA2:FA7"/>
    <mergeCell ref="FB2:FB7"/>
    <mergeCell ref="FD2:FD7"/>
    <mergeCell ref="FE2:FE7"/>
    <mergeCell ref="EK3:EK7"/>
    <mergeCell ref="EL3:EL7"/>
    <mergeCell ref="EM3:EM7"/>
    <mergeCell ref="DV4:EB5"/>
    <mergeCell ref="DV6:DV8"/>
    <mergeCell ref="DW6:DW8"/>
    <mergeCell ref="DX6:DX8"/>
    <mergeCell ref="DY6:DY8"/>
    <mergeCell ref="DZ6:DZ8"/>
    <mergeCell ref="EA6:EA8"/>
    <mergeCell ref="EB6:EB8"/>
    <mergeCell ref="EH2:EH8"/>
    <mergeCell ref="EG2:EG8"/>
    <mergeCell ref="GG4:GG8"/>
    <mergeCell ref="GH4:GH8"/>
    <mergeCell ref="GJ4:GJ8"/>
    <mergeCell ref="FT2:FT7"/>
    <mergeCell ref="FU2:FU7"/>
    <mergeCell ref="FO2:FO7"/>
    <mergeCell ref="FP2:FP7"/>
    <mergeCell ref="FQ2:FQ7"/>
    <mergeCell ref="FR2:FR7"/>
    <mergeCell ref="FS2:FS7"/>
    <mergeCell ref="FY4:FY8"/>
    <mergeCell ref="FZ4:FZ8"/>
    <mergeCell ref="FV2:FV7"/>
    <mergeCell ref="EN3:EN7"/>
    <mergeCell ref="EO3:EO7"/>
    <mergeCell ref="EP3:EP7"/>
    <mergeCell ref="EW3:EW7"/>
    <mergeCell ref="EX3:EX7"/>
    <mergeCell ref="EY3:EY7"/>
    <mergeCell ref="FN2:FN7"/>
    <mergeCell ref="GD4:GD8"/>
    <mergeCell ref="GE4:GE8"/>
    <mergeCell ref="FH2:FH7"/>
    <mergeCell ref="FI2:FI7"/>
    <mergeCell ref="FJ2:FJ7"/>
    <mergeCell ref="FC2:FC7"/>
    <mergeCell ref="FX4:FX8"/>
    <mergeCell ref="FF2:FF7"/>
    <mergeCell ref="LK6:LK8"/>
    <mergeCell ref="LL6:LL8"/>
    <mergeCell ref="NJ5:NJ8"/>
    <mergeCell ref="MC6:MC8"/>
    <mergeCell ref="MD6:MD8"/>
    <mergeCell ref="ME6:ME8"/>
    <mergeCell ref="MF6:MF8"/>
    <mergeCell ref="MG6:MG8"/>
    <mergeCell ref="MH6:MH8"/>
    <mergeCell ref="MI6:MI8"/>
    <mergeCell ref="MJ6:MJ8"/>
    <mergeCell ref="MK6:MK8"/>
    <mergeCell ref="ML6:ML8"/>
    <mergeCell ref="MM6:MM8"/>
    <mergeCell ref="MN6:MN8"/>
    <mergeCell ref="MO6:MO8"/>
    <mergeCell ref="MP6:MP8"/>
    <mergeCell ref="MQ6:MQ8"/>
    <mergeCell ref="LX6:LX8"/>
    <mergeCell ref="LY6:LY8"/>
    <mergeCell ref="LZ6:LZ8"/>
    <mergeCell ref="MA6:MA8"/>
    <mergeCell ref="MB6:MB8"/>
    <mergeCell ref="LM5:LS5"/>
    <mergeCell ref="LT5:LZ5"/>
    <mergeCell ref="MA5:MJ5"/>
    <mergeCell ref="MK5:MO5"/>
    <mergeCell ref="LO6:LO8"/>
    <mergeCell ref="LP6:LP8"/>
    <mergeCell ref="LQ6:LQ8"/>
    <mergeCell ref="LR6:LR8"/>
    <mergeCell ref="LS6:LS8"/>
    <mergeCell ref="LT6:LT8"/>
    <mergeCell ref="LU6:LU8"/>
    <mergeCell ref="LV6:LV8"/>
    <mergeCell ref="LW6:LW8"/>
    <mergeCell ref="LM6:LM8"/>
    <mergeCell ref="LN6:LN8"/>
    <mergeCell ref="NM7:NT7"/>
    <mergeCell ref="ND7:ND8"/>
    <mergeCell ref="NE7:NE8"/>
    <mergeCell ref="NF7:NF8"/>
    <mergeCell ref="NG7:NG8"/>
    <mergeCell ref="NH7:NH8"/>
    <mergeCell ref="NI7:NI8"/>
    <mergeCell ref="MR6:MR8"/>
    <mergeCell ref="MS6:MS8"/>
    <mergeCell ref="MT6:MT8"/>
    <mergeCell ref="MU6:MU8"/>
    <mergeCell ref="MV6:MV8"/>
    <mergeCell ref="MW6:MW8"/>
    <mergeCell ref="MX6:MX8"/>
    <mergeCell ref="NB6:NB8"/>
    <mergeCell ref="NC7:NC8"/>
    <mergeCell ref="MY6:MY8"/>
    <mergeCell ref="MZ6:MZ8"/>
    <mergeCell ref="NA6:NA8"/>
    <mergeCell ref="NK5:NK8"/>
    <mergeCell ref="MP5:MW5"/>
    <mergeCell ref="MX5:NB5"/>
    <mergeCell ref="NC5:NE6"/>
    <mergeCell ref="NF5:NI6"/>
    <mergeCell ref="OE5:OE8"/>
    <mergeCell ref="OF5:OF8"/>
    <mergeCell ref="OG5:OG8"/>
    <mergeCell ref="OH5:OH8"/>
    <mergeCell ref="OI5:OI8"/>
    <mergeCell ref="OJ5:OJ8"/>
    <mergeCell ref="OK5:OK8"/>
    <mergeCell ref="OL5:OL8"/>
    <mergeCell ref="OM5:OM8"/>
    <mergeCell ref="OO5:OO8"/>
    <mergeCell ref="OP5:OP8"/>
    <mergeCell ref="OQ5:OQ8"/>
    <mergeCell ref="OR5:OR8"/>
    <mergeCell ref="OS5:OS8"/>
    <mergeCell ref="OT5:OT8"/>
    <mergeCell ref="OU5:OU8"/>
    <mergeCell ref="OV5:OV8"/>
    <mergeCell ref="OW5:OW8"/>
    <mergeCell ref="PA7:PA8"/>
    <mergeCell ref="PB7:PB8"/>
    <mergeCell ref="PC7:PC8"/>
    <mergeCell ref="PG7:PG8"/>
    <mergeCell ref="PH7:PH8"/>
    <mergeCell ref="PI7:PI8"/>
    <mergeCell ref="PA5:PL5"/>
    <mergeCell ref="PA6:PF6"/>
    <mergeCell ref="PG6:PL6"/>
    <mergeCell ref="PD7:PD8"/>
    <mergeCell ref="PE7:PE8"/>
    <mergeCell ref="PF7:PF8"/>
    <mergeCell ref="PJ7:PJ8"/>
    <mergeCell ref="PK7:PK8"/>
    <mergeCell ref="PL7:PL8"/>
  </mergeCells>
  <conditionalFormatting sqref="FY9:FY10">
    <cfRule type="cellIs" dxfId="82" priority="35" operator="greaterThan">
      <formula>0</formula>
    </cfRule>
  </conditionalFormatting>
  <conditionalFormatting sqref="FZ9:GE10">
    <cfRule type="cellIs" dxfId="81" priority="34" operator="greaterThan">
      <formula>0</formula>
    </cfRule>
  </conditionalFormatting>
  <conditionalFormatting sqref="FY10">
    <cfRule type="cellIs" dxfId="80" priority="33" operator="greaterThan">
      <formula>0</formula>
    </cfRule>
  </conditionalFormatting>
  <conditionalFormatting sqref="FZ10:GE10">
    <cfRule type="cellIs" dxfId="79" priority="32" operator="greaterThan">
      <formula>0</formula>
    </cfRule>
  </conditionalFormatting>
  <conditionalFormatting sqref="JJ9:JK10">
    <cfRule type="cellIs" dxfId="78" priority="29" operator="notEqual">
      <formula>0</formula>
    </cfRule>
  </conditionalFormatting>
  <conditionalFormatting sqref="JJ15:JK15">
    <cfRule type="cellIs" dxfId="77" priority="28" operator="notEqual">
      <formula>0</formula>
    </cfRule>
  </conditionalFormatting>
  <conditionalFormatting sqref="KT9:KT10">
    <cfRule type="cellIs" dxfId="76" priority="27" operator="notEqual">
      <formula>0</formula>
    </cfRule>
  </conditionalFormatting>
  <conditionalFormatting sqref="FY12">
    <cfRule type="cellIs" dxfId="75" priority="26" operator="greaterThan">
      <formula>0</formula>
    </cfRule>
  </conditionalFormatting>
  <conditionalFormatting sqref="FZ12:GE12">
    <cfRule type="cellIs" dxfId="74" priority="25" operator="greaterThan">
      <formula>0</formula>
    </cfRule>
  </conditionalFormatting>
  <conditionalFormatting sqref="FY12">
    <cfRule type="cellIs" dxfId="73" priority="24" operator="greaterThan">
      <formula>0</formula>
    </cfRule>
  </conditionalFormatting>
  <conditionalFormatting sqref="FZ12:GE12">
    <cfRule type="cellIs" dxfId="72" priority="23" operator="greaterThan">
      <formula>0</formula>
    </cfRule>
  </conditionalFormatting>
  <conditionalFormatting sqref="JJ12:JK12">
    <cfRule type="cellIs" dxfId="71" priority="22" operator="notEqual">
      <formula>0</formula>
    </cfRule>
  </conditionalFormatting>
  <conditionalFormatting sqref="KT12">
    <cfRule type="cellIs" dxfId="70" priority="21" operator="notEqual">
      <formula>0</formula>
    </cfRule>
  </conditionalFormatting>
  <conditionalFormatting sqref="PA9:PC10 PA12:PC12">
    <cfRule type="cellIs" dxfId="69" priority="20" operator="equal">
      <formula>0</formula>
    </cfRule>
  </conditionalFormatting>
  <conditionalFormatting sqref="PA9:PC10 PA12:PC12">
    <cfRule type="cellIs" dxfId="68" priority="19" operator="equal">
      <formula>0</formula>
    </cfRule>
  </conditionalFormatting>
  <conditionalFormatting sqref="PA9:PC10 PA12:PC12">
    <cfRule type="cellIs" dxfId="67" priority="18" operator="equal">
      <formula>0</formula>
    </cfRule>
  </conditionalFormatting>
  <conditionalFormatting sqref="PC9:PC10 PC12">
    <cfRule type="cellIs" dxfId="66" priority="17" operator="equal">
      <formula>0</formula>
    </cfRule>
  </conditionalFormatting>
  <conditionalFormatting sqref="OZ9:OZ10 OZ12">
    <cfRule type="cellIs" dxfId="65" priority="16" operator="notEqual">
      <formula>0</formula>
    </cfRule>
  </conditionalFormatting>
  <conditionalFormatting sqref="FY11">
    <cfRule type="cellIs" dxfId="64" priority="15" operator="greaterThan">
      <formula>0</formula>
    </cfRule>
  </conditionalFormatting>
  <conditionalFormatting sqref="FZ11:GE11">
    <cfRule type="cellIs" dxfId="63" priority="14" operator="greaterThan">
      <formula>0</formula>
    </cfRule>
  </conditionalFormatting>
  <conditionalFormatting sqref="FY11">
    <cfRule type="cellIs" dxfId="62" priority="13" operator="greaterThan">
      <formula>0</formula>
    </cfRule>
  </conditionalFormatting>
  <conditionalFormatting sqref="FZ11:GE11">
    <cfRule type="cellIs" dxfId="61" priority="12" operator="greaterThan">
      <formula>0</formula>
    </cfRule>
  </conditionalFormatting>
  <conditionalFormatting sqref="JJ11:JK11">
    <cfRule type="cellIs" dxfId="60" priority="11" operator="notEqual">
      <formula>0</formula>
    </cfRule>
  </conditionalFormatting>
  <conditionalFormatting sqref="KT11">
    <cfRule type="cellIs" dxfId="59" priority="10" operator="notEqual">
      <formula>0</formula>
    </cfRule>
  </conditionalFormatting>
  <conditionalFormatting sqref="PA11:PC11">
    <cfRule type="cellIs" dxfId="58" priority="9" operator="equal">
      <formula>0</formula>
    </cfRule>
  </conditionalFormatting>
  <conditionalFormatting sqref="PA11:PC11">
    <cfRule type="cellIs" dxfId="57" priority="8" operator="equal">
      <formula>0</formula>
    </cfRule>
  </conditionalFormatting>
  <conditionalFormatting sqref="PA11:PC11">
    <cfRule type="cellIs" dxfId="56" priority="7" operator="equal">
      <formula>0</formula>
    </cfRule>
  </conditionalFormatting>
  <conditionalFormatting sqref="PC11">
    <cfRule type="cellIs" dxfId="55" priority="6" operator="equal">
      <formula>0</formula>
    </cfRule>
  </conditionalFormatting>
  <conditionalFormatting sqref="OZ11">
    <cfRule type="cellIs" dxfId="54" priority="5" operator="notEqual">
      <formula>0</formula>
    </cfRule>
  </conditionalFormatting>
  <conditionalFormatting sqref="PD9:PF12">
    <cfRule type="cellIs" dxfId="53" priority="4" operator="equal">
      <formula>0</formula>
    </cfRule>
  </conditionalFormatting>
  <conditionalFormatting sqref="PD9:PF12">
    <cfRule type="cellIs" dxfId="52" priority="3" operator="equal">
      <formula>0</formula>
    </cfRule>
  </conditionalFormatting>
  <conditionalFormatting sqref="PD9:PF12">
    <cfRule type="cellIs" dxfId="51" priority="2" operator="equal">
      <formula>0</formula>
    </cfRule>
  </conditionalFormatting>
  <conditionalFormatting sqref="PD9:PF12">
    <cfRule type="cellIs" dxfId="50" priority="1" operator="equal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PQ78"/>
  <sheetViews>
    <sheetView showGridLines="0" zoomScale="92" zoomScaleNormal="70" workbookViewId="0">
      <pane xSplit="5" ySplit="8" topLeftCell="PA46" activePane="bottomRight" state="frozen"/>
      <selection activeCell="PL48" sqref="PL48"/>
      <selection pane="topRight" activeCell="PL48" sqref="PL48"/>
      <selection pane="bottomLeft" activeCell="PL48" sqref="PL48"/>
      <selection pane="bottomRight" activeCell="PF72" sqref="PF72"/>
    </sheetView>
  </sheetViews>
  <sheetFormatPr baseColWidth="10" defaultColWidth="8.5" defaultRowHeight="15" x14ac:dyDescent="0.2"/>
  <cols>
    <col min="1" max="1" width="9.5" customWidth="1"/>
    <col min="2" max="2" width="31.5" bestFit="1" customWidth="1"/>
    <col min="3" max="3" width="10.5" bestFit="1" customWidth="1"/>
    <col min="4" max="4" width="7.5" bestFit="1" customWidth="1"/>
    <col min="5" max="5" width="10" bestFit="1" customWidth="1"/>
    <col min="6" max="6" width="7.5" bestFit="1" customWidth="1"/>
    <col min="7" max="8" width="10.5" bestFit="1" customWidth="1"/>
    <col min="9" max="9" width="11.5" bestFit="1" customWidth="1"/>
    <col min="10" max="10" width="7.5" bestFit="1" customWidth="1"/>
    <col min="11" max="12" width="10.5" bestFit="1" customWidth="1"/>
    <col min="13" max="13" width="8.5" bestFit="1" customWidth="1"/>
    <col min="14" max="14" width="7.5" bestFit="1" customWidth="1"/>
    <col min="15" max="15" width="8.5" bestFit="1" customWidth="1"/>
    <col min="16" max="16" width="10.5" bestFit="1" customWidth="1"/>
    <col min="17" max="17" width="8.5" bestFit="1" customWidth="1"/>
    <col min="18" max="18" width="7.5" bestFit="1" customWidth="1"/>
    <col min="19" max="19" width="8.5" bestFit="1" customWidth="1"/>
    <col min="20" max="20" width="10.5" bestFit="1" customWidth="1"/>
    <col min="21" max="21" width="8.5" bestFit="1" customWidth="1"/>
    <col min="22" max="23" width="7.5" bestFit="1" customWidth="1"/>
    <col min="24" max="24" width="10.5" bestFit="1" customWidth="1"/>
    <col min="25" max="25" width="8.5" bestFit="1" customWidth="1"/>
    <col min="26" max="26" width="11.5" bestFit="1" customWidth="1"/>
    <col min="27" max="31" width="11.5" customWidth="1"/>
    <col min="32" max="32" width="16.5" customWidth="1"/>
    <col min="33" max="33" width="17.5" customWidth="1"/>
    <col min="34" max="34" width="25.5" bestFit="1" customWidth="1"/>
    <col min="37" max="37" width="21.5" bestFit="1" customWidth="1"/>
    <col min="38" max="38" width="14.5" customWidth="1"/>
    <col min="39" max="39" width="15.5" customWidth="1"/>
    <col min="40" max="40" width="23.5" customWidth="1"/>
    <col min="66" max="66" width="14.5" customWidth="1"/>
    <col min="135" max="135" width="83.5" bestFit="1" customWidth="1"/>
    <col min="137" max="138" width="12.5" customWidth="1"/>
    <col min="139" max="177" width="15.5" customWidth="1"/>
    <col min="273" max="273" width="10" bestFit="1" customWidth="1"/>
    <col min="292" max="292" width="10.5" customWidth="1"/>
    <col min="306" max="306" width="15.5" bestFit="1" customWidth="1"/>
    <col min="390" max="390" width="13.5" bestFit="1" customWidth="1"/>
    <col min="391" max="391" width="11.5" bestFit="1" customWidth="1"/>
    <col min="392" max="392" width="10.5" bestFit="1" customWidth="1"/>
    <col min="421" max="421" width="16.5" customWidth="1"/>
  </cols>
  <sheetData>
    <row r="1" spans="1:433" ht="24" x14ac:dyDescent="0.2">
      <c r="A1" s="1" t="s">
        <v>0</v>
      </c>
      <c r="B1" s="2"/>
      <c r="C1" s="2"/>
      <c r="D1" s="2"/>
      <c r="E1" s="2"/>
      <c r="F1" s="2"/>
      <c r="G1" s="3"/>
      <c r="H1" s="3"/>
      <c r="I1" s="4"/>
      <c r="J1" s="4"/>
      <c r="K1" s="4"/>
      <c r="L1" s="4"/>
      <c r="M1" s="4"/>
      <c r="N1" s="4"/>
      <c r="O1" s="4"/>
      <c r="P1" s="4"/>
      <c r="Q1" s="4"/>
      <c r="R1" s="2"/>
      <c r="S1" s="2"/>
      <c r="T1" s="2"/>
      <c r="U1" s="2"/>
      <c r="V1" s="5"/>
      <c r="W1" s="5"/>
      <c r="X1" s="5"/>
      <c r="Y1" s="5"/>
      <c r="Z1" s="2"/>
      <c r="AA1" s="7"/>
      <c r="AB1" s="7"/>
      <c r="AC1" s="7"/>
      <c r="AD1" s="7"/>
      <c r="AE1" s="7"/>
      <c r="AF1" s="34" t="s">
        <v>294</v>
      </c>
      <c r="AG1" s="34" t="s">
        <v>296</v>
      </c>
      <c r="BF1" s="34" t="s">
        <v>294</v>
      </c>
      <c r="BG1" s="34"/>
      <c r="BH1" s="34" t="s">
        <v>296</v>
      </c>
      <c r="EI1" s="47">
        <v>1</v>
      </c>
      <c r="EJ1" s="47">
        <f>EI1+1</f>
        <v>2</v>
      </c>
      <c r="EK1" s="47">
        <f t="shared" ref="EK1:FF1" si="0">EJ1+1</f>
        <v>3</v>
      </c>
      <c r="EL1" s="47">
        <f t="shared" si="0"/>
        <v>4</v>
      </c>
      <c r="EM1" s="47">
        <f t="shared" si="0"/>
        <v>5</v>
      </c>
      <c r="EN1" s="47">
        <f t="shared" si="0"/>
        <v>6</v>
      </c>
      <c r="EO1" s="47">
        <f t="shared" si="0"/>
        <v>7</v>
      </c>
      <c r="EP1" s="47">
        <f t="shared" si="0"/>
        <v>8</v>
      </c>
      <c r="EQ1" s="47">
        <f t="shared" si="0"/>
        <v>9</v>
      </c>
      <c r="ER1" s="47">
        <f t="shared" si="0"/>
        <v>10</v>
      </c>
      <c r="ES1" s="47">
        <f t="shared" si="0"/>
        <v>11</v>
      </c>
      <c r="ET1" s="47">
        <f t="shared" si="0"/>
        <v>12</v>
      </c>
      <c r="EU1" s="47">
        <f t="shared" si="0"/>
        <v>13</v>
      </c>
      <c r="EV1" s="47">
        <f t="shared" si="0"/>
        <v>14</v>
      </c>
      <c r="EW1" s="47">
        <f t="shared" si="0"/>
        <v>15</v>
      </c>
      <c r="EX1" s="47">
        <f t="shared" si="0"/>
        <v>16</v>
      </c>
      <c r="EY1" s="47">
        <f t="shared" si="0"/>
        <v>17</v>
      </c>
      <c r="EZ1" s="47">
        <f t="shared" si="0"/>
        <v>18</v>
      </c>
      <c r="FA1" s="47">
        <f t="shared" si="0"/>
        <v>19</v>
      </c>
      <c r="FB1" s="47">
        <f t="shared" si="0"/>
        <v>20</v>
      </c>
      <c r="FC1" s="47">
        <f t="shared" si="0"/>
        <v>21</v>
      </c>
      <c r="FD1" s="47">
        <f t="shared" si="0"/>
        <v>22</v>
      </c>
      <c r="FE1" s="47">
        <f t="shared" si="0"/>
        <v>23</v>
      </c>
      <c r="FF1" s="47">
        <f t="shared" si="0"/>
        <v>24</v>
      </c>
      <c r="FH1" s="47">
        <f t="shared" ref="FH1:FV1" si="1">FG1+1</f>
        <v>1</v>
      </c>
      <c r="FI1" s="47">
        <f t="shared" si="1"/>
        <v>2</v>
      </c>
      <c r="FJ1" s="47">
        <f t="shared" si="1"/>
        <v>3</v>
      </c>
      <c r="FK1" s="47">
        <f t="shared" si="1"/>
        <v>4</v>
      </c>
      <c r="FL1" s="47">
        <f t="shared" si="1"/>
        <v>5</v>
      </c>
      <c r="FM1" s="47">
        <f t="shared" si="1"/>
        <v>6</v>
      </c>
      <c r="FN1" s="47">
        <f t="shared" si="1"/>
        <v>7</v>
      </c>
      <c r="FO1" s="47">
        <f t="shared" si="1"/>
        <v>8</v>
      </c>
      <c r="FP1" s="47">
        <f t="shared" si="1"/>
        <v>9</v>
      </c>
      <c r="FQ1" s="47">
        <f t="shared" si="1"/>
        <v>10</v>
      </c>
      <c r="FR1" s="47">
        <f t="shared" si="1"/>
        <v>11</v>
      </c>
      <c r="FS1" s="47">
        <f t="shared" si="1"/>
        <v>12</v>
      </c>
      <c r="FT1" s="47">
        <f t="shared" si="1"/>
        <v>13</v>
      </c>
      <c r="FU1" s="47">
        <f t="shared" si="1"/>
        <v>14</v>
      </c>
      <c r="FV1" s="47">
        <f t="shared" si="1"/>
        <v>15</v>
      </c>
      <c r="GO1" s="83"/>
      <c r="GP1" s="83"/>
      <c r="GQ1" s="83"/>
      <c r="GR1" s="83"/>
      <c r="GS1" s="83"/>
      <c r="GT1" s="83"/>
      <c r="GU1" s="83"/>
      <c r="GV1" s="83"/>
      <c r="GW1" s="83"/>
      <c r="GX1" s="83"/>
      <c r="GY1" s="83"/>
      <c r="GZ1" s="83"/>
      <c r="HA1" s="83"/>
      <c r="HB1" s="83"/>
      <c r="HC1" s="83"/>
      <c r="HD1" s="83"/>
      <c r="HE1" s="83"/>
      <c r="HF1" s="83"/>
      <c r="HG1" s="83"/>
      <c r="HH1" s="83"/>
      <c r="HI1" s="83"/>
      <c r="HJ1" s="83"/>
      <c r="HK1" s="83"/>
      <c r="HL1" s="83"/>
      <c r="HM1" s="83"/>
      <c r="HN1" s="83"/>
      <c r="HO1" s="83"/>
      <c r="HP1" s="84"/>
      <c r="HQ1" s="84"/>
      <c r="HR1" s="84"/>
      <c r="HS1" s="84" t="s">
        <v>425</v>
      </c>
      <c r="HT1" s="84"/>
      <c r="HU1" s="84"/>
      <c r="HV1" s="84"/>
      <c r="HW1" s="84"/>
      <c r="HX1" s="84"/>
      <c r="HY1" s="84"/>
      <c r="HZ1" s="84"/>
      <c r="IA1" s="84"/>
      <c r="IB1" s="84"/>
      <c r="IC1" s="84"/>
      <c r="ID1" s="84"/>
      <c r="IE1" s="84"/>
      <c r="IF1" s="84"/>
      <c r="IG1" s="84"/>
      <c r="IH1" s="84"/>
      <c r="II1" s="84"/>
      <c r="IJ1" s="84"/>
      <c r="IK1" s="84"/>
      <c r="IL1" s="84"/>
      <c r="IM1" s="83"/>
      <c r="IN1" s="83"/>
      <c r="IO1" s="83"/>
      <c r="IP1" s="83"/>
      <c r="IQ1" s="83"/>
      <c r="IR1" s="83"/>
      <c r="IS1" s="83"/>
      <c r="IT1" s="83"/>
      <c r="IU1" s="83"/>
      <c r="IV1" s="83"/>
      <c r="IW1" s="83"/>
      <c r="IX1" s="83"/>
      <c r="IY1" s="83"/>
      <c r="IZ1" s="83"/>
      <c r="JA1" s="83"/>
      <c r="JB1" s="83"/>
      <c r="JC1" s="83"/>
      <c r="JD1" s="83"/>
      <c r="JE1" s="83"/>
      <c r="JF1" s="83"/>
      <c r="JG1" s="83"/>
      <c r="JH1" s="83"/>
      <c r="JI1" s="83"/>
      <c r="JJ1" s="83"/>
      <c r="JK1" s="83"/>
      <c r="KS1">
        <v>1</v>
      </c>
      <c r="KT1" t="s">
        <v>580</v>
      </c>
      <c r="PO1" s="557" t="s">
        <v>630</v>
      </c>
      <c r="PP1" s="558"/>
      <c r="PQ1" s="559"/>
    </row>
    <row r="2" spans="1:433" ht="23.75" customHeight="1" x14ac:dyDescent="0.2">
      <c r="A2" s="6" t="s">
        <v>27</v>
      </c>
      <c r="B2" s="7"/>
      <c r="C2" s="7"/>
      <c r="D2" s="7"/>
      <c r="E2" s="7"/>
      <c r="F2" s="7"/>
      <c r="G2" s="8"/>
      <c r="H2" s="8"/>
      <c r="I2" s="9"/>
      <c r="J2" s="9"/>
      <c r="K2" s="9"/>
      <c r="L2" s="9"/>
      <c r="M2" s="9"/>
      <c r="N2" s="9"/>
      <c r="O2" s="9"/>
      <c r="P2" s="9"/>
      <c r="Q2" s="9"/>
      <c r="R2" s="7"/>
      <c r="S2" s="7"/>
      <c r="T2" s="7"/>
      <c r="U2" s="7"/>
      <c r="V2" s="10"/>
      <c r="W2" s="10"/>
      <c r="X2" s="10"/>
      <c r="Y2" s="10"/>
      <c r="Z2" s="7"/>
      <c r="AA2" s="7"/>
      <c r="AB2" s="7"/>
      <c r="AC2" s="7"/>
      <c r="AD2" s="7"/>
      <c r="AE2" s="7"/>
      <c r="AF2" s="34" t="s">
        <v>295</v>
      </c>
      <c r="AG2" s="35" t="s">
        <v>297</v>
      </c>
      <c r="BF2" s="34" t="s">
        <v>295</v>
      </c>
      <c r="BG2" s="34"/>
      <c r="BH2" s="35" t="s">
        <v>297</v>
      </c>
      <c r="BN2" s="30" t="s">
        <v>338</v>
      </c>
      <c r="CD2" s="30" t="s">
        <v>338</v>
      </c>
      <c r="ED2" s="48"/>
      <c r="EE2" s="49"/>
      <c r="EG2" s="533" t="s">
        <v>388</v>
      </c>
      <c r="EH2" s="533" t="s">
        <v>352</v>
      </c>
      <c r="EI2" s="429" t="s">
        <v>387</v>
      </c>
      <c r="EJ2" s="429" t="s">
        <v>482</v>
      </c>
      <c r="EK2" s="507" t="s">
        <v>483</v>
      </c>
      <c r="EL2" s="508"/>
      <c r="EM2" s="508"/>
      <c r="EN2" s="508"/>
      <c r="EO2" s="508"/>
      <c r="EP2" s="509"/>
      <c r="EQ2" s="429" t="s">
        <v>353</v>
      </c>
      <c r="ER2" s="429" t="s">
        <v>484</v>
      </c>
      <c r="ES2" s="429" t="s">
        <v>354</v>
      </c>
      <c r="ET2" s="429" t="s">
        <v>397</v>
      </c>
      <c r="EU2" s="429" t="s">
        <v>485</v>
      </c>
      <c r="EV2" s="429" t="s">
        <v>355</v>
      </c>
      <c r="EW2" s="507" t="s">
        <v>486</v>
      </c>
      <c r="EX2" s="508"/>
      <c r="EY2" s="509"/>
      <c r="EZ2" s="429" t="s">
        <v>356</v>
      </c>
      <c r="FA2" s="429" t="s">
        <v>357</v>
      </c>
      <c r="FB2" s="429" t="s">
        <v>358</v>
      </c>
      <c r="FC2" s="429" t="s">
        <v>623</v>
      </c>
      <c r="FD2" s="429" t="s">
        <v>359</v>
      </c>
      <c r="FE2" s="429" t="s">
        <v>360</v>
      </c>
      <c r="FF2" s="429" t="s">
        <v>629</v>
      </c>
      <c r="FH2" s="429" t="s">
        <v>11</v>
      </c>
      <c r="FI2" s="429" t="s">
        <v>487</v>
      </c>
      <c r="FJ2" s="429" t="s">
        <v>488</v>
      </c>
      <c r="FK2" s="429" t="s">
        <v>489</v>
      </c>
      <c r="FL2" s="429" t="s">
        <v>490</v>
      </c>
      <c r="FM2" s="429" t="s">
        <v>491</v>
      </c>
      <c r="FN2" s="429" t="s">
        <v>492</v>
      </c>
      <c r="FO2" s="429" t="s">
        <v>493</v>
      </c>
      <c r="FP2" s="429" t="s">
        <v>494</v>
      </c>
      <c r="FQ2" s="429" t="s">
        <v>495</v>
      </c>
      <c r="FR2" s="429" t="s">
        <v>496</v>
      </c>
      <c r="FS2" s="429" t="s">
        <v>497</v>
      </c>
      <c r="FT2" s="429" t="s">
        <v>498</v>
      </c>
      <c r="FU2" s="429" t="s">
        <v>499</v>
      </c>
      <c r="FV2" s="429" t="s">
        <v>500</v>
      </c>
      <c r="GO2" s="83"/>
      <c r="GP2" s="83"/>
      <c r="GQ2" s="83"/>
      <c r="GR2" s="83"/>
      <c r="GS2" s="83"/>
      <c r="GT2" s="83"/>
      <c r="GU2" s="83" t="s">
        <v>467</v>
      </c>
      <c r="GV2" s="83"/>
      <c r="GW2" s="83"/>
      <c r="GX2" s="83"/>
      <c r="GY2" s="83"/>
      <c r="GZ2" s="83"/>
      <c r="HA2" s="83"/>
      <c r="HB2" s="83"/>
      <c r="HC2" s="83"/>
      <c r="HD2" s="83"/>
      <c r="HE2" s="83"/>
      <c r="HF2" s="83"/>
      <c r="HG2" s="83"/>
      <c r="HH2" s="83"/>
      <c r="HI2" s="83"/>
      <c r="HJ2" s="83"/>
      <c r="HK2" s="83"/>
      <c r="HL2" s="83"/>
      <c r="HM2" s="83"/>
      <c r="HN2" s="83"/>
      <c r="HO2" s="83"/>
      <c r="HP2" s="82"/>
      <c r="HQ2" s="82"/>
      <c r="HR2" s="82"/>
      <c r="HS2" t="s">
        <v>426</v>
      </c>
      <c r="HT2" s="82"/>
      <c r="HU2" s="82"/>
      <c r="HV2" s="82"/>
      <c r="HW2" s="82"/>
      <c r="HX2" s="82"/>
      <c r="HY2" s="82"/>
      <c r="HZ2" s="82"/>
      <c r="IA2" s="82"/>
      <c r="IB2" s="82"/>
      <c r="IC2" s="82"/>
      <c r="ID2" s="82"/>
      <c r="IE2" s="82"/>
      <c r="IF2" s="82"/>
      <c r="IG2" s="82"/>
      <c r="IH2" s="82"/>
      <c r="II2" s="82"/>
      <c r="IJ2" s="82"/>
      <c r="IK2" s="82"/>
      <c r="IL2" s="82"/>
      <c r="IM2" s="83"/>
      <c r="IN2" s="83"/>
      <c r="IO2" s="83"/>
      <c r="IP2" s="83"/>
      <c r="IQ2" s="83"/>
      <c r="IR2" s="83"/>
      <c r="IS2" s="83"/>
      <c r="IT2" s="83"/>
      <c r="IU2" s="83"/>
      <c r="IV2" s="83"/>
      <c r="IW2" s="83"/>
      <c r="IX2" s="83"/>
      <c r="IY2" s="83"/>
      <c r="IZ2" s="83"/>
      <c r="JA2" s="83"/>
      <c r="JB2" s="83"/>
      <c r="JC2" s="83"/>
      <c r="JD2" s="83"/>
      <c r="JE2" s="83"/>
      <c r="JF2" s="83"/>
      <c r="JG2" s="83"/>
      <c r="JH2" s="83"/>
      <c r="JI2" s="83"/>
      <c r="JJ2" s="83"/>
      <c r="JK2" s="83"/>
      <c r="JP2" s="30" t="s">
        <v>338</v>
      </c>
      <c r="KB2" s="121" t="s">
        <v>477</v>
      </c>
      <c r="KF2" s="30" t="s">
        <v>338</v>
      </c>
      <c r="KR2" s="121" t="s">
        <v>477</v>
      </c>
      <c r="KS2">
        <v>2</v>
      </c>
      <c r="KT2" t="s">
        <v>581</v>
      </c>
      <c r="PO2" s="560" t="s">
        <v>623</v>
      </c>
      <c r="PP2" s="563" t="s">
        <v>629</v>
      </c>
      <c r="PQ2" s="563" t="s">
        <v>631</v>
      </c>
    </row>
    <row r="3" spans="1:433" ht="24" x14ac:dyDescent="0.2">
      <c r="A3" s="6" t="s">
        <v>424</v>
      </c>
      <c r="B3" s="82"/>
      <c r="C3" s="6"/>
      <c r="D3" s="584">
        <f>Jaticempaka!D3</f>
        <v>44201</v>
      </c>
      <c r="E3" s="585"/>
      <c r="F3" s="7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7"/>
      <c r="S3" s="7"/>
      <c r="T3" s="7"/>
      <c r="U3" s="7"/>
      <c r="V3" s="10"/>
      <c r="W3" s="10"/>
      <c r="X3" s="10"/>
      <c r="Y3" s="10"/>
      <c r="Z3" s="7"/>
      <c r="AA3" s="7"/>
      <c r="AB3" s="7"/>
      <c r="AC3" s="7"/>
      <c r="AD3" s="7"/>
      <c r="AE3" s="7"/>
      <c r="AF3" s="33"/>
      <c r="AG3" s="33"/>
      <c r="BF3" s="33"/>
      <c r="BG3" s="36"/>
      <c r="BH3" s="36"/>
      <c r="BN3" s="46" t="s">
        <v>336</v>
      </c>
      <c r="BO3" s="529" t="s">
        <v>337</v>
      </c>
      <c r="BP3" s="529"/>
      <c r="BQ3" s="529"/>
      <c r="BR3" s="529"/>
      <c r="BS3" s="529"/>
      <c r="BT3" s="529"/>
      <c r="BU3" s="529"/>
      <c r="BV3" s="529"/>
      <c r="BW3" s="529"/>
      <c r="BX3" s="529"/>
      <c r="BY3" s="529"/>
      <c r="BZ3" s="529"/>
      <c r="CB3" s="30" t="s">
        <v>340</v>
      </c>
      <c r="CD3" s="46"/>
      <c r="CE3" s="529"/>
      <c r="CF3" s="529"/>
      <c r="CG3" s="529"/>
      <c r="CH3" s="529"/>
      <c r="CI3" s="529"/>
      <c r="CJ3" s="529"/>
      <c r="CK3" s="529"/>
      <c r="CL3" s="529"/>
      <c r="CM3" s="529"/>
      <c r="CN3" s="529"/>
      <c r="CO3" s="529"/>
      <c r="CP3" s="529"/>
      <c r="ED3" s="50"/>
      <c r="EE3" s="51"/>
      <c r="EG3" s="533"/>
      <c r="EH3" s="533"/>
      <c r="EI3" s="429"/>
      <c r="EJ3" s="429"/>
      <c r="EK3" s="510" t="s">
        <v>308</v>
      </c>
      <c r="EL3" s="510" t="s">
        <v>501</v>
      </c>
      <c r="EM3" s="510" t="s">
        <v>502</v>
      </c>
      <c r="EN3" s="510" t="s">
        <v>503</v>
      </c>
      <c r="EO3" s="510"/>
      <c r="EP3" s="510"/>
      <c r="EQ3" s="429"/>
      <c r="ER3" s="429"/>
      <c r="ES3" s="429"/>
      <c r="ET3" s="429"/>
      <c r="EU3" s="429"/>
      <c r="EV3" s="429"/>
      <c r="EW3" s="510" t="s">
        <v>504</v>
      </c>
      <c r="EX3" s="510" t="s">
        <v>309</v>
      </c>
      <c r="EY3" s="510" t="s">
        <v>505</v>
      </c>
      <c r="EZ3" s="429"/>
      <c r="FA3" s="429"/>
      <c r="FB3" s="429"/>
      <c r="FC3" s="429"/>
      <c r="FD3" s="429"/>
      <c r="FE3" s="429"/>
      <c r="FF3" s="429"/>
      <c r="FH3" s="429"/>
      <c r="FI3" s="429"/>
      <c r="FJ3" s="429"/>
      <c r="FK3" s="429"/>
      <c r="FL3" s="429"/>
      <c r="FM3" s="429"/>
      <c r="FN3" s="429"/>
      <c r="FO3" s="429"/>
      <c r="FP3" s="429"/>
      <c r="FQ3" s="429"/>
      <c r="FR3" s="429"/>
      <c r="FS3" s="429"/>
      <c r="FT3" s="429"/>
      <c r="FU3" s="429"/>
      <c r="FV3" s="429"/>
      <c r="GU3" s="85">
        <v>43243</v>
      </c>
      <c r="GX3" s="519" t="s">
        <v>427</v>
      </c>
      <c r="GY3" s="520"/>
      <c r="GZ3" s="86"/>
      <c r="HA3" s="83"/>
      <c r="HB3" s="83"/>
      <c r="HC3" s="86"/>
      <c r="HD3" s="86"/>
      <c r="HE3" s="86"/>
      <c r="HF3" s="82"/>
      <c r="HG3" s="82"/>
      <c r="HH3" s="82" t="s">
        <v>428</v>
      </c>
      <c r="HI3" s="82"/>
      <c r="HJ3" s="86"/>
      <c r="HK3" s="82"/>
      <c r="HL3" s="83"/>
      <c r="HM3" s="83"/>
      <c r="HN3" s="83"/>
      <c r="HO3" s="83"/>
      <c r="HP3" s="86"/>
      <c r="HQ3" s="86"/>
      <c r="HR3" s="86"/>
      <c r="HS3" t="s">
        <v>429</v>
      </c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 t="s">
        <v>430</v>
      </c>
      <c r="II3" s="86"/>
      <c r="IJ3" s="86"/>
      <c r="IK3" s="86"/>
      <c r="IL3" s="86"/>
      <c r="IM3" s="83"/>
      <c r="IN3" s="83"/>
      <c r="IO3" s="83"/>
      <c r="IP3" s="83"/>
      <c r="IQ3" s="83"/>
      <c r="IR3" s="83"/>
      <c r="IS3" s="83"/>
      <c r="IT3" s="83"/>
      <c r="IU3" s="83"/>
      <c r="IV3" s="83"/>
      <c r="IW3" s="83"/>
      <c r="IX3" s="83"/>
      <c r="IY3" s="83"/>
      <c r="IZ3" s="83"/>
      <c r="JA3" s="83"/>
      <c r="JB3" s="83"/>
      <c r="JC3" s="83"/>
      <c r="JD3" s="83"/>
      <c r="JE3" s="83"/>
      <c r="JF3" s="83"/>
      <c r="JG3" s="83"/>
      <c r="JH3" s="83"/>
      <c r="JI3" s="83"/>
      <c r="JJ3" s="83"/>
      <c r="JK3" s="83"/>
      <c r="JP3" s="46" t="s">
        <v>336</v>
      </c>
      <c r="JQ3" s="529" t="s">
        <v>337</v>
      </c>
      <c r="JR3" s="529"/>
      <c r="JS3" s="529"/>
      <c r="JT3" s="529"/>
      <c r="JU3" s="529"/>
      <c r="JV3" s="529"/>
      <c r="JW3" s="529"/>
      <c r="JX3" s="529"/>
      <c r="JY3" s="529"/>
      <c r="JZ3" s="529"/>
      <c r="KA3" s="529"/>
      <c r="KB3" s="529"/>
      <c r="KF3" s="46"/>
      <c r="KG3" s="529"/>
      <c r="KH3" s="529"/>
      <c r="KI3" s="529"/>
      <c r="KJ3" s="529"/>
      <c r="KK3" s="529"/>
      <c r="KL3" s="529"/>
      <c r="KM3" s="529"/>
      <c r="KN3" s="529"/>
      <c r="KO3" s="529"/>
      <c r="KP3" s="529"/>
      <c r="KQ3" s="529"/>
      <c r="KR3" s="529"/>
      <c r="KS3">
        <v>3</v>
      </c>
      <c r="KT3" t="s">
        <v>582</v>
      </c>
      <c r="KU3" s="30" t="s">
        <v>508</v>
      </c>
      <c r="PO3" s="561"/>
      <c r="PP3" s="563"/>
      <c r="PQ3" s="563"/>
    </row>
    <row r="4" spans="1:433" ht="18" customHeight="1" thickBot="1" x14ac:dyDescent="0.25">
      <c r="A4" s="479" t="s">
        <v>1</v>
      </c>
      <c r="B4" s="479" t="s">
        <v>2</v>
      </c>
      <c r="C4" s="479" t="s">
        <v>3</v>
      </c>
      <c r="D4" s="482" t="s">
        <v>4</v>
      </c>
      <c r="E4" s="483"/>
      <c r="F4" s="499" t="s">
        <v>5</v>
      </c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0"/>
      <c r="AA4" s="500"/>
      <c r="AB4" s="500"/>
      <c r="AC4" s="500"/>
      <c r="AD4" s="500"/>
      <c r="AE4" s="501"/>
      <c r="AF4" s="431" t="s">
        <v>298</v>
      </c>
      <c r="AG4" s="432"/>
      <c r="AH4" s="433"/>
      <c r="AI4" s="496" t="s">
        <v>261</v>
      </c>
      <c r="AJ4" s="497"/>
      <c r="AK4" s="498"/>
      <c r="AL4" s="573" t="s">
        <v>292</v>
      </c>
      <c r="AM4" s="574"/>
      <c r="AN4" s="566" t="s">
        <v>312</v>
      </c>
      <c r="BB4" s="570" t="s">
        <v>349</v>
      </c>
      <c r="BE4" s="431" t="s">
        <v>298</v>
      </c>
      <c r="BF4" s="432"/>
      <c r="BG4" s="432"/>
      <c r="BH4" s="432"/>
      <c r="BI4" s="432"/>
      <c r="BJ4" s="432"/>
      <c r="BK4" s="433"/>
      <c r="BN4" s="400" t="s">
        <v>319</v>
      </c>
      <c r="BO4" s="397" t="s">
        <v>320</v>
      </c>
      <c r="BP4" s="468" t="s">
        <v>321</v>
      </c>
      <c r="BQ4" s="468"/>
      <c r="BR4" s="468"/>
      <c r="BS4" s="468"/>
      <c r="BT4" s="468"/>
      <c r="BU4" s="468"/>
      <c r="BV4" s="468"/>
      <c r="BW4" s="468"/>
      <c r="BX4" s="468"/>
      <c r="BY4" s="468"/>
      <c r="BZ4" s="468"/>
      <c r="CB4" s="469" t="s">
        <v>339</v>
      </c>
      <c r="CD4" s="400" t="s">
        <v>319</v>
      </c>
      <c r="CE4" s="397" t="s">
        <v>320</v>
      </c>
      <c r="CF4" s="468" t="s">
        <v>321</v>
      </c>
      <c r="CG4" s="468"/>
      <c r="CH4" s="468"/>
      <c r="CI4" s="468"/>
      <c r="CJ4" s="468"/>
      <c r="CK4" s="468"/>
      <c r="CL4" s="468"/>
      <c r="CM4" s="468"/>
      <c r="CN4" s="468"/>
      <c r="CO4" s="468"/>
      <c r="CP4" s="468"/>
      <c r="DV4" s="513" t="s">
        <v>350</v>
      </c>
      <c r="DW4" s="514"/>
      <c r="DX4" s="514"/>
      <c r="DY4" s="514"/>
      <c r="DZ4" s="514"/>
      <c r="EA4" s="514"/>
      <c r="EB4" s="515"/>
      <c r="ED4" s="50"/>
      <c r="EE4" s="51"/>
      <c r="EG4" s="533"/>
      <c r="EH4" s="533"/>
      <c r="EI4" s="429"/>
      <c r="EJ4" s="429"/>
      <c r="EK4" s="511"/>
      <c r="EL4" s="511"/>
      <c r="EM4" s="511"/>
      <c r="EN4" s="511"/>
      <c r="EO4" s="511"/>
      <c r="EP4" s="511"/>
      <c r="EQ4" s="429"/>
      <c r="ER4" s="429"/>
      <c r="ES4" s="429"/>
      <c r="ET4" s="429"/>
      <c r="EU4" s="429"/>
      <c r="EV4" s="429"/>
      <c r="EW4" s="511"/>
      <c r="EX4" s="511"/>
      <c r="EY4" s="511"/>
      <c r="EZ4" s="429"/>
      <c r="FA4" s="429"/>
      <c r="FB4" s="429"/>
      <c r="FC4" s="429"/>
      <c r="FD4" s="429"/>
      <c r="FE4" s="429"/>
      <c r="FF4" s="429"/>
      <c r="FH4" s="429"/>
      <c r="FI4" s="429"/>
      <c r="FJ4" s="429"/>
      <c r="FK4" s="429"/>
      <c r="FL4" s="429"/>
      <c r="FM4" s="429"/>
      <c r="FN4" s="429"/>
      <c r="FO4" s="429"/>
      <c r="FP4" s="429"/>
      <c r="FQ4" s="429"/>
      <c r="FR4" s="429"/>
      <c r="FS4" s="429"/>
      <c r="FT4" s="429"/>
      <c r="FU4" s="429"/>
      <c r="FV4" s="429"/>
      <c r="FX4" s="365" t="s">
        <v>624</v>
      </c>
      <c r="FY4" s="412" t="s">
        <v>319</v>
      </c>
      <c r="FZ4" s="397" t="s">
        <v>320</v>
      </c>
      <c r="GA4" s="397" t="s">
        <v>378</v>
      </c>
      <c r="GB4" s="397" t="s">
        <v>379</v>
      </c>
      <c r="GC4" s="397" t="s">
        <v>380</v>
      </c>
      <c r="GD4" s="397" t="s">
        <v>381</v>
      </c>
      <c r="GE4" s="397" t="s">
        <v>382</v>
      </c>
      <c r="GF4" s="27"/>
      <c r="GG4" s="397" t="s">
        <v>383</v>
      </c>
      <c r="GH4" s="397" t="s">
        <v>384</v>
      </c>
      <c r="GI4" s="27"/>
      <c r="GJ4" s="397" t="s">
        <v>385</v>
      </c>
      <c r="GK4" s="397" t="s">
        <v>386</v>
      </c>
      <c r="GO4" s="521" t="s">
        <v>431</v>
      </c>
      <c r="GP4" s="522"/>
      <c r="GQ4" s="522"/>
      <c r="GR4" s="522"/>
      <c r="GS4" s="522"/>
      <c r="GT4" s="523"/>
      <c r="GU4" s="87" t="s">
        <v>432</v>
      </c>
      <c r="GV4" s="521" t="s">
        <v>433</v>
      </c>
      <c r="GW4" s="523"/>
      <c r="GX4" s="88" t="s">
        <v>434</v>
      </c>
      <c r="GY4" s="89">
        <f>Jaticempaka!GY4</f>
        <v>20</v>
      </c>
      <c r="GZ4" s="423"/>
      <c r="HA4" s="83"/>
      <c r="HB4" s="83"/>
      <c r="HC4" s="426" t="s">
        <v>436</v>
      </c>
      <c r="HD4" s="427"/>
      <c r="HE4" s="427"/>
      <c r="HF4" s="427"/>
      <c r="HG4" s="427"/>
      <c r="HH4" s="427"/>
      <c r="HI4" s="428"/>
      <c r="HJ4" s="90"/>
      <c r="HK4" s="398" t="s">
        <v>437</v>
      </c>
      <c r="HL4" s="83"/>
      <c r="HM4" s="83"/>
      <c r="HN4" s="83"/>
      <c r="HO4" s="83"/>
      <c r="HS4" t="s">
        <v>438</v>
      </c>
      <c r="IM4" s="83"/>
      <c r="IN4" s="83"/>
      <c r="IO4" s="83"/>
      <c r="IP4" s="83"/>
      <c r="IQ4" s="83"/>
      <c r="IR4" s="83"/>
      <c r="IS4" s="83"/>
      <c r="IT4" s="83"/>
      <c r="IU4" s="83"/>
      <c r="IV4" s="83"/>
      <c r="IW4" s="83"/>
      <c r="IX4" s="83"/>
      <c r="IY4" s="83"/>
      <c r="IZ4" s="83"/>
      <c r="JA4" s="83"/>
      <c r="JB4" s="83"/>
      <c r="JC4" s="83"/>
      <c r="JD4" s="83"/>
      <c r="JE4" s="83"/>
      <c r="JF4" s="83"/>
      <c r="JG4" s="83"/>
      <c r="JH4" s="83"/>
      <c r="JI4" s="83"/>
      <c r="JJ4" s="83"/>
      <c r="JK4" s="83"/>
      <c r="JP4" s="400" t="s">
        <v>319</v>
      </c>
      <c r="JQ4" s="397" t="s">
        <v>320</v>
      </c>
      <c r="JR4" s="468" t="s">
        <v>321</v>
      </c>
      <c r="JS4" s="468"/>
      <c r="JT4" s="468"/>
      <c r="JU4" s="468"/>
      <c r="JV4" s="468"/>
      <c r="JW4" s="468"/>
      <c r="JX4" s="468"/>
      <c r="JY4" s="468"/>
      <c r="JZ4" s="468"/>
      <c r="KA4" s="468"/>
      <c r="KB4" s="468"/>
      <c r="KD4" s="400" t="s">
        <v>626</v>
      </c>
      <c r="KE4" s="400" t="s">
        <v>627</v>
      </c>
      <c r="KF4" s="400" t="s">
        <v>319</v>
      </c>
      <c r="KG4" s="397" t="s">
        <v>320</v>
      </c>
      <c r="KH4" s="468" t="s">
        <v>321</v>
      </c>
      <c r="KI4" s="468"/>
      <c r="KJ4" s="468"/>
      <c r="KK4" s="468"/>
      <c r="KL4" s="468"/>
      <c r="KM4" s="468"/>
      <c r="KN4" s="468"/>
      <c r="KO4" s="468"/>
      <c r="KP4" s="468"/>
      <c r="KQ4" s="468"/>
      <c r="KR4" s="468"/>
      <c r="KS4">
        <v>4</v>
      </c>
      <c r="KT4" t="s">
        <v>583</v>
      </c>
      <c r="LF4">
        <v>1</v>
      </c>
      <c r="LM4">
        <v>2</v>
      </c>
      <c r="LT4">
        <v>3</v>
      </c>
      <c r="MA4">
        <v>4</v>
      </c>
      <c r="MK4">
        <v>5</v>
      </c>
      <c r="MP4">
        <v>6</v>
      </c>
      <c r="MX4">
        <v>7</v>
      </c>
      <c r="NZ4" s="341" t="s">
        <v>592</v>
      </c>
      <c r="PO4" s="561"/>
      <c r="PP4" s="563"/>
      <c r="PQ4" s="563"/>
    </row>
    <row r="5" spans="1:433" ht="18" customHeight="1" x14ac:dyDescent="0.2">
      <c r="A5" s="480"/>
      <c r="B5" s="480"/>
      <c r="C5" s="480"/>
      <c r="D5" s="484"/>
      <c r="E5" s="485"/>
      <c r="F5" s="493" t="s">
        <v>6</v>
      </c>
      <c r="G5" s="493"/>
      <c r="H5" s="493"/>
      <c r="I5" s="493"/>
      <c r="J5" s="496" t="s">
        <v>283</v>
      </c>
      <c r="K5" s="497" t="s">
        <v>283</v>
      </c>
      <c r="L5" s="497" t="s">
        <v>283</v>
      </c>
      <c r="M5" s="497" t="s">
        <v>283</v>
      </c>
      <c r="N5" s="497" t="s">
        <v>283</v>
      </c>
      <c r="O5" s="497" t="s">
        <v>283</v>
      </c>
      <c r="P5" s="497" t="s">
        <v>283</v>
      </c>
      <c r="Q5" s="498" t="s">
        <v>283</v>
      </c>
      <c r="R5" s="493" t="s">
        <v>8</v>
      </c>
      <c r="S5" s="493"/>
      <c r="T5" s="493"/>
      <c r="U5" s="493"/>
      <c r="V5" s="493" t="s">
        <v>9</v>
      </c>
      <c r="W5" s="493"/>
      <c r="X5" s="493"/>
      <c r="Y5" s="493"/>
      <c r="Z5" s="493"/>
      <c r="AA5" s="502" t="s">
        <v>396</v>
      </c>
      <c r="AB5" s="502"/>
      <c r="AC5" s="502"/>
      <c r="AD5" s="502"/>
      <c r="AE5" s="502"/>
      <c r="AF5" s="434"/>
      <c r="AG5" s="435"/>
      <c r="AH5" s="436"/>
      <c r="AI5" s="489" t="s">
        <v>262</v>
      </c>
      <c r="AJ5" s="482"/>
      <c r="AK5" s="483"/>
      <c r="AL5" s="575"/>
      <c r="AM5" s="576"/>
      <c r="AN5" s="567"/>
      <c r="BB5" s="571"/>
      <c r="BE5" s="434"/>
      <c r="BF5" s="435"/>
      <c r="BG5" s="435"/>
      <c r="BH5" s="435"/>
      <c r="BI5" s="435"/>
      <c r="BJ5" s="435"/>
      <c r="BK5" s="436"/>
      <c r="BN5" s="400"/>
      <c r="BO5" s="397"/>
      <c r="BP5" s="472" t="s">
        <v>315</v>
      </c>
      <c r="BQ5" s="472"/>
      <c r="BR5" s="472"/>
      <c r="BS5" s="472"/>
      <c r="BT5" s="472"/>
      <c r="BU5" s="472"/>
      <c r="BV5" s="472"/>
      <c r="BW5" s="472" t="s">
        <v>330</v>
      </c>
      <c r="BX5" s="472"/>
      <c r="BY5" s="472"/>
      <c r="BZ5" s="472"/>
      <c r="CB5" s="470"/>
      <c r="CD5" s="400"/>
      <c r="CE5" s="397"/>
      <c r="CF5" s="472" t="s">
        <v>315</v>
      </c>
      <c r="CG5" s="472"/>
      <c r="CH5" s="472"/>
      <c r="CI5" s="472"/>
      <c r="CJ5" s="472"/>
      <c r="CK5" s="472"/>
      <c r="CL5" s="472"/>
      <c r="CM5" s="472" t="s">
        <v>330</v>
      </c>
      <c r="CN5" s="472"/>
      <c r="CO5" s="472"/>
      <c r="CP5" s="472"/>
      <c r="DV5" s="516"/>
      <c r="DW5" s="517"/>
      <c r="DX5" s="517"/>
      <c r="DY5" s="517"/>
      <c r="DZ5" s="517"/>
      <c r="EA5" s="517"/>
      <c r="EB5" s="518"/>
      <c r="ED5" s="52" t="s">
        <v>361</v>
      </c>
      <c r="EE5" s="51"/>
      <c r="EG5" s="533"/>
      <c r="EH5" s="533"/>
      <c r="EI5" s="429"/>
      <c r="EJ5" s="429"/>
      <c r="EK5" s="511"/>
      <c r="EL5" s="511"/>
      <c r="EM5" s="511"/>
      <c r="EN5" s="511"/>
      <c r="EO5" s="511"/>
      <c r="EP5" s="511"/>
      <c r="EQ5" s="429"/>
      <c r="ER5" s="429"/>
      <c r="ES5" s="429"/>
      <c r="ET5" s="429"/>
      <c r="EU5" s="429"/>
      <c r="EV5" s="429"/>
      <c r="EW5" s="511"/>
      <c r="EX5" s="511"/>
      <c r="EY5" s="511"/>
      <c r="EZ5" s="429"/>
      <c r="FA5" s="429"/>
      <c r="FB5" s="429"/>
      <c r="FC5" s="429"/>
      <c r="FD5" s="429"/>
      <c r="FE5" s="429"/>
      <c r="FF5" s="429"/>
      <c r="FH5" s="429"/>
      <c r="FI5" s="429"/>
      <c r="FJ5" s="429"/>
      <c r="FK5" s="429"/>
      <c r="FL5" s="429"/>
      <c r="FM5" s="429"/>
      <c r="FN5" s="429"/>
      <c r="FO5" s="429"/>
      <c r="FP5" s="429"/>
      <c r="FQ5" s="429"/>
      <c r="FR5" s="429"/>
      <c r="FS5" s="429"/>
      <c r="FT5" s="429"/>
      <c r="FU5" s="429"/>
      <c r="FV5" s="429"/>
      <c r="FX5" s="366"/>
      <c r="FY5" s="413"/>
      <c r="FZ5" s="397"/>
      <c r="GA5" s="397"/>
      <c r="GB5" s="397"/>
      <c r="GC5" s="397"/>
      <c r="GD5" s="397"/>
      <c r="GE5" s="397"/>
      <c r="GF5" s="27"/>
      <c r="GG5" s="397"/>
      <c r="GH5" s="397"/>
      <c r="GI5" s="27"/>
      <c r="GJ5" s="397"/>
      <c r="GK5" s="397"/>
      <c r="GO5" s="524"/>
      <c r="GP5" s="525"/>
      <c r="GQ5" s="525"/>
      <c r="GR5" s="525"/>
      <c r="GS5" s="525"/>
      <c r="GT5" s="526"/>
      <c r="GU5" s="91" t="s">
        <v>439</v>
      </c>
      <c r="GV5" s="524"/>
      <c r="GW5" s="526"/>
      <c r="GX5" s="92" t="s">
        <v>440</v>
      </c>
      <c r="GY5" s="93">
        <f>Jaticempaka!GY5</f>
        <v>20</v>
      </c>
      <c r="GZ5" s="424"/>
      <c r="HA5" s="83"/>
      <c r="HB5" s="83"/>
      <c r="HC5" s="399" t="s">
        <v>441</v>
      </c>
      <c r="HD5" s="399" t="s">
        <v>442</v>
      </c>
      <c r="HE5" s="399" t="s">
        <v>18</v>
      </c>
      <c r="HF5" s="399" t="s">
        <v>443</v>
      </c>
      <c r="HG5" s="399" t="s">
        <v>444</v>
      </c>
      <c r="HH5" s="398" t="s">
        <v>445</v>
      </c>
      <c r="HI5" s="398" t="s">
        <v>446</v>
      </c>
      <c r="HJ5" s="90"/>
      <c r="HK5" s="399"/>
      <c r="HL5" s="83"/>
      <c r="HM5" s="83"/>
      <c r="HN5" s="83"/>
      <c r="HO5" s="83"/>
      <c r="HP5">
        <v>1</v>
      </c>
      <c r="HS5" s="94">
        <v>2</v>
      </c>
      <c r="HV5">
        <v>3</v>
      </c>
      <c r="HY5">
        <v>4</v>
      </c>
      <c r="IB5">
        <v>5</v>
      </c>
      <c r="IE5">
        <v>6</v>
      </c>
      <c r="IH5">
        <v>7</v>
      </c>
      <c r="IK5">
        <v>8</v>
      </c>
      <c r="IM5" s="83"/>
      <c r="IN5" s="83"/>
      <c r="IO5" s="83"/>
      <c r="IP5" s="83"/>
      <c r="IQ5" s="83"/>
      <c r="IR5" s="83"/>
      <c r="IS5" s="83"/>
      <c r="IT5" s="83"/>
      <c r="IU5" s="83"/>
      <c r="IV5" s="83"/>
      <c r="IW5" s="83"/>
      <c r="IX5" s="83"/>
      <c r="IY5" s="83"/>
      <c r="IZ5" s="83"/>
      <c r="JA5" s="83"/>
      <c r="JB5" s="83"/>
      <c r="JC5" s="83"/>
      <c r="JD5" s="83"/>
      <c r="JE5" s="83"/>
      <c r="JF5" s="83"/>
      <c r="JG5" s="83"/>
      <c r="JH5" s="83"/>
      <c r="JI5" s="83"/>
      <c r="JJ5" s="83"/>
      <c r="JK5" s="83"/>
      <c r="JP5" s="400"/>
      <c r="JQ5" s="397"/>
      <c r="JR5" s="472" t="s">
        <v>315</v>
      </c>
      <c r="JS5" s="472"/>
      <c r="JT5" s="472"/>
      <c r="JU5" s="472"/>
      <c r="JV5" s="472"/>
      <c r="JW5" s="472"/>
      <c r="JX5" s="472"/>
      <c r="JY5" s="472" t="s">
        <v>330</v>
      </c>
      <c r="JZ5" s="472"/>
      <c r="KA5" s="472"/>
      <c r="KB5" s="472"/>
      <c r="KD5" s="400"/>
      <c r="KE5" s="400"/>
      <c r="KF5" s="400"/>
      <c r="KG5" s="397"/>
      <c r="KH5" s="472" t="s">
        <v>315</v>
      </c>
      <c r="KI5" s="472"/>
      <c r="KJ5" s="472"/>
      <c r="KK5" s="472"/>
      <c r="KL5" s="472"/>
      <c r="KM5" s="472"/>
      <c r="KN5" s="472"/>
      <c r="KO5" s="472" t="s">
        <v>330</v>
      </c>
      <c r="KP5" s="472"/>
      <c r="KQ5" s="472"/>
      <c r="KR5" s="472"/>
      <c r="KS5">
        <v>5</v>
      </c>
      <c r="KT5" t="s">
        <v>519</v>
      </c>
      <c r="KU5" s="534" t="s">
        <v>509</v>
      </c>
      <c r="KV5" s="534" t="s">
        <v>510</v>
      </c>
      <c r="KW5" s="536" t="s">
        <v>11</v>
      </c>
      <c r="KX5" s="537" t="s">
        <v>511</v>
      </c>
      <c r="KY5" s="537" t="s">
        <v>434</v>
      </c>
      <c r="KZ5" s="540" t="s">
        <v>512</v>
      </c>
      <c r="LA5" s="540"/>
      <c r="LB5" s="540" t="s">
        <v>513</v>
      </c>
      <c r="LC5" s="540"/>
      <c r="LD5" s="541" t="s">
        <v>514</v>
      </c>
      <c r="LE5" s="541"/>
      <c r="LF5" s="544" t="s">
        <v>515</v>
      </c>
      <c r="LG5" s="544"/>
      <c r="LH5" s="544"/>
      <c r="LI5" s="544"/>
      <c r="LJ5" s="544"/>
      <c r="LK5" s="544"/>
      <c r="LL5" s="544"/>
      <c r="LM5" s="547" t="s">
        <v>516</v>
      </c>
      <c r="LN5" s="547"/>
      <c r="LO5" s="547"/>
      <c r="LP5" s="547"/>
      <c r="LQ5" s="547"/>
      <c r="LR5" s="547"/>
      <c r="LS5" s="547"/>
      <c r="LT5" s="548" t="s">
        <v>517</v>
      </c>
      <c r="LU5" s="548"/>
      <c r="LV5" s="548"/>
      <c r="LW5" s="548"/>
      <c r="LX5" s="548"/>
      <c r="LY5" s="548"/>
      <c r="LZ5" s="548"/>
      <c r="MA5" s="549" t="s">
        <v>518</v>
      </c>
      <c r="MB5" s="549"/>
      <c r="MC5" s="549"/>
      <c r="MD5" s="549"/>
      <c r="ME5" s="549"/>
      <c r="MF5" s="549"/>
      <c r="MG5" s="549"/>
      <c r="MH5" s="549"/>
      <c r="MI5" s="549"/>
      <c r="MJ5" s="549"/>
      <c r="MK5" s="550" t="s">
        <v>519</v>
      </c>
      <c r="ML5" s="551"/>
      <c r="MM5" s="551"/>
      <c r="MN5" s="551"/>
      <c r="MO5" s="552"/>
      <c r="MP5" s="372" t="s">
        <v>520</v>
      </c>
      <c r="MQ5" s="373"/>
      <c r="MR5" s="373"/>
      <c r="MS5" s="373"/>
      <c r="MT5" s="373"/>
      <c r="MU5" s="373"/>
      <c r="MV5" s="373"/>
      <c r="MW5" s="374"/>
      <c r="MX5" s="375" t="s">
        <v>575</v>
      </c>
      <c r="MY5" s="376"/>
      <c r="MZ5" s="376"/>
      <c r="NA5" s="376"/>
      <c r="NB5" s="377"/>
      <c r="NC5" s="378" t="s">
        <v>521</v>
      </c>
      <c r="ND5" s="379"/>
      <c r="NE5" s="380"/>
      <c r="NF5" s="384" t="s">
        <v>522</v>
      </c>
      <c r="NG5" s="385"/>
      <c r="NH5" s="385"/>
      <c r="NI5" s="386"/>
      <c r="NJ5" s="350" t="s">
        <v>523</v>
      </c>
      <c r="NK5" s="370" t="s">
        <v>524</v>
      </c>
      <c r="NZ5" s="341"/>
      <c r="OE5" s="340" t="s">
        <v>596</v>
      </c>
      <c r="OF5" s="340" t="s">
        <v>597</v>
      </c>
      <c r="OG5" s="340" t="s">
        <v>457</v>
      </c>
      <c r="OH5" s="340" t="s">
        <v>303</v>
      </c>
      <c r="OI5" s="340" t="s">
        <v>598</v>
      </c>
      <c r="OJ5" s="340" t="s">
        <v>599</v>
      </c>
      <c r="OK5" s="340" t="s">
        <v>600</v>
      </c>
      <c r="OL5" s="340" t="s">
        <v>601</v>
      </c>
      <c r="OM5" s="340" t="s">
        <v>602</v>
      </c>
      <c r="OO5" s="340" t="s">
        <v>596</v>
      </c>
      <c r="OP5" s="340" t="s">
        <v>597</v>
      </c>
      <c r="OQ5" s="340" t="s">
        <v>457</v>
      </c>
      <c r="OR5" s="340" t="s">
        <v>303</v>
      </c>
      <c r="OS5" s="340" t="s">
        <v>598</v>
      </c>
      <c r="OT5" s="340" t="s">
        <v>599</v>
      </c>
      <c r="OU5" s="340" t="s">
        <v>600</v>
      </c>
      <c r="OV5" s="340" t="s">
        <v>601</v>
      </c>
      <c r="OW5" s="340" t="s">
        <v>602</v>
      </c>
      <c r="PA5" s="529" t="s">
        <v>617</v>
      </c>
      <c r="PB5" s="529"/>
      <c r="PC5" s="529"/>
      <c r="PD5" s="529"/>
      <c r="PE5" s="529"/>
      <c r="PF5" s="529"/>
      <c r="PG5" s="529"/>
      <c r="PH5" s="529"/>
      <c r="PI5" s="529"/>
      <c r="PJ5" s="529"/>
      <c r="PK5" s="529"/>
      <c r="PL5" s="529"/>
      <c r="PO5" s="561"/>
      <c r="PP5" s="563"/>
      <c r="PQ5" s="563"/>
    </row>
    <row r="6" spans="1:433" ht="14.75" customHeight="1" x14ac:dyDescent="0.2">
      <c r="A6" s="480"/>
      <c r="B6" s="480"/>
      <c r="C6" s="480"/>
      <c r="D6" s="484"/>
      <c r="E6" s="485"/>
      <c r="F6" s="494"/>
      <c r="G6" s="494"/>
      <c r="H6" s="494"/>
      <c r="I6" s="494"/>
      <c r="J6" s="489" t="s">
        <v>284</v>
      </c>
      <c r="K6" s="482" t="s">
        <v>284</v>
      </c>
      <c r="L6" s="482" t="s">
        <v>284</v>
      </c>
      <c r="M6" s="483" t="s">
        <v>284</v>
      </c>
      <c r="N6" s="489" t="s">
        <v>7</v>
      </c>
      <c r="O6" s="482" t="s">
        <v>285</v>
      </c>
      <c r="P6" s="482" t="s">
        <v>285</v>
      </c>
      <c r="Q6" s="483" t="s">
        <v>285</v>
      </c>
      <c r="R6" s="494"/>
      <c r="S6" s="494"/>
      <c r="T6" s="494"/>
      <c r="U6" s="494"/>
      <c r="V6" s="494"/>
      <c r="W6" s="494"/>
      <c r="X6" s="494"/>
      <c r="Y6" s="494"/>
      <c r="Z6" s="494"/>
      <c r="AA6" s="503"/>
      <c r="AB6" s="503"/>
      <c r="AC6" s="503"/>
      <c r="AD6" s="503"/>
      <c r="AE6" s="503"/>
      <c r="AF6" s="454" t="s">
        <v>11</v>
      </c>
      <c r="AG6" s="457" t="s">
        <v>311</v>
      </c>
      <c r="AH6" s="486" t="s">
        <v>293</v>
      </c>
      <c r="AI6" s="569"/>
      <c r="AJ6" s="484"/>
      <c r="AK6" s="485"/>
      <c r="AL6" s="577" t="s">
        <v>265</v>
      </c>
      <c r="AM6" s="580" t="s">
        <v>9</v>
      </c>
      <c r="AN6" s="567"/>
      <c r="BB6" s="571"/>
      <c r="BE6" s="454" t="s">
        <v>11</v>
      </c>
      <c r="BF6" s="457" t="s">
        <v>306</v>
      </c>
      <c r="BG6" s="457" t="s">
        <v>307</v>
      </c>
      <c r="BH6" s="457" t="s">
        <v>308</v>
      </c>
      <c r="BI6" s="457" t="s">
        <v>309</v>
      </c>
      <c r="BJ6" s="457"/>
      <c r="BK6" s="457" t="s">
        <v>310</v>
      </c>
      <c r="BN6" s="400"/>
      <c r="BO6" s="397"/>
      <c r="BP6" s="472" t="s">
        <v>316</v>
      </c>
      <c r="BQ6" s="472"/>
      <c r="BR6" s="472"/>
      <c r="BS6" s="472"/>
      <c r="BT6" s="472"/>
      <c r="BU6" s="473" t="s">
        <v>325</v>
      </c>
      <c r="BV6" s="474"/>
      <c r="BW6" s="475" t="s">
        <v>331</v>
      </c>
      <c r="BX6" s="472" t="s">
        <v>332</v>
      </c>
      <c r="BY6" s="472"/>
      <c r="BZ6" s="472"/>
      <c r="CB6" s="470"/>
      <c r="CD6" s="400"/>
      <c r="CE6" s="397"/>
      <c r="CF6" s="472" t="s">
        <v>316</v>
      </c>
      <c r="CG6" s="472"/>
      <c r="CH6" s="472"/>
      <c r="CI6" s="472"/>
      <c r="CJ6" s="472"/>
      <c r="CK6" s="473" t="s">
        <v>325</v>
      </c>
      <c r="CL6" s="474"/>
      <c r="CM6" s="475" t="s">
        <v>331</v>
      </c>
      <c r="CN6" s="472" t="s">
        <v>332</v>
      </c>
      <c r="CO6" s="472"/>
      <c r="CP6" s="472"/>
      <c r="DV6" s="530" t="s">
        <v>11</v>
      </c>
      <c r="DW6" s="476" t="s">
        <v>300</v>
      </c>
      <c r="DX6" s="476" t="s">
        <v>301</v>
      </c>
      <c r="DY6" s="476" t="s">
        <v>343</v>
      </c>
      <c r="DZ6" s="476" t="s">
        <v>302</v>
      </c>
      <c r="EA6" s="476" t="s">
        <v>351</v>
      </c>
      <c r="EB6" s="476" t="s">
        <v>18</v>
      </c>
      <c r="ED6" s="50"/>
      <c r="EE6" s="51"/>
      <c r="EG6" s="533"/>
      <c r="EH6" s="533"/>
      <c r="EI6" s="429"/>
      <c r="EJ6" s="429"/>
      <c r="EK6" s="511"/>
      <c r="EL6" s="511"/>
      <c r="EM6" s="511"/>
      <c r="EN6" s="511"/>
      <c r="EO6" s="511"/>
      <c r="EP6" s="511"/>
      <c r="EQ6" s="429"/>
      <c r="ER6" s="429"/>
      <c r="ES6" s="429"/>
      <c r="ET6" s="429"/>
      <c r="EU6" s="429"/>
      <c r="EV6" s="429"/>
      <c r="EW6" s="511"/>
      <c r="EX6" s="511"/>
      <c r="EY6" s="511"/>
      <c r="EZ6" s="429"/>
      <c r="FA6" s="429"/>
      <c r="FB6" s="429"/>
      <c r="FC6" s="429"/>
      <c r="FD6" s="429"/>
      <c r="FE6" s="429"/>
      <c r="FF6" s="429"/>
      <c r="FH6" s="429"/>
      <c r="FI6" s="429"/>
      <c r="FJ6" s="429"/>
      <c r="FK6" s="429"/>
      <c r="FL6" s="429"/>
      <c r="FM6" s="429"/>
      <c r="FN6" s="429"/>
      <c r="FO6" s="429"/>
      <c r="FP6" s="429"/>
      <c r="FQ6" s="429"/>
      <c r="FR6" s="429"/>
      <c r="FS6" s="429"/>
      <c r="FT6" s="429"/>
      <c r="FU6" s="429"/>
      <c r="FV6" s="429"/>
      <c r="FX6" s="366"/>
      <c r="FY6" s="413"/>
      <c r="FZ6" s="397"/>
      <c r="GA6" s="397"/>
      <c r="GB6" s="397"/>
      <c r="GC6" s="397"/>
      <c r="GD6" s="397"/>
      <c r="GE6" s="397"/>
      <c r="GF6" s="27"/>
      <c r="GG6" s="397"/>
      <c r="GH6" s="397"/>
      <c r="GI6" s="27"/>
      <c r="GJ6" s="397"/>
      <c r="GK6" s="397"/>
      <c r="GO6" s="423" t="s">
        <v>434</v>
      </c>
      <c r="GP6" s="423" t="s">
        <v>440</v>
      </c>
      <c r="GQ6" s="423" t="s">
        <v>7</v>
      </c>
      <c r="GR6" s="423" t="s">
        <v>265</v>
      </c>
      <c r="GS6" s="423" t="s">
        <v>447</v>
      </c>
      <c r="GT6" s="423" t="s">
        <v>448</v>
      </c>
      <c r="GU6" s="91"/>
      <c r="GV6" s="527"/>
      <c r="GW6" s="528"/>
      <c r="GX6" s="92" t="s">
        <v>7</v>
      </c>
      <c r="GY6" s="93">
        <f>Jaticempaka!GY6</f>
        <v>10</v>
      </c>
      <c r="GZ6" s="424"/>
      <c r="HA6" s="83"/>
      <c r="HB6" s="83"/>
      <c r="HC6" s="399"/>
      <c r="HD6" s="399"/>
      <c r="HE6" s="399"/>
      <c r="HF6" s="399"/>
      <c r="HG6" s="399"/>
      <c r="HH6" s="399"/>
      <c r="HI6" s="399"/>
      <c r="HJ6" s="90"/>
      <c r="HK6" s="399"/>
      <c r="HL6" s="83"/>
      <c r="HM6" s="83"/>
      <c r="HN6" s="83"/>
      <c r="HO6" s="83"/>
      <c r="HP6" s="418" t="s">
        <v>449</v>
      </c>
      <c r="HQ6" s="419"/>
      <c r="HR6" s="420"/>
      <c r="HS6" s="406" t="s">
        <v>450</v>
      </c>
      <c r="HT6" s="407"/>
      <c r="HU6" s="408"/>
      <c r="HV6" s="415" t="s">
        <v>451</v>
      </c>
      <c r="HW6" s="416"/>
      <c r="HX6" s="416"/>
      <c r="HY6" s="416"/>
      <c r="HZ6" s="416"/>
      <c r="IA6" s="417"/>
      <c r="IB6" s="403" t="s">
        <v>452</v>
      </c>
      <c r="IC6" s="404"/>
      <c r="ID6" s="404"/>
      <c r="IE6" s="404"/>
      <c r="IF6" s="404"/>
      <c r="IG6" s="405"/>
      <c r="IH6" s="403" t="s">
        <v>453</v>
      </c>
      <c r="II6" s="404"/>
      <c r="IJ6" s="404"/>
      <c r="IK6" s="404"/>
      <c r="IL6" s="404"/>
      <c r="IM6" s="405"/>
      <c r="IN6" s="83"/>
      <c r="IO6" s="406" t="s">
        <v>454</v>
      </c>
      <c r="IP6" s="407"/>
      <c r="IQ6" s="408"/>
      <c r="IR6" s="83"/>
      <c r="IS6" s="406" t="s">
        <v>455</v>
      </c>
      <c r="IT6" s="407"/>
      <c r="IU6" s="408"/>
      <c r="IV6" s="83"/>
      <c r="IW6" s="406" t="s">
        <v>456</v>
      </c>
      <c r="IX6" s="407"/>
      <c r="IY6" s="408"/>
      <c r="IZ6" s="83"/>
      <c r="JA6" s="406" t="s">
        <v>457</v>
      </c>
      <c r="JB6" s="407"/>
      <c r="JC6" s="408"/>
      <c r="JD6" s="83"/>
      <c r="JE6" s="406" t="s">
        <v>18</v>
      </c>
      <c r="JF6" s="407"/>
      <c r="JG6" s="408"/>
      <c r="JH6" s="83"/>
      <c r="JI6" s="406" t="s">
        <v>458</v>
      </c>
      <c r="JJ6" s="407"/>
      <c r="JK6" s="408"/>
      <c r="JP6" s="400"/>
      <c r="JQ6" s="397"/>
      <c r="JR6" s="472" t="s">
        <v>316</v>
      </c>
      <c r="JS6" s="472"/>
      <c r="JT6" s="472"/>
      <c r="JU6" s="472"/>
      <c r="JV6" s="472"/>
      <c r="JW6" s="473" t="s">
        <v>325</v>
      </c>
      <c r="JX6" s="474"/>
      <c r="JY6" s="475" t="s">
        <v>331</v>
      </c>
      <c r="JZ6" s="472" t="s">
        <v>332</v>
      </c>
      <c r="KA6" s="472"/>
      <c r="KB6" s="472"/>
      <c r="KD6" s="400"/>
      <c r="KE6" s="400"/>
      <c r="KF6" s="400"/>
      <c r="KG6" s="397"/>
      <c r="KH6" s="472" t="s">
        <v>316</v>
      </c>
      <c r="KI6" s="472"/>
      <c r="KJ6" s="472"/>
      <c r="KK6" s="472"/>
      <c r="KL6" s="472"/>
      <c r="KM6" s="473" t="s">
        <v>325</v>
      </c>
      <c r="KN6" s="474"/>
      <c r="KO6" s="475" t="s">
        <v>331</v>
      </c>
      <c r="KP6" s="472" t="s">
        <v>332</v>
      </c>
      <c r="KQ6" s="472"/>
      <c r="KR6" s="472"/>
      <c r="KS6">
        <v>6</v>
      </c>
      <c r="KT6" t="s">
        <v>584</v>
      </c>
      <c r="KU6" s="535"/>
      <c r="KV6" s="535"/>
      <c r="KW6" s="536"/>
      <c r="KX6" s="538"/>
      <c r="KY6" s="538"/>
      <c r="KZ6" s="540"/>
      <c r="LA6" s="540"/>
      <c r="LB6" s="540"/>
      <c r="LC6" s="540"/>
      <c r="LD6" s="542"/>
      <c r="LE6" s="542"/>
      <c r="LF6" s="545" t="s">
        <v>525</v>
      </c>
      <c r="LG6" s="545" t="s">
        <v>526</v>
      </c>
      <c r="LH6" s="546" t="s">
        <v>527</v>
      </c>
      <c r="LI6" s="545" t="s">
        <v>528</v>
      </c>
      <c r="LJ6" s="545" t="s">
        <v>529</v>
      </c>
      <c r="LK6" s="545" t="s">
        <v>530</v>
      </c>
      <c r="LL6" s="545" t="s">
        <v>531</v>
      </c>
      <c r="LM6" s="396" t="s">
        <v>532</v>
      </c>
      <c r="LN6" s="396" t="s">
        <v>533</v>
      </c>
      <c r="LO6" s="553" t="s">
        <v>534</v>
      </c>
      <c r="LP6" s="554" t="s">
        <v>535</v>
      </c>
      <c r="LQ6" s="396" t="s">
        <v>529</v>
      </c>
      <c r="LR6" s="396" t="s">
        <v>536</v>
      </c>
      <c r="LS6" s="396" t="s">
        <v>531</v>
      </c>
      <c r="LT6" s="356" t="s">
        <v>537</v>
      </c>
      <c r="LU6" s="356" t="s">
        <v>538</v>
      </c>
      <c r="LV6" s="356" t="s">
        <v>539</v>
      </c>
      <c r="LW6" s="356" t="s">
        <v>540</v>
      </c>
      <c r="LX6" s="356" t="s">
        <v>541</v>
      </c>
      <c r="LY6" s="356" t="s">
        <v>542</v>
      </c>
      <c r="LZ6" s="356" t="s">
        <v>531</v>
      </c>
      <c r="MA6" s="345" t="s">
        <v>543</v>
      </c>
      <c r="MB6" s="345" t="s">
        <v>544</v>
      </c>
      <c r="MC6" s="345" t="s">
        <v>545</v>
      </c>
      <c r="MD6" s="345" t="s">
        <v>546</v>
      </c>
      <c r="ME6" s="345" t="s">
        <v>547</v>
      </c>
      <c r="MF6" s="345" t="s">
        <v>548</v>
      </c>
      <c r="MG6" s="345" t="s">
        <v>549</v>
      </c>
      <c r="MH6" s="345" t="s">
        <v>550</v>
      </c>
      <c r="MI6" s="345" t="s">
        <v>529</v>
      </c>
      <c r="MJ6" s="345" t="s">
        <v>531</v>
      </c>
      <c r="MK6" s="342" t="s">
        <v>551</v>
      </c>
      <c r="ML6" s="342" t="s">
        <v>552</v>
      </c>
      <c r="MM6" s="342" t="s">
        <v>553</v>
      </c>
      <c r="MN6" s="342" t="s">
        <v>529</v>
      </c>
      <c r="MO6" s="342" t="s">
        <v>531</v>
      </c>
      <c r="MP6" s="362" t="s">
        <v>554</v>
      </c>
      <c r="MQ6" s="362" t="s">
        <v>555</v>
      </c>
      <c r="MR6" s="362" t="s">
        <v>556</v>
      </c>
      <c r="MS6" s="362" t="s">
        <v>557</v>
      </c>
      <c r="MT6" s="362" t="s">
        <v>558</v>
      </c>
      <c r="MU6" s="362" t="s">
        <v>529</v>
      </c>
      <c r="MV6" s="362" t="s">
        <v>559</v>
      </c>
      <c r="MW6" s="362" t="s">
        <v>531</v>
      </c>
      <c r="MX6" s="359" t="s">
        <v>576</v>
      </c>
      <c r="MY6" s="359" t="s">
        <v>577</v>
      </c>
      <c r="MZ6" s="359" t="s">
        <v>578</v>
      </c>
      <c r="NA6" s="359" t="s">
        <v>579</v>
      </c>
      <c r="NB6" s="359" t="s">
        <v>522</v>
      </c>
      <c r="NC6" s="381"/>
      <c r="ND6" s="382"/>
      <c r="NE6" s="383"/>
      <c r="NF6" s="387"/>
      <c r="NG6" s="388"/>
      <c r="NH6" s="388"/>
      <c r="NI6" s="389"/>
      <c r="NJ6" s="351"/>
      <c r="NK6" s="371"/>
      <c r="NZ6" s="341"/>
      <c r="OE6" s="340"/>
      <c r="OF6" s="340"/>
      <c r="OG6" s="340"/>
      <c r="OH6" s="340"/>
      <c r="OI6" s="340"/>
      <c r="OJ6" s="340"/>
      <c r="OK6" s="340"/>
      <c r="OL6" s="340"/>
      <c r="OM6" s="340"/>
      <c r="OO6" s="340"/>
      <c r="OP6" s="340"/>
      <c r="OQ6" s="340"/>
      <c r="OR6" s="340"/>
      <c r="OS6" s="340"/>
      <c r="OT6" s="340"/>
      <c r="OU6" s="340"/>
      <c r="OV6" s="340"/>
      <c r="OW6" s="340"/>
      <c r="PA6" s="415" t="s">
        <v>11</v>
      </c>
      <c r="PB6" s="416"/>
      <c r="PC6" s="416"/>
      <c r="PD6" s="416"/>
      <c r="PE6" s="416"/>
      <c r="PF6" s="417"/>
      <c r="PG6" s="355" t="s">
        <v>13</v>
      </c>
      <c r="PH6" s="355"/>
      <c r="PI6" s="355"/>
      <c r="PJ6" s="355"/>
      <c r="PK6" s="355"/>
      <c r="PL6" s="355"/>
      <c r="PO6" s="561"/>
      <c r="PP6" s="563"/>
      <c r="PQ6" s="563"/>
    </row>
    <row r="7" spans="1:433" ht="15.5" customHeight="1" x14ac:dyDescent="0.2">
      <c r="A7" s="480"/>
      <c r="B7" s="480"/>
      <c r="C7" s="480"/>
      <c r="D7" s="496" t="s">
        <v>10</v>
      </c>
      <c r="E7" s="498"/>
      <c r="F7" s="495"/>
      <c r="G7" s="495"/>
      <c r="H7" s="495"/>
      <c r="I7" s="495"/>
      <c r="J7" s="490" t="s">
        <v>284</v>
      </c>
      <c r="K7" s="491" t="s">
        <v>284</v>
      </c>
      <c r="L7" s="491" t="s">
        <v>284</v>
      </c>
      <c r="M7" s="492" t="s">
        <v>284</v>
      </c>
      <c r="N7" s="490" t="s">
        <v>285</v>
      </c>
      <c r="O7" s="491" t="s">
        <v>285</v>
      </c>
      <c r="P7" s="491" t="s">
        <v>285</v>
      </c>
      <c r="Q7" s="492" t="s">
        <v>285</v>
      </c>
      <c r="R7" s="495"/>
      <c r="S7" s="495"/>
      <c r="T7" s="495"/>
      <c r="U7" s="495"/>
      <c r="V7" s="495"/>
      <c r="W7" s="495"/>
      <c r="X7" s="495"/>
      <c r="Y7" s="495"/>
      <c r="Z7" s="495"/>
      <c r="AA7" s="504"/>
      <c r="AB7" s="504"/>
      <c r="AC7" s="504"/>
      <c r="AD7" s="504"/>
      <c r="AE7" s="504"/>
      <c r="AF7" s="455"/>
      <c r="AG7" s="458"/>
      <c r="AH7" s="487"/>
      <c r="AI7" s="490"/>
      <c r="AJ7" s="491"/>
      <c r="AK7" s="492"/>
      <c r="AL7" s="578"/>
      <c r="AM7" s="581"/>
      <c r="AN7" s="567"/>
      <c r="BB7" s="571"/>
      <c r="BE7" s="455"/>
      <c r="BF7" s="458"/>
      <c r="BG7" s="458"/>
      <c r="BH7" s="458"/>
      <c r="BI7" s="458"/>
      <c r="BJ7" s="458"/>
      <c r="BK7" s="458"/>
      <c r="BN7" s="400"/>
      <c r="BO7" s="397"/>
      <c r="BP7" s="397" t="s">
        <v>317</v>
      </c>
      <c r="BQ7" s="472" t="s">
        <v>318</v>
      </c>
      <c r="BR7" s="472"/>
      <c r="BS7" s="472" t="s">
        <v>322</v>
      </c>
      <c r="BT7" s="472"/>
      <c r="BU7" s="397" t="s">
        <v>327</v>
      </c>
      <c r="BV7" s="401" t="s">
        <v>326</v>
      </c>
      <c r="BW7" s="475"/>
      <c r="BX7" s="401" t="s">
        <v>333</v>
      </c>
      <c r="BY7" s="401" t="s">
        <v>334</v>
      </c>
      <c r="BZ7" s="397" t="s">
        <v>335</v>
      </c>
      <c r="CB7" s="470"/>
      <c r="CD7" s="400"/>
      <c r="CE7" s="397"/>
      <c r="CF7" s="397" t="s">
        <v>317</v>
      </c>
      <c r="CG7" s="472" t="s">
        <v>318</v>
      </c>
      <c r="CH7" s="472"/>
      <c r="CI7" s="472" t="s">
        <v>322</v>
      </c>
      <c r="CJ7" s="472"/>
      <c r="CK7" s="397" t="s">
        <v>327</v>
      </c>
      <c r="CL7" s="401" t="s">
        <v>326</v>
      </c>
      <c r="CM7" s="475"/>
      <c r="CN7" s="401" t="s">
        <v>333</v>
      </c>
      <c r="CO7" s="401" t="s">
        <v>334</v>
      </c>
      <c r="CP7" s="397" t="s">
        <v>335</v>
      </c>
      <c r="DV7" s="531"/>
      <c r="DW7" s="477"/>
      <c r="DX7" s="477"/>
      <c r="DY7" s="477"/>
      <c r="DZ7" s="477"/>
      <c r="EA7" s="477"/>
      <c r="EB7" s="477"/>
      <c r="ED7" s="50"/>
      <c r="EE7" s="51"/>
      <c r="EG7" s="533"/>
      <c r="EH7" s="533"/>
      <c r="EI7" s="429"/>
      <c r="EJ7" s="429"/>
      <c r="EK7" s="512"/>
      <c r="EL7" s="512"/>
      <c r="EM7" s="512"/>
      <c r="EN7" s="512"/>
      <c r="EO7" s="512"/>
      <c r="EP7" s="512"/>
      <c r="EQ7" s="429"/>
      <c r="ER7" s="429"/>
      <c r="ES7" s="429"/>
      <c r="ET7" s="429"/>
      <c r="EU7" s="429"/>
      <c r="EV7" s="429"/>
      <c r="EW7" s="512"/>
      <c r="EX7" s="512"/>
      <c r="EY7" s="512"/>
      <c r="EZ7" s="429"/>
      <c r="FA7" s="429"/>
      <c r="FB7" s="429"/>
      <c r="FC7" s="429"/>
      <c r="FD7" s="429"/>
      <c r="FE7" s="429"/>
      <c r="FF7" s="429"/>
      <c r="FH7" s="429"/>
      <c r="FI7" s="429"/>
      <c r="FJ7" s="429"/>
      <c r="FK7" s="429"/>
      <c r="FL7" s="429"/>
      <c r="FM7" s="429"/>
      <c r="FN7" s="429"/>
      <c r="FO7" s="429"/>
      <c r="FP7" s="429"/>
      <c r="FQ7" s="429"/>
      <c r="FR7" s="429"/>
      <c r="FS7" s="429"/>
      <c r="FT7" s="429"/>
      <c r="FU7" s="429"/>
      <c r="FV7" s="429"/>
      <c r="FX7" s="366"/>
      <c r="FY7" s="413"/>
      <c r="FZ7" s="397"/>
      <c r="GA7" s="397"/>
      <c r="GB7" s="397"/>
      <c r="GC7" s="397"/>
      <c r="GD7" s="397"/>
      <c r="GE7" s="397"/>
      <c r="GF7" s="27"/>
      <c r="GG7" s="397"/>
      <c r="GH7" s="397"/>
      <c r="GI7" s="27"/>
      <c r="GJ7" s="397"/>
      <c r="GK7" s="397"/>
      <c r="GO7" s="424"/>
      <c r="GP7" s="424"/>
      <c r="GQ7" s="424"/>
      <c r="GR7" s="424"/>
      <c r="GS7" s="424"/>
      <c r="GT7" s="424"/>
      <c r="GU7" s="91"/>
      <c r="GV7" s="423" t="s">
        <v>459</v>
      </c>
      <c r="GW7" s="423" t="s">
        <v>460</v>
      </c>
      <c r="GX7" s="92" t="s">
        <v>265</v>
      </c>
      <c r="GY7" s="93">
        <f>Jaticempaka!GY7</f>
        <v>10</v>
      </c>
      <c r="GZ7" s="424"/>
      <c r="HA7" s="83"/>
      <c r="HB7" s="83"/>
      <c r="HC7" s="399"/>
      <c r="HD7" s="399"/>
      <c r="HE7" s="399"/>
      <c r="HF7" s="399"/>
      <c r="HG7" s="399"/>
      <c r="HH7" s="399"/>
      <c r="HI7" s="399"/>
      <c r="HJ7" s="90"/>
      <c r="HK7" s="399"/>
      <c r="HL7" s="83"/>
      <c r="HM7" s="83"/>
      <c r="HN7" s="83"/>
      <c r="HO7" s="83"/>
      <c r="HP7" s="421"/>
      <c r="HQ7" s="388"/>
      <c r="HR7" s="422"/>
      <c r="HS7" s="409"/>
      <c r="HT7" s="410"/>
      <c r="HU7" s="411"/>
      <c r="HV7" s="415" t="s">
        <v>461</v>
      </c>
      <c r="HW7" s="416"/>
      <c r="HX7" s="417"/>
      <c r="HY7" s="415" t="s">
        <v>462</v>
      </c>
      <c r="HZ7" s="416"/>
      <c r="IA7" s="417"/>
      <c r="IB7" s="415" t="s">
        <v>461</v>
      </c>
      <c r="IC7" s="416"/>
      <c r="ID7" s="417"/>
      <c r="IE7" s="415" t="s">
        <v>462</v>
      </c>
      <c r="IF7" s="416"/>
      <c r="IG7" s="417"/>
      <c r="IH7" s="415" t="s">
        <v>461</v>
      </c>
      <c r="II7" s="416"/>
      <c r="IJ7" s="417"/>
      <c r="IK7" s="415" t="s">
        <v>462</v>
      </c>
      <c r="IL7" s="416"/>
      <c r="IM7" s="417"/>
      <c r="IN7" s="83"/>
      <c r="IO7" s="409"/>
      <c r="IP7" s="410"/>
      <c r="IQ7" s="411"/>
      <c r="IR7" s="83"/>
      <c r="IS7" s="409"/>
      <c r="IT7" s="410"/>
      <c r="IU7" s="411"/>
      <c r="IV7" s="83"/>
      <c r="IW7" s="409"/>
      <c r="IX7" s="410"/>
      <c r="IY7" s="411"/>
      <c r="IZ7" s="83"/>
      <c r="JA7" s="409"/>
      <c r="JB7" s="410"/>
      <c r="JC7" s="411"/>
      <c r="JD7" s="83"/>
      <c r="JE7" s="409"/>
      <c r="JF7" s="410"/>
      <c r="JG7" s="411"/>
      <c r="JH7" s="83"/>
      <c r="JI7" s="409"/>
      <c r="JJ7" s="410"/>
      <c r="JK7" s="411"/>
      <c r="JP7" s="400"/>
      <c r="JQ7" s="397"/>
      <c r="JR7" s="397" t="s">
        <v>317</v>
      </c>
      <c r="JS7" s="472" t="s">
        <v>318</v>
      </c>
      <c r="JT7" s="472"/>
      <c r="JU7" s="472" t="s">
        <v>322</v>
      </c>
      <c r="JV7" s="472"/>
      <c r="JW7" s="397" t="s">
        <v>327</v>
      </c>
      <c r="JX7" s="401" t="s">
        <v>478</v>
      </c>
      <c r="JY7" s="475"/>
      <c r="JZ7" s="401" t="s">
        <v>333</v>
      </c>
      <c r="KA7" s="401" t="s">
        <v>334</v>
      </c>
      <c r="KB7" s="397" t="s">
        <v>335</v>
      </c>
      <c r="KD7" s="400"/>
      <c r="KE7" s="400"/>
      <c r="KF7" s="400"/>
      <c r="KG7" s="397"/>
      <c r="KH7" s="397" t="s">
        <v>317</v>
      </c>
      <c r="KI7" s="472" t="s">
        <v>318</v>
      </c>
      <c r="KJ7" s="472"/>
      <c r="KK7" s="472" t="s">
        <v>322</v>
      </c>
      <c r="KL7" s="472"/>
      <c r="KM7" s="397" t="s">
        <v>327</v>
      </c>
      <c r="KN7" s="401" t="s">
        <v>478</v>
      </c>
      <c r="KO7" s="475"/>
      <c r="KP7" s="401" t="s">
        <v>333</v>
      </c>
      <c r="KQ7" s="401" t="s">
        <v>334</v>
      </c>
      <c r="KR7" s="397" t="s">
        <v>335</v>
      </c>
      <c r="KS7">
        <v>7</v>
      </c>
      <c r="KT7" t="s">
        <v>585</v>
      </c>
      <c r="KU7" s="535"/>
      <c r="KV7" s="535"/>
      <c r="KW7" s="536"/>
      <c r="KX7" s="538"/>
      <c r="KY7" s="538"/>
      <c r="KZ7" s="540"/>
      <c r="LA7" s="540"/>
      <c r="LB7" s="540"/>
      <c r="LC7" s="540"/>
      <c r="LD7" s="543"/>
      <c r="LE7" s="543"/>
      <c r="LF7" s="545"/>
      <c r="LG7" s="545"/>
      <c r="LH7" s="546"/>
      <c r="LI7" s="545"/>
      <c r="LJ7" s="545"/>
      <c r="LK7" s="545"/>
      <c r="LL7" s="545"/>
      <c r="LM7" s="396"/>
      <c r="LN7" s="396"/>
      <c r="LO7" s="553"/>
      <c r="LP7" s="554"/>
      <c r="LQ7" s="396"/>
      <c r="LR7" s="396"/>
      <c r="LS7" s="396"/>
      <c r="LT7" s="357"/>
      <c r="LU7" s="357"/>
      <c r="LV7" s="357"/>
      <c r="LW7" s="357"/>
      <c r="LX7" s="357"/>
      <c r="LY7" s="357"/>
      <c r="LZ7" s="357"/>
      <c r="MA7" s="346"/>
      <c r="MB7" s="346"/>
      <c r="MC7" s="346"/>
      <c r="MD7" s="346"/>
      <c r="ME7" s="346"/>
      <c r="MF7" s="346"/>
      <c r="MG7" s="346"/>
      <c r="MH7" s="346"/>
      <c r="MI7" s="346"/>
      <c r="MJ7" s="346"/>
      <c r="MK7" s="343"/>
      <c r="ML7" s="343"/>
      <c r="MM7" s="343"/>
      <c r="MN7" s="343"/>
      <c r="MO7" s="343"/>
      <c r="MP7" s="363"/>
      <c r="MQ7" s="363"/>
      <c r="MR7" s="363"/>
      <c r="MS7" s="363"/>
      <c r="MT7" s="363"/>
      <c r="MU7" s="363"/>
      <c r="MV7" s="363"/>
      <c r="MW7" s="363"/>
      <c r="MX7" s="360"/>
      <c r="MY7" s="360"/>
      <c r="MZ7" s="360"/>
      <c r="NA7" s="360"/>
      <c r="NB7" s="360"/>
      <c r="NC7" s="348" t="s">
        <v>542</v>
      </c>
      <c r="ND7" s="555" t="s">
        <v>560</v>
      </c>
      <c r="NE7" s="390" t="s">
        <v>531</v>
      </c>
      <c r="NF7" s="392" t="s">
        <v>561</v>
      </c>
      <c r="NG7" s="394" t="s">
        <v>562</v>
      </c>
      <c r="NH7" s="394" t="s">
        <v>563</v>
      </c>
      <c r="NI7" s="353" t="s">
        <v>564</v>
      </c>
      <c r="NJ7" s="351"/>
      <c r="NK7" s="371"/>
      <c r="NM7" s="355" t="s">
        <v>586</v>
      </c>
      <c r="NN7" s="355"/>
      <c r="NO7" s="355"/>
      <c r="NP7" s="355"/>
      <c r="NQ7" s="355"/>
      <c r="NR7" s="355"/>
      <c r="NS7" s="355"/>
      <c r="NT7" s="355"/>
      <c r="NU7" t="s">
        <v>588</v>
      </c>
      <c r="NZ7" s="341"/>
      <c r="OE7" s="340"/>
      <c r="OF7" s="340"/>
      <c r="OG7" s="340"/>
      <c r="OH7" s="340"/>
      <c r="OI7" s="340"/>
      <c r="OJ7" s="340"/>
      <c r="OK7" s="340"/>
      <c r="OL7" s="340"/>
      <c r="OM7" s="340"/>
      <c r="OO7" s="340"/>
      <c r="OP7" s="340"/>
      <c r="OQ7" s="340"/>
      <c r="OR7" s="340"/>
      <c r="OS7" s="340"/>
      <c r="OT7" s="340"/>
      <c r="OU7" s="340"/>
      <c r="OV7" s="340"/>
      <c r="OW7" s="340"/>
      <c r="PA7" s="368" t="s">
        <v>618</v>
      </c>
      <c r="PB7" s="368" t="s">
        <v>619</v>
      </c>
      <c r="PC7" s="368" t="s">
        <v>620</v>
      </c>
      <c r="PD7" s="368" t="s">
        <v>698</v>
      </c>
      <c r="PE7" s="368" t="s">
        <v>699</v>
      </c>
      <c r="PF7" s="368" t="s">
        <v>700</v>
      </c>
      <c r="PG7" s="368" t="s">
        <v>618</v>
      </c>
      <c r="PH7" s="368" t="s">
        <v>619</v>
      </c>
      <c r="PI7" s="368" t="s">
        <v>620</v>
      </c>
      <c r="PJ7" s="368" t="s">
        <v>698</v>
      </c>
      <c r="PK7" s="368" t="s">
        <v>699</v>
      </c>
      <c r="PL7" s="368" t="s">
        <v>700</v>
      </c>
      <c r="PO7" s="562"/>
      <c r="PP7" s="563"/>
      <c r="PQ7" s="563"/>
    </row>
    <row r="8" spans="1:433" ht="49" thickBot="1" x14ac:dyDescent="0.25">
      <c r="A8" s="481"/>
      <c r="B8" s="481"/>
      <c r="C8" s="481"/>
      <c r="D8" s="11" t="s">
        <v>11</v>
      </c>
      <c r="E8" s="11" t="s">
        <v>12</v>
      </c>
      <c r="F8" s="11" t="s">
        <v>11</v>
      </c>
      <c r="G8" s="12" t="s">
        <v>13</v>
      </c>
      <c r="H8" s="12" t="s">
        <v>14</v>
      </c>
      <c r="I8" s="13" t="s">
        <v>15</v>
      </c>
      <c r="J8" s="11" t="s">
        <v>11</v>
      </c>
      <c r="K8" s="12" t="s">
        <v>13</v>
      </c>
      <c r="L8" s="12" t="s">
        <v>14</v>
      </c>
      <c r="M8" s="12" t="s">
        <v>16</v>
      </c>
      <c r="N8" s="11" t="s">
        <v>11</v>
      </c>
      <c r="O8" s="12" t="s">
        <v>13</v>
      </c>
      <c r="P8" s="12" t="s">
        <v>14</v>
      </c>
      <c r="Q8" s="12" t="s">
        <v>16</v>
      </c>
      <c r="R8" s="11" t="s">
        <v>11</v>
      </c>
      <c r="S8" s="12" t="s">
        <v>13</v>
      </c>
      <c r="T8" s="12" t="s">
        <v>14</v>
      </c>
      <c r="U8" s="12" t="s">
        <v>16</v>
      </c>
      <c r="V8" s="11" t="s">
        <v>11</v>
      </c>
      <c r="W8" s="12" t="s">
        <v>13</v>
      </c>
      <c r="X8" s="12" t="s">
        <v>14</v>
      </c>
      <c r="Y8" s="12" t="s">
        <v>16</v>
      </c>
      <c r="Z8" s="12" t="s">
        <v>17</v>
      </c>
      <c r="AA8" s="63" t="s">
        <v>11</v>
      </c>
      <c r="AB8" s="64" t="s">
        <v>13</v>
      </c>
      <c r="AC8" s="64" t="s">
        <v>14</v>
      </c>
      <c r="AD8" s="64" t="s">
        <v>16</v>
      </c>
      <c r="AE8" s="64" t="s">
        <v>17</v>
      </c>
      <c r="AF8" s="456"/>
      <c r="AG8" s="459"/>
      <c r="AH8" s="488"/>
      <c r="AI8" s="11" t="s">
        <v>11</v>
      </c>
      <c r="AJ8" s="12" t="s">
        <v>13</v>
      </c>
      <c r="AK8" s="12" t="s">
        <v>263</v>
      </c>
      <c r="AL8" s="579"/>
      <c r="AM8" s="582"/>
      <c r="AN8" s="568"/>
      <c r="BB8" s="572"/>
      <c r="BE8" s="456"/>
      <c r="BF8" s="459"/>
      <c r="BG8" s="459"/>
      <c r="BH8" s="459"/>
      <c r="BI8" s="459"/>
      <c r="BJ8" s="459"/>
      <c r="BK8" s="459"/>
      <c r="BN8" s="400"/>
      <c r="BO8" s="397"/>
      <c r="BP8" s="397"/>
      <c r="BQ8" s="44" t="s">
        <v>328</v>
      </c>
      <c r="BR8" s="45" t="s">
        <v>329</v>
      </c>
      <c r="BS8" s="44" t="s">
        <v>323</v>
      </c>
      <c r="BT8" s="45" t="s">
        <v>324</v>
      </c>
      <c r="BU8" s="397"/>
      <c r="BV8" s="401"/>
      <c r="BW8" s="475"/>
      <c r="BX8" s="401"/>
      <c r="BY8" s="401"/>
      <c r="BZ8" s="397"/>
      <c r="CB8" s="471"/>
      <c r="CD8" s="400"/>
      <c r="CE8" s="397"/>
      <c r="CF8" s="397"/>
      <c r="CG8" s="44" t="s">
        <v>328</v>
      </c>
      <c r="CH8" s="45" t="s">
        <v>329</v>
      </c>
      <c r="CI8" s="44" t="s">
        <v>323</v>
      </c>
      <c r="CJ8" s="45" t="s">
        <v>324</v>
      </c>
      <c r="CK8" s="397"/>
      <c r="CL8" s="401"/>
      <c r="CM8" s="475"/>
      <c r="CN8" s="401"/>
      <c r="CO8" s="401"/>
      <c r="CP8" s="397"/>
      <c r="DV8" s="532"/>
      <c r="DW8" s="478"/>
      <c r="DX8" s="478"/>
      <c r="DY8" s="478"/>
      <c r="DZ8" s="478"/>
      <c r="EA8" s="478"/>
      <c r="EB8" s="478"/>
      <c r="ED8" s="53"/>
      <c r="EE8" s="54"/>
      <c r="EG8" s="533"/>
      <c r="EH8" s="533"/>
      <c r="EI8" s="47" t="s">
        <v>363</v>
      </c>
      <c r="EJ8" s="47" t="s">
        <v>506</v>
      </c>
      <c r="EK8" s="47"/>
      <c r="EL8" s="47"/>
      <c r="EM8" s="47"/>
      <c r="EN8" s="47"/>
      <c r="EO8" s="47"/>
      <c r="EP8" s="47"/>
      <c r="EQ8" s="47" t="s">
        <v>362</v>
      </c>
      <c r="ER8" s="47" t="s">
        <v>507</v>
      </c>
      <c r="ES8" s="47" t="s">
        <v>364</v>
      </c>
      <c r="ET8" s="47" t="s">
        <v>363</v>
      </c>
      <c r="EU8" s="47" t="s">
        <v>364</v>
      </c>
      <c r="EV8" s="47" t="s">
        <v>364</v>
      </c>
      <c r="EW8" s="47" t="s">
        <v>364</v>
      </c>
      <c r="EX8" s="47" t="s">
        <v>364</v>
      </c>
      <c r="EY8" s="47" t="s">
        <v>364</v>
      </c>
      <c r="EZ8" s="47" t="s">
        <v>365</v>
      </c>
      <c r="FA8" s="47" t="s">
        <v>364</v>
      </c>
      <c r="FB8" s="47" t="s">
        <v>362</v>
      </c>
      <c r="FC8" s="47" t="s">
        <v>364</v>
      </c>
      <c r="FD8" s="47" t="s">
        <v>363</v>
      </c>
      <c r="FE8" s="47" t="s">
        <v>364</v>
      </c>
      <c r="FF8" s="47" t="s">
        <v>364</v>
      </c>
      <c r="FH8" s="47"/>
      <c r="FI8" s="47"/>
      <c r="FJ8" s="47"/>
      <c r="FK8" s="47"/>
      <c r="FL8" s="47"/>
      <c r="FM8" s="47"/>
      <c r="FN8" s="47"/>
      <c r="FO8" s="47"/>
      <c r="FP8" s="47"/>
      <c r="FQ8" s="47"/>
      <c r="FR8" s="47"/>
      <c r="FS8" s="47"/>
      <c r="FT8" s="47"/>
      <c r="FU8" s="47"/>
      <c r="FV8" s="47"/>
      <c r="FX8" s="367"/>
      <c r="FY8" s="414"/>
      <c r="FZ8" s="397"/>
      <c r="GA8" s="397"/>
      <c r="GB8" s="397"/>
      <c r="GC8" s="397"/>
      <c r="GD8" s="397"/>
      <c r="GE8" s="397"/>
      <c r="GF8" s="27"/>
      <c r="GG8" s="397"/>
      <c r="GH8" s="397"/>
      <c r="GI8" s="27"/>
      <c r="GJ8" s="397"/>
      <c r="GK8" s="397"/>
      <c r="GO8" s="425"/>
      <c r="GP8" s="425"/>
      <c r="GQ8" s="425"/>
      <c r="GR8" s="425"/>
      <c r="GS8" s="425"/>
      <c r="GT8" s="425"/>
      <c r="GU8" s="95"/>
      <c r="GV8" s="425"/>
      <c r="GW8" s="425"/>
      <c r="GX8" s="96" t="s">
        <v>447</v>
      </c>
      <c r="GY8" s="97">
        <f>Jaticempaka!GY8</f>
        <v>14</v>
      </c>
      <c r="GZ8" s="425"/>
      <c r="HA8" s="83"/>
      <c r="HB8" s="83"/>
      <c r="HC8" s="402"/>
      <c r="HD8" s="402"/>
      <c r="HE8" s="402"/>
      <c r="HF8" s="402"/>
      <c r="HG8" s="402"/>
      <c r="HH8" s="98">
        <f>Jaticempaka!HH8</f>
        <v>45</v>
      </c>
      <c r="HI8" s="98">
        <f>Jaticempaka!HI8</f>
        <v>45</v>
      </c>
      <c r="HJ8" s="90"/>
      <c r="HK8" s="402"/>
      <c r="HL8" s="83"/>
      <c r="HM8" s="83"/>
      <c r="HN8" s="83"/>
      <c r="HO8" s="83"/>
      <c r="HP8" s="99" t="s">
        <v>463</v>
      </c>
      <c r="HQ8" s="99" t="s">
        <v>11</v>
      </c>
      <c r="HR8" s="100" t="s">
        <v>13</v>
      </c>
      <c r="HS8" s="99" t="s">
        <v>463</v>
      </c>
      <c r="HT8" s="99" t="s">
        <v>11</v>
      </c>
      <c r="HU8" s="100" t="s">
        <v>13</v>
      </c>
      <c r="HV8" s="99" t="s">
        <v>463</v>
      </c>
      <c r="HW8" s="99" t="s">
        <v>11</v>
      </c>
      <c r="HX8" s="100" t="s">
        <v>13</v>
      </c>
      <c r="HY8" s="99" t="s">
        <v>463</v>
      </c>
      <c r="HZ8" s="99" t="s">
        <v>11</v>
      </c>
      <c r="IA8" s="100" t="s">
        <v>13</v>
      </c>
      <c r="IB8" s="99" t="s">
        <v>463</v>
      </c>
      <c r="IC8" s="99" t="s">
        <v>11</v>
      </c>
      <c r="ID8" s="100" t="s">
        <v>13</v>
      </c>
      <c r="IE8" s="99" t="s">
        <v>463</v>
      </c>
      <c r="IF8" s="99" t="s">
        <v>11</v>
      </c>
      <c r="IG8" s="100" t="s">
        <v>13</v>
      </c>
      <c r="IH8" s="99" t="s">
        <v>463</v>
      </c>
      <c r="II8" s="99" t="s">
        <v>11</v>
      </c>
      <c r="IJ8" s="100" t="s">
        <v>13</v>
      </c>
      <c r="IK8" s="99" t="s">
        <v>463</v>
      </c>
      <c r="IL8" s="99" t="s">
        <v>11</v>
      </c>
      <c r="IM8" s="100" t="s">
        <v>13</v>
      </c>
      <c r="IN8" s="83"/>
      <c r="IO8" s="99" t="s">
        <v>463</v>
      </c>
      <c r="IP8" s="99" t="s">
        <v>11</v>
      </c>
      <c r="IQ8" s="100" t="s">
        <v>13</v>
      </c>
      <c r="IR8" s="83"/>
      <c r="IS8" s="99" t="s">
        <v>463</v>
      </c>
      <c r="IT8" s="99" t="s">
        <v>11</v>
      </c>
      <c r="IU8" s="100" t="s">
        <v>13</v>
      </c>
      <c r="IV8" s="83"/>
      <c r="IW8" s="99" t="s">
        <v>463</v>
      </c>
      <c r="IX8" s="99" t="s">
        <v>11</v>
      </c>
      <c r="IY8" s="100" t="s">
        <v>13</v>
      </c>
      <c r="IZ8" s="83"/>
      <c r="JA8" s="99" t="s">
        <v>463</v>
      </c>
      <c r="JB8" s="99" t="s">
        <v>11</v>
      </c>
      <c r="JC8" s="100" t="s">
        <v>13</v>
      </c>
      <c r="JD8" s="83"/>
      <c r="JE8" s="99" t="s">
        <v>463</v>
      </c>
      <c r="JF8" s="99" t="s">
        <v>11</v>
      </c>
      <c r="JG8" s="100" t="s">
        <v>13</v>
      </c>
      <c r="JH8" s="83"/>
      <c r="JI8" s="99" t="s">
        <v>463</v>
      </c>
      <c r="JJ8" s="99" t="s">
        <v>11</v>
      </c>
      <c r="JK8" s="100" t="s">
        <v>13</v>
      </c>
      <c r="JM8" t="s">
        <v>468</v>
      </c>
      <c r="JP8" s="400"/>
      <c r="JQ8" s="397"/>
      <c r="JR8" s="397"/>
      <c r="JS8" s="44" t="s">
        <v>328</v>
      </c>
      <c r="JT8" s="45" t="s">
        <v>479</v>
      </c>
      <c r="JU8" s="44" t="s">
        <v>323</v>
      </c>
      <c r="JV8" s="45" t="s">
        <v>324</v>
      </c>
      <c r="JW8" s="397"/>
      <c r="JX8" s="401"/>
      <c r="JY8" s="475"/>
      <c r="JZ8" s="401"/>
      <c r="KA8" s="401"/>
      <c r="KB8" s="397"/>
      <c r="KD8" s="400"/>
      <c r="KE8" s="400"/>
      <c r="KF8" s="400"/>
      <c r="KG8" s="397"/>
      <c r="KH8" s="397"/>
      <c r="KI8" s="44" t="s">
        <v>328</v>
      </c>
      <c r="KJ8" s="45" t="s">
        <v>479</v>
      </c>
      <c r="KK8" s="44" t="s">
        <v>323</v>
      </c>
      <c r="KL8" s="45" t="s">
        <v>324</v>
      </c>
      <c r="KM8" s="397"/>
      <c r="KN8" s="401"/>
      <c r="KO8" s="475"/>
      <c r="KP8" s="401"/>
      <c r="KQ8" s="401"/>
      <c r="KR8" s="397"/>
      <c r="KU8" s="130" t="s">
        <v>565</v>
      </c>
      <c r="KV8" s="130" t="s">
        <v>565</v>
      </c>
      <c r="KW8" s="536"/>
      <c r="KX8" s="539"/>
      <c r="KY8" s="539"/>
      <c r="KZ8" s="129" t="s">
        <v>12</v>
      </c>
      <c r="LA8" s="131" t="s">
        <v>566</v>
      </c>
      <c r="LB8" s="129" t="s">
        <v>12</v>
      </c>
      <c r="LC8" s="131" t="s">
        <v>566</v>
      </c>
      <c r="LD8" s="132" t="s">
        <v>567</v>
      </c>
      <c r="LE8" s="133" t="s">
        <v>568</v>
      </c>
      <c r="LF8" s="545"/>
      <c r="LG8" s="545"/>
      <c r="LH8" s="546"/>
      <c r="LI8" s="545"/>
      <c r="LJ8" s="545"/>
      <c r="LK8" s="545"/>
      <c r="LL8" s="545"/>
      <c r="LM8" s="396"/>
      <c r="LN8" s="396"/>
      <c r="LO8" s="553"/>
      <c r="LP8" s="554"/>
      <c r="LQ8" s="396"/>
      <c r="LR8" s="396"/>
      <c r="LS8" s="396"/>
      <c r="LT8" s="358"/>
      <c r="LU8" s="358"/>
      <c r="LV8" s="358"/>
      <c r="LW8" s="358"/>
      <c r="LX8" s="358"/>
      <c r="LY8" s="358"/>
      <c r="LZ8" s="358"/>
      <c r="MA8" s="347"/>
      <c r="MB8" s="347"/>
      <c r="MC8" s="347"/>
      <c r="MD8" s="347"/>
      <c r="ME8" s="347"/>
      <c r="MF8" s="347"/>
      <c r="MG8" s="347"/>
      <c r="MH8" s="347"/>
      <c r="MI8" s="347"/>
      <c r="MJ8" s="347"/>
      <c r="MK8" s="344"/>
      <c r="ML8" s="344"/>
      <c r="MM8" s="344"/>
      <c r="MN8" s="344"/>
      <c r="MO8" s="344"/>
      <c r="MP8" s="364"/>
      <c r="MQ8" s="364"/>
      <c r="MR8" s="364"/>
      <c r="MS8" s="364"/>
      <c r="MT8" s="364"/>
      <c r="MU8" s="364"/>
      <c r="MV8" s="364"/>
      <c r="MW8" s="364"/>
      <c r="MX8" s="361"/>
      <c r="MY8" s="361"/>
      <c r="MZ8" s="361"/>
      <c r="NA8" s="361"/>
      <c r="NB8" s="361"/>
      <c r="NC8" s="349"/>
      <c r="ND8" s="556"/>
      <c r="NE8" s="391"/>
      <c r="NF8" s="393"/>
      <c r="NG8" s="395"/>
      <c r="NH8" s="395"/>
      <c r="NI8" s="354"/>
      <c r="NJ8" s="352"/>
      <c r="NK8" s="371"/>
      <c r="NM8" s="80">
        <v>1</v>
      </c>
      <c r="NN8" s="80">
        <v>2</v>
      </c>
      <c r="NO8" s="80">
        <v>3</v>
      </c>
      <c r="NP8" s="80">
        <v>4</v>
      </c>
      <c r="NQ8" s="80">
        <v>5</v>
      </c>
      <c r="NR8" s="80">
        <v>6</v>
      </c>
      <c r="NS8" s="80">
        <v>7</v>
      </c>
      <c r="NT8" s="80" t="s">
        <v>587</v>
      </c>
      <c r="NU8" t="s">
        <v>589</v>
      </c>
      <c r="NZ8" s="341"/>
      <c r="OE8" s="340"/>
      <c r="OF8" s="340"/>
      <c r="OG8" s="340"/>
      <c r="OH8" s="340"/>
      <c r="OI8" s="340"/>
      <c r="OJ8" s="340"/>
      <c r="OK8" s="340"/>
      <c r="OL8" s="340"/>
      <c r="OM8" s="340"/>
      <c r="OO8" s="340"/>
      <c r="OP8" s="340"/>
      <c r="OQ8" s="340"/>
      <c r="OR8" s="340"/>
      <c r="OS8" s="340"/>
      <c r="OT8" s="340"/>
      <c r="OU8" s="340"/>
      <c r="OV8" s="340"/>
      <c r="OW8" s="340"/>
      <c r="PA8" s="369"/>
      <c r="PB8" s="369"/>
      <c r="PC8" s="369"/>
      <c r="PD8" s="369"/>
      <c r="PE8" s="369"/>
      <c r="PF8" s="369"/>
      <c r="PG8" s="369"/>
      <c r="PH8" s="369"/>
      <c r="PI8" s="369"/>
      <c r="PJ8" s="369"/>
      <c r="PK8" s="369"/>
      <c r="PL8" s="369"/>
      <c r="PO8" s="47" t="s">
        <v>364</v>
      </c>
      <c r="PP8" s="47" t="s">
        <v>364</v>
      </c>
      <c r="PQ8" s="47" t="s">
        <v>364</v>
      </c>
    </row>
    <row r="9" spans="1:433" ht="16" x14ac:dyDescent="0.2">
      <c r="A9" s="14">
        <v>1</v>
      </c>
      <c r="B9" s="15" t="s">
        <v>224</v>
      </c>
      <c r="C9" s="16">
        <v>1</v>
      </c>
      <c r="D9" s="17">
        <v>1</v>
      </c>
      <c r="E9" s="17">
        <v>42</v>
      </c>
      <c r="F9" s="17">
        <v>1</v>
      </c>
      <c r="G9" s="17">
        <f t="shared" ref="G9:G52" si="2">E9</f>
        <v>42</v>
      </c>
      <c r="H9" s="18">
        <f t="shared" ref="H9:H54" si="3">F9/$D9</f>
        <v>1</v>
      </c>
      <c r="I9" s="18">
        <f t="shared" ref="I9:I54" si="4">G9/$E9</f>
        <v>1</v>
      </c>
      <c r="J9" s="17">
        <v>1</v>
      </c>
      <c r="K9" s="17">
        <f t="shared" ref="K9:K54" si="5">IF(J9=D9,E9,0)</f>
        <v>42</v>
      </c>
      <c r="L9" s="18">
        <f t="shared" ref="L9:L67" si="6">J9/$D9</f>
        <v>1</v>
      </c>
      <c r="M9" s="18">
        <f t="shared" ref="M9:M67" si="7">K9/$E9</f>
        <v>1</v>
      </c>
      <c r="N9" s="17">
        <v>1</v>
      </c>
      <c r="O9" s="17">
        <f t="shared" ref="O9:O54" si="8">IF(N9=D9,E9,0)</f>
        <v>42</v>
      </c>
      <c r="P9" s="18">
        <f t="shared" ref="P9:P67" si="9">N9/$D9</f>
        <v>1</v>
      </c>
      <c r="Q9" s="18">
        <f t="shared" ref="Q9:Q67" si="10">O9/$E9</f>
        <v>1</v>
      </c>
      <c r="R9" s="17">
        <v>1</v>
      </c>
      <c r="S9" s="17">
        <f t="shared" ref="S9:S54" si="11">IF(R9=D9,E9,0)</f>
        <v>42</v>
      </c>
      <c r="T9" s="18">
        <f t="shared" ref="T9:T54" si="12">R9/$D9</f>
        <v>1</v>
      </c>
      <c r="U9" s="18">
        <f t="shared" ref="U9:U54" si="13">S9/$E9</f>
        <v>1</v>
      </c>
      <c r="V9" s="17">
        <v>0</v>
      </c>
      <c r="W9" s="17">
        <f t="shared" ref="W9:W54" si="14">IF(V9=D9,E9,0)</f>
        <v>0</v>
      </c>
      <c r="X9" s="18">
        <f t="shared" ref="X9:X54" si="15">V9/$D9</f>
        <v>0</v>
      </c>
      <c r="Y9" s="18">
        <f t="shared" ref="Y9:Y54" si="16">W9/$E9</f>
        <v>0</v>
      </c>
      <c r="Z9" s="17"/>
      <c r="AA9" s="168">
        <v>1</v>
      </c>
      <c r="AB9" s="17">
        <f>IF(AA9=D9,E9,0)</f>
        <v>42</v>
      </c>
      <c r="AC9" s="18">
        <f t="shared" ref="AC9" si="17">AA9/$D9</f>
        <v>1</v>
      </c>
      <c r="AD9" s="18">
        <f t="shared" ref="AD9" si="18">AB9/$E9</f>
        <v>1</v>
      </c>
      <c r="AE9" s="62">
        <f>360025000/1000000000</f>
        <v>0.36002499999999998</v>
      </c>
      <c r="AF9" s="17">
        <f>R9-V9</f>
        <v>1</v>
      </c>
      <c r="AG9" s="17" t="s">
        <v>343</v>
      </c>
      <c r="AH9" s="31" t="s">
        <v>303</v>
      </c>
      <c r="AI9" s="17">
        <v>0</v>
      </c>
      <c r="AJ9" s="17">
        <f>IF(AI9=D9,E9,0)</f>
        <v>0</v>
      </c>
      <c r="AK9" s="17"/>
      <c r="AL9" s="17"/>
      <c r="AM9" s="17">
        <v>0</v>
      </c>
      <c r="AN9" s="72"/>
      <c r="BB9" s="17">
        <f>IF(AN9=1,G9,0)</f>
        <v>0</v>
      </c>
      <c r="BE9" s="17">
        <f t="shared" ref="BE9:BE54" si="19">IF(AF9=1,S9,0)</f>
        <v>42</v>
      </c>
      <c r="BF9" s="17">
        <f t="shared" ref="BF9:BF54" si="20">IF(AG9="A",S9,0)</f>
        <v>0</v>
      </c>
      <c r="BG9" s="17">
        <f t="shared" ref="BG9:BG54" si="21">IF(AG9="B",S9,0)</f>
        <v>0</v>
      </c>
      <c r="BH9" s="17">
        <f t="shared" ref="BH9:BH54" si="22">IF(AG9="C",S9,0)</f>
        <v>42</v>
      </c>
      <c r="BI9" s="17">
        <f t="shared" ref="BI9:BI54" si="23">IF(AG9="D",S9,0)</f>
        <v>0</v>
      </c>
      <c r="BJ9" s="17">
        <f t="shared" ref="BJ9:BJ54" si="24">IF(AG9="E",S9,0)</f>
        <v>0</v>
      </c>
      <c r="BK9" s="17">
        <f t="shared" ref="BK9" si="25">SUM(BF9:BJ9)</f>
        <v>42</v>
      </c>
      <c r="BN9" s="149"/>
      <c r="BO9" s="284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B9" s="72"/>
      <c r="CD9" s="17">
        <f>BN9</f>
        <v>0</v>
      </c>
      <c r="CE9" s="17">
        <f>IF(BO9=1,$CD9,0)</f>
        <v>0</v>
      </c>
      <c r="CF9" s="17">
        <f t="shared" ref="CF9:CP10" si="26">IF(BP9=1,$CD9,0)</f>
        <v>0</v>
      </c>
      <c r="CG9" s="17">
        <f t="shared" si="26"/>
        <v>0</v>
      </c>
      <c r="CH9" s="17">
        <f t="shared" si="26"/>
        <v>0</v>
      </c>
      <c r="CI9" s="17">
        <f t="shared" si="26"/>
        <v>0</v>
      </c>
      <c r="CJ9" s="17">
        <f t="shared" si="26"/>
        <v>0</v>
      </c>
      <c r="CK9" s="17">
        <f t="shared" si="26"/>
        <v>0</v>
      </c>
      <c r="CL9" s="17">
        <f t="shared" si="26"/>
        <v>0</v>
      </c>
      <c r="CM9" s="17">
        <f t="shared" si="26"/>
        <v>0</v>
      </c>
      <c r="CN9" s="17">
        <f t="shared" si="26"/>
        <v>0</v>
      </c>
      <c r="CO9" s="17">
        <f t="shared" si="26"/>
        <v>0</v>
      </c>
      <c r="CP9" s="17">
        <f t="shared" si="26"/>
        <v>0</v>
      </c>
      <c r="CQ9" s="148">
        <f t="shared" ref="CQ9:CQ67" si="27">SUM(CE9:CP9)-CD9</f>
        <v>0</v>
      </c>
      <c r="DV9" s="17">
        <f t="shared" ref="DV9:DV54" si="28">IF(CB9=1,G9,0)</f>
        <v>0</v>
      </c>
      <c r="DW9" s="17">
        <f t="shared" ref="DW9:DW54" si="29">IF(CC9="A",G9,0)</f>
        <v>0</v>
      </c>
      <c r="DX9" s="17">
        <f t="shared" ref="DX9:DX54" si="30">IF(CC9="B",G9,0)</f>
        <v>0</v>
      </c>
      <c r="DY9" s="17">
        <f t="shared" ref="DY9:DY54" si="31">IF(CC9="C",G9,0)</f>
        <v>0</v>
      </c>
      <c r="DZ9" s="17">
        <f t="shared" ref="DZ9:DZ54" si="32">IF(CC9="D",G9,0)</f>
        <v>0</v>
      </c>
      <c r="EA9" s="17">
        <f t="shared" ref="EA9:EA54" si="33">IF(CC9="E",G9,0)</f>
        <v>0</v>
      </c>
      <c r="EB9" s="17">
        <f t="shared" ref="EB9" si="34">SUM(DW9:EA9)</f>
        <v>0</v>
      </c>
      <c r="ED9" s="46" t="s">
        <v>366</v>
      </c>
      <c r="EE9" s="46" t="s">
        <v>367</v>
      </c>
      <c r="EG9" s="57" t="str">
        <f>IF(AG9="C","C",IF(AG9="D","D",0))</f>
        <v>C</v>
      </c>
      <c r="EH9" s="57">
        <f>CC9</f>
        <v>0</v>
      </c>
      <c r="EI9" s="17">
        <v>1</v>
      </c>
      <c r="EJ9" s="17">
        <v>1</v>
      </c>
      <c r="EK9" s="17"/>
      <c r="EL9" s="17"/>
      <c r="EM9" s="17"/>
      <c r="EN9" s="17"/>
      <c r="EO9" s="17"/>
      <c r="EP9" s="17"/>
      <c r="EQ9" s="17">
        <v>1</v>
      </c>
      <c r="ER9" s="17">
        <v>1</v>
      </c>
      <c r="ES9" s="17">
        <v>1</v>
      </c>
      <c r="ET9" s="17"/>
      <c r="EU9" s="17"/>
      <c r="EV9" s="17">
        <v>1</v>
      </c>
      <c r="EW9" s="17"/>
      <c r="EX9" s="17"/>
      <c r="EY9" s="17"/>
      <c r="EZ9" s="17">
        <v>1</v>
      </c>
      <c r="FA9" s="17">
        <v>1</v>
      </c>
      <c r="FB9" s="189">
        <v>1</v>
      </c>
      <c r="FC9" s="17"/>
      <c r="FD9" s="17"/>
      <c r="FE9" s="168">
        <v>1</v>
      </c>
      <c r="FF9" s="168">
        <v>1</v>
      </c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X9" s="80"/>
      <c r="FY9" s="17">
        <f>SUM(FZ9:GE9)</f>
        <v>0</v>
      </c>
      <c r="FZ9" s="17">
        <f t="shared" ref="FZ9:FZ51" si="35">DI9+CE9</f>
        <v>0</v>
      </c>
      <c r="GA9" s="17">
        <f t="shared" ref="GA9:GA51" si="36">DJ9+CF9</f>
        <v>0</v>
      </c>
      <c r="GB9" s="17">
        <f t="shared" ref="GB9:GB51" si="37">DK9+CG9</f>
        <v>0</v>
      </c>
      <c r="GC9" s="17">
        <f t="shared" ref="GC9:GC51" si="38">DM9+CI9</f>
        <v>0</v>
      </c>
      <c r="GD9" s="17">
        <f t="shared" ref="GD9:GD51" si="39">DO9+CK9</f>
        <v>0</v>
      </c>
      <c r="GE9" s="17">
        <f t="shared" ref="GE9:GE51" si="40">DT9+CP9</f>
        <v>0</v>
      </c>
      <c r="GF9" s="67"/>
      <c r="GG9" s="17">
        <v>0</v>
      </c>
      <c r="GH9" s="17">
        <v>0</v>
      </c>
      <c r="GI9" s="67"/>
      <c r="GJ9" s="62">
        <f>FY9*GG9/1000000000</f>
        <v>0</v>
      </c>
      <c r="GK9" s="62">
        <f>FY9*GH9/1000000000</f>
        <v>0</v>
      </c>
      <c r="GO9" s="17">
        <f t="shared" ref="GO9:GO51" si="41">D9-F9</f>
        <v>0</v>
      </c>
      <c r="GP9" s="17">
        <f t="shared" ref="GP9:GP51" si="42">D9-J9</f>
        <v>0</v>
      </c>
      <c r="GQ9" s="17">
        <f t="shared" ref="GQ9:GQ51" si="43">D9-N9</f>
        <v>0</v>
      </c>
      <c r="GR9" s="17">
        <f t="shared" ref="GR9:GR51" si="44">D9-R9</f>
        <v>0</v>
      </c>
      <c r="GS9" s="17">
        <f t="shared" ref="GS9:GS51" si="45">D9-V9</f>
        <v>1</v>
      </c>
      <c r="GT9" s="17">
        <f>IF(SUM(GO9:GS9)=0,1,0)</f>
        <v>0</v>
      </c>
      <c r="GU9" s="101">
        <f>$GU$3</f>
        <v>43243</v>
      </c>
      <c r="GV9" s="17" t="str">
        <f>IF(GO9&gt;0,$GO$6,IF(GP9&gt;0,$GP$6,IF(GQ9&gt;0,$GQ$6,IF(GR9&gt;0,$GR$6,IF(GS9&gt;0,$GS$6,IF(GT9&gt;0,$GT$6,0))))))</f>
        <v>UGR</v>
      </c>
      <c r="GW9" s="17">
        <f>IF(GV9=$GO$6,GO9,IF(GV9=$GP$6,GP9,IF(GV9=$GQ$6,GQ9,IF(GV9=$GR$6,GR9,IF(GV9=$GS$6,GS9,0)))))</f>
        <v>1</v>
      </c>
      <c r="GX9" s="66" t="str">
        <f>GV9</f>
        <v>UGR</v>
      </c>
      <c r="GY9" s="66">
        <f>IF(GX9="DNP",SUM($GY$4:$GY$8),IF(GX9="Survey KJPP",SUM($GY$5:$GY$8),IF(GX9="Hasil Valuasi",SUM($GY$6:$GY$8),IF(GX9="Musyawarah",SUM($GY$7:$GY$8),IF(GX9="UGR",$GY$8,0)))))</f>
        <v>14</v>
      </c>
      <c r="GZ9" s="102">
        <f>IF(GW9=0,"SELESAI",GU9+GY9)</f>
        <v>43257</v>
      </c>
      <c r="HA9" s="83"/>
      <c r="HB9" s="83"/>
      <c r="HC9" s="17">
        <f t="shared" ref="HC9:HC51" si="46">IF(BH9&gt;0,1,IF(BI9&gt;0,1,0))</f>
        <v>1</v>
      </c>
      <c r="HD9" s="17">
        <f t="shared" ref="HD9:HD51" si="47">IF(CB9&gt;0,1,0)</f>
        <v>0</v>
      </c>
      <c r="HE9" s="17">
        <f>HC9+HD9</f>
        <v>1</v>
      </c>
      <c r="HF9" s="17">
        <f>FQ9</f>
        <v>0</v>
      </c>
      <c r="HG9" s="17">
        <f>HE9-HF9</f>
        <v>1</v>
      </c>
      <c r="HH9" s="101">
        <f t="shared" ref="HH9:HH54" si="48">IF(HG9=1,GU9+$HH$8,"TIDAK KONSINYASI")</f>
        <v>43288</v>
      </c>
      <c r="HI9" s="101">
        <f>IF(GW9=0,"SELESAI",GZ9+$HI$8)</f>
        <v>43302</v>
      </c>
      <c r="HJ9" s="27"/>
      <c r="HK9" s="101">
        <f t="shared" ref="HK9:HK54" si="49">MAX(GZ9,HH9,HI9)</f>
        <v>43302</v>
      </c>
      <c r="HL9" s="83"/>
      <c r="HM9" s="83"/>
      <c r="HN9" s="83"/>
      <c r="HO9" s="83"/>
      <c r="HP9" s="102">
        <f>IF(HQ9=1,GZ9,0)</f>
        <v>0</v>
      </c>
      <c r="HQ9" s="66">
        <f>IF(IX9=0,IF(HT9=0,IF(IP9=0,IF(GV9="UGR",GS9,0),0),0),0)</f>
        <v>0</v>
      </c>
      <c r="HR9" s="66">
        <f t="shared" ref="HR9:HR51" si="50">IF(HQ9=1,E9,0)</f>
        <v>0</v>
      </c>
      <c r="HS9" s="102">
        <f>IF(HT9=1,HH9,0)</f>
        <v>43288</v>
      </c>
      <c r="HT9" s="66">
        <f>HG9</f>
        <v>1</v>
      </c>
      <c r="HU9" s="66">
        <f t="shared" ref="HU9:HU51" si="51">IF(HT9=1,E9,0)</f>
        <v>42</v>
      </c>
      <c r="HV9" s="102">
        <f>IF(HW9=1,GZ9,0)</f>
        <v>0</v>
      </c>
      <c r="HW9" s="66">
        <f t="shared" ref="HW9:HW54" si="52">IF(JB9=0,IF(IX9=0,IF(HT9=0,IF(GV9="MUSYAWARAH",GR9,0),0),0),0)</f>
        <v>0</v>
      </c>
      <c r="HX9" s="66">
        <f t="shared" ref="HX9:HX51" si="53">IF(HW9=1,E9,0)</f>
        <v>0</v>
      </c>
      <c r="HY9" s="102">
        <f t="shared" ref="HY9:HY54" si="54">IF(HZ9=1,HV9+$HI$8,0)</f>
        <v>0</v>
      </c>
      <c r="HZ9" s="66">
        <f>HW9</f>
        <v>0</v>
      </c>
      <c r="IA9" s="66">
        <f t="shared" ref="IA9:IA51" si="55">IF(HZ9=1,E9,0)</f>
        <v>0</v>
      </c>
      <c r="IB9" s="102">
        <f>IF(IC9=1,$GU$3+SUM($GY$6:$GY$8),0)</f>
        <v>0</v>
      </c>
      <c r="IC9" s="66">
        <f t="shared" ref="IC9:IC54" si="56">IF(GV9="Hasil Valuasi",GQ9,0)</f>
        <v>0</v>
      </c>
      <c r="ID9" s="66">
        <f t="shared" ref="ID9:ID51" si="57">IF(IC9=1,E9,0)</f>
        <v>0</v>
      </c>
      <c r="IE9" s="102">
        <f t="shared" ref="IE9:IE54" si="58">IF(IF9=1,IB9+$HI$8,0)</f>
        <v>0</v>
      </c>
      <c r="IF9" s="66">
        <f t="shared" ref="IF9:IF54" si="59">IC9</f>
        <v>0</v>
      </c>
      <c r="IG9" s="66">
        <f t="shared" ref="IG9:IG51" si="60">IF(IF9=1,E9,0)</f>
        <v>0</v>
      </c>
      <c r="IH9" s="102">
        <f>IF(II9=1,$GU$3+SUM($GY$5:$GY$8),0)</f>
        <v>0</v>
      </c>
      <c r="II9" s="66">
        <f>IF(GV9="Survey KJPP",GP9,0)</f>
        <v>0</v>
      </c>
      <c r="IJ9" s="66">
        <f t="shared" ref="IJ9:IJ51" si="61">IF(II9=1,E9,0)</f>
        <v>0</v>
      </c>
      <c r="IK9" s="102">
        <f t="shared" ref="IK9:IK54" si="62">IF(IL9=1,IH9+$HI$8,0)</f>
        <v>0</v>
      </c>
      <c r="IL9" s="66">
        <f t="shared" ref="IL9:IL54" si="63">II9</f>
        <v>0</v>
      </c>
      <c r="IM9" s="66">
        <f t="shared" ref="IM9:IM51" si="64">IF(IL9=1,E9,0)</f>
        <v>0</v>
      </c>
      <c r="IN9" s="83"/>
      <c r="IO9" s="102">
        <f t="shared" ref="IO9:IO54" si="65">IF(IP9=1,+$GU$3+$HH$8,0)</f>
        <v>0</v>
      </c>
      <c r="IP9" s="66">
        <f t="shared" ref="IP9:IP51" si="66">IF(BG9&gt;0,1,0)</f>
        <v>0</v>
      </c>
      <c r="IQ9" s="66">
        <f t="shared" ref="IQ9:IQ51" si="67">IF(IP9=1,E9,0)</f>
        <v>0</v>
      </c>
      <c r="IR9" s="83"/>
      <c r="IS9" s="102"/>
      <c r="IT9" s="66">
        <f t="shared" ref="IT9:IT51" si="68">V9</f>
        <v>0</v>
      </c>
      <c r="IU9" s="66">
        <f t="shared" ref="IU9:IU51" si="69">W9</f>
        <v>0</v>
      </c>
      <c r="IV9" s="83"/>
      <c r="IW9" s="102"/>
      <c r="IX9" s="66">
        <f t="shared" ref="IX9:IX51" si="70">AA9</f>
        <v>1</v>
      </c>
      <c r="IY9" s="66">
        <f t="shared" ref="IY9:IY51" si="71">AB9</f>
        <v>42</v>
      </c>
      <c r="IZ9" s="83"/>
      <c r="JA9" s="102"/>
      <c r="JB9" s="66">
        <f t="shared" ref="JB9:JB51" si="72">AN9</f>
        <v>0</v>
      </c>
      <c r="JC9" s="66">
        <f t="shared" ref="JC9:JC51" si="73">BB9</f>
        <v>0</v>
      </c>
      <c r="JD9" s="83"/>
      <c r="JE9" s="102"/>
      <c r="JF9" s="66">
        <f>IT9+HQ9+HT9+HZ9+IF9+IL9+IP9+IX9+JB9</f>
        <v>2</v>
      </c>
      <c r="JG9" s="66">
        <f t="shared" ref="JG9:JG54" si="74">IU9+HR9+HU9+IA9+IG9+IM9+IQ9+IY9+JC9</f>
        <v>84</v>
      </c>
      <c r="JH9" s="83"/>
      <c r="JI9" s="102"/>
      <c r="JJ9" s="66">
        <f t="shared" ref="JJ9:JJ51" si="75">JF9-D9</f>
        <v>1</v>
      </c>
      <c r="JK9" s="66">
        <f t="shared" ref="JK9:JK51" si="76">JG9-E9</f>
        <v>42</v>
      </c>
      <c r="JM9" s="102">
        <f>MAX(IW9,IS9,IO9,IK9,IE9,HY9,HS9,HP9)</f>
        <v>43288</v>
      </c>
      <c r="JO9" s="29">
        <f t="shared" ref="JO9:JO54" si="77">SUM(JQ9:KB9)</f>
        <v>0</v>
      </c>
      <c r="JP9" s="122">
        <f t="shared" ref="JP9:JP51" si="78">BN9+CR9</f>
        <v>0</v>
      </c>
      <c r="JQ9" s="122">
        <f t="shared" ref="JQ9:JQ51" si="79">IF(BO9+CS9=2,1,IF(BO9+CS9=1,1,0))</f>
        <v>0</v>
      </c>
      <c r="JR9" s="122">
        <f t="shared" ref="JR9:JR51" si="80">IF(BP9+CT9=2,1,IF(BP9+CT9=1,1,0))</f>
        <v>0</v>
      </c>
      <c r="JS9" s="122">
        <f t="shared" ref="JS9:JS51" si="81">IF(BQ9+CU9=2,1,IF(BQ9+CU9=1,1,0))</f>
        <v>0</v>
      </c>
      <c r="JT9" s="122">
        <f t="shared" ref="JT9:JT51" si="82">IF(BR9+CV9=2,1,IF(BR9+CV9=1,1,0))</f>
        <v>0</v>
      </c>
      <c r="JU9" s="122">
        <f t="shared" ref="JU9:JU51" si="83">IF(BS9+CW9=2,1,IF(BS9+CW9=1,1,0))</f>
        <v>0</v>
      </c>
      <c r="JV9" s="122">
        <f t="shared" ref="JV9:JV51" si="84">IF(BT9+CX9=2,1,IF(BT9+CX9=1,1,0))</f>
        <v>0</v>
      </c>
      <c r="JW9" s="122">
        <f t="shared" ref="JW9:JW51" si="85">IF(BU9+CY9=2,1,IF(BU9+CY9=1,1,0))</f>
        <v>0</v>
      </c>
      <c r="JX9" s="122">
        <f t="shared" ref="JX9:JX51" si="86">IF(BV9+CZ9=2,1,IF(BV9+CZ9=1,1,0))</f>
        <v>0</v>
      </c>
      <c r="JY9" s="122">
        <f t="shared" ref="JY9:JY51" si="87">IF(BW9+DA9=2,1,IF(BW9+DA9=1,1,0))</f>
        <v>0</v>
      </c>
      <c r="JZ9" s="122">
        <f t="shared" ref="JZ9:JZ51" si="88">IF(BX9+DB9=2,1,IF(BX9+DB9=1,1,0))</f>
        <v>0</v>
      </c>
      <c r="KA9" s="122">
        <f t="shared" ref="KA9:KA51" si="89">IF(BY9+DC9=2,1,IF(BY9+DC9=1,1,0))</f>
        <v>0</v>
      </c>
      <c r="KB9" s="122">
        <f t="shared" ref="KB9:KB51" si="90">IF(BZ9+DD9=2,1,IF(BZ9+DD9=1,1,0))</f>
        <v>0</v>
      </c>
      <c r="KD9" s="122">
        <f t="shared" ref="KD9" si="91">IF(IF(SUM(GA9:GE9)&gt;100,1,0)+IF(FX9=1,1,0)=2,1,0)</f>
        <v>0</v>
      </c>
      <c r="KE9" s="122">
        <f t="shared" ref="KE9:KE61" si="92">IF(KD9=1,KF9,0)</f>
        <v>0</v>
      </c>
      <c r="KF9" s="122">
        <f t="shared" ref="KF9:KF51" si="93">CD9+DH9</f>
        <v>0</v>
      </c>
      <c r="KG9" s="122">
        <f t="shared" ref="KG9:KG51" si="94">CE9+DI9</f>
        <v>0</v>
      </c>
      <c r="KH9" s="122">
        <f t="shared" ref="KH9:KH51" si="95">CF9+DJ9</f>
        <v>0</v>
      </c>
      <c r="KI9" s="122">
        <f t="shared" ref="KI9:KI51" si="96">CG9+DK9</f>
        <v>0</v>
      </c>
      <c r="KJ9" s="122">
        <f t="shared" ref="KJ9:KJ51" si="97">CH9+DL9</f>
        <v>0</v>
      </c>
      <c r="KK9" s="122">
        <f t="shared" ref="KK9:KK51" si="98">CI9+DM9</f>
        <v>0</v>
      </c>
      <c r="KL9" s="122">
        <f t="shared" ref="KL9:KL51" si="99">CJ9+DN9</f>
        <v>0</v>
      </c>
      <c r="KM9" s="122">
        <f t="shared" ref="KM9:KM51" si="100">CK9+DO9</f>
        <v>0</v>
      </c>
      <c r="KN9" s="122">
        <f t="shared" ref="KN9:KN51" si="101">CL9+DP9</f>
        <v>0</v>
      </c>
      <c r="KO9" s="122">
        <f t="shared" ref="KO9:KO51" si="102">CM9+DQ9</f>
        <v>0</v>
      </c>
      <c r="KP9" s="122">
        <f t="shared" ref="KP9:KP51" si="103">CN9+DR9</f>
        <v>0</v>
      </c>
      <c r="KQ9" s="122">
        <f t="shared" ref="KQ9:KQ51" si="104">CO9+DS9</f>
        <v>0</v>
      </c>
      <c r="KR9" s="122">
        <f t="shared" ref="KR9:KR51" si="105">CP9+DT9</f>
        <v>0</v>
      </c>
      <c r="KT9">
        <f t="shared" ref="KT9:KT51" si="106">AN9</f>
        <v>0</v>
      </c>
      <c r="KU9" s="122"/>
      <c r="KV9" s="122"/>
      <c r="KW9" s="122"/>
      <c r="KX9" s="122"/>
      <c r="KY9" s="122"/>
      <c r="KZ9" s="122"/>
      <c r="LA9" s="122"/>
      <c r="LB9" s="122"/>
      <c r="LC9" s="122"/>
      <c r="LD9" s="122"/>
      <c r="LE9" s="122"/>
      <c r="LF9" s="122"/>
      <c r="LG9" s="122"/>
      <c r="LH9" s="122"/>
      <c r="LI9" s="122"/>
      <c r="LJ9" s="122"/>
      <c r="LK9" s="122"/>
      <c r="LL9" s="122"/>
      <c r="LM9" s="122"/>
      <c r="LN9" s="122"/>
      <c r="LO9" s="122"/>
      <c r="LP9" s="122"/>
      <c r="LQ9" s="122"/>
      <c r="LR9" s="122"/>
      <c r="LS9" s="122"/>
      <c r="LT9" s="122"/>
      <c r="LU9" s="122"/>
      <c r="LV9" s="122"/>
      <c r="LW9" s="122"/>
      <c r="LX9" s="122"/>
      <c r="LY9" s="122"/>
      <c r="LZ9" s="122"/>
      <c r="MA9" s="122"/>
      <c r="MB9" s="122"/>
      <c r="MC9" s="122"/>
      <c r="MD9" s="122"/>
      <c r="ME9" s="122"/>
      <c r="MF9" s="122"/>
      <c r="MG9" s="122"/>
      <c r="MH9" s="122"/>
      <c r="MI9" s="122"/>
      <c r="MJ9" s="122"/>
      <c r="MK9" s="122"/>
      <c r="ML9" s="122"/>
      <c r="MM9" s="122"/>
      <c r="MN9" s="122"/>
      <c r="MO9" s="122"/>
      <c r="MP9" s="122"/>
      <c r="MQ9" s="122"/>
      <c r="MR9" s="122"/>
      <c r="MS9" s="122"/>
      <c r="MT9" s="122"/>
      <c r="MU9" s="122"/>
      <c r="MV9" s="122"/>
      <c r="MW9" s="122"/>
      <c r="MX9" s="122"/>
      <c r="MY9" s="122"/>
      <c r="MZ9" s="122"/>
      <c r="NA9" s="122"/>
      <c r="NB9" s="122"/>
      <c r="NC9" s="122"/>
      <c r="ND9" s="122"/>
      <c r="NE9" s="122"/>
      <c r="NF9" s="122"/>
      <c r="NG9" s="122"/>
      <c r="NH9" s="122"/>
      <c r="NI9" s="122"/>
      <c r="NJ9" s="122"/>
      <c r="NK9" s="122"/>
      <c r="NM9">
        <f>IF(KS9=1,1,0)</f>
        <v>0</v>
      </c>
      <c r="NN9">
        <f>IF(KS9=2,1,0)</f>
        <v>0</v>
      </c>
      <c r="NO9">
        <f>IF(KS9=3,1,0)</f>
        <v>0</v>
      </c>
      <c r="NP9">
        <f>IF(KS9=4,1,0)</f>
        <v>0</v>
      </c>
      <c r="NQ9">
        <f>IF(KS9=5,1,0)</f>
        <v>0</v>
      </c>
      <c r="NR9">
        <f>IF(KS9=6,1,0)</f>
        <v>0</v>
      </c>
      <c r="NS9">
        <f>IF(KS9=7,1,0)</f>
        <v>0</v>
      </c>
      <c r="NT9">
        <f>SUM(NM9:NS9)</f>
        <v>0</v>
      </c>
      <c r="NU9" s="29">
        <f t="shared" ref="NU9" si="107">NT9-KT9</f>
        <v>0</v>
      </c>
      <c r="NY9" s="29">
        <f t="shared" ref="NY9:NY51" si="108">V9</f>
        <v>0</v>
      </c>
      <c r="NZ9" s="152">
        <v>8036000</v>
      </c>
      <c r="OE9" s="155">
        <f t="shared" ref="OE9:OE55" si="109">D9-J9</f>
        <v>0</v>
      </c>
      <c r="OF9" s="155">
        <f t="shared" ref="OF9:OF55" si="110">D9-N9</f>
        <v>0</v>
      </c>
      <c r="OG9" s="155">
        <f t="shared" ref="OG9:OG55" si="111">AN9</f>
        <v>0</v>
      </c>
      <c r="OH9" s="155">
        <f>HE9</f>
        <v>1</v>
      </c>
      <c r="OI9" s="155">
        <f t="shared" ref="OI9:OI55" si="112">D9-R9</f>
        <v>0</v>
      </c>
      <c r="OJ9" s="67">
        <f>IF(OG9=1,OF9,0)</f>
        <v>0</v>
      </c>
      <c r="OK9" s="67">
        <f>IF(OH9=1,OF9,0)</f>
        <v>0</v>
      </c>
      <c r="OL9" s="67">
        <f>IF((OG9+OH9)=0,OF9,0)</f>
        <v>0</v>
      </c>
      <c r="OM9" s="67">
        <f>SUM(OJ9:OL9)</f>
        <v>0</v>
      </c>
      <c r="OO9" s="155">
        <f t="shared" ref="OO9:OO55" si="113">E9-K9</f>
        <v>0</v>
      </c>
      <c r="OP9" s="155">
        <f t="shared" ref="OP9:OP55" si="114">E9-O9</f>
        <v>0</v>
      </c>
      <c r="OQ9" s="155">
        <f>OG9</f>
        <v>0</v>
      </c>
      <c r="OR9" s="155">
        <f>OH9</f>
        <v>1</v>
      </c>
      <c r="OS9" s="155">
        <f>OI9</f>
        <v>0</v>
      </c>
      <c r="OT9" s="67">
        <f>IF(OQ9=1,OP9,0)</f>
        <v>0</v>
      </c>
      <c r="OU9" s="67">
        <f>IF(OR9=1,OP9,0)</f>
        <v>0</v>
      </c>
      <c r="OV9" s="67">
        <f>IF((OQ9+OR9)=0,OP9,0)</f>
        <v>0</v>
      </c>
      <c r="OW9" s="67">
        <f>SUM(OT9:OV9)</f>
        <v>0</v>
      </c>
      <c r="PA9" s="166"/>
      <c r="PB9" s="166"/>
      <c r="PC9" s="166"/>
      <c r="PD9" s="210">
        <f t="shared" ref="PD9:PD66" si="115">PB9-PC9</f>
        <v>0</v>
      </c>
      <c r="PE9" s="210"/>
      <c r="PF9" s="210">
        <f t="shared" ref="PF9:PF66" si="116">PD9-PE9</f>
        <v>0</v>
      </c>
      <c r="PG9" s="210">
        <f t="shared" ref="PG9:PL51" si="117">IF(PA9=1,$BB9,0)</f>
        <v>0</v>
      </c>
      <c r="PH9" s="210">
        <f t="shared" si="117"/>
        <v>0</v>
      </c>
      <c r="PI9" s="210">
        <f t="shared" si="117"/>
        <v>0</v>
      </c>
      <c r="PJ9" s="210">
        <f t="shared" si="117"/>
        <v>0</v>
      </c>
      <c r="PK9" s="210">
        <f t="shared" si="117"/>
        <v>0</v>
      </c>
      <c r="PL9" s="210">
        <f t="shared" si="117"/>
        <v>0</v>
      </c>
      <c r="PO9" s="172">
        <f>IF(FC9=1,AB9,0)</f>
        <v>0</v>
      </c>
      <c r="PP9" s="172">
        <f>IF(FF9=1,AB9,0)</f>
        <v>42</v>
      </c>
      <c r="PQ9" s="172">
        <f>AB9-(PO9+PP9)</f>
        <v>0</v>
      </c>
    </row>
    <row r="10" spans="1:433" ht="16" x14ac:dyDescent="0.2">
      <c r="A10" s="19">
        <f>A9+1</f>
        <v>2</v>
      </c>
      <c r="B10" s="138" t="s">
        <v>225</v>
      </c>
      <c r="C10" s="138">
        <v>2</v>
      </c>
      <c r="D10" s="20">
        <v>1</v>
      </c>
      <c r="E10" s="20">
        <v>221</v>
      </c>
      <c r="F10" s="20">
        <v>1</v>
      </c>
      <c r="G10" s="20">
        <f t="shared" si="2"/>
        <v>221</v>
      </c>
      <c r="H10" s="137">
        <f t="shared" si="3"/>
        <v>1</v>
      </c>
      <c r="I10" s="137">
        <f t="shared" si="4"/>
        <v>1</v>
      </c>
      <c r="J10" s="20">
        <v>1</v>
      </c>
      <c r="K10" s="20">
        <f t="shared" si="5"/>
        <v>221</v>
      </c>
      <c r="L10" s="137">
        <f t="shared" si="6"/>
        <v>1</v>
      </c>
      <c r="M10" s="137">
        <f t="shared" si="7"/>
        <v>1</v>
      </c>
      <c r="N10" s="20">
        <v>1</v>
      </c>
      <c r="O10" s="20">
        <f t="shared" si="8"/>
        <v>221</v>
      </c>
      <c r="P10" s="137">
        <f t="shared" si="9"/>
        <v>1</v>
      </c>
      <c r="Q10" s="137">
        <f t="shared" si="10"/>
        <v>1</v>
      </c>
      <c r="R10" s="20">
        <v>1</v>
      </c>
      <c r="S10" s="20">
        <f t="shared" si="11"/>
        <v>221</v>
      </c>
      <c r="T10" s="137">
        <f t="shared" si="12"/>
        <v>1</v>
      </c>
      <c r="U10" s="137">
        <f t="shared" si="13"/>
        <v>1</v>
      </c>
      <c r="V10" s="20">
        <v>0</v>
      </c>
      <c r="W10" s="20">
        <f t="shared" si="14"/>
        <v>0</v>
      </c>
      <c r="X10" s="137">
        <f t="shared" si="15"/>
        <v>0</v>
      </c>
      <c r="Y10" s="137">
        <f t="shared" si="16"/>
        <v>0</v>
      </c>
      <c r="Z10" s="20"/>
      <c r="AA10" s="165">
        <v>1</v>
      </c>
      <c r="AB10" s="17">
        <f t="shared" ref="AB10:AB54" si="118">IF(AA10=D10,E10,0)</f>
        <v>221</v>
      </c>
      <c r="AC10" s="18">
        <f t="shared" ref="AC10:AC54" si="119">AA10/$D10</f>
        <v>1</v>
      </c>
      <c r="AD10" s="18">
        <f t="shared" ref="AD10:AD54" si="120">AB10/$E10</f>
        <v>1</v>
      </c>
      <c r="AE10" s="38">
        <f>1893909000/1000000000</f>
        <v>1.8939090000000001</v>
      </c>
      <c r="AF10" s="20">
        <f t="shared" ref="AF10:AF61" si="121">R10-V10</f>
        <v>1</v>
      </c>
      <c r="AG10" s="20" t="s">
        <v>343</v>
      </c>
      <c r="AH10" s="31" t="s">
        <v>303</v>
      </c>
      <c r="AI10" s="20">
        <v>0</v>
      </c>
      <c r="AJ10" s="20">
        <f t="shared" ref="AJ10" si="122">IF(AI10=D10,E10,0)</f>
        <v>0</v>
      </c>
      <c r="AK10" s="20"/>
      <c r="AL10" s="20"/>
      <c r="AM10" s="20">
        <v>0</v>
      </c>
      <c r="AN10" s="139"/>
      <c r="BB10" s="17">
        <f t="shared" ref="BB10:BB55" si="123">IF(AN10=1,G10,0)</f>
        <v>0</v>
      </c>
      <c r="BE10" s="17">
        <f t="shared" si="19"/>
        <v>221</v>
      </c>
      <c r="BF10" s="17">
        <f t="shared" si="20"/>
        <v>0</v>
      </c>
      <c r="BG10" s="17">
        <f t="shared" si="21"/>
        <v>0</v>
      </c>
      <c r="BH10" s="17">
        <f t="shared" si="22"/>
        <v>221</v>
      </c>
      <c r="BI10" s="17">
        <f t="shared" si="23"/>
        <v>0</v>
      </c>
      <c r="BJ10" s="17">
        <f t="shared" si="24"/>
        <v>0</v>
      </c>
      <c r="BK10" s="17">
        <f t="shared" ref="BK10:BK54" si="124">SUM(BF10:BJ10)</f>
        <v>221</v>
      </c>
      <c r="BN10" s="141"/>
      <c r="BO10" s="284"/>
      <c r="BP10" s="139"/>
      <c r="BQ10" s="139"/>
      <c r="BR10" s="139"/>
      <c r="BS10" s="139"/>
      <c r="BT10" s="139"/>
      <c r="BU10" s="139"/>
      <c r="BV10" s="139"/>
      <c r="BW10" s="139"/>
      <c r="BX10" s="139"/>
      <c r="BY10" s="139"/>
      <c r="BZ10" s="139"/>
      <c r="CB10" s="139"/>
      <c r="CD10" s="17">
        <f t="shared" ref="CD10:CD54" si="125">BN10</f>
        <v>0</v>
      </c>
      <c r="CE10" s="17">
        <f t="shared" ref="CE10:CE54" si="126">IF(BO10=1,$CD10,0)</f>
        <v>0</v>
      </c>
      <c r="CF10" s="17">
        <f t="shared" si="26"/>
        <v>0</v>
      </c>
      <c r="CG10" s="17">
        <f t="shared" si="26"/>
        <v>0</v>
      </c>
      <c r="CH10" s="17">
        <f t="shared" si="26"/>
        <v>0</v>
      </c>
      <c r="CI10" s="17">
        <f t="shared" si="26"/>
        <v>0</v>
      </c>
      <c r="CJ10" s="17">
        <f t="shared" si="26"/>
        <v>0</v>
      </c>
      <c r="CK10" s="17">
        <f t="shared" si="26"/>
        <v>0</v>
      </c>
      <c r="CL10" s="20">
        <f t="shared" si="26"/>
        <v>0</v>
      </c>
      <c r="CM10" s="20">
        <f t="shared" si="26"/>
        <v>0</v>
      </c>
      <c r="CN10" s="20">
        <f t="shared" si="26"/>
        <v>0</v>
      </c>
      <c r="CO10" s="20">
        <f t="shared" si="26"/>
        <v>0</v>
      </c>
      <c r="CP10" s="20">
        <f t="shared" si="26"/>
        <v>0</v>
      </c>
      <c r="CQ10" s="148">
        <f t="shared" si="27"/>
        <v>0</v>
      </c>
      <c r="DV10" s="20">
        <f t="shared" si="28"/>
        <v>0</v>
      </c>
      <c r="DW10" s="20">
        <f t="shared" si="29"/>
        <v>0</v>
      </c>
      <c r="DX10" s="20">
        <f t="shared" si="30"/>
        <v>0</v>
      </c>
      <c r="DY10" s="20">
        <f t="shared" si="31"/>
        <v>0</v>
      </c>
      <c r="DZ10" s="20">
        <f t="shared" si="32"/>
        <v>0</v>
      </c>
      <c r="EA10" s="20">
        <f t="shared" si="33"/>
        <v>0</v>
      </c>
      <c r="EB10" s="20">
        <f t="shared" ref="EB10:EB54" si="127">SUM(DW10:EA10)</f>
        <v>0</v>
      </c>
      <c r="ED10" s="46" t="s">
        <v>368</v>
      </c>
      <c r="EE10" s="46" t="s">
        <v>369</v>
      </c>
      <c r="EG10" s="57" t="str">
        <f t="shared" ref="EG10:EG54" si="128">IF(AG10="C","C",IF(AG10="D","D",0))</f>
        <v>C</v>
      </c>
      <c r="EH10" s="57">
        <f t="shared" ref="EH10:EH54" si="129">CC10</f>
        <v>0</v>
      </c>
      <c r="EI10" s="17">
        <v>1</v>
      </c>
      <c r="EJ10" s="17">
        <v>1</v>
      </c>
      <c r="EK10" s="17"/>
      <c r="EL10" s="17"/>
      <c r="EM10" s="17"/>
      <c r="EN10" s="17"/>
      <c r="EO10" s="17"/>
      <c r="EP10" s="17"/>
      <c r="EQ10" s="17">
        <v>1</v>
      </c>
      <c r="ER10" s="17">
        <v>1</v>
      </c>
      <c r="ES10" s="17">
        <v>1</v>
      </c>
      <c r="ET10" s="17"/>
      <c r="EU10" s="17"/>
      <c r="EV10" s="17">
        <v>1</v>
      </c>
      <c r="EW10" s="17"/>
      <c r="EX10" s="17"/>
      <c r="EY10" s="17"/>
      <c r="EZ10" s="17">
        <v>1</v>
      </c>
      <c r="FA10" s="17">
        <v>1</v>
      </c>
      <c r="FB10" s="189">
        <v>1</v>
      </c>
      <c r="FC10" s="17"/>
      <c r="FD10" s="17"/>
      <c r="FE10" s="168">
        <v>1</v>
      </c>
      <c r="FF10" s="168">
        <v>1</v>
      </c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X10" s="80"/>
      <c r="FY10" s="17">
        <f t="shared" ref="FY10:FY54" si="130">SUM(FZ10:GE10)</f>
        <v>0</v>
      </c>
      <c r="FZ10" s="17">
        <f t="shared" si="35"/>
        <v>0</v>
      </c>
      <c r="GA10" s="17">
        <f t="shared" si="36"/>
        <v>0</v>
      </c>
      <c r="GB10" s="17">
        <f t="shared" si="37"/>
        <v>0</v>
      </c>
      <c r="GC10" s="17">
        <f t="shared" si="38"/>
        <v>0</v>
      </c>
      <c r="GD10" s="17">
        <f t="shared" si="39"/>
        <v>0</v>
      </c>
      <c r="GE10" s="17">
        <f t="shared" si="40"/>
        <v>0</v>
      </c>
      <c r="GF10" s="67"/>
      <c r="GG10" s="17">
        <v>0</v>
      </c>
      <c r="GH10" s="17">
        <v>0</v>
      </c>
      <c r="GI10" s="67"/>
      <c r="GJ10" s="62">
        <f t="shared" ref="GJ10:GJ54" si="131">FY10*GG10/1000000000</f>
        <v>0</v>
      </c>
      <c r="GK10" s="62">
        <f t="shared" ref="GK10:GK54" si="132">FY10*GH10/1000000000</f>
        <v>0</v>
      </c>
      <c r="GO10" s="17">
        <f t="shared" si="41"/>
        <v>0</v>
      </c>
      <c r="GP10" s="17">
        <f t="shared" si="42"/>
        <v>0</v>
      </c>
      <c r="GQ10" s="17">
        <f t="shared" si="43"/>
        <v>0</v>
      </c>
      <c r="GR10" s="17">
        <f t="shared" si="44"/>
        <v>0</v>
      </c>
      <c r="GS10" s="17">
        <f t="shared" si="45"/>
        <v>1</v>
      </c>
      <c r="GT10" s="17">
        <f t="shared" ref="GT10:GT54" si="133">IF(SUM(GO10:GS10)=0,1,0)</f>
        <v>0</v>
      </c>
      <c r="GU10" s="101">
        <f t="shared" ref="GU10:GU62" si="134">$GU$3</f>
        <v>43243</v>
      </c>
      <c r="GV10" s="17" t="str">
        <f t="shared" ref="GV10:GV54" si="135">IF(GO10&gt;0,$GO$6,IF(GP10&gt;0,$GP$6,IF(GQ10&gt;0,$GQ$6,IF(GR10&gt;0,$GR$6,IF(GS10&gt;0,$GS$6,IF(GT10&gt;0,$GT$6,0))))))</f>
        <v>UGR</v>
      </c>
      <c r="GW10" s="17">
        <f t="shared" ref="GW10:GW54" si="136">IF(GV10=$GO$6,GO10,IF(GV10=$GP$6,GP10,IF(GV10=$GQ$6,GQ10,IF(GV10=$GR$6,GR10,IF(GV10=$GS$6,GS10,0)))))</f>
        <v>1</v>
      </c>
      <c r="GX10" s="66" t="str">
        <f t="shared" ref="GX10:GX54" si="137">GV10</f>
        <v>UGR</v>
      </c>
      <c r="GY10" s="66">
        <f t="shared" ref="GY10:GY54" si="138">IF(GX10="DNP",SUM($GY$4:$GY$8),IF(GX10="Survey KJPP",SUM($GY$5:$GY$8),IF(GX10="Hasil Valuasi",SUM($GY$6:$GY$8),IF(GX10="Musyawarah",SUM($GY$7:$GY$8),IF(GX10="UGR",$GY$8,0)))))</f>
        <v>14</v>
      </c>
      <c r="GZ10" s="102">
        <f t="shared" ref="GZ10:GZ54" si="139">IF(GW10=0,"SELESAI",GU10+GY10)</f>
        <v>43257</v>
      </c>
      <c r="HA10" s="83"/>
      <c r="HB10" s="83"/>
      <c r="HC10" s="17">
        <f t="shared" si="46"/>
        <v>1</v>
      </c>
      <c r="HD10" s="17">
        <f t="shared" si="47"/>
        <v>0</v>
      </c>
      <c r="HE10" s="17">
        <f t="shared" ref="HE10:HE54" si="140">HC10+HD10</f>
        <v>1</v>
      </c>
      <c r="HF10" s="17">
        <f t="shared" ref="HF10:HF54" si="141">FQ10</f>
        <v>0</v>
      </c>
      <c r="HG10" s="17">
        <f t="shared" ref="HG10:HG54" si="142">HE10-HF10</f>
        <v>1</v>
      </c>
      <c r="HH10" s="101">
        <f t="shared" si="48"/>
        <v>43288</v>
      </c>
      <c r="HI10" s="101">
        <f t="shared" ref="HI10:HI54" si="143">IF(GW10=0,"SELESAI",GZ10+$HI$8)</f>
        <v>43302</v>
      </c>
      <c r="HJ10" s="27"/>
      <c r="HK10" s="101">
        <f t="shared" si="49"/>
        <v>43302</v>
      </c>
      <c r="HL10" s="83"/>
      <c r="HM10" s="83"/>
      <c r="HN10" s="83"/>
      <c r="HO10" s="83"/>
      <c r="HP10" s="102">
        <f t="shared" ref="HP10:HP54" si="144">IF(HQ10=1,GZ10,0)</f>
        <v>0</v>
      </c>
      <c r="HQ10" s="66">
        <f t="shared" ref="HQ10:HQ54" si="145">IF(IX10=0,IF(HT10=0,IF(IP10=0,IF(GV10="UGR",GS10,0),0),0),0)</f>
        <v>0</v>
      </c>
      <c r="HR10" s="66">
        <f t="shared" si="50"/>
        <v>0</v>
      </c>
      <c r="HS10" s="102">
        <f t="shared" ref="HS10:HS54" si="146">IF(HT10=1,HH10,0)</f>
        <v>43288</v>
      </c>
      <c r="HT10" s="66">
        <f t="shared" ref="HT10:HT54" si="147">HG10</f>
        <v>1</v>
      </c>
      <c r="HU10" s="66">
        <f t="shared" si="51"/>
        <v>221</v>
      </c>
      <c r="HV10" s="102">
        <f t="shared" ref="HV10:HV54" si="148">IF(HW10=1,GZ10,0)</f>
        <v>0</v>
      </c>
      <c r="HW10" s="66">
        <f t="shared" si="52"/>
        <v>0</v>
      </c>
      <c r="HX10" s="66">
        <f t="shared" si="53"/>
        <v>0</v>
      </c>
      <c r="HY10" s="102">
        <f t="shared" si="54"/>
        <v>0</v>
      </c>
      <c r="HZ10" s="66">
        <f t="shared" ref="HZ10:HZ54" si="149">HW10</f>
        <v>0</v>
      </c>
      <c r="IA10" s="66">
        <f t="shared" si="55"/>
        <v>0</v>
      </c>
      <c r="IB10" s="102">
        <f t="shared" ref="IB10:IB54" si="150">IF(IC10=1,$GU$3+SUM($GY$6:$GY$8),0)</f>
        <v>0</v>
      </c>
      <c r="IC10" s="66">
        <f t="shared" si="56"/>
        <v>0</v>
      </c>
      <c r="ID10" s="66">
        <f t="shared" si="57"/>
        <v>0</v>
      </c>
      <c r="IE10" s="102">
        <f t="shared" si="58"/>
        <v>0</v>
      </c>
      <c r="IF10" s="66">
        <f t="shared" si="59"/>
        <v>0</v>
      </c>
      <c r="IG10" s="66">
        <f t="shared" si="60"/>
        <v>0</v>
      </c>
      <c r="IH10" s="102">
        <f t="shared" ref="IH10:IH54" si="151">IF(II10=1,$GU$3+SUM($GY$5:$GY$8),0)</f>
        <v>0</v>
      </c>
      <c r="II10" s="66">
        <f t="shared" ref="II10:II54" si="152">IF(GV10="Survey KJPP",GP10,0)</f>
        <v>0</v>
      </c>
      <c r="IJ10" s="66">
        <f t="shared" si="61"/>
        <v>0</v>
      </c>
      <c r="IK10" s="102">
        <f t="shared" si="62"/>
        <v>0</v>
      </c>
      <c r="IL10" s="66">
        <f t="shared" si="63"/>
        <v>0</v>
      </c>
      <c r="IM10" s="66">
        <f t="shared" si="64"/>
        <v>0</v>
      </c>
      <c r="IN10" s="83"/>
      <c r="IO10" s="102">
        <f t="shared" si="65"/>
        <v>0</v>
      </c>
      <c r="IP10" s="66">
        <f t="shared" si="66"/>
        <v>0</v>
      </c>
      <c r="IQ10" s="66">
        <f t="shared" si="67"/>
        <v>0</v>
      </c>
      <c r="IR10" s="83"/>
      <c r="IS10" s="102"/>
      <c r="IT10" s="66">
        <f t="shared" si="68"/>
        <v>0</v>
      </c>
      <c r="IU10" s="66">
        <f t="shared" si="69"/>
        <v>0</v>
      </c>
      <c r="IV10" s="83"/>
      <c r="IW10" s="102"/>
      <c r="IX10" s="66">
        <f t="shared" si="70"/>
        <v>1</v>
      </c>
      <c r="IY10" s="66">
        <f t="shared" si="71"/>
        <v>221</v>
      </c>
      <c r="IZ10" s="83"/>
      <c r="JA10" s="102"/>
      <c r="JB10" s="66">
        <f t="shared" si="72"/>
        <v>0</v>
      </c>
      <c r="JC10" s="66">
        <f t="shared" si="73"/>
        <v>0</v>
      </c>
      <c r="JD10" s="83"/>
      <c r="JE10" s="102"/>
      <c r="JF10" s="66">
        <f t="shared" ref="JF10:JF54" si="153">IT10+HQ10+HT10+HZ10+IF10+IL10+IP10+IX10+JB10</f>
        <v>2</v>
      </c>
      <c r="JG10" s="66">
        <f t="shared" si="74"/>
        <v>442</v>
      </c>
      <c r="JH10" s="83"/>
      <c r="JI10" s="102"/>
      <c r="JJ10" s="66">
        <f t="shared" si="75"/>
        <v>1</v>
      </c>
      <c r="JK10" s="66">
        <f t="shared" si="76"/>
        <v>221</v>
      </c>
      <c r="JM10" s="102">
        <f t="shared" ref="JM10:JM54" si="154">MAX(IW10,IS10,IO10,IK10,IE10,HY10,HS10,HP10)</f>
        <v>43288</v>
      </c>
      <c r="JO10" s="29">
        <f t="shared" si="77"/>
        <v>0</v>
      </c>
      <c r="JP10" s="122">
        <f t="shared" si="78"/>
        <v>0</v>
      </c>
      <c r="JQ10" s="122">
        <f t="shared" si="79"/>
        <v>0</v>
      </c>
      <c r="JR10" s="122">
        <f t="shared" si="80"/>
        <v>0</v>
      </c>
      <c r="JS10" s="122">
        <f t="shared" si="81"/>
        <v>0</v>
      </c>
      <c r="JT10" s="122">
        <f t="shared" si="82"/>
        <v>0</v>
      </c>
      <c r="JU10" s="122">
        <f t="shared" si="83"/>
        <v>0</v>
      </c>
      <c r="JV10" s="122">
        <f t="shared" si="84"/>
        <v>0</v>
      </c>
      <c r="JW10" s="122">
        <f t="shared" si="85"/>
        <v>0</v>
      </c>
      <c r="JX10" s="122">
        <f t="shared" si="86"/>
        <v>0</v>
      </c>
      <c r="JY10" s="122">
        <f t="shared" si="87"/>
        <v>0</v>
      </c>
      <c r="JZ10" s="122">
        <f t="shared" si="88"/>
        <v>0</v>
      </c>
      <c r="KA10" s="122">
        <f t="shared" si="89"/>
        <v>0</v>
      </c>
      <c r="KB10" s="122">
        <f t="shared" si="90"/>
        <v>0</v>
      </c>
      <c r="KD10" s="122">
        <f t="shared" ref="KD10:KD61" si="155">IF(IF(SUM(GA10:GE10)&gt;100,1,0)+IF(FX10=1,1,0)=2,1,0)</f>
        <v>0</v>
      </c>
      <c r="KE10" s="122">
        <f t="shared" si="92"/>
        <v>0</v>
      </c>
      <c r="KF10" s="122">
        <f t="shared" si="93"/>
        <v>0</v>
      </c>
      <c r="KG10" s="122">
        <f t="shared" si="94"/>
        <v>0</v>
      </c>
      <c r="KH10" s="122">
        <f t="shared" si="95"/>
        <v>0</v>
      </c>
      <c r="KI10" s="122">
        <f t="shared" si="96"/>
        <v>0</v>
      </c>
      <c r="KJ10" s="122">
        <f t="shared" si="97"/>
        <v>0</v>
      </c>
      <c r="KK10" s="122">
        <f t="shared" si="98"/>
        <v>0</v>
      </c>
      <c r="KL10" s="122">
        <f t="shared" si="99"/>
        <v>0</v>
      </c>
      <c r="KM10" s="122">
        <f t="shared" si="100"/>
        <v>0</v>
      </c>
      <c r="KN10" s="123">
        <f t="shared" si="101"/>
        <v>0</v>
      </c>
      <c r="KO10" s="123">
        <f t="shared" si="102"/>
        <v>0</v>
      </c>
      <c r="KP10" s="123">
        <f t="shared" si="103"/>
        <v>0</v>
      </c>
      <c r="KQ10" s="123">
        <f t="shared" si="104"/>
        <v>0</v>
      </c>
      <c r="KR10" s="123">
        <f t="shared" si="105"/>
        <v>0</v>
      </c>
      <c r="KT10">
        <f t="shared" si="106"/>
        <v>0</v>
      </c>
      <c r="KU10" s="123"/>
      <c r="KV10" s="123"/>
      <c r="KW10" s="123"/>
      <c r="KX10" s="123"/>
      <c r="KY10" s="123"/>
      <c r="KZ10" s="123"/>
      <c r="LA10" s="123"/>
      <c r="LB10" s="123"/>
      <c r="LC10" s="123"/>
      <c r="LD10" s="123"/>
      <c r="LE10" s="123"/>
      <c r="LF10" s="123"/>
      <c r="LG10" s="123"/>
      <c r="LH10" s="123"/>
      <c r="LI10" s="123"/>
      <c r="LJ10" s="123"/>
      <c r="LK10" s="123"/>
      <c r="LL10" s="123"/>
      <c r="LM10" s="123"/>
      <c r="LN10" s="123"/>
      <c r="LO10" s="123"/>
      <c r="LP10" s="123"/>
      <c r="LQ10" s="123"/>
      <c r="LR10" s="123"/>
      <c r="LS10" s="123"/>
      <c r="LT10" s="123"/>
      <c r="LU10" s="123"/>
      <c r="LV10" s="123"/>
      <c r="LW10" s="123"/>
      <c r="LX10" s="123"/>
      <c r="LY10" s="123"/>
      <c r="LZ10" s="123"/>
      <c r="MA10" s="123"/>
      <c r="MB10" s="123"/>
      <c r="MC10" s="123"/>
      <c r="MD10" s="123"/>
      <c r="ME10" s="123"/>
      <c r="MF10" s="123"/>
      <c r="MG10" s="123"/>
      <c r="MH10" s="123"/>
      <c r="MI10" s="123"/>
      <c r="MJ10" s="123"/>
      <c r="MK10" s="123"/>
      <c r="ML10" s="123"/>
      <c r="MM10" s="123"/>
      <c r="MN10" s="123"/>
      <c r="MO10" s="123"/>
      <c r="MP10" s="123"/>
      <c r="MQ10" s="123"/>
      <c r="MR10" s="123"/>
      <c r="MS10" s="123"/>
      <c r="MT10" s="123"/>
      <c r="MU10" s="123"/>
      <c r="MV10" s="123"/>
      <c r="MW10" s="123"/>
      <c r="MX10" s="123"/>
      <c r="MY10" s="123"/>
      <c r="MZ10" s="123"/>
      <c r="NA10" s="123"/>
      <c r="NB10" s="123"/>
      <c r="NC10" s="123"/>
      <c r="ND10" s="123"/>
      <c r="NE10" s="123"/>
      <c r="NF10" s="123"/>
      <c r="NG10" s="123"/>
      <c r="NH10" s="123"/>
      <c r="NI10" s="123"/>
      <c r="NJ10" s="123"/>
      <c r="NK10" s="123"/>
      <c r="NM10">
        <f t="shared" ref="NM10:NM54" si="156">IF(KS10=1,1,0)</f>
        <v>0</v>
      </c>
      <c r="NN10">
        <f t="shared" ref="NN10:NN54" si="157">IF(KS10=2,1,0)</f>
        <v>0</v>
      </c>
      <c r="NO10">
        <f t="shared" ref="NO10:NO54" si="158">IF(KS10=3,1,0)</f>
        <v>0</v>
      </c>
      <c r="NP10">
        <f t="shared" ref="NP10:NP54" si="159">IF(KS10=4,1,0)</f>
        <v>0</v>
      </c>
      <c r="NQ10">
        <f t="shared" ref="NQ10:NQ54" si="160">IF(KS10=5,1,0)</f>
        <v>0</v>
      </c>
      <c r="NR10">
        <f t="shared" ref="NR10:NR54" si="161">IF(KS10=6,1,0)</f>
        <v>0</v>
      </c>
      <c r="NS10">
        <f t="shared" ref="NS10:NS54" si="162">IF(KS10=7,1,0)</f>
        <v>0</v>
      </c>
      <c r="NT10">
        <f t="shared" ref="NT10:NT54" si="163">SUM(NM10:NS10)</f>
        <v>0</v>
      </c>
      <c r="NU10" s="29">
        <f t="shared" ref="NU10:NU54" si="164">NT10-KT10</f>
        <v>0</v>
      </c>
      <c r="NY10" s="29">
        <f t="shared" si="108"/>
        <v>0</v>
      </c>
      <c r="NZ10" s="152">
        <v>8036000</v>
      </c>
      <c r="OE10" s="155">
        <f t="shared" si="109"/>
        <v>0</v>
      </c>
      <c r="OF10" s="155">
        <f t="shared" si="110"/>
        <v>0</v>
      </c>
      <c r="OG10" s="155">
        <f t="shared" si="111"/>
        <v>0</v>
      </c>
      <c r="OH10" s="155">
        <f t="shared" ref="OH10:OH54" si="165">HE10</f>
        <v>1</v>
      </c>
      <c r="OI10" s="155">
        <f t="shared" si="112"/>
        <v>0</v>
      </c>
      <c r="OJ10" s="67">
        <f t="shared" ref="OJ10:OJ54" si="166">IF(OG10=1,OF10,0)</f>
        <v>0</v>
      </c>
      <c r="OK10" s="67">
        <f t="shared" ref="OK10:OK54" si="167">IF(OH10=1,OF10,0)</f>
        <v>0</v>
      </c>
      <c r="OL10" s="67">
        <f t="shared" ref="OL10:OL54" si="168">IF((OG10+OH10)=0,OF10,0)</f>
        <v>0</v>
      </c>
      <c r="OM10" s="67">
        <f t="shared" ref="OM10:OM54" si="169">SUM(OJ10:OL10)</f>
        <v>0</v>
      </c>
      <c r="OO10" s="155">
        <f t="shared" si="113"/>
        <v>0</v>
      </c>
      <c r="OP10" s="155">
        <f t="shared" si="114"/>
        <v>0</v>
      </c>
      <c r="OQ10" s="155">
        <f t="shared" ref="OQ10:OQ54" si="170">OG10</f>
        <v>0</v>
      </c>
      <c r="OR10" s="155">
        <f t="shared" ref="OR10:OR54" si="171">OH10</f>
        <v>1</v>
      </c>
      <c r="OS10" s="155">
        <f t="shared" ref="OS10:OS54" si="172">OI10</f>
        <v>0</v>
      </c>
      <c r="OT10" s="67">
        <f t="shared" ref="OT10:OT54" si="173">IF(OQ10=1,OP10,0)</f>
        <v>0</v>
      </c>
      <c r="OU10" s="67">
        <f t="shared" ref="OU10:OU54" si="174">IF(OR10=1,OP10,0)</f>
        <v>0</v>
      </c>
      <c r="OV10" s="67">
        <f t="shared" ref="OV10:OV54" si="175">IF((OQ10+OR10)=0,OP10,0)</f>
        <v>0</v>
      </c>
      <c r="OW10" s="67">
        <f t="shared" ref="OW10:OW54" si="176">SUM(OT10:OV10)</f>
        <v>0</v>
      </c>
      <c r="PA10" s="166"/>
      <c r="PB10" s="166"/>
      <c r="PC10" s="166"/>
      <c r="PD10" s="210">
        <f t="shared" si="115"/>
        <v>0</v>
      </c>
      <c r="PE10" s="210"/>
      <c r="PF10" s="210">
        <f t="shared" si="116"/>
        <v>0</v>
      </c>
      <c r="PG10" s="210">
        <f t="shared" si="117"/>
        <v>0</v>
      </c>
      <c r="PH10" s="210">
        <f t="shared" si="117"/>
        <v>0</v>
      </c>
      <c r="PI10" s="210">
        <f t="shared" si="117"/>
        <v>0</v>
      </c>
      <c r="PJ10" s="210">
        <f t="shared" si="117"/>
        <v>0</v>
      </c>
      <c r="PK10" s="210">
        <f t="shared" si="117"/>
        <v>0</v>
      </c>
      <c r="PL10" s="210">
        <f t="shared" si="117"/>
        <v>0</v>
      </c>
      <c r="PO10" s="172">
        <f t="shared" ref="PO10:PO61" si="177">IF(FC10=1,AB10,0)</f>
        <v>0</v>
      </c>
      <c r="PP10" s="172">
        <f t="shared" ref="PP10:PP61" si="178">IF(FF10=1,AB10,0)</f>
        <v>221</v>
      </c>
      <c r="PQ10" s="172">
        <f t="shared" ref="PQ10:PQ61" si="179">AB10-(PO10+PP10)</f>
        <v>0</v>
      </c>
    </row>
    <row r="11" spans="1:433" ht="16" x14ac:dyDescent="0.2">
      <c r="A11" s="19">
        <f t="shared" ref="A11:A62" si="180">A10+1</f>
        <v>3</v>
      </c>
      <c r="B11" s="138" t="s">
        <v>226</v>
      </c>
      <c r="C11" s="138">
        <v>3</v>
      </c>
      <c r="D11" s="20">
        <v>1</v>
      </c>
      <c r="E11" s="20">
        <v>297</v>
      </c>
      <c r="F11" s="20">
        <v>1</v>
      </c>
      <c r="G11" s="20">
        <f t="shared" si="2"/>
        <v>297</v>
      </c>
      <c r="H11" s="137">
        <f t="shared" si="3"/>
        <v>1</v>
      </c>
      <c r="I11" s="137">
        <f t="shared" si="4"/>
        <v>1</v>
      </c>
      <c r="J11" s="20">
        <v>1</v>
      </c>
      <c r="K11" s="20">
        <f t="shared" si="5"/>
        <v>297</v>
      </c>
      <c r="L11" s="137">
        <f t="shared" si="6"/>
        <v>1</v>
      </c>
      <c r="M11" s="137">
        <f t="shared" si="7"/>
        <v>1</v>
      </c>
      <c r="N11" s="20">
        <v>1</v>
      </c>
      <c r="O11" s="20">
        <f t="shared" si="8"/>
        <v>297</v>
      </c>
      <c r="P11" s="137">
        <f t="shared" si="9"/>
        <v>1</v>
      </c>
      <c r="Q11" s="137">
        <f t="shared" si="10"/>
        <v>1</v>
      </c>
      <c r="R11" s="20">
        <v>1</v>
      </c>
      <c r="S11" s="20">
        <f t="shared" si="11"/>
        <v>297</v>
      </c>
      <c r="T11" s="137">
        <f t="shared" si="12"/>
        <v>1</v>
      </c>
      <c r="U11" s="137">
        <f t="shared" si="13"/>
        <v>1</v>
      </c>
      <c r="V11" s="20">
        <v>0</v>
      </c>
      <c r="W11" s="20">
        <f t="shared" si="14"/>
        <v>0</v>
      </c>
      <c r="X11" s="137">
        <f t="shared" si="15"/>
        <v>0</v>
      </c>
      <c r="Y11" s="137">
        <f t="shared" si="16"/>
        <v>0</v>
      </c>
      <c r="Z11" s="20"/>
      <c r="AA11" s="165">
        <v>1</v>
      </c>
      <c r="AB11" s="17">
        <f t="shared" si="118"/>
        <v>297</v>
      </c>
      <c r="AC11" s="18">
        <f t="shared" si="119"/>
        <v>1</v>
      </c>
      <c r="AD11" s="18">
        <f t="shared" si="120"/>
        <v>1</v>
      </c>
      <c r="AE11" s="38">
        <f>3151699000/1000000000</f>
        <v>3.1516989999999998</v>
      </c>
      <c r="AF11" s="20">
        <f t="shared" si="121"/>
        <v>1</v>
      </c>
      <c r="AG11" s="20" t="s">
        <v>343</v>
      </c>
      <c r="AH11" s="31" t="s">
        <v>303</v>
      </c>
      <c r="AI11" s="20">
        <v>0</v>
      </c>
      <c r="AJ11" s="20">
        <f t="shared" ref="AJ11:AJ54" si="181">IF(AI11=D11,E11,0)</f>
        <v>0</v>
      </c>
      <c r="AK11" s="20"/>
      <c r="AL11" s="20"/>
      <c r="AM11" s="20">
        <v>0</v>
      </c>
      <c r="AN11" s="139"/>
      <c r="BB11" s="17">
        <f t="shared" si="123"/>
        <v>0</v>
      </c>
      <c r="BE11" s="17">
        <f t="shared" si="19"/>
        <v>297</v>
      </c>
      <c r="BF11" s="17">
        <f t="shared" si="20"/>
        <v>0</v>
      </c>
      <c r="BG11" s="17">
        <f t="shared" si="21"/>
        <v>0</v>
      </c>
      <c r="BH11" s="17">
        <f t="shared" si="22"/>
        <v>297</v>
      </c>
      <c r="BI11" s="17">
        <f t="shared" si="23"/>
        <v>0</v>
      </c>
      <c r="BJ11" s="17">
        <f t="shared" si="24"/>
        <v>0</v>
      </c>
      <c r="BK11" s="17">
        <f t="shared" si="124"/>
        <v>297</v>
      </c>
      <c r="BN11" s="141"/>
      <c r="BO11" s="284"/>
      <c r="BP11" s="139"/>
      <c r="BQ11" s="139"/>
      <c r="BR11" s="139"/>
      <c r="BS11" s="139"/>
      <c r="BT11" s="139"/>
      <c r="BU11" s="139"/>
      <c r="BV11" s="139"/>
      <c r="BW11" s="139"/>
      <c r="BX11" s="139"/>
      <c r="BY11" s="139"/>
      <c r="BZ11" s="139"/>
      <c r="CB11" s="139"/>
      <c r="CD11" s="17">
        <f t="shared" si="125"/>
        <v>0</v>
      </c>
      <c r="CE11" s="17">
        <f t="shared" si="126"/>
        <v>0</v>
      </c>
      <c r="CF11" s="139">
        <f t="shared" ref="CF11:CF54" si="182">IF(BP11=1,$CD11,0)</f>
        <v>0</v>
      </c>
      <c r="CG11" s="139">
        <f t="shared" ref="CG11:CG54" si="183">IF(BQ11=1,$CD11,0)</f>
        <v>0</v>
      </c>
      <c r="CH11" s="139">
        <f t="shared" ref="CH11:CH54" si="184">IF(BR11=1,$CD11,0)</f>
        <v>0</v>
      </c>
      <c r="CI11" s="139">
        <f t="shared" ref="CI11:CI54" si="185">IF(BS11=1,$CD11,0)</f>
        <v>0</v>
      </c>
      <c r="CJ11" s="139">
        <f t="shared" ref="CJ11:CJ54" si="186">IF(BT11=1,$CD11,0)</f>
        <v>0</v>
      </c>
      <c r="CK11" s="139">
        <f t="shared" ref="CK11:CK54" si="187">IF(BU11=1,$CD11,0)</f>
        <v>0</v>
      </c>
      <c r="CL11" s="139">
        <f t="shared" ref="CL11:CL54" si="188">IF(BV11=1,$CD11,0)</f>
        <v>0</v>
      </c>
      <c r="CM11" s="139">
        <f t="shared" ref="CM11:CM54" si="189">IF(BW11=1,$CD11,0)</f>
        <v>0</v>
      </c>
      <c r="CN11" s="139">
        <f t="shared" ref="CN11:CN54" si="190">IF(BX11=1,$CD11,0)</f>
        <v>0</v>
      </c>
      <c r="CO11" s="139">
        <f t="shared" ref="CO11:CO54" si="191">IF(BY11=1,$CD11,0)</f>
        <v>0</v>
      </c>
      <c r="CP11" s="139">
        <f t="shared" ref="CP11:CP54" si="192">IF(BZ11=1,$CD11,0)</f>
        <v>0</v>
      </c>
      <c r="CQ11" s="148">
        <f t="shared" si="27"/>
        <v>0</v>
      </c>
      <c r="DV11" s="139">
        <f t="shared" si="28"/>
        <v>0</v>
      </c>
      <c r="DW11" s="139">
        <f t="shared" si="29"/>
        <v>0</v>
      </c>
      <c r="DX11" s="139">
        <f t="shared" si="30"/>
        <v>0</v>
      </c>
      <c r="DY11" s="139">
        <f t="shared" si="31"/>
        <v>0</v>
      </c>
      <c r="DZ11" s="139">
        <f t="shared" si="32"/>
        <v>0</v>
      </c>
      <c r="EA11" s="139">
        <f t="shared" si="33"/>
        <v>0</v>
      </c>
      <c r="EB11" s="139">
        <f t="shared" si="127"/>
        <v>0</v>
      </c>
      <c r="ED11" s="46" t="s">
        <v>368</v>
      </c>
      <c r="EE11" s="46" t="s">
        <v>370</v>
      </c>
      <c r="EF11" s="56"/>
      <c r="EG11" s="57" t="str">
        <f t="shared" si="128"/>
        <v>C</v>
      </c>
      <c r="EH11" s="57">
        <f t="shared" si="129"/>
        <v>0</v>
      </c>
      <c r="EI11" s="17">
        <v>1</v>
      </c>
      <c r="EJ11" s="17">
        <v>1</v>
      </c>
      <c r="EK11" s="17"/>
      <c r="EL11" s="17"/>
      <c r="EM11" s="17"/>
      <c r="EN11" s="17"/>
      <c r="EO11" s="17"/>
      <c r="EP11" s="17"/>
      <c r="EQ11" s="17">
        <v>1</v>
      </c>
      <c r="ER11" s="17">
        <v>1</v>
      </c>
      <c r="ES11" s="17">
        <v>1</v>
      </c>
      <c r="ET11" s="17"/>
      <c r="EU11" s="17"/>
      <c r="EV11" s="17">
        <v>1</v>
      </c>
      <c r="EW11" s="17"/>
      <c r="EX11" s="17"/>
      <c r="EY11" s="17"/>
      <c r="EZ11" s="17">
        <v>1</v>
      </c>
      <c r="FA11" s="17">
        <v>1</v>
      </c>
      <c r="FB11" s="189">
        <v>1</v>
      </c>
      <c r="FC11" s="17"/>
      <c r="FD11" s="17"/>
      <c r="FE11" s="168">
        <v>1</v>
      </c>
      <c r="FF11" s="168">
        <v>1</v>
      </c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X11" s="80"/>
      <c r="FY11" s="17">
        <f t="shared" si="130"/>
        <v>0</v>
      </c>
      <c r="FZ11" s="17">
        <f t="shared" si="35"/>
        <v>0</v>
      </c>
      <c r="GA11" s="17">
        <f t="shared" si="36"/>
        <v>0</v>
      </c>
      <c r="GB11" s="17">
        <f t="shared" si="37"/>
        <v>0</v>
      </c>
      <c r="GC11" s="17">
        <f t="shared" si="38"/>
        <v>0</v>
      </c>
      <c r="GD11" s="17">
        <f t="shared" si="39"/>
        <v>0</v>
      </c>
      <c r="GE11" s="17">
        <f t="shared" si="40"/>
        <v>0</v>
      </c>
      <c r="GF11" s="67"/>
      <c r="GG11" s="17">
        <v>0</v>
      </c>
      <c r="GH11" s="17">
        <v>0</v>
      </c>
      <c r="GI11" s="67"/>
      <c r="GJ11" s="62">
        <f t="shared" si="131"/>
        <v>0</v>
      </c>
      <c r="GK11" s="62">
        <f t="shared" si="132"/>
        <v>0</v>
      </c>
      <c r="GO11" s="17">
        <f t="shared" si="41"/>
        <v>0</v>
      </c>
      <c r="GP11" s="17">
        <f t="shared" si="42"/>
        <v>0</v>
      </c>
      <c r="GQ11" s="17">
        <f t="shared" si="43"/>
        <v>0</v>
      </c>
      <c r="GR11" s="17">
        <f t="shared" si="44"/>
        <v>0</v>
      </c>
      <c r="GS11" s="17">
        <f t="shared" si="45"/>
        <v>1</v>
      </c>
      <c r="GT11" s="17">
        <f t="shared" si="133"/>
        <v>0</v>
      </c>
      <c r="GU11" s="101">
        <f t="shared" si="134"/>
        <v>43243</v>
      </c>
      <c r="GV11" s="17" t="str">
        <f t="shared" si="135"/>
        <v>UGR</v>
      </c>
      <c r="GW11" s="17">
        <f t="shared" si="136"/>
        <v>1</v>
      </c>
      <c r="GX11" s="66" t="str">
        <f t="shared" si="137"/>
        <v>UGR</v>
      </c>
      <c r="GY11" s="66">
        <f t="shared" si="138"/>
        <v>14</v>
      </c>
      <c r="GZ11" s="102">
        <f t="shared" si="139"/>
        <v>43257</v>
      </c>
      <c r="HA11" s="83"/>
      <c r="HB11" s="83"/>
      <c r="HC11" s="17">
        <f t="shared" si="46"/>
        <v>1</v>
      </c>
      <c r="HD11" s="17">
        <f t="shared" si="47"/>
        <v>0</v>
      </c>
      <c r="HE11" s="17">
        <f t="shared" si="140"/>
        <v>1</v>
      </c>
      <c r="HF11" s="17">
        <f t="shared" si="141"/>
        <v>0</v>
      </c>
      <c r="HG11" s="17">
        <f t="shared" si="142"/>
        <v>1</v>
      </c>
      <c r="HH11" s="101">
        <f t="shared" si="48"/>
        <v>43288</v>
      </c>
      <c r="HI11" s="101">
        <f t="shared" si="143"/>
        <v>43302</v>
      </c>
      <c r="HJ11" s="27"/>
      <c r="HK11" s="101">
        <f t="shared" si="49"/>
        <v>43302</v>
      </c>
      <c r="HL11" s="83"/>
      <c r="HM11" s="83"/>
      <c r="HN11" s="83"/>
      <c r="HO11" s="83"/>
      <c r="HP11" s="102">
        <f t="shared" si="144"/>
        <v>0</v>
      </c>
      <c r="HQ11" s="66">
        <f t="shared" si="145"/>
        <v>0</v>
      </c>
      <c r="HR11" s="66">
        <f t="shared" si="50"/>
        <v>0</v>
      </c>
      <c r="HS11" s="102">
        <f t="shared" si="146"/>
        <v>43288</v>
      </c>
      <c r="HT11" s="66">
        <f t="shared" si="147"/>
        <v>1</v>
      </c>
      <c r="HU11" s="66">
        <f t="shared" si="51"/>
        <v>297</v>
      </c>
      <c r="HV11" s="102">
        <f t="shared" si="148"/>
        <v>0</v>
      </c>
      <c r="HW11" s="66">
        <f t="shared" si="52"/>
        <v>0</v>
      </c>
      <c r="HX11" s="66">
        <f t="shared" si="53"/>
        <v>0</v>
      </c>
      <c r="HY11" s="102">
        <f t="shared" si="54"/>
        <v>0</v>
      </c>
      <c r="HZ11" s="66">
        <f t="shared" si="149"/>
        <v>0</v>
      </c>
      <c r="IA11" s="66">
        <f t="shared" si="55"/>
        <v>0</v>
      </c>
      <c r="IB11" s="102">
        <f t="shared" si="150"/>
        <v>0</v>
      </c>
      <c r="IC11" s="66">
        <f t="shared" si="56"/>
        <v>0</v>
      </c>
      <c r="ID11" s="66">
        <f t="shared" si="57"/>
        <v>0</v>
      </c>
      <c r="IE11" s="102">
        <f t="shared" si="58"/>
        <v>0</v>
      </c>
      <c r="IF11" s="66">
        <f t="shared" si="59"/>
        <v>0</v>
      </c>
      <c r="IG11" s="66">
        <f t="shared" si="60"/>
        <v>0</v>
      </c>
      <c r="IH11" s="102">
        <f t="shared" si="151"/>
        <v>0</v>
      </c>
      <c r="II11" s="66">
        <f t="shared" si="152"/>
        <v>0</v>
      </c>
      <c r="IJ11" s="66">
        <f t="shared" si="61"/>
        <v>0</v>
      </c>
      <c r="IK11" s="102">
        <f t="shared" si="62"/>
        <v>0</v>
      </c>
      <c r="IL11" s="66">
        <f t="shared" si="63"/>
        <v>0</v>
      </c>
      <c r="IM11" s="66">
        <f t="shared" si="64"/>
        <v>0</v>
      </c>
      <c r="IN11" s="83"/>
      <c r="IO11" s="102">
        <f t="shared" si="65"/>
        <v>0</v>
      </c>
      <c r="IP11" s="66">
        <f t="shared" si="66"/>
        <v>0</v>
      </c>
      <c r="IQ11" s="66">
        <f t="shared" si="67"/>
        <v>0</v>
      </c>
      <c r="IR11" s="83"/>
      <c r="IS11" s="102"/>
      <c r="IT11" s="66">
        <f t="shared" si="68"/>
        <v>0</v>
      </c>
      <c r="IU11" s="66">
        <f t="shared" si="69"/>
        <v>0</v>
      </c>
      <c r="IV11" s="83"/>
      <c r="IW11" s="102"/>
      <c r="IX11" s="66">
        <f t="shared" si="70"/>
        <v>1</v>
      </c>
      <c r="IY11" s="66">
        <f t="shared" si="71"/>
        <v>297</v>
      </c>
      <c r="IZ11" s="83"/>
      <c r="JA11" s="102"/>
      <c r="JB11" s="66">
        <f t="shared" si="72"/>
        <v>0</v>
      </c>
      <c r="JC11" s="66">
        <f t="shared" si="73"/>
        <v>0</v>
      </c>
      <c r="JD11" s="83"/>
      <c r="JE11" s="102"/>
      <c r="JF11" s="66">
        <f t="shared" si="153"/>
        <v>2</v>
      </c>
      <c r="JG11" s="66">
        <f t="shared" si="74"/>
        <v>594</v>
      </c>
      <c r="JH11" s="83"/>
      <c r="JI11" s="102"/>
      <c r="JJ11" s="66">
        <f t="shared" si="75"/>
        <v>1</v>
      </c>
      <c r="JK11" s="66">
        <f t="shared" si="76"/>
        <v>297</v>
      </c>
      <c r="JM11" s="102">
        <f t="shared" si="154"/>
        <v>43288</v>
      </c>
      <c r="JO11" s="29">
        <f t="shared" si="77"/>
        <v>0</v>
      </c>
      <c r="JP11" s="122">
        <f t="shared" si="78"/>
        <v>0</v>
      </c>
      <c r="JQ11" s="122">
        <f t="shared" si="79"/>
        <v>0</v>
      </c>
      <c r="JR11" s="122">
        <f t="shared" si="80"/>
        <v>0</v>
      </c>
      <c r="JS11" s="122">
        <f t="shared" si="81"/>
        <v>0</v>
      </c>
      <c r="JT11" s="122">
        <f t="shared" si="82"/>
        <v>0</v>
      </c>
      <c r="JU11" s="122">
        <f t="shared" si="83"/>
        <v>0</v>
      </c>
      <c r="JV11" s="122">
        <f t="shared" si="84"/>
        <v>0</v>
      </c>
      <c r="JW11" s="122">
        <f t="shared" si="85"/>
        <v>0</v>
      </c>
      <c r="JX11" s="122">
        <f t="shared" si="86"/>
        <v>0</v>
      </c>
      <c r="JY11" s="122">
        <f t="shared" si="87"/>
        <v>0</v>
      </c>
      <c r="JZ11" s="122">
        <f t="shared" si="88"/>
        <v>0</v>
      </c>
      <c r="KA11" s="122">
        <f t="shared" si="89"/>
        <v>0</v>
      </c>
      <c r="KB11" s="122">
        <f t="shared" si="90"/>
        <v>0</v>
      </c>
      <c r="KD11" s="122">
        <f t="shared" si="155"/>
        <v>0</v>
      </c>
      <c r="KE11" s="122">
        <f t="shared" si="92"/>
        <v>0</v>
      </c>
      <c r="KF11" s="122">
        <f t="shared" si="93"/>
        <v>0</v>
      </c>
      <c r="KG11" s="122">
        <f t="shared" si="94"/>
        <v>0</v>
      </c>
      <c r="KH11" s="122">
        <f t="shared" si="95"/>
        <v>0</v>
      </c>
      <c r="KI11" s="122">
        <f t="shared" si="96"/>
        <v>0</v>
      </c>
      <c r="KJ11" s="122">
        <f t="shared" si="97"/>
        <v>0</v>
      </c>
      <c r="KK11" s="122">
        <f t="shared" si="98"/>
        <v>0</v>
      </c>
      <c r="KL11" s="122">
        <f t="shared" si="99"/>
        <v>0</v>
      </c>
      <c r="KM11" s="122">
        <f t="shared" si="100"/>
        <v>0</v>
      </c>
      <c r="KN11" s="123">
        <f t="shared" si="101"/>
        <v>0</v>
      </c>
      <c r="KO11" s="123">
        <f t="shared" si="102"/>
        <v>0</v>
      </c>
      <c r="KP11" s="123">
        <f t="shared" si="103"/>
        <v>0</v>
      </c>
      <c r="KQ11" s="123">
        <f t="shared" si="104"/>
        <v>0</v>
      </c>
      <c r="KR11" s="123">
        <f t="shared" si="105"/>
        <v>0</v>
      </c>
      <c r="KT11">
        <f t="shared" si="106"/>
        <v>0</v>
      </c>
      <c r="KU11" s="123"/>
      <c r="KV11" s="123"/>
      <c r="KW11" s="123"/>
      <c r="KX11" s="123"/>
      <c r="KY11" s="123"/>
      <c r="KZ11" s="123"/>
      <c r="LA11" s="123"/>
      <c r="LB11" s="123"/>
      <c r="LC11" s="123"/>
      <c r="LD11" s="123"/>
      <c r="LE11" s="123"/>
      <c r="LF11" s="123"/>
      <c r="LG11" s="123"/>
      <c r="LH11" s="123"/>
      <c r="LI11" s="123"/>
      <c r="LJ11" s="123"/>
      <c r="LK11" s="123"/>
      <c r="LL11" s="123"/>
      <c r="LM11" s="123"/>
      <c r="LN11" s="123"/>
      <c r="LO11" s="123"/>
      <c r="LP11" s="123"/>
      <c r="LQ11" s="123"/>
      <c r="LR11" s="123"/>
      <c r="LS11" s="123"/>
      <c r="LT11" s="123"/>
      <c r="LU11" s="123"/>
      <c r="LV11" s="123"/>
      <c r="LW11" s="123"/>
      <c r="LX11" s="123"/>
      <c r="LY11" s="123"/>
      <c r="LZ11" s="123"/>
      <c r="MA11" s="123"/>
      <c r="MB11" s="123"/>
      <c r="MC11" s="123"/>
      <c r="MD11" s="123"/>
      <c r="ME11" s="123"/>
      <c r="MF11" s="123"/>
      <c r="MG11" s="123"/>
      <c r="MH11" s="123"/>
      <c r="MI11" s="123"/>
      <c r="MJ11" s="123"/>
      <c r="MK11" s="123"/>
      <c r="ML11" s="123"/>
      <c r="MM11" s="123"/>
      <c r="MN11" s="123"/>
      <c r="MO11" s="123"/>
      <c r="MP11" s="123"/>
      <c r="MQ11" s="123"/>
      <c r="MR11" s="123"/>
      <c r="MS11" s="123"/>
      <c r="MT11" s="123"/>
      <c r="MU11" s="123"/>
      <c r="MV11" s="123"/>
      <c r="MW11" s="123"/>
      <c r="MX11" s="123"/>
      <c r="MY11" s="123"/>
      <c r="MZ11" s="123"/>
      <c r="NA11" s="123"/>
      <c r="NB11" s="123"/>
      <c r="NC11" s="123"/>
      <c r="ND11" s="123"/>
      <c r="NE11" s="123"/>
      <c r="NF11" s="123"/>
      <c r="NG11" s="123"/>
      <c r="NH11" s="123"/>
      <c r="NI11" s="123"/>
      <c r="NJ11" s="123"/>
      <c r="NK11" s="123"/>
      <c r="NM11">
        <f t="shared" si="156"/>
        <v>0</v>
      </c>
      <c r="NN11">
        <f t="shared" si="157"/>
        <v>0</v>
      </c>
      <c r="NO11">
        <f t="shared" si="158"/>
        <v>0</v>
      </c>
      <c r="NP11">
        <f t="shared" si="159"/>
        <v>0</v>
      </c>
      <c r="NQ11">
        <f t="shared" si="160"/>
        <v>0</v>
      </c>
      <c r="NR11">
        <f t="shared" si="161"/>
        <v>0</v>
      </c>
      <c r="NS11">
        <f t="shared" si="162"/>
        <v>0</v>
      </c>
      <c r="NT11">
        <f t="shared" si="163"/>
        <v>0</v>
      </c>
      <c r="NU11" s="29">
        <f t="shared" si="164"/>
        <v>0</v>
      </c>
      <c r="NY11" s="29">
        <f t="shared" si="108"/>
        <v>0</v>
      </c>
      <c r="NZ11" s="152">
        <v>8036000</v>
      </c>
      <c r="OE11" s="155">
        <f t="shared" si="109"/>
        <v>0</v>
      </c>
      <c r="OF11" s="155">
        <f t="shared" si="110"/>
        <v>0</v>
      </c>
      <c r="OG11" s="155">
        <f t="shared" si="111"/>
        <v>0</v>
      </c>
      <c r="OH11" s="155">
        <f t="shared" si="165"/>
        <v>1</v>
      </c>
      <c r="OI11" s="155">
        <f t="shared" si="112"/>
        <v>0</v>
      </c>
      <c r="OJ11" s="67">
        <f t="shared" si="166"/>
        <v>0</v>
      </c>
      <c r="OK11" s="67">
        <f t="shared" si="167"/>
        <v>0</v>
      </c>
      <c r="OL11" s="67">
        <f t="shared" si="168"/>
        <v>0</v>
      </c>
      <c r="OM11" s="67">
        <f t="shared" si="169"/>
        <v>0</v>
      </c>
      <c r="OO11" s="155">
        <f t="shared" si="113"/>
        <v>0</v>
      </c>
      <c r="OP11" s="155">
        <f t="shared" si="114"/>
        <v>0</v>
      </c>
      <c r="OQ11" s="155">
        <f t="shared" si="170"/>
        <v>0</v>
      </c>
      <c r="OR11" s="155">
        <f t="shared" si="171"/>
        <v>1</v>
      </c>
      <c r="OS11" s="155">
        <f t="shared" si="172"/>
        <v>0</v>
      </c>
      <c r="OT11" s="67">
        <f t="shared" si="173"/>
        <v>0</v>
      </c>
      <c r="OU11" s="67">
        <f t="shared" si="174"/>
        <v>0</v>
      </c>
      <c r="OV11" s="67">
        <f t="shared" si="175"/>
        <v>0</v>
      </c>
      <c r="OW11" s="67">
        <f t="shared" si="176"/>
        <v>0</v>
      </c>
      <c r="PA11" s="166"/>
      <c r="PB11" s="166"/>
      <c r="PC11" s="166"/>
      <c r="PD11" s="210">
        <f t="shared" si="115"/>
        <v>0</v>
      </c>
      <c r="PE11" s="210"/>
      <c r="PF11" s="210">
        <f t="shared" si="116"/>
        <v>0</v>
      </c>
      <c r="PG11" s="210">
        <f t="shared" si="117"/>
        <v>0</v>
      </c>
      <c r="PH11" s="210">
        <f t="shared" si="117"/>
        <v>0</v>
      </c>
      <c r="PI11" s="210">
        <f t="shared" si="117"/>
        <v>0</v>
      </c>
      <c r="PJ11" s="210">
        <f t="shared" si="117"/>
        <v>0</v>
      </c>
      <c r="PK11" s="210">
        <f t="shared" si="117"/>
        <v>0</v>
      </c>
      <c r="PL11" s="210">
        <f t="shared" si="117"/>
        <v>0</v>
      </c>
      <c r="PO11" s="172">
        <f t="shared" si="177"/>
        <v>0</v>
      </c>
      <c r="PP11" s="172">
        <f t="shared" si="178"/>
        <v>297</v>
      </c>
      <c r="PQ11" s="172">
        <f t="shared" si="179"/>
        <v>0</v>
      </c>
    </row>
    <row r="12" spans="1:433" ht="16" x14ac:dyDescent="0.2">
      <c r="A12" s="19">
        <f t="shared" si="180"/>
        <v>4</v>
      </c>
      <c r="B12" s="138" t="s">
        <v>227</v>
      </c>
      <c r="C12" s="138">
        <v>4</v>
      </c>
      <c r="D12" s="20">
        <v>1</v>
      </c>
      <c r="E12" s="20">
        <v>349</v>
      </c>
      <c r="F12" s="20">
        <v>1</v>
      </c>
      <c r="G12" s="20">
        <f t="shared" si="2"/>
        <v>349</v>
      </c>
      <c r="H12" s="137">
        <f t="shared" si="3"/>
        <v>1</v>
      </c>
      <c r="I12" s="137">
        <f t="shared" si="4"/>
        <v>1</v>
      </c>
      <c r="J12" s="20">
        <v>1</v>
      </c>
      <c r="K12" s="20">
        <f t="shared" si="5"/>
        <v>349</v>
      </c>
      <c r="L12" s="137">
        <f t="shared" si="6"/>
        <v>1</v>
      </c>
      <c r="M12" s="137">
        <f t="shared" si="7"/>
        <v>1</v>
      </c>
      <c r="N12" s="20">
        <v>1</v>
      </c>
      <c r="O12" s="20">
        <f t="shared" si="8"/>
        <v>349</v>
      </c>
      <c r="P12" s="137">
        <f t="shared" si="9"/>
        <v>1</v>
      </c>
      <c r="Q12" s="137">
        <f t="shared" si="10"/>
        <v>1</v>
      </c>
      <c r="R12" s="20">
        <v>1</v>
      </c>
      <c r="S12" s="20">
        <f t="shared" si="11"/>
        <v>349</v>
      </c>
      <c r="T12" s="137">
        <f t="shared" si="12"/>
        <v>1</v>
      </c>
      <c r="U12" s="137">
        <f t="shared" si="13"/>
        <v>1</v>
      </c>
      <c r="V12" s="20">
        <v>0</v>
      </c>
      <c r="W12" s="20">
        <f t="shared" si="14"/>
        <v>0</v>
      </c>
      <c r="X12" s="137">
        <f t="shared" si="15"/>
        <v>0</v>
      </c>
      <c r="Y12" s="137">
        <f t="shared" si="16"/>
        <v>0</v>
      </c>
      <c r="Z12" s="20"/>
      <c r="AA12" s="165">
        <v>1</v>
      </c>
      <c r="AB12" s="17">
        <f t="shared" si="118"/>
        <v>349</v>
      </c>
      <c r="AC12" s="18">
        <f t="shared" si="119"/>
        <v>1</v>
      </c>
      <c r="AD12" s="18">
        <f t="shared" si="120"/>
        <v>1</v>
      </c>
      <c r="AE12" s="38">
        <f>3524828000/1000000000</f>
        <v>3.5248279999999999</v>
      </c>
      <c r="AF12" s="20">
        <f t="shared" si="121"/>
        <v>1</v>
      </c>
      <c r="AG12" s="20" t="s">
        <v>343</v>
      </c>
      <c r="AH12" s="31" t="s">
        <v>303</v>
      </c>
      <c r="AI12" s="20">
        <v>0</v>
      </c>
      <c r="AJ12" s="20">
        <f t="shared" si="181"/>
        <v>0</v>
      </c>
      <c r="AK12" s="20"/>
      <c r="AL12" s="20"/>
      <c r="AM12" s="20">
        <v>0</v>
      </c>
      <c r="AN12" s="139"/>
      <c r="BB12" s="17">
        <f t="shared" si="123"/>
        <v>0</v>
      </c>
      <c r="BE12" s="17">
        <f t="shared" si="19"/>
        <v>349</v>
      </c>
      <c r="BF12" s="17">
        <f t="shared" si="20"/>
        <v>0</v>
      </c>
      <c r="BG12" s="17">
        <f t="shared" si="21"/>
        <v>0</v>
      </c>
      <c r="BH12" s="17">
        <f t="shared" si="22"/>
        <v>349</v>
      </c>
      <c r="BI12" s="17">
        <f t="shared" si="23"/>
        <v>0</v>
      </c>
      <c r="BJ12" s="17">
        <f t="shared" si="24"/>
        <v>0</v>
      </c>
      <c r="BK12" s="17">
        <f t="shared" si="124"/>
        <v>349</v>
      </c>
      <c r="BN12" s="141"/>
      <c r="BO12" s="284"/>
      <c r="BP12" s="139"/>
      <c r="BQ12" s="139"/>
      <c r="BR12" s="139"/>
      <c r="BS12" s="139"/>
      <c r="BT12" s="139"/>
      <c r="BU12" s="139"/>
      <c r="BV12" s="139"/>
      <c r="BW12" s="139"/>
      <c r="BX12" s="139"/>
      <c r="BY12" s="139"/>
      <c r="BZ12" s="139"/>
      <c r="CB12" s="139"/>
      <c r="CD12" s="17">
        <f t="shared" si="125"/>
        <v>0</v>
      </c>
      <c r="CE12" s="17">
        <f t="shared" si="126"/>
        <v>0</v>
      </c>
      <c r="CF12" s="139">
        <f t="shared" si="182"/>
        <v>0</v>
      </c>
      <c r="CG12" s="139">
        <f t="shared" si="183"/>
        <v>0</v>
      </c>
      <c r="CH12" s="139">
        <f t="shared" si="184"/>
        <v>0</v>
      </c>
      <c r="CI12" s="139">
        <f t="shared" si="185"/>
        <v>0</v>
      </c>
      <c r="CJ12" s="139">
        <f t="shared" si="186"/>
        <v>0</v>
      </c>
      <c r="CK12" s="139">
        <f t="shared" si="187"/>
        <v>0</v>
      </c>
      <c r="CL12" s="139">
        <f t="shared" si="188"/>
        <v>0</v>
      </c>
      <c r="CM12" s="139">
        <f t="shared" si="189"/>
        <v>0</v>
      </c>
      <c r="CN12" s="139">
        <f t="shared" si="190"/>
        <v>0</v>
      </c>
      <c r="CO12" s="139">
        <f t="shared" si="191"/>
        <v>0</v>
      </c>
      <c r="CP12" s="139">
        <f t="shared" si="192"/>
        <v>0</v>
      </c>
      <c r="CQ12" s="148">
        <f t="shared" si="27"/>
        <v>0</v>
      </c>
      <c r="DV12" s="139">
        <f t="shared" si="28"/>
        <v>0</v>
      </c>
      <c r="DW12" s="139">
        <f t="shared" si="29"/>
        <v>0</v>
      </c>
      <c r="DX12" s="139">
        <f t="shared" si="30"/>
        <v>0</v>
      </c>
      <c r="DY12" s="139">
        <f t="shared" si="31"/>
        <v>0</v>
      </c>
      <c r="DZ12" s="139">
        <f t="shared" si="32"/>
        <v>0</v>
      </c>
      <c r="EA12" s="139">
        <f t="shared" si="33"/>
        <v>0</v>
      </c>
      <c r="EB12" s="139">
        <f t="shared" si="127"/>
        <v>0</v>
      </c>
      <c r="ED12" s="46" t="s">
        <v>371</v>
      </c>
      <c r="EE12" s="46" t="s">
        <v>372</v>
      </c>
      <c r="EF12" s="56"/>
      <c r="EG12" s="57" t="str">
        <f t="shared" si="128"/>
        <v>C</v>
      </c>
      <c r="EH12" s="57">
        <f t="shared" si="129"/>
        <v>0</v>
      </c>
      <c r="EI12" s="17">
        <v>1</v>
      </c>
      <c r="EJ12" s="17">
        <v>1</v>
      </c>
      <c r="EK12" s="17"/>
      <c r="EL12" s="17"/>
      <c r="EM12" s="17"/>
      <c r="EN12" s="17"/>
      <c r="EO12" s="17"/>
      <c r="EP12" s="17"/>
      <c r="EQ12" s="17">
        <v>1</v>
      </c>
      <c r="ER12" s="17">
        <v>1</v>
      </c>
      <c r="ES12" s="17">
        <v>1</v>
      </c>
      <c r="ET12" s="17"/>
      <c r="EU12" s="17"/>
      <c r="EV12" s="17">
        <v>1</v>
      </c>
      <c r="EW12" s="17"/>
      <c r="EX12" s="17"/>
      <c r="EY12" s="17"/>
      <c r="EZ12" s="17">
        <v>1</v>
      </c>
      <c r="FA12" s="17">
        <v>1</v>
      </c>
      <c r="FB12" s="168">
        <v>1</v>
      </c>
      <c r="FC12" s="17"/>
      <c r="FD12" s="17"/>
      <c r="FE12" s="168">
        <v>1</v>
      </c>
      <c r="FF12" s="168">
        <v>1</v>
      </c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X12" s="80"/>
      <c r="FY12" s="17">
        <f t="shared" si="130"/>
        <v>0</v>
      </c>
      <c r="FZ12" s="17">
        <f t="shared" si="35"/>
        <v>0</v>
      </c>
      <c r="GA12" s="17">
        <f t="shared" si="36"/>
        <v>0</v>
      </c>
      <c r="GB12" s="17">
        <f t="shared" si="37"/>
        <v>0</v>
      </c>
      <c r="GC12" s="17">
        <f t="shared" si="38"/>
        <v>0</v>
      </c>
      <c r="GD12" s="17">
        <f t="shared" si="39"/>
        <v>0</v>
      </c>
      <c r="GE12" s="17">
        <f t="shared" si="40"/>
        <v>0</v>
      </c>
      <c r="GF12" s="67"/>
      <c r="GG12" s="17">
        <v>0</v>
      </c>
      <c r="GH12" s="17">
        <v>0</v>
      </c>
      <c r="GI12" s="67"/>
      <c r="GJ12" s="62">
        <f t="shared" si="131"/>
        <v>0</v>
      </c>
      <c r="GK12" s="62">
        <f t="shared" si="132"/>
        <v>0</v>
      </c>
      <c r="GO12" s="17">
        <f t="shared" si="41"/>
        <v>0</v>
      </c>
      <c r="GP12" s="17">
        <f t="shared" si="42"/>
        <v>0</v>
      </c>
      <c r="GQ12" s="17">
        <f t="shared" si="43"/>
        <v>0</v>
      </c>
      <c r="GR12" s="17">
        <f t="shared" si="44"/>
        <v>0</v>
      </c>
      <c r="GS12" s="17">
        <f t="shared" si="45"/>
        <v>1</v>
      </c>
      <c r="GT12" s="17">
        <f t="shared" si="133"/>
        <v>0</v>
      </c>
      <c r="GU12" s="101">
        <f t="shared" si="134"/>
        <v>43243</v>
      </c>
      <c r="GV12" s="17" t="str">
        <f t="shared" si="135"/>
        <v>UGR</v>
      </c>
      <c r="GW12" s="17">
        <f t="shared" si="136"/>
        <v>1</v>
      </c>
      <c r="GX12" s="66" t="str">
        <f t="shared" si="137"/>
        <v>UGR</v>
      </c>
      <c r="GY12" s="66">
        <f t="shared" si="138"/>
        <v>14</v>
      </c>
      <c r="GZ12" s="102">
        <f t="shared" si="139"/>
        <v>43257</v>
      </c>
      <c r="HA12" s="83"/>
      <c r="HB12" s="83"/>
      <c r="HC12" s="17">
        <f t="shared" si="46"/>
        <v>1</v>
      </c>
      <c r="HD12" s="17">
        <f t="shared" si="47"/>
        <v>0</v>
      </c>
      <c r="HE12" s="17">
        <f t="shared" si="140"/>
        <v>1</v>
      </c>
      <c r="HF12" s="17">
        <f t="shared" si="141"/>
        <v>0</v>
      </c>
      <c r="HG12" s="17">
        <f t="shared" si="142"/>
        <v>1</v>
      </c>
      <c r="HH12" s="101">
        <f t="shared" si="48"/>
        <v>43288</v>
      </c>
      <c r="HI12" s="101">
        <f t="shared" si="143"/>
        <v>43302</v>
      </c>
      <c r="HJ12" s="27"/>
      <c r="HK12" s="101">
        <f t="shared" si="49"/>
        <v>43302</v>
      </c>
      <c r="HL12" s="83"/>
      <c r="HM12" s="83"/>
      <c r="HN12" s="83"/>
      <c r="HO12" s="83"/>
      <c r="HP12" s="102">
        <f t="shared" si="144"/>
        <v>0</v>
      </c>
      <c r="HQ12" s="66">
        <f t="shared" si="145"/>
        <v>0</v>
      </c>
      <c r="HR12" s="66">
        <f t="shared" si="50"/>
        <v>0</v>
      </c>
      <c r="HS12" s="102">
        <f t="shared" si="146"/>
        <v>43288</v>
      </c>
      <c r="HT12" s="66">
        <f t="shared" si="147"/>
        <v>1</v>
      </c>
      <c r="HU12" s="66">
        <f t="shared" si="51"/>
        <v>349</v>
      </c>
      <c r="HV12" s="102">
        <f t="shared" si="148"/>
        <v>0</v>
      </c>
      <c r="HW12" s="66">
        <f t="shared" si="52"/>
        <v>0</v>
      </c>
      <c r="HX12" s="66">
        <f t="shared" si="53"/>
        <v>0</v>
      </c>
      <c r="HY12" s="102">
        <f t="shared" si="54"/>
        <v>0</v>
      </c>
      <c r="HZ12" s="66">
        <f t="shared" si="149"/>
        <v>0</v>
      </c>
      <c r="IA12" s="66">
        <f t="shared" si="55"/>
        <v>0</v>
      </c>
      <c r="IB12" s="102">
        <f t="shared" si="150"/>
        <v>0</v>
      </c>
      <c r="IC12" s="66">
        <f t="shared" si="56"/>
        <v>0</v>
      </c>
      <c r="ID12" s="66">
        <f t="shared" si="57"/>
        <v>0</v>
      </c>
      <c r="IE12" s="102">
        <f t="shared" si="58"/>
        <v>0</v>
      </c>
      <c r="IF12" s="66">
        <f t="shared" si="59"/>
        <v>0</v>
      </c>
      <c r="IG12" s="66">
        <f t="shared" si="60"/>
        <v>0</v>
      </c>
      <c r="IH12" s="102">
        <f t="shared" si="151"/>
        <v>0</v>
      </c>
      <c r="II12" s="66">
        <f t="shared" si="152"/>
        <v>0</v>
      </c>
      <c r="IJ12" s="66">
        <f t="shared" si="61"/>
        <v>0</v>
      </c>
      <c r="IK12" s="102">
        <f t="shared" si="62"/>
        <v>0</v>
      </c>
      <c r="IL12" s="66">
        <f t="shared" si="63"/>
        <v>0</v>
      </c>
      <c r="IM12" s="66">
        <f t="shared" si="64"/>
        <v>0</v>
      </c>
      <c r="IN12" s="83"/>
      <c r="IO12" s="102">
        <f t="shared" si="65"/>
        <v>0</v>
      </c>
      <c r="IP12" s="66">
        <f t="shared" si="66"/>
        <v>0</v>
      </c>
      <c r="IQ12" s="66">
        <f t="shared" si="67"/>
        <v>0</v>
      </c>
      <c r="IR12" s="83"/>
      <c r="IS12" s="102"/>
      <c r="IT12" s="66">
        <f t="shared" si="68"/>
        <v>0</v>
      </c>
      <c r="IU12" s="66">
        <f t="shared" si="69"/>
        <v>0</v>
      </c>
      <c r="IV12" s="83"/>
      <c r="IW12" s="102"/>
      <c r="IX12" s="66">
        <f t="shared" si="70"/>
        <v>1</v>
      </c>
      <c r="IY12" s="66">
        <f t="shared" si="71"/>
        <v>349</v>
      </c>
      <c r="IZ12" s="83"/>
      <c r="JA12" s="102"/>
      <c r="JB12" s="66">
        <f t="shared" si="72"/>
        <v>0</v>
      </c>
      <c r="JC12" s="66">
        <f t="shared" si="73"/>
        <v>0</v>
      </c>
      <c r="JD12" s="83"/>
      <c r="JE12" s="102"/>
      <c r="JF12" s="66">
        <f t="shared" si="153"/>
        <v>2</v>
      </c>
      <c r="JG12" s="66">
        <f t="shared" si="74"/>
        <v>698</v>
      </c>
      <c r="JH12" s="83"/>
      <c r="JI12" s="102"/>
      <c r="JJ12" s="66">
        <f t="shared" si="75"/>
        <v>1</v>
      </c>
      <c r="JK12" s="66">
        <f t="shared" si="76"/>
        <v>349</v>
      </c>
      <c r="JM12" s="102">
        <f t="shared" si="154"/>
        <v>43288</v>
      </c>
      <c r="JO12" s="29">
        <f t="shared" si="77"/>
        <v>0</v>
      </c>
      <c r="JP12" s="122">
        <f t="shared" si="78"/>
        <v>0</v>
      </c>
      <c r="JQ12" s="122">
        <f t="shared" si="79"/>
        <v>0</v>
      </c>
      <c r="JR12" s="122">
        <f t="shared" si="80"/>
        <v>0</v>
      </c>
      <c r="JS12" s="122">
        <f t="shared" si="81"/>
        <v>0</v>
      </c>
      <c r="JT12" s="122">
        <f t="shared" si="82"/>
        <v>0</v>
      </c>
      <c r="JU12" s="122">
        <f t="shared" si="83"/>
        <v>0</v>
      </c>
      <c r="JV12" s="122">
        <f t="shared" si="84"/>
        <v>0</v>
      </c>
      <c r="JW12" s="122">
        <f t="shared" si="85"/>
        <v>0</v>
      </c>
      <c r="JX12" s="122">
        <f t="shared" si="86"/>
        <v>0</v>
      </c>
      <c r="JY12" s="122">
        <f t="shared" si="87"/>
        <v>0</v>
      </c>
      <c r="JZ12" s="122">
        <f t="shared" si="88"/>
        <v>0</v>
      </c>
      <c r="KA12" s="122">
        <f t="shared" si="89"/>
        <v>0</v>
      </c>
      <c r="KB12" s="122">
        <f t="shared" si="90"/>
        <v>0</v>
      </c>
      <c r="KD12" s="122">
        <f t="shared" si="155"/>
        <v>0</v>
      </c>
      <c r="KE12" s="122">
        <f t="shared" si="92"/>
        <v>0</v>
      </c>
      <c r="KF12" s="122">
        <f t="shared" si="93"/>
        <v>0</v>
      </c>
      <c r="KG12" s="122">
        <f t="shared" si="94"/>
        <v>0</v>
      </c>
      <c r="KH12" s="122">
        <f t="shared" si="95"/>
        <v>0</v>
      </c>
      <c r="KI12" s="122">
        <f t="shared" si="96"/>
        <v>0</v>
      </c>
      <c r="KJ12" s="122">
        <f t="shared" si="97"/>
        <v>0</v>
      </c>
      <c r="KK12" s="122">
        <f t="shared" si="98"/>
        <v>0</v>
      </c>
      <c r="KL12" s="122">
        <f t="shared" si="99"/>
        <v>0</v>
      </c>
      <c r="KM12" s="122">
        <f t="shared" si="100"/>
        <v>0</v>
      </c>
      <c r="KN12" s="123">
        <f t="shared" si="101"/>
        <v>0</v>
      </c>
      <c r="KO12" s="123">
        <f t="shared" si="102"/>
        <v>0</v>
      </c>
      <c r="KP12" s="123">
        <f t="shared" si="103"/>
        <v>0</v>
      </c>
      <c r="KQ12" s="123">
        <f t="shared" si="104"/>
        <v>0</v>
      </c>
      <c r="KR12" s="123">
        <f t="shared" si="105"/>
        <v>0</v>
      </c>
      <c r="KT12">
        <f t="shared" si="106"/>
        <v>0</v>
      </c>
      <c r="KU12" s="123"/>
      <c r="KV12" s="123"/>
      <c r="KW12" s="123"/>
      <c r="KX12" s="123"/>
      <c r="KY12" s="123"/>
      <c r="KZ12" s="123"/>
      <c r="LA12" s="123"/>
      <c r="LB12" s="123"/>
      <c r="LC12" s="123"/>
      <c r="LD12" s="123"/>
      <c r="LE12" s="123"/>
      <c r="LF12" s="123"/>
      <c r="LG12" s="123"/>
      <c r="LH12" s="123"/>
      <c r="LI12" s="123"/>
      <c r="LJ12" s="123"/>
      <c r="LK12" s="123"/>
      <c r="LL12" s="123"/>
      <c r="LM12" s="123"/>
      <c r="LN12" s="123"/>
      <c r="LO12" s="123"/>
      <c r="LP12" s="123"/>
      <c r="LQ12" s="123"/>
      <c r="LR12" s="123"/>
      <c r="LS12" s="123"/>
      <c r="LT12" s="123"/>
      <c r="LU12" s="123"/>
      <c r="LV12" s="123"/>
      <c r="LW12" s="123"/>
      <c r="LX12" s="123"/>
      <c r="LY12" s="123"/>
      <c r="LZ12" s="123"/>
      <c r="MA12" s="123"/>
      <c r="MB12" s="123"/>
      <c r="MC12" s="123"/>
      <c r="MD12" s="123"/>
      <c r="ME12" s="123"/>
      <c r="MF12" s="123"/>
      <c r="MG12" s="123"/>
      <c r="MH12" s="123"/>
      <c r="MI12" s="123"/>
      <c r="MJ12" s="123"/>
      <c r="MK12" s="123"/>
      <c r="ML12" s="123"/>
      <c r="MM12" s="123"/>
      <c r="MN12" s="123"/>
      <c r="MO12" s="123"/>
      <c r="MP12" s="123"/>
      <c r="MQ12" s="123"/>
      <c r="MR12" s="123"/>
      <c r="MS12" s="123"/>
      <c r="MT12" s="123"/>
      <c r="MU12" s="123"/>
      <c r="MV12" s="123"/>
      <c r="MW12" s="123"/>
      <c r="MX12" s="123"/>
      <c r="MY12" s="123"/>
      <c r="MZ12" s="123"/>
      <c r="NA12" s="123"/>
      <c r="NB12" s="123"/>
      <c r="NC12" s="123"/>
      <c r="ND12" s="123"/>
      <c r="NE12" s="123"/>
      <c r="NF12" s="123"/>
      <c r="NG12" s="123"/>
      <c r="NH12" s="123"/>
      <c r="NI12" s="123"/>
      <c r="NJ12" s="123"/>
      <c r="NK12" s="123"/>
      <c r="NM12">
        <f t="shared" si="156"/>
        <v>0</v>
      </c>
      <c r="NN12">
        <f t="shared" si="157"/>
        <v>0</v>
      </c>
      <c r="NO12">
        <f t="shared" si="158"/>
        <v>0</v>
      </c>
      <c r="NP12">
        <f t="shared" si="159"/>
        <v>0</v>
      </c>
      <c r="NQ12">
        <f t="shared" si="160"/>
        <v>0</v>
      </c>
      <c r="NR12">
        <f t="shared" si="161"/>
        <v>0</v>
      </c>
      <c r="NS12">
        <f t="shared" si="162"/>
        <v>0</v>
      </c>
      <c r="NT12">
        <f t="shared" si="163"/>
        <v>0</v>
      </c>
      <c r="NU12" s="29">
        <f t="shared" si="164"/>
        <v>0</v>
      </c>
      <c r="NY12" s="29">
        <f t="shared" si="108"/>
        <v>0</v>
      </c>
      <c r="NZ12" s="152">
        <v>8036000</v>
      </c>
      <c r="OE12" s="155">
        <f t="shared" si="109"/>
        <v>0</v>
      </c>
      <c r="OF12" s="155">
        <f t="shared" si="110"/>
        <v>0</v>
      </c>
      <c r="OG12" s="155">
        <f t="shared" si="111"/>
        <v>0</v>
      </c>
      <c r="OH12" s="155">
        <f t="shared" si="165"/>
        <v>1</v>
      </c>
      <c r="OI12" s="155">
        <f t="shared" si="112"/>
        <v>0</v>
      </c>
      <c r="OJ12" s="67">
        <f t="shared" si="166"/>
        <v>0</v>
      </c>
      <c r="OK12" s="67">
        <f t="shared" si="167"/>
        <v>0</v>
      </c>
      <c r="OL12" s="67">
        <f t="shared" si="168"/>
        <v>0</v>
      </c>
      <c r="OM12" s="67">
        <f t="shared" si="169"/>
        <v>0</v>
      </c>
      <c r="OO12" s="155">
        <f t="shared" si="113"/>
        <v>0</v>
      </c>
      <c r="OP12" s="155">
        <f t="shared" si="114"/>
        <v>0</v>
      </c>
      <c r="OQ12" s="155">
        <f t="shared" si="170"/>
        <v>0</v>
      </c>
      <c r="OR12" s="155">
        <f t="shared" si="171"/>
        <v>1</v>
      </c>
      <c r="OS12" s="155">
        <f t="shared" si="172"/>
        <v>0</v>
      </c>
      <c r="OT12" s="67">
        <f t="shared" si="173"/>
        <v>0</v>
      </c>
      <c r="OU12" s="67">
        <f t="shared" si="174"/>
        <v>0</v>
      </c>
      <c r="OV12" s="67">
        <f t="shared" si="175"/>
        <v>0</v>
      </c>
      <c r="OW12" s="67">
        <f t="shared" si="176"/>
        <v>0</v>
      </c>
      <c r="PA12" s="166"/>
      <c r="PB12" s="166"/>
      <c r="PC12" s="166"/>
      <c r="PD12" s="210">
        <f t="shared" si="115"/>
        <v>0</v>
      </c>
      <c r="PE12" s="210"/>
      <c r="PF12" s="210">
        <f t="shared" si="116"/>
        <v>0</v>
      </c>
      <c r="PG12" s="210">
        <f t="shared" si="117"/>
        <v>0</v>
      </c>
      <c r="PH12" s="210">
        <f t="shared" si="117"/>
        <v>0</v>
      </c>
      <c r="PI12" s="210">
        <f t="shared" si="117"/>
        <v>0</v>
      </c>
      <c r="PJ12" s="210">
        <f t="shared" si="117"/>
        <v>0</v>
      </c>
      <c r="PK12" s="210">
        <f t="shared" si="117"/>
        <v>0</v>
      </c>
      <c r="PL12" s="210">
        <f t="shared" si="117"/>
        <v>0</v>
      </c>
      <c r="PO12" s="172">
        <f t="shared" si="177"/>
        <v>0</v>
      </c>
      <c r="PP12" s="172">
        <f t="shared" si="178"/>
        <v>349</v>
      </c>
      <c r="PQ12" s="172">
        <f t="shared" si="179"/>
        <v>0</v>
      </c>
    </row>
    <row r="13" spans="1:433" ht="16" x14ac:dyDescent="0.2">
      <c r="A13" s="19">
        <f t="shared" si="180"/>
        <v>5</v>
      </c>
      <c r="B13" s="138" t="s">
        <v>228</v>
      </c>
      <c r="C13" s="138">
        <v>5</v>
      </c>
      <c r="D13" s="20">
        <v>1</v>
      </c>
      <c r="E13" s="20">
        <v>114</v>
      </c>
      <c r="F13" s="20">
        <v>1</v>
      </c>
      <c r="G13" s="20">
        <f t="shared" si="2"/>
        <v>114</v>
      </c>
      <c r="H13" s="137">
        <f t="shared" si="3"/>
        <v>1</v>
      </c>
      <c r="I13" s="137">
        <f t="shared" si="4"/>
        <v>1</v>
      </c>
      <c r="J13" s="20">
        <v>1</v>
      </c>
      <c r="K13" s="20">
        <f t="shared" si="5"/>
        <v>114</v>
      </c>
      <c r="L13" s="137">
        <f t="shared" si="6"/>
        <v>1</v>
      </c>
      <c r="M13" s="137">
        <f t="shared" si="7"/>
        <v>1</v>
      </c>
      <c r="N13" s="20">
        <v>1</v>
      </c>
      <c r="O13" s="20">
        <f t="shared" si="8"/>
        <v>114</v>
      </c>
      <c r="P13" s="137">
        <f t="shared" si="9"/>
        <v>1</v>
      </c>
      <c r="Q13" s="137">
        <f t="shared" si="10"/>
        <v>1</v>
      </c>
      <c r="R13" s="20">
        <v>1</v>
      </c>
      <c r="S13" s="20">
        <f t="shared" si="11"/>
        <v>114</v>
      </c>
      <c r="T13" s="137">
        <f t="shared" si="12"/>
        <v>1</v>
      </c>
      <c r="U13" s="137">
        <f t="shared" si="13"/>
        <v>1</v>
      </c>
      <c r="V13" s="20">
        <v>1</v>
      </c>
      <c r="W13" s="20">
        <f t="shared" si="14"/>
        <v>114</v>
      </c>
      <c r="X13" s="137">
        <f t="shared" si="15"/>
        <v>1</v>
      </c>
      <c r="Y13" s="137">
        <f t="shared" si="16"/>
        <v>1</v>
      </c>
      <c r="Z13" s="38">
        <f>1260555000/1000000000</f>
        <v>1.2605550000000001</v>
      </c>
      <c r="AA13" s="38"/>
      <c r="AB13" s="17">
        <f t="shared" si="118"/>
        <v>0</v>
      </c>
      <c r="AC13" s="18">
        <f t="shared" si="119"/>
        <v>0</v>
      </c>
      <c r="AD13" s="18">
        <f t="shared" si="120"/>
        <v>0</v>
      </c>
      <c r="AE13" s="38"/>
      <c r="AF13" s="20">
        <f t="shared" si="121"/>
        <v>0</v>
      </c>
      <c r="AG13" s="20"/>
      <c r="AH13" s="17"/>
      <c r="AI13" s="20">
        <v>0</v>
      </c>
      <c r="AJ13" s="20">
        <f t="shared" si="181"/>
        <v>0</v>
      </c>
      <c r="AK13" s="20"/>
      <c r="AL13" s="20"/>
      <c r="AM13" s="20">
        <v>0</v>
      </c>
      <c r="AN13" s="139"/>
      <c r="AP13" s="150"/>
      <c r="BB13" s="17">
        <f t="shared" si="123"/>
        <v>0</v>
      </c>
      <c r="BE13" s="17">
        <f t="shared" si="19"/>
        <v>0</v>
      </c>
      <c r="BF13" s="17">
        <f t="shared" si="20"/>
        <v>0</v>
      </c>
      <c r="BG13" s="17">
        <f t="shared" si="21"/>
        <v>0</v>
      </c>
      <c r="BH13" s="17">
        <f t="shared" si="22"/>
        <v>0</v>
      </c>
      <c r="BI13" s="17">
        <f t="shared" si="23"/>
        <v>0</v>
      </c>
      <c r="BJ13" s="17">
        <f t="shared" si="24"/>
        <v>0</v>
      </c>
      <c r="BK13" s="17">
        <f t="shared" si="124"/>
        <v>0</v>
      </c>
      <c r="BN13" s="142">
        <v>64</v>
      </c>
      <c r="BO13">
        <v>1</v>
      </c>
      <c r="BP13" s="139"/>
      <c r="BQ13" s="139"/>
      <c r="BR13" s="139"/>
      <c r="BS13" s="139"/>
      <c r="BT13" s="139"/>
      <c r="BU13" s="139"/>
      <c r="BV13" s="139"/>
      <c r="BW13" s="139"/>
      <c r="BX13" s="139"/>
      <c r="BY13" s="139"/>
      <c r="BZ13" s="139"/>
      <c r="CB13" s="139"/>
      <c r="CD13" s="17">
        <f t="shared" si="125"/>
        <v>64</v>
      </c>
      <c r="CE13" s="17">
        <f t="shared" si="126"/>
        <v>64</v>
      </c>
      <c r="CF13" s="139">
        <f t="shared" si="182"/>
        <v>0</v>
      </c>
      <c r="CG13" s="139">
        <f t="shared" si="183"/>
        <v>0</v>
      </c>
      <c r="CH13" s="139">
        <f t="shared" si="184"/>
        <v>0</v>
      </c>
      <c r="CI13" s="139">
        <f t="shared" si="185"/>
        <v>0</v>
      </c>
      <c r="CJ13" s="139">
        <f t="shared" si="186"/>
        <v>0</v>
      </c>
      <c r="CK13" s="139">
        <f t="shared" si="187"/>
        <v>0</v>
      </c>
      <c r="CL13" s="139">
        <f t="shared" si="188"/>
        <v>0</v>
      </c>
      <c r="CM13" s="139">
        <f t="shared" si="189"/>
        <v>0</v>
      </c>
      <c r="CN13" s="139">
        <f t="shared" si="190"/>
        <v>0</v>
      </c>
      <c r="CO13" s="139">
        <f t="shared" si="191"/>
        <v>0</v>
      </c>
      <c r="CP13" s="139">
        <f t="shared" si="192"/>
        <v>0</v>
      </c>
      <c r="CQ13" s="148">
        <f t="shared" si="27"/>
        <v>0</v>
      </c>
      <c r="DV13" s="139">
        <f t="shared" si="28"/>
        <v>0</v>
      </c>
      <c r="DW13" s="139">
        <f t="shared" si="29"/>
        <v>0</v>
      </c>
      <c r="DX13" s="139">
        <f t="shared" si="30"/>
        <v>0</v>
      </c>
      <c r="DY13" s="139">
        <f t="shared" si="31"/>
        <v>0</v>
      </c>
      <c r="DZ13" s="139">
        <f t="shared" si="32"/>
        <v>0</v>
      </c>
      <c r="EA13" s="139">
        <f t="shared" si="33"/>
        <v>0</v>
      </c>
      <c r="EB13" s="139">
        <f t="shared" si="127"/>
        <v>0</v>
      </c>
      <c r="ED13" s="46" t="s">
        <v>300</v>
      </c>
      <c r="EE13" s="46" t="s">
        <v>373</v>
      </c>
      <c r="EF13" s="56"/>
      <c r="EG13" s="57">
        <f t="shared" si="128"/>
        <v>0</v>
      </c>
      <c r="EH13" s="57">
        <f t="shared" si="129"/>
        <v>0</v>
      </c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X13" s="80">
        <v>1</v>
      </c>
      <c r="FY13" s="17">
        <f t="shared" si="130"/>
        <v>64</v>
      </c>
      <c r="FZ13" s="17">
        <f t="shared" si="35"/>
        <v>64</v>
      </c>
      <c r="GA13" s="17">
        <f t="shared" si="36"/>
        <v>0</v>
      </c>
      <c r="GB13" s="17">
        <f t="shared" si="37"/>
        <v>0</v>
      </c>
      <c r="GC13" s="17">
        <f t="shared" si="38"/>
        <v>0</v>
      </c>
      <c r="GD13" s="17">
        <f t="shared" si="39"/>
        <v>0</v>
      </c>
      <c r="GE13" s="17">
        <f t="shared" si="40"/>
        <v>0</v>
      </c>
      <c r="GF13" s="67"/>
      <c r="GG13" s="17">
        <v>0</v>
      </c>
      <c r="GH13" s="17">
        <v>0</v>
      </c>
      <c r="GI13" s="67"/>
      <c r="GJ13" s="62">
        <f t="shared" si="131"/>
        <v>0</v>
      </c>
      <c r="GK13" s="62">
        <f t="shared" si="132"/>
        <v>0</v>
      </c>
      <c r="GO13" s="17">
        <f t="shared" si="41"/>
        <v>0</v>
      </c>
      <c r="GP13" s="17">
        <f t="shared" si="42"/>
        <v>0</v>
      </c>
      <c r="GQ13" s="17">
        <f t="shared" si="43"/>
        <v>0</v>
      </c>
      <c r="GR13" s="17">
        <f t="shared" si="44"/>
        <v>0</v>
      </c>
      <c r="GS13" s="17">
        <f t="shared" si="45"/>
        <v>0</v>
      </c>
      <c r="GT13" s="17">
        <f t="shared" si="133"/>
        <v>1</v>
      </c>
      <c r="GU13" s="101">
        <f t="shared" si="134"/>
        <v>43243</v>
      </c>
      <c r="GV13" s="17" t="str">
        <f t="shared" si="135"/>
        <v>SELESAI</v>
      </c>
      <c r="GW13" s="17">
        <f t="shared" si="136"/>
        <v>0</v>
      </c>
      <c r="GX13" s="66" t="str">
        <f t="shared" si="137"/>
        <v>SELESAI</v>
      </c>
      <c r="GY13" s="66">
        <f t="shared" si="138"/>
        <v>0</v>
      </c>
      <c r="GZ13" s="102" t="str">
        <f t="shared" si="139"/>
        <v>SELESAI</v>
      </c>
      <c r="HA13" s="83"/>
      <c r="HB13" s="83"/>
      <c r="HC13" s="17">
        <f t="shared" si="46"/>
        <v>0</v>
      </c>
      <c r="HD13" s="17">
        <f t="shared" si="47"/>
        <v>0</v>
      </c>
      <c r="HE13" s="17">
        <f t="shared" si="140"/>
        <v>0</v>
      </c>
      <c r="HF13" s="17">
        <f t="shared" si="141"/>
        <v>0</v>
      </c>
      <c r="HG13" s="17">
        <f t="shared" si="142"/>
        <v>0</v>
      </c>
      <c r="HH13" s="101" t="str">
        <f t="shared" si="48"/>
        <v>TIDAK KONSINYASI</v>
      </c>
      <c r="HI13" s="101" t="str">
        <f t="shared" si="143"/>
        <v>SELESAI</v>
      </c>
      <c r="HJ13" s="27"/>
      <c r="HK13" s="101">
        <f t="shared" si="49"/>
        <v>0</v>
      </c>
      <c r="HL13" s="83"/>
      <c r="HM13" s="83"/>
      <c r="HN13" s="83"/>
      <c r="HO13" s="83"/>
      <c r="HP13" s="102">
        <f t="shared" si="144"/>
        <v>0</v>
      </c>
      <c r="HQ13" s="66">
        <f t="shared" si="145"/>
        <v>0</v>
      </c>
      <c r="HR13" s="66">
        <f t="shared" si="50"/>
        <v>0</v>
      </c>
      <c r="HS13" s="102">
        <f t="shared" si="146"/>
        <v>0</v>
      </c>
      <c r="HT13" s="66">
        <f t="shared" si="147"/>
        <v>0</v>
      </c>
      <c r="HU13" s="66">
        <f t="shared" si="51"/>
        <v>0</v>
      </c>
      <c r="HV13" s="102">
        <f t="shared" si="148"/>
        <v>0</v>
      </c>
      <c r="HW13" s="66">
        <f t="shared" si="52"/>
        <v>0</v>
      </c>
      <c r="HX13" s="66">
        <f t="shared" si="53"/>
        <v>0</v>
      </c>
      <c r="HY13" s="102">
        <f t="shared" si="54"/>
        <v>0</v>
      </c>
      <c r="HZ13" s="66">
        <f t="shared" si="149"/>
        <v>0</v>
      </c>
      <c r="IA13" s="66">
        <f t="shared" si="55"/>
        <v>0</v>
      </c>
      <c r="IB13" s="102">
        <f t="shared" si="150"/>
        <v>0</v>
      </c>
      <c r="IC13" s="66">
        <f t="shared" si="56"/>
        <v>0</v>
      </c>
      <c r="ID13" s="66">
        <f t="shared" si="57"/>
        <v>0</v>
      </c>
      <c r="IE13" s="102">
        <f t="shared" si="58"/>
        <v>0</v>
      </c>
      <c r="IF13" s="66">
        <f t="shared" si="59"/>
        <v>0</v>
      </c>
      <c r="IG13" s="66">
        <f t="shared" si="60"/>
        <v>0</v>
      </c>
      <c r="IH13" s="102">
        <f t="shared" si="151"/>
        <v>0</v>
      </c>
      <c r="II13" s="66">
        <f t="shared" si="152"/>
        <v>0</v>
      </c>
      <c r="IJ13" s="66">
        <f t="shared" si="61"/>
        <v>0</v>
      </c>
      <c r="IK13" s="102">
        <f t="shared" si="62"/>
        <v>0</v>
      </c>
      <c r="IL13" s="66">
        <f t="shared" si="63"/>
        <v>0</v>
      </c>
      <c r="IM13" s="66">
        <f t="shared" si="64"/>
        <v>0</v>
      </c>
      <c r="IN13" s="83"/>
      <c r="IO13" s="102">
        <f t="shared" si="65"/>
        <v>0</v>
      </c>
      <c r="IP13" s="66">
        <f t="shared" si="66"/>
        <v>0</v>
      </c>
      <c r="IQ13" s="66">
        <f t="shared" si="67"/>
        <v>0</v>
      </c>
      <c r="IR13" s="83"/>
      <c r="IS13" s="102"/>
      <c r="IT13" s="66">
        <f t="shared" si="68"/>
        <v>1</v>
      </c>
      <c r="IU13" s="66">
        <f t="shared" si="69"/>
        <v>114</v>
      </c>
      <c r="IV13" s="83"/>
      <c r="IW13" s="102"/>
      <c r="IX13" s="66">
        <f t="shared" si="70"/>
        <v>0</v>
      </c>
      <c r="IY13" s="66">
        <f t="shared" si="71"/>
        <v>0</v>
      </c>
      <c r="IZ13" s="83"/>
      <c r="JA13" s="102"/>
      <c r="JB13" s="66">
        <f t="shared" si="72"/>
        <v>0</v>
      </c>
      <c r="JC13" s="66">
        <f t="shared" si="73"/>
        <v>0</v>
      </c>
      <c r="JD13" s="83"/>
      <c r="JE13" s="102"/>
      <c r="JF13" s="66">
        <f t="shared" si="153"/>
        <v>1</v>
      </c>
      <c r="JG13" s="66">
        <f t="shared" si="74"/>
        <v>114</v>
      </c>
      <c r="JH13" s="83"/>
      <c r="JI13" s="102"/>
      <c r="JJ13" s="66">
        <f t="shared" si="75"/>
        <v>0</v>
      </c>
      <c r="JK13" s="66">
        <f t="shared" si="76"/>
        <v>0</v>
      </c>
      <c r="JM13" s="102">
        <f t="shared" si="154"/>
        <v>0</v>
      </c>
      <c r="JO13" s="29">
        <f t="shared" si="77"/>
        <v>1</v>
      </c>
      <c r="JP13" s="122">
        <f t="shared" si="78"/>
        <v>64</v>
      </c>
      <c r="JQ13" s="122">
        <f t="shared" si="79"/>
        <v>1</v>
      </c>
      <c r="JR13" s="122">
        <f t="shared" si="80"/>
        <v>0</v>
      </c>
      <c r="JS13" s="122">
        <f t="shared" si="81"/>
        <v>0</v>
      </c>
      <c r="JT13" s="122">
        <f t="shared" si="82"/>
        <v>0</v>
      </c>
      <c r="JU13" s="122">
        <f t="shared" si="83"/>
        <v>0</v>
      </c>
      <c r="JV13" s="122">
        <f t="shared" si="84"/>
        <v>0</v>
      </c>
      <c r="JW13" s="122">
        <f t="shared" si="85"/>
        <v>0</v>
      </c>
      <c r="JX13" s="122">
        <f t="shared" si="86"/>
        <v>0</v>
      </c>
      <c r="JY13" s="122">
        <f t="shared" si="87"/>
        <v>0</v>
      </c>
      <c r="JZ13" s="122">
        <f t="shared" si="88"/>
        <v>0</v>
      </c>
      <c r="KA13" s="122">
        <f t="shared" si="89"/>
        <v>0</v>
      </c>
      <c r="KB13" s="122">
        <f t="shared" si="90"/>
        <v>0</v>
      </c>
      <c r="KD13" s="122">
        <f t="shared" si="155"/>
        <v>0</v>
      </c>
      <c r="KE13" s="122">
        <f t="shared" si="92"/>
        <v>0</v>
      </c>
      <c r="KF13" s="122">
        <f t="shared" si="93"/>
        <v>64</v>
      </c>
      <c r="KG13" s="122">
        <f t="shared" si="94"/>
        <v>64</v>
      </c>
      <c r="KH13" s="122">
        <f t="shared" si="95"/>
        <v>0</v>
      </c>
      <c r="KI13" s="122">
        <f t="shared" si="96"/>
        <v>0</v>
      </c>
      <c r="KJ13" s="122">
        <f t="shared" si="97"/>
        <v>0</v>
      </c>
      <c r="KK13" s="122">
        <f t="shared" si="98"/>
        <v>0</v>
      </c>
      <c r="KL13" s="122">
        <f t="shared" si="99"/>
        <v>0</v>
      </c>
      <c r="KM13" s="122">
        <f t="shared" si="100"/>
        <v>0</v>
      </c>
      <c r="KN13" s="123">
        <f t="shared" si="101"/>
        <v>0</v>
      </c>
      <c r="KO13" s="123">
        <f t="shared" si="102"/>
        <v>0</v>
      </c>
      <c r="KP13" s="123">
        <f t="shared" si="103"/>
        <v>0</v>
      </c>
      <c r="KQ13" s="123">
        <f t="shared" si="104"/>
        <v>0</v>
      </c>
      <c r="KR13" s="123">
        <f t="shared" si="105"/>
        <v>0</v>
      </c>
      <c r="KT13">
        <f t="shared" si="106"/>
        <v>0</v>
      </c>
      <c r="KU13" s="123"/>
      <c r="KV13" s="123"/>
      <c r="KW13" s="123"/>
      <c r="KX13" s="123"/>
      <c r="KY13" s="123"/>
      <c r="KZ13" s="123"/>
      <c r="LA13" s="123"/>
      <c r="LB13" s="123"/>
      <c r="LC13" s="123"/>
      <c r="LD13" s="123"/>
      <c r="LE13" s="123"/>
      <c r="LF13" s="123"/>
      <c r="LG13" s="123"/>
      <c r="LH13" s="123"/>
      <c r="LI13" s="123"/>
      <c r="LJ13" s="123"/>
      <c r="LK13" s="123"/>
      <c r="LL13" s="123"/>
      <c r="LM13" s="123"/>
      <c r="LN13" s="123"/>
      <c r="LO13" s="123"/>
      <c r="LP13" s="123"/>
      <c r="LQ13" s="123"/>
      <c r="LR13" s="123"/>
      <c r="LS13" s="123"/>
      <c r="LT13" s="123"/>
      <c r="LU13" s="123"/>
      <c r="LV13" s="123"/>
      <c r="LW13" s="123"/>
      <c r="LX13" s="123"/>
      <c r="LY13" s="123"/>
      <c r="LZ13" s="123"/>
      <c r="MA13" s="123"/>
      <c r="MB13" s="123"/>
      <c r="MC13" s="123"/>
      <c r="MD13" s="123"/>
      <c r="ME13" s="123"/>
      <c r="MF13" s="123"/>
      <c r="MG13" s="123"/>
      <c r="MH13" s="123"/>
      <c r="MI13" s="123"/>
      <c r="MJ13" s="123"/>
      <c r="MK13" s="123"/>
      <c r="ML13" s="123"/>
      <c r="MM13" s="123"/>
      <c r="MN13" s="123"/>
      <c r="MO13" s="123"/>
      <c r="MP13" s="123"/>
      <c r="MQ13" s="123"/>
      <c r="MR13" s="123"/>
      <c r="MS13" s="123"/>
      <c r="MT13" s="123"/>
      <c r="MU13" s="123"/>
      <c r="MV13" s="123"/>
      <c r="MW13" s="123"/>
      <c r="MX13" s="123"/>
      <c r="MY13" s="123"/>
      <c r="MZ13" s="123"/>
      <c r="NA13" s="123"/>
      <c r="NB13" s="123"/>
      <c r="NC13" s="123"/>
      <c r="ND13" s="123"/>
      <c r="NE13" s="123"/>
      <c r="NF13" s="123"/>
      <c r="NG13" s="123"/>
      <c r="NH13" s="123"/>
      <c r="NI13" s="123"/>
      <c r="NJ13" s="123"/>
      <c r="NK13" s="123"/>
      <c r="NM13">
        <f t="shared" si="156"/>
        <v>0</v>
      </c>
      <c r="NN13">
        <f t="shared" si="157"/>
        <v>0</v>
      </c>
      <c r="NO13">
        <f t="shared" si="158"/>
        <v>0</v>
      </c>
      <c r="NP13">
        <f t="shared" si="159"/>
        <v>0</v>
      </c>
      <c r="NQ13">
        <f t="shared" si="160"/>
        <v>0</v>
      </c>
      <c r="NR13">
        <f t="shared" si="161"/>
        <v>0</v>
      </c>
      <c r="NS13">
        <f t="shared" si="162"/>
        <v>0</v>
      </c>
      <c r="NT13">
        <f t="shared" si="163"/>
        <v>0</v>
      </c>
      <c r="NU13" s="29">
        <f t="shared" si="164"/>
        <v>0</v>
      </c>
      <c r="NY13" s="29">
        <f t="shared" si="108"/>
        <v>1</v>
      </c>
      <c r="NZ13" s="152">
        <v>7954000</v>
      </c>
      <c r="OE13" s="155">
        <f t="shared" si="109"/>
        <v>0</v>
      </c>
      <c r="OF13" s="155">
        <f t="shared" si="110"/>
        <v>0</v>
      </c>
      <c r="OG13" s="155">
        <f t="shared" si="111"/>
        <v>0</v>
      </c>
      <c r="OH13" s="155">
        <f t="shared" si="165"/>
        <v>0</v>
      </c>
      <c r="OI13" s="155">
        <f t="shared" si="112"/>
        <v>0</v>
      </c>
      <c r="OJ13" s="67">
        <f t="shared" si="166"/>
        <v>0</v>
      </c>
      <c r="OK13" s="67">
        <f t="shared" si="167"/>
        <v>0</v>
      </c>
      <c r="OL13" s="67">
        <f t="shared" si="168"/>
        <v>0</v>
      </c>
      <c r="OM13" s="67">
        <f t="shared" si="169"/>
        <v>0</v>
      </c>
      <c r="OO13" s="155">
        <f t="shared" si="113"/>
        <v>0</v>
      </c>
      <c r="OP13" s="155">
        <f t="shared" si="114"/>
        <v>0</v>
      </c>
      <c r="OQ13" s="155">
        <f t="shared" si="170"/>
        <v>0</v>
      </c>
      <c r="OR13" s="155">
        <f t="shared" si="171"/>
        <v>0</v>
      </c>
      <c r="OS13" s="155">
        <f t="shared" si="172"/>
        <v>0</v>
      </c>
      <c r="OT13" s="67">
        <f t="shared" si="173"/>
        <v>0</v>
      </c>
      <c r="OU13" s="67">
        <f t="shared" si="174"/>
        <v>0</v>
      </c>
      <c r="OV13" s="67">
        <f t="shared" si="175"/>
        <v>0</v>
      </c>
      <c r="OW13" s="67">
        <f t="shared" si="176"/>
        <v>0</v>
      </c>
      <c r="PA13" s="166"/>
      <c r="PB13" s="166"/>
      <c r="PC13" s="166"/>
      <c r="PD13" s="210">
        <f t="shared" si="115"/>
        <v>0</v>
      </c>
      <c r="PE13" s="210"/>
      <c r="PF13" s="210">
        <f t="shared" si="116"/>
        <v>0</v>
      </c>
      <c r="PG13" s="210">
        <f t="shared" si="117"/>
        <v>0</v>
      </c>
      <c r="PH13" s="210">
        <f t="shared" si="117"/>
        <v>0</v>
      </c>
      <c r="PI13" s="210">
        <f t="shared" si="117"/>
        <v>0</v>
      </c>
      <c r="PJ13" s="210">
        <f t="shared" si="117"/>
        <v>0</v>
      </c>
      <c r="PK13" s="210">
        <f t="shared" si="117"/>
        <v>0</v>
      </c>
      <c r="PL13" s="210">
        <f t="shared" si="117"/>
        <v>0</v>
      </c>
      <c r="PO13" s="172">
        <f t="shared" si="177"/>
        <v>0</v>
      </c>
      <c r="PP13" s="172">
        <f t="shared" si="178"/>
        <v>0</v>
      </c>
      <c r="PQ13" s="172">
        <f t="shared" si="179"/>
        <v>0</v>
      </c>
    </row>
    <row r="14" spans="1:433" ht="15.75" customHeight="1" x14ac:dyDescent="0.2">
      <c r="A14" s="19">
        <f t="shared" si="180"/>
        <v>6</v>
      </c>
      <c r="B14" s="138" t="s">
        <v>229</v>
      </c>
      <c r="C14" s="138">
        <v>6</v>
      </c>
      <c r="D14" s="20">
        <v>1</v>
      </c>
      <c r="E14" s="20">
        <v>193</v>
      </c>
      <c r="F14" s="20">
        <v>1</v>
      </c>
      <c r="G14" s="20">
        <f t="shared" si="2"/>
        <v>193</v>
      </c>
      <c r="H14" s="137">
        <f t="shared" si="3"/>
        <v>1</v>
      </c>
      <c r="I14" s="137">
        <f t="shared" si="4"/>
        <v>1</v>
      </c>
      <c r="J14" s="20">
        <v>1</v>
      </c>
      <c r="K14" s="20">
        <f t="shared" si="5"/>
        <v>193</v>
      </c>
      <c r="L14" s="137">
        <f t="shared" si="6"/>
        <v>1</v>
      </c>
      <c r="M14" s="137">
        <f t="shared" si="7"/>
        <v>1</v>
      </c>
      <c r="N14" s="20">
        <v>1</v>
      </c>
      <c r="O14" s="20">
        <f t="shared" si="8"/>
        <v>193</v>
      </c>
      <c r="P14" s="137">
        <f t="shared" si="9"/>
        <v>1</v>
      </c>
      <c r="Q14" s="137">
        <f t="shared" si="10"/>
        <v>1</v>
      </c>
      <c r="R14" s="20">
        <v>1</v>
      </c>
      <c r="S14" s="20">
        <f t="shared" si="11"/>
        <v>193</v>
      </c>
      <c r="T14" s="137">
        <f t="shared" si="12"/>
        <v>1</v>
      </c>
      <c r="U14" s="137">
        <f t="shared" si="13"/>
        <v>1</v>
      </c>
      <c r="V14" s="20">
        <v>1</v>
      </c>
      <c r="W14" s="20">
        <f t="shared" si="14"/>
        <v>193</v>
      </c>
      <c r="X14" s="137">
        <f t="shared" si="15"/>
        <v>1</v>
      </c>
      <c r="Y14" s="137">
        <f t="shared" si="16"/>
        <v>1</v>
      </c>
      <c r="Z14" s="38">
        <f>2014778000/1000000000</f>
        <v>2.0147780000000002</v>
      </c>
      <c r="AA14" s="38"/>
      <c r="AB14" s="17">
        <f t="shared" si="118"/>
        <v>0</v>
      </c>
      <c r="AC14" s="18">
        <f t="shared" si="119"/>
        <v>0</v>
      </c>
      <c r="AD14" s="18">
        <f t="shared" si="120"/>
        <v>0</v>
      </c>
      <c r="AE14" s="38"/>
      <c r="AF14" s="20">
        <f t="shared" si="121"/>
        <v>0</v>
      </c>
      <c r="AG14" s="20"/>
      <c r="AH14" s="17"/>
      <c r="AI14" s="20">
        <v>0</v>
      </c>
      <c r="AJ14" s="20">
        <f t="shared" si="181"/>
        <v>0</v>
      </c>
      <c r="AK14" s="20"/>
      <c r="AL14" s="20"/>
      <c r="AM14" s="20">
        <v>0</v>
      </c>
      <c r="AN14" s="139"/>
      <c r="BB14" s="17">
        <f t="shared" si="123"/>
        <v>0</v>
      </c>
      <c r="BE14" s="17">
        <f t="shared" si="19"/>
        <v>0</v>
      </c>
      <c r="BF14" s="17">
        <f t="shared" si="20"/>
        <v>0</v>
      </c>
      <c r="BG14" s="17">
        <f t="shared" si="21"/>
        <v>0</v>
      </c>
      <c r="BH14" s="17">
        <f t="shared" si="22"/>
        <v>0</v>
      </c>
      <c r="BI14" s="17">
        <f t="shared" si="23"/>
        <v>0</v>
      </c>
      <c r="BJ14" s="17">
        <f t="shared" si="24"/>
        <v>0</v>
      </c>
      <c r="BK14" s="17">
        <f t="shared" si="124"/>
        <v>0</v>
      </c>
      <c r="BN14" s="141"/>
      <c r="BO14" s="284"/>
      <c r="BP14" s="139"/>
      <c r="BQ14" s="139"/>
      <c r="BR14" s="139"/>
      <c r="BS14" s="139"/>
      <c r="BT14" s="139"/>
      <c r="BU14" s="156"/>
      <c r="BV14" s="139"/>
      <c r="BW14" s="139"/>
      <c r="BX14" s="139"/>
      <c r="BY14" s="139"/>
      <c r="BZ14" s="139"/>
      <c r="CB14" s="139"/>
      <c r="CD14" s="17">
        <f t="shared" si="125"/>
        <v>0</v>
      </c>
      <c r="CE14" s="17">
        <f t="shared" si="126"/>
        <v>0</v>
      </c>
      <c r="CF14" s="139">
        <f t="shared" si="182"/>
        <v>0</v>
      </c>
      <c r="CG14" s="139">
        <f t="shared" si="183"/>
        <v>0</v>
      </c>
      <c r="CH14" s="139">
        <f t="shared" si="184"/>
        <v>0</v>
      </c>
      <c r="CI14" s="139">
        <f t="shared" si="185"/>
        <v>0</v>
      </c>
      <c r="CJ14" s="139">
        <f t="shared" si="186"/>
        <v>0</v>
      </c>
      <c r="CK14" s="139">
        <f t="shared" si="187"/>
        <v>0</v>
      </c>
      <c r="CL14" s="139">
        <f t="shared" si="188"/>
        <v>0</v>
      </c>
      <c r="CM14" s="139">
        <f t="shared" si="189"/>
        <v>0</v>
      </c>
      <c r="CN14" s="139">
        <f t="shared" si="190"/>
        <v>0</v>
      </c>
      <c r="CO14" s="139">
        <f t="shared" si="191"/>
        <v>0</v>
      </c>
      <c r="CP14" s="139">
        <f t="shared" si="192"/>
        <v>0</v>
      </c>
      <c r="CQ14" s="148">
        <f t="shared" si="27"/>
        <v>0</v>
      </c>
      <c r="DV14" s="139">
        <f t="shared" si="28"/>
        <v>0</v>
      </c>
      <c r="DW14" s="139">
        <f t="shared" si="29"/>
        <v>0</v>
      </c>
      <c r="DX14" s="139">
        <f t="shared" si="30"/>
        <v>0</v>
      </c>
      <c r="DY14" s="139">
        <f t="shared" si="31"/>
        <v>0</v>
      </c>
      <c r="DZ14" s="139">
        <f t="shared" si="32"/>
        <v>0</v>
      </c>
      <c r="EA14" s="139">
        <f t="shared" si="33"/>
        <v>0</v>
      </c>
      <c r="EB14" s="139">
        <f t="shared" si="127"/>
        <v>0</v>
      </c>
      <c r="ED14" s="46" t="s">
        <v>301</v>
      </c>
      <c r="EE14" s="46" t="s">
        <v>374</v>
      </c>
      <c r="EF14" s="56"/>
      <c r="EG14" s="57">
        <f t="shared" si="128"/>
        <v>0</v>
      </c>
      <c r="EH14" s="57">
        <f t="shared" si="129"/>
        <v>0</v>
      </c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X14" s="80"/>
      <c r="FY14" s="17">
        <f t="shared" si="130"/>
        <v>0</v>
      </c>
      <c r="FZ14" s="17">
        <f t="shared" si="35"/>
        <v>0</v>
      </c>
      <c r="GA14" s="17">
        <f t="shared" si="36"/>
        <v>0</v>
      </c>
      <c r="GB14" s="17">
        <f t="shared" si="37"/>
        <v>0</v>
      </c>
      <c r="GC14" s="17">
        <f t="shared" si="38"/>
        <v>0</v>
      </c>
      <c r="GD14" s="17">
        <f t="shared" si="39"/>
        <v>0</v>
      </c>
      <c r="GE14" s="17">
        <f t="shared" si="40"/>
        <v>0</v>
      </c>
      <c r="GF14" s="67"/>
      <c r="GG14" s="17">
        <v>0</v>
      </c>
      <c r="GH14" s="17">
        <v>0</v>
      </c>
      <c r="GI14" s="67"/>
      <c r="GJ14" s="62">
        <f t="shared" si="131"/>
        <v>0</v>
      </c>
      <c r="GK14" s="62">
        <f t="shared" si="132"/>
        <v>0</v>
      </c>
      <c r="GO14" s="17">
        <f t="shared" si="41"/>
        <v>0</v>
      </c>
      <c r="GP14" s="17">
        <f t="shared" si="42"/>
        <v>0</v>
      </c>
      <c r="GQ14" s="17">
        <f t="shared" si="43"/>
        <v>0</v>
      </c>
      <c r="GR14" s="17">
        <f t="shared" si="44"/>
        <v>0</v>
      </c>
      <c r="GS14" s="17">
        <f t="shared" si="45"/>
        <v>0</v>
      </c>
      <c r="GT14" s="17">
        <f t="shared" si="133"/>
        <v>1</v>
      </c>
      <c r="GU14" s="101">
        <f t="shared" si="134"/>
        <v>43243</v>
      </c>
      <c r="GV14" s="17" t="str">
        <f t="shared" si="135"/>
        <v>SELESAI</v>
      </c>
      <c r="GW14" s="17">
        <f t="shared" si="136"/>
        <v>0</v>
      </c>
      <c r="GX14" s="66" t="str">
        <f t="shared" si="137"/>
        <v>SELESAI</v>
      </c>
      <c r="GY14" s="66">
        <f t="shared" si="138"/>
        <v>0</v>
      </c>
      <c r="GZ14" s="102" t="str">
        <f t="shared" si="139"/>
        <v>SELESAI</v>
      </c>
      <c r="HA14" s="83"/>
      <c r="HB14" s="83"/>
      <c r="HC14" s="17">
        <f t="shared" si="46"/>
        <v>0</v>
      </c>
      <c r="HD14" s="17">
        <f t="shared" si="47"/>
        <v>0</v>
      </c>
      <c r="HE14" s="17">
        <f t="shared" si="140"/>
        <v>0</v>
      </c>
      <c r="HF14" s="17">
        <f t="shared" si="141"/>
        <v>0</v>
      </c>
      <c r="HG14" s="17">
        <f t="shared" si="142"/>
        <v>0</v>
      </c>
      <c r="HH14" s="101" t="str">
        <f t="shared" si="48"/>
        <v>TIDAK KONSINYASI</v>
      </c>
      <c r="HI14" s="101" t="str">
        <f t="shared" si="143"/>
        <v>SELESAI</v>
      </c>
      <c r="HJ14" s="27"/>
      <c r="HK14" s="101">
        <f t="shared" si="49"/>
        <v>0</v>
      </c>
      <c r="HL14" s="83"/>
      <c r="HM14" s="83"/>
      <c r="HN14" s="83"/>
      <c r="HO14" s="83"/>
      <c r="HP14" s="102">
        <f t="shared" si="144"/>
        <v>0</v>
      </c>
      <c r="HQ14" s="66">
        <f t="shared" si="145"/>
        <v>0</v>
      </c>
      <c r="HR14" s="66">
        <f t="shared" si="50"/>
        <v>0</v>
      </c>
      <c r="HS14" s="102">
        <f t="shared" si="146"/>
        <v>0</v>
      </c>
      <c r="HT14" s="66">
        <f t="shared" si="147"/>
        <v>0</v>
      </c>
      <c r="HU14" s="66">
        <f t="shared" si="51"/>
        <v>0</v>
      </c>
      <c r="HV14" s="102">
        <f t="shared" si="148"/>
        <v>0</v>
      </c>
      <c r="HW14" s="66">
        <f t="shared" si="52"/>
        <v>0</v>
      </c>
      <c r="HX14" s="66">
        <f t="shared" si="53"/>
        <v>0</v>
      </c>
      <c r="HY14" s="102">
        <f t="shared" si="54"/>
        <v>0</v>
      </c>
      <c r="HZ14" s="66">
        <f t="shared" si="149"/>
        <v>0</v>
      </c>
      <c r="IA14" s="66">
        <f t="shared" si="55"/>
        <v>0</v>
      </c>
      <c r="IB14" s="102">
        <f t="shared" si="150"/>
        <v>0</v>
      </c>
      <c r="IC14" s="66">
        <f t="shared" si="56"/>
        <v>0</v>
      </c>
      <c r="ID14" s="66">
        <f t="shared" si="57"/>
        <v>0</v>
      </c>
      <c r="IE14" s="102">
        <f t="shared" si="58"/>
        <v>0</v>
      </c>
      <c r="IF14" s="66">
        <f t="shared" si="59"/>
        <v>0</v>
      </c>
      <c r="IG14" s="66">
        <f t="shared" si="60"/>
        <v>0</v>
      </c>
      <c r="IH14" s="102">
        <f t="shared" si="151"/>
        <v>0</v>
      </c>
      <c r="II14" s="66">
        <f t="shared" si="152"/>
        <v>0</v>
      </c>
      <c r="IJ14" s="66">
        <f t="shared" si="61"/>
        <v>0</v>
      </c>
      <c r="IK14" s="102">
        <f t="shared" si="62"/>
        <v>0</v>
      </c>
      <c r="IL14" s="66">
        <f t="shared" si="63"/>
        <v>0</v>
      </c>
      <c r="IM14" s="66">
        <f t="shared" si="64"/>
        <v>0</v>
      </c>
      <c r="IN14" s="83"/>
      <c r="IO14" s="102">
        <f t="shared" si="65"/>
        <v>0</v>
      </c>
      <c r="IP14" s="66">
        <f t="shared" si="66"/>
        <v>0</v>
      </c>
      <c r="IQ14" s="66">
        <f t="shared" si="67"/>
        <v>0</v>
      </c>
      <c r="IR14" s="83"/>
      <c r="IS14" s="102"/>
      <c r="IT14" s="66">
        <f t="shared" si="68"/>
        <v>1</v>
      </c>
      <c r="IU14" s="66">
        <f t="shared" si="69"/>
        <v>193</v>
      </c>
      <c r="IV14" s="83"/>
      <c r="IW14" s="102"/>
      <c r="IX14" s="66">
        <f t="shared" si="70"/>
        <v>0</v>
      </c>
      <c r="IY14" s="66">
        <f t="shared" si="71"/>
        <v>0</v>
      </c>
      <c r="IZ14" s="83"/>
      <c r="JA14" s="102"/>
      <c r="JB14" s="66">
        <f t="shared" si="72"/>
        <v>0</v>
      </c>
      <c r="JC14" s="66">
        <f t="shared" si="73"/>
        <v>0</v>
      </c>
      <c r="JD14" s="83"/>
      <c r="JE14" s="102"/>
      <c r="JF14" s="66">
        <f t="shared" si="153"/>
        <v>1</v>
      </c>
      <c r="JG14" s="66">
        <f t="shared" si="74"/>
        <v>193</v>
      </c>
      <c r="JH14" s="83"/>
      <c r="JI14" s="102"/>
      <c r="JJ14" s="66">
        <f t="shared" si="75"/>
        <v>0</v>
      </c>
      <c r="JK14" s="66">
        <f t="shared" si="76"/>
        <v>0</v>
      </c>
      <c r="JM14" s="102">
        <f t="shared" si="154"/>
        <v>0</v>
      </c>
      <c r="JO14" s="29">
        <f t="shared" si="77"/>
        <v>0</v>
      </c>
      <c r="JP14" s="122">
        <f t="shared" si="78"/>
        <v>0</v>
      </c>
      <c r="JQ14" s="122">
        <f t="shared" si="79"/>
        <v>0</v>
      </c>
      <c r="JR14" s="122">
        <f t="shared" si="80"/>
        <v>0</v>
      </c>
      <c r="JS14" s="122">
        <f t="shared" si="81"/>
        <v>0</v>
      </c>
      <c r="JT14" s="122">
        <f t="shared" si="82"/>
        <v>0</v>
      </c>
      <c r="JU14" s="122">
        <f t="shared" si="83"/>
        <v>0</v>
      </c>
      <c r="JV14" s="122">
        <f t="shared" si="84"/>
        <v>0</v>
      </c>
      <c r="JW14" s="122">
        <f t="shared" si="85"/>
        <v>0</v>
      </c>
      <c r="JX14" s="122">
        <f t="shared" si="86"/>
        <v>0</v>
      </c>
      <c r="JY14" s="122">
        <f t="shared" si="87"/>
        <v>0</v>
      </c>
      <c r="JZ14" s="122">
        <f t="shared" si="88"/>
        <v>0</v>
      </c>
      <c r="KA14" s="122">
        <f t="shared" si="89"/>
        <v>0</v>
      </c>
      <c r="KB14" s="122">
        <f t="shared" si="90"/>
        <v>0</v>
      </c>
      <c r="KD14" s="122">
        <f t="shared" si="155"/>
        <v>0</v>
      </c>
      <c r="KE14" s="122">
        <f t="shared" si="92"/>
        <v>0</v>
      </c>
      <c r="KF14" s="122">
        <f t="shared" si="93"/>
        <v>0</v>
      </c>
      <c r="KG14" s="122">
        <f t="shared" si="94"/>
        <v>0</v>
      </c>
      <c r="KH14" s="122">
        <f t="shared" si="95"/>
        <v>0</v>
      </c>
      <c r="KI14" s="122">
        <f t="shared" si="96"/>
        <v>0</v>
      </c>
      <c r="KJ14" s="122">
        <f t="shared" si="97"/>
        <v>0</v>
      </c>
      <c r="KK14" s="122">
        <f t="shared" si="98"/>
        <v>0</v>
      </c>
      <c r="KL14" s="122">
        <f t="shared" si="99"/>
        <v>0</v>
      </c>
      <c r="KM14" s="122">
        <f t="shared" si="100"/>
        <v>0</v>
      </c>
      <c r="KN14" s="123">
        <f t="shared" si="101"/>
        <v>0</v>
      </c>
      <c r="KO14" s="123">
        <f t="shared" si="102"/>
        <v>0</v>
      </c>
      <c r="KP14" s="123">
        <f t="shared" si="103"/>
        <v>0</v>
      </c>
      <c r="KQ14" s="123">
        <f t="shared" si="104"/>
        <v>0</v>
      </c>
      <c r="KR14" s="123">
        <f t="shared" si="105"/>
        <v>0</v>
      </c>
      <c r="KT14">
        <f t="shared" si="106"/>
        <v>0</v>
      </c>
      <c r="KU14" s="123"/>
      <c r="KV14" s="123"/>
      <c r="KW14" s="123"/>
      <c r="KX14" s="123"/>
      <c r="KY14" s="123"/>
      <c r="KZ14" s="123"/>
      <c r="LA14" s="123"/>
      <c r="LB14" s="123"/>
      <c r="LC14" s="123"/>
      <c r="LD14" s="123"/>
      <c r="LE14" s="123"/>
      <c r="LF14" s="123"/>
      <c r="LG14" s="123"/>
      <c r="LH14" s="123"/>
      <c r="LI14" s="123"/>
      <c r="LJ14" s="123"/>
      <c r="LK14" s="123"/>
      <c r="LL14" s="123"/>
      <c r="LM14" s="123"/>
      <c r="LN14" s="123"/>
      <c r="LO14" s="123"/>
      <c r="LP14" s="123"/>
      <c r="LQ14" s="123"/>
      <c r="LR14" s="123"/>
      <c r="LS14" s="123"/>
      <c r="LT14" s="123"/>
      <c r="LU14" s="123"/>
      <c r="LV14" s="123"/>
      <c r="LW14" s="123"/>
      <c r="LX14" s="123"/>
      <c r="LY14" s="123"/>
      <c r="LZ14" s="123"/>
      <c r="MA14" s="123"/>
      <c r="MB14" s="123"/>
      <c r="MC14" s="123"/>
      <c r="MD14" s="123"/>
      <c r="ME14" s="123"/>
      <c r="MF14" s="123"/>
      <c r="MG14" s="123"/>
      <c r="MH14" s="123"/>
      <c r="MI14" s="123"/>
      <c r="MJ14" s="123"/>
      <c r="MK14" s="123"/>
      <c r="ML14" s="123"/>
      <c r="MM14" s="123"/>
      <c r="MN14" s="123"/>
      <c r="MO14" s="123"/>
      <c r="MP14" s="123"/>
      <c r="MQ14" s="123"/>
      <c r="MR14" s="123"/>
      <c r="MS14" s="123"/>
      <c r="MT14" s="123"/>
      <c r="MU14" s="123"/>
      <c r="MV14" s="123"/>
      <c r="MW14" s="123"/>
      <c r="MX14" s="123"/>
      <c r="MY14" s="123"/>
      <c r="MZ14" s="123"/>
      <c r="NA14" s="123"/>
      <c r="NB14" s="123"/>
      <c r="NC14" s="123"/>
      <c r="ND14" s="123"/>
      <c r="NE14" s="123"/>
      <c r="NF14" s="123"/>
      <c r="NG14" s="123"/>
      <c r="NH14" s="123"/>
      <c r="NI14" s="123"/>
      <c r="NJ14" s="123"/>
      <c r="NK14" s="123"/>
      <c r="NM14">
        <f t="shared" si="156"/>
        <v>0</v>
      </c>
      <c r="NN14">
        <f t="shared" si="157"/>
        <v>0</v>
      </c>
      <c r="NO14">
        <f t="shared" si="158"/>
        <v>0</v>
      </c>
      <c r="NP14">
        <f t="shared" si="159"/>
        <v>0</v>
      </c>
      <c r="NQ14">
        <f t="shared" si="160"/>
        <v>0</v>
      </c>
      <c r="NR14">
        <f t="shared" si="161"/>
        <v>0</v>
      </c>
      <c r="NS14">
        <f t="shared" si="162"/>
        <v>0</v>
      </c>
      <c r="NT14">
        <f t="shared" si="163"/>
        <v>0</v>
      </c>
      <c r="NU14" s="29">
        <f t="shared" si="164"/>
        <v>0</v>
      </c>
      <c r="NY14" s="29">
        <f t="shared" si="108"/>
        <v>1</v>
      </c>
      <c r="NZ14" s="152">
        <v>8036000</v>
      </c>
      <c r="OE14" s="155">
        <f t="shared" si="109"/>
        <v>0</v>
      </c>
      <c r="OF14" s="155">
        <f t="shared" si="110"/>
        <v>0</v>
      </c>
      <c r="OG14" s="155">
        <f t="shared" si="111"/>
        <v>0</v>
      </c>
      <c r="OH14" s="155">
        <f t="shared" si="165"/>
        <v>0</v>
      </c>
      <c r="OI14" s="155">
        <f t="shared" si="112"/>
        <v>0</v>
      </c>
      <c r="OJ14" s="67">
        <f t="shared" si="166"/>
        <v>0</v>
      </c>
      <c r="OK14" s="67">
        <f t="shared" si="167"/>
        <v>0</v>
      </c>
      <c r="OL14" s="67">
        <f t="shared" si="168"/>
        <v>0</v>
      </c>
      <c r="OM14" s="67">
        <f t="shared" si="169"/>
        <v>0</v>
      </c>
      <c r="OO14" s="155">
        <f t="shared" si="113"/>
        <v>0</v>
      </c>
      <c r="OP14" s="155">
        <f t="shared" si="114"/>
        <v>0</v>
      </c>
      <c r="OQ14" s="155">
        <f t="shared" si="170"/>
        <v>0</v>
      </c>
      <c r="OR14" s="155">
        <f t="shared" si="171"/>
        <v>0</v>
      </c>
      <c r="OS14" s="155">
        <f t="shared" si="172"/>
        <v>0</v>
      </c>
      <c r="OT14" s="67">
        <f t="shared" si="173"/>
        <v>0</v>
      </c>
      <c r="OU14" s="67">
        <f t="shared" si="174"/>
        <v>0</v>
      </c>
      <c r="OV14" s="67">
        <f t="shared" si="175"/>
        <v>0</v>
      </c>
      <c r="OW14" s="67">
        <f t="shared" si="176"/>
        <v>0</v>
      </c>
      <c r="PA14" s="166"/>
      <c r="PB14" s="166"/>
      <c r="PC14" s="166"/>
      <c r="PD14" s="210">
        <f t="shared" si="115"/>
        <v>0</v>
      </c>
      <c r="PE14" s="210"/>
      <c r="PF14" s="210">
        <f t="shared" si="116"/>
        <v>0</v>
      </c>
      <c r="PG14" s="210">
        <f t="shared" si="117"/>
        <v>0</v>
      </c>
      <c r="PH14" s="210">
        <f t="shared" si="117"/>
        <v>0</v>
      </c>
      <c r="PI14" s="210">
        <f t="shared" si="117"/>
        <v>0</v>
      </c>
      <c r="PJ14" s="210">
        <f t="shared" si="117"/>
        <v>0</v>
      </c>
      <c r="PK14" s="210">
        <f t="shared" si="117"/>
        <v>0</v>
      </c>
      <c r="PL14" s="210">
        <f t="shared" si="117"/>
        <v>0</v>
      </c>
      <c r="PO14" s="172">
        <f t="shared" si="177"/>
        <v>0</v>
      </c>
      <c r="PP14" s="172">
        <f t="shared" si="178"/>
        <v>0</v>
      </c>
      <c r="PQ14" s="172">
        <f t="shared" si="179"/>
        <v>0</v>
      </c>
    </row>
    <row r="15" spans="1:433" ht="16" x14ac:dyDescent="0.2">
      <c r="A15" s="19">
        <f t="shared" si="180"/>
        <v>7</v>
      </c>
      <c r="B15" s="138" t="s">
        <v>230</v>
      </c>
      <c r="C15" s="138">
        <v>7</v>
      </c>
      <c r="D15" s="20">
        <v>1</v>
      </c>
      <c r="E15" s="20">
        <v>218</v>
      </c>
      <c r="F15" s="20">
        <v>1</v>
      </c>
      <c r="G15" s="20">
        <f t="shared" si="2"/>
        <v>218</v>
      </c>
      <c r="H15" s="137">
        <f t="shared" si="3"/>
        <v>1</v>
      </c>
      <c r="I15" s="137">
        <f t="shared" si="4"/>
        <v>1</v>
      </c>
      <c r="J15" s="20">
        <v>1</v>
      </c>
      <c r="K15" s="20">
        <f t="shared" si="5"/>
        <v>218</v>
      </c>
      <c r="L15" s="137">
        <f t="shared" si="6"/>
        <v>1</v>
      </c>
      <c r="M15" s="137">
        <f t="shared" si="7"/>
        <v>1</v>
      </c>
      <c r="N15" s="20">
        <v>1</v>
      </c>
      <c r="O15" s="20">
        <f t="shared" si="8"/>
        <v>218</v>
      </c>
      <c r="P15" s="137">
        <f t="shared" si="9"/>
        <v>1</v>
      </c>
      <c r="Q15" s="137">
        <f t="shared" si="10"/>
        <v>1</v>
      </c>
      <c r="R15" s="20">
        <v>1</v>
      </c>
      <c r="S15" s="20">
        <f t="shared" si="11"/>
        <v>218</v>
      </c>
      <c r="T15" s="137">
        <f t="shared" si="12"/>
        <v>1</v>
      </c>
      <c r="U15" s="137">
        <f t="shared" si="13"/>
        <v>1</v>
      </c>
      <c r="V15" s="20">
        <v>1</v>
      </c>
      <c r="W15" s="20">
        <f t="shared" si="14"/>
        <v>218</v>
      </c>
      <c r="X15" s="137">
        <f t="shared" si="15"/>
        <v>1</v>
      </c>
      <c r="Y15" s="137">
        <f t="shared" si="16"/>
        <v>1</v>
      </c>
      <c r="Z15" s="38">
        <f>2591199000/1000000000</f>
        <v>2.591199</v>
      </c>
      <c r="AA15" s="38"/>
      <c r="AB15" s="17">
        <f t="shared" si="118"/>
        <v>0</v>
      </c>
      <c r="AC15" s="18">
        <f t="shared" si="119"/>
        <v>0</v>
      </c>
      <c r="AD15" s="18">
        <f t="shared" si="120"/>
        <v>0</v>
      </c>
      <c r="AE15" s="38"/>
      <c r="AF15" s="20">
        <f t="shared" si="121"/>
        <v>0</v>
      </c>
      <c r="AG15" s="20"/>
      <c r="AH15" s="17"/>
      <c r="AI15" s="20">
        <v>0</v>
      </c>
      <c r="AJ15" s="20">
        <f t="shared" si="181"/>
        <v>0</v>
      </c>
      <c r="AK15" s="20"/>
      <c r="AL15" s="20"/>
      <c r="AM15" s="20">
        <v>0</v>
      </c>
      <c r="AN15" s="139"/>
      <c r="BB15" s="17">
        <f t="shared" si="123"/>
        <v>0</v>
      </c>
      <c r="BE15" s="17">
        <f t="shared" si="19"/>
        <v>0</v>
      </c>
      <c r="BF15" s="17">
        <f t="shared" si="20"/>
        <v>0</v>
      </c>
      <c r="BG15" s="17">
        <f t="shared" si="21"/>
        <v>0</v>
      </c>
      <c r="BH15" s="17">
        <f t="shared" si="22"/>
        <v>0</v>
      </c>
      <c r="BI15" s="17">
        <f t="shared" si="23"/>
        <v>0</v>
      </c>
      <c r="BJ15" s="17">
        <f t="shared" si="24"/>
        <v>0</v>
      </c>
      <c r="BK15" s="17">
        <f t="shared" si="124"/>
        <v>0</v>
      </c>
      <c r="BN15" s="141"/>
      <c r="BO15" s="284"/>
      <c r="BP15" s="139"/>
      <c r="BQ15" s="139"/>
      <c r="BR15" s="139"/>
      <c r="BS15" s="139"/>
      <c r="BT15" s="139"/>
      <c r="BU15" s="156"/>
      <c r="BV15" s="139"/>
      <c r="BW15" s="139"/>
      <c r="BX15" s="139"/>
      <c r="BY15" s="139"/>
      <c r="BZ15" s="139"/>
      <c r="CB15" s="139"/>
      <c r="CD15" s="17">
        <f t="shared" si="125"/>
        <v>0</v>
      </c>
      <c r="CE15" s="17">
        <f t="shared" si="126"/>
        <v>0</v>
      </c>
      <c r="CF15" s="139">
        <f t="shared" si="182"/>
        <v>0</v>
      </c>
      <c r="CG15" s="139">
        <f t="shared" si="183"/>
        <v>0</v>
      </c>
      <c r="CH15" s="139">
        <f t="shared" si="184"/>
        <v>0</v>
      </c>
      <c r="CI15" s="139">
        <f t="shared" si="185"/>
        <v>0</v>
      </c>
      <c r="CJ15" s="139">
        <f t="shared" si="186"/>
        <v>0</v>
      </c>
      <c r="CK15" s="139">
        <f t="shared" si="187"/>
        <v>0</v>
      </c>
      <c r="CL15" s="139">
        <f t="shared" si="188"/>
        <v>0</v>
      </c>
      <c r="CM15" s="139">
        <f t="shared" si="189"/>
        <v>0</v>
      </c>
      <c r="CN15" s="139">
        <f t="shared" si="190"/>
        <v>0</v>
      </c>
      <c r="CO15" s="139">
        <f t="shared" si="191"/>
        <v>0</v>
      </c>
      <c r="CP15" s="139">
        <f t="shared" si="192"/>
        <v>0</v>
      </c>
      <c r="CQ15" s="148">
        <f t="shared" si="27"/>
        <v>0</v>
      </c>
      <c r="DV15" s="139">
        <f t="shared" si="28"/>
        <v>0</v>
      </c>
      <c r="DW15" s="139">
        <f t="shared" si="29"/>
        <v>0</v>
      </c>
      <c r="DX15" s="139">
        <f t="shared" si="30"/>
        <v>0</v>
      </c>
      <c r="DY15" s="139">
        <f t="shared" si="31"/>
        <v>0</v>
      </c>
      <c r="DZ15" s="139">
        <f t="shared" si="32"/>
        <v>0</v>
      </c>
      <c r="EA15" s="139">
        <f t="shared" si="33"/>
        <v>0</v>
      </c>
      <c r="EB15" s="139">
        <f t="shared" si="127"/>
        <v>0</v>
      </c>
      <c r="ED15" s="46" t="s">
        <v>343</v>
      </c>
      <c r="EE15" s="46" t="s">
        <v>375</v>
      </c>
      <c r="EF15" s="56"/>
      <c r="EG15" s="57">
        <f t="shared" si="128"/>
        <v>0</v>
      </c>
      <c r="EH15" s="57">
        <f t="shared" si="129"/>
        <v>0</v>
      </c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X15" s="80"/>
      <c r="FY15" s="17">
        <f t="shared" si="130"/>
        <v>0</v>
      </c>
      <c r="FZ15" s="17">
        <f t="shared" si="35"/>
        <v>0</v>
      </c>
      <c r="GA15" s="17">
        <f t="shared" si="36"/>
        <v>0</v>
      </c>
      <c r="GB15" s="17">
        <f t="shared" si="37"/>
        <v>0</v>
      </c>
      <c r="GC15" s="17">
        <f t="shared" si="38"/>
        <v>0</v>
      </c>
      <c r="GD15" s="17">
        <f t="shared" si="39"/>
        <v>0</v>
      </c>
      <c r="GE15" s="17">
        <f t="shared" si="40"/>
        <v>0</v>
      </c>
      <c r="GF15" s="67"/>
      <c r="GG15" s="17">
        <v>0</v>
      </c>
      <c r="GH15" s="17">
        <v>0</v>
      </c>
      <c r="GI15" s="67"/>
      <c r="GJ15" s="62">
        <f t="shared" si="131"/>
        <v>0</v>
      </c>
      <c r="GK15" s="62">
        <f t="shared" si="132"/>
        <v>0</v>
      </c>
      <c r="GO15" s="17">
        <f t="shared" si="41"/>
        <v>0</v>
      </c>
      <c r="GP15" s="17">
        <f t="shared" si="42"/>
        <v>0</v>
      </c>
      <c r="GQ15" s="17">
        <f t="shared" si="43"/>
        <v>0</v>
      </c>
      <c r="GR15" s="17">
        <f t="shared" si="44"/>
        <v>0</v>
      </c>
      <c r="GS15" s="17">
        <f t="shared" si="45"/>
        <v>0</v>
      </c>
      <c r="GT15" s="17">
        <f t="shared" si="133"/>
        <v>1</v>
      </c>
      <c r="GU15" s="101">
        <f t="shared" si="134"/>
        <v>43243</v>
      </c>
      <c r="GV15" s="17" t="str">
        <f t="shared" si="135"/>
        <v>SELESAI</v>
      </c>
      <c r="GW15" s="17">
        <f t="shared" si="136"/>
        <v>0</v>
      </c>
      <c r="GX15" s="66" t="str">
        <f t="shared" si="137"/>
        <v>SELESAI</v>
      </c>
      <c r="GY15" s="66">
        <f t="shared" si="138"/>
        <v>0</v>
      </c>
      <c r="GZ15" s="102" t="str">
        <f t="shared" si="139"/>
        <v>SELESAI</v>
      </c>
      <c r="HA15" s="83"/>
      <c r="HB15" s="83"/>
      <c r="HC15" s="17">
        <f t="shared" si="46"/>
        <v>0</v>
      </c>
      <c r="HD15" s="17">
        <f t="shared" si="47"/>
        <v>0</v>
      </c>
      <c r="HE15" s="17">
        <f t="shared" si="140"/>
        <v>0</v>
      </c>
      <c r="HF15" s="17">
        <f t="shared" si="141"/>
        <v>0</v>
      </c>
      <c r="HG15" s="17">
        <f t="shared" si="142"/>
        <v>0</v>
      </c>
      <c r="HH15" s="101" t="str">
        <f t="shared" si="48"/>
        <v>TIDAK KONSINYASI</v>
      </c>
      <c r="HI15" s="101" t="str">
        <f t="shared" si="143"/>
        <v>SELESAI</v>
      </c>
      <c r="HJ15" s="27"/>
      <c r="HK15" s="101">
        <f t="shared" si="49"/>
        <v>0</v>
      </c>
      <c r="HL15" s="83"/>
      <c r="HM15" s="83"/>
      <c r="HN15" s="83"/>
      <c r="HO15" s="83"/>
      <c r="HP15" s="102">
        <f t="shared" si="144"/>
        <v>0</v>
      </c>
      <c r="HQ15" s="66">
        <f t="shared" si="145"/>
        <v>0</v>
      </c>
      <c r="HR15" s="66">
        <f t="shared" si="50"/>
        <v>0</v>
      </c>
      <c r="HS15" s="102">
        <f t="shared" si="146"/>
        <v>0</v>
      </c>
      <c r="HT15" s="66">
        <f t="shared" si="147"/>
        <v>0</v>
      </c>
      <c r="HU15" s="66">
        <f t="shared" si="51"/>
        <v>0</v>
      </c>
      <c r="HV15" s="102">
        <f t="shared" si="148"/>
        <v>0</v>
      </c>
      <c r="HW15" s="66">
        <f t="shared" si="52"/>
        <v>0</v>
      </c>
      <c r="HX15" s="66">
        <f t="shared" si="53"/>
        <v>0</v>
      </c>
      <c r="HY15" s="102">
        <f t="shared" si="54"/>
        <v>0</v>
      </c>
      <c r="HZ15" s="66">
        <f t="shared" si="149"/>
        <v>0</v>
      </c>
      <c r="IA15" s="66">
        <f t="shared" si="55"/>
        <v>0</v>
      </c>
      <c r="IB15" s="102">
        <f t="shared" si="150"/>
        <v>0</v>
      </c>
      <c r="IC15" s="66">
        <f t="shared" si="56"/>
        <v>0</v>
      </c>
      <c r="ID15" s="66">
        <f t="shared" si="57"/>
        <v>0</v>
      </c>
      <c r="IE15" s="102">
        <f t="shared" si="58"/>
        <v>0</v>
      </c>
      <c r="IF15" s="66">
        <f t="shared" si="59"/>
        <v>0</v>
      </c>
      <c r="IG15" s="66">
        <f t="shared" si="60"/>
        <v>0</v>
      </c>
      <c r="IH15" s="102">
        <f t="shared" si="151"/>
        <v>0</v>
      </c>
      <c r="II15" s="66">
        <f t="shared" si="152"/>
        <v>0</v>
      </c>
      <c r="IJ15" s="66">
        <f t="shared" si="61"/>
        <v>0</v>
      </c>
      <c r="IK15" s="102">
        <f t="shared" si="62"/>
        <v>0</v>
      </c>
      <c r="IL15" s="66">
        <f t="shared" si="63"/>
        <v>0</v>
      </c>
      <c r="IM15" s="66">
        <f t="shared" si="64"/>
        <v>0</v>
      </c>
      <c r="IN15" s="83"/>
      <c r="IO15" s="102">
        <f t="shared" si="65"/>
        <v>0</v>
      </c>
      <c r="IP15" s="66">
        <f t="shared" si="66"/>
        <v>0</v>
      </c>
      <c r="IQ15" s="66">
        <f t="shared" si="67"/>
        <v>0</v>
      </c>
      <c r="IR15" s="83"/>
      <c r="IS15" s="102"/>
      <c r="IT15" s="66">
        <f t="shared" si="68"/>
        <v>1</v>
      </c>
      <c r="IU15" s="66">
        <f t="shared" si="69"/>
        <v>218</v>
      </c>
      <c r="IV15" s="83"/>
      <c r="IW15" s="102"/>
      <c r="IX15" s="66">
        <f t="shared" si="70"/>
        <v>0</v>
      </c>
      <c r="IY15" s="66">
        <f t="shared" si="71"/>
        <v>0</v>
      </c>
      <c r="IZ15" s="83"/>
      <c r="JA15" s="102"/>
      <c r="JB15" s="66">
        <f t="shared" si="72"/>
        <v>0</v>
      </c>
      <c r="JC15" s="66">
        <f t="shared" si="73"/>
        <v>0</v>
      </c>
      <c r="JD15" s="83"/>
      <c r="JE15" s="102"/>
      <c r="JF15" s="66">
        <f t="shared" si="153"/>
        <v>1</v>
      </c>
      <c r="JG15" s="66">
        <f t="shared" si="74"/>
        <v>218</v>
      </c>
      <c r="JH15" s="83"/>
      <c r="JI15" s="102"/>
      <c r="JJ15" s="66">
        <f t="shared" si="75"/>
        <v>0</v>
      </c>
      <c r="JK15" s="66">
        <f t="shared" si="76"/>
        <v>0</v>
      </c>
      <c r="JM15" s="102">
        <f t="shared" si="154"/>
        <v>0</v>
      </c>
      <c r="JO15" s="29">
        <f t="shared" si="77"/>
        <v>0</v>
      </c>
      <c r="JP15" s="122">
        <f t="shared" si="78"/>
        <v>0</v>
      </c>
      <c r="JQ15" s="122">
        <f t="shared" si="79"/>
        <v>0</v>
      </c>
      <c r="JR15" s="122">
        <f t="shared" si="80"/>
        <v>0</v>
      </c>
      <c r="JS15" s="122">
        <f t="shared" si="81"/>
        <v>0</v>
      </c>
      <c r="JT15" s="122">
        <f t="shared" si="82"/>
        <v>0</v>
      </c>
      <c r="JU15" s="122">
        <f t="shared" si="83"/>
        <v>0</v>
      </c>
      <c r="JV15" s="122">
        <f t="shared" si="84"/>
        <v>0</v>
      </c>
      <c r="JW15" s="122">
        <f t="shared" si="85"/>
        <v>0</v>
      </c>
      <c r="JX15" s="122">
        <f t="shared" si="86"/>
        <v>0</v>
      </c>
      <c r="JY15" s="122">
        <f t="shared" si="87"/>
        <v>0</v>
      </c>
      <c r="JZ15" s="122">
        <f t="shared" si="88"/>
        <v>0</v>
      </c>
      <c r="KA15" s="122">
        <f t="shared" si="89"/>
        <v>0</v>
      </c>
      <c r="KB15" s="122">
        <f t="shared" si="90"/>
        <v>0</v>
      </c>
      <c r="KD15" s="122">
        <f t="shared" si="155"/>
        <v>0</v>
      </c>
      <c r="KE15" s="122">
        <f t="shared" si="92"/>
        <v>0</v>
      </c>
      <c r="KF15" s="122">
        <f t="shared" si="93"/>
        <v>0</v>
      </c>
      <c r="KG15" s="122">
        <f t="shared" si="94"/>
        <v>0</v>
      </c>
      <c r="KH15" s="122">
        <f t="shared" si="95"/>
        <v>0</v>
      </c>
      <c r="KI15" s="122">
        <f t="shared" si="96"/>
        <v>0</v>
      </c>
      <c r="KJ15" s="122">
        <f t="shared" si="97"/>
        <v>0</v>
      </c>
      <c r="KK15" s="122">
        <f t="shared" si="98"/>
        <v>0</v>
      </c>
      <c r="KL15" s="122">
        <f t="shared" si="99"/>
        <v>0</v>
      </c>
      <c r="KM15" s="122">
        <f t="shared" si="100"/>
        <v>0</v>
      </c>
      <c r="KN15" s="123">
        <f t="shared" si="101"/>
        <v>0</v>
      </c>
      <c r="KO15" s="123">
        <f t="shared" si="102"/>
        <v>0</v>
      </c>
      <c r="KP15" s="123">
        <f t="shared" si="103"/>
        <v>0</v>
      </c>
      <c r="KQ15" s="123">
        <f t="shared" si="104"/>
        <v>0</v>
      </c>
      <c r="KR15" s="123">
        <f t="shared" si="105"/>
        <v>0</v>
      </c>
      <c r="KT15">
        <f t="shared" si="106"/>
        <v>0</v>
      </c>
      <c r="KU15" s="123"/>
      <c r="KV15" s="123"/>
      <c r="KW15" s="123"/>
      <c r="KX15" s="123"/>
      <c r="KY15" s="123"/>
      <c r="KZ15" s="123"/>
      <c r="LA15" s="123"/>
      <c r="LB15" s="123"/>
      <c r="LC15" s="123"/>
      <c r="LD15" s="123"/>
      <c r="LE15" s="123"/>
      <c r="LF15" s="123"/>
      <c r="LG15" s="123"/>
      <c r="LH15" s="123"/>
      <c r="LI15" s="123"/>
      <c r="LJ15" s="123"/>
      <c r="LK15" s="123"/>
      <c r="LL15" s="123"/>
      <c r="LM15" s="123"/>
      <c r="LN15" s="123"/>
      <c r="LO15" s="123"/>
      <c r="LP15" s="123"/>
      <c r="LQ15" s="123"/>
      <c r="LR15" s="123"/>
      <c r="LS15" s="123"/>
      <c r="LT15" s="123"/>
      <c r="LU15" s="123"/>
      <c r="LV15" s="123"/>
      <c r="LW15" s="123"/>
      <c r="LX15" s="123"/>
      <c r="LY15" s="123"/>
      <c r="LZ15" s="123"/>
      <c r="MA15" s="123"/>
      <c r="MB15" s="123"/>
      <c r="MC15" s="123"/>
      <c r="MD15" s="123"/>
      <c r="ME15" s="123"/>
      <c r="MF15" s="123"/>
      <c r="MG15" s="123"/>
      <c r="MH15" s="123"/>
      <c r="MI15" s="123"/>
      <c r="MJ15" s="123"/>
      <c r="MK15" s="123"/>
      <c r="ML15" s="123"/>
      <c r="MM15" s="123"/>
      <c r="MN15" s="123"/>
      <c r="MO15" s="123"/>
      <c r="MP15" s="123"/>
      <c r="MQ15" s="123"/>
      <c r="MR15" s="123"/>
      <c r="MS15" s="123"/>
      <c r="MT15" s="123"/>
      <c r="MU15" s="123"/>
      <c r="MV15" s="123"/>
      <c r="MW15" s="123"/>
      <c r="MX15" s="123"/>
      <c r="MY15" s="123"/>
      <c r="MZ15" s="123"/>
      <c r="NA15" s="123"/>
      <c r="NB15" s="123"/>
      <c r="NC15" s="123"/>
      <c r="ND15" s="123"/>
      <c r="NE15" s="123"/>
      <c r="NF15" s="123"/>
      <c r="NG15" s="123"/>
      <c r="NH15" s="123"/>
      <c r="NI15" s="123"/>
      <c r="NJ15" s="123"/>
      <c r="NK15" s="123"/>
      <c r="NM15">
        <f t="shared" si="156"/>
        <v>0</v>
      </c>
      <c r="NN15">
        <f t="shared" si="157"/>
        <v>0</v>
      </c>
      <c r="NO15">
        <f t="shared" si="158"/>
        <v>0</v>
      </c>
      <c r="NP15">
        <f t="shared" si="159"/>
        <v>0</v>
      </c>
      <c r="NQ15">
        <f t="shared" si="160"/>
        <v>0</v>
      </c>
      <c r="NR15">
        <f t="shared" si="161"/>
        <v>0</v>
      </c>
      <c r="NS15">
        <f t="shared" si="162"/>
        <v>0</v>
      </c>
      <c r="NT15">
        <f t="shared" si="163"/>
        <v>0</v>
      </c>
      <c r="NU15" s="29">
        <f t="shared" si="164"/>
        <v>0</v>
      </c>
      <c r="NY15" s="29">
        <f t="shared" si="108"/>
        <v>1</v>
      </c>
      <c r="NZ15" s="152">
        <v>8036000</v>
      </c>
      <c r="OE15" s="155">
        <f t="shared" si="109"/>
        <v>0</v>
      </c>
      <c r="OF15" s="155">
        <f t="shared" si="110"/>
        <v>0</v>
      </c>
      <c r="OG15" s="155">
        <f t="shared" si="111"/>
        <v>0</v>
      </c>
      <c r="OH15" s="155">
        <f t="shared" si="165"/>
        <v>0</v>
      </c>
      <c r="OI15" s="155">
        <f t="shared" si="112"/>
        <v>0</v>
      </c>
      <c r="OJ15" s="67">
        <f t="shared" si="166"/>
        <v>0</v>
      </c>
      <c r="OK15" s="67">
        <f t="shared" si="167"/>
        <v>0</v>
      </c>
      <c r="OL15" s="67">
        <f t="shared" si="168"/>
        <v>0</v>
      </c>
      <c r="OM15" s="67">
        <f t="shared" si="169"/>
        <v>0</v>
      </c>
      <c r="OO15" s="155">
        <f t="shared" si="113"/>
        <v>0</v>
      </c>
      <c r="OP15" s="155">
        <f t="shared" si="114"/>
        <v>0</v>
      </c>
      <c r="OQ15" s="155">
        <f t="shared" si="170"/>
        <v>0</v>
      </c>
      <c r="OR15" s="155">
        <f t="shared" si="171"/>
        <v>0</v>
      </c>
      <c r="OS15" s="155">
        <f t="shared" si="172"/>
        <v>0</v>
      </c>
      <c r="OT15" s="67">
        <f t="shared" si="173"/>
        <v>0</v>
      </c>
      <c r="OU15" s="67">
        <f t="shared" si="174"/>
        <v>0</v>
      </c>
      <c r="OV15" s="67">
        <f t="shared" si="175"/>
        <v>0</v>
      </c>
      <c r="OW15" s="67">
        <f t="shared" si="176"/>
        <v>0</v>
      </c>
      <c r="PA15" s="166"/>
      <c r="PB15" s="166"/>
      <c r="PC15" s="166"/>
      <c r="PD15" s="210">
        <f t="shared" si="115"/>
        <v>0</v>
      </c>
      <c r="PE15" s="210"/>
      <c r="PF15" s="210">
        <f t="shared" si="116"/>
        <v>0</v>
      </c>
      <c r="PG15" s="210">
        <f t="shared" si="117"/>
        <v>0</v>
      </c>
      <c r="PH15" s="210">
        <f t="shared" si="117"/>
        <v>0</v>
      </c>
      <c r="PI15" s="210">
        <f t="shared" si="117"/>
        <v>0</v>
      </c>
      <c r="PJ15" s="210">
        <f t="shared" si="117"/>
        <v>0</v>
      </c>
      <c r="PK15" s="210">
        <f t="shared" si="117"/>
        <v>0</v>
      </c>
      <c r="PL15" s="210">
        <f t="shared" si="117"/>
        <v>0</v>
      </c>
      <c r="PO15" s="172">
        <f t="shared" si="177"/>
        <v>0</v>
      </c>
      <c r="PP15" s="172">
        <f t="shared" si="178"/>
        <v>0</v>
      </c>
      <c r="PQ15" s="172">
        <f t="shared" si="179"/>
        <v>0</v>
      </c>
    </row>
    <row r="16" spans="1:433" ht="16" x14ac:dyDescent="0.2">
      <c r="A16" s="19">
        <f t="shared" si="180"/>
        <v>8</v>
      </c>
      <c r="B16" s="138" t="s">
        <v>231</v>
      </c>
      <c r="C16" s="138">
        <v>9</v>
      </c>
      <c r="D16" s="20">
        <v>1</v>
      </c>
      <c r="E16" s="20">
        <v>376</v>
      </c>
      <c r="F16" s="20">
        <v>1</v>
      </c>
      <c r="G16" s="20">
        <f t="shared" si="2"/>
        <v>376</v>
      </c>
      <c r="H16" s="137">
        <f t="shared" si="3"/>
        <v>1</v>
      </c>
      <c r="I16" s="137">
        <f t="shared" si="4"/>
        <v>1</v>
      </c>
      <c r="J16" s="20">
        <v>1</v>
      </c>
      <c r="K16" s="20">
        <f t="shared" si="5"/>
        <v>376</v>
      </c>
      <c r="L16" s="137">
        <f t="shared" si="6"/>
        <v>1</v>
      </c>
      <c r="M16" s="137">
        <f t="shared" si="7"/>
        <v>1</v>
      </c>
      <c r="N16" s="20">
        <v>1</v>
      </c>
      <c r="O16" s="20">
        <f t="shared" si="8"/>
        <v>376</v>
      </c>
      <c r="P16" s="137">
        <f t="shared" si="9"/>
        <v>1</v>
      </c>
      <c r="Q16" s="137">
        <f t="shared" si="10"/>
        <v>1</v>
      </c>
      <c r="R16" s="20">
        <v>1</v>
      </c>
      <c r="S16" s="20">
        <f t="shared" si="11"/>
        <v>376</v>
      </c>
      <c r="T16" s="137">
        <f t="shared" si="12"/>
        <v>1</v>
      </c>
      <c r="U16" s="137">
        <f t="shared" si="13"/>
        <v>1</v>
      </c>
      <c r="V16" s="20">
        <v>1</v>
      </c>
      <c r="W16" s="20">
        <f t="shared" si="14"/>
        <v>376</v>
      </c>
      <c r="X16" s="137">
        <f t="shared" si="15"/>
        <v>1</v>
      </c>
      <c r="Y16" s="137">
        <f t="shared" si="16"/>
        <v>1</v>
      </c>
      <c r="Z16" s="38">
        <f>3216809000/1000000000</f>
        <v>3.216809</v>
      </c>
      <c r="AA16" s="38"/>
      <c r="AB16" s="17">
        <f t="shared" si="118"/>
        <v>0</v>
      </c>
      <c r="AC16" s="18">
        <f t="shared" si="119"/>
        <v>0</v>
      </c>
      <c r="AD16" s="18">
        <f t="shared" si="120"/>
        <v>0</v>
      </c>
      <c r="AE16" s="38"/>
      <c r="AF16" s="20">
        <f t="shared" si="121"/>
        <v>0</v>
      </c>
      <c r="AG16" s="20"/>
      <c r="AH16" s="17"/>
      <c r="AI16" s="20">
        <v>0</v>
      </c>
      <c r="AJ16" s="20">
        <f t="shared" si="181"/>
        <v>0</v>
      </c>
      <c r="AK16" s="20"/>
      <c r="AL16" s="20"/>
      <c r="AM16" s="20">
        <v>0</v>
      </c>
      <c r="AN16" s="139"/>
      <c r="BB16" s="17">
        <f t="shared" si="123"/>
        <v>0</v>
      </c>
      <c r="BE16" s="17">
        <f t="shared" si="19"/>
        <v>0</v>
      </c>
      <c r="BF16" s="17">
        <f t="shared" si="20"/>
        <v>0</v>
      </c>
      <c r="BG16" s="17">
        <f t="shared" si="21"/>
        <v>0</v>
      </c>
      <c r="BH16" s="17">
        <f t="shared" si="22"/>
        <v>0</v>
      </c>
      <c r="BI16" s="17">
        <f t="shared" si="23"/>
        <v>0</v>
      </c>
      <c r="BJ16" s="17">
        <f t="shared" si="24"/>
        <v>0</v>
      </c>
      <c r="BK16" s="17">
        <f t="shared" si="124"/>
        <v>0</v>
      </c>
      <c r="BN16" s="141"/>
      <c r="BO16" s="284"/>
      <c r="BP16" s="139"/>
      <c r="BQ16" s="139"/>
      <c r="BR16" s="139"/>
      <c r="BS16" s="139"/>
      <c r="BT16" s="139"/>
      <c r="BU16" s="139"/>
      <c r="BV16" s="139"/>
      <c r="BW16" s="139"/>
      <c r="BX16" s="139"/>
      <c r="BY16" s="139"/>
      <c r="BZ16" s="139"/>
      <c r="CB16" s="139"/>
      <c r="CD16" s="17">
        <f t="shared" si="125"/>
        <v>0</v>
      </c>
      <c r="CE16" s="17">
        <f t="shared" si="126"/>
        <v>0</v>
      </c>
      <c r="CF16" s="139">
        <f t="shared" si="182"/>
        <v>0</v>
      </c>
      <c r="CG16" s="139">
        <f t="shared" si="183"/>
        <v>0</v>
      </c>
      <c r="CH16" s="139">
        <f t="shared" si="184"/>
        <v>0</v>
      </c>
      <c r="CI16" s="139">
        <f t="shared" si="185"/>
        <v>0</v>
      </c>
      <c r="CJ16" s="139">
        <f t="shared" si="186"/>
        <v>0</v>
      </c>
      <c r="CK16" s="139">
        <f t="shared" si="187"/>
        <v>0</v>
      </c>
      <c r="CL16" s="139">
        <f t="shared" si="188"/>
        <v>0</v>
      </c>
      <c r="CM16" s="139">
        <f t="shared" si="189"/>
        <v>0</v>
      </c>
      <c r="CN16" s="139">
        <f t="shared" si="190"/>
        <v>0</v>
      </c>
      <c r="CO16" s="139">
        <f t="shared" si="191"/>
        <v>0</v>
      </c>
      <c r="CP16" s="139">
        <f t="shared" si="192"/>
        <v>0</v>
      </c>
      <c r="CQ16" s="148">
        <f t="shared" si="27"/>
        <v>0</v>
      </c>
      <c r="DV16" s="139">
        <f t="shared" si="28"/>
        <v>0</v>
      </c>
      <c r="DW16" s="139">
        <f t="shared" si="29"/>
        <v>0</v>
      </c>
      <c r="DX16" s="139">
        <f t="shared" si="30"/>
        <v>0</v>
      </c>
      <c r="DY16" s="139">
        <f t="shared" si="31"/>
        <v>0</v>
      </c>
      <c r="DZ16" s="139">
        <f t="shared" si="32"/>
        <v>0</v>
      </c>
      <c r="EA16" s="139">
        <f t="shared" si="33"/>
        <v>0</v>
      </c>
      <c r="EB16" s="139">
        <f t="shared" si="127"/>
        <v>0</v>
      </c>
      <c r="ED16" s="46" t="s">
        <v>302</v>
      </c>
      <c r="EE16" s="46" t="s">
        <v>376</v>
      </c>
      <c r="EF16" s="56"/>
      <c r="EG16" s="57">
        <f t="shared" si="128"/>
        <v>0</v>
      </c>
      <c r="EH16" s="57">
        <f t="shared" si="129"/>
        <v>0</v>
      </c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X16" s="80"/>
      <c r="FY16" s="17">
        <f t="shared" si="130"/>
        <v>0</v>
      </c>
      <c r="FZ16" s="17">
        <f t="shared" si="35"/>
        <v>0</v>
      </c>
      <c r="GA16" s="17">
        <f t="shared" si="36"/>
        <v>0</v>
      </c>
      <c r="GB16" s="17">
        <f t="shared" si="37"/>
        <v>0</v>
      </c>
      <c r="GC16" s="17">
        <f t="shared" si="38"/>
        <v>0</v>
      </c>
      <c r="GD16" s="17">
        <f t="shared" si="39"/>
        <v>0</v>
      </c>
      <c r="GE16" s="17">
        <f t="shared" si="40"/>
        <v>0</v>
      </c>
      <c r="GF16" s="67"/>
      <c r="GG16" s="17">
        <v>0</v>
      </c>
      <c r="GH16" s="17">
        <v>0</v>
      </c>
      <c r="GI16" s="67"/>
      <c r="GJ16" s="62">
        <f t="shared" si="131"/>
        <v>0</v>
      </c>
      <c r="GK16" s="62">
        <f t="shared" si="132"/>
        <v>0</v>
      </c>
      <c r="GO16" s="17">
        <f t="shared" si="41"/>
        <v>0</v>
      </c>
      <c r="GP16" s="17">
        <f t="shared" si="42"/>
        <v>0</v>
      </c>
      <c r="GQ16" s="17">
        <f t="shared" si="43"/>
        <v>0</v>
      </c>
      <c r="GR16" s="17">
        <f t="shared" si="44"/>
        <v>0</v>
      </c>
      <c r="GS16" s="17">
        <f t="shared" si="45"/>
        <v>0</v>
      </c>
      <c r="GT16" s="17">
        <f t="shared" si="133"/>
        <v>1</v>
      </c>
      <c r="GU16" s="101">
        <f t="shared" si="134"/>
        <v>43243</v>
      </c>
      <c r="GV16" s="17" t="str">
        <f t="shared" si="135"/>
        <v>SELESAI</v>
      </c>
      <c r="GW16" s="17">
        <f t="shared" si="136"/>
        <v>0</v>
      </c>
      <c r="GX16" s="66" t="str">
        <f t="shared" si="137"/>
        <v>SELESAI</v>
      </c>
      <c r="GY16" s="66">
        <f t="shared" si="138"/>
        <v>0</v>
      </c>
      <c r="GZ16" s="102" t="str">
        <f t="shared" si="139"/>
        <v>SELESAI</v>
      </c>
      <c r="HA16" s="83"/>
      <c r="HB16" s="83"/>
      <c r="HC16" s="17">
        <f t="shared" si="46"/>
        <v>0</v>
      </c>
      <c r="HD16" s="17">
        <f t="shared" si="47"/>
        <v>0</v>
      </c>
      <c r="HE16" s="17">
        <f t="shared" si="140"/>
        <v>0</v>
      </c>
      <c r="HF16" s="17">
        <f t="shared" si="141"/>
        <v>0</v>
      </c>
      <c r="HG16" s="17">
        <f t="shared" si="142"/>
        <v>0</v>
      </c>
      <c r="HH16" s="101" t="str">
        <f t="shared" si="48"/>
        <v>TIDAK KONSINYASI</v>
      </c>
      <c r="HI16" s="101" t="str">
        <f t="shared" si="143"/>
        <v>SELESAI</v>
      </c>
      <c r="HJ16" s="27"/>
      <c r="HK16" s="101">
        <f t="shared" si="49"/>
        <v>0</v>
      </c>
      <c r="HL16" s="83"/>
      <c r="HM16" s="83"/>
      <c r="HN16" s="83"/>
      <c r="HO16" s="83"/>
      <c r="HP16" s="102">
        <f t="shared" si="144"/>
        <v>0</v>
      </c>
      <c r="HQ16" s="66">
        <f t="shared" si="145"/>
        <v>0</v>
      </c>
      <c r="HR16" s="66">
        <f t="shared" si="50"/>
        <v>0</v>
      </c>
      <c r="HS16" s="102">
        <f t="shared" si="146"/>
        <v>0</v>
      </c>
      <c r="HT16" s="66">
        <f t="shared" si="147"/>
        <v>0</v>
      </c>
      <c r="HU16" s="66">
        <f t="shared" si="51"/>
        <v>0</v>
      </c>
      <c r="HV16" s="102">
        <f t="shared" si="148"/>
        <v>0</v>
      </c>
      <c r="HW16" s="66">
        <f t="shared" si="52"/>
        <v>0</v>
      </c>
      <c r="HX16" s="66">
        <f t="shared" si="53"/>
        <v>0</v>
      </c>
      <c r="HY16" s="102">
        <f t="shared" si="54"/>
        <v>0</v>
      </c>
      <c r="HZ16" s="66">
        <f t="shared" si="149"/>
        <v>0</v>
      </c>
      <c r="IA16" s="66">
        <f t="shared" si="55"/>
        <v>0</v>
      </c>
      <c r="IB16" s="102">
        <f t="shared" si="150"/>
        <v>0</v>
      </c>
      <c r="IC16" s="66">
        <f t="shared" si="56"/>
        <v>0</v>
      </c>
      <c r="ID16" s="66">
        <f t="shared" si="57"/>
        <v>0</v>
      </c>
      <c r="IE16" s="102">
        <f t="shared" si="58"/>
        <v>0</v>
      </c>
      <c r="IF16" s="66">
        <f t="shared" si="59"/>
        <v>0</v>
      </c>
      <c r="IG16" s="66">
        <f t="shared" si="60"/>
        <v>0</v>
      </c>
      <c r="IH16" s="102">
        <f t="shared" si="151"/>
        <v>0</v>
      </c>
      <c r="II16" s="66">
        <f t="shared" si="152"/>
        <v>0</v>
      </c>
      <c r="IJ16" s="66">
        <f t="shared" si="61"/>
        <v>0</v>
      </c>
      <c r="IK16" s="102">
        <f t="shared" si="62"/>
        <v>0</v>
      </c>
      <c r="IL16" s="66">
        <f t="shared" si="63"/>
        <v>0</v>
      </c>
      <c r="IM16" s="66">
        <f t="shared" si="64"/>
        <v>0</v>
      </c>
      <c r="IN16" s="83"/>
      <c r="IO16" s="102">
        <f t="shared" si="65"/>
        <v>0</v>
      </c>
      <c r="IP16" s="66">
        <f t="shared" si="66"/>
        <v>0</v>
      </c>
      <c r="IQ16" s="66">
        <f t="shared" si="67"/>
        <v>0</v>
      </c>
      <c r="IR16" s="83"/>
      <c r="IS16" s="102"/>
      <c r="IT16" s="66">
        <f t="shared" si="68"/>
        <v>1</v>
      </c>
      <c r="IU16" s="66">
        <f t="shared" si="69"/>
        <v>376</v>
      </c>
      <c r="IV16" s="83"/>
      <c r="IW16" s="102"/>
      <c r="IX16" s="66">
        <f t="shared" si="70"/>
        <v>0</v>
      </c>
      <c r="IY16" s="66">
        <f t="shared" si="71"/>
        <v>0</v>
      </c>
      <c r="IZ16" s="83"/>
      <c r="JA16" s="102"/>
      <c r="JB16" s="66">
        <f t="shared" si="72"/>
        <v>0</v>
      </c>
      <c r="JC16" s="66">
        <f t="shared" si="73"/>
        <v>0</v>
      </c>
      <c r="JD16" s="83"/>
      <c r="JE16" s="102"/>
      <c r="JF16" s="66">
        <f t="shared" si="153"/>
        <v>1</v>
      </c>
      <c r="JG16" s="66">
        <f t="shared" si="74"/>
        <v>376</v>
      </c>
      <c r="JH16" s="83"/>
      <c r="JI16" s="102"/>
      <c r="JJ16" s="66">
        <f t="shared" si="75"/>
        <v>0</v>
      </c>
      <c r="JK16" s="66">
        <f t="shared" si="76"/>
        <v>0</v>
      </c>
      <c r="JM16" s="102">
        <f t="shared" si="154"/>
        <v>0</v>
      </c>
      <c r="JO16" s="29">
        <f t="shared" si="77"/>
        <v>0</v>
      </c>
      <c r="JP16" s="122">
        <f t="shared" si="78"/>
        <v>0</v>
      </c>
      <c r="JQ16" s="122">
        <f t="shared" si="79"/>
        <v>0</v>
      </c>
      <c r="JR16" s="122">
        <f t="shared" si="80"/>
        <v>0</v>
      </c>
      <c r="JS16" s="122">
        <f t="shared" si="81"/>
        <v>0</v>
      </c>
      <c r="JT16" s="122">
        <f t="shared" si="82"/>
        <v>0</v>
      </c>
      <c r="JU16" s="122">
        <f t="shared" si="83"/>
        <v>0</v>
      </c>
      <c r="JV16" s="122">
        <f t="shared" si="84"/>
        <v>0</v>
      </c>
      <c r="JW16" s="122">
        <f t="shared" si="85"/>
        <v>0</v>
      </c>
      <c r="JX16" s="122">
        <f t="shared" si="86"/>
        <v>0</v>
      </c>
      <c r="JY16" s="122">
        <f t="shared" si="87"/>
        <v>0</v>
      </c>
      <c r="JZ16" s="122">
        <f t="shared" si="88"/>
        <v>0</v>
      </c>
      <c r="KA16" s="122">
        <f t="shared" si="89"/>
        <v>0</v>
      </c>
      <c r="KB16" s="122">
        <f t="shared" si="90"/>
        <v>0</v>
      </c>
      <c r="KD16" s="122">
        <f t="shared" si="155"/>
        <v>0</v>
      </c>
      <c r="KE16" s="122">
        <f t="shared" si="92"/>
        <v>0</v>
      </c>
      <c r="KF16" s="122">
        <f t="shared" si="93"/>
        <v>0</v>
      </c>
      <c r="KG16" s="122">
        <f t="shared" si="94"/>
        <v>0</v>
      </c>
      <c r="KH16" s="122">
        <f t="shared" si="95"/>
        <v>0</v>
      </c>
      <c r="KI16" s="122">
        <f t="shared" si="96"/>
        <v>0</v>
      </c>
      <c r="KJ16" s="122">
        <f t="shared" si="97"/>
        <v>0</v>
      </c>
      <c r="KK16" s="122">
        <f t="shared" si="98"/>
        <v>0</v>
      </c>
      <c r="KL16" s="122">
        <f t="shared" si="99"/>
        <v>0</v>
      </c>
      <c r="KM16" s="122">
        <f t="shared" si="100"/>
        <v>0</v>
      </c>
      <c r="KN16" s="123">
        <f t="shared" si="101"/>
        <v>0</v>
      </c>
      <c r="KO16" s="123">
        <f t="shared" si="102"/>
        <v>0</v>
      </c>
      <c r="KP16" s="123">
        <f t="shared" si="103"/>
        <v>0</v>
      </c>
      <c r="KQ16" s="123">
        <f t="shared" si="104"/>
        <v>0</v>
      </c>
      <c r="KR16" s="123">
        <f t="shared" si="105"/>
        <v>0</v>
      </c>
      <c r="KT16">
        <f t="shared" si="106"/>
        <v>0</v>
      </c>
      <c r="KU16" s="123"/>
      <c r="KV16" s="123"/>
      <c r="KW16" s="123"/>
      <c r="KX16" s="123"/>
      <c r="KY16" s="123"/>
      <c r="KZ16" s="123"/>
      <c r="LA16" s="123"/>
      <c r="LB16" s="123"/>
      <c r="LC16" s="123"/>
      <c r="LD16" s="123"/>
      <c r="LE16" s="123"/>
      <c r="LF16" s="123"/>
      <c r="LG16" s="123"/>
      <c r="LH16" s="123"/>
      <c r="LI16" s="123"/>
      <c r="LJ16" s="123"/>
      <c r="LK16" s="123"/>
      <c r="LL16" s="123"/>
      <c r="LM16" s="123"/>
      <c r="LN16" s="123"/>
      <c r="LO16" s="123"/>
      <c r="LP16" s="123"/>
      <c r="LQ16" s="123"/>
      <c r="LR16" s="123"/>
      <c r="LS16" s="123"/>
      <c r="LT16" s="123"/>
      <c r="LU16" s="123"/>
      <c r="LV16" s="123"/>
      <c r="LW16" s="123"/>
      <c r="LX16" s="123"/>
      <c r="LY16" s="123"/>
      <c r="LZ16" s="123"/>
      <c r="MA16" s="123"/>
      <c r="MB16" s="123"/>
      <c r="MC16" s="123"/>
      <c r="MD16" s="123"/>
      <c r="ME16" s="123"/>
      <c r="MF16" s="123"/>
      <c r="MG16" s="123"/>
      <c r="MH16" s="123"/>
      <c r="MI16" s="123"/>
      <c r="MJ16" s="123"/>
      <c r="MK16" s="123"/>
      <c r="ML16" s="123"/>
      <c r="MM16" s="123"/>
      <c r="MN16" s="123"/>
      <c r="MO16" s="123"/>
      <c r="MP16" s="123"/>
      <c r="MQ16" s="123"/>
      <c r="MR16" s="123"/>
      <c r="MS16" s="123"/>
      <c r="MT16" s="123"/>
      <c r="MU16" s="123"/>
      <c r="MV16" s="123"/>
      <c r="MW16" s="123"/>
      <c r="MX16" s="123"/>
      <c r="MY16" s="123"/>
      <c r="MZ16" s="123"/>
      <c r="NA16" s="123"/>
      <c r="NB16" s="123"/>
      <c r="NC16" s="123"/>
      <c r="ND16" s="123"/>
      <c r="NE16" s="123"/>
      <c r="NF16" s="123"/>
      <c r="NG16" s="123"/>
      <c r="NH16" s="123"/>
      <c r="NI16" s="123"/>
      <c r="NJ16" s="123"/>
      <c r="NK16" s="123"/>
      <c r="NM16">
        <f t="shared" si="156"/>
        <v>0</v>
      </c>
      <c r="NN16">
        <f t="shared" si="157"/>
        <v>0</v>
      </c>
      <c r="NO16">
        <f t="shared" si="158"/>
        <v>0</v>
      </c>
      <c r="NP16">
        <f t="shared" si="159"/>
        <v>0</v>
      </c>
      <c r="NQ16">
        <f t="shared" si="160"/>
        <v>0</v>
      </c>
      <c r="NR16">
        <f t="shared" si="161"/>
        <v>0</v>
      </c>
      <c r="NS16">
        <f t="shared" si="162"/>
        <v>0</v>
      </c>
      <c r="NT16">
        <f t="shared" si="163"/>
        <v>0</v>
      </c>
      <c r="NU16" s="29">
        <f t="shared" si="164"/>
        <v>0</v>
      </c>
      <c r="NY16" s="29">
        <f t="shared" si="108"/>
        <v>1</v>
      </c>
      <c r="NZ16" s="152">
        <v>8036000</v>
      </c>
      <c r="OE16" s="155">
        <f t="shared" si="109"/>
        <v>0</v>
      </c>
      <c r="OF16" s="155">
        <f t="shared" si="110"/>
        <v>0</v>
      </c>
      <c r="OG16" s="155">
        <f t="shared" si="111"/>
        <v>0</v>
      </c>
      <c r="OH16" s="155">
        <f t="shared" si="165"/>
        <v>0</v>
      </c>
      <c r="OI16" s="155">
        <f t="shared" si="112"/>
        <v>0</v>
      </c>
      <c r="OJ16" s="67">
        <f t="shared" si="166"/>
        <v>0</v>
      </c>
      <c r="OK16" s="67">
        <f t="shared" si="167"/>
        <v>0</v>
      </c>
      <c r="OL16" s="67">
        <f t="shared" si="168"/>
        <v>0</v>
      </c>
      <c r="OM16" s="67">
        <f t="shared" si="169"/>
        <v>0</v>
      </c>
      <c r="OO16" s="155">
        <f t="shared" si="113"/>
        <v>0</v>
      </c>
      <c r="OP16" s="155">
        <f t="shared" si="114"/>
        <v>0</v>
      </c>
      <c r="OQ16" s="155">
        <f t="shared" si="170"/>
        <v>0</v>
      </c>
      <c r="OR16" s="155">
        <f t="shared" si="171"/>
        <v>0</v>
      </c>
      <c r="OS16" s="155">
        <f t="shared" si="172"/>
        <v>0</v>
      </c>
      <c r="OT16" s="67">
        <f t="shared" si="173"/>
        <v>0</v>
      </c>
      <c r="OU16" s="67">
        <f t="shared" si="174"/>
        <v>0</v>
      </c>
      <c r="OV16" s="67">
        <f t="shared" si="175"/>
        <v>0</v>
      </c>
      <c r="OW16" s="67">
        <f t="shared" si="176"/>
        <v>0</v>
      </c>
      <c r="PA16" s="166"/>
      <c r="PB16" s="166"/>
      <c r="PC16" s="166"/>
      <c r="PD16" s="210">
        <f t="shared" si="115"/>
        <v>0</v>
      </c>
      <c r="PE16" s="210"/>
      <c r="PF16" s="210">
        <f t="shared" si="116"/>
        <v>0</v>
      </c>
      <c r="PG16" s="210">
        <f t="shared" si="117"/>
        <v>0</v>
      </c>
      <c r="PH16" s="210">
        <f t="shared" si="117"/>
        <v>0</v>
      </c>
      <c r="PI16" s="210">
        <f t="shared" si="117"/>
        <v>0</v>
      </c>
      <c r="PJ16" s="210">
        <f t="shared" si="117"/>
        <v>0</v>
      </c>
      <c r="PK16" s="210">
        <f t="shared" si="117"/>
        <v>0</v>
      </c>
      <c r="PL16" s="210">
        <f t="shared" si="117"/>
        <v>0</v>
      </c>
      <c r="PO16" s="172">
        <f t="shared" si="177"/>
        <v>0</v>
      </c>
      <c r="PP16" s="172">
        <f t="shared" si="178"/>
        <v>0</v>
      </c>
      <c r="PQ16" s="172">
        <f t="shared" si="179"/>
        <v>0</v>
      </c>
    </row>
    <row r="17" spans="1:433" ht="16" x14ac:dyDescent="0.2">
      <c r="A17" s="19">
        <f t="shared" si="180"/>
        <v>9</v>
      </c>
      <c r="B17" s="138" t="s">
        <v>232</v>
      </c>
      <c r="C17" s="138">
        <v>10</v>
      </c>
      <c r="D17" s="20">
        <v>1</v>
      </c>
      <c r="E17" s="20">
        <v>307</v>
      </c>
      <c r="F17" s="20">
        <v>1</v>
      </c>
      <c r="G17" s="20">
        <f t="shared" si="2"/>
        <v>307</v>
      </c>
      <c r="H17" s="137">
        <f t="shared" si="3"/>
        <v>1</v>
      </c>
      <c r="I17" s="137">
        <f t="shared" si="4"/>
        <v>1</v>
      </c>
      <c r="J17" s="20">
        <v>1</v>
      </c>
      <c r="K17" s="20">
        <f t="shared" si="5"/>
        <v>307</v>
      </c>
      <c r="L17" s="137">
        <f t="shared" si="6"/>
        <v>1</v>
      </c>
      <c r="M17" s="137">
        <f t="shared" si="7"/>
        <v>1</v>
      </c>
      <c r="N17" s="20">
        <v>1</v>
      </c>
      <c r="O17" s="20">
        <f t="shared" si="8"/>
        <v>307</v>
      </c>
      <c r="P17" s="137">
        <f t="shared" si="9"/>
        <v>1</v>
      </c>
      <c r="Q17" s="137">
        <f t="shared" si="10"/>
        <v>1</v>
      </c>
      <c r="R17" s="20">
        <v>1</v>
      </c>
      <c r="S17" s="20">
        <f t="shared" si="11"/>
        <v>307</v>
      </c>
      <c r="T17" s="137">
        <f t="shared" si="12"/>
        <v>1</v>
      </c>
      <c r="U17" s="137">
        <f t="shared" si="13"/>
        <v>1</v>
      </c>
      <c r="V17" s="20">
        <v>1</v>
      </c>
      <c r="W17" s="20">
        <f t="shared" si="14"/>
        <v>307</v>
      </c>
      <c r="X17" s="137">
        <f t="shared" si="15"/>
        <v>1</v>
      </c>
      <c r="Y17" s="137">
        <f t="shared" si="16"/>
        <v>1</v>
      </c>
      <c r="Z17" s="38">
        <f>2627534000/1000000000</f>
        <v>2.6275339999999998</v>
      </c>
      <c r="AA17" s="38"/>
      <c r="AB17" s="17">
        <f t="shared" si="118"/>
        <v>0</v>
      </c>
      <c r="AC17" s="18">
        <f t="shared" si="119"/>
        <v>0</v>
      </c>
      <c r="AD17" s="18">
        <f t="shared" si="120"/>
        <v>0</v>
      </c>
      <c r="AE17" s="38"/>
      <c r="AF17" s="20">
        <f t="shared" si="121"/>
        <v>0</v>
      </c>
      <c r="AG17" s="20"/>
      <c r="AH17" s="17"/>
      <c r="AI17" s="20">
        <v>0</v>
      </c>
      <c r="AJ17" s="20">
        <f t="shared" si="181"/>
        <v>0</v>
      </c>
      <c r="AK17" s="20"/>
      <c r="AL17" s="20"/>
      <c r="AM17" s="20">
        <v>0</v>
      </c>
      <c r="AN17" s="139"/>
      <c r="BB17" s="17">
        <f t="shared" si="123"/>
        <v>0</v>
      </c>
      <c r="BE17" s="17">
        <f t="shared" si="19"/>
        <v>0</v>
      </c>
      <c r="BF17" s="17">
        <f t="shared" si="20"/>
        <v>0</v>
      </c>
      <c r="BG17" s="17">
        <f t="shared" si="21"/>
        <v>0</v>
      </c>
      <c r="BH17" s="17">
        <f t="shared" si="22"/>
        <v>0</v>
      </c>
      <c r="BI17" s="17">
        <f t="shared" si="23"/>
        <v>0</v>
      </c>
      <c r="BJ17" s="17">
        <f t="shared" si="24"/>
        <v>0</v>
      </c>
      <c r="BK17" s="17">
        <f t="shared" si="124"/>
        <v>0</v>
      </c>
      <c r="BN17" s="141"/>
      <c r="BO17" s="284"/>
      <c r="BP17" s="139"/>
      <c r="BQ17" s="139"/>
      <c r="BR17" s="139"/>
      <c r="BS17" s="139"/>
      <c r="BT17" s="139"/>
      <c r="BU17" s="139"/>
      <c r="BV17" s="139"/>
      <c r="BW17" s="139"/>
      <c r="BX17" s="139"/>
      <c r="BY17" s="139"/>
      <c r="BZ17" s="139"/>
      <c r="CB17" s="139"/>
      <c r="CD17" s="17">
        <f t="shared" si="125"/>
        <v>0</v>
      </c>
      <c r="CE17" s="17">
        <f t="shared" si="126"/>
        <v>0</v>
      </c>
      <c r="CF17" s="139">
        <f t="shared" si="182"/>
        <v>0</v>
      </c>
      <c r="CG17" s="139">
        <f t="shared" si="183"/>
        <v>0</v>
      </c>
      <c r="CH17" s="139">
        <f t="shared" si="184"/>
        <v>0</v>
      </c>
      <c r="CI17" s="139">
        <f t="shared" si="185"/>
        <v>0</v>
      </c>
      <c r="CJ17" s="139">
        <f t="shared" si="186"/>
        <v>0</v>
      </c>
      <c r="CK17" s="139">
        <f t="shared" si="187"/>
        <v>0</v>
      </c>
      <c r="CL17" s="139">
        <f t="shared" si="188"/>
        <v>0</v>
      </c>
      <c r="CM17" s="139">
        <f t="shared" si="189"/>
        <v>0</v>
      </c>
      <c r="CN17" s="139">
        <f t="shared" si="190"/>
        <v>0</v>
      </c>
      <c r="CO17" s="139">
        <f t="shared" si="191"/>
        <v>0</v>
      </c>
      <c r="CP17" s="139">
        <f t="shared" si="192"/>
        <v>0</v>
      </c>
      <c r="CQ17" s="148">
        <f t="shared" si="27"/>
        <v>0</v>
      </c>
      <c r="DV17" s="139">
        <f t="shared" si="28"/>
        <v>0</v>
      </c>
      <c r="DW17" s="139">
        <f t="shared" si="29"/>
        <v>0</v>
      </c>
      <c r="DX17" s="139">
        <f t="shared" si="30"/>
        <v>0</v>
      </c>
      <c r="DY17" s="139">
        <f t="shared" si="31"/>
        <v>0</v>
      </c>
      <c r="DZ17" s="139">
        <f t="shared" si="32"/>
        <v>0</v>
      </c>
      <c r="EA17" s="139">
        <f t="shared" si="33"/>
        <v>0</v>
      </c>
      <c r="EB17" s="139">
        <f t="shared" si="127"/>
        <v>0</v>
      </c>
      <c r="ED17" s="46" t="s">
        <v>351</v>
      </c>
      <c r="EE17" s="46" t="s">
        <v>377</v>
      </c>
      <c r="EF17" s="56"/>
      <c r="EG17" s="57">
        <f t="shared" si="128"/>
        <v>0</v>
      </c>
      <c r="EH17" s="57">
        <f t="shared" si="129"/>
        <v>0</v>
      </c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X17" s="80"/>
      <c r="FY17" s="17">
        <f t="shared" si="130"/>
        <v>0</v>
      </c>
      <c r="FZ17" s="17">
        <f t="shared" si="35"/>
        <v>0</v>
      </c>
      <c r="GA17" s="17">
        <f t="shared" si="36"/>
        <v>0</v>
      </c>
      <c r="GB17" s="17">
        <f t="shared" si="37"/>
        <v>0</v>
      </c>
      <c r="GC17" s="17">
        <f t="shared" si="38"/>
        <v>0</v>
      </c>
      <c r="GD17" s="17">
        <f t="shared" si="39"/>
        <v>0</v>
      </c>
      <c r="GE17" s="17">
        <f t="shared" si="40"/>
        <v>0</v>
      </c>
      <c r="GF17" s="67"/>
      <c r="GG17" s="17">
        <v>0</v>
      </c>
      <c r="GH17" s="17">
        <v>0</v>
      </c>
      <c r="GI17" s="67"/>
      <c r="GJ17" s="62">
        <f t="shared" si="131"/>
        <v>0</v>
      </c>
      <c r="GK17" s="62">
        <f t="shared" si="132"/>
        <v>0</v>
      </c>
      <c r="GO17" s="17">
        <f t="shared" si="41"/>
        <v>0</v>
      </c>
      <c r="GP17" s="17">
        <f t="shared" si="42"/>
        <v>0</v>
      </c>
      <c r="GQ17" s="17">
        <f t="shared" si="43"/>
        <v>0</v>
      </c>
      <c r="GR17" s="17">
        <f t="shared" si="44"/>
        <v>0</v>
      </c>
      <c r="GS17" s="17">
        <f t="shared" si="45"/>
        <v>0</v>
      </c>
      <c r="GT17" s="17">
        <f t="shared" si="133"/>
        <v>1</v>
      </c>
      <c r="GU17" s="101">
        <f t="shared" si="134"/>
        <v>43243</v>
      </c>
      <c r="GV17" s="17" t="str">
        <f t="shared" si="135"/>
        <v>SELESAI</v>
      </c>
      <c r="GW17" s="17">
        <f t="shared" si="136"/>
        <v>0</v>
      </c>
      <c r="GX17" s="66" t="str">
        <f t="shared" si="137"/>
        <v>SELESAI</v>
      </c>
      <c r="GY17" s="66">
        <f t="shared" si="138"/>
        <v>0</v>
      </c>
      <c r="GZ17" s="102" t="str">
        <f t="shared" si="139"/>
        <v>SELESAI</v>
      </c>
      <c r="HA17" s="83"/>
      <c r="HB17" s="83"/>
      <c r="HC17" s="17">
        <f t="shared" si="46"/>
        <v>0</v>
      </c>
      <c r="HD17" s="17">
        <f t="shared" si="47"/>
        <v>0</v>
      </c>
      <c r="HE17" s="17">
        <f t="shared" si="140"/>
        <v>0</v>
      </c>
      <c r="HF17" s="17">
        <f t="shared" si="141"/>
        <v>0</v>
      </c>
      <c r="HG17" s="17">
        <f t="shared" si="142"/>
        <v>0</v>
      </c>
      <c r="HH17" s="101" t="str">
        <f t="shared" si="48"/>
        <v>TIDAK KONSINYASI</v>
      </c>
      <c r="HI17" s="101" t="str">
        <f t="shared" si="143"/>
        <v>SELESAI</v>
      </c>
      <c r="HJ17" s="27"/>
      <c r="HK17" s="101">
        <f t="shared" si="49"/>
        <v>0</v>
      </c>
      <c r="HL17" s="83"/>
      <c r="HM17" s="83"/>
      <c r="HN17" s="83"/>
      <c r="HO17" s="83"/>
      <c r="HP17" s="102">
        <f t="shared" si="144"/>
        <v>0</v>
      </c>
      <c r="HQ17" s="66">
        <f t="shared" si="145"/>
        <v>0</v>
      </c>
      <c r="HR17" s="66">
        <f t="shared" si="50"/>
        <v>0</v>
      </c>
      <c r="HS17" s="102">
        <f t="shared" si="146"/>
        <v>0</v>
      </c>
      <c r="HT17" s="66">
        <f t="shared" si="147"/>
        <v>0</v>
      </c>
      <c r="HU17" s="66">
        <f t="shared" si="51"/>
        <v>0</v>
      </c>
      <c r="HV17" s="102">
        <f t="shared" si="148"/>
        <v>0</v>
      </c>
      <c r="HW17" s="66">
        <f t="shared" si="52"/>
        <v>0</v>
      </c>
      <c r="HX17" s="66">
        <f t="shared" si="53"/>
        <v>0</v>
      </c>
      <c r="HY17" s="102">
        <f t="shared" si="54"/>
        <v>0</v>
      </c>
      <c r="HZ17" s="66">
        <f t="shared" si="149"/>
        <v>0</v>
      </c>
      <c r="IA17" s="66">
        <f t="shared" si="55"/>
        <v>0</v>
      </c>
      <c r="IB17" s="102">
        <f t="shared" si="150"/>
        <v>0</v>
      </c>
      <c r="IC17" s="66">
        <f t="shared" si="56"/>
        <v>0</v>
      </c>
      <c r="ID17" s="66">
        <f t="shared" si="57"/>
        <v>0</v>
      </c>
      <c r="IE17" s="102">
        <f t="shared" si="58"/>
        <v>0</v>
      </c>
      <c r="IF17" s="66">
        <f t="shared" si="59"/>
        <v>0</v>
      </c>
      <c r="IG17" s="66">
        <f t="shared" si="60"/>
        <v>0</v>
      </c>
      <c r="IH17" s="102">
        <f t="shared" si="151"/>
        <v>0</v>
      </c>
      <c r="II17" s="66">
        <f t="shared" si="152"/>
        <v>0</v>
      </c>
      <c r="IJ17" s="66">
        <f t="shared" si="61"/>
        <v>0</v>
      </c>
      <c r="IK17" s="102">
        <f t="shared" si="62"/>
        <v>0</v>
      </c>
      <c r="IL17" s="66">
        <f t="shared" si="63"/>
        <v>0</v>
      </c>
      <c r="IM17" s="66">
        <f t="shared" si="64"/>
        <v>0</v>
      </c>
      <c r="IN17" s="83"/>
      <c r="IO17" s="102">
        <f t="shared" si="65"/>
        <v>0</v>
      </c>
      <c r="IP17" s="66">
        <f t="shared" si="66"/>
        <v>0</v>
      </c>
      <c r="IQ17" s="66">
        <f t="shared" si="67"/>
        <v>0</v>
      </c>
      <c r="IR17" s="83"/>
      <c r="IS17" s="102"/>
      <c r="IT17" s="66">
        <f t="shared" si="68"/>
        <v>1</v>
      </c>
      <c r="IU17" s="66">
        <f t="shared" si="69"/>
        <v>307</v>
      </c>
      <c r="IV17" s="83"/>
      <c r="IW17" s="102"/>
      <c r="IX17" s="66">
        <f t="shared" si="70"/>
        <v>0</v>
      </c>
      <c r="IY17" s="66">
        <f t="shared" si="71"/>
        <v>0</v>
      </c>
      <c r="IZ17" s="83"/>
      <c r="JA17" s="102"/>
      <c r="JB17" s="66">
        <f t="shared" si="72"/>
        <v>0</v>
      </c>
      <c r="JC17" s="66">
        <f t="shared" si="73"/>
        <v>0</v>
      </c>
      <c r="JD17" s="83"/>
      <c r="JE17" s="102"/>
      <c r="JF17" s="66">
        <f t="shared" si="153"/>
        <v>1</v>
      </c>
      <c r="JG17" s="66">
        <f t="shared" si="74"/>
        <v>307</v>
      </c>
      <c r="JH17" s="83"/>
      <c r="JI17" s="102"/>
      <c r="JJ17" s="66">
        <f t="shared" si="75"/>
        <v>0</v>
      </c>
      <c r="JK17" s="66">
        <f t="shared" si="76"/>
        <v>0</v>
      </c>
      <c r="JM17" s="102">
        <f t="shared" si="154"/>
        <v>0</v>
      </c>
      <c r="JO17" s="29">
        <f t="shared" si="77"/>
        <v>0</v>
      </c>
      <c r="JP17" s="122">
        <f t="shared" si="78"/>
        <v>0</v>
      </c>
      <c r="JQ17" s="122">
        <f t="shared" si="79"/>
        <v>0</v>
      </c>
      <c r="JR17" s="122">
        <f t="shared" si="80"/>
        <v>0</v>
      </c>
      <c r="JS17" s="122">
        <f t="shared" si="81"/>
        <v>0</v>
      </c>
      <c r="JT17" s="122">
        <f t="shared" si="82"/>
        <v>0</v>
      </c>
      <c r="JU17" s="122">
        <f t="shared" si="83"/>
        <v>0</v>
      </c>
      <c r="JV17" s="122">
        <f t="shared" si="84"/>
        <v>0</v>
      </c>
      <c r="JW17" s="122">
        <f t="shared" si="85"/>
        <v>0</v>
      </c>
      <c r="JX17" s="122">
        <f t="shared" si="86"/>
        <v>0</v>
      </c>
      <c r="JY17" s="122">
        <f t="shared" si="87"/>
        <v>0</v>
      </c>
      <c r="JZ17" s="122">
        <f t="shared" si="88"/>
        <v>0</v>
      </c>
      <c r="KA17" s="122">
        <f t="shared" si="89"/>
        <v>0</v>
      </c>
      <c r="KB17" s="122">
        <f t="shared" si="90"/>
        <v>0</v>
      </c>
      <c r="KD17" s="122">
        <f t="shared" si="155"/>
        <v>0</v>
      </c>
      <c r="KE17" s="122">
        <f t="shared" si="92"/>
        <v>0</v>
      </c>
      <c r="KF17" s="122">
        <f t="shared" si="93"/>
        <v>0</v>
      </c>
      <c r="KG17" s="122">
        <f t="shared" si="94"/>
        <v>0</v>
      </c>
      <c r="KH17" s="122">
        <f t="shared" si="95"/>
        <v>0</v>
      </c>
      <c r="KI17" s="122">
        <f t="shared" si="96"/>
        <v>0</v>
      </c>
      <c r="KJ17" s="122">
        <f t="shared" si="97"/>
        <v>0</v>
      </c>
      <c r="KK17" s="122">
        <f t="shared" si="98"/>
        <v>0</v>
      </c>
      <c r="KL17" s="122">
        <f t="shared" si="99"/>
        <v>0</v>
      </c>
      <c r="KM17" s="122">
        <f t="shared" si="100"/>
        <v>0</v>
      </c>
      <c r="KN17" s="123">
        <f t="shared" si="101"/>
        <v>0</v>
      </c>
      <c r="KO17" s="123">
        <f t="shared" si="102"/>
        <v>0</v>
      </c>
      <c r="KP17" s="123">
        <f t="shared" si="103"/>
        <v>0</v>
      </c>
      <c r="KQ17" s="123">
        <f t="shared" si="104"/>
        <v>0</v>
      </c>
      <c r="KR17" s="123">
        <f t="shared" si="105"/>
        <v>0</v>
      </c>
      <c r="KT17">
        <f t="shared" si="106"/>
        <v>0</v>
      </c>
      <c r="KU17" s="123"/>
      <c r="KV17" s="123"/>
      <c r="KW17" s="123"/>
      <c r="KX17" s="123"/>
      <c r="KY17" s="123"/>
      <c r="KZ17" s="123"/>
      <c r="LA17" s="123"/>
      <c r="LB17" s="123"/>
      <c r="LC17" s="123"/>
      <c r="LD17" s="123"/>
      <c r="LE17" s="123"/>
      <c r="LF17" s="123"/>
      <c r="LG17" s="123"/>
      <c r="LH17" s="123"/>
      <c r="LI17" s="123"/>
      <c r="LJ17" s="123"/>
      <c r="LK17" s="123"/>
      <c r="LL17" s="123"/>
      <c r="LM17" s="123"/>
      <c r="LN17" s="123"/>
      <c r="LO17" s="123"/>
      <c r="LP17" s="123"/>
      <c r="LQ17" s="123"/>
      <c r="LR17" s="123"/>
      <c r="LS17" s="123"/>
      <c r="LT17" s="123"/>
      <c r="LU17" s="123"/>
      <c r="LV17" s="123"/>
      <c r="LW17" s="123"/>
      <c r="LX17" s="123"/>
      <c r="LY17" s="123"/>
      <c r="LZ17" s="123"/>
      <c r="MA17" s="123"/>
      <c r="MB17" s="123"/>
      <c r="MC17" s="123"/>
      <c r="MD17" s="123"/>
      <c r="ME17" s="123"/>
      <c r="MF17" s="123"/>
      <c r="MG17" s="123"/>
      <c r="MH17" s="123"/>
      <c r="MI17" s="123"/>
      <c r="MJ17" s="123"/>
      <c r="MK17" s="123"/>
      <c r="ML17" s="123"/>
      <c r="MM17" s="123"/>
      <c r="MN17" s="123"/>
      <c r="MO17" s="123"/>
      <c r="MP17" s="123"/>
      <c r="MQ17" s="123"/>
      <c r="MR17" s="123"/>
      <c r="MS17" s="123"/>
      <c r="MT17" s="123"/>
      <c r="MU17" s="123"/>
      <c r="MV17" s="123"/>
      <c r="MW17" s="123"/>
      <c r="MX17" s="123"/>
      <c r="MY17" s="123"/>
      <c r="MZ17" s="123"/>
      <c r="NA17" s="123"/>
      <c r="NB17" s="123"/>
      <c r="NC17" s="123"/>
      <c r="ND17" s="123"/>
      <c r="NE17" s="123"/>
      <c r="NF17" s="123"/>
      <c r="NG17" s="123"/>
      <c r="NH17" s="123"/>
      <c r="NI17" s="123"/>
      <c r="NJ17" s="123"/>
      <c r="NK17" s="123"/>
      <c r="NM17">
        <f t="shared" si="156"/>
        <v>0</v>
      </c>
      <c r="NN17">
        <f t="shared" si="157"/>
        <v>0</v>
      </c>
      <c r="NO17">
        <f t="shared" si="158"/>
        <v>0</v>
      </c>
      <c r="NP17">
        <f t="shared" si="159"/>
        <v>0</v>
      </c>
      <c r="NQ17">
        <f t="shared" si="160"/>
        <v>0</v>
      </c>
      <c r="NR17">
        <f t="shared" si="161"/>
        <v>0</v>
      </c>
      <c r="NS17">
        <f t="shared" si="162"/>
        <v>0</v>
      </c>
      <c r="NT17">
        <f t="shared" si="163"/>
        <v>0</v>
      </c>
      <c r="NU17" s="29">
        <f t="shared" si="164"/>
        <v>0</v>
      </c>
      <c r="NY17" s="29">
        <f t="shared" si="108"/>
        <v>1</v>
      </c>
      <c r="NZ17" s="152">
        <v>8036000</v>
      </c>
      <c r="OE17" s="155">
        <f t="shared" si="109"/>
        <v>0</v>
      </c>
      <c r="OF17" s="155">
        <f t="shared" si="110"/>
        <v>0</v>
      </c>
      <c r="OG17" s="155">
        <f t="shared" si="111"/>
        <v>0</v>
      </c>
      <c r="OH17" s="155">
        <f t="shared" si="165"/>
        <v>0</v>
      </c>
      <c r="OI17" s="155">
        <f t="shared" si="112"/>
        <v>0</v>
      </c>
      <c r="OJ17" s="67">
        <f t="shared" si="166"/>
        <v>0</v>
      </c>
      <c r="OK17" s="67">
        <f t="shared" si="167"/>
        <v>0</v>
      </c>
      <c r="OL17" s="67">
        <f t="shared" si="168"/>
        <v>0</v>
      </c>
      <c r="OM17" s="67">
        <f t="shared" si="169"/>
        <v>0</v>
      </c>
      <c r="OO17" s="155">
        <f t="shared" si="113"/>
        <v>0</v>
      </c>
      <c r="OP17" s="155">
        <f t="shared" si="114"/>
        <v>0</v>
      </c>
      <c r="OQ17" s="155">
        <f t="shared" si="170"/>
        <v>0</v>
      </c>
      <c r="OR17" s="155">
        <f t="shared" si="171"/>
        <v>0</v>
      </c>
      <c r="OS17" s="155">
        <f t="shared" si="172"/>
        <v>0</v>
      </c>
      <c r="OT17" s="67">
        <f t="shared" si="173"/>
        <v>0</v>
      </c>
      <c r="OU17" s="67">
        <f t="shared" si="174"/>
        <v>0</v>
      </c>
      <c r="OV17" s="67">
        <f t="shared" si="175"/>
        <v>0</v>
      </c>
      <c r="OW17" s="67">
        <f t="shared" si="176"/>
        <v>0</v>
      </c>
      <c r="PA17" s="166"/>
      <c r="PB17" s="166"/>
      <c r="PC17" s="166"/>
      <c r="PD17" s="210">
        <f t="shared" si="115"/>
        <v>0</v>
      </c>
      <c r="PE17" s="210"/>
      <c r="PF17" s="210">
        <f t="shared" si="116"/>
        <v>0</v>
      </c>
      <c r="PG17" s="210">
        <f t="shared" si="117"/>
        <v>0</v>
      </c>
      <c r="PH17" s="210">
        <f t="shared" si="117"/>
        <v>0</v>
      </c>
      <c r="PI17" s="210">
        <f t="shared" si="117"/>
        <v>0</v>
      </c>
      <c r="PJ17" s="210">
        <f t="shared" si="117"/>
        <v>0</v>
      </c>
      <c r="PK17" s="210">
        <f t="shared" si="117"/>
        <v>0</v>
      </c>
      <c r="PL17" s="210">
        <f t="shared" si="117"/>
        <v>0</v>
      </c>
      <c r="PO17" s="172">
        <f t="shared" si="177"/>
        <v>0</v>
      </c>
      <c r="PP17" s="172">
        <f t="shared" si="178"/>
        <v>0</v>
      </c>
      <c r="PQ17" s="172">
        <f t="shared" si="179"/>
        <v>0</v>
      </c>
    </row>
    <row r="18" spans="1:433" ht="16" x14ac:dyDescent="0.2">
      <c r="A18" s="19">
        <f t="shared" si="180"/>
        <v>10</v>
      </c>
      <c r="B18" s="138" t="s">
        <v>224</v>
      </c>
      <c r="C18" s="138">
        <v>11</v>
      </c>
      <c r="D18" s="20">
        <v>1</v>
      </c>
      <c r="E18" s="20">
        <v>329</v>
      </c>
      <c r="F18" s="20">
        <v>1</v>
      </c>
      <c r="G18" s="20">
        <f t="shared" si="2"/>
        <v>329</v>
      </c>
      <c r="H18" s="137">
        <f t="shared" si="3"/>
        <v>1</v>
      </c>
      <c r="I18" s="137">
        <f t="shared" si="4"/>
        <v>1</v>
      </c>
      <c r="J18" s="20">
        <v>1</v>
      </c>
      <c r="K18" s="20">
        <f t="shared" si="5"/>
        <v>329</v>
      </c>
      <c r="L18" s="137">
        <f t="shared" si="6"/>
        <v>1</v>
      </c>
      <c r="M18" s="137">
        <f t="shared" si="7"/>
        <v>1</v>
      </c>
      <c r="N18" s="20">
        <v>1</v>
      </c>
      <c r="O18" s="20">
        <f t="shared" si="8"/>
        <v>329</v>
      </c>
      <c r="P18" s="137">
        <f t="shared" si="9"/>
        <v>1</v>
      </c>
      <c r="Q18" s="137">
        <f t="shared" si="10"/>
        <v>1</v>
      </c>
      <c r="R18" s="20">
        <v>1</v>
      </c>
      <c r="S18" s="20">
        <f t="shared" si="11"/>
        <v>329</v>
      </c>
      <c r="T18" s="137">
        <f t="shared" si="12"/>
        <v>1</v>
      </c>
      <c r="U18" s="137">
        <f t="shared" si="13"/>
        <v>1</v>
      </c>
      <c r="V18" s="20">
        <v>1</v>
      </c>
      <c r="W18" s="20">
        <f t="shared" si="14"/>
        <v>329</v>
      </c>
      <c r="X18" s="137">
        <f t="shared" si="15"/>
        <v>1</v>
      </c>
      <c r="Y18" s="137">
        <f t="shared" si="16"/>
        <v>1</v>
      </c>
      <c r="Z18" s="38">
        <f>3079846000/1000000000</f>
        <v>3.0798459999999999</v>
      </c>
      <c r="AA18" s="38"/>
      <c r="AB18" s="17">
        <f t="shared" si="118"/>
        <v>0</v>
      </c>
      <c r="AC18" s="18">
        <f t="shared" si="119"/>
        <v>0</v>
      </c>
      <c r="AD18" s="18">
        <f t="shared" si="120"/>
        <v>0</v>
      </c>
      <c r="AE18" s="38"/>
      <c r="AF18" s="20">
        <f t="shared" si="121"/>
        <v>0</v>
      </c>
      <c r="AG18" s="20"/>
      <c r="AH18" s="17"/>
      <c r="AI18" s="20">
        <v>0</v>
      </c>
      <c r="AJ18" s="20">
        <f t="shared" si="181"/>
        <v>0</v>
      </c>
      <c r="AK18" s="20"/>
      <c r="AL18" s="20"/>
      <c r="AM18" s="20">
        <v>0</v>
      </c>
      <c r="AN18" s="139"/>
      <c r="BB18" s="17">
        <f t="shared" si="123"/>
        <v>0</v>
      </c>
      <c r="BE18" s="17">
        <f t="shared" si="19"/>
        <v>0</v>
      </c>
      <c r="BF18" s="17">
        <f t="shared" si="20"/>
        <v>0</v>
      </c>
      <c r="BG18" s="17">
        <f t="shared" si="21"/>
        <v>0</v>
      </c>
      <c r="BH18" s="17">
        <f t="shared" si="22"/>
        <v>0</v>
      </c>
      <c r="BI18" s="17">
        <f t="shared" si="23"/>
        <v>0</v>
      </c>
      <c r="BJ18" s="17">
        <f t="shared" si="24"/>
        <v>0</v>
      </c>
      <c r="BK18" s="17">
        <f t="shared" si="124"/>
        <v>0</v>
      </c>
      <c r="BN18" s="141"/>
      <c r="BO18" s="284"/>
      <c r="BP18" s="139"/>
      <c r="BQ18" s="139"/>
      <c r="BR18" s="139"/>
      <c r="BS18" s="139"/>
      <c r="BT18" s="139"/>
      <c r="BU18" s="139"/>
      <c r="BV18" s="139"/>
      <c r="BW18" s="139"/>
      <c r="BX18" s="139"/>
      <c r="BY18" s="139"/>
      <c r="BZ18" s="139"/>
      <c r="CB18" s="139"/>
      <c r="CD18" s="17">
        <f t="shared" si="125"/>
        <v>0</v>
      </c>
      <c r="CE18" s="17">
        <f t="shared" si="126"/>
        <v>0</v>
      </c>
      <c r="CF18" s="139">
        <f t="shared" si="182"/>
        <v>0</v>
      </c>
      <c r="CG18" s="139">
        <f t="shared" si="183"/>
        <v>0</v>
      </c>
      <c r="CH18" s="139">
        <f t="shared" si="184"/>
        <v>0</v>
      </c>
      <c r="CI18" s="139">
        <f t="shared" si="185"/>
        <v>0</v>
      </c>
      <c r="CJ18" s="139">
        <f t="shared" si="186"/>
        <v>0</v>
      </c>
      <c r="CK18" s="139">
        <f t="shared" si="187"/>
        <v>0</v>
      </c>
      <c r="CL18" s="139">
        <f t="shared" si="188"/>
        <v>0</v>
      </c>
      <c r="CM18" s="139">
        <f t="shared" si="189"/>
        <v>0</v>
      </c>
      <c r="CN18" s="139">
        <f t="shared" si="190"/>
        <v>0</v>
      </c>
      <c r="CO18" s="139">
        <f t="shared" si="191"/>
        <v>0</v>
      </c>
      <c r="CP18" s="139">
        <f t="shared" si="192"/>
        <v>0</v>
      </c>
      <c r="CQ18" s="148">
        <f t="shared" si="27"/>
        <v>0</v>
      </c>
      <c r="DV18" s="139">
        <f t="shared" si="28"/>
        <v>0</v>
      </c>
      <c r="DW18" s="139">
        <f t="shared" si="29"/>
        <v>0</v>
      </c>
      <c r="DX18" s="139">
        <f t="shared" si="30"/>
        <v>0</v>
      </c>
      <c r="DY18" s="139">
        <f t="shared" si="31"/>
        <v>0</v>
      </c>
      <c r="DZ18" s="139">
        <f t="shared" si="32"/>
        <v>0</v>
      </c>
      <c r="EA18" s="139">
        <f t="shared" si="33"/>
        <v>0</v>
      </c>
      <c r="EB18" s="139">
        <f t="shared" si="127"/>
        <v>0</v>
      </c>
      <c r="EG18" s="57">
        <f t="shared" si="128"/>
        <v>0</v>
      </c>
      <c r="EH18" s="57">
        <f t="shared" si="129"/>
        <v>0</v>
      </c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X18" s="80"/>
      <c r="FY18" s="17">
        <f t="shared" si="130"/>
        <v>0</v>
      </c>
      <c r="FZ18" s="17">
        <f t="shared" si="35"/>
        <v>0</v>
      </c>
      <c r="GA18" s="17">
        <f t="shared" si="36"/>
        <v>0</v>
      </c>
      <c r="GB18" s="17">
        <f t="shared" si="37"/>
        <v>0</v>
      </c>
      <c r="GC18" s="17">
        <f t="shared" si="38"/>
        <v>0</v>
      </c>
      <c r="GD18" s="17">
        <f t="shared" si="39"/>
        <v>0</v>
      </c>
      <c r="GE18" s="17">
        <f t="shared" si="40"/>
        <v>0</v>
      </c>
      <c r="GF18" s="67"/>
      <c r="GG18" s="17">
        <v>0</v>
      </c>
      <c r="GH18" s="17">
        <v>0</v>
      </c>
      <c r="GI18" s="67"/>
      <c r="GJ18" s="62">
        <f t="shared" si="131"/>
        <v>0</v>
      </c>
      <c r="GK18" s="62">
        <f t="shared" si="132"/>
        <v>0</v>
      </c>
      <c r="GO18" s="17">
        <f t="shared" si="41"/>
        <v>0</v>
      </c>
      <c r="GP18" s="17">
        <f t="shared" si="42"/>
        <v>0</v>
      </c>
      <c r="GQ18" s="17">
        <f t="shared" si="43"/>
        <v>0</v>
      </c>
      <c r="GR18" s="17">
        <f t="shared" si="44"/>
        <v>0</v>
      </c>
      <c r="GS18" s="17">
        <f t="shared" si="45"/>
        <v>0</v>
      </c>
      <c r="GT18" s="17">
        <f t="shared" si="133"/>
        <v>1</v>
      </c>
      <c r="GU18" s="101">
        <f t="shared" si="134"/>
        <v>43243</v>
      </c>
      <c r="GV18" s="17" t="str">
        <f t="shared" si="135"/>
        <v>SELESAI</v>
      </c>
      <c r="GW18" s="17">
        <f t="shared" si="136"/>
        <v>0</v>
      </c>
      <c r="GX18" s="66" t="str">
        <f t="shared" si="137"/>
        <v>SELESAI</v>
      </c>
      <c r="GY18" s="66">
        <f t="shared" si="138"/>
        <v>0</v>
      </c>
      <c r="GZ18" s="102" t="str">
        <f t="shared" si="139"/>
        <v>SELESAI</v>
      </c>
      <c r="HA18" s="83"/>
      <c r="HB18" s="83"/>
      <c r="HC18" s="17">
        <f t="shared" si="46"/>
        <v>0</v>
      </c>
      <c r="HD18" s="17">
        <f t="shared" si="47"/>
        <v>0</v>
      </c>
      <c r="HE18" s="17">
        <f t="shared" si="140"/>
        <v>0</v>
      </c>
      <c r="HF18" s="17">
        <f t="shared" si="141"/>
        <v>0</v>
      </c>
      <c r="HG18" s="17">
        <f t="shared" si="142"/>
        <v>0</v>
      </c>
      <c r="HH18" s="101" t="str">
        <f t="shared" si="48"/>
        <v>TIDAK KONSINYASI</v>
      </c>
      <c r="HI18" s="101" t="str">
        <f t="shared" si="143"/>
        <v>SELESAI</v>
      </c>
      <c r="HJ18" s="27"/>
      <c r="HK18" s="101">
        <f t="shared" si="49"/>
        <v>0</v>
      </c>
      <c r="HL18" s="83"/>
      <c r="HM18" s="83"/>
      <c r="HN18" s="83"/>
      <c r="HO18" s="83"/>
      <c r="HP18" s="102">
        <f t="shared" si="144"/>
        <v>0</v>
      </c>
      <c r="HQ18" s="66">
        <f t="shared" si="145"/>
        <v>0</v>
      </c>
      <c r="HR18" s="66">
        <f t="shared" si="50"/>
        <v>0</v>
      </c>
      <c r="HS18" s="102">
        <f t="shared" si="146"/>
        <v>0</v>
      </c>
      <c r="HT18" s="66">
        <f t="shared" si="147"/>
        <v>0</v>
      </c>
      <c r="HU18" s="66">
        <f t="shared" si="51"/>
        <v>0</v>
      </c>
      <c r="HV18" s="102">
        <f t="shared" si="148"/>
        <v>0</v>
      </c>
      <c r="HW18" s="66">
        <f t="shared" si="52"/>
        <v>0</v>
      </c>
      <c r="HX18" s="66">
        <f t="shared" si="53"/>
        <v>0</v>
      </c>
      <c r="HY18" s="102">
        <f t="shared" si="54"/>
        <v>0</v>
      </c>
      <c r="HZ18" s="66">
        <f t="shared" si="149"/>
        <v>0</v>
      </c>
      <c r="IA18" s="66">
        <f t="shared" si="55"/>
        <v>0</v>
      </c>
      <c r="IB18" s="102">
        <f t="shared" si="150"/>
        <v>0</v>
      </c>
      <c r="IC18" s="66">
        <f t="shared" si="56"/>
        <v>0</v>
      </c>
      <c r="ID18" s="66">
        <f t="shared" si="57"/>
        <v>0</v>
      </c>
      <c r="IE18" s="102">
        <f t="shared" si="58"/>
        <v>0</v>
      </c>
      <c r="IF18" s="66">
        <f t="shared" si="59"/>
        <v>0</v>
      </c>
      <c r="IG18" s="66">
        <f t="shared" si="60"/>
        <v>0</v>
      </c>
      <c r="IH18" s="102">
        <f t="shared" si="151"/>
        <v>0</v>
      </c>
      <c r="II18" s="66">
        <f t="shared" si="152"/>
        <v>0</v>
      </c>
      <c r="IJ18" s="66">
        <f t="shared" si="61"/>
        <v>0</v>
      </c>
      <c r="IK18" s="102">
        <f t="shared" si="62"/>
        <v>0</v>
      </c>
      <c r="IL18" s="66">
        <f t="shared" si="63"/>
        <v>0</v>
      </c>
      <c r="IM18" s="66">
        <f t="shared" si="64"/>
        <v>0</v>
      </c>
      <c r="IN18" s="83"/>
      <c r="IO18" s="102">
        <f t="shared" si="65"/>
        <v>0</v>
      </c>
      <c r="IP18" s="66">
        <f t="shared" si="66"/>
        <v>0</v>
      </c>
      <c r="IQ18" s="66">
        <f t="shared" si="67"/>
        <v>0</v>
      </c>
      <c r="IR18" s="83"/>
      <c r="IS18" s="102"/>
      <c r="IT18" s="66">
        <f t="shared" si="68"/>
        <v>1</v>
      </c>
      <c r="IU18" s="66">
        <f t="shared" si="69"/>
        <v>329</v>
      </c>
      <c r="IV18" s="83"/>
      <c r="IW18" s="102"/>
      <c r="IX18" s="66">
        <f t="shared" si="70"/>
        <v>0</v>
      </c>
      <c r="IY18" s="66">
        <f t="shared" si="71"/>
        <v>0</v>
      </c>
      <c r="IZ18" s="83"/>
      <c r="JA18" s="102"/>
      <c r="JB18" s="66">
        <f t="shared" si="72"/>
        <v>0</v>
      </c>
      <c r="JC18" s="66">
        <f t="shared" si="73"/>
        <v>0</v>
      </c>
      <c r="JD18" s="83"/>
      <c r="JE18" s="102"/>
      <c r="JF18" s="66">
        <f t="shared" si="153"/>
        <v>1</v>
      </c>
      <c r="JG18" s="66">
        <f t="shared" si="74"/>
        <v>329</v>
      </c>
      <c r="JH18" s="83"/>
      <c r="JI18" s="102"/>
      <c r="JJ18" s="66">
        <f t="shared" si="75"/>
        <v>0</v>
      </c>
      <c r="JK18" s="66">
        <f t="shared" si="76"/>
        <v>0</v>
      </c>
      <c r="JM18" s="102">
        <f t="shared" si="154"/>
        <v>0</v>
      </c>
      <c r="JO18" s="29">
        <f t="shared" si="77"/>
        <v>0</v>
      </c>
      <c r="JP18" s="122">
        <f t="shared" si="78"/>
        <v>0</v>
      </c>
      <c r="JQ18" s="122">
        <f t="shared" si="79"/>
        <v>0</v>
      </c>
      <c r="JR18" s="122">
        <f t="shared" si="80"/>
        <v>0</v>
      </c>
      <c r="JS18" s="122">
        <f t="shared" si="81"/>
        <v>0</v>
      </c>
      <c r="JT18" s="122">
        <f t="shared" si="82"/>
        <v>0</v>
      </c>
      <c r="JU18" s="122">
        <f t="shared" si="83"/>
        <v>0</v>
      </c>
      <c r="JV18" s="122">
        <f t="shared" si="84"/>
        <v>0</v>
      </c>
      <c r="JW18" s="122">
        <f t="shared" si="85"/>
        <v>0</v>
      </c>
      <c r="JX18" s="122">
        <f t="shared" si="86"/>
        <v>0</v>
      </c>
      <c r="JY18" s="122">
        <f t="shared" si="87"/>
        <v>0</v>
      </c>
      <c r="JZ18" s="122">
        <f t="shared" si="88"/>
        <v>0</v>
      </c>
      <c r="KA18" s="122">
        <f t="shared" si="89"/>
        <v>0</v>
      </c>
      <c r="KB18" s="122">
        <f t="shared" si="90"/>
        <v>0</v>
      </c>
      <c r="KD18" s="122">
        <f t="shared" si="155"/>
        <v>0</v>
      </c>
      <c r="KE18" s="122">
        <f t="shared" si="92"/>
        <v>0</v>
      </c>
      <c r="KF18" s="122">
        <f t="shared" si="93"/>
        <v>0</v>
      </c>
      <c r="KG18" s="122">
        <f t="shared" si="94"/>
        <v>0</v>
      </c>
      <c r="KH18" s="122">
        <f t="shared" si="95"/>
        <v>0</v>
      </c>
      <c r="KI18" s="122">
        <f t="shared" si="96"/>
        <v>0</v>
      </c>
      <c r="KJ18" s="122">
        <f t="shared" si="97"/>
        <v>0</v>
      </c>
      <c r="KK18" s="122">
        <f t="shared" si="98"/>
        <v>0</v>
      </c>
      <c r="KL18" s="122">
        <f t="shared" si="99"/>
        <v>0</v>
      </c>
      <c r="KM18" s="122">
        <f t="shared" si="100"/>
        <v>0</v>
      </c>
      <c r="KN18" s="123">
        <f t="shared" si="101"/>
        <v>0</v>
      </c>
      <c r="KO18" s="123">
        <f t="shared" si="102"/>
        <v>0</v>
      </c>
      <c r="KP18" s="123">
        <f t="shared" si="103"/>
        <v>0</v>
      </c>
      <c r="KQ18" s="123">
        <f t="shared" si="104"/>
        <v>0</v>
      </c>
      <c r="KR18" s="123">
        <f t="shared" si="105"/>
        <v>0</v>
      </c>
      <c r="KT18">
        <f t="shared" si="106"/>
        <v>0</v>
      </c>
      <c r="KU18" s="123"/>
      <c r="KV18" s="123"/>
      <c r="KW18" s="123"/>
      <c r="KX18" s="123"/>
      <c r="KY18" s="123"/>
      <c r="KZ18" s="123"/>
      <c r="LA18" s="123"/>
      <c r="LB18" s="123"/>
      <c r="LC18" s="123"/>
      <c r="LD18" s="123"/>
      <c r="LE18" s="123"/>
      <c r="LF18" s="123"/>
      <c r="LG18" s="123"/>
      <c r="LH18" s="123"/>
      <c r="LI18" s="123"/>
      <c r="LJ18" s="123"/>
      <c r="LK18" s="123"/>
      <c r="LL18" s="123"/>
      <c r="LM18" s="123"/>
      <c r="LN18" s="123"/>
      <c r="LO18" s="123"/>
      <c r="LP18" s="123"/>
      <c r="LQ18" s="123"/>
      <c r="LR18" s="123"/>
      <c r="LS18" s="123"/>
      <c r="LT18" s="123"/>
      <c r="LU18" s="123"/>
      <c r="LV18" s="123"/>
      <c r="LW18" s="123"/>
      <c r="LX18" s="123"/>
      <c r="LY18" s="123"/>
      <c r="LZ18" s="123"/>
      <c r="MA18" s="123"/>
      <c r="MB18" s="123"/>
      <c r="MC18" s="123"/>
      <c r="MD18" s="123"/>
      <c r="ME18" s="123"/>
      <c r="MF18" s="123"/>
      <c r="MG18" s="123"/>
      <c r="MH18" s="123"/>
      <c r="MI18" s="123"/>
      <c r="MJ18" s="123"/>
      <c r="MK18" s="123"/>
      <c r="ML18" s="123"/>
      <c r="MM18" s="123"/>
      <c r="MN18" s="123"/>
      <c r="MO18" s="123"/>
      <c r="MP18" s="123"/>
      <c r="MQ18" s="123"/>
      <c r="MR18" s="123"/>
      <c r="MS18" s="123"/>
      <c r="MT18" s="123"/>
      <c r="MU18" s="123"/>
      <c r="MV18" s="123"/>
      <c r="MW18" s="123"/>
      <c r="MX18" s="123"/>
      <c r="MY18" s="123"/>
      <c r="MZ18" s="123"/>
      <c r="NA18" s="123"/>
      <c r="NB18" s="123"/>
      <c r="NC18" s="123"/>
      <c r="ND18" s="123"/>
      <c r="NE18" s="123"/>
      <c r="NF18" s="123"/>
      <c r="NG18" s="123"/>
      <c r="NH18" s="123"/>
      <c r="NI18" s="123"/>
      <c r="NJ18" s="123"/>
      <c r="NK18" s="123"/>
      <c r="NM18">
        <f t="shared" si="156"/>
        <v>0</v>
      </c>
      <c r="NN18">
        <f t="shared" si="157"/>
        <v>0</v>
      </c>
      <c r="NO18">
        <f t="shared" si="158"/>
        <v>0</v>
      </c>
      <c r="NP18">
        <f t="shared" si="159"/>
        <v>0</v>
      </c>
      <c r="NQ18">
        <f t="shared" si="160"/>
        <v>0</v>
      </c>
      <c r="NR18">
        <f t="shared" si="161"/>
        <v>0</v>
      </c>
      <c r="NS18">
        <f t="shared" si="162"/>
        <v>0</v>
      </c>
      <c r="NT18">
        <f t="shared" si="163"/>
        <v>0</v>
      </c>
      <c r="NU18" s="29">
        <f t="shared" si="164"/>
        <v>0</v>
      </c>
      <c r="NY18" s="29">
        <f t="shared" si="108"/>
        <v>1</v>
      </c>
      <c r="NZ18" s="152">
        <v>8036000</v>
      </c>
      <c r="OE18" s="155">
        <f t="shared" si="109"/>
        <v>0</v>
      </c>
      <c r="OF18" s="155">
        <f t="shared" si="110"/>
        <v>0</v>
      </c>
      <c r="OG18" s="155">
        <f t="shared" si="111"/>
        <v>0</v>
      </c>
      <c r="OH18" s="155">
        <f t="shared" si="165"/>
        <v>0</v>
      </c>
      <c r="OI18" s="155">
        <f t="shared" si="112"/>
        <v>0</v>
      </c>
      <c r="OJ18" s="67">
        <f t="shared" si="166"/>
        <v>0</v>
      </c>
      <c r="OK18" s="67">
        <f t="shared" si="167"/>
        <v>0</v>
      </c>
      <c r="OL18" s="67">
        <f t="shared" si="168"/>
        <v>0</v>
      </c>
      <c r="OM18" s="67">
        <f t="shared" si="169"/>
        <v>0</v>
      </c>
      <c r="OO18" s="155">
        <f t="shared" si="113"/>
        <v>0</v>
      </c>
      <c r="OP18" s="155">
        <f t="shared" si="114"/>
        <v>0</v>
      </c>
      <c r="OQ18" s="155">
        <f t="shared" si="170"/>
        <v>0</v>
      </c>
      <c r="OR18" s="155">
        <f t="shared" si="171"/>
        <v>0</v>
      </c>
      <c r="OS18" s="155">
        <f t="shared" si="172"/>
        <v>0</v>
      </c>
      <c r="OT18" s="67">
        <f t="shared" si="173"/>
        <v>0</v>
      </c>
      <c r="OU18" s="67">
        <f t="shared" si="174"/>
        <v>0</v>
      </c>
      <c r="OV18" s="67">
        <f t="shared" si="175"/>
        <v>0</v>
      </c>
      <c r="OW18" s="67">
        <f t="shared" si="176"/>
        <v>0</v>
      </c>
      <c r="PA18" s="166"/>
      <c r="PB18" s="166"/>
      <c r="PC18" s="166"/>
      <c r="PD18" s="210">
        <f t="shared" si="115"/>
        <v>0</v>
      </c>
      <c r="PE18" s="210"/>
      <c r="PF18" s="210">
        <f t="shared" si="116"/>
        <v>0</v>
      </c>
      <c r="PG18" s="210">
        <f t="shared" si="117"/>
        <v>0</v>
      </c>
      <c r="PH18" s="210">
        <f t="shared" si="117"/>
        <v>0</v>
      </c>
      <c r="PI18" s="210">
        <f t="shared" si="117"/>
        <v>0</v>
      </c>
      <c r="PJ18" s="210">
        <f t="shared" si="117"/>
        <v>0</v>
      </c>
      <c r="PK18" s="210">
        <f t="shared" si="117"/>
        <v>0</v>
      </c>
      <c r="PL18" s="210">
        <f t="shared" si="117"/>
        <v>0</v>
      </c>
      <c r="PO18" s="172">
        <f t="shared" si="177"/>
        <v>0</v>
      </c>
      <c r="PP18" s="172">
        <f t="shared" si="178"/>
        <v>0</v>
      </c>
      <c r="PQ18" s="172">
        <f t="shared" si="179"/>
        <v>0</v>
      </c>
    </row>
    <row r="19" spans="1:433" ht="16" x14ac:dyDescent="0.2">
      <c r="A19" s="19">
        <f t="shared" si="180"/>
        <v>11</v>
      </c>
      <c r="B19" s="138" t="s">
        <v>233</v>
      </c>
      <c r="C19" s="138">
        <v>12</v>
      </c>
      <c r="D19" s="20">
        <v>1</v>
      </c>
      <c r="E19" s="20">
        <v>117</v>
      </c>
      <c r="F19" s="20">
        <v>1</v>
      </c>
      <c r="G19" s="20">
        <f t="shared" si="2"/>
        <v>117</v>
      </c>
      <c r="H19" s="137">
        <f t="shared" si="3"/>
        <v>1</v>
      </c>
      <c r="I19" s="137">
        <f t="shared" si="4"/>
        <v>1</v>
      </c>
      <c r="J19" s="20">
        <v>1</v>
      </c>
      <c r="K19" s="20">
        <f t="shared" si="5"/>
        <v>117</v>
      </c>
      <c r="L19" s="137">
        <f t="shared" si="6"/>
        <v>1</v>
      </c>
      <c r="M19" s="137">
        <f t="shared" si="7"/>
        <v>1</v>
      </c>
      <c r="N19" s="20">
        <v>1</v>
      </c>
      <c r="O19" s="20">
        <f t="shared" si="8"/>
        <v>117</v>
      </c>
      <c r="P19" s="137">
        <f t="shared" si="9"/>
        <v>1</v>
      </c>
      <c r="Q19" s="137">
        <f t="shared" si="10"/>
        <v>1</v>
      </c>
      <c r="R19" s="20">
        <v>1</v>
      </c>
      <c r="S19" s="20">
        <f t="shared" si="11"/>
        <v>117</v>
      </c>
      <c r="T19" s="137">
        <f t="shared" si="12"/>
        <v>1</v>
      </c>
      <c r="U19" s="137">
        <f t="shared" si="13"/>
        <v>1</v>
      </c>
      <c r="V19" s="20">
        <v>1</v>
      </c>
      <c r="W19" s="20">
        <f t="shared" si="14"/>
        <v>117</v>
      </c>
      <c r="X19" s="137">
        <f t="shared" si="15"/>
        <v>1</v>
      </c>
      <c r="Y19" s="137">
        <f t="shared" si="16"/>
        <v>1</v>
      </c>
      <c r="Z19" s="38">
        <f>1001743000/1000000000</f>
        <v>1.0017430000000001</v>
      </c>
      <c r="AA19" s="38"/>
      <c r="AB19" s="17">
        <f t="shared" si="118"/>
        <v>0</v>
      </c>
      <c r="AC19" s="18">
        <f t="shared" si="119"/>
        <v>0</v>
      </c>
      <c r="AD19" s="18">
        <f t="shared" si="120"/>
        <v>0</v>
      </c>
      <c r="AE19" s="38"/>
      <c r="AF19" s="20">
        <f t="shared" si="121"/>
        <v>0</v>
      </c>
      <c r="AG19" s="20"/>
      <c r="AH19" s="31"/>
      <c r="AI19" s="20">
        <v>0</v>
      </c>
      <c r="AJ19" s="20">
        <f t="shared" si="181"/>
        <v>0</v>
      </c>
      <c r="AK19" s="20"/>
      <c r="AL19" s="20"/>
      <c r="AM19" s="20">
        <v>0</v>
      </c>
      <c r="AN19" s="156"/>
      <c r="BB19" s="17">
        <f t="shared" si="123"/>
        <v>0</v>
      </c>
      <c r="BE19" s="17">
        <f t="shared" si="19"/>
        <v>0</v>
      </c>
      <c r="BF19" s="17">
        <f t="shared" si="20"/>
        <v>0</v>
      </c>
      <c r="BG19" s="17">
        <f t="shared" si="21"/>
        <v>0</v>
      </c>
      <c r="BH19" s="17">
        <f t="shared" si="22"/>
        <v>0</v>
      </c>
      <c r="BI19" s="17">
        <f t="shared" si="23"/>
        <v>0</v>
      </c>
      <c r="BJ19" s="17">
        <f t="shared" si="24"/>
        <v>0</v>
      </c>
      <c r="BK19" s="17">
        <f t="shared" si="124"/>
        <v>0</v>
      </c>
      <c r="BN19" s="141"/>
      <c r="BO19" s="284"/>
      <c r="BP19" s="139"/>
      <c r="BQ19" s="139"/>
      <c r="BR19" s="139"/>
      <c r="BS19" s="139"/>
      <c r="BT19" s="139"/>
      <c r="BU19" s="139"/>
      <c r="BV19" s="139"/>
      <c r="BW19" s="139"/>
      <c r="BX19" s="139"/>
      <c r="BY19" s="139"/>
      <c r="BZ19" s="139"/>
      <c r="CB19" s="139"/>
      <c r="CD19" s="17">
        <f t="shared" si="125"/>
        <v>0</v>
      </c>
      <c r="CE19" s="17">
        <f t="shared" si="126"/>
        <v>0</v>
      </c>
      <c r="CF19" s="139">
        <f t="shared" si="182"/>
        <v>0</v>
      </c>
      <c r="CG19" s="139">
        <f t="shared" si="183"/>
        <v>0</v>
      </c>
      <c r="CH19" s="139">
        <f t="shared" si="184"/>
        <v>0</v>
      </c>
      <c r="CI19" s="139">
        <f t="shared" si="185"/>
        <v>0</v>
      </c>
      <c r="CJ19" s="139">
        <f t="shared" si="186"/>
        <v>0</v>
      </c>
      <c r="CK19" s="139">
        <f t="shared" si="187"/>
        <v>0</v>
      </c>
      <c r="CL19" s="139">
        <f t="shared" si="188"/>
        <v>0</v>
      </c>
      <c r="CM19" s="139">
        <f t="shared" si="189"/>
        <v>0</v>
      </c>
      <c r="CN19" s="139">
        <f t="shared" si="190"/>
        <v>0</v>
      </c>
      <c r="CO19" s="139">
        <f t="shared" si="191"/>
        <v>0</v>
      </c>
      <c r="CP19" s="139">
        <f t="shared" si="192"/>
        <v>0</v>
      </c>
      <c r="CQ19" s="148">
        <f t="shared" ref="CQ19" si="193">SUM(CE19:CP19)-CD19</f>
        <v>0</v>
      </c>
      <c r="DV19" s="139">
        <f t="shared" si="28"/>
        <v>0</v>
      </c>
      <c r="DW19" s="139">
        <f t="shared" si="29"/>
        <v>0</v>
      </c>
      <c r="DX19" s="139">
        <f t="shared" si="30"/>
        <v>0</v>
      </c>
      <c r="DY19" s="139">
        <f t="shared" si="31"/>
        <v>0</v>
      </c>
      <c r="DZ19" s="139">
        <f t="shared" si="32"/>
        <v>0</v>
      </c>
      <c r="EA19" s="139">
        <f t="shared" si="33"/>
        <v>0</v>
      </c>
      <c r="EB19" s="139">
        <f t="shared" si="127"/>
        <v>0</v>
      </c>
      <c r="EG19" s="57">
        <f t="shared" si="128"/>
        <v>0</v>
      </c>
      <c r="EH19" s="57">
        <f t="shared" si="129"/>
        <v>0</v>
      </c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X19" s="80"/>
      <c r="FY19" s="17">
        <f t="shared" si="130"/>
        <v>0</v>
      </c>
      <c r="FZ19" s="17">
        <f t="shared" si="35"/>
        <v>0</v>
      </c>
      <c r="GA19" s="17">
        <f t="shared" si="36"/>
        <v>0</v>
      </c>
      <c r="GB19" s="17">
        <f t="shared" si="37"/>
        <v>0</v>
      </c>
      <c r="GC19" s="17">
        <f t="shared" si="38"/>
        <v>0</v>
      </c>
      <c r="GD19" s="17">
        <f t="shared" si="39"/>
        <v>0</v>
      </c>
      <c r="GE19" s="17">
        <f t="shared" si="40"/>
        <v>0</v>
      </c>
      <c r="GF19" s="67"/>
      <c r="GG19" s="17">
        <v>0</v>
      </c>
      <c r="GH19" s="17">
        <v>0</v>
      </c>
      <c r="GI19" s="67"/>
      <c r="GJ19" s="62">
        <f t="shared" si="131"/>
        <v>0</v>
      </c>
      <c r="GK19" s="62">
        <f t="shared" si="132"/>
        <v>0</v>
      </c>
      <c r="GO19" s="17">
        <f t="shared" si="41"/>
        <v>0</v>
      </c>
      <c r="GP19" s="17">
        <f t="shared" si="42"/>
        <v>0</v>
      </c>
      <c r="GQ19" s="17">
        <f t="shared" si="43"/>
        <v>0</v>
      </c>
      <c r="GR19" s="17">
        <f t="shared" si="44"/>
        <v>0</v>
      </c>
      <c r="GS19" s="17">
        <f t="shared" si="45"/>
        <v>0</v>
      </c>
      <c r="GT19" s="17">
        <f t="shared" si="133"/>
        <v>1</v>
      </c>
      <c r="GU19" s="101">
        <f t="shared" si="134"/>
        <v>43243</v>
      </c>
      <c r="GV19" s="17" t="str">
        <f t="shared" si="135"/>
        <v>SELESAI</v>
      </c>
      <c r="GW19" s="17">
        <f t="shared" si="136"/>
        <v>0</v>
      </c>
      <c r="GX19" s="66" t="str">
        <f t="shared" si="137"/>
        <v>SELESAI</v>
      </c>
      <c r="GY19" s="66">
        <f t="shared" si="138"/>
        <v>0</v>
      </c>
      <c r="GZ19" s="102" t="str">
        <f t="shared" si="139"/>
        <v>SELESAI</v>
      </c>
      <c r="HA19" s="83"/>
      <c r="HB19" s="83"/>
      <c r="HC19" s="17">
        <f t="shared" si="46"/>
        <v>0</v>
      </c>
      <c r="HD19" s="17">
        <f t="shared" si="47"/>
        <v>0</v>
      </c>
      <c r="HE19" s="17">
        <f t="shared" si="140"/>
        <v>0</v>
      </c>
      <c r="HF19" s="17">
        <f t="shared" si="141"/>
        <v>0</v>
      </c>
      <c r="HG19" s="17">
        <f t="shared" si="142"/>
        <v>0</v>
      </c>
      <c r="HH19" s="101" t="str">
        <f t="shared" si="48"/>
        <v>TIDAK KONSINYASI</v>
      </c>
      <c r="HI19" s="101" t="str">
        <f t="shared" si="143"/>
        <v>SELESAI</v>
      </c>
      <c r="HJ19" s="27"/>
      <c r="HK19" s="101">
        <f t="shared" si="49"/>
        <v>0</v>
      </c>
      <c r="HL19" s="83"/>
      <c r="HM19" s="83"/>
      <c r="HN19" s="83"/>
      <c r="HO19" s="83"/>
      <c r="HP19" s="102">
        <f t="shared" si="144"/>
        <v>0</v>
      </c>
      <c r="HQ19" s="66">
        <f t="shared" si="145"/>
        <v>0</v>
      </c>
      <c r="HR19" s="66">
        <f t="shared" si="50"/>
        <v>0</v>
      </c>
      <c r="HS19" s="102">
        <f t="shared" si="146"/>
        <v>0</v>
      </c>
      <c r="HT19" s="66">
        <f t="shared" si="147"/>
        <v>0</v>
      </c>
      <c r="HU19" s="66">
        <f t="shared" si="51"/>
        <v>0</v>
      </c>
      <c r="HV19" s="102">
        <f t="shared" si="148"/>
        <v>0</v>
      </c>
      <c r="HW19" s="66">
        <f t="shared" si="52"/>
        <v>0</v>
      </c>
      <c r="HX19" s="66">
        <f t="shared" si="53"/>
        <v>0</v>
      </c>
      <c r="HY19" s="102">
        <f t="shared" si="54"/>
        <v>0</v>
      </c>
      <c r="HZ19" s="66">
        <f t="shared" si="149"/>
        <v>0</v>
      </c>
      <c r="IA19" s="66">
        <f t="shared" si="55"/>
        <v>0</v>
      </c>
      <c r="IB19" s="102">
        <f t="shared" si="150"/>
        <v>0</v>
      </c>
      <c r="IC19" s="66">
        <f t="shared" si="56"/>
        <v>0</v>
      </c>
      <c r="ID19" s="66">
        <f t="shared" si="57"/>
        <v>0</v>
      </c>
      <c r="IE19" s="102">
        <f t="shared" si="58"/>
        <v>0</v>
      </c>
      <c r="IF19" s="66">
        <f t="shared" si="59"/>
        <v>0</v>
      </c>
      <c r="IG19" s="66">
        <f t="shared" si="60"/>
        <v>0</v>
      </c>
      <c r="IH19" s="102">
        <f t="shared" si="151"/>
        <v>0</v>
      </c>
      <c r="II19" s="66">
        <f t="shared" si="152"/>
        <v>0</v>
      </c>
      <c r="IJ19" s="66">
        <f t="shared" si="61"/>
        <v>0</v>
      </c>
      <c r="IK19" s="102">
        <f t="shared" si="62"/>
        <v>0</v>
      </c>
      <c r="IL19" s="66">
        <f t="shared" si="63"/>
        <v>0</v>
      </c>
      <c r="IM19" s="66">
        <f t="shared" si="64"/>
        <v>0</v>
      </c>
      <c r="IN19" s="83"/>
      <c r="IO19" s="102">
        <f t="shared" si="65"/>
        <v>0</v>
      </c>
      <c r="IP19" s="66">
        <f t="shared" si="66"/>
        <v>0</v>
      </c>
      <c r="IQ19" s="66">
        <f t="shared" si="67"/>
        <v>0</v>
      </c>
      <c r="IR19" s="83"/>
      <c r="IS19" s="102"/>
      <c r="IT19" s="66">
        <f t="shared" si="68"/>
        <v>1</v>
      </c>
      <c r="IU19" s="66">
        <f t="shared" si="69"/>
        <v>117</v>
      </c>
      <c r="IV19" s="83"/>
      <c r="IW19" s="102"/>
      <c r="IX19" s="66">
        <f t="shared" si="70"/>
        <v>0</v>
      </c>
      <c r="IY19" s="66">
        <f t="shared" si="71"/>
        <v>0</v>
      </c>
      <c r="IZ19" s="83"/>
      <c r="JA19" s="102"/>
      <c r="JB19" s="66">
        <f t="shared" si="72"/>
        <v>0</v>
      </c>
      <c r="JC19" s="66">
        <f t="shared" si="73"/>
        <v>0</v>
      </c>
      <c r="JD19" s="83"/>
      <c r="JE19" s="102"/>
      <c r="JF19" s="66">
        <f t="shared" si="153"/>
        <v>1</v>
      </c>
      <c r="JG19" s="66">
        <f t="shared" si="74"/>
        <v>117</v>
      </c>
      <c r="JH19" s="83"/>
      <c r="JI19" s="102"/>
      <c r="JJ19" s="66">
        <f t="shared" si="75"/>
        <v>0</v>
      </c>
      <c r="JK19" s="66">
        <f t="shared" si="76"/>
        <v>0</v>
      </c>
      <c r="JM19" s="102">
        <f t="shared" si="154"/>
        <v>0</v>
      </c>
      <c r="JO19" s="29">
        <f t="shared" si="77"/>
        <v>0</v>
      </c>
      <c r="JP19" s="122">
        <f t="shared" si="78"/>
        <v>0</v>
      </c>
      <c r="JQ19" s="122">
        <f t="shared" si="79"/>
        <v>0</v>
      </c>
      <c r="JR19" s="122">
        <f t="shared" si="80"/>
        <v>0</v>
      </c>
      <c r="JS19" s="122">
        <f t="shared" si="81"/>
        <v>0</v>
      </c>
      <c r="JT19" s="122">
        <f t="shared" si="82"/>
        <v>0</v>
      </c>
      <c r="JU19" s="122">
        <f t="shared" si="83"/>
        <v>0</v>
      </c>
      <c r="JV19" s="122">
        <f t="shared" si="84"/>
        <v>0</v>
      </c>
      <c r="JW19" s="122">
        <f t="shared" si="85"/>
        <v>0</v>
      </c>
      <c r="JX19" s="122">
        <f t="shared" si="86"/>
        <v>0</v>
      </c>
      <c r="JY19" s="122">
        <f t="shared" si="87"/>
        <v>0</v>
      </c>
      <c r="JZ19" s="122">
        <f t="shared" si="88"/>
        <v>0</v>
      </c>
      <c r="KA19" s="122">
        <f t="shared" si="89"/>
        <v>0</v>
      </c>
      <c r="KB19" s="122">
        <f t="shared" si="90"/>
        <v>0</v>
      </c>
      <c r="KD19" s="122">
        <f t="shared" si="155"/>
        <v>0</v>
      </c>
      <c r="KE19" s="122">
        <f t="shared" si="92"/>
        <v>0</v>
      </c>
      <c r="KF19" s="122">
        <f t="shared" si="93"/>
        <v>0</v>
      </c>
      <c r="KG19" s="122">
        <f t="shared" si="94"/>
        <v>0</v>
      </c>
      <c r="KH19" s="122">
        <f t="shared" si="95"/>
        <v>0</v>
      </c>
      <c r="KI19" s="122">
        <f t="shared" si="96"/>
        <v>0</v>
      </c>
      <c r="KJ19" s="122">
        <f t="shared" si="97"/>
        <v>0</v>
      </c>
      <c r="KK19" s="122">
        <f t="shared" si="98"/>
        <v>0</v>
      </c>
      <c r="KL19" s="122">
        <f t="shared" si="99"/>
        <v>0</v>
      </c>
      <c r="KM19" s="122">
        <f t="shared" si="100"/>
        <v>0</v>
      </c>
      <c r="KN19" s="123">
        <f t="shared" si="101"/>
        <v>0</v>
      </c>
      <c r="KO19" s="123">
        <f t="shared" si="102"/>
        <v>0</v>
      </c>
      <c r="KP19" s="123">
        <f t="shared" si="103"/>
        <v>0</v>
      </c>
      <c r="KQ19" s="123">
        <f t="shared" si="104"/>
        <v>0</v>
      </c>
      <c r="KR19" s="123">
        <f t="shared" si="105"/>
        <v>0</v>
      </c>
      <c r="KT19">
        <f t="shared" si="106"/>
        <v>0</v>
      </c>
      <c r="KU19" s="123"/>
      <c r="KV19" s="123"/>
      <c r="KW19" s="123"/>
      <c r="KX19" s="123"/>
      <c r="KY19" s="123"/>
      <c r="KZ19" s="123"/>
      <c r="LA19" s="123"/>
      <c r="LB19" s="123"/>
      <c r="LC19" s="123"/>
      <c r="LD19" s="123"/>
      <c r="LE19" s="123"/>
      <c r="LF19" s="123"/>
      <c r="LG19" s="123"/>
      <c r="LH19" s="123"/>
      <c r="LI19" s="123"/>
      <c r="LJ19" s="123"/>
      <c r="LK19" s="123"/>
      <c r="LL19" s="123"/>
      <c r="LM19" s="123"/>
      <c r="LN19" s="123"/>
      <c r="LO19" s="123"/>
      <c r="LP19" s="123"/>
      <c r="LQ19" s="123"/>
      <c r="LR19" s="123"/>
      <c r="LS19" s="123"/>
      <c r="LT19" s="123"/>
      <c r="LU19" s="123"/>
      <c r="LV19" s="123"/>
      <c r="LW19" s="123"/>
      <c r="LX19" s="123"/>
      <c r="LY19" s="123"/>
      <c r="LZ19" s="123"/>
      <c r="MA19" s="123"/>
      <c r="MB19" s="123"/>
      <c r="MC19" s="123"/>
      <c r="MD19" s="123"/>
      <c r="ME19" s="123"/>
      <c r="MF19" s="123"/>
      <c r="MG19" s="123"/>
      <c r="MH19" s="123"/>
      <c r="MI19" s="123"/>
      <c r="MJ19" s="123"/>
      <c r="MK19" s="123"/>
      <c r="ML19" s="123"/>
      <c r="MM19" s="123"/>
      <c r="MN19" s="123"/>
      <c r="MO19" s="123"/>
      <c r="MP19" s="123"/>
      <c r="MQ19" s="123"/>
      <c r="MR19" s="123"/>
      <c r="MS19" s="123"/>
      <c r="MT19" s="123"/>
      <c r="MU19" s="123"/>
      <c r="MV19" s="123"/>
      <c r="MW19" s="123"/>
      <c r="MX19" s="123"/>
      <c r="MY19" s="123"/>
      <c r="MZ19" s="123"/>
      <c r="NA19" s="123"/>
      <c r="NB19" s="123"/>
      <c r="NC19" s="123"/>
      <c r="ND19" s="123"/>
      <c r="NE19" s="123"/>
      <c r="NF19" s="123"/>
      <c r="NG19" s="123"/>
      <c r="NH19" s="123"/>
      <c r="NI19" s="123"/>
      <c r="NJ19" s="123"/>
      <c r="NK19" s="123"/>
      <c r="NM19">
        <f t="shared" si="156"/>
        <v>0</v>
      </c>
      <c r="NN19">
        <f t="shared" si="157"/>
        <v>0</v>
      </c>
      <c r="NO19">
        <f t="shared" si="158"/>
        <v>0</v>
      </c>
      <c r="NP19">
        <f t="shared" si="159"/>
        <v>0</v>
      </c>
      <c r="NQ19">
        <f t="shared" si="160"/>
        <v>0</v>
      </c>
      <c r="NR19">
        <f t="shared" si="161"/>
        <v>0</v>
      </c>
      <c r="NS19">
        <f t="shared" si="162"/>
        <v>0</v>
      </c>
      <c r="NT19">
        <f t="shared" si="163"/>
        <v>0</v>
      </c>
      <c r="NU19" s="29">
        <f t="shared" si="164"/>
        <v>0</v>
      </c>
      <c r="NY19" s="29">
        <f t="shared" si="108"/>
        <v>1</v>
      </c>
      <c r="NZ19" s="152">
        <v>8036000</v>
      </c>
      <c r="OE19" s="155">
        <f t="shared" si="109"/>
        <v>0</v>
      </c>
      <c r="OF19" s="155">
        <f t="shared" si="110"/>
        <v>0</v>
      </c>
      <c r="OG19" s="155">
        <f t="shared" si="111"/>
        <v>0</v>
      </c>
      <c r="OH19" s="155">
        <f t="shared" si="165"/>
        <v>0</v>
      </c>
      <c r="OI19" s="155">
        <f t="shared" si="112"/>
        <v>0</v>
      </c>
      <c r="OJ19" s="67">
        <f t="shared" si="166"/>
        <v>0</v>
      </c>
      <c r="OK19" s="67">
        <f t="shared" si="167"/>
        <v>0</v>
      </c>
      <c r="OL19" s="67">
        <f t="shared" si="168"/>
        <v>0</v>
      </c>
      <c r="OM19" s="67">
        <f t="shared" si="169"/>
        <v>0</v>
      </c>
      <c r="OO19" s="155">
        <f t="shared" si="113"/>
        <v>0</v>
      </c>
      <c r="OP19" s="155">
        <f t="shared" si="114"/>
        <v>0</v>
      </c>
      <c r="OQ19" s="155">
        <f t="shared" si="170"/>
        <v>0</v>
      </c>
      <c r="OR19" s="155">
        <f t="shared" si="171"/>
        <v>0</v>
      </c>
      <c r="OS19" s="155">
        <f t="shared" si="172"/>
        <v>0</v>
      </c>
      <c r="OT19" s="67">
        <f t="shared" si="173"/>
        <v>0</v>
      </c>
      <c r="OU19" s="67">
        <f t="shared" si="174"/>
        <v>0</v>
      </c>
      <c r="OV19" s="67">
        <f t="shared" si="175"/>
        <v>0</v>
      </c>
      <c r="OW19" s="67">
        <f t="shared" si="176"/>
        <v>0</v>
      </c>
      <c r="PA19" s="166"/>
      <c r="PB19" s="166"/>
      <c r="PC19" s="166"/>
      <c r="PD19" s="210">
        <f t="shared" si="115"/>
        <v>0</v>
      </c>
      <c r="PE19" s="210"/>
      <c r="PF19" s="210">
        <f t="shared" si="116"/>
        <v>0</v>
      </c>
      <c r="PG19" s="210">
        <f t="shared" si="117"/>
        <v>0</v>
      </c>
      <c r="PH19" s="210">
        <f t="shared" si="117"/>
        <v>0</v>
      </c>
      <c r="PI19" s="210">
        <f t="shared" si="117"/>
        <v>0</v>
      </c>
      <c r="PJ19" s="210">
        <f t="shared" si="117"/>
        <v>0</v>
      </c>
      <c r="PK19" s="210">
        <f t="shared" si="117"/>
        <v>0</v>
      </c>
      <c r="PL19" s="210">
        <f t="shared" si="117"/>
        <v>0</v>
      </c>
      <c r="PO19" s="172">
        <f t="shared" si="177"/>
        <v>0</v>
      </c>
      <c r="PP19" s="172">
        <f t="shared" si="178"/>
        <v>0</v>
      </c>
      <c r="PQ19" s="172">
        <f t="shared" si="179"/>
        <v>0</v>
      </c>
    </row>
    <row r="20" spans="1:433" ht="16" x14ac:dyDescent="0.2">
      <c r="A20" s="19">
        <f t="shared" si="180"/>
        <v>12</v>
      </c>
      <c r="B20" s="138" t="s">
        <v>234</v>
      </c>
      <c r="C20" s="138">
        <v>13</v>
      </c>
      <c r="D20" s="20">
        <v>1</v>
      </c>
      <c r="E20" s="20">
        <v>119</v>
      </c>
      <c r="F20" s="20">
        <v>1</v>
      </c>
      <c r="G20" s="20">
        <f t="shared" si="2"/>
        <v>119</v>
      </c>
      <c r="H20" s="137">
        <f t="shared" si="3"/>
        <v>1</v>
      </c>
      <c r="I20" s="137">
        <f t="shared" si="4"/>
        <v>1</v>
      </c>
      <c r="J20" s="20">
        <v>1</v>
      </c>
      <c r="K20" s="20">
        <f t="shared" si="5"/>
        <v>119</v>
      </c>
      <c r="L20" s="137">
        <f t="shared" si="6"/>
        <v>1</v>
      </c>
      <c r="M20" s="137">
        <f t="shared" si="7"/>
        <v>1</v>
      </c>
      <c r="N20" s="20">
        <v>1</v>
      </c>
      <c r="O20" s="20">
        <f t="shared" si="8"/>
        <v>119</v>
      </c>
      <c r="P20" s="137">
        <f t="shared" si="9"/>
        <v>1</v>
      </c>
      <c r="Q20" s="137">
        <f t="shared" si="10"/>
        <v>1</v>
      </c>
      <c r="R20" s="20">
        <v>1</v>
      </c>
      <c r="S20" s="20">
        <f t="shared" si="11"/>
        <v>119</v>
      </c>
      <c r="T20" s="137">
        <f t="shared" si="12"/>
        <v>1</v>
      </c>
      <c r="U20" s="137">
        <f t="shared" si="13"/>
        <v>1</v>
      </c>
      <c r="V20" s="165">
        <v>1</v>
      </c>
      <c r="W20" s="20">
        <f t="shared" si="14"/>
        <v>119</v>
      </c>
      <c r="X20" s="137">
        <f t="shared" si="15"/>
        <v>1</v>
      </c>
      <c r="Y20" s="137">
        <f t="shared" si="16"/>
        <v>1</v>
      </c>
      <c r="Z20" s="38">
        <f>1020896000/1000000000</f>
        <v>1.020896</v>
      </c>
      <c r="AA20" s="38"/>
      <c r="AB20" s="17">
        <f t="shared" si="118"/>
        <v>0</v>
      </c>
      <c r="AC20" s="18">
        <f t="shared" si="119"/>
        <v>0</v>
      </c>
      <c r="AD20" s="18">
        <f t="shared" si="120"/>
        <v>0</v>
      </c>
      <c r="AE20" s="38"/>
      <c r="AF20" s="20">
        <f t="shared" si="121"/>
        <v>0</v>
      </c>
      <c r="AG20" s="20"/>
      <c r="AH20" s="31"/>
      <c r="AI20" s="20">
        <v>0</v>
      </c>
      <c r="AJ20" s="20">
        <f t="shared" si="181"/>
        <v>0</v>
      </c>
      <c r="AK20" s="20"/>
      <c r="AL20" s="20"/>
      <c r="AM20" s="20">
        <v>0</v>
      </c>
      <c r="AN20" s="156"/>
      <c r="BB20" s="17">
        <f t="shared" si="123"/>
        <v>0</v>
      </c>
      <c r="BE20" s="17">
        <f t="shared" si="19"/>
        <v>0</v>
      </c>
      <c r="BF20" s="17">
        <f t="shared" si="20"/>
        <v>0</v>
      </c>
      <c r="BG20" s="17">
        <f t="shared" si="21"/>
        <v>0</v>
      </c>
      <c r="BH20" s="17">
        <f t="shared" si="22"/>
        <v>0</v>
      </c>
      <c r="BI20" s="17">
        <f t="shared" si="23"/>
        <v>0</v>
      </c>
      <c r="BJ20" s="17">
        <f t="shared" si="24"/>
        <v>0</v>
      </c>
      <c r="BK20" s="17">
        <f t="shared" si="124"/>
        <v>0</v>
      </c>
      <c r="BN20" s="141"/>
      <c r="BO20" s="284"/>
      <c r="BP20" s="139"/>
      <c r="BQ20" s="139"/>
      <c r="BR20" s="139"/>
      <c r="BS20" s="139"/>
      <c r="BT20" s="139"/>
      <c r="BU20" s="139"/>
      <c r="BV20" s="139"/>
      <c r="BW20" s="139"/>
      <c r="BX20" s="139"/>
      <c r="BY20" s="139"/>
      <c r="BZ20" s="139"/>
      <c r="CB20" s="139"/>
      <c r="CD20" s="17">
        <f t="shared" si="125"/>
        <v>0</v>
      </c>
      <c r="CE20" s="17">
        <f t="shared" si="126"/>
        <v>0</v>
      </c>
      <c r="CF20" s="139">
        <f t="shared" si="182"/>
        <v>0</v>
      </c>
      <c r="CG20" s="139">
        <f t="shared" si="183"/>
        <v>0</v>
      </c>
      <c r="CH20" s="139">
        <f t="shared" si="184"/>
        <v>0</v>
      </c>
      <c r="CI20" s="139">
        <f t="shared" si="185"/>
        <v>0</v>
      </c>
      <c r="CJ20" s="139">
        <f t="shared" si="186"/>
        <v>0</v>
      </c>
      <c r="CK20" s="139">
        <f t="shared" si="187"/>
        <v>0</v>
      </c>
      <c r="CL20" s="139">
        <f t="shared" si="188"/>
        <v>0</v>
      </c>
      <c r="CM20" s="139">
        <f t="shared" si="189"/>
        <v>0</v>
      </c>
      <c r="CN20" s="139">
        <f t="shared" si="190"/>
        <v>0</v>
      </c>
      <c r="CO20" s="139">
        <f t="shared" si="191"/>
        <v>0</v>
      </c>
      <c r="CP20" s="139">
        <f t="shared" si="192"/>
        <v>0</v>
      </c>
      <c r="CQ20" s="148">
        <f t="shared" si="27"/>
        <v>0</v>
      </c>
      <c r="DV20" s="139">
        <f t="shared" si="28"/>
        <v>0</v>
      </c>
      <c r="DW20" s="139">
        <f t="shared" si="29"/>
        <v>0</v>
      </c>
      <c r="DX20" s="139">
        <f t="shared" si="30"/>
        <v>0</v>
      </c>
      <c r="DY20" s="139">
        <f t="shared" si="31"/>
        <v>0</v>
      </c>
      <c r="DZ20" s="139">
        <f t="shared" si="32"/>
        <v>0</v>
      </c>
      <c r="EA20" s="139">
        <f t="shared" si="33"/>
        <v>0</v>
      </c>
      <c r="EB20" s="139">
        <f t="shared" si="127"/>
        <v>0</v>
      </c>
      <c r="EG20" s="57">
        <f t="shared" si="128"/>
        <v>0</v>
      </c>
      <c r="EH20" s="57">
        <f t="shared" si="129"/>
        <v>0</v>
      </c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X20" s="80"/>
      <c r="FY20" s="17">
        <f t="shared" si="130"/>
        <v>0</v>
      </c>
      <c r="FZ20" s="17">
        <f t="shared" si="35"/>
        <v>0</v>
      </c>
      <c r="GA20" s="17">
        <f t="shared" si="36"/>
        <v>0</v>
      </c>
      <c r="GB20" s="17">
        <f t="shared" si="37"/>
        <v>0</v>
      </c>
      <c r="GC20" s="17">
        <f t="shared" si="38"/>
        <v>0</v>
      </c>
      <c r="GD20" s="17">
        <f t="shared" si="39"/>
        <v>0</v>
      </c>
      <c r="GE20" s="17">
        <f t="shared" si="40"/>
        <v>0</v>
      </c>
      <c r="GF20" s="67"/>
      <c r="GG20" s="17">
        <v>0</v>
      </c>
      <c r="GH20" s="17">
        <v>0</v>
      </c>
      <c r="GI20" s="67"/>
      <c r="GJ20" s="62">
        <f t="shared" si="131"/>
        <v>0</v>
      </c>
      <c r="GK20" s="62">
        <f t="shared" si="132"/>
        <v>0</v>
      </c>
      <c r="GO20" s="17">
        <f t="shared" si="41"/>
        <v>0</v>
      </c>
      <c r="GP20" s="17">
        <f t="shared" si="42"/>
        <v>0</v>
      </c>
      <c r="GQ20" s="17">
        <f t="shared" si="43"/>
        <v>0</v>
      </c>
      <c r="GR20" s="17">
        <f t="shared" si="44"/>
        <v>0</v>
      </c>
      <c r="GS20" s="17">
        <f t="shared" si="45"/>
        <v>0</v>
      </c>
      <c r="GT20" s="17">
        <f t="shared" si="133"/>
        <v>1</v>
      </c>
      <c r="GU20" s="101">
        <f t="shared" si="134"/>
        <v>43243</v>
      </c>
      <c r="GV20" s="17" t="str">
        <f t="shared" si="135"/>
        <v>SELESAI</v>
      </c>
      <c r="GW20" s="17">
        <f t="shared" si="136"/>
        <v>0</v>
      </c>
      <c r="GX20" s="66" t="str">
        <f t="shared" si="137"/>
        <v>SELESAI</v>
      </c>
      <c r="GY20" s="66">
        <f t="shared" si="138"/>
        <v>0</v>
      </c>
      <c r="GZ20" s="102" t="str">
        <f t="shared" si="139"/>
        <v>SELESAI</v>
      </c>
      <c r="HA20" s="83"/>
      <c r="HB20" s="83"/>
      <c r="HC20" s="17">
        <f t="shared" si="46"/>
        <v>0</v>
      </c>
      <c r="HD20" s="17">
        <f t="shared" si="47"/>
        <v>0</v>
      </c>
      <c r="HE20" s="17">
        <f t="shared" si="140"/>
        <v>0</v>
      </c>
      <c r="HF20" s="17">
        <f t="shared" si="141"/>
        <v>0</v>
      </c>
      <c r="HG20" s="17">
        <f t="shared" si="142"/>
        <v>0</v>
      </c>
      <c r="HH20" s="101" t="str">
        <f t="shared" si="48"/>
        <v>TIDAK KONSINYASI</v>
      </c>
      <c r="HI20" s="101" t="str">
        <f t="shared" si="143"/>
        <v>SELESAI</v>
      </c>
      <c r="HJ20" s="27"/>
      <c r="HK20" s="101">
        <f t="shared" si="49"/>
        <v>0</v>
      </c>
      <c r="HL20" s="83"/>
      <c r="HM20" s="83"/>
      <c r="HN20" s="83"/>
      <c r="HO20" s="83"/>
      <c r="HP20" s="102">
        <f t="shared" si="144"/>
        <v>0</v>
      </c>
      <c r="HQ20" s="66">
        <f t="shared" si="145"/>
        <v>0</v>
      </c>
      <c r="HR20" s="66">
        <f t="shared" si="50"/>
        <v>0</v>
      </c>
      <c r="HS20" s="102">
        <f t="shared" si="146"/>
        <v>0</v>
      </c>
      <c r="HT20" s="66">
        <f t="shared" si="147"/>
        <v>0</v>
      </c>
      <c r="HU20" s="66">
        <f t="shared" si="51"/>
        <v>0</v>
      </c>
      <c r="HV20" s="102">
        <f t="shared" si="148"/>
        <v>0</v>
      </c>
      <c r="HW20" s="66">
        <f t="shared" si="52"/>
        <v>0</v>
      </c>
      <c r="HX20" s="66">
        <f t="shared" si="53"/>
        <v>0</v>
      </c>
      <c r="HY20" s="102">
        <f t="shared" si="54"/>
        <v>0</v>
      </c>
      <c r="HZ20" s="66">
        <f t="shared" si="149"/>
        <v>0</v>
      </c>
      <c r="IA20" s="66">
        <f t="shared" si="55"/>
        <v>0</v>
      </c>
      <c r="IB20" s="102">
        <f t="shared" si="150"/>
        <v>0</v>
      </c>
      <c r="IC20" s="66">
        <f t="shared" si="56"/>
        <v>0</v>
      </c>
      <c r="ID20" s="66">
        <f t="shared" si="57"/>
        <v>0</v>
      </c>
      <c r="IE20" s="102">
        <f t="shared" si="58"/>
        <v>0</v>
      </c>
      <c r="IF20" s="66">
        <f t="shared" si="59"/>
        <v>0</v>
      </c>
      <c r="IG20" s="66">
        <f t="shared" si="60"/>
        <v>0</v>
      </c>
      <c r="IH20" s="102">
        <f t="shared" si="151"/>
        <v>0</v>
      </c>
      <c r="II20" s="66">
        <f t="shared" si="152"/>
        <v>0</v>
      </c>
      <c r="IJ20" s="66">
        <f t="shared" si="61"/>
        <v>0</v>
      </c>
      <c r="IK20" s="102">
        <f t="shared" si="62"/>
        <v>0</v>
      </c>
      <c r="IL20" s="66">
        <f t="shared" si="63"/>
        <v>0</v>
      </c>
      <c r="IM20" s="66">
        <f t="shared" si="64"/>
        <v>0</v>
      </c>
      <c r="IN20" s="83"/>
      <c r="IO20" s="102">
        <f t="shared" si="65"/>
        <v>0</v>
      </c>
      <c r="IP20" s="66">
        <f t="shared" si="66"/>
        <v>0</v>
      </c>
      <c r="IQ20" s="66">
        <f t="shared" si="67"/>
        <v>0</v>
      </c>
      <c r="IR20" s="83"/>
      <c r="IS20" s="102"/>
      <c r="IT20" s="66">
        <f t="shared" si="68"/>
        <v>1</v>
      </c>
      <c r="IU20" s="66">
        <f t="shared" si="69"/>
        <v>119</v>
      </c>
      <c r="IV20" s="83"/>
      <c r="IW20" s="102"/>
      <c r="IX20" s="66">
        <f t="shared" si="70"/>
        <v>0</v>
      </c>
      <c r="IY20" s="66">
        <f t="shared" si="71"/>
        <v>0</v>
      </c>
      <c r="IZ20" s="83"/>
      <c r="JA20" s="102"/>
      <c r="JB20" s="66">
        <f t="shared" si="72"/>
        <v>0</v>
      </c>
      <c r="JC20" s="66">
        <f t="shared" si="73"/>
        <v>0</v>
      </c>
      <c r="JD20" s="83"/>
      <c r="JE20" s="102"/>
      <c r="JF20" s="66">
        <f t="shared" si="153"/>
        <v>1</v>
      </c>
      <c r="JG20" s="66">
        <f t="shared" si="74"/>
        <v>119</v>
      </c>
      <c r="JH20" s="83"/>
      <c r="JI20" s="102"/>
      <c r="JJ20" s="66">
        <f t="shared" si="75"/>
        <v>0</v>
      </c>
      <c r="JK20" s="66">
        <f t="shared" si="76"/>
        <v>0</v>
      </c>
      <c r="JM20" s="102">
        <f t="shared" si="154"/>
        <v>0</v>
      </c>
      <c r="JO20" s="29">
        <f t="shared" si="77"/>
        <v>0</v>
      </c>
      <c r="JP20" s="122">
        <f t="shared" si="78"/>
        <v>0</v>
      </c>
      <c r="JQ20" s="122">
        <f t="shared" si="79"/>
        <v>0</v>
      </c>
      <c r="JR20" s="122">
        <f t="shared" si="80"/>
        <v>0</v>
      </c>
      <c r="JS20" s="122">
        <f t="shared" si="81"/>
        <v>0</v>
      </c>
      <c r="JT20" s="122">
        <f t="shared" si="82"/>
        <v>0</v>
      </c>
      <c r="JU20" s="122">
        <f t="shared" si="83"/>
        <v>0</v>
      </c>
      <c r="JV20" s="122">
        <f t="shared" si="84"/>
        <v>0</v>
      </c>
      <c r="JW20" s="122">
        <f t="shared" si="85"/>
        <v>0</v>
      </c>
      <c r="JX20" s="122">
        <f t="shared" si="86"/>
        <v>0</v>
      </c>
      <c r="JY20" s="122">
        <f t="shared" si="87"/>
        <v>0</v>
      </c>
      <c r="JZ20" s="122">
        <f t="shared" si="88"/>
        <v>0</v>
      </c>
      <c r="KA20" s="122">
        <f t="shared" si="89"/>
        <v>0</v>
      </c>
      <c r="KB20" s="122">
        <f t="shared" si="90"/>
        <v>0</v>
      </c>
      <c r="KD20" s="122">
        <f t="shared" si="155"/>
        <v>0</v>
      </c>
      <c r="KE20" s="122">
        <f t="shared" si="92"/>
        <v>0</v>
      </c>
      <c r="KF20" s="122">
        <f t="shared" si="93"/>
        <v>0</v>
      </c>
      <c r="KG20" s="122">
        <f t="shared" si="94"/>
        <v>0</v>
      </c>
      <c r="KH20" s="122">
        <f t="shared" si="95"/>
        <v>0</v>
      </c>
      <c r="KI20" s="122">
        <f t="shared" si="96"/>
        <v>0</v>
      </c>
      <c r="KJ20" s="122">
        <f t="shared" si="97"/>
        <v>0</v>
      </c>
      <c r="KK20" s="122">
        <f t="shared" si="98"/>
        <v>0</v>
      </c>
      <c r="KL20" s="122">
        <f t="shared" si="99"/>
        <v>0</v>
      </c>
      <c r="KM20" s="122">
        <f t="shared" si="100"/>
        <v>0</v>
      </c>
      <c r="KN20" s="123">
        <f t="shared" si="101"/>
        <v>0</v>
      </c>
      <c r="KO20" s="123">
        <f t="shared" si="102"/>
        <v>0</v>
      </c>
      <c r="KP20" s="123">
        <f t="shared" si="103"/>
        <v>0</v>
      </c>
      <c r="KQ20" s="123">
        <f t="shared" si="104"/>
        <v>0</v>
      </c>
      <c r="KR20" s="123">
        <f t="shared" si="105"/>
        <v>0</v>
      </c>
      <c r="KT20">
        <f t="shared" si="106"/>
        <v>0</v>
      </c>
      <c r="KU20" s="123"/>
      <c r="KV20" s="123"/>
      <c r="KW20" s="123"/>
      <c r="KX20" s="123"/>
      <c r="KY20" s="123"/>
      <c r="KZ20" s="123"/>
      <c r="LA20" s="123"/>
      <c r="LB20" s="123"/>
      <c r="LC20" s="123"/>
      <c r="LD20" s="123"/>
      <c r="LE20" s="123"/>
      <c r="LF20" s="123"/>
      <c r="LG20" s="123"/>
      <c r="LH20" s="123"/>
      <c r="LI20" s="123"/>
      <c r="LJ20" s="123"/>
      <c r="LK20" s="123"/>
      <c r="LL20" s="123"/>
      <c r="LM20" s="123"/>
      <c r="LN20" s="123"/>
      <c r="LO20" s="123"/>
      <c r="LP20" s="123"/>
      <c r="LQ20" s="123"/>
      <c r="LR20" s="123"/>
      <c r="LS20" s="123"/>
      <c r="LT20" s="123"/>
      <c r="LU20" s="123"/>
      <c r="LV20" s="123"/>
      <c r="LW20" s="123"/>
      <c r="LX20" s="123"/>
      <c r="LY20" s="123"/>
      <c r="LZ20" s="123"/>
      <c r="MA20" s="123"/>
      <c r="MB20" s="123"/>
      <c r="MC20" s="123"/>
      <c r="MD20" s="123"/>
      <c r="ME20" s="123"/>
      <c r="MF20" s="123"/>
      <c r="MG20" s="123"/>
      <c r="MH20" s="123"/>
      <c r="MI20" s="123"/>
      <c r="MJ20" s="123"/>
      <c r="MK20" s="123"/>
      <c r="ML20" s="123"/>
      <c r="MM20" s="123"/>
      <c r="MN20" s="123"/>
      <c r="MO20" s="123"/>
      <c r="MP20" s="123"/>
      <c r="MQ20" s="123"/>
      <c r="MR20" s="123"/>
      <c r="MS20" s="123"/>
      <c r="MT20" s="123"/>
      <c r="MU20" s="123"/>
      <c r="MV20" s="123"/>
      <c r="MW20" s="123"/>
      <c r="MX20" s="123"/>
      <c r="MY20" s="123"/>
      <c r="MZ20" s="123"/>
      <c r="NA20" s="123"/>
      <c r="NB20" s="123"/>
      <c r="NC20" s="123"/>
      <c r="ND20" s="123"/>
      <c r="NE20" s="123"/>
      <c r="NF20" s="123"/>
      <c r="NG20" s="123"/>
      <c r="NH20" s="123"/>
      <c r="NI20" s="123"/>
      <c r="NJ20" s="123"/>
      <c r="NK20" s="123"/>
      <c r="NM20">
        <f t="shared" si="156"/>
        <v>0</v>
      </c>
      <c r="NN20">
        <f t="shared" si="157"/>
        <v>0</v>
      </c>
      <c r="NO20">
        <f t="shared" si="158"/>
        <v>0</v>
      </c>
      <c r="NP20">
        <f t="shared" si="159"/>
        <v>0</v>
      </c>
      <c r="NQ20">
        <f t="shared" si="160"/>
        <v>0</v>
      </c>
      <c r="NR20">
        <f t="shared" si="161"/>
        <v>0</v>
      </c>
      <c r="NS20">
        <f t="shared" si="162"/>
        <v>0</v>
      </c>
      <c r="NT20">
        <f t="shared" si="163"/>
        <v>0</v>
      </c>
      <c r="NU20" s="29">
        <f t="shared" si="164"/>
        <v>0</v>
      </c>
      <c r="NY20" s="29">
        <f t="shared" si="108"/>
        <v>1</v>
      </c>
      <c r="NZ20" s="152">
        <v>8036000</v>
      </c>
      <c r="OE20" s="155">
        <f t="shared" si="109"/>
        <v>0</v>
      </c>
      <c r="OF20" s="155">
        <f t="shared" si="110"/>
        <v>0</v>
      </c>
      <c r="OG20" s="155">
        <f t="shared" si="111"/>
        <v>0</v>
      </c>
      <c r="OH20" s="155">
        <f t="shared" si="165"/>
        <v>0</v>
      </c>
      <c r="OI20" s="155">
        <f t="shared" si="112"/>
        <v>0</v>
      </c>
      <c r="OJ20" s="67">
        <f t="shared" si="166"/>
        <v>0</v>
      </c>
      <c r="OK20" s="67">
        <f t="shared" si="167"/>
        <v>0</v>
      </c>
      <c r="OL20" s="67">
        <f t="shared" si="168"/>
        <v>0</v>
      </c>
      <c r="OM20" s="67">
        <f t="shared" si="169"/>
        <v>0</v>
      </c>
      <c r="OO20" s="155">
        <f t="shared" si="113"/>
        <v>0</v>
      </c>
      <c r="OP20" s="155">
        <f t="shared" si="114"/>
        <v>0</v>
      </c>
      <c r="OQ20" s="155">
        <f t="shared" si="170"/>
        <v>0</v>
      </c>
      <c r="OR20" s="155">
        <f t="shared" si="171"/>
        <v>0</v>
      </c>
      <c r="OS20" s="155">
        <f t="shared" si="172"/>
        <v>0</v>
      </c>
      <c r="OT20" s="67">
        <f t="shared" si="173"/>
        <v>0</v>
      </c>
      <c r="OU20" s="67">
        <f t="shared" si="174"/>
        <v>0</v>
      </c>
      <c r="OV20" s="67">
        <f t="shared" si="175"/>
        <v>0</v>
      </c>
      <c r="OW20" s="67">
        <f t="shared" si="176"/>
        <v>0</v>
      </c>
      <c r="PA20" s="166"/>
      <c r="PB20" s="166"/>
      <c r="PC20" s="166"/>
      <c r="PD20" s="210">
        <f t="shared" si="115"/>
        <v>0</v>
      </c>
      <c r="PE20" s="210"/>
      <c r="PF20" s="210">
        <f t="shared" si="116"/>
        <v>0</v>
      </c>
      <c r="PG20" s="210">
        <f t="shared" si="117"/>
        <v>0</v>
      </c>
      <c r="PH20" s="210">
        <f t="shared" si="117"/>
        <v>0</v>
      </c>
      <c r="PI20" s="210">
        <f t="shared" si="117"/>
        <v>0</v>
      </c>
      <c r="PJ20" s="210">
        <f t="shared" si="117"/>
        <v>0</v>
      </c>
      <c r="PK20" s="210">
        <f t="shared" si="117"/>
        <v>0</v>
      </c>
      <c r="PL20" s="210">
        <f t="shared" si="117"/>
        <v>0</v>
      </c>
      <c r="PO20" s="172">
        <f t="shared" si="177"/>
        <v>0</v>
      </c>
      <c r="PP20" s="172">
        <f t="shared" si="178"/>
        <v>0</v>
      </c>
      <c r="PQ20" s="172">
        <f t="shared" si="179"/>
        <v>0</v>
      </c>
    </row>
    <row r="21" spans="1:433" ht="15.75" customHeight="1" x14ac:dyDescent="0.2">
      <c r="A21" s="19">
        <f t="shared" si="180"/>
        <v>13</v>
      </c>
      <c r="B21" s="138" t="s">
        <v>233</v>
      </c>
      <c r="C21" s="138">
        <v>14</v>
      </c>
      <c r="D21" s="20">
        <v>1</v>
      </c>
      <c r="E21" s="20">
        <v>99</v>
      </c>
      <c r="F21" s="20">
        <v>1</v>
      </c>
      <c r="G21" s="20">
        <f t="shared" si="2"/>
        <v>99</v>
      </c>
      <c r="H21" s="137">
        <f t="shared" si="3"/>
        <v>1</v>
      </c>
      <c r="I21" s="137">
        <f t="shared" si="4"/>
        <v>1</v>
      </c>
      <c r="J21" s="20">
        <v>1</v>
      </c>
      <c r="K21" s="20">
        <f t="shared" si="5"/>
        <v>99</v>
      </c>
      <c r="L21" s="137">
        <f t="shared" si="6"/>
        <v>1</v>
      </c>
      <c r="M21" s="137">
        <f t="shared" si="7"/>
        <v>1</v>
      </c>
      <c r="N21" s="20">
        <v>1</v>
      </c>
      <c r="O21" s="20">
        <f t="shared" si="8"/>
        <v>99</v>
      </c>
      <c r="P21" s="137">
        <f t="shared" si="9"/>
        <v>1</v>
      </c>
      <c r="Q21" s="137">
        <f t="shared" si="10"/>
        <v>1</v>
      </c>
      <c r="R21" s="20">
        <v>1</v>
      </c>
      <c r="S21" s="20">
        <f t="shared" si="11"/>
        <v>99</v>
      </c>
      <c r="T21" s="137">
        <f t="shared" si="12"/>
        <v>1</v>
      </c>
      <c r="U21" s="137">
        <f t="shared" si="13"/>
        <v>1</v>
      </c>
      <c r="V21" s="20">
        <v>1</v>
      </c>
      <c r="W21" s="20">
        <f t="shared" si="14"/>
        <v>99</v>
      </c>
      <c r="X21" s="137">
        <f t="shared" si="15"/>
        <v>1</v>
      </c>
      <c r="Y21" s="137">
        <f t="shared" si="16"/>
        <v>1</v>
      </c>
      <c r="Z21" s="38">
        <f>1093101000/1000000000</f>
        <v>1.0931010000000001</v>
      </c>
      <c r="AA21" s="38"/>
      <c r="AB21" s="17">
        <f t="shared" si="118"/>
        <v>0</v>
      </c>
      <c r="AC21" s="18">
        <f t="shared" si="119"/>
        <v>0</v>
      </c>
      <c r="AD21" s="18">
        <f t="shared" si="120"/>
        <v>0</v>
      </c>
      <c r="AE21" s="38"/>
      <c r="AF21" s="20">
        <f t="shared" si="121"/>
        <v>0</v>
      </c>
      <c r="AG21" s="20"/>
      <c r="AH21" s="31"/>
      <c r="AI21" s="20">
        <v>0</v>
      </c>
      <c r="AJ21" s="20">
        <f t="shared" si="181"/>
        <v>0</v>
      </c>
      <c r="AK21" s="20"/>
      <c r="AL21" s="20"/>
      <c r="AM21" s="20">
        <v>0</v>
      </c>
      <c r="AN21" s="139"/>
      <c r="BB21" s="17">
        <f t="shared" si="123"/>
        <v>0</v>
      </c>
      <c r="BE21" s="17">
        <f t="shared" si="19"/>
        <v>0</v>
      </c>
      <c r="BF21" s="17">
        <f t="shared" si="20"/>
        <v>0</v>
      </c>
      <c r="BG21" s="17">
        <f t="shared" si="21"/>
        <v>0</v>
      </c>
      <c r="BH21" s="17">
        <f t="shared" si="22"/>
        <v>0</v>
      </c>
      <c r="BI21" s="17">
        <f t="shared" si="23"/>
        <v>0</v>
      </c>
      <c r="BJ21" s="17">
        <f t="shared" si="24"/>
        <v>0</v>
      </c>
      <c r="BK21" s="17">
        <f t="shared" si="124"/>
        <v>0</v>
      </c>
      <c r="BN21" s="142">
        <v>7</v>
      </c>
      <c r="BO21">
        <v>1</v>
      </c>
      <c r="BP21" s="139"/>
      <c r="BQ21" s="139"/>
      <c r="BR21" s="139"/>
      <c r="BS21" s="139"/>
      <c r="BT21" s="139"/>
      <c r="BU21" s="139"/>
      <c r="BV21" s="139"/>
      <c r="BW21" s="139"/>
      <c r="BX21" s="139"/>
      <c r="BY21" s="139"/>
      <c r="BZ21" s="139"/>
      <c r="CB21" s="139"/>
      <c r="CD21" s="17">
        <f t="shared" si="125"/>
        <v>7</v>
      </c>
      <c r="CE21" s="17">
        <f t="shared" si="126"/>
        <v>7</v>
      </c>
      <c r="CF21" s="139">
        <f t="shared" si="182"/>
        <v>0</v>
      </c>
      <c r="CG21" s="139">
        <f t="shared" si="183"/>
        <v>0</v>
      </c>
      <c r="CH21" s="139">
        <f t="shared" si="184"/>
        <v>0</v>
      </c>
      <c r="CI21" s="139">
        <f t="shared" si="185"/>
        <v>0</v>
      </c>
      <c r="CJ21" s="139">
        <f t="shared" si="186"/>
        <v>0</v>
      </c>
      <c r="CK21" s="139">
        <f t="shared" si="187"/>
        <v>0</v>
      </c>
      <c r="CL21" s="139">
        <f t="shared" si="188"/>
        <v>0</v>
      </c>
      <c r="CM21" s="139">
        <f t="shared" si="189"/>
        <v>0</v>
      </c>
      <c r="CN21" s="139">
        <f t="shared" si="190"/>
        <v>0</v>
      </c>
      <c r="CO21" s="139">
        <f t="shared" si="191"/>
        <v>0</v>
      </c>
      <c r="CP21" s="139">
        <f t="shared" si="192"/>
        <v>0</v>
      </c>
      <c r="CQ21" s="148">
        <f t="shared" si="27"/>
        <v>0</v>
      </c>
      <c r="DV21" s="139">
        <f t="shared" si="28"/>
        <v>0</v>
      </c>
      <c r="DW21" s="139">
        <f t="shared" si="29"/>
        <v>0</v>
      </c>
      <c r="DX21" s="139">
        <f t="shared" si="30"/>
        <v>0</v>
      </c>
      <c r="DY21" s="139">
        <f t="shared" si="31"/>
        <v>0</v>
      </c>
      <c r="DZ21" s="139">
        <f t="shared" si="32"/>
        <v>0</v>
      </c>
      <c r="EA21" s="139">
        <f t="shared" si="33"/>
        <v>0</v>
      </c>
      <c r="EB21" s="139">
        <f t="shared" si="127"/>
        <v>0</v>
      </c>
      <c r="EG21" s="57">
        <f t="shared" si="128"/>
        <v>0</v>
      </c>
      <c r="EH21" s="57">
        <f t="shared" si="129"/>
        <v>0</v>
      </c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X21" s="80">
        <v>1</v>
      </c>
      <c r="FY21" s="17">
        <f t="shared" si="130"/>
        <v>7</v>
      </c>
      <c r="FZ21" s="17">
        <f t="shared" si="35"/>
        <v>7</v>
      </c>
      <c r="GA21" s="17">
        <f t="shared" si="36"/>
        <v>0</v>
      </c>
      <c r="GB21" s="17">
        <f t="shared" si="37"/>
        <v>0</v>
      </c>
      <c r="GC21" s="17">
        <f t="shared" si="38"/>
        <v>0</v>
      </c>
      <c r="GD21" s="17">
        <f t="shared" si="39"/>
        <v>0</v>
      </c>
      <c r="GE21" s="17">
        <f t="shared" si="40"/>
        <v>0</v>
      </c>
      <c r="GF21" s="67"/>
      <c r="GG21" s="17">
        <v>0</v>
      </c>
      <c r="GH21" s="17">
        <v>0</v>
      </c>
      <c r="GI21" s="67"/>
      <c r="GJ21" s="62">
        <f t="shared" si="131"/>
        <v>0</v>
      </c>
      <c r="GK21" s="62">
        <f t="shared" si="132"/>
        <v>0</v>
      </c>
      <c r="GO21" s="17">
        <f t="shared" si="41"/>
        <v>0</v>
      </c>
      <c r="GP21" s="17">
        <f t="shared" si="42"/>
        <v>0</v>
      </c>
      <c r="GQ21" s="17">
        <f t="shared" si="43"/>
        <v>0</v>
      </c>
      <c r="GR21" s="17">
        <f t="shared" si="44"/>
        <v>0</v>
      </c>
      <c r="GS21" s="17">
        <f t="shared" si="45"/>
        <v>0</v>
      </c>
      <c r="GT21" s="17">
        <f t="shared" si="133"/>
        <v>1</v>
      </c>
      <c r="GU21" s="101">
        <f t="shared" si="134"/>
        <v>43243</v>
      </c>
      <c r="GV21" s="17" t="str">
        <f t="shared" si="135"/>
        <v>SELESAI</v>
      </c>
      <c r="GW21" s="17">
        <f t="shared" si="136"/>
        <v>0</v>
      </c>
      <c r="GX21" s="66" t="str">
        <f t="shared" si="137"/>
        <v>SELESAI</v>
      </c>
      <c r="GY21" s="66">
        <f t="shared" si="138"/>
        <v>0</v>
      </c>
      <c r="GZ21" s="102" t="str">
        <f t="shared" si="139"/>
        <v>SELESAI</v>
      </c>
      <c r="HA21" s="83"/>
      <c r="HB21" s="83"/>
      <c r="HC21" s="17">
        <f t="shared" si="46"/>
        <v>0</v>
      </c>
      <c r="HD21" s="17">
        <f t="shared" si="47"/>
        <v>0</v>
      </c>
      <c r="HE21" s="17">
        <f t="shared" si="140"/>
        <v>0</v>
      </c>
      <c r="HF21" s="17">
        <f t="shared" si="141"/>
        <v>0</v>
      </c>
      <c r="HG21" s="17">
        <f t="shared" si="142"/>
        <v>0</v>
      </c>
      <c r="HH21" s="101" t="str">
        <f t="shared" si="48"/>
        <v>TIDAK KONSINYASI</v>
      </c>
      <c r="HI21" s="101" t="str">
        <f t="shared" si="143"/>
        <v>SELESAI</v>
      </c>
      <c r="HJ21" s="27"/>
      <c r="HK21" s="101">
        <f t="shared" si="49"/>
        <v>0</v>
      </c>
      <c r="HL21" s="83"/>
      <c r="HM21" s="83"/>
      <c r="HN21" s="83"/>
      <c r="HO21" s="83"/>
      <c r="HP21" s="102">
        <f t="shared" si="144"/>
        <v>0</v>
      </c>
      <c r="HQ21" s="66">
        <f t="shared" si="145"/>
        <v>0</v>
      </c>
      <c r="HR21" s="66">
        <f t="shared" si="50"/>
        <v>0</v>
      </c>
      <c r="HS21" s="102">
        <f t="shared" si="146"/>
        <v>0</v>
      </c>
      <c r="HT21" s="66">
        <f t="shared" si="147"/>
        <v>0</v>
      </c>
      <c r="HU21" s="66">
        <f t="shared" si="51"/>
        <v>0</v>
      </c>
      <c r="HV21" s="102">
        <f t="shared" si="148"/>
        <v>0</v>
      </c>
      <c r="HW21" s="66">
        <f t="shared" si="52"/>
        <v>0</v>
      </c>
      <c r="HX21" s="66">
        <f t="shared" si="53"/>
        <v>0</v>
      </c>
      <c r="HY21" s="102">
        <f t="shared" si="54"/>
        <v>0</v>
      </c>
      <c r="HZ21" s="66">
        <f t="shared" si="149"/>
        <v>0</v>
      </c>
      <c r="IA21" s="66">
        <f t="shared" si="55"/>
        <v>0</v>
      </c>
      <c r="IB21" s="102">
        <f t="shared" si="150"/>
        <v>0</v>
      </c>
      <c r="IC21" s="66">
        <f t="shared" si="56"/>
        <v>0</v>
      </c>
      <c r="ID21" s="66">
        <f t="shared" si="57"/>
        <v>0</v>
      </c>
      <c r="IE21" s="102">
        <f t="shared" si="58"/>
        <v>0</v>
      </c>
      <c r="IF21" s="66">
        <f t="shared" si="59"/>
        <v>0</v>
      </c>
      <c r="IG21" s="66">
        <f t="shared" si="60"/>
        <v>0</v>
      </c>
      <c r="IH21" s="102">
        <f t="shared" si="151"/>
        <v>0</v>
      </c>
      <c r="II21" s="66">
        <f t="shared" si="152"/>
        <v>0</v>
      </c>
      <c r="IJ21" s="66">
        <f t="shared" si="61"/>
        <v>0</v>
      </c>
      <c r="IK21" s="102">
        <f t="shared" si="62"/>
        <v>0</v>
      </c>
      <c r="IL21" s="66">
        <f t="shared" si="63"/>
        <v>0</v>
      </c>
      <c r="IM21" s="66">
        <f t="shared" si="64"/>
        <v>0</v>
      </c>
      <c r="IN21" s="83"/>
      <c r="IO21" s="102">
        <f t="shared" si="65"/>
        <v>0</v>
      </c>
      <c r="IP21" s="66">
        <f t="shared" si="66"/>
        <v>0</v>
      </c>
      <c r="IQ21" s="66">
        <f t="shared" si="67"/>
        <v>0</v>
      </c>
      <c r="IR21" s="83"/>
      <c r="IS21" s="102"/>
      <c r="IT21" s="66">
        <f t="shared" si="68"/>
        <v>1</v>
      </c>
      <c r="IU21" s="66">
        <f t="shared" si="69"/>
        <v>99</v>
      </c>
      <c r="IV21" s="83"/>
      <c r="IW21" s="102"/>
      <c r="IX21" s="66">
        <f t="shared" si="70"/>
        <v>0</v>
      </c>
      <c r="IY21" s="66">
        <f t="shared" si="71"/>
        <v>0</v>
      </c>
      <c r="IZ21" s="83"/>
      <c r="JA21" s="102"/>
      <c r="JB21" s="66">
        <f t="shared" si="72"/>
        <v>0</v>
      </c>
      <c r="JC21" s="66">
        <f t="shared" si="73"/>
        <v>0</v>
      </c>
      <c r="JD21" s="83"/>
      <c r="JE21" s="102"/>
      <c r="JF21" s="66">
        <f t="shared" si="153"/>
        <v>1</v>
      </c>
      <c r="JG21" s="66">
        <f t="shared" si="74"/>
        <v>99</v>
      </c>
      <c r="JH21" s="83"/>
      <c r="JI21" s="102"/>
      <c r="JJ21" s="66">
        <f t="shared" si="75"/>
        <v>0</v>
      </c>
      <c r="JK21" s="66">
        <f t="shared" si="76"/>
        <v>0</v>
      </c>
      <c r="JM21" s="102">
        <f t="shared" si="154"/>
        <v>0</v>
      </c>
      <c r="JO21" s="29">
        <f t="shared" si="77"/>
        <v>1</v>
      </c>
      <c r="JP21" s="122">
        <f t="shared" si="78"/>
        <v>7</v>
      </c>
      <c r="JQ21" s="122">
        <f t="shared" si="79"/>
        <v>1</v>
      </c>
      <c r="JR21" s="122">
        <f t="shared" si="80"/>
        <v>0</v>
      </c>
      <c r="JS21" s="122">
        <f t="shared" si="81"/>
        <v>0</v>
      </c>
      <c r="JT21" s="122">
        <f t="shared" si="82"/>
        <v>0</v>
      </c>
      <c r="JU21" s="122">
        <f t="shared" si="83"/>
        <v>0</v>
      </c>
      <c r="JV21" s="122">
        <f t="shared" si="84"/>
        <v>0</v>
      </c>
      <c r="JW21" s="122">
        <f t="shared" si="85"/>
        <v>0</v>
      </c>
      <c r="JX21" s="122">
        <f t="shared" si="86"/>
        <v>0</v>
      </c>
      <c r="JY21" s="122">
        <f t="shared" si="87"/>
        <v>0</v>
      </c>
      <c r="JZ21" s="122">
        <f t="shared" si="88"/>
        <v>0</v>
      </c>
      <c r="KA21" s="122">
        <f t="shared" si="89"/>
        <v>0</v>
      </c>
      <c r="KB21" s="122">
        <f t="shared" si="90"/>
        <v>0</v>
      </c>
      <c r="KD21" s="122">
        <f t="shared" si="155"/>
        <v>0</v>
      </c>
      <c r="KE21" s="122">
        <f t="shared" si="92"/>
        <v>0</v>
      </c>
      <c r="KF21" s="122">
        <f t="shared" si="93"/>
        <v>7</v>
      </c>
      <c r="KG21" s="122">
        <f t="shared" si="94"/>
        <v>7</v>
      </c>
      <c r="KH21" s="122">
        <f t="shared" si="95"/>
        <v>0</v>
      </c>
      <c r="KI21" s="122">
        <f t="shared" si="96"/>
        <v>0</v>
      </c>
      <c r="KJ21" s="122">
        <f t="shared" si="97"/>
        <v>0</v>
      </c>
      <c r="KK21" s="122">
        <f t="shared" si="98"/>
        <v>0</v>
      </c>
      <c r="KL21" s="122">
        <f t="shared" si="99"/>
        <v>0</v>
      </c>
      <c r="KM21" s="122">
        <f t="shared" si="100"/>
        <v>0</v>
      </c>
      <c r="KN21" s="123">
        <f t="shared" si="101"/>
        <v>0</v>
      </c>
      <c r="KO21" s="123">
        <f t="shared" si="102"/>
        <v>0</v>
      </c>
      <c r="KP21" s="123">
        <f t="shared" si="103"/>
        <v>0</v>
      </c>
      <c r="KQ21" s="123">
        <f t="shared" si="104"/>
        <v>0</v>
      </c>
      <c r="KR21" s="123">
        <f t="shared" si="105"/>
        <v>0</v>
      </c>
      <c r="KT21">
        <f t="shared" si="106"/>
        <v>0</v>
      </c>
      <c r="KU21" s="123"/>
      <c r="KV21" s="123"/>
      <c r="KW21" s="123"/>
      <c r="KX21" s="123"/>
      <c r="KY21" s="123"/>
      <c r="KZ21" s="123"/>
      <c r="LA21" s="123"/>
      <c r="LB21" s="123"/>
      <c r="LC21" s="123"/>
      <c r="LD21" s="123"/>
      <c r="LE21" s="123"/>
      <c r="LF21" s="123"/>
      <c r="LG21" s="123"/>
      <c r="LH21" s="123"/>
      <c r="LI21" s="123"/>
      <c r="LJ21" s="123"/>
      <c r="LK21" s="123"/>
      <c r="LL21" s="123"/>
      <c r="LM21" s="123"/>
      <c r="LN21" s="123"/>
      <c r="LO21" s="123"/>
      <c r="LP21" s="123"/>
      <c r="LQ21" s="123"/>
      <c r="LR21" s="123"/>
      <c r="LS21" s="123"/>
      <c r="LT21" s="123"/>
      <c r="LU21" s="123"/>
      <c r="LV21" s="123"/>
      <c r="LW21" s="123"/>
      <c r="LX21" s="123"/>
      <c r="LY21" s="123"/>
      <c r="LZ21" s="123"/>
      <c r="MA21" s="123"/>
      <c r="MB21" s="123"/>
      <c r="MC21" s="123"/>
      <c r="MD21" s="123"/>
      <c r="ME21" s="123"/>
      <c r="MF21" s="123"/>
      <c r="MG21" s="123"/>
      <c r="MH21" s="123"/>
      <c r="MI21" s="123"/>
      <c r="MJ21" s="123"/>
      <c r="MK21" s="123"/>
      <c r="ML21" s="123"/>
      <c r="MM21" s="123"/>
      <c r="MN21" s="123"/>
      <c r="MO21" s="123"/>
      <c r="MP21" s="123"/>
      <c r="MQ21" s="123"/>
      <c r="MR21" s="123"/>
      <c r="MS21" s="123"/>
      <c r="MT21" s="123"/>
      <c r="MU21" s="123"/>
      <c r="MV21" s="123"/>
      <c r="MW21" s="123"/>
      <c r="MX21" s="123"/>
      <c r="MY21" s="123"/>
      <c r="MZ21" s="123"/>
      <c r="NA21" s="123"/>
      <c r="NB21" s="123"/>
      <c r="NC21" s="123"/>
      <c r="ND21" s="123"/>
      <c r="NE21" s="123"/>
      <c r="NF21" s="123"/>
      <c r="NG21" s="123"/>
      <c r="NH21" s="123"/>
      <c r="NI21" s="123"/>
      <c r="NJ21" s="123"/>
      <c r="NK21" s="123"/>
      <c r="NM21">
        <f t="shared" si="156"/>
        <v>0</v>
      </c>
      <c r="NN21">
        <f t="shared" si="157"/>
        <v>0</v>
      </c>
      <c r="NO21">
        <f t="shared" si="158"/>
        <v>0</v>
      </c>
      <c r="NP21">
        <f t="shared" si="159"/>
        <v>0</v>
      </c>
      <c r="NQ21">
        <f t="shared" si="160"/>
        <v>0</v>
      </c>
      <c r="NR21">
        <f t="shared" si="161"/>
        <v>0</v>
      </c>
      <c r="NS21">
        <f t="shared" si="162"/>
        <v>0</v>
      </c>
      <c r="NT21">
        <f t="shared" si="163"/>
        <v>0</v>
      </c>
      <c r="NU21" s="29">
        <f t="shared" si="164"/>
        <v>0</v>
      </c>
      <c r="NY21" s="29">
        <f t="shared" si="108"/>
        <v>1</v>
      </c>
      <c r="NZ21" s="152">
        <v>8036000</v>
      </c>
      <c r="OE21" s="155">
        <f t="shared" si="109"/>
        <v>0</v>
      </c>
      <c r="OF21" s="155">
        <f t="shared" si="110"/>
        <v>0</v>
      </c>
      <c r="OG21" s="155">
        <f t="shared" si="111"/>
        <v>0</v>
      </c>
      <c r="OH21" s="155">
        <f t="shared" si="165"/>
        <v>0</v>
      </c>
      <c r="OI21" s="155">
        <f t="shared" si="112"/>
        <v>0</v>
      </c>
      <c r="OJ21" s="67">
        <f t="shared" si="166"/>
        <v>0</v>
      </c>
      <c r="OK21" s="67">
        <f t="shared" si="167"/>
        <v>0</v>
      </c>
      <c r="OL21" s="67">
        <f t="shared" si="168"/>
        <v>0</v>
      </c>
      <c r="OM21" s="67">
        <f t="shared" si="169"/>
        <v>0</v>
      </c>
      <c r="OO21" s="155">
        <f t="shared" si="113"/>
        <v>0</v>
      </c>
      <c r="OP21" s="155">
        <f t="shared" si="114"/>
        <v>0</v>
      </c>
      <c r="OQ21" s="155">
        <f t="shared" si="170"/>
        <v>0</v>
      </c>
      <c r="OR21" s="155">
        <f t="shared" si="171"/>
        <v>0</v>
      </c>
      <c r="OS21" s="155">
        <f t="shared" si="172"/>
        <v>0</v>
      </c>
      <c r="OT21" s="67">
        <f t="shared" si="173"/>
        <v>0</v>
      </c>
      <c r="OU21" s="67">
        <f t="shared" si="174"/>
        <v>0</v>
      </c>
      <c r="OV21" s="67">
        <f t="shared" si="175"/>
        <v>0</v>
      </c>
      <c r="OW21" s="67">
        <f t="shared" si="176"/>
        <v>0</v>
      </c>
      <c r="PA21" s="166"/>
      <c r="PB21" s="166"/>
      <c r="PC21" s="166"/>
      <c r="PD21" s="210">
        <f t="shared" si="115"/>
        <v>0</v>
      </c>
      <c r="PE21" s="210"/>
      <c r="PF21" s="210">
        <f t="shared" si="116"/>
        <v>0</v>
      </c>
      <c r="PG21" s="210">
        <f t="shared" si="117"/>
        <v>0</v>
      </c>
      <c r="PH21" s="210">
        <f t="shared" si="117"/>
        <v>0</v>
      </c>
      <c r="PI21" s="210">
        <f t="shared" si="117"/>
        <v>0</v>
      </c>
      <c r="PJ21" s="210">
        <f t="shared" si="117"/>
        <v>0</v>
      </c>
      <c r="PK21" s="210">
        <f t="shared" si="117"/>
        <v>0</v>
      </c>
      <c r="PL21" s="210">
        <f t="shared" si="117"/>
        <v>0</v>
      </c>
      <c r="PO21" s="172">
        <f t="shared" si="177"/>
        <v>0</v>
      </c>
      <c r="PP21" s="172">
        <f t="shared" si="178"/>
        <v>0</v>
      </c>
      <c r="PQ21" s="172">
        <f t="shared" si="179"/>
        <v>0</v>
      </c>
    </row>
    <row r="22" spans="1:433" ht="16" x14ac:dyDescent="0.2">
      <c r="A22" s="19">
        <f t="shared" si="180"/>
        <v>14</v>
      </c>
      <c r="B22" s="138" t="s">
        <v>235</v>
      </c>
      <c r="C22" s="138">
        <v>15</v>
      </c>
      <c r="D22" s="20">
        <v>1</v>
      </c>
      <c r="E22" s="20">
        <v>277</v>
      </c>
      <c r="F22" s="20">
        <v>1</v>
      </c>
      <c r="G22" s="20">
        <f t="shared" si="2"/>
        <v>277</v>
      </c>
      <c r="H22" s="137">
        <f t="shared" si="3"/>
        <v>1</v>
      </c>
      <c r="I22" s="137">
        <f t="shared" si="4"/>
        <v>1</v>
      </c>
      <c r="J22" s="20">
        <v>1</v>
      </c>
      <c r="K22" s="20">
        <f t="shared" si="5"/>
        <v>277</v>
      </c>
      <c r="L22" s="137">
        <f t="shared" si="6"/>
        <v>1</v>
      </c>
      <c r="M22" s="137">
        <f t="shared" si="7"/>
        <v>1</v>
      </c>
      <c r="N22" s="20">
        <v>1</v>
      </c>
      <c r="O22" s="20">
        <f t="shared" si="8"/>
        <v>277</v>
      </c>
      <c r="P22" s="137">
        <f t="shared" si="9"/>
        <v>1</v>
      </c>
      <c r="Q22" s="137">
        <f t="shared" si="10"/>
        <v>1</v>
      </c>
      <c r="R22" s="20">
        <v>1</v>
      </c>
      <c r="S22" s="20">
        <f t="shared" si="11"/>
        <v>277</v>
      </c>
      <c r="T22" s="137">
        <f t="shared" si="12"/>
        <v>1</v>
      </c>
      <c r="U22" s="137">
        <f t="shared" si="13"/>
        <v>1</v>
      </c>
      <c r="V22" s="20">
        <v>1</v>
      </c>
      <c r="W22" s="20">
        <f t="shared" si="14"/>
        <v>277</v>
      </c>
      <c r="X22" s="137">
        <f t="shared" si="15"/>
        <v>1</v>
      </c>
      <c r="Y22" s="137">
        <f t="shared" si="16"/>
        <v>1</v>
      </c>
      <c r="Z22" s="38">
        <f>2967174000/1000000000</f>
        <v>2.967174</v>
      </c>
      <c r="AA22" s="38"/>
      <c r="AB22" s="17">
        <f t="shared" si="118"/>
        <v>0</v>
      </c>
      <c r="AC22" s="18">
        <f t="shared" si="119"/>
        <v>0</v>
      </c>
      <c r="AD22" s="18">
        <f t="shared" si="120"/>
        <v>0</v>
      </c>
      <c r="AE22" s="38"/>
      <c r="AF22" s="20">
        <f t="shared" si="121"/>
        <v>0</v>
      </c>
      <c r="AG22" s="20"/>
      <c r="AH22" s="31"/>
      <c r="AI22" s="20">
        <v>0</v>
      </c>
      <c r="AJ22" s="20">
        <f t="shared" si="181"/>
        <v>0</v>
      </c>
      <c r="AK22" s="20"/>
      <c r="AL22" s="20"/>
      <c r="AM22" s="20">
        <v>0</v>
      </c>
      <c r="AN22" s="139"/>
      <c r="BB22" s="17">
        <f t="shared" si="123"/>
        <v>0</v>
      </c>
      <c r="BE22" s="17">
        <f t="shared" si="19"/>
        <v>0</v>
      </c>
      <c r="BF22" s="17">
        <f t="shared" si="20"/>
        <v>0</v>
      </c>
      <c r="BG22" s="17">
        <f t="shared" si="21"/>
        <v>0</v>
      </c>
      <c r="BH22" s="17">
        <f t="shared" si="22"/>
        <v>0</v>
      </c>
      <c r="BI22" s="17">
        <f t="shared" si="23"/>
        <v>0</v>
      </c>
      <c r="BJ22" s="17">
        <f t="shared" si="24"/>
        <v>0</v>
      </c>
      <c r="BK22" s="17">
        <f t="shared" si="124"/>
        <v>0</v>
      </c>
      <c r="BN22" s="142">
        <v>54</v>
      </c>
      <c r="BO22">
        <v>1</v>
      </c>
      <c r="BP22" s="139"/>
      <c r="BQ22" s="139"/>
      <c r="BR22" s="139"/>
      <c r="BS22" s="139"/>
      <c r="BT22" s="139"/>
      <c r="BU22" s="139"/>
      <c r="BV22" s="139"/>
      <c r="BW22" s="139"/>
      <c r="BX22" s="139"/>
      <c r="BY22" s="139"/>
      <c r="BZ22" s="139"/>
      <c r="CB22" s="139"/>
      <c r="CD22" s="17">
        <f t="shared" si="125"/>
        <v>54</v>
      </c>
      <c r="CE22" s="17">
        <f t="shared" si="126"/>
        <v>54</v>
      </c>
      <c r="CF22" s="139">
        <f t="shared" si="182"/>
        <v>0</v>
      </c>
      <c r="CG22" s="139">
        <f t="shared" si="183"/>
        <v>0</v>
      </c>
      <c r="CH22" s="139">
        <f t="shared" si="184"/>
        <v>0</v>
      </c>
      <c r="CI22" s="139">
        <f t="shared" si="185"/>
        <v>0</v>
      </c>
      <c r="CJ22" s="139">
        <f t="shared" si="186"/>
        <v>0</v>
      </c>
      <c r="CK22" s="139">
        <f t="shared" si="187"/>
        <v>0</v>
      </c>
      <c r="CL22" s="139">
        <f t="shared" si="188"/>
        <v>0</v>
      </c>
      <c r="CM22" s="139">
        <f t="shared" si="189"/>
        <v>0</v>
      </c>
      <c r="CN22" s="139">
        <f t="shared" si="190"/>
        <v>0</v>
      </c>
      <c r="CO22" s="139">
        <f t="shared" si="191"/>
        <v>0</v>
      </c>
      <c r="CP22" s="139">
        <f t="shared" si="192"/>
        <v>0</v>
      </c>
      <c r="CQ22" s="148">
        <f t="shared" si="27"/>
        <v>0</v>
      </c>
      <c r="DV22" s="139">
        <f t="shared" si="28"/>
        <v>0</v>
      </c>
      <c r="DW22" s="139">
        <f t="shared" si="29"/>
        <v>0</v>
      </c>
      <c r="DX22" s="139">
        <f t="shared" si="30"/>
        <v>0</v>
      </c>
      <c r="DY22" s="139">
        <f t="shared" si="31"/>
        <v>0</v>
      </c>
      <c r="DZ22" s="139">
        <f t="shared" si="32"/>
        <v>0</v>
      </c>
      <c r="EA22" s="139">
        <f t="shared" si="33"/>
        <v>0</v>
      </c>
      <c r="EB22" s="139">
        <f t="shared" si="127"/>
        <v>0</v>
      </c>
      <c r="EG22" s="57">
        <f t="shared" si="128"/>
        <v>0</v>
      </c>
      <c r="EH22" s="57">
        <f t="shared" si="129"/>
        <v>0</v>
      </c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X22" s="80">
        <v>1</v>
      </c>
      <c r="FY22" s="17">
        <f t="shared" si="130"/>
        <v>54</v>
      </c>
      <c r="FZ22" s="17">
        <f t="shared" si="35"/>
        <v>54</v>
      </c>
      <c r="GA22" s="17">
        <f t="shared" si="36"/>
        <v>0</v>
      </c>
      <c r="GB22" s="17">
        <f t="shared" si="37"/>
        <v>0</v>
      </c>
      <c r="GC22" s="17">
        <f t="shared" si="38"/>
        <v>0</v>
      </c>
      <c r="GD22" s="17">
        <f t="shared" si="39"/>
        <v>0</v>
      </c>
      <c r="GE22" s="17">
        <f t="shared" si="40"/>
        <v>0</v>
      </c>
      <c r="GF22" s="67"/>
      <c r="GG22" s="17">
        <v>0</v>
      </c>
      <c r="GH22" s="17">
        <v>0</v>
      </c>
      <c r="GI22" s="67"/>
      <c r="GJ22" s="62">
        <f t="shared" si="131"/>
        <v>0</v>
      </c>
      <c r="GK22" s="62">
        <f t="shared" si="132"/>
        <v>0</v>
      </c>
      <c r="GO22" s="17">
        <f t="shared" si="41"/>
        <v>0</v>
      </c>
      <c r="GP22" s="17">
        <f t="shared" si="42"/>
        <v>0</v>
      </c>
      <c r="GQ22" s="17">
        <f t="shared" si="43"/>
        <v>0</v>
      </c>
      <c r="GR22" s="17">
        <f t="shared" si="44"/>
        <v>0</v>
      </c>
      <c r="GS22" s="17">
        <f t="shared" si="45"/>
        <v>0</v>
      </c>
      <c r="GT22" s="17">
        <f t="shared" si="133"/>
        <v>1</v>
      </c>
      <c r="GU22" s="101">
        <f t="shared" si="134"/>
        <v>43243</v>
      </c>
      <c r="GV22" s="17" t="str">
        <f t="shared" si="135"/>
        <v>SELESAI</v>
      </c>
      <c r="GW22" s="17">
        <f t="shared" si="136"/>
        <v>0</v>
      </c>
      <c r="GX22" s="66" t="str">
        <f t="shared" si="137"/>
        <v>SELESAI</v>
      </c>
      <c r="GY22" s="66">
        <f t="shared" si="138"/>
        <v>0</v>
      </c>
      <c r="GZ22" s="102" t="str">
        <f t="shared" si="139"/>
        <v>SELESAI</v>
      </c>
      <c r="HA22" s="83"/>
      <c r="HB22" s="83"/>
      <c r="HC22" s="17">
        <f t="shared" si="46"/>
        <v>0</v>
      </c>
      <c r="HD22" s="17">
        <f t="shared" si="47"/>
        <v>0</v>
      </c>
      <c r="HE22" s="17">
        <f t="shared" si="140"/>
        <v>0</v>
      </c>
      <c r="HF22" s="17">
        <f t="shared" si="141"/>
        <v>0</v>
      </c>
      <c r="HG22" s="17">
        <f t="shared" si="142"/>
        <v>0</v>
      </c>
      <c r="HH22" s="101" t="str">
        <f t="shared" si="48"/>
        <v>TIDAK KONSINYASI</v>
      </c>
      <c r="HI22" s="101" t="str">
        <f t="shared" si="143"/>
        <v>SELESAI</v>
      </c>
      <c r="HJ22" s="27"/>
      <c r="HK22" s="101">
        <f t="shared" si="49"/>
        <v>0</v>
      </c>
      <c r="HL22" s="83"/>
      <c r="HM22" s="83"/>
      <c r="HN22" s="83"/>
      <c r="HO22" s="83"/>
      <c r="HP22" s="102">
        <f t="shared" si="144"/>
        <v>0</v>
      </c>
      <c r="HQ22" s="66">
        <f t="shared" si="145"/>
        <v>0</v>
      </c>
      <c r="HR22" s="66">
        <f t="shared" si="50"/>
        <v>0</v>
      </c>
      <c r="HS22" s="102">
        <f t="shared" si="146"/>
        <v>0</v>
      </c>
      <c r="HT22" s="66">
        <f t="shared" si="147"/>
        <v>0</v>
      </c>
      <c r="HU22" s="66">
        <f t="shared" si="51"/>
        <v>0</v>
      </c>
      <c r="HV22" s="102">
        <f t="shared" si="148"/>
        <v>0</v>
      </c>
      <c r="HW22" s="66">
        <f t="shared" si="52"/>
        <v>0</v>
      </c>
      <c r="HX22" s="66">
        <f t="shared" si="53"/>
        <v>0</v>
      </c>
      <c r="HY22" s="102">
        <f t="shared" si="54"/>
        <v>0</v>
      </c>
      <c r="HZ22" s="66">
        <f t="shared" si="149"/>
        <v>0</v>
      </c>
      <c r="IA22" s="66">
        <f t="shared" si="55"/>
        <v>0</v>
      </c>
      <c r="IB22" s="102">
        <f t="shared" si="150"/>
        <v>0</v>
      </c>
      <c r="IC22" s="66">
        <f t="shared" si="56"/>
        <v>0</v>
      </c>
      <c r="ID22" s="66">
        <f t="shared" si="57"/>
        <v>0</v>
      </c>
      <c r="IE22" s="102">
        <f t="shared" si="58"/>
        <v>0</v>
      </c>
      <c r="IF22" s="66">
        <f t="shared" si="59"/>
        <v>0</v>
      </c>
      <c r="IG22" s="66">
        <f t="shared" si="60"/>
        <v>0</v>
      </c>
      <c r="IH22" s="102">
        <f t="shared" si="151"/>
        <v>0</v>
      </c>
      <c r="II22" s="66">
        <f t="shared" si="152"/>
        <v>0</v>
      </c>
      <c r="IJ22" s="66">
        <f t="shared" si="61"/>
        <v>0</v>
      </c>
      <c r="IK22" s="102">
        <f t="shared" si="62"/>
        <v>0</v>
      </c>
      <c r="IL22" s="66">
        <f t="shared" si="63"/>
        <v>0</v>
      </c>
      <c r="IM22" s="66">
        <f t="shared" si="64"/>
        <v>0</v>
      </c>
      <c r="IN22" s="83"/>
      <c r="IO22" s="102">
        <f t="shared" si="65"/>
        <v>0</v>
      </c>
      <c r="IP22" s="66">
        <f t="shared" si="66"/>
        <v>0</v>
      </c>
      <c r="IQ22" s="66">
        <f t="shared" si="67"/>
        <v>0</v>
      </c>
      <c r="IR22" s="83"/>
      <c r="IS22" s="102"/>
      <c r="IT22" s="66">
        <f t="shared" si="68"/>
        <v>1</v>
      </c>
      <c r="IU22" s="66">
        <f t="shared" si="69"/>
        <v>277</v>
      </c>
      <c r="IV22" s="83"/>
      <c r="IW22" s="102"/>
      <c r="IX22" s="66">
        <f t="shared" si="70"/>
        <v>0</v>
      </c>
      <c r="IY22" s="66">
        <f t="shared" si="71"/>
        <v>0</v>
      </c>
      <c r="IZ22" s="83"/>
      <c r="JA22" s="102"/>
      <c r="JB22" s="66">
        <f t="shared" si="72"/>
        <v>0</v>
      </c>
      <c r="JC22" s="66">
        <f t="shared" si="73"/>
        <v>0</v>
      </c>
      <c r="JD22" s="83"/>
      <c r="JE22" s="102"/>
      <c r="JF22" s="66">
        <f t="shared" si="153"/>
        <v>1</v>
      </c>
      <c r="JG22" s="66">
        <f t="shared" si="74"/>
        <v>277</v>
      </c>
      <c r="JH22" s="83"/>
      <c r="JI22" s="102"/>
      <c r="JJ22" s="66">
        <f t="shared" si="75"/>
        <v>0</v>
      </c>
      <c r="JK22" s="66">
        <f t="shared" si="76"/>
        <v>0</v>
      </c>
      <c r="JM22" s="102">
        <f t="shared" si="154"/>
        <v>0</v>
      </c>
      <c r="JO22" s="29">
        <f t="shared" si="77"/>
        <v>1</v>
      </c>
      <c r="JP22" s="122">
        <f t="shared" si="78"/>
        <v>54</v>
      </c>
      <c r="JQ22" s="122">
        <f t="shared" si="79"/>
        <v>1</v>
      </c>
      <c r="JR22" s="122">
        <f t="shared" si="80"/>
        <v>0</v>
      </c>
      <c r="JS22" s="122">
        <f t="shared" si="81"/>
        <v>0</v>
      </c>
      <c r="JT22" s="122">
        <f t="shared" si="82"/>
        <v>0</v>
      </c>
      <c r="JU22" s="122">
        <f t="shared" si="83"/>
        <v>0</v>
      </c>
      <c r="JV22" s="122">
        <f t="shared" si="84"/>
        <v>0</v>
      </c>
      <c r="JW22" s="122">
        <f t="shared" si="85"/>
        <v>0</v>
      </c>
      <c r="JX22" s="122">
        <f t="shared" si="86"/>
        <v>0</v>
      </c>
      <c r="JY22" s="122">
        <f t="shared" si="87"/>
        <v>0</v>
      </c>
      <c r="JZ22" s="122">
        <f t="shared" si="88"/>
        <v>0</v>
      </c>
      <c r="KA22" s="122">
        <f t="shared" si="89"/>
        <v>0</v>
      </c>
      <c r="KB22" s="122">
        <f t="shared" si="90"/>
        <v>0</v>
      </c>
      <c r="KD22" s="122">
        <f t="shared" si="155"/>
        <v>0</v>
      </c>
      <c r="KE22" s="122">
        <f t="shared" si="92"/>
        <v>0</v>
      </c>
      <c r="KF22" s="122">
        <f t="shared" si="93"/>
        <v>54</v>
      </c>
      <c r="KG22" s="122">
        <f t="shared" si="94"/>
        <v>54</v>
      </c>
      <c r="KH22" s="122">
        <f t="shared" si="95"/>
        <v>0</v>
      </c>
      <c r="KI22" s="122">
        <f t="shared" si="96"/>
        <v>0</v>
      </c>
      <c r="KJ22" s="122">
        <f t="shared" si="97"/>
        <v>0</v>
      </c>
      <c r="KK22" s="122">
        <f t="shared" si="98"/>
        <v>0</v>
      </c>
      <c r="KL22" s="122">
        <f t="shared" si="99"/>
        <v>0</v>
      </c>
      <c r="KM22" s="122">
        <f t="shared" si="100"/>
        <v>0</v>
      </c>
      <c r="KN22" s="123">
        <f t="shared" si="101"/>
        <v>0</v>
      </c>
      <c r="KO22" s="123">
        <f t="shared" si="102"/>
        <v>0</v>
      </c>
      <c r="KP22" s="123">
        <f t="shared" si="103"/>
        <v>0</v>
      </c>
      <c r="KQ22" s="123">
        <f t="shared" si="104"/>
        <v>0</v>
      </c>
      <c r="KR22" s="123">
        <f t="shared" si="105"/>
        <v>0</v>
      </c>
      <c r="KT22">
        <f t="shared" si="106"/>
        <v>0</v>
      </c>
      <c r="KU22" s="123"/>
      <c r="KV22" s="123"/>
      <c r="KW22" s="123"/>
      <c r="KX22" s="123"/>
      <c r="KY22" s="123"/>
      <c r="KZ22" s="123"/>
      <c r="LA22" s="123"/>
      <c r="LB22" s="123"/>
      <c r="LC22" s="123"/>
      <c r="LD22" s="123"/>
      <c r="LE22" s="123"/>
      <c r="LF22" s="123"/>
      <c r="LG22" s="123"/>
      <c r="LH22" s="123"/>
      <c r="LI22" s="123"/>
      <c r="LJ22" s="123"/>
      <c r="LK22" s="123"/>
      <c r="LL22" s="123"/>
      <c r="LM22" s="123"/>
      <c r="LN22" s="123"/>
      <c r="LO22" s="123"/>
      <c r="LP22" s="123"/>
      <c r="LQ22" s="123"/>
      <c r="LR22" s="123"/>
      <c r="LS22" s="123"/>
      <c r="LT22" s="123"/>
      <c r="LU22" s="123"/>
      <c r="LV22" s="123"/>
      <c r="LW22" s="123"/>
      <c r="LX22" s="123"/>
      <c r="LY22" s="123"/>
      <c r="LZ22" s="123"/>
      <c r="MA22" s="123"/>
      <c r="MB22" s="123"/>
      <c r="MC22" s="123"/>
      <c r="MD22" s="123"/>
      <c r="ME22" s="123"/>
      <c r="MF22" s="123"/>
      <c r="MG22" s="123"/>
      <c r="MH22" s="123"/>
      <c r="MI22" s="123"/>
      <c r="MJ22" s="123"/>
      <c r="MK22" s="123"/>
      <c r="ML22" s="123"/>
      <c r="MM22" s="123"/>
      <c r="MN22" s="123"/>
      <c r="MO22" s="123"/>
      <c r="MP22" s="123"/>
      <c r="MQ22" s="123"/>
      <c r="MR22" s="123"/>
      <c r="MS22" s="123"/>
      <c r="MT22" s="123"/>
      <c r="MU22" s="123"/>
      <c r="MV22" s="123"/>
      <c r="MW22" s="123"/>
      <c r="MX22" s="123"/>
      <c r="MY22" s="123"/>
      <c r="MZ22" s="123"/>
      <c r="NA22" s="123"/>
      <c r="NB22" s="123"/>
      <c r="NC22" s="123"/>
      <c r="ND22" s="123"/>
      <c r="NE22" s="123"/>
      <c r="NF22" s="123"/>
      <c r="NG22" s="123"/>
      <c r="NH22" s="123"/>
      <c r="NI22" s="123"/>
      <c r="NJ22" s="123"/>
      <c r="NK22" s="123"/>
      <c r="NM22">
        <f t="shared" si="156"/>
        <v>0</v>
      </c>
      <c r="NN22">
        <f t="shared" si="157"/>
        <v>0</v>
      </c>
      <c r="NO22">
        <f t="shared" si="158"/>
        <v>0</v>
      </c>
      <c r="NP22">
        <f t="shared" si="159"/>
        <v>0</v>
      </c>
      <c r="NQ22">
        <f t="shared" si="160"/>
        <v>0</v>
      </c>
      <c r="NR22">
        <f t="shared" si="161"/>
        <v>0</v>
      </c>
      <c r="NS22">
        <f t="shared" si="162"/>
        <v>0</v>
      </c>
      <c r="NT22">
        <f t="shared" si="163"/>
        <v>0</v>
      </c>
      <c r="NU22" s="29">
        <f t="shared" si="164"/>
        <v>0</v>
      </c>
      <c r="NY22" s="29">
        <f t="shared" si="108"/>
        <v>1</v>
      </c>
      <c r="NZ22" s="152">
        <v>8036000</v>
      </c>
      <c r="OE22" s="155">
        <f t="shared" si="109"/>
        <v>0</v>
      </c>
      <c r="OF22" s="155">
        <f t="shared" si="110"/>
        <v>0</v>
      </c>
      <c r="OG22" s="155">
        <f t="shared" si="111"/>
        <v>0</v>
      </c>
      <c r="OH22" s="155">
        <f t="shared" si="165"/>
        <v>0</v>
      </c>
      <c r="OI22" s="155">
        <f t="shared" si="112"/>
        <v>0</v>
      </c>
      <c r="OJ22" s="67">
        <f t="shared" si="166"/>
        <v>0</v>
      </c>
      <c r="OK22" s="67">
        <f t="shared" si="167"/>
        <v>0</v>
      </c>
      <c r="OL22" s="67">
        <f t="shared" si="168"/>
        <v>0</v>
      </c>
      <c r="OM22" s="67">
        <f t="shared" si="169"/>
        <v>0</v>
      </c>
      <c r="OO22" s="155">
        <f t="shared" si="113"/>
        <v>0</v>
      </c>
      <c r="OP22" s="155">
        <f t="shared" si="114"/>
        <v>0</v>
      </c>
      <c r="OQ22" s="155">
        <f t="shared" si="170"/>
        <v>0</v>
      </c>
      <c r="OR22" s="155">
        <f t="shared" si="171"/>
        <v>0</v>
      </c>
      <c r="OS22" s="155">
        <f t="shared" si="172"/>
        <v>0</v>
      </c>
      <c r="OT22" s="67">
        <f t="shared" si="173"/>
        <v>0</v>
      </c>
      <c r="OU22" s="67">
        <f t="shared" si="174"/>
        <v>0</v>
      </c>
      <c r="OV22" s="67">
        <f t="shared" si="175"/>
        <v>0</v>
      </c>
      <c r="OW22" s="67">
        <f t="shared" si="176"/>
        <v>0</v>
      </c>
      <c r="PA22" s="166"/>
      <c r="PB22" s="166"/>
      <c r="PC22" s="166"/>
      <c r="PD22" s="210">
        <f t="shared" si="115"/>
        <v>0</v>
      </c>
      <c r="PE22" s="210"/>
      <c r="PF22" s="210">
        <f t="shared" si="116"/>
        <v>0</v>
      </c>
      <c r="PG22" s="210">
        <f t="shared" si="117"/>
        <v>0</v>
      </c>
      <c r="PH22" s="210">
        <f t="shared" si="117"/>
        <v>0</v>
      </c>
      <c r="PI22" s="210">
        <f t="shared" si="117"/>
        <v>0</v>
      </c>
      <c r="PJ22" s="210">
        <f t="shared" si="117"/>
        <v>0</v>
      </c>
      <c r="PK22" s="210">
        <f t="shared" si="117"/>
        <v>0</v>
      </c>
      <c r="PL22" s="210">
        <f t="shared" si="117"/>
        <v>0</v>
      </c>
      <c r="PO22" s="172">
        <f t="shared" si="177"/>
        <v>0</v>
      </c>
      <c r="PP22" s="172">
        <f t="shared" si="178"/>
        <v>0</v>
      </c>
      <c r="PQ22" s="172">
        <f t="shared" si="179"/>
        <v>0</v>
      </c>
    </row>
    <row r="23" spans="1:433" ht="16" x14ac:dyDescent="0.2">
      <c r="A23" s="19">
        <f t="shared" si="180"/>
        <v>15</v>
      </c>
      <c r="B23" s="138" t="s">
        <v>236</v>
      </c>
      <c r="C23" s="138">
        <v>16</v>
      </c>
      <c r="D23" s="20">
        <v>1</v>
      </c>
      <c r="E23" s="20">
        <v>196</v>
      </c>
      <c r="F23" s="20">
        <v>1</v>
      </c>
      <c r="G23" s="20">
        <f t="shared" si="2"/>
        <v>196</v>
      </c>
      <c r="H23" s="137">
        <f t="shared" si="3"/>
        <v>1</v>
      </c>
      <c r="I23" s="137">
        <f t="shared" si="4"/>
        <v>1</v>
      </c>
      <c r="J23" s="20">
        <v>1</v>
      </c>
      <c r="K23" s="20">
        <f t="shared" si="5"/>
        <v>196</v>
      </c>
      <c r="L23" s="137">
        <f t="shared" si="6"/>
        <v>1</v>
      </c>
      <c r="M23" s="137">
        <f t="shared" si="7"/>
        <v>1</v>
      </c>
      <c r="N23" s="20">
        <v>1</v>
      </c>
      <c r="O23" s="20">
        <f t="shared" si="8"/>
        <v>196</v>
      </c>
      <c r="P23" s="137">
        <f t="shared" si="9"/>
        <v>1</v>
      </c>
      <c r="Q23" s="137">
        <f t="shared" si="10"/>
        <v>1</v>
      </c>
      <c r="R23" s="20">
        <v>1</v>
      </c>
      <c r="S23" s="20">
        <f t="shared" si="11"/>
        <v>196</v>
      </c>
      <c r="T23" s="137">
        <f t="shared" si="12"/>
        <v>1</v>
      </c>
      <c r="U23" s="137">
        <f t="shared" si="13"/>
        <v>1</v>
      </c>
      <c r="V23" s="20">
        <v>1</v>
      </c>
      <c r="W23" s="20">
        <f t="shared" si="14"/>
        <v>196</v>
      </c>
      <c r="X23" s="137">
        <f t="shared" si="15"/>
        <v>1</v>
      </c>
      <c r="Y23" s="137">
        <f t="shared" si="16"/>
        <v>1</v>
      </c>
      <c r="Z23" s="41">
        <f>2302147000/1000000000</f>
        <v>2.3021470000000002</v>
      </c>
      <c r="AA23" s="41"/>
      <c r="AB23" s="17">
        <f t="shared" si="118"/>
        <v>0</v>
      </c>
      <c r="AC23" s="18">
        <f t="shared" si="119"/>
        <v>0</v>
      </c>
      <c r="AD23" s="18">
        <f t="shared" si="120"/>
        <v>0</v>
      </c>
      <c r="AE23" s="41"/>
      <c r="AF23" s="20">
        <f t="shared" si="121"/>
        <v>0</v>
      </c>
      <c r="AG23" s="20"/>
      <c r="AH23" s="17"/>
      <c r="AI23" s="20">
        <v>0</v>
      </c>
      <c r="AJ23" s="20">
        <f t="shared" si="181"/>
        <v>0</v>
      </c>
      <c r="AK23" s="20"/>
      <c r="AL23" s="20"/>
      <c r="AM23" s="20">
        <v>0</v>
      </c>
      <c r="AN23" s="139"/>
      <c r="BB23" s="17">
        <f t="shared" si="123"/>
        <v>0</v>
      </c>
      <c r="BE23" s="17">
        <f t="shared" si="19"/>
        <v>0</v>
      </c>
      <c r="BF23" s="17">
        <f t="shared" si="20"/>
        <v>0</v>
      </c>
      <c r="BG23" s="17">
        <f t="shared" si="21"/>
        <v>0</v>
      </c>
      <c r="BH23" s="17">
        <f t="shared" si="22"/>
        <v>0</v>
      </c>
      <c r="BI23" s="17">
        <f t="shared" si="23"/>
        <v>0</v>
      </c>
      <c r="BJ23" s="17">
        <f t="shared" si="24"/>
        <v>0</v>
      </c>
      <c r="BK23" s="17">
        <f t="shared" si="124"/>
        <v>0</v>
      </c>
      <c r="BN23" s="141"/>
      <c r="BO23" s="284"/>
      <c r="BP23" s="139"/>
      <c r="BQ23" s="139"/>
      <c r="BR23" s="139"/>
      <c r="BS23" s="139"/>
      <c r="BT23" s="139"/>
      <c r="BU23" s="139"/>
      <c r="BV23" s="139"/>
      <c r="BW23" s="139"/>
      <c r="BX23" s="139"/>
      <c r="BY23" s="139"/>
      <c r="BZ23" s="139"/>
      <c r="CB23" s="139"/>
      <c r="CD23" s="17">
        <f t="shared" si="125"/>
        <v>0</v>
      </c>
      <c r="CE23" s="17">
        <f t="shared" si="126"/>
        <v>0</v>
      </c>
      <c r="CF23" s="139">
        <f t="shared" si="182"/>
        <v>0</v>
      </c>
      <c r="CG23" s="139">
        <f t="shared" si="183"/>
        <v>0</v>
      </c>
      <c r="CH23" s="139">
        <f t="shared" si="184"/>
        <v>0</v>
      </c>
      <c r="CI23" s="139">
        <f t="shared" si="185"/>
        <v>0</v>
      </c>
      <c r="CJ23" s="139">
        <f t="shared" si="186"/>
        <v>0</v>
      </c>
      <c r="CK23" s="139">
        <f t="shared" si="187"/>
        <v>0</v>
      </c>
      <c r="CL23" s="139">
        <f t="shared" si="188"/>
        <v>0</v>
      </c>
      <c r="CM23" s="139">
        <f t="shared" si="189"/>
        <v>0</v>
      </c>
      <c r="CN23" s="139">
        <f t="shared" si="190"/>
        <v>0</v>
      </c>
      <c r="CO23" s="139">
        <f t="shared" si="191"/>
        <v>0</v>
      </c>
      <c r="CP23" s="139">
        <f t="shared" si="192"/>
        <v>0</v>
      </c>
      <c r="CQ23" s="148">
        <f t="shared" si="27"/>
        <v>0</v>
      </c>
      <c r="DV23" s="139">
        <f t="shared" si="28"/>
        <v>0</v>
      </c>
      <c r="DW23" s="139">
        <f t="shared" si="29"/>
        <v>0</v>
      </c>
      <c r="DX23" s="139">
        <f t="shared" si="30"/>
        <v>0</v>
      </c>
      <c r="DY23" s="139">
        <f t="shared" si="31"/>
        <v>0</v>
      </c>
      <c r="DZ23" s="139">
        <f t="shared" si="32"/>
        <v>0</v>
      </c>
      <c r="EA23" s="139">
        <f t="shared" si="33"/>
        <v>0</v>
      </c>
      <c r="EB23" s="139">
        <f t="shared" si="127"/>
        <v>0</v>
      </c>
      <c r="EG23" s="57">
        <f t="shared" si="128"/>
        <v>0</v>
      </c>
      <c r="EH23" s="57">
        <f t="shared" si="129"/>
        <v>0</v>
      </c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X23" s="80"/>
      <c r="FY23" s="17">
        <f t="shared" si="130"/>
        <v>0</v>
      </c>
      <c r="FZ23" s="17">
        <f t="shared" si="35"/>
        <v>0</v>
      </c>
      <c r="GA23" s="17">
        <f t="shared" si="36"/>
        <v>0</v>
      </c>
      <c r="GB23" s="17">
        <f t="shared" si="37"/>
        <v>0</v>
      </c>
      <c r="GC23" s="17">
        <f t="shared" si="38"/>
        <v>0</v>
      </c>
      <c r="GD23" s="17">
        <f t="shared" si="39"/>
        <v>0</v>
      </c>
      <c r="GE23" s="17">
        <f t="shared" si="40"/>
        <v>0</v>
      </c>
      <c r="GF23" s="67"/>
      <c r="GG23" s="17">
        <v>0</v>
      </c>
      <c r="GH23" s="17">
        <v>0</v>
      </c>
      <c r="GI23" s="67"/>
      <c r="GJ23" s="62">
        <f t="shared" si="131"/>
        <v>0</v>
      </c>
      <c r="GK23" s="62">
        <f t="shared" si="132"/>
        <v>0</v>
      </c>
      <c r="GO23" s="17">
        <f t="shared" si="41"/>
        <v>0</v>
      </c>
      <c r="GP23" s="17">
        <f t="shared" si="42"/>
        <v>0</v>
      </c>
      <c r="GQ23" s="17">
        <f t="shared" si="43"/>
        <v>0</v>
      </c>
      <c r="GR23" s="17">
        <f t="shared" si="44"/>
        <v>0</v>
      </c>
      <c r="GS23" s="17">
        <f t="shared" si="45"/>
        <v>0</v>
      </c>
      <c r="GT23" s="17">
        <f t="shared" si="133"/>
        <v>1</v>
      </c>
      <c r="GU23" s="101">
        <f t="shared" si="134"/>
        <v>43243</v>
      </c>
      <c r="GV23" s="17" t="str">
        <f t="shared" si="135"/>
        <v>SELESAI</v>
      </c>
      <c r="GW23" s="17">
        <f t="shared" si="136"/>
        <v>0</v>
      </c>
      <c r="GX23" s="66" t="str">
        <f t="shared" si="137"/>
        <v>SELESAI</v>
      </c>
      <c r="GY23" s="66">
        <f t="shared" si="138"/>
        <v>0</v>
      </c>
      <c r="GZ23" s="102" t="str">
        <f t="shared" si="139"/>
        <v>SELESAI</v>
      </c>
      <c r="HA23" s="83"/>
      <c r="HB23" s="83"/>
      <c r="HC23" s="17">
        <f t="shared" si="46"/>
        <v>0</v>
      </c>
      <c r="HD23" s="17">
        <f t="shared" si="47"/>
        <v>0</v>
      </c>
      <c r="HE23" s="17">
        <f t="shared" si="140"/>
        <v>0</v>
      </c>
      <c r="HF23" s="17">
        <f t="shared" si="141"/>
        <v>0</v>
      </c>
      <c r="HG23" s="17">
        <f t="shared" si="142"/>
        <v>0</v>
      </c>
      <c r="HH23" s="101" t="str">
        <f t="shared" si="48"/>
        <v>TIDAK KONSINYASI</v>
      </c>
      <c r="HI23" s="101" t="str">
        <f t="shared" si="143"/>
        <v>SELESAI</v>
      </c>
      <c r="HJ23" s="27"/>
      <c r="HK23" s="101">
        <f t="shared" si="49"/>
        <v>0</v>
      </c>
      <c r="HL23" s="83"/>
      <c r="HM23" s="83"/>
      <c r="HN23" s="83"/>
      <c r="HO23" s="83"/>
      <c r="HP23" s="102">
        <f t="shared" si="144"/>
        <v>0</v>
      </c>
      <c r="HQ23" s="66">
        <f t="shared" si="145"/>
        <v>0</v>
      </c>
      <c r="HR23" s="66">
        <f t="shared" si="50"/>
        <v>0</v>
      </c>
      <c r="HS23" s="102">
        <f t="shared" si="146"/>
        <v>0</v>
      </c>
      <c r="HT23" s="66">
        <f t="shared" si="147"/>
        <v>0</v>
      </c>
      <c r="HU23" s="66">
        <f t="shared" si="51"/>
        <v>0</v>
      </c>
      <c r="HV23" s="102">
        <f t="shared" si="148"/>
        <v>0</v>
      </c>
      <c r="HW23" s="66">
        <f t="shared" si="52"/>
        <v>0</v>
      </c>
      <c r="HX23" s="66">
        <f t="shared" si="53"/>
        <v>0</v>
      </c>
      <c r="HY23" s="102">
        <f t="shared" si="54"/>
        <v>0</v>
      </c>
      <c r="HZ23" s="66">
        <f t="shared" si="149"/>
        <v>0</v>
      </c>
      <c r="IA23" s="66">
        <f t="shared" si="55"/>
        <v>0</v>
      </c>
      <c r="IB23" s="102">
        <f t="shared" si="150"/>
        <v>0</v>
      </c>
      <c r="IC23" s="66">
        <f t="shared" si="56"/>
        <v>0</v>
      </c>
      <c r="ID23" s="66">
        <f t="shared" si="57"/>
        <v>0</v>
      </c>
      <c r="IE23" s="102">
        <f t="shared" si="58"/>
        <v>0</v>
      </c>
      <c r="IF23" s="66">
        <f t="shared" si="59"/>
        <v>0</v>
      </c>
      <c r="IG23" s="66">
        <f t="shared" si="60"/>
        <v>0</v>
      </c>
      <c r="IH23" s="102">
        <f t="shared" si="151"/>
        <v>0</v>
      </c>
      <c r="II23" s="66">
        <f t="shared" si="152"/>
        <v>0</v>
      </c>
      <c r="IJ23" s="66">
        <f t="shared" si="61"/>
        <v>0</v>
      </c>
      <c r="IK23" s="102">
        <f t="shared" si="62"/>
        <v>0</v>
      </c>
      <c r="IL23" s="66">
        <f t="shared" si="63"/>
        <v>0</v>
      </c>
      <c r="IM23" s="66">
        <f t="shared" si="64"/>
        <v>0</v>
      </c>
      <c r="IN23" s="83"/>
      <c r="IO23" s="102">
        <f t="shared" si="65"/>
        <v>0</v>
      </c>
      <c r="IP23" s="66">
        <f t="shared" si="66"/>
        <v>0</v>
      </c>
      <c r="IQ23" s="66">
        <f t="shared" si="67"/>
        <v>0</v>
      </c>
      <c r="IR23" s="83"/>
      <c r="IS23" s="102"/>
      <c r="IT23" s="66">
        <f t="shared" si="68"/>
        <v>1</v>
      </c>
      <c r="IU23" s="66">
        <f t="shared" si="69"/>
        <v>196</v>
      </c>
      <c r="IV23" s="83"/>
      <c r="IW23" s="102"/>
      <c r="IX23" s="66">
        <f t="shared" si="70"/>
        <v>0</v>
      </c>
      <c r="IY23" s="66">
        <f t="shared" si="71"/>
        <v>0</v>
      </c>
      <c r="IZ23" s="83"/>
      <c r="JA23" s="102"/>
      <c r="JB23" s="66">
        <f t="shared" si="72"/>
        <v>0</v>
      </c>
      <c r="JC23" s="66">
        <f t="shared" si="73"/>
        <v>0</v>
      </c>
      <c r="JD23" s="83"/>
      <c r="JE23" s="102"/>
      <c r="JF23" s="66">
        <f t="shared" si="153"/>
        <v>1</v>
      </c>
      <c r="JG23" s="66">
        <f t="shared" si="74"/>
        <v>196</v>
      </c>
      <c r="JH23" s="83"/>
      <c r="JI23" s="102"/>
      <c r="JJ23" s="66">
        <f t="shared" si="75"/>
        <v>0</v>
      </c>
      <c r="JK23" s="66">
        <f t="shared" si="76"/>
        <v>0</v>
      </c>
      <c r="JM23" s="102">
        <f t="shared" si="154"/>
        <v>0</v>
      </c>
      <c r="JO23" s="29">
        <f t="shared" si="77"/>
        <v>0</v>
      </c>
      <c r="JP23" s="122">
        <f t="shared" si="78"/>
        <v>0</v>
      </c>
      <c r="JQ23" s="122">
        <f t="shared" si="79"/>
        <v>0</v>
      </c>
      <c r="JR23" s="122">
        <f t="shared" si="80"/>
        <v>0</v>
      </c>
      <c r="JS23" s="122">
        <f t="shared" si="81"/>
        <v>0</v>
      </c>
      <c r="JT23" s="122">
        <f t="shared" si="82"/>
        <v>0</v>
      </c>
      <c r="JU23" s="122">
        <f t="shared" si="83"/>
        <v>0</v>
      </c>
      <c r="JV23" s="122">
        <f t="shared" si="84"/>
        <v>0</v>
      </c>
      <c r="JW23" s="122">
        <f t="shared" si="85"/>
        <v>0</v>
      </c>
      <c r="JX23" s="122">
        <f t="shared" si="86"/>
        <v>0</v>
      </c>
      <c r="JY23" s="122">
        <f t="shared" si="87"/>
        <v>0</v>
      </c>
      <c r="JZ23" s="122">
        <f t="shared" si="88"/>
        <v>0</v>
      </c>
      <c r="KA23" s="122">
        <f t="shared" si="89"/>
        <v>0</v>
      </c>
      <c r="KB23" s="122">
        <f t="shared" si="90"/>
        <v>0</v>
      </c>
      <c r="KD23" s="122">
        <f t="shared" si="155"/>
        <v>0</v>
      </c>
      <c r="KE23" s="122">
        <f t="shared" si="92"/>
        <v>0</v>
      </c>
      <c r="KF23" s="122">
        <f t="shared" si="93"/>
        <v>0</v>
      </c>
      <c r="KG23" s="122">
        <f t="shared" si="94"/>
        <v>0</v>
      </c>
      <c r="KH23" s="122">
        <f t="shared" si="95"/>
        <v>0</v>
      </c>
      <c r="KI23" s="122">
        <f t="shared" si="96"/>
        <v>0</v>
      </c>
      <c r="KJ23" s="122">
        <f t="shared" si="97"/>
        <v>0</v>
      </c>
      <c r="KK23" s="122">
        <f t="shared" si="98"/>
        <v>0</v>
      </c>
      <c r="KL23" s="122">
        <f t="shared" si="99"/>
        <v>0</v>
      </c>
      <c r="KM23" s="122">
        <f t="shared" si="100"/>
        <v>0</v>
      </c>
      <c r="KN23" s="123">
        <f t="shared" si="101"/>
        <v>0</v>
      </c>
      <c r="KO23" s="123">
        <f t="shared" si="102"/>
        <v>0</v>
      </c>
      <c r="KP23" s="123">
        <f t="shared" si="103"/>
        <v>0</v>
      </c>
      <c r="KQ23" s="123">
        <f t="shared" si="104"/>
        <v>0</v>
      </c>
      <c r="KR23" s="123">
        <f t="shared" si="105"/>
        <v>0</v>
      </c>
      <c r="KT23">
        <f t="shared" si="106"/>
        <v>0</v>
      </c>
      <c r="KU23" s="123"/>
      <c r="KV23" s="123"/>
      <c r="KW23" s="123"/>
      <c r="KX23" s="123"/>
      <c r="KY23" s="123"/>
      <c r="KZ23" s="123"/>
      <c r="LA23" s="123"/>
      <c r="LB23" s="123"/>
      <c r="LC23" s="123"/>
      <c r="LD23" s="123"/>
      <c r="LE23" s="123"/>
      <c r="LF23" s="123"/>
      <c r="LG23" s="123"/>
      <c r="LH23" s="123"/>
      <c r="LI23" s="123"/>
      <c r="LJ23" s="123"/>
      <c r="LK23" s="123"/>
      <c r="LL23" s="123"/>
      <c r="LM23" s="123"/>
      <c r="LN23" s="123"/>
      <c r="LO23" s="123"/>
      <c r="LP23" s="123"/>
      <c r="LQ23" s="123"/>
      <c r="LR23" s="123"/>
      <c r="LS23" s="123"/>
      <c r="LT23" s="123"/>
      <c r="LU23" s="123"/>
      <c r="LV23" s="123"/>
      <c r="LW23" s="123"/>
      <c r="LX23" s="123"/>
      <c r="LY23" s="123"/>
      <c r="LZ23" s="123"/>
      <c r="MA23" s="123"/>
      <c r="MB23" s="123"/>
      <c r="MC23" s="123"/>
      <c r="MD23" s="123"/>
      <c r="ME23" s="123"/>
      <c r="MF23" s="123"/>
      <c r="MG23" s="123"/>
      <c r="MH23" s="123"/>
      <c r="MI23" s="123"/>
      <c r="MJ23" s="123"/>
      <c r="MK23" s="123"/>
      <c r="ML23" s="123"/>
      <c r="MM23" s="123"/>
      <c r="MN23" s="123"/>
      <c r="MO23" s="123"/>
      <c r="MP23" s="123"/>
      <c r="MQ23" s="123"/>
      <c r="MR23" s="123"/>
      <c r="MS23" s="123"/>
      <c r="MT23" s="123"/>
      <c r="MU23" s="123"/>
      <c r="MV23" s="123"/>
      <c r="MW23" s="123"/>
      <c r="MX23" s="123"/>
      <c r="MY23" s="123"/>
      <c r="MZ23" s="123"/>
      <c r="NA23" s="123"/>
      <c r="NB23" s="123"/>
      <c r="NC23" s="123"/>
      <c r="ND23" s="123"/>
      <c r="NE23" s="123"/>
      <c r="NF23" s="123"/>
      <c r="NG23" s="123"/>
      <c r="NH23" s="123"/>
      <c r="NI23" s="123"/>
      <c r="NJ23" s="123"/>
      <c r="NK23" s="123"/>
      <c r="NM23">
        <f t="shared" si="156"/>
        <v>0</v>
      </c>
      <c r="NN23">
        <f t="shared" si="157"/>
        <v>0</v>
      </c>
      <c r="NO23">
        <f t="shared" si="158"/>
        <v>0</v>
      </c>
      <c r="NP23">
        <f t="shared" si="159"/>
        <v>0</v>
      </c>
      <c r="NQ23">
        <f t="shared" si="160"/>
        <v>0</v>
      </c>
      <c r="NR23">
        <f t="shared" si="161"/>
        <v>0</v>
      </c>
      <c r="NS23">
        <f t="shared" si="162"/>
        <v>0</v>
      </c>
      <c r="NT23">
        <f t="shared" si="163"/>
        <v>0</v>
      </c>
      <c r="NU23" s="29">
        <f t="shared" si="164"/>
        <v>0</v>
      </c>
      <c r="NY23" s="29">
        <f t="shared" si="108"/>
        <v>1</v>
      </c>
      <c r="NZ23" s="152">
        <v>8036000</v>
      </c>
      <c r="OE23" s="155">
        <f t="shared" si="109"/>
        <v>0</v>
      </c>
      <c r="OF23" s="155">
        <f t="shared" si="110"/>
        <v>0</v>
      </c>
      <c r="OG23" s="155">
        <f t="shared" si="111"/>
        <v>0</v>
      </c>
      <c r="OH23" s="155">
        <f t="shared" si="165"/>
        <v>0</v>
      </c>
      <c r="OI23" s="155">
        <f t="shared" si="112"/>
        <v>0</v>
      </c>
      <c r="OJ23" s="67">
        <f t="shared" si="166"/>
        <v>0</v>
      </c>
      <c r="OK23" s="67">
        <f t="shared" si="167"/>
        <v>0</v>
      </c>
      <c r="OL23" s="67">
        <f t="shared" si="168"/>
        <v>0</v>
      </c>
      <c r="OM23" s="67">
        <f t="shared" si="169"/>
        <v>0</v>
      </c>
      <c r="OO23" s="155">
        <f t="shared" si="113"/>
        <v>0</v>
      </c>
      <c r="OP23" s="155">
        <f t="shared" si="114"/>
        <v>0</v>
      </c>
      <c r="OQ23" s="155">
        <f t="shared" si="170"/>
        <v>0</v>
      </c>
      <c r="OR23" s="155">
        <f t="shared" si="171"/>
        <v>0</v>
      </c>
      <c r="OS23" s="155">
        <f t="shared" si="172"/>
        <v>0</v>
      </c>
      <c r="OT23" s="67">
        <f t="shared" si="173"/>
        <v>0</v>
      </c>
      <c r="OU23" s="67">
        <f t="shared" si="174"/>
        <v>0</v>
      </c>
      <c r="OV23" s="67">
        <f t="shared" si="175"/>
        <v>0</v>
      </c>
      <c r="OW23" s="67">
        <f t="shared" si="176"/>
        <v>0</v>
      </c>
      <c r="PA23" s="166"/>
      <c r="PB23" s="166"/>
      <c r="PC23" s="166"/>
      <c r="PD23" s="210">
        <f t="shared" si="115"/>
        <v>0</v>
      </c>
      <c r="PE23" s="210"/>
      <c r="PF23" s="210">
        <f t="shared" si="116"/>
        <v>0</v>
      </c>
      <c r="PG23" s="210">
        <f t="shared" si="117"/>
        <v>0</v>
      </c>
      <c r="PH23" s="210">
        <f t="shared" si="117"/>
        <v>0</v>
      </c>
      <c r="PI23" s="210">
        <f t="shared" si="117"/>
        <v>0</v>
      </c>
      <c r="PJ23" s="210">
        <f t="shared" si="117"/>
        <v>0</v>
      </c>
      <c r="PK23" s="210">
        <f t="shared" si="117"/>
        <v>0</v>
      </c>
      <c r="PL23" s="210">
        <f t="shared" si="117"/>
        <v>0</v>
      </c>
      <c r="PO23" s="172">
        <f t="shared" si="177"/>
        <v>0</v>
      </c>
      <c r="PP23" s="172">
        <f t="shared" si="178"/>
        <v>0</v>
      </c>
      <c r="PQ23" s="172">
        <f t="shared" si="179"/>
        <v>0</v>
      </c>
    </row>
    <row r="24" spans="1:433" ht="16" x14ac:dyDescent="0.2">
      <c r="A24" s="19">
        <f t="shared" si="180"/>
        <v>16</v>
      </c>
      <c r="B24" s="138" t="s">
        <v>237</v>
      </c>
      <c r="C24" s="138">
        <v>17</v>
      </c>
      <c r="D24" s="20">
        <v>1</v>
      </c>
      <c r="E24" s="20">
        <v>179</v>
      </c>
      <c r="F24" s="20">
        <v>1</v>
      </c>
      <c r="G24" s="20">
        <f t="shared" si="2"/>
        <v>179</v>
      </c>
      <c r="H24" s="137">
        <f t="shared" si="3"/>
        <v>1</v>
      </c>
      <c r="I24" s="137">
        <f t="shared" si="4"/>
        <v>1</v>
      </c>
      <c r="J24" s="20">
        <v>1</v>
      </c>
      <c r="K24" s="20">
        <f t="shared" si="5"/>
        <v>179</v>
      </c>
      <c r="L24" s="137">
        <f t="shared" si="6"/>
        <v>1</v>
      </c>
      <c r="M24" s="137">
        <f t="shared" si="7"/>
        <v>1</v>
      </c>
      <c r="N24" s="20">
        <v>1</v>
      </c>
      <c r="O24" s="20">
        <f t="shared" si="8"/>
        <v>179</v>
      </c>
      <c r="P24" s="137">
        <f t="shared" si="9"/>
        <v>1</v>
      </c>
      <c r="Q24" s="137">
        <f t="shared" si="10"/>
        <v>1</v>
      </c>
      <c r="R24" s="20">
        <v>1</v>
      </c>
      <c r="S24" s="20">
        <f t="shared" si="11"/>
        <v>179</v>
      </c>
      <c r="T24" s="137">
        <f t="shared" si="12"/>
        <v>1</v>
      </c>
      <c r="U24" s="137">
        <f t="shared" si="13"/>
        <v>1</v>
      </c>
      <c r="V24" s="20">
        <v>1</v>
      </c>
      <c r="W24" s="20">
        <f t="shared" si="14"/>
        <v>179</v>
      </c>
      <c r="X24" s="137">
        <f t="shared" si="15"/>
        <v>1</v>
      </c>
      <c r="Y24" s="137">
        <f t="shared" si="16"/>
        <v>1</v>
      </c>
      <c r="Z24" s="41">
        <f>2607102000/1000000000</f>
        <v>2.6071019999999998</v>
      </c>
      <c r="AA24" s="41"/>
      <c r="AB24" s="17">
        <f t="shared" si="118"/>
        <v>0</v>
      </c>
      <c r="AC24" s="18">
        <f t="shared" si="119"/>
        <v>0</v>
      </c>
      <c r="AD24" s="18">
        <f t="shared" si="120"/>
        <v>0</v>
      </c>
      <c r="AE24" s="41"/>
      <c r="AF24" s="20">
        <f t="shared" si="121"/>
        <v>0</v>
      </c>
      <c r="AG24" s="20"/>
      <c r="AH24" s="17"/>
      <c r="AI24" s="20">
        <v>0</v>
      </c>
      <c r="AJ24" s="20">
        <f t="shared" si="181"/>
        <v>0</v>
      </c>
      <c r="AK24" s="20"/>
      <c r="AL24" s="20"/>
      <c r="AM24" s="20">
        <v>0</v>
      </c>
      <c r="AN24" s="139"/>
      <c r="BB24" s="17">
        <f t="shared" si="123"/>
        <v>0</v>
      </c>
      <c r="BE24" s="17">
        <f t="shared" si="19"/>
        <v>0</v>
      </c>
      <c r="BF24" s="17">
        <f t="shared" si="20"/>
        <v>0</v>
      </c>
      <c r="BG24" s="17">
        <f t="shared" si="21"/>
        <v>0</v>
      </c>
      <c r="BH24" s="17">
        <f t="shared" si="22"/>
        <v>0</v>
      </c>
      <c r="BI24" s="17">
        <f t="shared" si="23"/>
        <v>0</v>
      </c>
      <c r="BJ24" s="17">
        <f t="shared" si="24"/>
        <v>0</v>
      </c>
      <c r="BK24" s="17">
        <f t="shared" si="124"/>
        <v>0</v>
      </c>
      <c r="BN24" s="141"/>
      <c r="BO24" s="284"/>
      <c r="BP24" s="139"/>
      <c r="BQ24" s="139"/>
      <c r="BR24" s="139"/>
      <c r="BS24" s="139"/>
      <c r="BT24" s="139"/>
      <c r="BU24" s="139"/>
      <c r="BV24" s="139"/>
      <c r="BW24" s="139"/>
      <c r="BX24" s="139"/>
      <c r="BY24" s="139"/>
      <c r="BZ24" s="139"/>
      <c r="CB24" s="139"/>
      <c r="CD24" s="17">
        <f t="shared" si="125"/>
        <v>0</v>
      </c>
      <c r="CE24" s="17">
        <f t="shared" si="126"/>
        <v>0</v>
      </c>
      <c r="CF24" s="139">
        <f t="shared" si="182"/>
        <v>0</v>
      </c>
      <c r="CG24" s="139">
        <f t="shared" si="183"/>
        <v>0</v>
      </c>
      <c r="CH24" s="139">
        <f t="shared" si="184"/>
        <v>0</v>
      </c>
      <c r="CI24" s="139">
        <f t="shared" si="185"/>
        <v>0</v>
      </c>
      <c r="CJ24" s="139">
        <f t="shared" si="186"/>
        <v>0</v>
      </c>
      <c r="CK24" s="139">
        <f t="shared" si="187"/>
        <v>0</v>
      </c>
      <c r="CL24" s="139">
        <f t="shared" si="188"/>
        <v>0</v>
      </c>
      <c r="CM24" s="139">
        <f t="shared" si="189"/>
        <v>0</v>
      </c>
      <c r="CN24" s="139">
        <f t="shared" si="190"/>
        <v>0</v>
      </c>
      <c r="CO24" s="139">
        <f t="shared" si="191"/>
        <v>0</v>
      </c>
      <c r="CP24" s="139">
        <f t="shared" si="192"/>
        <v>0</v>
      </c>
      <c r="CQ24" s="148">
        <f t="shared" si="27"/>
        <v>0</v>
      </c>
      <c r="DV24" s="139">
        <f t="shared" si="28"/>
        <v>0</v>
      </c>
      <c r="DW24" s="139">
        <f t="shared" si="29"/>
        <v>0</v>
      </c>
      <c r="DX24" s="139">
        <f t="shared" si="30"/>
        <v>0</v>
      </c>
      <c r="DY24" s="139">
        <f t="shared" si="31"/>
        <v>0</v>
      </c>
      <c r="DZ24" s="139">
        <f t="shared" si="32"/>
        <v>0</v>
      </c>
      <c r="EA24" s="139">
        <f t="shared" si="33"/>
        <v>0</v>
      </c>
      <c r="EB24" s="139">
        <f t="shared" si="127"/>
        <v>0</v>
      </c>
      <c r="EG24" s="57">
        <f t="shared" si="128"/>
        <v>0</v>
      </c>
      <c r="EH24" s="57">
        <f t="shared" si="129"/>
        <v>0</v>
      </c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X24" s="80"/>
      <c r="FY24" s="17">
        <f t="shared" si="130"/>
        <v>0</v>
      </c>
      <c r="FZ24" s="17">
        <f t="shared" si="35"/>
        <v>0</v>
      </c>
      <c r="GA24" s="17">
        <f t="shared" si="36"/>
        <v>0</v>
      </c>
      <c r="GB24" s="17">
        <f t="shared" si="37"/>
        <v>0</v>
      </c>
      <c r="GC24" s="17">
        <f t="shared" si="38"/>
        <v>0</v>
      </c>
      <c r="GD24" s="17">
        <f t="shared" si="39"/>
        <v>0</v>
      </c>
      <c r="GE24" s="17">
        <f t="shared" si="40"/>
        <v>0</v>
      </c>
      <c r="GF24" s="67"/>
      <c r="GG24" s="17">
        <v>0</v>
      </c>
      <c r="GH24" s="17">
        <v>0</v>
      </c>
      <c r="GI24" s="67"/>
      <c r="GJ24" s="62">
        <f t="shared" si="131"/>
        <v>0</v>
      </c>
      <c r="GK24" s="62">
        <f t="shared" si="132"/>
        <v>0</v>
      </c>
      <c r="GO24" s="17">
        <f t="shared" si="41"/>
        <v>0</v>
      </c>
      <c r="GP24" s="17">
        <f t="shared" si="42"/>
        <v>0</v>
      </c>
      <c r="GQ24" s="17">
        <f t="shared" si="43"/>
        <v>0</v>
      </c>
      <c r="GR24" s="17">
        <f t="shared" si="44"/>
        <v>0</v>
      </c>
      <c r="GS24" s="17">
        <f t="shared" si="45"/>
        <v>0</v>
      </c>
      <c r="GT24" s="17">
        <f t="shared" si="133"/>
        <v>1</v>
      </c>
      <c r="GU24" s="101">
        <f t="shared" si="134"/>
        <v>43243</v>
      </c>
      <c r="GV24" s="17" t="str">
        <f t="shared" si="135"/>
        <v>SELESAI</v>
      </c>
      <c r="GW24" s="17">
        <f t="shared" si="136"/>
        <v>0</v>
      </c>
      <c r="GX24" s="66" t="str">
        <f t="shared" si="137"/>
        <v>SELESAI</v>
      </c>
      <c r="GY24" s="66">
        <f t="shared" si="138"/>
        <v>0</v>
      </c>
      <c r="GZ24" s="102" t="str">
        <f t="shared" si="139"/>
        <v>SELESAI</v>
      </c>
      <c r="HA24" s="83"/>
      <c r="HB24" s="83"/>
      <c r="HC24" s="17">
        <f t="shared" si="46"/>
        <v>0</v>
      </c>
      <c r="HD24" s="17">
        <f t="shared" si="47"/>
        <v>0</v>
      </c>
      <c r="HE24" s="17">
        <f t="shared" si="140"/>
        <v>0</v>
      </c>
      <c r="HF24" s="17">
        <f t="shared" si="141"/>
        <v>0</v>
      </c>
      <c r="HG24" s="17">
        <f t="shared" si="142"/>
        <v>0</v>
      </c>
      <c r="HH24" s="101" t="str">
        <f t="shared" si="48"/>
        <v>TIDAK KONSINYASI</v>
      </c>
      <c r="HI24" s="101" t="str">
        <f t="shared" si="143"/>
        <v>SELESAI</v>
      </c>
      <c r="HJ24" s="27"/>
      <c r="HK24" s="101">
        <f t="shared" si="49"/>
        <v>0</v>
      </c>
      <c r="HL24" s="83"/>
      <c r="HM24" s="83"/>
      <c r="HN24" s="83"/>
      <c r="HO24" s="83"/>
      <c r="HP24" s="102">
        <f t="shared" si="144"/>
        <v>0</v>
      </c>
      <c r="HQ24" s="66">
        <f t="shared" si="145"/>
        <v>0</v>
      </c>
      <c r="HR24" s="66">
        <f t="shared" si="50"/>
        <v>0</v>
      </c>
      <c r="HS24" s="102">
        <f t="shared" si="146"/>
        <v>0</v>
      </c>
      <c r="HT24" s="66">
        <f t="shared" si="147"/>
        <v>0</v>
      </c>
      <c r="HU24" s="66">
        <f t="shared" si="51"/>
        <v>0</v>
      </c>
      <c r="HV24" s="102">
        <f t="shared" si="148"/>
        <v>0</v>
      </c>
      <c r="HW24" s="66">
        <f t="shared" si="52"/>
        <v>0</v>
      </c>
      <c r="HX24" s="66">
        <f t="shared" si="53"/>
        <v>0</v>
      </c>
      <c r="HY24" s="102">
        <f t="shared" si="54"/>
        <v>0</v>
      </c>
      <c r="HZ24" s="66">
        <f t="shared" si="149"/>
        <v>0</v>
      </c>
      <c r="IA24" s="66">
        <f t="shared" si="55"/>
        <v>0</v>
      </c>
      <c r="IB24" s="102">
        <f t="shared" si="150"/>
        <v>0</v>
      </c>
      <c r="IC24" s="66">
        <f t="shared" si="56"/>
        <v>0</v>
      </c>
      <c r="ID24" s="66">
        <f t="shared" si="57"/>
        <v>0</v>
      </c>
      <c r="IE24" s="102">
        <f t="shared" si="58"/>
        <v>0</v>
      </c>
      <c r="IF24" s="66">
        <f t="shared" si="59"/>
        <v>0</v>
      </c>
      <c r="IG24" s="66">
        <f t="shared" si="60"/>
        <v>0</v>
      </c>
      <c r="IH24" s="102">
        <f t="shared" si="151"/>
        <v>0</v>
      </c>
      <c r="II24" s="66">
        <f t="shared" si="152"/>
        <v>0</v>
      </c>
      <c r="IJ24" s="66">
        <f t="shared" si="61"/>
        <v>0</v>
      </c>
      <c r="IK24" s="102">
        <f t="shared" si="62"/>
        <v>0</v>
      </c>
      <c r="IL24" s="66">
        <f t="shared" si="63"/>
        <v>0</v>
      </c>
      <c r="IM24" s="66">
        <f t="shared" si="64"/>
        <v>0</v>
      </c>
      <c r="IN24" s="83"/>
      <c r="IO24" s="102">
        <f t="shared" si="65"/>
        <v>0</v>
      </c>
      <c r="IP24" s="66">
        <f t="shared" si="66"/>
        <v>0</v>
      </c>
      <c r="IQ24" s="66">
        <f t="shared" si="67"/>
        <v>0</v>
      </c>
      <c r="IR24" s="83"/>
      <c r="IS24" s="102"/>
      <c r="IT24" s="66">
        <f t="shared" si="68"/>
        <v>1</v>
      </c>
      <c r="IU24" s="66">
        <f t="shared" si="69"/>
        <v>179</v>
      </c>
      <c r="IV24" s="83"/>
      <c r="IW24" s="102"/>
      <c r="IX24" s="66">
        <f t="shared" si="70"/>
        <v>0</v>
      </c>
      <c r="IY24" s="66">
        <f t="shared" si="71"/>
        <v>0</v>
      </c>
      <c r="IZ24" s="83"/>
      <c r="JA24" s="102"/>
      <c r="JB24" s="66">
        <f t="shared" si="72"/>
        <v>0</v>
      </c>
      <c r="JC24" s="66">
        <f t="shared" si="73"/>
        <v>0</v>
      </c>
      <c r="JD24" s="83"/>
      <c r="JE24" s="102"/>
      <c r="JF24" s="66">
        <f t="shared" si="153"/>
        <v>1</v>
      </c>
      <c r="JG24" s="66">
        <f t="shared" si="74"/>
        <v>179</v>
      </c>
      <c r="JH24" s="83"/>
      <c r="JI24" s="102"/>
      <c r="JJ24" s="66">
        <f t="shared" si="75"/>
        <v>0</v>
      </c>
      <c r="JK24" s="66">
        <f t="shared" si="76"/>
        <v>0</v>
      </c>
      <c r="JM24" s="102">
        <f t="shared" si="154"/>
        <v>0</v>
      </c>
      <c r="JO24" s="29">
        <f t="shared" si="77"/>
        <v>0</v>
      </c>
      <c r="JP24" s="122">
        <f t="shared" si="78"/>
        <v>0</v>
      </c>
      <c r="JQ24" s="122">
        <f t="shared" si="79"/>
        <v>0</v>
      </c>
      <c r="JR24" s="122">
        <f t="shared" si="80"/>
        <v>0</v>
      </c>
      <c r="JS24" s="122">
        <f t="shared" si="81"/>
        <v>0</v>
      </c>
      <c r="JT24" s="122">
        <f t="shared" si="82"/>
        <v>0</v>
      </c>
      <c r="JU24" s="122">
        <f t="shared" si="83"/>
        <v>0</v>
      </c>
      <c r="JV24" s="122">
        <f t="shared" si="84"/>
        <v>0</v>
      </c>
      <c r="JW24" s="122">
        <f t="shared" si="85"/>
        <v>0</v>
      </c>
      <c r="JX24" s="122">
        <f t="shared" si="86"/>
        <v>0</v>
      </c>
      <c r="JY24" s="122">
        <f t="shared" si="87"/>
        <v>0</v>
      </c>
      <c r="JZ24" s="122">
        <f t="shared" si="88"/>
        <v>0</v>
      </c>
      <c r="KA24" s="122">
        <f t="shared" si="89"/>
        <v>0</v>
      </c>
      <c r="KB24" s="122">
        <f t="shared" si="90"/>
        <v>0</v>
      </c>
      <c r="KD24" s="122">
        <f t="shared" si="155"/>
        <v>0</v>
      </c>
      <c r="KE24" s="122">
        <f t="shared" si="92"/>
        <v>0</v>
      </c>
      <c r="KF24" s="122">
        <f t="shared" si="93"/>
        <v>0</v>
      </c>
      <c r="KG24" s="122">
        <f t="shared" si="94"/>
        <v>0</v>
      </c>
      <c r="KH24" s="122">
        <f t="shared" si="95"/>
        <v>0</v>
      </c>
      <c r="KI24" s="122">
        <f t="shared" si="96"/>
        <v>0</v>
      </c>
      <c r="KJ24" s="122">
        <f t="shared" si="97"/>
        <v>0</v>
      </c>
      <c r="KK24" s="122">
        <f t="shared" si="98"/>
        <v>0</v>
      </c>
      <c r="KL24" s="122">
        <f t="shared" si="99"/>
        <v>0</v>
      </c>
      <c r="KM24" s="122">
        <f t="shared" si="100"/>
        <v>0</v>
      </c>
      <c r="KN24" s="123">
        <f t="shared" si="101"/>
        <v>0</v>
      </c>
      <c r="KO24" s="123">
        <f t="shared" si="102"/>
        <v>0</v>
      </c>
      <c r="KP24" s="123">
        <f t="shared" si="103"/>
        <v>0</v>
      </c>
      <c r="KQ24" s="123">
        <f t="shared" si="104"/>
        <v>0</v>
      </c>
      <c r="KR24" s="123">
        <f t="shared" si="105"/>
        <v>0</v>
      </c>
      <c r="KT24">
        <f t="shared" si="106"/>
        <v>0</v>
      </c>
      <c r="KU24" s="123"/>
      <c r="KV24" s="123"/>
      <c r="KW24" s="123"/>
      <c r="KX24" s="123"/>
      <c r="KY24" s="123"/>
      <c r="KZ24" s="123"/>
      <c r="LA24" s="123"/>
      <c r="LB24" s="123"/>
      <c r="LC24" s="123"/>
      <c r="LD24" s="123"/>
      <c r="LE24" s="123"/>
      <c r="LF24" s="123"/>
      <c r="LG24" s="123"/>
      <c r="LH24" s="123"/>
      <c r="LI24" s="123"/>
      <c r="LJ24" s="123"/>
      <c r="LK24" s="123"/>
      <c r="LL24" s="123"/>
      <c r="LM24" s="123"/>
      <c r="LN24" s="123"/>
      <c r="LO24" s="123"/>
      <c r="LP24" s="123"/>
      <c r="LQ24" s="123"/>
      <c r="LR24" s="123"/>
      <c r="LS24" s="123"/>
      <c r="LT24" s="123"/>
      <c r="LU24" s="123"/>
      <c r="LV24" s="123"/>
      <c r="LW24" s="123"/>
      <c r="LX24" s="123"/>
      <c r="LY24" s="123"/>
      <c r="LZ24" s="123"/>
      <c r="MA24" s="123"/>
      <c r="MB24" s="123"/>
      <c r="MC24" s="123"/>
      <c r="MD24" s="123"/>
      <c r="ME24" s="123"/>
      <c r="MF24" s="123"/>
      <c r="MG24" s="123"/>
      <c r="MH24" s="123"/>
      <c r="MI24" s="123"/>
      <c r="MJ24" s="123"/>
      <c r="MK24" s="123"/>
      <c r="ML24" s="123"/>
      <c r="MM24" s="123"/>
      <c r="MN24" s="123"/>
      <c r="MO24" s="123"/>
      <c r="MP24" s="123"/>
      <c r="MQ24" s="123"/>
      <c r="MR24" s="123"/>
      <c r="MS24" s="123"/>
      <c r="MT24" s="123"/>
      <c r="MU24" s="123"/>
      <c r="MV24" s="123"/>
      <c r="MW24" s="123"/>
      <c r="MX24" s="123"/>
      <c r="MY24" s="123"/>
      <c r="MZ24" s="123"/>
      <c r="NA24" s="123"/>
      <c r="NB24" s="123"/>
      <c r="NC24" s="123"/>
      <c r="ND24" s="123"/>
      <c r="NE24" s="123"/>
      <c r="NF24" s="123"/>
      <c r="NG24" s="123"/>
      <c r="NH24" s="123"/>
      <c r="NI24" s="123"/>
      <c r="NJ24" s="123"/>
      <c r="NK24" s="123"/>
      <c r="NM24">
        <f t="shared" si="156"/>
        <v>0</v>
      </c>
      <c r="NN24">
        <f t="shared" si="157"/>
        <v>0</v>
      </c>
      <c r="NO24">
        <f t="shared" si="158"/>
        <v>0</v>
      </c>
      <c r="NP24">
        <f t="shared" si="159"/>
        <v>0</v>
      </c>
      <c r="NQ24">
        <f t="shared" si="160"/>
        <v>0</v>
      </c>
      <c r="NR24">
        <f t="shared" si="161"/>
        <v>0</v>
      </c>
      <c r="NS24">
        <f t="shared" si="162"/>
        <v>0</v>
      </c>
      <c r="NT24">
        <f t="shared" si="163"/>
        <v>0</v>
      </c>
      <c r="NU24" s="29">
        <f t="shared" si="164"/>
        <v>0</v>
      </c>
      <c r="NY24" s="29">
        <f t="shared" si="108"/>
        <v>1</v>
      </c>
      <c r="NZ24" s="152">
        <v>8036000</v>
      </c>
      <c r="OE24" s="155">
        <f t="shared" si="109"/>
        <v>0</v>
      </c>
      <c r="OF24" s="155">
        <f t="shared" si="110"/>
        <v>0</v>
      </c>
      <c r="OG24" s="155">
        <f t="shared" si="111"/>
        <v>0</v>
      </c>
      <c r="OH24" s="155">
        <f t="shared" si="165"/>
        <v>0</v>
      </c>
      <c r="OI24" s="155">
        <f t="shared" si="112"/>
        <v>0</v>
      </c>
      <c r="OJ24" s="67">
        <f t="shared" si="166"/>
        <v>0</v>
      </c>
      <c r="OK24" s="67">
        <f t="shared" si="167"/>
        <v>0</v>
      </c>
      <c r="OL24" s="67">
        <f t="shared" si="168"/>
        <v>0</v>
      </c>
      <c r="OM24" s="67">
        <f t="shared" si="169"/>
        <v>0</v>
      </c>
      <c r="OO24" s="155">
        <f t="shared" si="113"/>
        <v>0</v>
      </c>
      <c r="OP24" s="155">
        <f t="shared" si="114"/>
        <v>0</v>
      </c>
      <c r="OQ24" s="155">
        <f t="shared" si="170"/>
        <v>0</v>
      </c>
      <c r="OR24" s="155">
        <f t="shared" si="171"/>
        <v>0</v>
      </c>
      <c r="OS24" s="155">
        <f t="shared" si="172"/>
        <v>0</v>
      </c>
      <c r="OT24" s="67">
        <f t="shared" si="173"/>
        <v>0</v>
      </c>
      <c r="OU24" s="67">
        <f t="shared" si="174"/>
        <v>0</v>
      </c>
      <c r="OV24" s="67">
        <f t="shared" si="175"/>
        <v>0</v>
      </c>
      <c r="OW24" s="67">
        <f t="shared" si="176"/>
        <v>0</v>
      </c>
      <c r="PA24" s="166"/>
      <c r="PB24" s="166"/>
      <c r="PC24" s="166"/>
      <c r="PD24" s="210">
        <f t="shared" si="115"/>
        <v>0</v>
      </c>
      <c r="PE24" s="210"/>
      <c r="PF24" s="210">
        <f t="shared" si="116"/>
        <v>0</v>
      </c>
      <c r="PG24" s="210">
        <f t="shared" si="117"/>
        <v>0</v>
      </c>
      <c r="PH24" s="210">
        <f t="shared" si="117"/>
        <v>0</v>
      </c>
      <c r="PI24" s="210">
        <f t="shared" si="117"/>
        <v>0</v>
      </c>
      <c r="PJ24" s="210">
        <f t="shared" si="117"/>
        <v>0</v>
      </c>
      <c r="PK24" s="210">
        <f t="shared" si="117"/>
        <v>0</v>
      </c>
      <c r="PL24" s="210">
        <f t="shared" si="117"/>
        <v>0</v>
      </c>
      <c r="PO24" s="172">
        <f t="shared" si="177"/>
        <v>0</v>
      </c>
      <c r="PP24" s="172">
        <f t="shared" si="178"/>
        <v>0</v>
      </c>
      <c r="PQ24" s="172">
        <f t="shared" si="179"/>
        <v>0</v>
      </c>
    </row>
    <row r="25" spans="1:433" ht="16" x14ac:dyDescent="0.2">
      <c r="A25" s="19">
        <f t="shared" si="180"/>
        <v>17</v>
      </c>
      <c r="B25" s="138" t="s">
        <v>238</v>
      </c>
      <c r="C25" s="138">
        <v>18</v>
      </c>
      <c r="D25" s="20">
        <v>1</v>
      </c>
      <c r="E25" s="20">
        <v>81</v>
      </c>
      <c r="F25" s="20">
        <v>1</v>
      </c>
      <c r="G25" s="20">
        <f t="shared" si="2"/>
        <v>81</v>
      </c>
      <c r="H25" s="137">
        <f t="shared" si="3"/>
        <v>1</v>
      </c>
      <c r="I25" s="137">
        <f t="shared" si="4"/>
        <v>1</v>
      </c>
      <c r="J25" s="20">
        <v>1</v>
      </c>
      <c r="K25" s="20">
        <f t="shared" si="5"/>
        <v>81</v>
      </c>
      <c r="L25" s="137">
        <f t="shared" si="6"/>
        <v>1</v>
      </c>
      <c r="M25" s="137">
        <f t="shared" si="7"/>
        <v>1</v>
      </c>
      <c r="N25" s="20">
        <v>1</v>
      </c>
      <c r="O25" s="20">
        <f t="shared" si="8"/>
        <v>81</v>
      </c>
      <c r="P25" s="137">
        <f t="shared" si="9"/>
        <v>1</v>
      </c>
      <c r="Q25" s="137">
        <f t="shared" si="10"/>
        <v>1</v>
      </c>
      <c r="R25" s="20">
        <v>1</v>
      </c>
      <c r="S25" s="20">
        <f t="shared" si="11"/>
        <v>81</v>
      </c>
      <c r="T25" s="137">
        <f t="shared" si="12"/>
        <v>1</v>
      </c>
      <c r="U25" s="137">
        <f t="shared" si="13"/>
        <v>1</v>
      </c>
      <c r="V25" s="20">
        <v>1</v>
      </c>
      <c r="W25" s="20">
        <f t="shared" si="14"/>
        <v>81</v>
      </c>
      <c r="X25" s="137">
        <f t="shared" si="15"/>
        <v>1</v>
      </c>
      <c r="Y25" s="137">
        <f t="shared" si="16"/>
        <v>1</v>
      </c>
      <c r="Z25" s="41">
        <f>1058075000/1000000000</f>
        <v>1.0580750000000001</v>
      </c>
      <c r="AA25" s="41"/>
      <c r="AB25" s="17">
        <f t="shared" si="118"/>
        <v>0</v>
      </c>
      <c r="AC25" s="18">
        <f t="shared" si="119"/>
        <v>0</v>
      </c>
      <c r="AD25" s="18">
        <f t="shared" si="120"/>
        <v>0</v>
      </c>
      <c r="AE25" s="41"/>
      <c r="AF25" s="20">
        <f t="shared" si="121"/>
        <v>0</v>
      </c>
      <c r="AG25" s="20"/>
      <c r="AH25" s="17"/>
      <c r="AI25" s="20">
        <v>0</v>
      </c>
      <c r="AJ25" s="20">
        <f t="shared" si="181"/>
        <v>0</v>
      </c>
      <c r="AK25" s="20"/>
      <c r="AL25" s="20"/>
      <c r="AM25" s="20">
        <v>0</v>
      </c>
      <c r="AN25" s="139"/>
      <c r="BB25" s="17">
        <f t="shared" si="123"/>
        <v>0</v>
      </c>
      <c r="BE25" s="17">
        <f t="shared" si="19"/>
        <v>0</v>
      </c>
      <c r="BF25" s="17">
        <f t="shared" si="20"/>
        <v>0</v>
      </c>
      <c r="BG25" s="17">
        <f t="shared" si="21"/>
        <v>0</v>
      </c>
      <c r="BH25" s="17">
        <f t="shared" si="22"/>
        <v>0</v>
      </c>
      <c r="BI25" s="17">
        <f t="shared" si="23"/>
        <v>0</v>
      </c>
      <c r="BJ25" s="17">
        <f t="shared" si="24"/>
        <v>0</v>
      </c>
      <c r="BK25" s="17">
        <f t="shared" si="124"/>
        <v>0</v>
      </c>
      <c r="BN25" s="142">
        <v>31</v>
      </c>
      <c r="BO25">
        <v>1</v>
      </c>
      <c r="BP25" s="139"/>
      <c r="BQ25" s="139"/>
      <c r="BR25" s="139"/>
      <c r="BS25" s="139"/>
      <c r="BT25" s="139"/>
      <c r="BU25" s="139"/>
      <c r="BV25" s="139"/>
      <c r="BW25" s="139"/>
      <c r="BX25" s="139"/>
      <c r="BY25" s="139"/>
      <c r="BZ25" s="139"/>
      <c r="CB25" s="139"/>
      <c r="CD25" s="17">
        <f t="shared" si="125"/>
        <v>31</v>
      </c>
      <c r="CE25" s="17">
        <f t="shared" si="126"/>
        <v>31</v>
      </c>
      <c r="CF25" s="139">
        <f t="shared" si="182"/>
        <v>0</v>
      </c>
      <c r="CG25" s="139">
        <f t="shared" si="183"/>
        <v>0</v>
      </c>
      <c r="CH25" s="139">
        <f t="shared" si="184"/>
        <v>0</v>
      </c>
      <c r="CI25" s="139">
        <f t="shared" si="185"/>
        <v>0</v>
      </c>
      <c r="CJ25" s="139">
        <f t="shared" si="186"/>
        <v>0</v>
      </c>
      <c r="CK25" s="139">
        <f t="shared" si="187"/>
        <v>0</v>
      </c>
      <c r="CL25" s="139">
        <f t="shared" si="188"/>
        <v>0</v>
      </c>
      <c r="CM25" s="139">
        <f t="shared" si="189"/>
        <v>0</v>
      </c>
      <c r="CN25" s="139">
        <f t="shared" si="190"/>
        <v>0</v>
      </c>
      <c r="CO25" s="139">
        <f t="shared" si="191"/>
        <v>0</v>
      </c>
      <c r="CP25" s="139">
        <f t="shared" si="192"/>
        <v>0</v>
      </c>
      <c r="CQ25" s="148">
        <f t="shared" si="27"/>
        <v>0</v>
      </c>
      <c r="DV25" s="139">
        <f t="shared" si="28"/>
        <v>0</v>
      </c>
      <c r="DW25" s="139">
        <f t="shared" si="29"/>
        <v>0</v>
      </c>
      <c r="DX25" s="139">
        <f t="shared" si="30"/>
        <v>0</v>
      </c>
      <c r="DY25" s="139">
        <f t="shared" si="31"/>
        <v>0</v>
      </c>
      <c r="DZ25" s="139">
        <f t="shared" si="32"/>
        <v>0</v>
      </c>
      <c r="EA25" s="139">
        <f t="shared" si="33"/>
        <v>0</v>
      </c>
      <c r="EB25" s="139">
        <f t="shared" si="127"/>
        <v>0</v>
      </c>
      <c r="EG25" s="57">
        <f t="shared" si="128"/>
        <v>0</v>
      </c>
      <c r="EH25" s="57">
        <f t="shared" si="129"/>
        <v>0</v>
      </c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X25" s="80">
        <v>1</v>
      </c>
      <c r="FY25" s="17">
        <f t="shared" si="130"/>
        <v>31</v>
      </c>
      <c r="FZ25" s="17">
        <f t="shared" si="35"/>
        <v>31</v>
      </c>
      <c r="GA25" s="17">
        <f t="shared" si="36"/>
        <v>0</v>
      </c>
      <c r="GB25" s="17">
        <f t="shared" si="37"/>
        <v>0</v>
      </c>
      <c r="GC25" s="17">
        <f t="shared" si="38"/>
        <v>0</v>
      </c>
      <c r="GD25" s="17">
        <f t="shared" si="39"/>
        <v>0</v>
      </c>
      <c r="GE25" s="17">
        <f t="shared" si="40"/>
        <v>0</v>
      </c>
      <c r="GF25" s="67"/>
      <c r="GG25" s="17">
        <v>0</v>
      </c>
      <c r="GH25" s="17">
        <v>0</v>
      </c>
      <c r="GI25" s="67"/>
      <c r="GJ25" s="62">
        <f t="shared" si="131"/>
        <v>0</v>
      </c>
      <c r="GK25" s="62">
        <f t="shared" si="132"/>
        <v>0</v>
      </c>
      <c r="GO25" s="17">
        <f t="shared" si="41"/>
        <v>0</v>
      </c>
      <c r="GP25" s="17">
        <f t="shared" si="42"/>
        <v>0</v>
      </c>
      <c r="GQ25" s="17">
        <f t="shared" si="43"/>
        <v>0</v>
      </c>
      <c r="GR25" s="17">
        <f t="shared" si="44"/>
        <v>0</v>
      </c>
      <c r="GS25" s="17">
        <f t="shared" si="45"/>
        <v>0</v>
      </c>
      <c r="GT25" s="17">
        <f t="shared" si="133"/>
        <v>1</v>
      </c>
      <c r="GU25" s="101">
        <f t="shared" si="134"/>
        <v>43243</v>
      </c>
      <c r="GV25" s="17" t="str">
        <f t="shared" si="135"/>
        <v>SELESAI</v>
      </c>
      <c r="GW25" s="17">
        <f t="shared" si="136"/>
        <v>0</v>
      </c>
      <c r="GX25" s="66" t="str">
        <f t="shared" si="137"/>
        <v>SELESAI</v>
      </c>
      <c r="GY25" s="66">
        <f t="shared" si="138"/>
        <v>0</v>
      </c>
      <c r="GZ25" s="102" t="str">
        <f t="shared" si="139"/>
        <v>SELESAI</v>
      </c>
      <c r="HA25" s="83"/>
      <c r="HB25" s="83"/>
      <c r="HC25" s="17">
        <f t="shared" si="46"/>
        <v>0</v>
      </c>
      <c r="HD25" s="17">
        <f t="shared" si="47"/>
        <v>0</v>
      </c>
      <c r="HE25" s="17">
        <f t="shared" si="140"/>
        <v>0</v>
      </c>
      <c r="HF25" s="17">
        <f t="shared" si="141"/>
        <v>0</v>
      </c>
      <c r="HG25" s="17">
        <f t="shared" si="142"/>
        <v>0</v>
      </c>
      <c r="HH25" s="101" t="str">
        <f t="shared" si="48"/>
        <v>TIDAK KONSINYASI</v>
      </c>
      <c r="HI25" s="101" t="str">
        <f t="shared" si="143"/>
        <v>SELESAI</v>
      </c>
      <c r="HJ25" s="27"/>
      <c r="HK25" s="101">
        <f t="shared" si="49"/>
        <v>0</v>
      </c>
      <c r="HL25" s="83"/>
      <c r="HM25" s="83"/>
      <c r="HN25" s="83"/>
      <c r="HO25" s="83"/>
      <c r="HP25" s="102">
        <f t="shared" si="144"/>
        <v>0</v>
      </c>
      <c r="HQ25" s="66">
        <f t="shared" si="145"/>
        <v>0</v>
      </c>
      <c r="HR25" s="66">
        <f t="shared" si="50"/>
        <v>0</v>
      </c>
      <c r="HS25" s="102">
        <f t="shared" si="146"/>
        <v>0</v>
      </c>
      <c r="HT25" s="66">
        <f t="shared" si="147"/>
        <v>0</v>
      </c>
      <c r="HU25" s="66">
        <f t="shared" si="51"/>
        <v>0</v>
      </c>
      <c r="HV25" s="102">
        <f t="shared" si="148"/>
        <v>0</v>
      </c>
      <c r="HW25" s="66">
        <f t="shared" si="52"/>
        <v>0</v>
      </c>
      <c r="HX25" s="66">
        <f t="shared" si="53"/>
        <v>0</v>
      </c>
      <c r="HY25" s="102">
        <f t="shared" si="54"/>
        <v>0</v>
      </c>
      <c r="HZ25" s="66">
        <f t="shared" si="149"/>
        <v>0</v>
      </c>
      <c r="IA25" s="66">
        <f t="shared" si="55"/>
        <v>0</v>
      </c>
      <c r="IB25" s="102">
        <f t="shared" si="150"/>
        <v>0</v>
      </c>
      <c r="IC25" s="66">
        <f t="shared" si="56"/>
        <v>0</v>
      </c>
      <c r="ID25" s="66">
        <f t="shared" si="57"/>
        <v>0</v>
      </c>
      <c r="IE25" s="102">
        <f t="shared" si="58"/>
        <v>0</v>
      </c>
      <c r="IF25" s="66">
        <f t="shared" si="59"/>
        <v>0</v>
      </c>
      <c r="IG25" s="66">
        <f t="shared" si="60"/>
        <v>0</v>
      </c>
      <c r="IH25" s="102">
        <f t="shared" si="151"/>
        <v>0</v>
      </c>
      <c r="II25" s="66">
        <f t="shared" si="152"/>
        <v>0</v>
      </c>
      <c r="IJ25" s="66">
        <f t="shared" si="61"/>
        <v>0</v>
      </c>
      <c r="IK25" s="102">
        <f t="shared" si="62"/>
        <v>0</v>
      </c>
      <c r="IL25" s="66">
        <f t="shared" si="63"/>
        <v>0</v>
      </c>
      <c r="IM25" s="66">
        <f t="shared" si="64"/>
        <v>0</v>
      </c>
      <c r="IN25" s="83"/>
      <c r="IO25" s="102">
        <f t="shared" si="65"/>
        <v>0</v>
      </c>
      <c r="IP25" s="66">
        <f t="shared" si="66"/>
        <v>0</v>
      </c>
      <c r="IQ25" s="66">
        <f t="shared" si="67"/>
        <v>0</v>
      </c>
      <c r="IR25" s="83"/>
      <c r="IS25" s="102"/>
      <c r="IT25" s="66">
        <f t="shared" si="68"/>
        <v>1</v>
      </c>
      <c r="IU25" s="66">
        <f t="shared" si="69"/>
        <v>81</v>
      </c>
      <c r="IV25" s="83"/>
      <c r="IW25" s="102"/>
      <c r="IX25" s="66">
        <f t="shared" si="70"/>
        <v>0</v>
      </c>
      <c r="IY25" s="66">
        <f t="shared" si="71"/>
        <v>0</v>
      </c>
      <c r="IZ25" s="83"/>
      <c r="JA25" s="102"/>
      <c r="JB25" s="66">
        <f t="shared" si="72"/>
        <v>0</v>
      </c>
      <c r="JC25" s="66">
        <f t="shared" si="73"/>
        <v>0</v>
      </c>
      <c r="JD25" s="83"/>
      <c r="JE25" s="102"/>
      <c r="JF25" s="66">
        <f t="shared" si="153"/>
        <v>1</v>
      </c>
      <c r="JG25" s="66">
        <f t="shared" si="74"/>
        <v>81</v>
      </c>
      <c r="JH25" s="83"/>
      <c r="JI25" s="102"/>
      <c r="JJ25" s="66">
        <f t="shared" si="75"/>
        <v>0</v>
      </c>
      <c r="JK25" s="66">
        <f t="shared" si="76"/>
        <v>0</v>
      </c>
      <c r="JM25" s="102">
        <f t="shared" si="154"/>
        <v>0</v>
      </c>
      <c r="JO25" s="29">
        <f t="shared" si="77"/>
        <v>1</v>
      </c>
      <c r="JP25" s="122">
        <f t="shared" si="78"/>
        <v>31</v>
      </c>
      <c r="JQ25" s="122">
        <f t="shared" si="79"/>
        <v>1</v>
      </c>
      <c r="JR25" s="122">
        <f t="shared" si="80"/>
        <v>0</v>
      </c>
      <c r="JS25" s="122">
        <f t="shared" si="81"/>
        <v>0</v>
      </c>
      <c r="JT25" s="122">
        <f t="shared" si="82"/>
        <v>0</v>
      </c>
      <c r="JU25" s="122">
        <f t="shared" si="83"/>
        <v>0</v>
      </c>
      <c r="JV25" s="122">
        <f t="shared" si="84"/>
        <v>0</v>
      </c>
      <c r="JW25" s="122">
        <f t="shared" si="85"/>
        <v>0</v>
      </c>
      <c r="JX25" s="122">
        <f t="shared" si="86"/>
        <v>0</v>
      </c>
      <c r="JY25" s="122">
        <f t="shared" si="87"/>
        <v>0</v>
      </c>
      <c r="JZ25" s="122">
        <f t="shared" si="88"/>
        <v>0</v>
      </c>
      <c r="KA25" s="122">
        <f t="shared" si="89"/>
        <v>0</v>
      </c>
      <c r="KB25" s="122">
        <f t="shared" si="90"/>
        <v>0</v>
      </c>
      <c r="KD25" s="122">
        <f t="shared" si="155"/>
        <v>0</v>
      </c>
      <c r="KE25" s="122">
        <f t="shared" si="92"/>
        <v>0</v>
      </c>
      <c r="KF25" s="122">
        <f t="shared" si="93"/>
        <v>31</v>
      </c>
      <c r="KG25" s="122">
        <f t="shared" si="94"/>
        <v>31</v>
      </c>
      <c r="KH25" s="122">
        <f t="shared" si="95"/>
        <v>0</v>
      </c>
      <c r="KI25" s="122">
        <f t="shared" si="96"/>
        <v>0</v>
      </c>
      <c r="KJ25" s="122">
        <f t="shared" si="97"/>
        <v>0</v>
      </c>
      <c r="KK25" s="122">
        <f t="shared" si="98"/>
        <v>0</v>
      </c>
      <c r="KL25" s="122">
        <f t="shared" si="99"/>
        <v>0</v>
      </c>
      <c r="KM25" s="122">
        <f t="shared" si="100"/>
        <v>0</v>
      </c>
      <c r="KN25" s="123">
        <f t="shared" si="101"/>
        <v>0</v>
      </c>
      <c r="KO25" s="123">
        <f t="shared" si="102"/>
        <v>0</v>
      </c>
      <c r="KP25" s="123">
        <f t="shared" si="103"/>
        <v>0</v>
      </c>
      <c r="KQ25" s="123">
        <f t="shared" si="104"/>
        <v>0</v>
      </c>
      <c r="KR25" s="123">
        <f t="shared" si="105"/>
        <v>0</v>
      </c>
      <c r="KT25">
        <f t="shared" si="106"/>
        <v>0</v>
      </c>
      <c r="KU25" s="123"/>
      <c r="KV25" s="123"/>
      <c r="KW25" s="123"/>
      <c r="KX25" s="123"/>
      <c r="KY25" s="123"/>
      <c r="KZ25" s="123"/>
      <c r="LA25" s="123"/>
      <c r="LB25" s="123"/>
      <c r="LC25" s="123"/>
      <c r="LD25" s="123"/>
      <c r="LE25" s="123"/>
      <c r="LF25" s="123"/>
      <c r="LG25" s="123"/>
      <c r="LH25" s="123"/>
      <c r="LI25" s="123"/>
      <c r="LJ25" s="123"/>
      <c r="LK25" s="123"/>
      <c r="LL25" s="123"/>
      <c r="LM25" s="123"/>
      <c r="LN25" s="123"/>
      <c r="LO25" s="123"/>
      <c r="LP25" s="123"/>
      <c r="LQ25" s="123"/>
      <c r="LR25" s="123"/>
      <c r="LS25" s="123"/>
      <c r="LT25" s="123"/>
      <c r="LU25" s="123"/>
      <c r="LV25" s="123"/>
      <c r="LW25" s="123"/>
      <c r="LX25" s="123"/>
      <c r="LY25" s="123"/>
      <c r="LZ25" s="123"/>
      <c r="MA25" s="123"/>
      <c r="MB25" s="123"/>
      <c r="MC25" s="123"/>
      <c r="MD25" s="123"/>
      <c r="ME25" s="123"/>
      <c r="MF25" s="123"/>
      <c r="MG25" s="123"/>
      <c r="MH25" s="123"/>
      <c r="MI25" s="123"/>
      <c r="MJ25" s="123"/>
      <c r="MK25" s="123"/>
      <c r="ML25" s="123"/>
      <c r="MM25" s="123"/>
      <c r="MN25" s="123"/>
      <c r="MO25" s="123"/>
      <c r="MP25" s="123"/>
      <c r="MQ25" s="123"/>
      <c r="MR25" s="123"/>
      <c r="MS25" s="123"/>
      <c r="MT25" s="123"/>
      <c r="MU25" s="123"/>
      <c r="MV25" s="123"/>
      <c r="MW25" s="123"/>
      <c r="MX25" s="123"/>
      <c r="MY25" s="123"/>
      <c r="MZ25" s="123"/>
      <c r="NA25" s="123"/>
      <c r="NB25" s="123"/>
      <c r="NC25" s="123"/>
      <c r="ND25" s="123"/>
      <c r="NE25" s="123"/>
      <c r="NF25" s="123"/>
      <c r="NG25" s="123"/>
      <c r="NH25" s="123"/>
      <c r="NI25" s="123"/>
      <c r="NJ25" s="123"/>
      <c r="NK25" s="123"/>
      <c r="NM25">
        <f t="shared" si="156"/>
        <v>0</v>
      </c>
      <c r="NN25">
        <f t="shared" si="157"/>
        <v>0</v>
      </c>
      <c r="NO25">
        <f t="shared" si="158"/>
        <v>0</v>
      </c>
      <c r="NP25">
        <f t="shared" si="159"/>
        <v>0</v>
      </c>
      <c r="NQ25">
        <f t="shared" si="160"/>
        <v>0</v>
      </c>
      <c r="NR25">
        <f t="shared" si="161"/>
        <v>0</v>
      </c>
      <c r="NS25">
        <f t="shared" si="162"/>
        <v>0</v>
      </c>
      <c r="NT25">
        <f t="shared" si="163"/>
        <v>0</v>
      </c>
      <c r="NU25" s="29">
        <f t="shared" si="164"/>
        <v>0</v>
      </c>
      <c r="NY25" s="29">
        <f t="shared" si="108"/>
        <v>1</v>
      </c>
      <c r="NZ25" s="152">
        <v>8036000</v>
      </c>
      <c r="OE25" s="155">
        <f t="shared" si="109"/>
        <v>0</v>
      </c>
      <c r="OF25" s="155">
        <f t="shared" si="110"/>
        <v>0</v>
      </c>
      <c r="OG25" s="155">
        <f t="shared" si="111"/>
        <v>0</v>
      </c>
      <c r="OH25" s="155">
        <f t="shared" si="165"/>
        <v>0</v>
      </c>
      <c r="OI25" s="155">
        <f t="shared" si="112"/>
        <v>0</v>
      </c>
      <c r="OJ25" s="67">
        <f t="shared" si="166"/>
        <v>0</v>
      </c>
      <c r="OK25" s="67">
        <f t="shared" si="167"/>
        <v>0</v>
      </c>
      <c r="OL25" s="67">
        <f t="shared" si="168"/>
        <v>0</v>
      </c>
      <c r="OM25" s="67">
        <f t="shared" si="169"/>
        <v>0</v>
      </c>
      <c r="OO25" s="155">
        <f t="shared" si="113"/>
        <v>0</v>
      </c>
      <c r="OP25" s="155">
        <f t="shared" si="114"/>
        <v>0</v>
      </c>
      <c r="OQ25" s="155">
        <f t="shared" si="170"/>
        <v>0</v>
      </c>
      <c r="OR25" s="155">
        <f t="shared" si="171"/>
        <v>0</v>
      </c>
      <c r="OS25" s="155">
        <f t="shared" si="172"/>
        <v>0</v>
      </c>
      <c r="OT25" s="67">
        <f t="shared" si="173"/>
        <v>0</v>
      </c>
      <c r="OU25" s="67">
        <f t="shared" si="174"/>
        <v>0</v>
      </c>
      <c r="OV25" s="67">
        <f t="shared" si="175"/>
        <v>0</v>
      </c>
      <c r="OW25" s="67">
        <f t="shared" si="176"/>
        <v>0</v>
      </c>
      <c r="PA25" s="166"/>
      <c r="PB25" s="166"/>
      <c r="PC25" s="166"/>
      <c r="PD25" s="210">
        <f t="shared" si="115"/>
        <v>0</v>
      </c>
      <c r="PE25" s="210"/>
      <c r="PF25" s="210">
        <f t="shared" si="116"/>
        <v>0</v>
      </c>
      <c r="PG25" s="210">
        <f t="shared" si="117"/>
        <v>0</v>
      </c>
      <c r="PH25" s="210">
        <f t="shared" si="117"/>
        <v>0</v>
      </c>
      <c r="PI25" s="210">
        <f t="shared" si="117"/>
        <v>0</v>
      </c>
      <c r="PJ25" s="210">
        <f t="shared" si="117"/>
        <v>0</v>
      </c>
      <c r="PK25" s="210">
        <f t="shared" si="117"/>
        <v>0</v>
      </c>
      <c r="PL25" s="210">
        <f t="shared" si="117"/>
        <v>0</v>
      </c>
      <c r="PO25" s="172">
        <f t="shared" si="177"/>
        <v>0</v>
      </c>
      <c r="PP25" s="172">
        <f t="shared" si="178"/>
        <v>0</v>
      </c>
      <c r="PQ25" s="172">
        <f t="shared" si="179"/>
        <v>0</v>
      </c>
    </row>
    <row r="26" spans="1:433" ht="16" x14ac:dyDescent="0.2">
      <c r="A26" s="19">
        <f t="shared" si="180"/>
        <v>18</v>
      </c>
      <c r="B26" s="138" t="s">
        <v>239</v>
      </c>
      <c r="C26" s="138">
        <v>19</v>
      </c>
      <c r="D26" s="20">
        <v>1</v>
      </c>
      <c r="E26" s="20">
        <v>37</v>
      </c>
      <c r="F26" s="20">
        <v>1</v>
      </c>
      <c r="G26" s="20">
        <f t="shared" si="2"/>
        <v>37</v>
      </c>
      <c r="H26" s="137">
        <f t="shared" si="3"/>
        <v>1</v>
      </c>
      <c r="I26" s="137">
        <f t="shared" si="4"/>
        <v>1</v>
      </c>
      <c r="J26" s="20">
        <v>1</v>
      </c>
      <c r="K26" s="20">
        <f t="shared" si="5"/>
        <v>37</v>
      </c>
      <c r="L26" s="137">
        <f t="shared" si="6"/>
        <v>1</v>
      </c>
      <c r="M26" s="137">
        <f t="shared" si="7"/>
        <v>1</v>
      </c>
      <c r="N26" s="20">
        <v>1</v>
      </c>
      <c r="O26" s="20">
        <f t="shared" si="8"/>
        <v>37</v>
      </c>
      <c r="P26" s="137">
        <f t="shared" si="9"/>
        <v>1</v>
      </c>
      <c r="Q26" s="137">
        <f t="shared" si="10"/>
        <v>1</v>
      </c>
      <c r="R26" s="20">
        <v>1</v>
      </c>
      <c r="S26" s="20">
        <f t="shared" si="11"/>
        <v>37</v>
      </c>
      <c r="T26" s="137">
        <f t="shared" si="12"/>
        <v>1</v>
      </c>
      <c r="U26" s="137">
        <f t="shared" si="13"/>
        <v>1</v>
      </c>
      <c r="V26" s="20">
        <v>1</v>
      </c>
      <c r="W26" s="20">
        <f t="shared" si="14"/>
        <v>37</v>
      </c>
      <c r="X26" s="137">
        <f t="shared" si="15"/>
        <v>1</v>
      </c>
      <c r="Y26" s="137">
        <f t="shared" si="16"/>
        <v>1</v>
      </c>
      <c r="Z26" s="38">
        <f>1131465000/1000000000</f>
        <v>1.1314649999999999</v>
      </c>
      <c r="AA26" s="38"/>
      <c r="AB26" s="17">
        <f t="shared" si="118"/>
        <v>0</v>
      </c>
      <c r="AC26" s="18">
        <f t="shared" si="119"/>
        <v>0</v>
      </c>
      <c r="AD26" s="18">
        <f t="shared" si="120"/>
        <v>0</v>
      </c>
      <c r="AE26" s="38"/>
      <c r="AF26" s="20">
        <f t="shared" si="121"/>
        <v>0</v>
      </c>
      <c r="AG26" s="20"/>
      <c r="AH26" s="31"/>
      <c r="AI26" s="20">
        <v>0</v>
      </c>
      <c r="AJ26" s="20">
        <f t="shared" si="181"/>
        <v>0</v>
      </c>
      <c r="AK26" s="20"/>
      <c r="AL26" s="20"/>
      <c r="AM26" s="20">
        <v>0</v>
      </c>
      <c r="AN26" s="139"/>
      <c r="BB26" s="17">
        <f t="shared" si="123"/>
        <v>0</v>
      </c>
      <c r="BE26" s="17">
        <f t="shared" si="19"/>
        <v>0</v>
      </c>
      <c r="BF26" s="17">
        <f t="shared" si="20"/>
        <v>0</v>
      </c>
      <c r="BG26" s="17">
        <f t="shared" si="21"/>
        <v>0</v>
      </c>
      <c r="BH26" s="17">
        <f t="shared" si="22"/>
        <v>0</v>
      </c>
      <c r="BI26" s="17">
        <f t="shared" si="23"/>
        <v>0</v>
      </c>
      <c r="BJ26" s="17">
        <f t="shared" si="24"/>
        <v>0</v>
      </c>
      <c r="BK26" s="17">
        <f t="shared" si="124"/>
        <v>0</v>
      </c>
      <c r="BN26" s="142"/>
      <c r="BP26" s="139"/>
      <c r="BQ26" s="139"/>
      <c r="BR26" s="139"/>
      <c r="BS26" s="139"/>
      <c r="BT26" s="139"/>
      <c r="BU26" s="139"/>
      <c r="BV26" s="139"/>
      <c r="BW26" s="139"/>
      <c r="BX26" s="139"/>
      <c r="BY26" s="139"/>
      <c r="BZ26" s="139"/>
      <c r="CB26" s="139"/>
      <c r="CD26" s="17">
        <f t="shared" si="125"/>
        <v>0</v>
      </c>
      <c r="CE26" s="17">
        <f t="shared" si="126"/>
        <v>0</v>
      </c>
      <c r="CF26" s="139">
        <f t="shared" si="182"/>
        <v>0</v>
      </c>
      <c r="CG26" s="139">
        <f t="shared" si="183"/>
        <v>0</v>
      </c>
      <c r="CH26" s="139">
        <f t="shared" si="184"/>
        <v>0</v>
      </c>
      <c r="CI26" s="139">
        <f t="shared" si="185"/>
        <v>0</v>
      </c>
      <c r="CJ26" s="139">
        <f t="shared" si="186"/>
        <v>0</v>
      </c>
      <c r="CK26" s="139">
        <f t="shared" si="187"/>
        <v>0</v>
      </c>
      <c r="CL26" s="139">
        <f t="shared" si="188"/>
        <v>0</v>
      </c>
      <c r="CM26" s="139">
        <f t="shared" si="189"/>
        <v>0</v>
      </c>
      <c r="CN26" s="139">
        <f t="shared" si="190"/>
        <v>0</v>
      </c>
      <c r="CO26" s="139">
        <f t="shared" si="191"/>
        <v>0</v>
      </c>
      <c r="CP26" s="139">
        <f t="shared" si="192"/>
        <v>0</v>
      </c>
      <c r="CQ26" s="148">
        <f t="shared" si="27"/>
        <v>0</v>
      </c>
      <c r="DV26" s="139">
        <f t="shared" si="28"/>
        <v>0</v>
      </c>
      <c r="DW26" s="139">
        <f t="shared" si="29"/>
        <v>0</v>
      </c>
      <c r="DX26" s="139">
        <f t="shared" si="30"/>
        <v>0</v>
      </c>
      <c r="DY26" s="139">
        <f t="shared" si="31"/>
        <v>0</v>
      </c>
      <c r="DZ26" s="139">
        <f t="shared" si="32"/>
        <v>0</v>
      </c>
      <c r="EA26" s="139">
        <f t="shared" si="33"/>
        <v>0</v>
      </c>
      <c r="EB26" s="139">
        <f t="shared" si="127"/>
        <v>0</v>
      </c>
      <c r="EG26" s="57">
        <f t="shared" si="128"/>
        <v>0</v>
      </c>
      <c r="EH26" s="57">
        <f t="shared" si="129"/>
        <v>0</v>
      </c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X26" s="80"/>
      <c r="FY26" s="17">
        <f t="shared" si="130"/>
        <v>0</v>
      </c>
      <c r="FZ26" s="17">
        <f t="shared" si="35"/>
        <v>0</v>
      </c>
      <c r="GA26" s="17">
        <f t="shared" si="36"/>
        <v>0</v>
      </c>
      <c r="GB26" s="17">
        <f t="shared" si="37"/>
        <v>0</v>
      </c>
      <c r="GC26" s="17">
        <f t="shared" si="38"/>
        <v>0</v>
      </c>
      <c r="GD26" s="17">
        <f t="shared" si="39"/>
        <v>0</v>
      </c>
      <c r="GE26" s="17">
        <f t="shared" si="40"/>
        <v>0</v>
      </c>
      <c r="GF26" s="67"/>
      <c r="GG26" s="17">
        <v>0</v>
      </c>
      <c r="GH26" s="17">
        <v>0</v>
      </c>
      <c r="GI26" s="67"/>
      <c r="GJ26" s="62">
        <f t="shared" si="131"/>
        <v>0</v>
      </c>
      <c r="GK26" s="62">
        <f t="shared" si="132"/>
        <v>0</v>
      </c>
      <c r="GO26" s="17">
        <f t="shared" si="41"/>
        <v>0</v>
      </c>
      <c r="GP26" s="17">
        <f t="shared" si="42"/>
        <v>0</v>
      </c>
      <c r="GQ26" s="17">
        <f t="shared" si="43"/>
        <v>0</v>
      </c>
      <c r="GR26" s="17">
        <f t="shared" si="44"/>
        <v>0</v>
      </c>
      <c r="GS26" s="17">
        <f t="shared" si="45"/>
        <v>0</v>
      </c>
      <c r="GT26" s="17">
        <f t="shared" si="133"/>
        <v>1</v>
      </c>
      <c r="GU26" s="101">
        <f t="shared" si="134"/>
        <v>43243</v>
      </c>
      <c r="GV26" s="17" t="str">
        <f t="shared" si="135"/>
        <v>SELESAI</v>
      </c>
      <c r="GW26" s="17">
        <f t="shared" si="136"/>
        <v>0</v>
      </c>
      <c r="GX26" s="66" t="str">
        <f t="shared" si="137"/>
        <v>SELESAI</v>
      </c>
      <c r="GY26" s="66">
        <f t="shared" si="138"/>
        <v>0</v>
      </c>
      <c r="GZ26" s="102" t="str">
        <f t="shared" si="139"/>
        <v>SELESAI</v>
      </c>
      <c r="HA26" s="83"/>
      <c r="HB26" s="83"/>
      <c r="HC26" s="17">
        <f t="shared" si="46"/>
        <v>0</v>
      </c>
      <c r="HD26" s="17">
        <f t="shared" si="47"/>
        <v>0</v>
      </c>
      <c r="HE26" s="17">
        <f t="shared" si="140"/>
        <v>0</v>
      </c>
      <c r="HF26" s="17">
        <f t="shared" si="141"/>
        <v>0</v>
      </c>
      <c r="HG26" s="17">
        <f t="shared" si="142"/>
        <v>0</v>
      </c>
      <c r="HH26" s="101" t="str">
        <f t="shared" si="48"/>
        <v>TIDAK KONSINYASI</v>
      </c>
      <c r="HI26" s="101" t="str">
        <f t="shared" si="143"/>
        <v>SELESAI</v>
      </c>
      <c r="HJ26" s="27"/>
      <c r="HK26" s="101">
        <f t="shared" si="49"/>
        <v>0</v>
      </c>
      <c r="HL26" s="83"/>
      <c r="HM26" s="83"/>
      <c r="HN26" s="83"/>
      <c r="HO26" s="83"/>
      <c r="HP26" s="102">
        <f t="shared" si="144"/>
        <v>0</v>
      </c>
      <c r="HQ26" s="66">
        <f t="shared" si="145"/>
        <v>0</v>
      </c>
      <c r="HR26" s="66">
        <f t="shared" si="50"/>
        <v>0</v>
      </c>
      <c r="HS26" s="102">
        <f t="shared" si="146"/>
        <v>0</v>
      </c>
      <c r="HT26" s="66">
        <f t="shared" si="147"/>
        <v>0</v>
      </c>
      <c r="HU26" s="66">
        <f t="shared" si="51"/>
        <v>0</v>
      </c>
      <c r="HV26" s="102">
        <f t="shared" si="148"/>
        <v>0</v>
      </c>
      <c r="HW26" s="66">
        <f t="shared" si="52"/>
        <v>0</v>
      </c>
      <c r="HX26" s="66">
        <f t="shared" si="53"/>
        <v>0</v>
      </c>
      <c r="HY26" s="102">
        <f t="shared" si="54"/>
        <v>0</v>
      </c>
      <c r="HZ26" s="66">
        <f t="shared" si="149"/>
        <v>0</v>
      </c>
      <c r="IA26" s="66">
        <f t="shared" si="55"/>
        <v>0</v>
      </c>
      <c r="IB26" s="102">
        <f t="shared" si="150"/>
        <v>0</v>
      </c>
      <c r="IC26" s="66">
        <f t="shared" si="56"/>
        <v>0</v>
      </c>
      <c r="ID26" s="66">
        <f t="shared" si="57"/>
        <v>0</v>
      </c>
      <c r="IE26" s="102">
        <f t="shared" si="58"/>
        <v>0</v>
      </c>
      <c r="IF26" s="66">
        <f t="shared" si="59"/>
        <v>0</v>
      </c>
      <c r="IG26" s="66">
        <f t="shared" si="60"/>
        <v>0</v>
      </c>
      <c r="IH26" s="102">
        <f t="shared" si="151"/>
        <v>0</v>
      </c>
      <c r="II26" s="66">
        <f t="shared" si="152"/>
        <v>0</v>
      </c>
      <c r="IJ26" s="66">
        <f t="shared" si="61"/>
        <v>0</v>
      </c>
      <c r="IK26" s="102">
        <f t="shared" si="62"/>
        <v>0</v>
      </c>
      <c r="IL26" s="66">
        <f t="shared" si="63"/>
        <v>0</v>
      </c>
      <c r="IM26" s="66">
        <f t="shared" si="64"/>
        <v>0</v>
      </c>
      <c r="IN26" s="83"/>
      <c r="IO26" s="102">
        <f t="shared" si="65"/>
        <v>0</v>
      </c>
      <c r="IP26" s="66">
        <f t="shared" si="66"/>
        <v>0</v>
      </c>
      <c r="IQ26" s="66">
        <f t="shared" si="67"/>
        <v>0</v>
      </c>
      <c r="IR26" s="83"/>
      <c r="IS26" s="102"/>
      <c r="IT26" s="66">
        <f t="shared" si="68"/>
        <v>1</v>
      </c>
      <c r="IU26" s="66">
        <f t="shared" si="69"/>
        <v>37</v>
      </c>
      <c r="IV26" s="83"/>
      <c r="IW26" s="102"/>
      <c r="IX26" s="66">
        <f t="shared" si="70"/>
        <v>0</v>
      </c>
      <c r="IY26" s="66">
        <f t="shared" si="71"/>
        <v>0</v>
      </c>
      <c r="IZ26" s="83"/>
      <c r="JA26" s="102"/>
      <c r="JB26" s="66">
        <f t="shared" si="72"/>
        <v>0</v>
      </c>
      <c r="JC26" s="66">
        <f t="shared" si="73"/>
        <v>0</v>
      </c>
      <c r="JD26" s="83"/>
      <c r="JE26" s="102"/>
      <c r="JF26" s="66">
        <f t="shared" si="153"/>
        <v>1</v>
      </c>
      <c r="JG26" s="66">
        <f t="shared" si="74"/>
        <v>37</v>
      </c>
      <c r="JH26" s="83"/>
      <c r="JI26" s="102"/>
      <c r="JJ26" s="66">
        <f t="shared" si="75"/>
        <v>0</v>
      </c>
      <c r="JK26" s="66">
        <f t="shared" si="76"/>
        <v>0</v>
      </c>
      <c r="JM26" s="102">
        <f t="shared" si="154"/>
        <v>0</v>
      </c>
      <c r="JO26" s="29">
        <f t="shared" si="77"/>
        <v>0</v>
      </c>
      <c r="JP26" s="122">
        <f t="shared" si="78"/>
        <v>0</v>
      </c>
      <c r="JQ26" s="122">
        <f t="shared" si="79"/>
        <v>0</v>
      </c>
      <c r="JR26" s="122">
        <f t="shared" si="80"/>
        <v>0</v>
      </c>
      <c r="JS26" s="122">
        <f t="shared" si="81"/>
        <v>0</v>
      </c>
      <c r="JT26" s="122">
        <f t="shared" si="82"/>
        <v>0</v>
      </c>
      <c r="JU26" s="122">
        <f t="shared" si="83"/>
        <v>0</v>
      </c>
      <c r="JV26" s="122">
        <f t="shared" si="84"/>
        <v>0</v>
      </c>
      <c r="JW26" s="122">
        <f t="shared" si="85"/>
        <v>0</v>
      </c>
      <c r="JX26" s="122">
        <f t="shared" si="86"/>
        <v>0</v>
      </c>
      <c r="JY26" s="122">
        <f t="shared" si="87"/>
        <v>0</v>
      </c>
      <c r="JZ26" s="122">
        <f t="shared" si="88"/>
        <v>0</v>
      </c>
      <c r="KA26" s="122">
        <f t="shared" si="89"/>
        <v>0</v>
      </c>
      <c r="KB26" s="122">
        <f t="shared" si="90"/>
        <v>0</v>
      </c>
      <c r="KD26" s="122">
        <f t="shared" si="155"/>
        <v>0</v>
      </c>
      <c r="KE26" s="122">
        <f t="shared" si="92"/>
        <v>0</v>
      </c>
      <c r="KF26" s="122">
        <f t="shared" si="93"/>
        <v>0</v>
      </c>
      <c r="KG26" s="122">
        <f t="shared" si="94"/>
        <v>0</v>
      </c>
      <c r="KH26" s="122">
        <f t="shared" si="95"/>
        <v>0</v>
      </c>
      <c r="KI26" s="122">
        <f t="shared" si="96"/>
        <v>0</v>
      </c>
      <c r="KJ26" s="122">
        <f t="shared" si="97"/>
        <v>0</v>
      </c>
      <c r="KK26" s="122">
        <f t="shared" si="98"/>
        <v>0</v>
      </c>
      <c r="KL26" s="122">
        <f t="shared" si="99"/>
        <v>0</v>
      </c>
      <c r="KM26" s="122">
        <f t="shared" si="100"/>
        <v>0</v>
      </c>
      <c r="KN26" s="123">
        <f t="shared" si="101"/>
        <v>0</v>
      </c>
      <c r="KO26" s="123">
        <f t="shared" si="102"/>
        <v>0</v>
      </c>
      <c r="KP26" s="123">
        <f t="shared" si="103"/>
        <v>0</v>
      </c>
      <c r="KQ26" s="123">
        <f t="shared" si="104"/>
        <v>0</v>
      </c>
      <c r="KR26" s="123">
        <f t="shared" si="105"/>
        <v>0</v>
      </c>
      <c r="KT26">
        <f t="shared" si="106"/>
        <v>0</v>
      </c>
      <c r="KU26" s="123"/>
      <c r="KV26" s="123"/>
      <c r="KW26" s="123"/>
      <c r="KX26" s="123"/>
      <c r="KY26" s="123"/>
      <c r="KZ26" s="123"/>
      <c r="LA26" s="123"/>
      <c r="LB26" s="123"/>
      <c r="LC26" s="123"/>
      <c r="LD26" s="123"/>
      <c r="LE26" s="123"/>
      <c r="LF26" s="123"/>
      <c r="LG26" s="123"/>
      <c r="LH26" s="123"/>
      <c r="LI26" s="123"/>
      <c r="LJ26" s="123"/>
      <c r="LK26" s="123"/>
      <c r="LL26" s="123"/>
      <c r="LM26" s="123"/>
      <c r="LN26" s="123"/>
      <c r="LO26" s="123"/>
      <c r="LP26" s="123"/>
      <c r="LQ26" s="123"/>
      <c r="LR26" s="123"/>
      <c r="LS26" s="123"/>
      <c r="LT26" s="123"/>
      <c r="LU26" s="123"/>
      <c r="LV26" s="123"/>
      <c r="LW26" s="123"/>
      <c r="LX26" s="123"/>
      <c r="LY26" s="123"/>
      <c r="LZ26" s="123"/>
      <c r="MA26" s="123"/>
      <c r="MB26" s="123"/>
      <c r="MC26" s="123"/>
      <c r="MD26" s="123"/>
      <c r="ME26" s="123"/>
      <c r="MF26" s="123"/>
      <c r="MG26" s="123"/>
      <c r="MH26" s="123"/>
      <c r="MI26" s="123"/>
      <c r="MJ26" s="123"/>
      <c r="MK26" s="123"/>
      <c r="ML26" s="123"/>
      <c r="MM26" s="123"/>
      <c r="MN26" s="123"/>
      <c r="MO26" s="123"/>
      <c r="MP26" s="123"/>
      <c r="MQ26" s="123"/>
      <c r="MR26" s="123"/>
      <c r="MS26" s="123"/>
      <c r="MT26" s="123"/>
      <c r="MU26" s="123"/>
      <c r="MV26" s="123"/>
      <c r="MW26" s="123"/>
      <c r="MX26" s="123"/>
      <c r="MY26" s="123"/>
      <c r="MZ26" s="123"/>
      <c r="NA26" s="123"/>
      <c r="NB26" s="123"/>
      <c r="NC26" s="123"/>
      <c r="ND26" s="123"/>
      <c r="NE26" s="123"/>
      <c r="NF26" s="123"/>
      <c r="NG26" s="123"/>
      <c r="NH26" s="123"/>
      <c r="NI26" s="123"/>
      <c r="NJ26" s="123"/>
      <c r="NK26" s="123"/>
      <c r="NM26">
        <f t="shared" si="156"/>
        <v>0</v>
      </c>
      <c r="NN26">
        <f t="shared" si="157"/>
        <v>0</v>
      </c>
      <c r="NO26">
        <f t="shared" si="158"/>
        <v>0</v>
      </c>
      <c r="NP26">
        <f t="shared" si="159"/>
        <v>0</v>
      </c>
      <c r="NQ26">
        <f t="shared" si="160"/>
        <v>0</v>
      </c>
      <c r="NR26">
        <f t="shared" si="161"/>
        <v>0</v>
      </c>
      <c r="NS26">
        <f t="shared" si="162"/>
        <v>0</v>
      </c>
      <c r="NT26">
        <f t="shared" si="163"/>
        <v>0</v>
      </c>
      <c r="NU26" s="29">
        <f t="shared" si="164"/>
        <v>0</v>
      </c>
      <c r="NY26" s="29">
        <f t="shared" si="108"/>
        <v>1</v>
      </c>
      <c r="NZ26" s="152">
        <v>8036000</v>
      </c>
      <c r="OE26" s="155">
        <f t="shared" si="109"/>
        <v>0</v>
      </c>
      <c r="OF26" s="155">
        <f t="shared" si="110"/>
        <v>0</v>
      </c>
      <c r="OG26" s="155">
        <f t="shared" si="111"/>
        <v>0</v>
      </c>
      <c r="OH26" s="155">
        <f t="shared" si="165"/>
        <v>0</v>
      </c>
      <c r="OI26" s="155">
        <f t="shared" si="112"/>
        <v>0</v>
      </c>
      <c r="OJ26" s="67">
        <f t="shared" si="166"/>
        <v>0</v>
      </c>
      <c r="OK26" s="67">
        <f t="shared" si="167"/>
        <v>0</v>
      </c>
      <c r="OL26" s="67">
        <f t="shared" si="168"/>
        <v>0</v>
      </c>
      <c r="OM26" s="67">
        <f t="shared" si="169"/>
        <v>0</v>
      </c>
      <c r="OO26" s="155">
        <f t="shared" si="113"/>
        <v>0</v>
      </c>
      <c r="OP26" s="155">
        <f t="shared" si="114"/>
        <v>0</v>
      </c>
      <c r="OQ26" s="155">
        <f t="shared" si="170"/>
        <v>0</v>
      </c>
      <c r="OR26" s="155">
        <f t="shared" si="171"/>
        <v>0</v>
      </c>
      <c r="OS26" s="155">
        <f t="shared" si="172"/>
        <v>0</v>
      </c>
      <c r="OT26" s="67">
        <f t="shared" si="173"/>
        <v>0</v>
      </c>
      <c r="OU26" s="67">
        <f t="shared" si="174"/>
        <v>0</v>
      </c>
      <c r="OV26" s="67">
        <f t="shared" si="175"/>
        <v>0</v>
      </c>
      <c r="OW26" s="67">
        <f t="shared" si="176"/>
        <v>0</v>
      </c>
      <c r="PA26" s="166"/>
      <c r="PB26" s="166"/>
      <c r="PC26" s="166"/>
      <c r="PD26" s="210">
        <f t="shared" si="115"/>
        <v>0</v>
      </c>
      <c r="PE26" s="210"/>
      <c r="PF26" s="210">
        <f t="shared" si="116"/>
        <v>0</v>
      </c>
      <c r="PG26" s="210">
        <f t="shared" si="117"/>
        <v>0</v>
      </c>
      <c r="PH26" s="210">
        <f t="shared" si="117"/>
        <v>0</v>
      </c>
      <c r="PI26" s="210">
        <f t="shared" si="117"/>
        <v>0</v>
      </c>
      <c r="PJ26" s="210">
        <f t="shared" si="117"/>
        <v>0</v>
      </c>
      <c r="PK26" s="210">
        <f t="shared" si="117"/>
        <v>0</v>
      </c>
      <c r="PL26" s="210">
        <f t="shared" si="117"/>
        <v>0</v>
      </c>
      <c r="PO26" s="172">
        <f t="shared" si="177"/>
        <v>0</v>
      </c>
      <c r="PP26" s="172">
        <f t="shared" si="178"/>
        <v>0</v>
      </c>
      <c r="PQ26" s="172">
        <f t="shared" si="179"/>
        <v>0</v>
      </c>
    </row>
    <row r="27" spans="1:433" ht="16" x14ac:dyDescent="0.2">
      <c r="A27" s="19">
        <f t="shared" si="180"/>
        <v>19</v>
      </c>
      <c r="B27" s="138" t="s">
        <v>389</v>
      </c>
      <c r="C27" s="138">
        <v>20</v>
      </c>
      <c r="D27" s="20">
        <v>1</v>
      </c>
      <c r="E27" s="20">
        <v>71</v>
      </c>
      <c r="F27" s="20">
        <v>1</v>
      </c>
      <c r="G27" s="20">
        <f t="shared" si="2"/>
        <v>71</v>
      </c>
      <c r="H27" s="137">
        <f t="shared" si="3"/>
        <v>1</v>
      </c>
      <c r="I27" s="137">
        <f t="shared" si="4"/>
        <v>1</v>
      </c>
      <c r="J27" s="20">
        <v>1</v>
      </c>
      <c r="K27" s="20">
        <f t="shared" si="5"/>
        <v>71</v>
      </c>
      <c r="L27" s="137">
        <f t="shared" si="6"/>
        <v>1</v>
      </c>
      <c r="M27" s="137">
        <f t="shared" si="7"/>
        <v>1</v>
      </c>
      <c r="N27" s="20">
        <v>1</v>
      </c>
      <c r="O27" s="20">
        <f t="shared" si="8"/>
        <v>71</v>
      </c>
      <c r="P27" s="137">
        <f t="shared" si="9"/>
        <v>1</v>
      </c>
      <c r="Q27" s="137">
        <f t="shared" si="10"/>
        <v>1</v>
      </c>
      <c r="R27" s="20">
        <v>1</v>
      </c>
      <c r="S27" s="20">
        <f t="shared" si="11"/>
        <v>71</v>
      </c>
      <c r="T27" s="137">
        <f t="shared" si="12"/>
        <v>1</v>
      </c>
      <c r="U27" s="137">
        <f t="shared" si="13"/>
        <v>1</v>
      </c>
      <c r="V27" s="20">
        <v>1</v>
      </c>
      <c r="W27" s="20">
        <f t="shared" si="14"/>
        <v>71</v>
      </c>
      <c r="X27" s="137">
        <f t="shared" si="15"/>
        <v>1</v>
      </c>
      <c r="Y27" s="137">
        <f t="shared" si="16"/>
        <v>1</v>
      </c>
      <c r="Z27" s="42">
        <f>1003256000/1000000000</f>
        <v>1.0032559999999999</v>
      </c>
      <c r="AA27" s="42"/>
      <c r="AB27" s="17">
        <f t="shared" si="118"/>
        <v>0</v>
      </c>
      <c r="AC27" s="18">
        <f t="shared" si="119"/>
        <v>0</v>
      </c>
      <c r="AD27" s="18">
        <f t="shared" si="120"/>
        <v>0</v>
      </c>
      <c r="AE27" s="42"/>
      <c r="AF27" s="20">
        <f t="shared" si="121"/>
        <v>0</v>
      </c>
      <c r="AG27" s="20"/>
      <c r="AH27" s="17"/>
      <c r="AI27" s="20">
        <v>0</v>
      </c>
      <c r="AJ27" s="20">
        <f t="shared" si="181"/>
        <v>0</v>
      </c>
      <c r="AK27" s="20"/>
      <c r="AL27" s="20"/>
      <c r="AM27" s="20">
        <v>0</v>
      </c>
      <c r="AN27" s="139"/>
      <c r="BB27" s="17">
        <f t="shared" si="123"/>
        <v>0</v>
      </c>
      <c r="BE27" s="17">
        <f t="shared" si="19"/>
        <v>0</v>
      </c>
      <c r="BF27" s="17">
        <f t="shared" si="20"/>
        <v>0</v>
      </c>
      <c r="BG27" s="17">
        <f t="shared" si="21"/>
        <v>0</v>
      </c>
      <c r="BH27" s="17">
        <f t="shared" si="22"/>
        <v>0</v>
      </c>
      <c r="BI27" s="17">
        <f t="shared" si="23"/>
        <v>0</v>
      </c>
      <c r="BJ27" s="17">
        <f t="shared" si="24"/>
        <v>0</v>
      </c>
      <c r="BK27" s="17">
        <f t="shared" si="124"/>
        <v>0</v>
      </c>
      <c r="BN27" s="142">
        <v>33</v>
      </c>
      <c r="BO27">
        <v>1</v>
      </c>
      <c r="BP27" s="139"/>
      <c r="BQ27" s="139"/>
      <c r="BR27" s="139"/>
      <c r="BS27" s="139"/>
      <c r="BT27" s="139"/>
      <c r="BU27" s="139"/>
      <c r="BV27" s="139"/>
      <c r="BW27" s="139"/>
      <c r="BX27" s="139"/>
      <c r="BY27" s="139"/>
      <c r="BZ27" s="139"/>
      <c r="CB27" s="139"/>
      <c r="CD27" s="17">
        <f t="shared" si="125"/>
        <v>33</v>
      </c>
      <c r="CE27" s="17">
        <f t="shared" si="126"/>
        <v>33</v>
      </c>
      <c r="CF27" s="139">
        <f t="shared" si="182"/>
        <v>0</v>
      </c>
      <c r="CG27" s="139">
        <f t="shared" si="183"/>
        <v>0</v>
      </c>
      <c r="CH27" s="139">
        <f t="shared" si="184"/>
        <v>0</v>
      </c>
      <c r="CI27" s="139">
        <f t="shared" si="185"/>
        <v>0</v>
      </c>
      <c r="CJ27" s="139">
        <f t="shared" si="186"/>
        <v>0</v>
      </c>
      <c r="CK27" s="139">
        <f t="shared" si="187"/>
        <v>0</v>
      </c>
      <c r="CL27" s="139">
        <f t="shared" si="188"/>
        <v>0</v>
      </c>
      <c r="CM27" s="139">
        <f t="shared" si="189"/>
        <v>0</v>
      </c>
      <c r="CN27" s="139">
        <f t="shared" si="190"/>
        <v>0</v>
      </c>
      <c r="CO27" s="139">
        <f t="shared" si="191"/>
        <v>0</v>
      </c>
      <c r="CP27" s="139">
        <f t="shared" si="192"/>
        <v>0</v>
      </c>
      <c r="CQ27" s="148">
        <f t="shared" si="27"/>
        <v>0</v>
      </c>
      <c r="DV27" s="139">
        <f t="shared" si="28"/>
        <v>0</v>
      </c>
      <c r="DW27" s="139">
        <f t="shared" si="29"/>
        <v>0</v>
      </c>
      <c r="DX27" s="139">
        <f t="shared" si="30"/>
        <v>0</v>
      </c>
      <c r="DY27" s="139">
        <f t="shared" si="31"/>
        <v>0</v>
      </c>
      <c r="DZ27" s="139">
        <f t="shared" si="32"/>
        <v>0</v>
      </c>
      <c r="EA27" s="139">
        <f t="shared" si="33"/>
        <v>0</v>
      </c>
      <c r="EB27" s="139">
        <f t="shared" si="127"/>
        <v>0</v>
      </c>
      <c r="EG27" s="57">
        <f t="shared" si="128"/>
        <v>0</v>
      </c>
      <c r="EH27" s="57">
        <f t="shared" si="129"/>
        <v>0</v>
      </c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X27" s="80">
        <v>1</v>
      </c>
      <c r="FY27" s="17">
        <f t="shared" si="130"/>
        <v>33</v>
      </c>
      <c r="FZ27" s="17">
        <f t="shared" si="35"/>
        <v>33</v>
      </c>
      <c r="GA27" s="17">
        <f t="shared" si="36"/>
        <v>0</v>
      </c>
      <c r="GB27" s="17">
        <f t="shared" si="37"/>
        <v>0</v>
      </c>
      <c r="GC27" s="17">
        <f t="shared" si="38"/>
        <v>0</v>
      </c>
      <c r="GD27" s="17">
        <f t="shared" si="39"/>
        <v>0</v>
      </c>
      <c r="GE27" s="17">
        <f t="shared" si="40"/>
        <v>0</v>
      </c>
      <c r="GF27" s="67"/>
      <c r="GG27" s="17">
        <v>0</v>
      </c>
      <c r="GH27" s="17">
        <v>0</v>
      </c>
      <c r="GI27" s="67"/>
      <c r="GJ27" s="62">
        <f t="shared" si="131"/>
        <v>0</v>
      </c>
      <c r="GK27" s="62">
        <f t="shared" si="132"/>
        <v>0</v>
      </c>
      <c r="GO27" s="17">
        <f t="shared" si="41"/>
        <v>0</v>
      </c>
      <c r="GP27" s="17">
        <f t="shared" si="42"/>
        <v>0</v>
      </c>
      <c r="GQ27" s="17">
        <f t="shared" si="43"/>
        <v>0</v>
      </c>
      <c r="GR27" s="17">
        <f t="shared" si="44"/>
        <v>0</v>
      </c>
      <c r="GS27" s="17">
        <f t="shared" si="45"/>
        <v>0</v>
      </c>
      <c r="GT27" s="17">
        <f t="shared" si="133"/>
        <v>1</v>
      </c>
      <c r="GU27" s="101">
        <f t="shared" si="134"/>
        <v>43243</v>
      </c>
      <c r="GV27" s="17" t="str">
        <f t="shared" si="135"/>
        <v>SELESAI</v>
      </c>
      <c r="GW27" s="17">
        <f t="shared" si="136"/>
        <v>0</v>
      </c>
      <c r="GX27" s="66" t="str">
        <f t="shared" si="137"/>
        <v>SELESAI</v>
      </c>
      <c r="GY27" s="66">
        <f t="shared" si="138"/>
        <v>0</v>
      </c>
      <c r="GZ27" s="102" t="str">
        <f t="shared" si="139"/>
        <v>SELESAI</v>
      </c>
      <c r="HA27" s="83"/>
      <c r="HB27" s="83"/>
      <c r="HC27" s="17">
        <f t="shared" si="46"/>
        <v>0</v>
      </c>
      <c r="HD27" s="17">
        <f t="shared" si="47"/>
        <v>0</v>
      </c>
      <c r="HE27" s="17">
        <f t="shared" si="140"/>
        <v>0</v>
      </c>
      <c r="HF27" s="17">
        <f t="shared" si="141"/>
        <v>0</v>
      </c>
      <c r="HG27" s="17">
        <f t="shared" si="142"/>
        <v>0</v>
      </c>
      <c r="HH27" s="101" t="str">
        <f t="shared" si="48"/>
        <v>TIDAK KONSINYASI</v>
      </c>
      <c r="HI27" s="101" t="str">
        <f t="shared" si="143"/>
        <v>SELESAI</v>
      </c>
      <c r="HJ27" s="27"/>
      <c r="HK27" s="101">
        <f t="shared" si="49"/>
        <v>0</v>
      </c>
      <c r="HL27" s="83"/>
      <c r="HM27" s="83"/>
      <c r="HN27" s="83"/>
      <c r="HO27" s="83"/>
      <c r="HP27" s="102">
        <f t="shared" si="144"/>
        <v>0</v>
      </c>
      <c r="HQ27" s="66">
        <f t="shared" si="145"/>
        <v>0</v>
      </c>
      <c r="HR27" s="66">
        <f t="shared" si="50"/>
        <v>0</v>
      </c>
      <c r="HS27" s="102">
        <f t="shared" si="146"/>
        <v>0</v>
      </c>
      <c r="HT27" s="66">
        <f t="shared" si="147"/>
        <v>0</v>
      </c>
      <c r="HU27" s="66">
        <f t="shared" si="51"/>
        <v>0</v>
      </c>
      <c r="HV27" s="102">
        <f t="shared" si="148"/>
        <v>0</v>
      </c>
      <c r="HW27" s="66">
        <f t="shared" si="52"/>
        <v>0</v>
      </c>
      <c r="HX27" s="66">
        <f t="shared" si="53"/>
        <v>0</v>
      </c>
      <c r="HY27" s="102">
        <f t="shared" si="54"/>
        <v>0</v>
      </c>
      <c r="HZ27" s="66">
        <f t="shared" si="149"/>
        <v>0</v>
      </c>
      <c r="IA27" s="66">
        <f t="shared" si="55"/>
        <v>0</v>
      </c>
      <c r="IB27" s="102">
        <f t="shared" si="150"/>
        <v>0</v>
      </c>
      <c r="IC27" s="66">
        <f t="shared" si="56"/>
        <v>0</v>
      </c>
      <c r="ID27" s="66">
        <f t="shared" si="57"/>
        <v>0</v>
      </c>
      <c r="IE27" s="102">
        <f t="shared" si="58"/>
        <v>0</v>
      </c>
      <c r="IF27" s="66">
        <f t="shared" si="59"/>
        <v>0</v>
      </c>
      <c r="IG27" s="66">
        <f t="shared" si="60"/>
        <v>0</v>
      </c>
      <c r="IH27" s="102">
        <f t="shared" si="151"/>
        <v>0</v>
      </c>
      <c r="II27" s="66">
        <f t="shared" si="152"/>
        <v>0</v>
      </c>
      <c r="IJ27" s="66">
        <f t="shared" si="61"/>
        <v>0</v>
      </c>
      <c r="IK27" s="102">
        <f t="shared" si="62"/>
        <v>0</v>
      </c>
      <c r="IL27" s="66">
        <f t="shared" si="63"/>
        <v>0</v>
      </c>
      <c r="IM27" s="66">
        <f t="shared" si="64"/>
        <v>0</v>
      </c>
      <c r="IN27" s="83"/>
      <c r="IO27" s="102">
        <f t="shared" si="65"/>
        <v>0</v>
      </c>
      <c r="IP27" s="66">
        <f t="shared" si="66"/>
        <v>0</v>
      </c>
      <c r="IQ27" s="66">
        <f t="shared" si="67"/>
        <v>0</v>
      </c>
      <c r="IR27" s="83"/>
      <c r="IS27" s="102"/>
      <c r="IT27" s="66">
        <f t="shared" si="68"/>
        <v>1</v>
      </c>
      <c r="IU27" s="66">
        <f t="shared" si="69"/>
        <v>71</v>
      </c>
      <c r="IV27" s="83"/>
      <c r="IW27" s="102"/>
      <c r="IX27" s="66">
        <f t="shared" si="70"/>
        <v>0</v>
      </c>
      <c r="IY27" s="66">
        <f t="shared" si="71"/>
        <v>0</v>
      </c>
      <c r="IZ27" s="83"/>
      <c r="JA27" s="102"/>
      <c r="JB27" s="66">
        <f t="shared" si="72"/>
        <v>0</v>
      </c>
      <c r="JC27" s="66">
        <f t="shared" si="73"/>
        <v>0</v>
      </c>
      <c r="JD27" s="83"/>
      <c r="JE27" s="102"/>
      <c r="JF27" s="66">
        <f t="shared" si="153"/>
        <v>1</v>
      </c>
      <c r="JG27" s="66">
        <f t="shared" si="74"/>
        <v>71</v>
      </c>
      <c r="JH27" s="83"/>
      <c r="JI27" s="102"/>
      <c r="JJ27" s="66">
        <f t="shared" si="75"/>
        <v>0</v>
      </c>
      <c r="JK27" s="66">
        <f t="shared" si="76"/>
        <v>0</v>
      </c>
      <c r="JM27" s="102">
        <f t="shared" si="154"/>
        <v>0</v>
      </c>
      <c r="JO27" s="29">
        <f t="shared" si="77"/>
        <v>1</v>
      </c>
      <c r="JP27" s="122">
        <f t="shared" si="78"/>
        <v>33</v>
      </c>
      <c r="JQ27" s="122">
        <f t="shared" si="79"/>
        <v>1</v>
      </c>
      <c r="JR27" s="122">
        <f t="shared" si="80"/>
        <v>0</v>
      </c>
      <c r="JS27" s="122">
        <f t="shared" si="81"/>
        <v>0</v>
      </c>
      <c r="JT27" s="122">
        <f t="shared" si="82"/>
        <v>0</v>
      </c>
      <c r="JU27" s="122">
        <f t="shared" si="83"/>
        <v>0</v>
      </c>
      <c r="JV27" s="122">
        <f t="shared" si="84"/>
        <v>0</v>
      </c>
      <c r="JW27" s="122">
        <f t="shared" si="85"/>
        <v>0</v>
      </c>
      <c r="JX27" s="122">
        <f t="shared" si="86"/>
        <v>0</v>
      </c>
      <c r="JY27" s="122">
        <f t="shared" si="87"/>
        <v>0</v>
      </c>
      <c r="JZ27" s="122">
        <f t="shared" si="88"/>
        <v>0</v>
      </c>
      <c r="KA27" s="122">
        <f t="shared" si="89"/>
        <v>0</v>
      </c>
      <c r="KB27" s="122">
        <f t="shared" si="90"/>
        <v>0</v>
      </c>
      <c r="KD27" s="122">
        <f t="shared" si="155"/>
        <v>0</v>
      </c>
      <c r="KE27" s="122">
        <f t="shared" si="92"/>
        <v>0</v>
      </c>
      <c r="KF27" s="122">
        <f t="shared" si="93"/>
        <v>33</v>
      </c>
      <c r="KG27" s="122">
        <f t="shared" si="94"/>
        <v>33</v>
      </c>
      <c r="KH27" s="122">
        <f t="shared" si="95"/>
        <v>0</v>
      </c>
      <c r="KI27" s="122">
        <f t="shared" si="96"/>
        <v>0</v>
      </c>
      <c r="KJ27" s="122">
        <f t="shared" si="97"/>
        <v>0</v>
      </c>
      <c r="KK27" s="122">
        <f t="shared" si="98"/>
        <v>0</v>
      </c>
      <c r="KL27" s="122">
        <f t="shared" si="99"/>
        <v>0</v>
      </c>
      <c r="KM27" s="122">
        <f t="shared" si="100"/>
        <v>0</v>
      </c>
      <c r="KN27" s="123">
        <f t="shared" si="101"/>
        <v>0</v>
      </c>
      <c r="KO27" s="123">
        <f t="shared" si="102"/>
        <v>0</v>
      </c>
      <c r="KP27" s="123">
        <f t="shared" si="103"/>
        <v>0</v>
      </c>
      <c r="KQ27" s="123">
        <f t="shared" si="104"/>
        <v>0</v>
      </c>
      <c r="KR27" s="123">
        <f t="shared" si="105"/>
        <v>0</v>
      </c>
      <c r="KT27">
        <f t="shared" si="106"/>
        <v>0</v>
      </c>
      <c r="KU27" s="123"/>
      <c r="KV27" s="123"/>
      <c r="KW27" s="123"/>
      <c r="KX27" s="123"/>
      <c r="KY27" s="123"/>
      <c r="KZ27" s="123"/>
      <c r="LA27" s="123"/>
      <c r="LB27" s="123"/>
      <c r="LC27" s="123"/>
      <c r="LD27" s="123"/>
      <c r="LE27" s="123"/>
      <c r="LF27" s="123"/>
      <c r="LG27" s="123"/>
      <c r="LH27" s="123"/>
      <c r="LI27" s="123"/>
      <c r="LJ27" s="123"/>
      <c r="LK27" s="123"/>
      <c r="LL27" s="123"/>
      <c r="LM27" s="123"/>
      <c r="LN27" s="123"/>
      <c r="LO27" s="123"/>
      <c r="LP27" s="123"/>
      <c r="LQ27" s="123"/>
      <c r="LR27" s="123"/>
      <c r="LS27" s="123"/>
      <c r="LT27" s="123"/>
      <c r="LU27" s="123"/>
      <c r="LV27" s="123"/>
      <c r="LW27" s="123"/>
      <c r="LX27" s="123"/>
      <c r="LY27" s="123"/>
      <c r="LZ27" s="123"/>
      <c r="MA27" s="123"/>
      <c r="MB27" s="123"/>
      <c r="MC27" s="123"/>
      <c r="MD27" s="123"/>
      <c r="ME27" s="123"/>
      <c r="MF27" s="123"/>
      <c r="MG27" s="123"/>
      <c r="MH27" s="123"/>
      <c r="MI27" s="123"/>
      <c r="MJ27" s="123"/>
      <c r="MK27" s="123"/>
      <c r="ML27" s="123"/>
      <c r="MM27" s="123"/>
      <c r="MN27" s="123"/>
      <c r="MO27" s="123"/>
      <c r="MP27" s="123"/>
      <c r="MQ27" s="123"/>
      <c r="MR27" s="123"/>
      <c r="MS27" s="123"/>
      <c r="MT27" s="123"/>
      <c r="MU27" s="123"/>
      <c r="MV27" s="123"/>
      <c r="MW27" s="123"/>
      <c r="MX27" s="123"/>
      <c r="MY27" s="123"/>
      <c r="MZ27" s="123"/>
      <c r="NA27" s="123"/>
      <c r="NB27" s="123"/>
      <c r="NC27" s="123"/>
      <c r="ND27" s="123"/>
      <c r="NE27" s="123"/>
      <c r="NF27" s="123"/>
      <c r="NG27" s="123"/>
      <c r="NH27" s="123"/>
      <c r="NI27" s="123"/>
      <c r="NJ27" s="123"/>
      <c r="NK27" s="123"/>
      <c r="NM27">
        <f t="shared" si="156"/>
        <v>0</v>
      </c>
      <c r="NN27">
        <f t="shared" si="157"/>
        <v>0</v>
      </c>
      <c r="NO27">
        <f t="shared" si="158"/>
        <v>0</v>
      </c>
      <c r="NP27">
        <f t="shared" si="159"/>
        <v>0</v>
      </c>
      <c r="NQ27">
        <f t="shared" si="160"/>
        <v>0</v>
      </c>
      <c r="NR27">
        <f t="shared" si="161"/>
        <v>0</v>
      </c>
      <c r="NS27">
        <f t="shared" si="162"/>
        <v>0</v>
      </c>
      <c r="NT27">
        <f t="shared" si="163"/>
        <v>0</v>
      </c>
      <c r="NU27" s="29">
        <f t="shared" si="164"/>
        <v>0</v>
      </c>
      <c r="NY27" s="29">
        <f t="shared" si="108"/>
        <v>1</v>
      </c>
      <c r="NZ27" s="152">
        <v>8036000</v>
      </c>
      <c r="OE27" s="155">
        <f t="shared" si="109"/>
        <v>0</v>
      </c>
      <c r="OF27" s="155">
        <f t="shared" si="110"/>
        <v>0</v>
      </c>
      <c r="OG27" s="155">
        <f t="shared" si="111"/>
        <v>0</v>
      </c>
      <c r="OH27" s="155">
        <f t="shared" si="165"/>
        <v>0</v>
      </c>
      <c r="OI27" s="155">
        <f t="shared" si="112"/>
        <v>0</v>
      </c>
      <c r="OJ27" s="67">
        <f t="shared" si="166"/>
        <v>0</v>
      </c>
      <c r="OK27" s="67">
        <f t="shared" si="167"/>
        <v>0</v>
      </c>
      <c r="OL27" s="67">
        <f t="shared" si="168"/>
        <v>0</v>
      </c>
      <c r="OM27" s="67">
        <f t="shared" si="169"/>
        <v>0</v>
      </c>
      <c r="OO27" s="155">
        <f t="shared" si="113"/>
        <v>0</v>
      </c>
      <c r="OP27" s="155">
        <f t="shared" si="114"/>
        <v>0</v>
      </c>
      <c r="OQ27" s="155">
        <f t="shared" si="170"/>
        <v>0</v>
      </c>
      <c r="OR27" s="155">
        <f t="shared" si="171"/>
        <v>0</v>
      </c>
      <c r="OS27" s="155">
        <f t="shared" si="172"/>
        <v>0</v>
      </c>
      <c r="OT27" s="67">
        <f t="shared" si="173"/>
        <v>0</v>
      </c>
      <c r="OU27" s="67">
        <f t="shared" si="174"/>
        <v>0</v>
      </c>
      <c r="OV27" s="67">
        <f t="shared" si="175"/>
        <v>0</v>
      </c>
      <c r="OW27" s="67">
        <f t="shared" si="176"/>
        <v>0</v>
      </c>
      <c r="PA27" s="166"/>
      <c r="PB27" s="166"/>
      <c r="PC27" s="166"/>
      <c r="PD27" s="210">
        <f t="shared" si="115"/>
        <v>0</v>
      </c>
      <c r="PE27" s="210"/>
      <c r="PF27" s="210">
        <f t="shared" si="116"/>
        <v>0</v>
      </c>
      <c r="PG27" s="210">
        <f t="shared" si="117"/>
        <v>0</v>
      </c>
      <c r="PH27" s="210">
        <f t="shared" si="117"/>
        <v>0</v>
      </c>
      <c r="PI27" s="210">
        <f t="shared" si="117"/>
        <v>0</v>
      </c>
      <c r="PJ27" s="210">
        <f t="shared" si="117"/>
        <v>0</v>
      </c>
      <c r="PK27" s="210">
        <f t="shared" si="117"/>
        <v>0</v>
      </c>
      <c r="PL27" s="210">
        <f t="shared" si="117"/>
        <v>0</v>
      </c>
      <c r="PO27" s="172">
        <f t="shared" si="177"/>
        <v>0</v>
      </c>
      <c r="PP27" s="172">
        <f t="shared" si="178"/>
        <v>0</v>
      </c>
      <c r="PQ27" s="172">
        <f t="shared" si="179"/>
        <v>0</v>
      </c>
    </row>
    <row r="28" spans="1:433" ht="15.75" customHeight="1" x14ac:dyDescent="0.2">
      <c r="A28" s="19">
        <f t="shared" si="180"/>
        <v>20</v>
      </c>
      <c r="B28" s="138" t="s">
        <v>389</v>
      </c>
      <c r="C28" s="138">
        <v>21</v>
      </c>
      <c r="D28" s="20">
        <v>1</v>
      </c>
      <c r="E28" s="20">
        <v>130</v>
      </c>
      <c r="F28" s="20">
        <v>1</v>
      </c>
      <c r="G28" s="20">
        <f t="shared" si="2"/>
        <v>130</v>
      </c>
      <c r="H28" s="137">
        <f t="shared" si="3"/>
        <v>1</v>
      </c>
      <c r="I28" s="137">
        <f t="shared" si="4"/>
        <v>1</v>
      </c>
      <c r="J28" s="20">
        <v>1</v>
      </c>
      <c r="K28" s="20">
        <f t="shared" si="5"/>
        <v>130</v>
      </c>
      <c r="L28" s="137">
        <f t="shared" si="6"/>
        <v>1</v>
      </c>
      <c r="M28" s="137">
        <f t="shared" si="7"/>
        <v>1</v>
      </c>
      <c r="N28" s="20">
        <v>1</v>
      </c>
      <c r="O28" s="20">
        <f t="shared" si="8"/>
        <v>130</v>
      </c>
      <c r="P28" s="137">
        <f t="shared" si="9"/>
        <v>1</v>
      </c>
      <c r="Q28" s="137">
        <f t="shared" si="10"/>
        <v>1</v>
      </c>
      <c r="R28" s="20">
        <v>1</v>
      </c>
      <c r="S28" s="20">
        <f t="shared" si="11"/>
        <v>130</v>
      </c>
      <c r="T28" s="137">
        <f t="shared" si="12"/>
        <v>1</v>
      </c>
      <c r="U28" s="137">
        <f t="shared" si="13"/>
        <v>1</v>
      </c>
      <c r="V28" s="20">
        <v>1</v>
      </c>
      <c r="W28" s="20">
        <f t="shared" si="14"/>
        <v>130</v>
      </c>
      <c r="X28" s="137">
        <f t="shared" si="15"/>
        <v>1</v>
      </c>
      <c r="Y28" s="137">
        <f t="shared" si="16"/>
        <v>1</v>
      </c>
      <c r="Z28" s="42">
        <f>1445274000/1000000000</f>
        <v>1.4452739999999999</v>
      </c>
      <c r="AA28" s="42"/>
      <c r="AB28" s="17">
        <f t="shared" si="118"/>
        <v>0</v>
      </c>
      <c r="AC28" s="18">
        <f t="shared" si="119"/>
        <v>0</v>
      </c>
      <c r="AD28" s="18">
        <f t="shared" si="120"/>
        <v>0</v>
      </c>
      <c r="AE28" s="42"/>
      <c r="AF28" s="20">
        <f t="shared" si="121"/>
        <v>0</v>
      </c>
      <c r="AG28" s="20"/>
      <c r="AH28" s="17"/>
      <c r="AI28" s="20">
        <v>0</v>
      </c>
      <c r="AJ28" s="20">
        <f t="shared" si="181"/>
        <v>0</v>
      </c>
      <c r="AK28" s="20"/>
      <c r="AL28" s="20"/>
      <c r="AM28" s="20">
        <v>0</v>
      </c>
      <c r="AN28" s="139"/>
      <c r="BB28" s="17">
        <f t="shared" si="123"/>
        <v>0</v>
      </c>
      <c r="BE28" s="17">
        <f t="shared" si="19"/>
        <v>0</v>
      </c>
      <c r="BF28" s="17">
        <f t="shared" si="20"/>
        <v>0</v>
      </c>
      <c r="BG28" s="17">
        <f t="shared" si="21"/>
        <v>0</v>
      </c>
      <c r="BH28" s="17">
        <f t="shared" si="22"/>
        <v>0</v>
      </c>
      <c r="BI28" s="17">
        <f t="shared" si="23"/>
        <v>0</v>
      </c>
      <c r="BJ28" s="17">
        <f t="shared" si="24"/>
        <v>0</v>
      </c>
      <c r="BK28" s="17">
        <f t="shared" si="124"/>
        <v>0</v>
      </c>
      <c r="BN28" s="142">
        <v>55</v>
      </c>
      <c r="BO28">
        <v>1</v>
      </c>
      <c r="BP28" s="139"/>
      <c r="BQ28" s="139"/>
      <c r="BR28" s="139"/>
      <c r="BS28" s="139"/>
      <c r="BT28" s="139"/>
      <c r="BU28" s="139"/>
      <c r="BV28" s="139"/>
      <c r="BW28" s="139"/>
      <c r="BX28" s="139"/>
      <c r="BY28" s="139"/>
      <c r="BZ28" s="139"/>
      <c r="CB28" s="139"/>
      <c r="CD28" s="17">
        <f t="shared" si="125"/>
        <v>55</v>
      </c>
      <c r="CE28" s="17">
        <f t="shared" si="126"/>
        <v>55</v>
      </c>
      <c r="CF28" s="139">
        <f t="shared" si="182"/>
        <v>0</v>
      </c>
      <c r="CG28" s="139">
        <f t="shared" si="183"/>
        <v>0</v>
      </c>
      <c r="CH28" s="139">
        <f t="shared" si="184"/>
        <v>0</v>
      </c>
      <c r="CI28" s="139">
        <f t="shared" si="185"/>
        <v>0</v>
      </c>
      <c r="CJ28" s="139">
        <f t="shared" si="186"/>
        <v>0</v>
      </c>
      <c r="CK28" s="139">
        <f t="shared" si="187"/>
        <v>0</v>
      </c>
      <c r="CL28" s="139">
        <f t="shared" si="188"/>
        <v>0</v>
      </c>
      <c r="CM28" s="139">
        <f t="shared" si="189"/>
        <v>0</v>
      </c>
      <c r="CN28" s="139">
        <f t="shared" si="190"/>
        <v>0</v>
      </c>
      <c r="CO28" s="139">
        <f t="shared" si="191"/>
        <v>0</v>
      </c>
      <c r="CP28" s="139">
        <f t="shared" si="192"/>
        <v>0</v>
      </c>
      <c r="CQ28" s="148">
        <f t="shared" si="27"/>
        <v>0</v>
      </c>
      <c r="DV28" s="139">
        <f t="shared" si="28"/>
        <v>0</v>
      </c>
      <c r="DW28" s="139">
        <f t="shared" si="29"/>
        <v>0</v>
      </c>
      <c r="DX28" s="139">
        <f t="shared" si="30"/>
        <v>0</v>
      </c>
      <c r="DY28" s="139">
        <f t="shared" si="31"/>
        <v>0</v>
      </c>
      <c r="DZ28" s="139">
        <f t="shared" si="32"/>
        <v>0</v>
      </c>
      <c r="EA28" s="139">
        <f t="shared" si="33"/>
        <v>0</v>
      </c>
      <c r="EB28" s="139">
        <f t="shared" si="127"/>
        <v>0</v>
      </c>
      <c r="EG28" s="57">
        <f t="shared" si="128"/>
        <v>0</v>
      </c>
      <c r="EH28" s="57">
        <f t="shared" si="129"/>
        <v>0</v>
      </c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X28" s="80">
        <v>1</v>
      </c>
      <c r="FY28" s="17">
        <f t="shared" si="130"/>
        <v>55</v>
      </c>
      <c r="FZ28" s="17">
        <f t="shared" si="35"/>
        <v>55</v>
      </c>
      <c r="GA28" s="17">
        <f t="shared" si="36"/>
        <v>0</v>
      </c>
      <c r="GB28" s="17">
        <f t="shared" si="37"/>
        <v>0</v>
      </c>
      <c r="GC28" s="17">
        <f t="shared" si="38"/>
        <v>0</v>
      </c>
      <c r="GD28" s="17">
        <f t="shared" si="39"/>
        <v>0</v>
      </c>
      <c r="GE28" s="17">
        <f t="shared" si="40"/>
        <v>0</v>
      </c>
      <c r="GF28" s="67"/>
      <c r="GG28" s="17">
        <v>0</v>
      </c>
      <c r="GH28" s="17">
        <v>0</v>
      </c>
      <c r="GI28" s="67"/>
      <c r="GJ28" s="62">
        <f t="shared" si="131"/>
        <v>0</v>
      </c>
      <c r="GK28" s="62">
        <f t="shared" si="132"/>
        <v>0</v>
      </c>
      <c r="GO28" s="17">
        <f t="shared" si="41"/>
        <v>0</v>
      </c>
      <c r="GP28" s="17">
        <f t="shared" si="42"/>
        <v>0</v>
      </c>
      <c r="GQ28" s="17">
        <f t="shared" si="43"/>
        <v>0</v>
      </c>
      <c r="GR28" s="17">
        <f t="shared" si="44"/>
        <v>0</v>
      </c>
      <c r="GS28" s="17">
        <f t="shared" si="45"/>
        <v>0</v>
      </c>
      <c r="GT28" s="17">
        <f t="shared" si="133"/>
        <v>1</v>
      </c>
      <c r="GU28" s="101">
        <f t="shared" si="134"/>
        <v>43243</v>
      </c>
      <c r="GV28" s="17" t="str">
        <f t="shared" si="135"/>
        <v>SELESAI</v>
      </c>
      <c r="GW28" s="17">
        <f t="shared" si="136"/>
        <v>0</v>
      </c>
      <c r="GX28" s="66" t="str">
        <f t="shared" si="137"/>
        <v>SELESAI</v>
      </c>
      <c r="GY28" s="66">
        <f t="shared" si="138"/>
        <v>0</v>
      </c>
      <c r="GZ28" s="102" t="str">
        <f t="shared" si="139"/>
        <v>SELESAI</v>
      </c>
      <c r="HA28" s="83"/>
      <c r="HB28" s="83"/>
      <c r="HC28" s="17">
        <f t="shared" si="46"/>
        <v>0</v>
      </c>
      <c r="HD28" s="17">
        <f t="shared" si="47"/>
        <v>0</v>
      </c>
      <c r="HE28" s="17">
        <f t="shared" si="140"/>
        <v>0</v>
      </c>
      <c r="HF28" s="17">
        <f t="shared" si="141"/>
        <v>0</v>
      </c>
      <c r="HG28" s="17">
        <f t="shared" si="142"/>
        <v>0</v>
      </c>
      <c r="HH28" s="101" t="str">
        <f t="shared" si="48"/>
        <v>TIDAK KONSINYASI</v>
      </c>
      <c r="HI28" s="101" t="str">
        <f t="shared" si="143"/>
        <v>SELESAI</v>
      </c>
      <c r="HJ28" s="27"/>
      <c r="HK28" s="101">
        <f t="shared" si="49"/>
        <v>0</v>
      </c>
      <c r="HL28" s="83"/>
      <c r="HM28" s="83"/>
      <c r="HN28" s="83"/>
      <c r="HO28" s="83"/>
      <c r="HP28" s="102">
        <f t="shared" si="144"/>
        <v>0</v>
      </c>
      <c r="HQ28" s="66">
        <f t="shared" si="145"/>
        <v>0</v>
      </c>
      <c r="HR28" s="66">
        <f t="shared" si="50"/>
        <v>0</v>
      </c>
      <c r="HS28" s="102">
        <f t="shared" si="146"/>
        <v>0</v>
      </c>
      <c r="HT28" s="66">
        <f t="shared" si="147"/>
        <v>0</v>
      </c>
      <c r="HU28" s="66">
        <f t="shared" si="51"/>
        <v>0</v>
      </c>
      <c r="HV28" s="102">
        <f t="shared" si="148"/>
        <v>0</v>
      </c>
      <c r="HW28" s="66">
        <f t="shared" si="52"/>
        <v>0</v>
      </c>
      <c r="HX28" s="66">
        <f t="shared" si="53"/>
        <v>0</v>
      </c>
      <c r="HY28" s="102">
        <f t="shared" si="54"/>
        <v>0</v>
      </c>
      <c r="HZ28" s="66">
        <f t="shared" si="149"/>
        <v>0</v>
      </c>
      <c r="IA28" s="66">
        <f t="shared" si="55"/>
        <v>0</v>
      </c>
      <c r="IB28" s="102">
        <f t="shared" si="150"/>
        <v>0</v>
      </c>
      <c r="IC28" s="66">
        <f t="shared" si="56"/>
        <v>0</v>
      </c>
      <c r="ID28" s="66">
        <f t="shared" si="57"/>
        <v>0</v>
      </c>
      <c r="IE28" s="102">
        <f t="shared" si="58"/>
        <v>0</v>
      </c>
      <c r="IF28" s="66">
        <f t="shared" si="59"/>
        <v>0</v>
      </c>
      <c r="IG28" s="66">
        <f t="shared" si="60"/>
        <v>0</v>
      </c>
      <c r="IH28" s="102">
        <f t="shared" si="151"/>
        <v>0</v>
      </c>
      <c r="II28" s="66">
        <f t="shared" si="152"/>
        <v>0</v>
      </c>
      <c r="IJ28" s="66">
        <f t="shared" si="61"/>
        <v>0</v>
      </c>
      <c r="IK28" s="102">
        <f t="shared" si="62"/>
        <v>0</v>
      </c>
      <c r="IL28" s="66">
        <f t="shared" si="63"/>
        <v>0</v>
      </c>
      <c r="IM28" s="66">
        <f t="shared" si="64"/>
        <v>0</v>
      </c>
      <c r="IN28" s="83"/>
      <c r="IO28" s="102">
        <f t="shared" si="65"/>
        <v>0</v>
      </c>
      <c r="IP28" s="66">
        <f t="shared" si="66"/>
        <v>0</v>
      </c>
      <c r="IQ28" s="66">
        <f t="shared" si="67"/>
        <v>0</v>
      </c>
      <c r="IR28" s="83"/>
      <c r="IS28" s="102"/>
      <c r="IT28" s="66">
        <f t="shared" si="68"/>
        <v>1</v>
      </c>
      <c r="IU28" s="66">
        <f t="shared" si="69"/>
        <v>130</v>
      </c>
      <c r="IV28" s="83"/>
      <c r="IW28" s="102"/>
      <c r="IX28" s="66">
        <f t="shared" si="70"/>
        <v>0</v>
      </c>
      <c r="IY28" s="66">
        <f t="shared" si="71"/>
        <v>0</v>
      </c>
      <c r="IZ28" s="83"/>
      <c r="JA28" s="102"/>
      <c r="JB28" s="66">
        <f t="shared" si="72"/>
        <v>0</v>
      </c>
      <c r="JC28" s="66">
        <f t="shared" si="73"/>
        <v>0</v>
      </c>
      <c r="JD28" s="83"/>
      <c r="JE28" s="102"/>
      <c r="JF28" s="66">
        <f t="shared" si="153"/>
        <v>1</v>
      </c>
      <c r="JG28" s="66">
        <f t="shared" si="74"/>
        <v>130</v>
      </c>
      <c r="JH28" s="83"/>
      <c r="JI28" s="102"/>
      <c r="JJ28" s="66">
        <f t="shared" si="75"/>
        <v>0</v>
      </c>
      <c r="JK28" s="66">
        <f t="shared" si="76"/>
        <v>0</v>
      </c>
      <c r="JM28" s="102">
        <f t="shared" si="154"/>
        <v>0</v>
      </c>
      <c r="JO28" s="29">
        <f t="shared" si="77"/>
        <v>1</v>
      </c>
      <c r="JP28" s="122">
        <f t="shared" si="78"/>
        <v>55</v>
      </c>
      <c r="JQ28" s="122">
        <f t="shared" si="79"/>
        <v>1</v>
      </c>
      <c r="JR28" s="122">
        <f t="shared" si="80"/>
        <v>0</v>
      </c>
      <c r="JS28" s="122">
        <f t="shared" si="81"/>
        <v>0</v>
      </c>
      <c r="JT28" s="122">
        <f t="shared" si="82"/>
        <v>0</v>
      </c>
      <c r="JU28" s="122">
        <f t="shared" si="83"/>
        <v>0</v>
      </c>
      <c r="JV28" s="122">
        <f t="shared" si="84"/>
        <v>0</v>
      </c>
      <c r="JW28" s="122">
        <f t="shared" si="85"/>
        <v>0</v>
      </c>
      <c r="JX28" s="122">
        <f t="shared" si="86"/>
        <v>0</v>
      </c>
      <c r="JY28" s="122">
        <f t="shared" si="87"/>
        <v>0</v>
      </c>
      <c r="JZ28" s="122">
        <f t="shared" si="88"/>
        <v>0</v>
      </c>
      <c r="KA28" s="122">
        <f t="shared" si="89"/>
        <v>0</v>
      </c>
      <c r="KB28" s="122">
        <f t="shared" si="90"/>
        <v>0</v>
      </c>
      <c r="KD28" s="122">
        <f t="shared" si="155"/>
        <v>0</v>
      </c>
      <c r="KE28" s="122">
        <f t="shared" si="92"/>
        <v>0</v>
      </c>
      <c r="KF28" s="122">
        <f t="shared" si="93"/>
        <v>55</v>
      </c>
      <c r="KG28" s="122">
        <f t="shared" si="94"/>
        <v>55</v>
      </c>
      <c r="KH28" s="122">
        <f t="shared" si="95"/>
        <v>0</v>
      </c>
      <c r="KI28" s="122">
        <f t="shared" si="96"/>
        <v>0</v>
      </c>
      <c r="KJ28" s="122">
        <f t="shared" si="97"/>
        <v>0</v>
      </c>
      <c r="KK28" s="122">
        <f t="shared" si="98"/>
        <v>0</v>
      </c>
      <c r="KL28" s="122">
        <f t="shared" si="99"/>
        <v>0</v>
      </c>
      <c r="KM28" s="122">
        <f t="shared" si="100"/>
        <v>0</v>
      </c>
      <c r="KN28" s="123">
        <f t="shared" si="101"/>
        <v>0</v>
      </c>
      <c r="KO28" s="123">
        <f t="shared" si="102"/>
        <v>0</v>
      </c>
      <c r="KP28" s="123">
        <f t="shared" si="103"/>
        <v>0</v>
      </c>
      <c r="KQ28" s="123">
        <f t="shared" si="104"/>
        <v>0</v>
      </c>
      <c r="KR28" s="123">
        <f t="shared" si="105"/>
        <v>0</v>
      </c>
      <c r="KT28">
        <f t="shared" si="106"/>
        <v>0</v>
      </c>
      <c r="KU28" s="123"/>
      <c r="KV28" s="123"/>
      <c r="KW28" s="123"/>
      <c r="KX28" s="123"/>
      <c r="KY28" s="123"/>
      <c r="KZ28" s="123"/>
      <c r="LA28" s="123"/>
      <c r="LB28" s="123"/>
      <c r="LC28" s="123"/>
      <c r="LD28" s="123"/>
      <c r="LE28" s="123"/>
      <c r="LF28" s="123"/>
      <c r="LG28" s="123"/>
      <c r="LH28" s="123"/>
      <c r="LI28" s="123"/>
      <c r="LJ28" s="123"/>
      <c r="LK28" s="123"/>
      <c r="LL28" s="123"/>
      <c r="LM28" s="123"/>
      <c r="LN28" s="123"/>
      <c r="LO28" s="123"/>
      <c r="LP28" s="123"/>
      <c r="LQ28" s="123"/>
      <c r="LR28" s="123"/>
      <c r="LS28" s="123"/>
      <c r="LT28" s="123"/>
      <c r="LU28" s="123"/>
      <c r="LV28" s="123"/>
      <c r="LW28" s="123"/>
      <c r="LX28" s="123"/>
      <c r="LY28" s="123"/>
      <c r="LZ28" s="123"/>
      <c r="MA28" s="123"/>
      <c r="MB28" s="123"/>
      <c r="MC28" s="123"/>
      <c r="MD28" s="123"/>
      <c r="ME28" s="123"/>
      <c r="MF28" s="123"/>
      <c r="MG28" s="123"/>
      <c r="MH28" s="123"/>
      <c r="MI28" s="123"/>
      <c r="MJ28" s="123"/>
      <c r="MK28" s="123"/>
      <c r="ML28" s="123"/>
      <c r="MM28" s="123"/>
      <c r="MN28" s="123"/>
      <c r="MO28" s="123"/>
      <c r="MP28" s="123"/>
      <c r="MQ28" s="123"/>
      <c r="MR28" s="123"/>
      <c r="MS28" s="123"/>
      <c r="MT28" s="123"/>
      <c r="MU28" s="123"/>
      <c r="MV28" s="123"/>
      <c r="MW28" s="123"/>
      <c r="MX28" s="123"/>
      <c r="MY28" s="123"/>
      <c r="MZ28" s="123"/>
      <c r="NA28" s="123"/>
      <c r="NB28" s="123"/>
      <c r="NC28" s="123"/>
      <c r="ND28" s="123"/>
      <c r="NE28" s="123"/>
      <c r="NF28" s="123"/>
      <c r="NG28" s="123"/>
      <c r="NH28" s="123"/>
      <c r="NI28" s="123"/>
      <c r="NJ28" s="123"/>
      <c r="NK28" s="123"/>
      <c r="NM28">
        <f t="shared" si="156"/>
        <v>0</v>
      </c>
      <c r="NN28">
        <f t="shared" si="157"/>
        <v>0</v>
      </c>
      <c r="NO28">
        <f t="shared" si="158"/>
        <v>0</v>
      </c>
      <c r="NP28">
        <f t="shared" si="159"/>
        <v>0</v>
      </c>
      <c r="NQ28">
        <f t="shared" si="160"/>
        <v>0</v>
      </c>
      <c r="NR28">
        <f t="shared" si="161"/>
        <v>0</v>
      </c>
      <c r="NS28">
        <f t="shared" si="162"/>
        <v>0</v>
      </c>
      <c r="NT28">
        <f t="shared" si="163"/>
        <v>0</v>
      </c>
      <c r="NU28" s="29">
        <f t="shared" si="164"/>
        <v>0</v>
      </c>
      <c r="NY28" s="29">
        <f t="shared" si="108"/>
        <v>1</v>
      </c>
      <c r="NZ28" s="152">
        <v>8036000</v>
      </c>
      <c r="OE28" s="155">
        <f t="shared" si="109"/>
        <v>0</v>
      </c>
      <c r="OF28" s="155">
        <f t="shared" si="110"/>
        <v>0</v>
      </c>
      <c r="OG28" s="155">
        <f t="shared" si="111"/>
        <v>0</v>
      </c>
      <c r="OH28" s="155">
        <f t="shared" si="165"/>
        <v>0</v>
      </c>
      <c r="OI28" s="155">
        <f t="shared" si="112"/>
        <v>0</v>
      </c>
      <c r="OJ28" s="67">
        <f t="shared" si="166"/>
        <v>0</v>
      </c>
      <c r="OK28" s="67">
        <f t="shared" si="167"/>
        <v>0</v>
      </c>
      <c r="OL28" s="67">
        <f t="shared" si="168"/>
        <v>0</v>
      </c>
      <c r="OM28" s="67">
        <f t="shared" si="169"/>
        <v>0</v>
      </c>
      <c r="OO28" s="155">
        <f t="shared" si="113"/>
        <v>0</v>
      </c>
      <c r="OP28" s="155">
        <f t="shared" si="114"/>
        <v>0</v>
      </c>
      <c r="OQ28" s="155">
        <f t="shared" si="170"/>
        <v>0</v>
      </c>
      <c r="OR28" s="155">
        <f t="shared" si="171"/>
        <v>0</v>
      </c>
      <c r="OS28" s="155">
        <f t="shared" si="172"/>
        <v>0</v>
      </c>
      <c r="OT28" s="67">
        <f t="shared" si="173"/>
        <v>0</v>
      </c>
      <c r="OU28" s="67">
        <f t="shared" si="174"/>
        <v>0</v>
      </c>
      <c r="OV28" s="67">
        <f t="shared" si="175"/>
        <v>0</v>
      </c>
      <c r="OW28" s="67">
        <f t="shared" si="176"/>
        <v>0</v>
      </c>
      <c r="PA28" s="166"/>
      <c r="PB28" s="166"/>
      <c r="PC28" s="166"/>
      <c r="PD28" s="210">
        <f t="shared" si="115"/>
        <v>0</v>
      </c>
      <c r="PE28" s="210"/>
      <c r="PF28" s="210">
        <f t="shared" si="116"/>
        <v>0</v>
      </c>
      <c r="PG28" s="210">
        <f t="shared" si="117"/>
        <v>0</v>
      </c>
      <c r="PH28" s="210">
        <f t="shared" si="117"/>
        <v>0</v>
      </c>
      <c r="PI28" s="210">
        <f t="shared" si="117"/>
        <v>0</v>
      </c>
      <c r="PJ28" s="210">
        <f t="shared" si="117"/>
        <v>0</v>
      </c>
      <c r="PK28" s="210">
        <f t="shared" si="117"/>
        <v>0</v>
      </c>
      <c r="PL28" s="210">
        <f t="shared" si="117"/>
        <v>0</v>
      </c>
      <c r="PO28" s="172">
        <f t="shared" si="177"/>
        <v>0</v>
      </c>
      <c r="PP28" s="172">
        <f t="shared" si="178"/>
        <v>0</v>
      </c>
      <c r="PQ28" s="172">
        <f t="shared" si="179"/>
        <v>0</v>
      </c>
    </row>
    <row r="29" spans="1:433" ht="16" x14ac:dyDescent="0.2">
      <c r="A29" s="19">
        <f t="shared" si="180"/>
        <v>21</v>
      </c>
      <c r="B29" s="138" t="s">
        <v>390</v>
      </c>
      <c r="C29" s="138">
        <v>22</v>
      </c>
      <c r="D29" s="20">
        <v>1</v>
      </c>
      <c r="E29" s="20">
        <v>42</v>
      </c>
      <c r="F29" s="20">
        <v>1</v>
      </c>
      <c r="G29" s="20">
        <f t="shared" si="2"/>
        <v>42</v>
      </c>
      <c r="H29" s="137">
        <f t="shared" si="3"/>
        <v>1</v>
      </c>
      <c r="I29" s="137">
        <f t="shared" si="4"/>
        <v>1</v>
      </c>
      <c r="J29" s="20">
        <v>1</v>
      </c>
      <c r="K29" s="20">
        <f t="shared" si="5"/>
        <v>42</v>
      </c>
      <c r="L29" s="137">
        <f t="shared" si="6"/>
        <v>1</v>
      </c>
      <c r="M29" s="137">
        <f t="shared" si="7"/>
        <v>1</v>
      </c>
      <c r="N29" s="20">
        <v>1</v>
      </c>
      <c r="O29" s="20">
        <f t="shared" si="8"/>
        <v>42</v>
      </c>
      <c r="P29" s="137">
        <f t="shared" si="9"/>
        <v>1</v>
      </c>
      <c r="Q29" s="137">
        <f t="shared" si="10"/>
        <v>1</v>
      </c>
      <c r="R29" s="20">
        <v>1</v>
      </c>
      <c r="S29" s="20">
        <f t="shared" si="11"/>
        <v>42</v>
      </c>
      <c r="T29" s="137">
        <f t="shared" si="12"/>
        <v>1</v>
      </c>
      <c r="U29" s="137">
        <f t="shared" si="13"/>
        <v>1</v>
      </c>
      <c r="V29" s="20">
        <v>1</v>
      </c>
      <c r="W29" s="20">
        <f t="shared" si="14"/>
        <v>42</v>
      </c>
      <c r="X29" s="137">
        <f t="shared" si="15"/>
        <v>1</v>
      </c>
      <c r="Y29" s="137">
        <f t="shared" si="16"/>
        <v>1</v>
      </c>
      <c r="Z29" s="38">
        <f>497952000/1000000000</f>
        <v>0.49795200000000001</v>
      </c>
      <c r="AA29" s="38"/>
      <c r="AB29" s="17">
        <f t="shared" si="118"/>
        <v>0</v>
      </c>
      <c r="AC29" s="18">
        <f t="shared" si="119"/>
        <v>0</v>
      </c>
      <c r="AD29" s="18">
        <f t="shared" si="120"/>
        <v>0</v>
      </c>
      <c r="AE29" s="38"/>
      <c r="AF29" s="20">
        <f t="shared" si="121"/>
        <v>0</v>
      </c>
      <c r="AG29" s="20"/>
      <c r="AH29" s="31"/>
      <c r="AI29" s="20">
        <v>0</v>
      </c>
      <c r="AJ29" s="20">
        <f t="shared" si="181"/>
        <v>0</v>
      </c>
      <c r="AK29" s="20"/>
      <c r="AL29" s="20"/>
      <c r="AM29" s="20">
        <v>0</v>
      </c>
      <c r="AN29" s="139"/>
      <c r="BB29" s="17">
        <f t="shared" si="123"/>
        <v>0</v>
      </c>
      <c r="BE29" s="17">
        <f t="shared" si="19"/>
        <v>0</v>
      </c>
      <c r="BF29" s="17">
        <f t="shared" si="20"/>
        <v>0</v>
      </c>
      <c r="BG29" s="17">
        <f t="shared" si="21"/>
        <v>0</v>
      </c>
      <c r="BH29" s="17">
        <f t="shared" si="22"/>
        <v>0</v>
      </c>
      <c r="BI29" s="17">
        <f t="shared" si="23"/>
        <v>0</v>
      </c>
      <c r="BJ29" s="17">
        <f t="shared" si="24"/>
        <v>0</v>
      </c>
      <c r="BK29" s="17">
        <f t="shared" si="124"/>
        <v>0</v>
      </c>
      <c r="BN29" s="142">
        <v>3</v>
      </c>
      <c r="BO29">
        <v>1</v>
      </c>
      <c r="BP29" s="139"/>
      <c r="BQ29" s="139"/>
      <c r="BR29" s="139"/>
      <c r="BS29" s="139"/>
      <c r="BT29" s="139"/>
      <c r="BU29" s="139"/>
      <c r="BV29" s="139"/>
      <c r="BW29" s="139"/>
      <c r="BX29" s="139"/>
      <c r="BY29" s="139"/>
      <c r="BZ29" s="139"/>
      <c r="CB29" s="139"/>
      <c r="CD29" s="17">
        <f t="shared" si="125"/>
        <v>3</v>
      </c>
      <c r="CE29" s="17">
        <f t="shared" si="126"/>
        <v>3</v>
      </c>
      <c r="CF29" s="139">
        <f t="shared" si="182"/>
        <v>0</v>
      </c>
      <c r="CG29" s="139">
        <f t="shared" si="183"/>
        <v>0</v>
      </c>
      <c r="CH29" s="139">
        <f t="shared" si="184"/>
        <v>0</v>
      </c>
      <c r="CI29" s="139">
        <f t="shared" si="185"/>
        <v>0</v>
      </c>
      <c r="CJ29" s="139">
        <f t="shared" si="186"/>
        <v>0</v>
      </c>
      <c r="CK29" s="139">
        <f t="shared" si="187"/>
        <v>0</v>
      </c>
      <c r="CL29" s="139">
        <f t="shared" si="188"/>
        <v>0</v>
      </c>
      <c r="CM29" s="139">
        <f t="shared" si="189"/>
        <v>0</v>
      </c>
      <c r="CN29" s="139">
        <f t="shared" si="190"/>
        <v>0</v>
      </c>
      <c r="CO29" s="139">
        <f t="shared" si="191"/>
        <v>0</v>
      </c>
      <c r="CP29" s="139">
        <f t="shared" si="192"/>
        <v>0</v>
      </c>
      <c r="CQ29" s="148">
        <f t="shared" si="27"/>
        <v>0</v>
      </c>
      <c r="DV29" s="139">
        <f t="shared" si="28"/>
        <v>0</v>
      </c>
      <c r="DW29" s="139">
        <f t="shared" si="29"/>
        <v>0</v>
      </c>
      <c r="DX29" s="139">
        <f t="shared" si="30"/>
        <v>0</v>
      </c>
      <c r="DY29" s="139">
        <f t="shared" si="31"/>
        <v>0</v>
      </c>
      <c r="DZ29" s="139">
        <f t="shared" si="32"/>
        <v>0</v>
      </c>
      <c r="EA29" s="139">
        <f t="shared" si="33"/>
        <v>0</v>
      </c>
      <c r="EB29" s="139">
        <f t="shared" si="127"/>
        <v>0</v>
      </c>
      <c r="EG29" s="57">
        <f t="shared" si="128"/>
        <v>0</v>
      </c>
      <c r="EH29" s="57">
        <f t="shared" si="129"/>
        <v>0</v>
      </c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X29" s="80">
        <v>1</v>
      </c>
      <c r="FY29" s="17">
        <f t="shared" si="130"/>
        <v>3</v>
      </c>
      <c r="FZ29" s="17">
        <f t="shared" si="35"/>
        <v>3</v>
      </c>
      <c r="GA29" s="17">
        <f t="shared" si="36"/>
        <v>0</v>
      </c>
      <c r="GB29" s="17">
        <f t="shared" si="37"/>
        <v>0</v>
      </c>
      <c r="GC29" s="17">
        <f t="shared" si="38"/>
        <v>0</v>
      </c>
      <c r="GD29" s="17">
        <f t="shared" si="39"/>
        <v>0</v>
      </c>
      <c r="GE29" s="17">
        <f t="shared" si="40"/>
        <v>0</v>
      </c>
      <c r="GF29" s="67"/>
      <c r="GG29" s="17">
        <v>0</v>
      </c>
      <c r="GH29" s="17">
        <v>0</v>
      </c>
      <c r="GI29" s="67"/>
      <c r="GJ29" s="62">
        <f t="shared" si="131"/>
        <v>0</v>
      </c>
      <c r="GK29" s="62">
        <f t="shared" si="132"/>
        <v>0</v>
      </c>
      <c r="GO29" s="17">
        <f t="shared" si="41"/>
        <v>0</v>
      </c>
      <c r="GP29" s="17">
        <f t="shared" si="42"/>
        <v>0</v>
      </c>
      <c r="GQ29" s="17">
        <f t="shared" si="43"/>
        <v>0</v>
      </c>
      <c r="GR29" s="17">
        <f t="shared" si="44"/>
        <v>0</v>
      </c>
      <c r="GS29" s="17">
        <f t="shared" si="45"/>
        <v>0</v>
      </c>
      <c r="GT29" s="17">
        <f t="shared" si="133"/>
        <v>1</v>
      </c>
      <c r="GU29" s="101">
        <f t="shared" si="134"/>
        <v>43243</v>
      </c>
      <c r="GV29" s="17" t="str">
        <f t="shared" si="135"/>
        <v>SELESAI</v>
      </c>
      <c r="GW29" s="17">
        <f t="shared" si="136"/>
        <v>0</v>
      </c>
      <c r="GX29" s="66" t="str">
        <f t="shared" si="137"/>
        <v>SELESAI</v>
      </c>
      <c r="GY29" s="66">
        <f t="shared" si="138"/>
        <v>0</v>
      </c>
      <c r="GZ29" s="102" t="str">
        <f t="shared" si="139"/>
        <v>SELESAI</v>
      </c>
      <c r="HA29" s="83"/>
      <c r="HB29" s="83"/>
      <c r="HC29" s="17">
        <f t="shared" si="46"/>
        <v>0</v>
      </c>
      <c r="HD29" s="17">
        <f t="shared" si="47"/>
        <v>0</v>
      </c>
      <c r="HE29" s="17">
        <f t="shared" si="140"/>
        <v>0</v>
      </c>
      <c r="HF29" s="17">
        <f t="shared" si="141"/>
        <v>0</v>
      </c>
      <c r="HG29" s="17">
        <f t="shared" si="142"/>
        <v>0</v>
      </c>
      <c r="HH29" s="101" t="str">
        <f t="shared" si="48"/>
        <v>TIDAK KONSINYASI</v>
      </c>
      <c r="HI29" s="101" t="str">
        <f t="shared" si="143"/>
        <v>SELESAI</v>
      </c>
      <c r="HJ29" s="27"/>
      <c r="HK29" s="101">
        <f t="shared" si="49"/>
        <v>0</v>
      </c>
      <c r="HL29" s="83"/>
      <c r="HM29" s="83"/>
      <c r="HN29" s="83"/>
      <c r="HO29" s="83"/>
      <c r="HP29" s="102">
        <f t="shared" si="144"/>
        <v>0</v>
      </c>
      <c r="HQ29" s="66">
        <f t="shared" si="145"/>
        <v>0</v>
      </c>
      <c r="HR29" s="66">
        <f t="shared" si="50"/>
        <v>0</v>
      </c>
      <c r="HS29" s="102">
        <f t="shared" si="146"/>
        <v>0</v>
      </c>
      <c r="HT29" s="66">
        <f t="shared" si="147"/>
        <v>0</v>
      </c>
      <c r="HU29" s="66">
        <f t="shared" si="51"/>
        <v>0</v>
      </c>
      <c r="HV29" s="102">
        <f t="shared" si="148"/>
        <v>0</v>
      </c>
      <c r="HW29" s="66">
        <f t="shared" si="52"/>
        <v>0</v>
      </c>
      <c r="HX29" s="66">
        <f t="shared" si="53"/>
        <v>0</v>
      </c>
      <c r="HY29" s="102">
        <f t="shared" si="54"/>
        <v>0</v>
      </c>
      <c r="HZ29" s="66">
        <f t="shared" si="149"/>
        <v>0</v>
      </c>
      <c r="IA29" s="66">
        <f t="shared" si="55"/>
        <v>0</v>
      </c>
      <c r="IB29" s="102">
        <f t="shared" si="150"/>
        <v>0</v>
      </c>
      <c r="IC29" s="66">
        <f t="shared" si="56"/>
        <v>0</v>
      </c>
      <c r="ID29" s="66">
        <f t="shared" si="57"/>
        <v>0</v>
      </c>
      <c r="IE29" s="102">
        <f t="shared" si="58"/>
        <v>0</v>
      </c>
      <c r="IF29" s="66">
        <f t="shared" si="59"/>
        <v>0</v>
      </c>
      <c r="IG29" s="66">
        <f t="shared" si="60"/>
        <v>0</v>
      </c>
      <c r="IH29" s="102">
        <f t="shared" si="151"/>
        <v>0</v>
      </c>
      <c r="II29" s="66">
        <f t="shared" si="152"/>
        <v>0</v>
      </c>
      <c r="IJ29" s="66">
        <f t="shared" si="61"/>
        <v>0</v>
      </c>
      <c r="IK29" s="102">
        <f t="shared" si="62"/>
        <v>0</v>
      </c>
      <c r="IL29" s="66">
        <f t="shared" si="63"/>
        <v>0</v>
      </c>
      <c r="IM29" s="66">
        <f t="shared" si="64"/>
        <v>0</v>
      </c>
      <c r="IN29" s="83"/>
      <c r="IO29" s="102">
        <f t="shared" si="65"/>
        <v>0</v>
      </c>
      <c r="IP29" s="66">
        <f t="shared" si="66"/>
        <v>0</v>
      </c>
      <c r="IQ29" s="66">
        <f t="shared" si="67"/>
        <v>0</v>
      </c>
      <c r="IR29" s="83"/>
      <c r="IS29" s="102"/>
      <c r="IT29" s="66">
        <f t="shared" si="68"/>
        <v>1</v>
      </c>
      <c r="IU29" s="66">
        <f t="shared" si="69"/>
        <v>42</v>
      </c>
      <c r="IV29" s="83"/>
      <c r="IW29" s="102"/>
      <c r="IX29" s="66">
        <f t="shared" si="70"/>
        <v>0</v>
      </c>
      <c r="IY29" s="66">
        <f t="shared" si="71"/>
        <v>0</v>
      </c>
      <c r="IZ29" s="83"/>
      <c r="JA29" s="102"/>
      <c r="JB29" s="66">
        <f t="shared" si="72"/>
        <v>0</v>
      </c>
      <c r="JC29" s="66">
        <f t="shared" si="73"/>
        <v>0</v>
      </c>
      <c r="JD29" s="83"/>
      <c r="JE29" s="102"/>
      <c r="JF29" s="66">
        <f t="shared" si="153"/>
        <v>1</v>
      </c>
      <c r="JG29" s="66">
        <f t="shared" si="74"/>
        <v>42</v>
      </c>
      <c r="JH29" s="83"/>
      <c r="JI29" s="102"/>
      <c r="JJ29" s="66">
        <f t="shared" si="75"/>
        <v>0</v>
      </c>
      <c r="JK29" s="66">
        <f t="shared" si="76"/>
        <v>0</v>
      </c>
      <c r="JM29" s="102">
        <f t="shared" si="154"/>
        <v>0</v>
      </c>
      <c r="JO29" s="29">
        <f t="shared" si="77"/>
        <v>1</v>
      </c>
      <c r="JP29" s="122">
        <f t="shared" si="78"/>
        <v>3</v>
      </c>
      <c r="JQ29" s="122">
        <f t="shared" si="79"/>
        <v>1</v>
      </c>
      <c r="JR29" s="122">
        <f t="shared" si="80"/>
        <v>0</v>
      </c>
      <c r="JS29" s="122">
        <f t="shared" si="81"/>
        <v>0</v>
      </c>
      <c r="JT29" s="122">
        <f t="shared" si="82"/>
        <v>0</v>
      </c>
      <c r="JU29" s="122">
        <f t="shared" si="83"/>
        <v>0</v>
      </c>
      <c r="JV29" s="122">
        <f t="shared" si="84"/>
        <v>0</v>
      </c>
      <c r="JW29" s="122">
        <f t="shared" si="85"/>
        <v>0</v>
      </c>
      <c r="JX29" s="122">
        <f t="shared" si="86"/>
        <v>0</v>
      </c>
      <c r="JY29" s="122">
        <f t="shared" si="87"/>
        <v>0</v>
      </c>
      <c r="JZ29" s="122">
        <f t="shared" si="88"/>
        <v>0</v>
      </c>
      <c r="KA29" s="122">
        <f t="shared" si="89"/>
        <v>0</v>
      </c>
      <c r="KB29" s="122">
        <f t="shared" si="90"/>
        <v>0</v>
      </c>
      <c r="KD29" s="122">
        <f t="shared" si="155"/>
        <v>0</v>
      </c>
      <c r="KE29" s="122">
        <f t="shared" si="92"/>
        <v>0</v>
      </c>
      <c r="KF29" s="122">
        <f t="shared" si="93"/>
        <v>3</v>
      </c>
      <c r="KG29" s="122">
        <f t="shared" si="94"/>
        <v>3</v>
      </c>
      <c r="KH29" s="122">
        <f t="shared" si="95"/>
        <v>0</v>
      </c>
      <c r="KI29" s="122">
        <f t="shared" si="96"/>
        <v>0</v>
      </c>
      <c r="KJ29" s="122">
        <f t="shared" si="97"/>
        <v>0</v>
      </c>
      <c r="KK29" s="122">
        <f t="shared" si="98"/>
        <v>0</v>
      </c>
      <c r="KL29" s="122">
        <f t="shared" si="99"/>
        <v>0</v>
      </c>
      <c r="KM29" s="122">
        <f t="shared" si="100"/>
        <v>0</v>
      </c>
      <c r="KN29" s="123">
        <f t="shared" si="101"/>
        <v>0</v>
      </c>
      <c r="KO29" s="123">
        <f t="shared" si="102"/>
        <v>0</v>
      </c>
      <c r="KP29" s="123">
        <f t="shared" si="103"/>
        <v>0</v>
      </c>
      <c r="KQ29" s="123">
        <f t="shared" si="104"/>
        <v>0</v>
      </c>
      <c r="KR29" s="123">
        <f t="shared" si="105"/>
        <v>0</v>
      </c>
      <c r="KT29">
        <f t="shared" si="106"/>
        <v>0</v>
      </c>
      <c r="KU29" s="123"/>
      <c r="KV29" s="123"/>
      <c r="KW29" s="123"/>
      <c r="KX29" s="123"/>
      <c r="KY29" s="123"/>
      <c r="KZ29" s="123"/>
      <c r="LA29" s="123"/>
      <c r="LB29" s="123"/>
      <c r="LC29" s="123"/>
      <c r="LD29" s="123"/>
      <c r="LE29" s="123"/>
      <c r="LF29" s="123"/>
      <c r="LG29" s="123"/>
      <c r="LH29" s="123"/>
      <c r="LI29" s="123"/>
      <c r="LJ29" s="123"/>
      <c r="LK29" s="123"/>
      <c r="LL29" s="123"/>
      <c r="LM29" s="123"/>
      <c r="LN29" s="123"/>
      <c r="LO29" s="123"/>
      <c r="LP29" s="123"/>
      <c r="LQ29" s="123"/>
      <c r="LR29" s="123"/>
      <c r="LS29" s="123"/>
      <c r="LT29" s="123"/>
      <c r="LU29" s="123"/>
      <c r="LV29" s="123"/>
      <c r="LW29" s="123"/>
      <c r="LX29" s="123"/>
      <c r="LY29" s="123"/>
      <c r="LZ29" s="123"/>
      <c r="MA29" s="123"/>
      <c r="MB29" s="123"/>
      <c r="MC29" s="123"/>
      <c r="MD29" s="123"/>
      <c r="ME29" s="123"/>
      <c r="MF29" s="123"/>
      <c r="MG29" s="123"/>
      <c r="MH29" s="123"/>
      <c r="MI29" s="123"/>
      <c r="MJ29" s="123"/>
      <c r="MK29" s="123"/>
      <c r="ML29" s="123"/>
      <c r="MM29" s="123"/>
      <c r="MN29" s="123"/>
      <c r="MO29" s="123"/>
      <c r="MP29" s="123"/>
      <c r="MQ29" s="123"/>
      <c r="MR29" s="123"/>
      <c r="MS29" s="123"/>
      <c r="MT29" s="123"/>
      <c r="MU29" s="123"/>
      <c r="MV29" s="123"/>
      <c r="MW29" s="123"/>
      <c r="MX29" s="123"/>
      <c r="MY29" s="123"/>
      <c r="MZ29" s="123"/>
      <c r="NA29" s="123"/>
      <c r="NB29" s="123"/>
      <c r="NC29" s="123"/>
      <c r="ND29" s="123"/>
      <c r="NE29" s="123"/>
      <c r="NF29" s="123"/>
      <c r="NG29" s="123"/>
      <c r="NH29" s="123"/>
      <c r="NI29" s="123"/>
      <c r="NJ29" s="123"/>
      <c r="NK29" s="123"/>
      <c r="NM29">
        <f t="shared" si="156"/>
        <v>0</v>
      </c>
      <c r="NN29">
        <f t="shared" si="157"/>
        <v>0</v>
      </c>
      <c r="NO29">
        <f t="shared" si="158"/>
        <v>0</v>
      </c>
      <c r="NP29">
        <f t="shared" si="159"/>
        <v>0</v>
      </c>
      <c r="NQ29">
        <f t="shared" si="160"/>
        <v>0</v>
      </c>
      <c r="NR29">
        <f t="shared" si="161"/>
        <v>0</v>
      </c>
      <c r="NS29">
        <f t="shared" si="162"/>
        <v>0</v>
      </c>
      <c r="NT29">
        <f t="shared" si="163"/>
        <v>0</v>
      </c>
      <c r="NU29" s="29">
        <f t="shared" si="164"/>
        <v>0</v>
      </c>
      <c r="NY29" s="29">
        <f t="shared" si="108"/>
        <v>1</v>
      </c>
      <c r="NZ29" s="152">
        <v>8036000</v>
      </c>
      <c r="OE29" s="155">
        <f t="shared" si="109"/>
        <v>0</v>
      </c>
      <c r="OF29" s="155">
        <f t="shared" si="110"/>
        <v>0</v>
      </c>
      <c r="OG29" s="155">
        <f t="shared" si="111"/>
        <v>0</v>
      </c>
      <c r="OH29" s="155">
        <f t="shared" si="165"/>
        <v>0</v>
      </c>
      <c r="OI29" s="155">
        <f t="shared" si="112"/>
        <v>0</v>
      </c>
      <c r="OJ29" s="67">
        <f t="shared" si="166"/>
        <v>0</v>
      </c>
      <c r="OK29" s="67">
        <f t="shared" si="167"/>
        <v>0</v>
      </c>
      <c r="OL29" s="67">
        <f t="shared" si="168"/>
        <v>0</v>
      </c>
      <c r="OM29" s="67">
        <f t="shared" si="169"/>
        <v>0</v>
      </c>
      <c r="OO29" s="155">
        <f t="shared" si="113"/>
        <v>0</v>
      </c>
      <c r="OP29" s="155">
        <f t="shared" si="114"/>
        <v>0</v>
      </c>
      <c r="OQ29" s="155">
        <f t="shared" si="170"/>
        <v>0</v>
      </c>
      <c r="OR29" s="155">
        <f t="shared" si="171"/>
        <v>0</v>
      </c>
      <c r="OS29" s="155">
        <f t="shared" si="172"/>
        <v>0</v>
      </c>
      <c r="OT29" s="67">
        <f t="shared" si="173"/>
        <v>0</v>
      </c>
      <c r="OU29" s="67">
        <f t="shared" si="174"/>
        <v>0</v>
      </c>
      <c r="OV29" s="67">
        <f t="shared" si="175"/>
        <v>0</v>
      </c>
      <c r="OW29" s="67">
        <f t="shared" si="176"/>
        <v>0</v>
      </c>
      <c r="PA29" s="166"/>
      <c r="PB29" s="166"/>
      <c r="PC29" s="166"/>
      <c r="PD29" s="210">
        <f t="shared" si="115"/>
        <v>0</v>
      </c>
      <c r="PE29" s="210"/>
      <c r="PF29" s="210">
        <f t="shared" si="116"/>
        <v>0</v>
      </c>
      <c r="PG29" s="210">
        <f t="shared" si="117"/>
        <v>0</v>
      </c>
      <c r="PH29" s="210">
        <f t="shared" si="117"/>
        <v>0</v>
      </c>
      <c r="PI29" s="210">
        <f t="shared" si="117"/>
        <v>0</v>
      </c>
      <c r="PJ29" s="210">
        <f t="shared" si="117"/>
        <v>0</v>
      </c>
      <c r="PK29" s="210">
        <f t="shared" si="117"/>
        <v>0</v>
      </c>
      <c r="PL29" s="210">
        <f t="shared" si="117"/>
        <v>0</v>
      </c>
      <c r="PO29" s="172">
        <f t="shared" si="177"/>
        <v>0</v>
      </c>
      <c r="PP29" s="172">
        <f t="shared" si="178"/>
        <v>0</v>
      </c>
      <c r="PQ29" s="172">
        <f t="shared" si="179"/>
        <v>0</v>
      </c>
    </row>
    <row r="30" spans="1:433" ht="16" x14ac:dyDescent="0.2">
      <c r="A30" s="19">
        <f t="shared" si="180"/>
        <v>22</v>
      </c>
      <c r="B30" s="138" t="s">
        <v>290</v>
      </c>
      <c r="C30" s="138">
        <v>23</v>
      </c>
      <c r="D30" s="20">
        <v>1</v>
      </c>
      <c r="E30" s="20">
        <v>70</v>
      </c>
      <c r="F30" s="20">
        <v>1</v>
      </c>
      <c r="G30" s="20">
        <f t="shared" si="2"/>
        <v>70</v>
      </c>
      <c r="H30" s="137">
        <f t="shared" si="3"/>
        <v>1</v>
      </c>
      <c r="I30" s="137">
        <f t="shared" si="4"/>
        <v>1</v>
      </c>
      <c r="J30" s="20">
        <v>1</v>
      </c>
      <c r="K30" s="20">
        <f t="shared" si="5"/>
        <v>70</v>
      </c>
      <c r="L30" s="137">
        <f t="shared" si="6"/>
        <v>1</v>
      </c>
      <c r="M30" s="137">
        <f t="shared" si="7"/>
        <v>1</v>
      </c>
      <c r="N30" s="20">
        <v>1</v>
      </c>
      <c r="O30" s="20">
        <f t="shared" si="8"/>
        <v>70</v>
      </c>
      <c r="P30" s="137">
        <f t="shared" si="9"/>
        <v>1</v>
      </c>
      <c r="Q30" s="137">
        <f t="shared" si="10"/>
        <v>1</v>
      </c>
      <c r="R30" s="20">
        <v>1</v>
      </c>
      <c r="S30" s="20">
        <f t="shared" si="11"/>
        <v>70</v>
      </c>
      <c r="T30" s="137">
        <f t="shared" si="12"/>
        <v>1</v>
      </c>
      <c r="U30" s="137">
        <f t="shared" si="13"/>
        <v>1</v>
      </c>
      <c r="V30" s="20">
        <v>1</v>
      </c>
      <c r="W30" s="20">
        <f t="shared" si="14"/>
        <v>70</v>
      </c>
      <c r="X30" s="137">
        <f t="shared" si="15"/>
        <v>1</v>
      </c>
      <c r="Y30" s="137">
        <f t="shared" si="16"/>
        <v>1</v>
      </c>
      <c r="Z30" s="42">
        <f>866231000/1000000000</f>
        <v>0.86623099999999997</v>
      </c>
      <c r="AA30" s="42"/>
      <c r="AB30" s="17">
        <f t="shared" si="118"/>
        <v>0</v>
      </c>
      <c r="AC30" s="18">
        <f t="shared" si="119"/>
        <v>0</v>
      </c>
      <c r="AD30" s="18">
        <f t="shared" si="120"/>
        <v>0</v>
      </c>
      <c r="AE30" s="42"/>
      <c r="AF30" s="20">
        <f t="shared" si="121"/>
        <v>0</v>
      </c>
      <c r="AG30" s="20"/>
      <c r="AH30" s="17"/>
      <c r="AI30" s="20">
        <v>0</v>
      </c>
      <c r="AJ30" s="20">
        <f t="shared" si="181"/>
        <v>0</v>
      </c>
      <c r="AK30" s="20"/>
      <c r="AL30" s="20"/>
      <c r="AM30" s="20">
        <v>0</v>
      </c>
      <c r="AN30" s="139"/>
      <c r="BB30" s="17">
        <f t="shared" si="123"/>
        <v>0</v>
      </c>
      <c r="BE30" s="17">
        <f t="shared" si="19"/>
        <v>0</v>
      </c>
      <c r="BF30" s="17">
        <f t="shared" si="20"/>
        <v>0</v>
      </c>
      <c r="BG30" s="17">
        <f t="shared" si="21"/>
        <v>0</v>
      </c>
      <c r="BH30" s="17">
        <f t="shared" si="22"/>
        <v>0</v>
      </c>
      <c r="BI30" s="17">
        <f t="shared" si="23"/>
        <v>0</v>
      </c>
      <c r="BJ30" s="17">
        <f t="shared" si="24"/>
        <v>0</v>
      </c>
      <c r="BK30" s="17">
        <f t="shared" si="124"/>
        <v>0</v>
      </c>
      <c r="BN30" s="142">
        <v>19</v>
      </c>
      <c r="BO30">
        <v>1</v>
      </c>
      <c r="BP30" s="139"/>
      <c r="BQ30" s="139"/>
      <c r="BR30" s="139"/>
      <c r="BS30" s="139"/>
      <c r="BT30" s="139"/>
      <c r="BU30" s="139"/>
      <c r="BV30" s="139"/>
      <c r="BW30" s="139"/>
      <c r="BX30" s="139"/>
      <c r="BY30" s="139"/>
      <c r="BZ30" s="139"/>
      <c r="CB30" s="139"/>
      <c r="CD30" s="17">
        <f t="shared" si="125"/>
        <v>19</v>
      </c>
      <c r="CE30" s="17">
        <f t="shared" si="126"/>
        <v>19</v>
      </c>
      <c r="CF30" s="139">
        <f t="shared" si="182"/>
        <v>0</v>
      </c>
      <c r="CG30" s="139">
        <f t="shared" si="183"/>
        <v>0</v>
      </c>
      <c r="CH30" s="139">
        <f t="shared" si="184"/>
        <v>0</v>
      </c>
      <c r="CI30" s="139">
        <f t="shared" si="185"/>
        <v>0</v>
      </c>
      <c r="CJ30" s="139">
        <f t="shared" si="186"/>
        <v>0</v>
      </c>
      <c r="CK30" s="139">
        <f t="shared" si="187"/>
        <v>0</v>
      </c>
      <c r="CL30" s="139">
        <f t="shared" si="188"/>
        <v>0</v>
      </c>
      <c r="CM30" s="139">
        <f t="shared" si="189"/>
        <v>0</v>
      </c>
      <c r="CN30" s="139">
        <f t="shared" si="190"/>
        <v>0</v>
      </c>
      <c r="CO30" s="139">
        <f t="shared" si="191"/>
        <v>0</v>
      </c>
      <c r="CP30" s="139">
        <f t="shared" si="192"/>
        <v>0</v>
      </c>
      <c r="CQ30" s="148">
        <f t="shared" si="27"/>
        <v>0</v>
      </c>
      <c r="DV30" s="139">
        <f t="shared" si="28"/>
        <v>0</v>
      </c>
      <c r="DW30" s="139">
        <f t="shared" si="29"/>
        <v>0</v>
      </c>
      <c r="DX30" s="139">
        <f t="shared" si="30"/>
        <v>0</v>
      </c>
      <c r="DY30" s="139">
        <f t="shared" si="31"/>
        <v>0</v>
      </c>
      <c r="DZ30" s="139">
        <f t="shared" si="32"/>
        <v>0</v>
      </c>
      <c r="EA30" s="139">
        <f t="shared" si="33"/>
        <v>0</v>
      </c>
      <c r="EB30" s="139">
        <f t="shared" si="127"/>
        <v>0</v>
      </c>
      <c r="EG30" s="57">
        <f t="shared" si="128"/>
        <v>0</v>
      </c>
      <c r="EH30" s="57">
        <f t="shared" si="129"/>
        <v>0</v>
      </c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X30" s="80">
        <v>1</v>
      </c>
      <c r="FY30" s="17">
        <f t="shared" si="130"/>
        <v>19</v>
      </c>
      <c r="FZ30" s="17">
        <f t="shared" si="35"/>
        <v>19</v>
      </c>
      <c r="GA30" s="17">
        <f t="shared" si="36"/>
        <v>0</v>
      </c>
      <c r="GB30" s="17">
        <f t="shared" si="37"/>
        <v>0</v>
      </c>
      <c r="GC30" s="17">
        <f t="shared" si="38"/>
        <v>0</v>
      </c>
      <c r="GD30" s="17">
        <f t="shared" si="39"/>
        <v>0</v>
      </c>
      <c r="GE30" s="17">
        <f t="shared" si="40"/>
        <v>0</v>
      </c>
      <c r="GF30" s="67"/>
      <c r="GG30" s="17">
        <v>0</v>
      </c>
      <c r="GH30" s="17">
        <v>0</v>
      </c>
      <c r="GI30" s="67"/>
      <c r="GJ30" s="62">
        <f t="shared" si="131"/>
        <v>0</v>
      </c>
      <c r="GK30" s="62">
        <f t="shared" si="132"/>
        <v>0</v>
      </c>
      <c r="GO30" s="17">
        <f t="shared" si="41"/>
        <v>0</v>
      </c>
      <c r="GP30" s="17">
        <f t="shared" si="42"/>
        <v>0</v>
      </c>
      <c r="GQ30" s="17">
        <f t="shared" si="43"/>
        <v>0</v>
      </c>
      <c r="GR30" s="17">
        <f t="shared" si="44"/>
        <v>0</v>
      </c>
      <c r="GS30" s="17">
        <f t="shared" si="45"/>
        <v>0</v>
      </c>
      <c r="GT30" s="17">
        <f t="shared" si="133"/>
        <v>1</v>
      </c>
      <c r="GU30" s="101">
        <f t="shared" si="134"/>
        <v>43243</v>
      </c>
      <c r="GV30" s="17" t="str">
        <f t="shared" si="135"/>
        <v>SELESAI</v>
      </c>
      <c r="GW30" s="17">
        <f t="shared" si="136"/>
        <v>0</v>
      </c>
      <c r="GX30" s="66" t="str">
        <f t="shared" si="137"/>
        <v>SELESAI</v>
      </c>
      <c r="GY30" s="66">
        <f t="shared" si="138"/>
        <v>0</v>
      </c>
      <c r="GZ30" s="102" t="str">
        <f t="shared" si="139"/>
        <v>SELESAI</v>
      </c>
      <c r="HA30" s="83"/>
      <c r="HB30" s="83"/>
      <c r="HC30" s="17">
        <f t="shared" si="46"/>
        <v>0</v>
      </c>
      <c r="HD30" s="17">
        <f t="shared" si="47"/>
        <v>0</v>
      </c>
      <c r="HE30" s="17">
        <f t="shared" si="140"/>
        <v>0</v>
      </c>
      <c r="HF30" s="17">
        <f t="shared" si="141"/>
        <v>0</v>
      </c>
      <c r="HG30" s="17">
        <f t="shared" si="142"/>
        <v>0</v>
      </c>
      <c r="HH30" s="101" t="str">
        <f t="shared" si="48"/>
        <v>TIDAK KONSINYASI</v>
      </c>
      <c r="HI30" s="101" t="str">
        <f t="shared" si="143"/>
        <v>SELESAI</v>
      </c>
      <c r="HJ30" s="27"/>
      <c r="HK30" s="101">
        <f t="shared" si="49"/>
        <v>0</v>
      </c>
      <c r="HL30" s="83"/>
      <c r="HM30" s="83"/>
      <c r="HN30" s="83"/>
      <c r="HO30" s="83"/>
      <c r="HP30" s="102">
        <f t="shared" si="144"/>
        <v>0</v>
      </c>
      <c r="HQ30" s="66">
        <f t="shared" si="145"/>
        <v>0</v>
      </c>
      <c r="HR30" s="66">
        <f t="shared" si="50"/>
        <v>0</v>
      </c>
      <c r="HS30" s="102">
        <f t="shared" si="146"/>
        <v>0</v>
      </c>
      <c r="HT30" s="66">
        <f t="shared" si="147"/>
        <v>0</v>
      </c>
      <c r="HU30" s="66">
        <f t="shared" si="51"/>
        <v>0</v>
      </c>
      <c r="HV30" s="102">
        <f t="shared" si="148"/>
        <v>0</v>
      </c>
      <c r="HW30" s="66">
        <f t="shared" si="52"/>
        <v>0</v>
      </c>
      <c r="HX30" s="66">
        <f t="shared" si="53"/>
        <v>0</v>
      </c>
      <c r="HY30" s="102">
        <f t="shared" si="54"/>
        <v>0</v>
      </c>
      <c r="HZ30" s="66">
        <f t="shared" si="149"/>
        <v>0</v>
      </c>
      <c r="IA30" s="66">
        <f t="shared" si="55"/>
        <v>0</v>
      </c>
      <c r="IB30" s="102">
        <f t="shared" si="150"/>
        <v>0</v>
      </c>
      <c r="IC30" s="66">
        <f t="shared" si="56"/>
        <v>0</v>
      </c>
      <c r="ID30" s="66">
        <f t="shared" si="57"/>
        <v>0</v>
      </c>
      <c r="IE30" s="102">
        <f t="shared" si="58"/>
        <v>0</v>
      </c>
      <c r="IF30" s="66">
        <f t="shared" si="59"/>
        <v>0</v>
      </c>
      <c r="IG30" s="66">
        <f t="shared" si="60"/>
        <v>0</v>
      </c>
      <c r="IH30" s="102">
        <f t="shared" si="151"/>
        <v>0</v>
      </c>
      <c r="II30" s="66">
        <f t="shared" si="152"/>
        <v>0</v>
      </c>
      <c r="IJ30" s="66">
        <f t="shared" si="61"/>
        <v>0</v>
      </c>
      <c r="IK30" s="102">
        <f t="shared" si="62"/>
        <v>0</v>
      </c>
      <c r="IL30" s="66">
        <f t="shared" si="63"/>
        <v>0</v>
      </c>
      <c r="IM30" s="66">
        <f t="shared" si="64"/>
        <v>0</v>
      </c>
      <c r="IN30" s="83"/>
      <c r="IO30" s="102">
        <f t="shared" si="65"/>
        <v>0</v>
      </c>
      <c r="IP30" s="66">
        <f t="shared" si="66"/>
        <v>0</v>
      </c>
      <c r="IQ30" s="66">
        <f t="shared" si="67"/>
        <v>0</v>
      </c>
      <c r="IR30" s="83"/>
      <c r="IS30" s="102"/>
      <c r="IT30" s="66">
        <f t="shared" si="68"/>
        <v>1</v>
      </c>
      <c r="IU30" s="66">
        <f t="shared" si="69"/>
        <v>70</v>
      </c>
      <c r="IV30" s="83"/>
      <c r="IW30" s="102"/>
      <c r="IX30" s="66">
        <f t="shared" si="70"/>
        <v>0</v>
      </c>
      <c r="IY30" s="66">
        <f t="shared" si="71"/>
        <v>0</v>
      </c>
      <c r="IZ30" s="83"/>
      <c r="JA30" s="102"/>
      <c r="JB30" s="66">
        <f t="shared" si="72"/>
        <v>0</v>
      </c>
      <c r="JC30" s="66">
        <f t="shared" si="73"/>
        <v>0</v>
      </c>
      <c r="JD30" s="83"/>
      <c r="JE30" s="102"/>
      <c r="JF30" s="66">
        <f t="shared" si="153"/>
        <v>1</v>
      </c>
      <c r="JG30" s="66">
        <f t="shared" si="74"/>
        <v>70</v>
      </c>
      <c r="JH30" s="83"/>
      <c r="JI30" s="102"/>
      <c r="JJ30" s="66">
        <f t="shared" si="75"/>
        <v>0</v>
      </c>
      <c r="JK30" s="66">
        <f t="shared" si="76"/>
        <v>0</v>
      </c>
      <c r="JM30" s="102">
        <f t="shared" si="154"/>
        <v>0</v>
      </c>
      <c r="JO30" s="29">
        <f t="shared" si="77"/>
        <v>1</v>
      </c>
      <c r="JP30" s="122">
        <f t="shared" si="78"/>
        <v>19</v>
      </c>
      <c r="JQ30" s="122">
        <f t="shared" si="79"/>
        <v>1</v>
      </c>
      <c r="JR30" s="122">
        <f t="shared" si="80"/>
        <v>0</v>
      </c>
      <c r="JS30" s="122">
        <f t="shared" si="81"/>
        <v>0</v>
      </c>
      <c r="JT30" s="122">
        <f t="shared" si="82"/>
        <v>0</v>
      </c>
      <c r="JU30" s="122">
        <f t="shared" si="83"/>
        <v>0</v>
      </c>
      <c r="JV30" s="122">
        <f t="shared" si="84"/>
        <v>0</v>
      </c>
      <c r="JW30" s="122">
        <f t="shared" si="85"/>
        <v>0</v>
      </c>
      <c r="JX30" s="122">
        <f t="shared" si="86"/>
        <v>0</v>
      </c>
      <c r="JY30" s="122">
        <f t="shared" si="87"/>
        <v>0</v>
      </c>
      <c r="JZ30" s="122">
        <f t="shared" si="88"/>
        <v>0</v>
      </c>
      <c r="KA30" s="122">
        <f t="shared" si="89"/>
        <v>0</v>
      </c>
      <c r="KB30" s="122">
        <f t="shared" si="90"/>
        <v>0</v>
      </c>
      <c r="KD30" s="122">
        <f t="shared" si="155"/>
        <v>0</v>
      </c>
      <c r="KE30" s="122">
        <f t="shared" si="92"/>
        <v>0</v>
      </c>
      <c r="KF30" s="122">
        <f t="shared" si="93"/>
        <v>19</v>
      </c>
      <c r="KG30" s="122">
        <f t="shared" si="94"/>
        <v>19</v>
      </c>
      <c r="KH30" s="122">
        <f t="shared" si="95"/>
        <v>0</v>
      </c>
      <c r="KI30" s="122">
        <f t="shared" si="96"/>
        <v>0</v>
      </c>
      <c r="KJ30" s="122">
        <f t="shared" si="97"/>
        <v>0</v>
      </c>
      <c r="KK30" s="122">
        <f t="shared" si="98"/>
        <v>0</v>
      </c>
      <c r="KL30" s="122">
        <f t="shared" si="99"/>
        <v>0</v>
      </c>
      <c r="KM30" s="122">
        <f t="shared" si="100"/>
        <v>0</v>
      </c>
      <c r="KN30" s="123">
        <f t="shared" si="101"/>
        <v>0</v>
      </c>
      <c r="KO30" s="123">
        <f t="shared" si="102"/>
        <v>0</v>
      </c>
      <c r="KP30" s="123">
        <f t="shared" si="103"/>
        <v>0</v>
      </c>
      <c r="KQ30" s="123">
        <f t="shared" si="104"/>
        <v>0</v>
      </c>
      <c r="KR30" s="123">
        <f t="shared" si="105"/>
        <v>0</v>
      </c>
      <c r="KT30">
        <f t="shared" si="106"/>
        <v>0</v>
      </c>
      <c r="KU30" s="123"/>
      <c r="KV30" s="123"/>
      <c r="KW30" s="123"/>
      <c r="KX30" s="123"/>
      <c r="KY30" s="123"/>
      <c r="KZ30" s="123"/>
      <c r="LA30" s="123"/>
      <c r="LB30" s="123"/>
      <c r="LC30" s="123"/>
      <c r="LD30" s="123"/>
      <c r="LE30" s="123"/>
      <c r="LF30" s="123"/>
      <c r="LG30" s="123"/>
      <c r="LH30" s="123"/>
      <c r="LI30" s="123"/>
      <c r="LJ30" s="123"/>
      <c r="LK30" s="123"/>
      <c r="LL30" s="123"/>
      <c r="LM30" s="123"/>
      <c r="LN30" s="123"/>
      <c r="LO30" s="123"/>
      <c r="LP30" s="123"/>
      <c r="LQ30" s="123"/>
      <c r="LR30" s="123"/>
      <c r="LS30" s="123"/>
      <c r="LT30" s="123"/>
      <c r="LU30" s="123"/>
      <c r="LV30" s="123"/>
      <c r="LW30" s="123"/>
      <c r="LX30" s="123"/>
      <c r="LY30" s="123"/>
      <c r="LZ30" s="123"/>
      <c r="MA30" s="123"/>
      <c r="MB30" s="123"/>
      <c r="MC30" s="123"/>
      <c r="MD30" s="123"/>
      <c r="ME30" s="123"/>
      <c r="MF30" s="123"/>
      <c r="MG30" s="123"/>
      <c r="MH30" s="123"/>
      <c r="MI30" s="123"/>
      <c r="MJ30" s="123"/>
      <c r="MK30" s="123"/>
      <c r="ML30" s="123"/>
      <c r="MM30" s="123"/>
      <c r="MN30" s="123"/>
      <c r="MO30" s="123"/>
      <c r="MP30" s="123"/>
      <c r="MQ30" s="123"/>
      <c r="MR30" s="123"/>
      <c r="MS30" s="123"/>
      <c r="MT30" s="123"/>
      <c r="MU30" s="123"/>
      <c r="MV30" s="123"/>
      <c r="MW30" s="123"/>
      <c r="MX30" s="123"/>
      <c r="MY30" s="123"/>
      <c r="MZ30" s="123"/>
      <c r="NA30" s="123"/>
      <c r="NB30" s="123"/>
      <c r="NC30" s="123"/>
      <c r="ND30" s="123"/>
      <c r="NE30" s="123"/>
      <c r="NF30" s="123"/>
      <c r="NG30" s="123"/>
      <c r="NH30" s="123"/>
      <c r="NI30" s="123"/>
      <c r="NJ30" s="123"/>
      <c r="NK30" s="123"/>
      <c r="NM30">
        <f t="shared" si="156"/>
        <v>0</v>
      </c>
      <c r="NN30">
        <f t="shared" si="157"/>
        <v>0</v>
      </c>
      <c r="NO30">
        <f t="shared" si="158"/>
        <v>0</v>
      </c>
      <c r="NP30">
        <f t="shared" si="159"/>
        <v>0</v>
      </c>
      <c r="NQ30">
        <f t="shared" si="160"/>
        <v>0</v>
      </c>
      <c r="NR30">
        <f t="shared" si="161"/>
        <v>0</v>
      </c>
      <c r="NS30">
        <f t="shared" si="162"/>
        <v>0</v>
      </c>
      <c r="NT30">
        <f t="shared" si="163"/>
        <v>0</v>
      </c>
      <c r="NU30" s="29">
        <f t="shared" si="164"/>
        <v>0</v>
      </c>
      <c r="NY30" s="29">
        <f t="shared" si="108"/>
        <v>1</v>
      </c>
      <c r="NZ30" s="152">
        <v>8036000</v>
      </c>
      <c r="OE30" s="155">
        <f t="shared" si="109"/>
        <v>0</v>
      </c>
      <c r="OF30" s="155">
        <f t="shared" si="110"/>
        <v>0</v>
      </c>
      <c r="OG30" s="155">
        <f t="shared" si="111"/>
        <v>0</v>
      </c>
      <c r="OH30" s="155">
        <f t="shared" si="165"/>
        <v>0</v>
      </c>
      <c r="OI30" s="155">
        <f t="shared" si="112"/>
        <v>0</v>
      </c>
      <c r="OJ30" s="67">
        <f t="shared" si="166"/>
        <v>0</v>
      </c>
      <c r="OK30" s="67">
        <f t="shared" si="167"/>
        <v>0</v>
      </c>
      <c r="OL30" s="67">
        <f t="shared" si="168"/>
        <v>0</v>
      </c>
      <c r="OM30" s="67">
        <f t="shared" si="169"/>
        <v>0</v>
      </c>
      <c r="OO30" s="155">
        <f t="shared" si="113"/>
        <v>0</v>
      </c>
      <c r="OP30" s="155">
        <f t="shared" si="114"/>
        <v>0</v>
      </c>
      <c r="OQ30" s="155">
        <f t="shared" si="170"/>
        <v>0</v>
      </c>
      <c r="OR30" s="155">
        <f t="shared" si="171"/>
        <v>0</v>
      </c>
      <c r="OS30" s="155">
        <f t="shared" si="172"/>
        <v>0</v>
      </c>
      <c r="OT30" s="67">
        <f t="shared" si="173"/>
        <v>0</v>
      </c>
      <c r="OU30" s="67">
        <f t="shared" si="174"/>
        <v>0</v>
      </c>
      <c r="OV30" s="67">
        <f t="shared" si="175"/>
        <v>0</v>
      </c>
      <c r="OW30" s="67">
        <f t="shared" si="176"/>
        <v>0</v>
      </c>
      <c r="PA30" s="166"/>
      <c r="PB30" s="166"/>
      <c r="PC30" s="166"/>
      <c r="PD30" s="210">
        <f t="shared" si="115"/>
        <v>0</v>
      </c>
      <c r="PE30" s="210"/>
      <c r="PF30" s="210">
        <f t="shared" si="116"/>
        <v>0</v>
      </c>
      <c r="PG30" s="210">
        <f t="shared" si="117"/>
        <v>0</v>
      </c>
      <c r="PH30" s="210">
        <f t="shared" si="117"/>
        <v>0</v>
      </c>
      <c r="PI30" s="210">
        <f t="shared" si="117"/>
        <v>0</v>
      </c>
      <c r="PJ30" s="210">
        <f t="shared" si="117"/>
        <v>0</v>
      </c>
      <c r="PK30" s="210">
        <f t="shared" si="117"/>
        <v>0</v>
      </c>
      <c r="PL30" s="210">
        <f t="shared" si="117"/>
        <v>0</v>
      </c>
      <c r="PO30" s="172">
        <f t="shared" si="177"/>
        <v>0</v>
      </c>
      <c r="PP30" s="172">
        <f t="shared" si="178"/>
        <v>0</v>
      </c>
      <c r="PQ30" s="172">
        <f t="shared" si="179"/>
        <v>0</v>
      </c>
    </row>
    <row r="31" spans="1:433" ht="16" x14ac:dyDescent="0.2">
      <c r="A31" s="19">
        <f t="shared" si="180"/>
        <v>23</v>
      </c>
      <c r="B31" s="138" t="s">
        <v>391</v>
      </c>
      <c r="C31" s="138">
        <v>24</v>
      </c>
      <c r="D31" s="20">
        <v>1</v>
      </c>
      <c r="E31" s="20">
        <v>79</v>
      </c>
      <c r="F31" s="20">
        <v>1</v>
      </c>
      <c r="G31" s="20">
        <f t="shared" si="2"/>
        <v>79</v>
      </c>
      <c r="H31" s="137">
        <f t="shared" si="3"/>
        <v>1</v>
      </c>
      <c r="I31" s="137">
        <f t="shared" si="4"/>
        <v>1</v>
      </c>
      <c r="J31" s="20">
        <v>1</v>
      </c>
      <c r="K31" s="20">
        <f t="shared" si="5"/>
        <v>79</v>
      </c>
      <c r="L31" s="137">
        <f t="shared" si="6"/>
        <v>1</v>
      </c>
      <c r="M31" s="137">
        <f t="shared" si="7"/>
        <v>1</v>
      </c>
      <c r="N31" s="20">
        <v>1</v>
      </c>
      <c r="O31" s="20">
        <f t="shared" si="8"/>
        <v>79</v>
      </c>
      <c r="P31" s="137">
        <f t="shared" si="9"/>
        <v>1</v>
      </c>
      <c r="Q31" s="137">
        <f t="shared" si="10"/>
        <v>1</v>
      </c>
      <c r="R31" s="20">
        <v>1</v>
      </c>
      <c r="S31" s="20">
        <f t="shared" si="11"/>
        <v>79</v>
      </c>
      <c r="T31" s="137">
        <f t="shared" si="12"/>
        <v>1</v>
      </c>
      <c r="U31" s="137">
        <f t="shared" si="13"/>
        <v>1</v>
      </c>
      <c r="V31" s="165">
        <v>1</v>
      </c>
      <c r="W31" s="20">
        <f t="shared" si="14"/>
        <v>79</v>
      </c>
      <c r="X31" s="137">
        <f t="shared" si="15"/>
        <v>1</v>
      </c>
      <c r="Y31" s="137">
        <f t="shared" si="16"/>
        <v>1</v>
      </c>
      <c r="Z31" s="38">
        <f>923864000/1000000000</f>
        <v>0.92386400000000002</v>
      </c>
      <c r="AA31" s="38"/>
      <c r="AB31" s="17">
        <f t="shared" si="118"/>
        <v>0</v>
      </c>
      <c r="AC31" s="18">
        <f t="shared" si="119"/>
        <v>0</v>
      </c>
      <c r="AD31" s="18">
        <f t="shared" si="120"/>
        <v>0</v>
      </c>
      <c r="AE31" s="38"/>
      <c r="AF31" s="20">
        <f t="shared" si="121"/>
        <v>0</v>
      </c>
      <c r="AG31" s="20"/>
      <c r="AH31" s="31"/>
      <c r="AI31" s="20">
        <v>0</v>
      </c>
      <c r="AJ31" s="20">
        <f t="shared" si="181"/>
        <v>0</v>
      </c>
      <c r="AK31" s="20"/>
      <c r="AL31" s="20"/>
      <c r="AM31" s="20">
        <v>0</v>
      </c>
      <c r="AN31" s="139"/>
      <c r="BB31" s="17">
        <f t="shared" si="123"/>
        <v>0</v>
      </c>
      <c r="BE31" s="17">
        <f t="shared" si="19"/>
        <v>0</v>
      </c>
      <c r="BF31" s="17">
        <f t="shared" si="20"/>
        <v>0</v>
      </c>
      <c r="BG31" s="17">
        <f t="shared" si="21"/>
        <v>0</v>
      </c>
      <c r="BH31" s="17">
        <f t="shared" si="22"/>
        <v>0</v>
      </c>
      <c r="BI31" s="17">
        <f t="shared" si="23"/>
        <v>0</v>
      </c>
      <c r="BJ31" s="17">
        <f t="shared" si="24"/>
        <v>0</v>
      </c>
      <c r="BK31" s="17">
        <f t="shared" si="124"/>
        <v>0</v>
      </c>
      <c r="BN31" s="141"/>
      <c r="BO31" s="284"/>
      <c r="BP31" s="139"/>
      <c r="BQ31" s="139"/>
      <c r="BR31" s="139"/>
      <c r="BS31" s="139"/>
      <c r="BT31" s="139"/>
      <c r="BU31" s="139"/>
      <c r="BV31" s="139"/>
      <c r="BW31" s="139"/>
      <c r="BX31" s="139"/>
      <c r="BY31" s="139"/>
      <c r="BZ31" s="139"/>
      <c r="CB31" s="139"/>
      <c r="CD31" s="17">
        <f t="shared" si="125"/>
        <v>0</v>
      </c>
      <c r="CE31" s="17">
        <f t="shared" si="126"/>
        <v>0</v>
      </c>
      <c r="CF31" s="139">
        <f t="shared" si="182"/>
        <v>0</v>
      </c>
      <c r="CG31" s="139">
        <f t="shared" si="183"/>
        <v>0</v>
      </c>
      <c r="CH31" s="139">
        <f t="shared" si="184"/>
        <v>0</v>
      </c>
      <c r="CI31" s="139">
        <f t="shared" si="185"/>
        <v>0</v>
      </c>
      <c r="CJ31" s="139">
        <f t="shared" si="186"/>
        <v>0</v>
      </c>
      <c r="CK31" s="139">
        <f t="shared" si="187"/>
        <v>0</v>
      </c>
      <c r="CL31" s="139">
        <f t="shared" si="188"/>
        <v>0</v>
      </c>
      <c r="CM31" s="139">
        <f t="shared" si="189"/>
        <v>0</v>
      </c>
      <c r="CN31" s="139">
        <f t="shared" si="190"/>
        <v>0</v>
      </c>
      <c r="CO31" s="139">
        <f t="shared" si="191"/>
        <v>0</v>
      </c>
      <c r="CP31" s="139">
        <f t="shared" si="192"/>
        <v>0</v>
      </c>
      <c r="CQ31" s="148">
        <f t="shared" si="27"/>
        <v>0</v>
      </c>
      <c r="DV31" s="139">
        <f t="shared" si="28"/>
        <v>0</v>
      </c>
      <c r="DW31" s="139">
        <f t="shared" si="29"/>
        <v>0</v>
      </c>
      <c r="DX31" s="139">
        <f t="shared" si="30"/>
        <v>0</v>
      </c>
      <c r="DY31" s="139">
        <f t="shared" si="31"/>
        <v>0</v>
      </c>
      <c r="DZ31" s="139">
        <f t="shared" si="32"/>
        <v>0</v>
      </c>
      <c r="EA31" s="139">
        <f t="shared" si="33"/>
        <v>0</v>
      </c>
      <c r="EB31" s="139">
        <f t="shared" si="127"/>
        <v>0</v>
      </c>
      <c r="EG31" s="57">
        <f t="shared" si="128"/>
        <v>0</v>
      </c>
      <c r="EH31" s="57">
        <f t="shared" si="129"/>
        <v>0</v>
      </c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X31" s="80"/>
      <c r="FY31" s="17">
        <f t="shared" si="130"/>
        <v>0</v>
      </c>
      <c r="FZ31" s="17">
        <f t="shared" si="35"/>
        <v>0</v>
      </c>
      <c r="GA31" s="17">
        <f t="shared" si="36"/>
        <v>0</v>
      </c>
      <c r="GB31" s="17">
        <f t="shared" si="37"/>
        <v>0</v>
      </c>
      <c r="GC31" s="17">
        <f t="shared" si="38"/>
        <v>0</v>
      </c>
      <c r="GD31" s="17">
        <f t="shared" si="39"/>
        <v>0</v>
      </c>
      <c r="GE31" s="17">
        <f t="shared" si="40"/>
        <v>0</v>
      </c>
      <c r="GF31" s="67"/>
      <c r="GG31" s="17">
        <v>0</v>
      </c>
      <c r="GH31" s="17">
        <v>0</v>
      </c>
      <c r="GI31" s="67"/>
      <c r="GJ31" s="62">
        <f t="shared" si="131"/>
        <v>0</v>
      </c>
      <c r="GK31" s="62">
        <f t="shared" si="132"/>
        <v>0</v>
      </c>
      <c r="GO31" s="17">
        <f t="shared" si="41"/>
        <v>0</v>
      </c>
      <c r="GP31" s="17">
        <f t="shared" si="42"/>
        <v>0</v>
      </c>
      <c r="GQ31" s="17">
        <f t="shared" si="43"/>
        <v>0</v>
      </c>
      <c r="GR31" s="17">
        <f t="shared" si="44"/>
        <v>0</v>
      </c>
      <c r="GS31" s="17">
        <f t="shared" si="45"/>
        <v>0</v>
      </c>
      <c r="GT31" s="17">
        <f t="shared" si="133"/>
        <v>1</v>
      </c>
      <c r="GU31" s="101">
        <f t="shared" si="134"/>
        <v>43243</v>
      </c>
      <c r="GV31" s="17" t="str">
        <f t="shared" si="135"/>
        <v>SELESAI</v>
      </c>
      <c r="GW31" s="17">
        <f t="shared" si="136"/>
        <v>0</v>
      </c>
      <c r="GX31" s="66" t="str">
        <f t="shared" si="137"/>
        <v>SELESAI</v>
      </c>
      <c r="GY31" s="66">
        <f t="shared" si="138"/>
        <v>0</v>
      </c>
      <c r="GZ31" s="102" t="str">
        <f t="shared" si="139"/>
        <v>SELESAI</v>
      </c>
      <c r="HA31" s="83"/>
      <c r="HB31" s="83"/>
      <c r="HC31" s="17">
        <f t="shared" si="46"/>
        <v>0</v>
      </c>
      <c r="HD31" s="17">
        <f t="shared" si="47"/>
        <v>0</v>
      </c>
      <c r="HE31" s="17">
        <f t="shared" si="140"/>
        <v>0</v>
      </c>
      <c r="HF31" s="17">
        <f t="shared" si="141"/>
        <v>0</v>
      </c>
      <c r="HG31" s="17">
        <f t="shared" si="142"/>
        <v>0</v>
      </c>
      <c r="HH31" s="101" t="str">
        <f t="shared" si="48"/>
        <v>TIDAK KONSINYASI</v>
      </c>
      <c r="HI31" s="101" t="str">
        <f t="shared" si="143"/>
        <v>SELESAI</v>
      </c>
      <c r="HJ31" s="27"/>
      <c r="HK31" s="101">
        <f t="shared" si="49"/>
        <v>0</v>
      </c>
      <c r="HL31" s="83"/>
      <c r="HM31" s="83"/>
      <c r="HN31" s="83"/>
      <c r="HO31" s="83"/>
      <c r="HP31" s="102">
        <f t="shared" si="144"/>
        <v>0</v>
      </c>
      <c r="HQ31" s="66">
        <f t="shared" si="145"/>
        <v>0</v>
      </c>
      <c r="HR31" s="66">
        <f t="shared" si="50"/>
        <v>0</v>
      </c>
      <c r="HS31" s="102">
        <f t="shared" si="146"/>
        <v>0</v>
      </c>
      <c r="HT31" s="66">
        <f t="shared" si="147"/>
        <v>0</v>
      </c>
      <c r="HU31" s="66">
        <f t="shared" si="51"/>
        <v>0</v>
      </c>
      <c r="HV31" s="102">
        <f t="shared" si="148"/>
        <v>0</v>
      </c>
      <c r="HW31" s="66">
        <f t="shared" si="52"/>
        <v>0</v>
      </c>
      <c r="HX31" s="66">
        <f t="shared" si="53"/>
        <v>0</v>
      </c>
      <c r="HY31" s="102">
        <f t="shared" si="54"/>
        <v>0</v>
      </c>
      <c r="HZ31" s="66">
        <f t="shared" si="149"/>
        <v>0</v>
      </c>
      <c r="IA31" s="66">
        <f t="shared" si="55"/>
        <v>0</v>
      </c>
      <c r="IB31" s="102">
        <f t="shared" si="150"/>
        <v>0</v>
      </c>
      <c r="IC31" s="66">
        <f t="shared" si="56"/>
        <v>0</v>
      </c>
      <c r="ID31" s="66">
        <f t="shared" si="57"/>
        <v>0</v>
      </c>
      <c r="IE31" s="102">
        <f t="shared" si="58"/>
        <v>0</v>
      </c>
      <c r="IF31" s="66">
        <f t="shared" si="59"/>
        <v>0</v>
      </c>
      <c r="IG31" s="66">
        <f t="shared" si="60"/>
        <v>0</v>
      </c>
      <c r="IH31" s="102">
        <f t="shared" si="151"/>
        <v>0</v>
      </c>
      <c r="II31" s="66">
        <f t="shared" si="152"/>
        <v>0</v>
      </c>
      <c r="IJ31" s="66">
        <f t="shared" si="61"/>
        <v>0</v>
      </c>
      <c r="IK31" s="102">
        <f t="shared" si="62"/>
        <v>0</v>
      </c>
      <c r="IL31" s="66">
        <f t="shared" si="63"/>
        <v>0</v>
      </c>
      <c r="IM31" s="66">
        <f t="shared" si="64"/>
        <v>0</v>
      </c>
      <c r="IN31" s="83"/>
      <c r="IO31" s="102">
        <f t="shared" si="65"/>
        <v>0</v>
      </c>
      <c r="IP31" s="66">
        <f t="shared" si="66"/>
        <v>0</v>
      </c>
      <c r="IQ31" s="66">
        <f t="shared" si="67"/>
        <v>0</v>
      </c>
      <c r="IR31" s="83"/>
      <c r="IS31" s="102"/>
      <c r="IT31" s="66">
        <f t="shared" si="68"/>
        <v>1</v>
      </c>
      <c r="IU31" s="66">
        <f t="shared" si="69"/>
        <v>79</v>
      </c>
      <c r="IV31" s="83"/>
      <c r="IW31" s="102"/>
      <c r="IX31" s="66">
        <f t="shared" si="70"/>
        <v>0</v>
      </c>
      <c r="IY31" s="66">
        <f t="shared" si="71"/>
        <v>0</v>
      </c>
      <c r="IZ31" s="83"/>
      <c r="JA31" s="102"/>
      <c r="JB31" s="66">
        <f t="shared" si="72"/>
        <v>0</v>
      </c>
      <c r="JC31" s="66">
        <f t="shared" si="73"/>
        <v>0</v>
      </c>
      <c r="JD31" s="83"/>
      <c r="JE31" s="102"/>
      <c r="JF31" s="66">
        <f t="shared" si="153"/>
        <v>1</v>
      </c>
      <c r="JG31" s="66">
        <f t="shared" si="74"/>
        <v>79</v>
      </c>
      <c r="JH31" s="83"/>
      <c r="JI31" s="102"/>
      <c r="JJ31" s="66">
        <f t="shared" si="75"/>
        <v>0</v>
      </c>
      <c r="JK31" s="66">
        <f t="shared" si="76"/>
        <v>0</v>
      </c>
      <c r="JM31" s="102">
        <f t="shared" si="154"/>
        <v>0</v>
      </c>
      <c r="JO31" s="29">
        <f t="shared" si="77"/>
        <v>0</v>
      </c>
      <c r="JP31" s="122">
        <f t="shared" si="78"/>
        <v>0</v>
      </c>
      <c r="JQ31" s="122">
        <f t="shared" si="79"/>
        <v>0</v>
      </c>
      <c r="JR31" s="122">
        <f t="shared" si="80"/>
        <v>0</v>
      </c>
      <c r="JS31" s="122">
        <f t="shared" si="81"/>
        <v>0</v>
      </c>
      <c r="JT31" s="122">
        <f t="shared" si="82"/>
        <v>0</v>
      </c>
      <c r="JU31" s="122">
        <f t="shared" si="83"/>
        <v>0</v>
      </c>
      <c r="JV31" s="122">
        <f t="shared" si="84"/>
        <v>0</v>
      </c>
      <c r="JW31" s="122">
        <f t="shared" si="85"/>
        <v>0</v>
      </c>
      <c r="JX31" s="122">
        <f t="shared" si="86"/>
        <v>0</v>
      </c>
      <c r="JY31" s="122">
        <f t="shared" si="87"/>
        <v>0</v>
      </c>
      <c r="JZ31" s="122">
        <f t="shared" si="88"/>
        <v>0</v>
      </c>
      <c r="KA31" s="122">
        <f t="shared" si="89"/>
        <v>0</v>
      </c>
      <c r="KB31" s="122">
        <f t="shared" si="90"/>
        <v>0</v>
      </c>
      <c r="KD31" s="122">
        <f t="shared" si="155"/>
        <v>0</v>
      </c>
      <c r="KE31" s="122">
        <f t="shared" si="92"/>
        <v>0</v>
      </c>
      <c r="KF31" s="122">
        <f t="shared" si="93"/>
        <v>0</v>
      </c>
      <c r="KG31" s="122">
        <f t="shared" si="94"/>
        <v>0</v>
      </c>
      <c r="KH31" s="122">
        <f t="shared" si="95"/>
        <v>0</v>
      </c>
      <c r="KI31" s="122">
        <f t="shared" si="96"/>
        <v>0</v>
      </c>
      <c r="KJ31" s="122">
        <f t="shared" si="97"/>
        <v>0</v>
      </c>
      <c r="KK31" s="122">
        <f t="shared" si="98"/>
        <v>0</v>
      </c>
      <c r="KL31" s="122">
        <f t="shared" si="99"/>
        <v>0</v>
      </c>
      <c r="KM31" s="122">
        <f t="shared" si="100"/>
        <v>0</v>
      </c>
      <c r="KN31" s="123">
        <f t="shared" si="101"/>
        <v>0</v>
      </c>
      <c r="KO31" s="123">
        <f t="shared" si="102"/>
        <v>0</v>
      </c>
      <c r="KP31" s="123">
        <f t="shared" si="103"/>
        <v>0</v>
      </c>
      <c r="KQ31" s="123">
        <f t="shared" si="104"/>
        <v>0</v>
      </c>
      <c r="KR31" s="123">
        <f t="shared" si="105"/>
        <v>0</v>
      </c>
      <c r="KT31">
        <f t="shared" si="106"/>
        <v>0</v>
      </c>
      <c r="KU31" s="123"/>
      <c r="KV31" s="123"/>
      <c r="KW31" s="123"/>
      <c r="KX31" s="123"/>
      <c r="KY31" s="123"/>
      <c r="KZ31" s="123"/>
      <c r="LA31" s="123"/>
      <c r="LB31" s="123"/>
      <c r="LC31" s="123"/>
      <c r="LD31" s="123"/>
      <c r="LE31" s="123"/>
      <c r="LF31" s="123"/>
      <c r="LG31" s="123"/>
      <c r="LH31" s="123"/>
      <c r="LI31" s="123"/>
      <c r="LJ31" s="123"/>
      <c r="LK31" s="123"/>
      <c r="LL31" s="123"/>
      <c r="LM31" s="123"/>
      <c r="LN31" s="123"/>
      <c r="LO31" s="123"/>
      <c r="LP31" s="123"/>
      <c r="LQ31" s="123"/>
      <c r="LR31" s="123"/>
      <c r="LS31" s="123"/>
      <c r="LT31" s="123"/>
      <c r="LU31" s="123"/>
      <c r="LV31" s="123"/>
      <c r="LW31" s="123"/>
      <c r="LX31" s="123"/>
      <c r="LY31" s="123"/>
      <c r="LZ31" s="123"/>
      <c r="MA31" s="123"/>
      <c r="MB31" s="123"/>
      <c r="MC31" s="123"/>
      <c r="MD31" s="123"/>
      <c r="ME31" s="123"/>
      <c r="MF31" s="123"/>
      <c r="MG31" s="123"/>
      <c r="MH31" s="123"/>
      <c r="MI31" s="123"/>
      <c r="MJ31" s="123"/>
      <c r="MK31" s="123"/>
      <c r="ML31" s="123"/>
      <c r="MM31" s="123"/>
      <c r="MN31" s="123"/>
      <c r="MO31" s="123"/>
      <c r="MP31" s="123"/>
      <c r="MQ31" s="123"/>
      <c r="MR31" s="123"/>
      <c r="MS31" s="123"/>
      <c r="MT31" s="123"/>
      <c r="MU31" s="123"/>
      <c r="MV31" s="123"/>
      <c r="MW31" s="123"/>
      <c r="MX31" s="123"/>
      <c r="MY31" s="123"/>
      <c r="MZ31" s="123"/>
      <c r="NA31" s="123"/>
      <c r="NB31" s="123"/>
      <c r="NC31" s="123"/>
      <c r="ND31" s="123"/>
      <c r="NE31" s="123"/>
      <c r="NF31" s="123"/>
      <c r="NG31" s="123"/>
      <c r="NH31" s="123"/>
      <c r="NI31" s="123"/>
      <c r="NJ31" s="123"/>
      <c r="NK31" s="123"/>
      <c r="NM31">
        <f t="shared" si="156"/>
        <v>0</v>
      </c>
      <c r="NN31">
        <f t="shared" si="157"/>
        <v>0</v>
      </c>
      <c r="NO31">
        <f t="shared" si="158"/>
        <v>0</v>
      </c>
      <c r="NP31">
        <f t="shared" si="159"/>
        <v>0</v>
      </c>
      <c r="NQ31">
        <f t="shared" si="160"/>
        <v>0</v>
      </c>
      <c r="NR31">
        <f t="shared" si="161"/>
        <v>0</v>
      </c>
      <c r="NS31">
        <f t="shared" si="162"/>
        <v>0</v>
      </c>
      <c r="NT31">
        <f t="shared" si="163"/>
        <v>0</v>
      </c>
      <c r="NU31" s="29">
        <f t="shared" si="164"/>
        <v>0</v>
      </c>
      <c r="NY31" s="29">
        <f t="shared" si="108"/>
        <v>1</v>
      </c>
      <c r="NZ31" s="152">
        <v>8036000</v>
      </c>
      <c r="OE31" s="155">
        <f t="shared" si="109"/>
        <v>0</v>
      </c>
      <c r="OF31" s="155">
        <f t="shared" si="110"/>
        <v>0</v>
      </c>
      <c r="OG31" s="155">
        <f t="shared" si="111"/>
        <v>0</v>
      </c>
      <c r="OH31" s="155">
        <f t="shared" si="165"/>
        <v>0</v>
      </c>
      <c r="OI31" s="155">
        <f t="shared" si="112"/>
        <v>0</v>
      </c>
      <c r="OJ31" s="67">
        <f t="shared" si="166"/>
        <v>0</v>
      </c>
      <c r="OK31" s="67">
        <f t="shared" si="167"/>
        <v>0</v>
      </c>
      <c r="OL31" s="67">
        <f t="shared" si="168"/>
        <v>0</v>
      </c>
      <c r="OM31" s="67">
        <f t="shared" si="169"/>
        <v>0</v>
      </c>
      <c r="OO31" s="155">
        <f t="shared" si="113"/>
        <v>0</v>
      </c>
      <c r="OP31" s="155">
        <f t="shared" si="114"/>
        <v>0</v>
      </c>
      <c r="OQ31" s="155">
        <f t="shared" si="170"/>
        <v>0</v>
      </c>
      <c r="OR31" s="155">
        <f t="shared" si="171"/>
        <v>0</v>
      </c>
      <c r="OS31" s="155">
        <f t="shared" si="172"/>
        <v>0</v>
      </c>
      <c r="OT31" s="67">
        <f t="shared" si="173"/>
        <v>0</v>
      </c>
      <c r="OU31" s="67">
        <f t="shared" si="174"/>
        <v>0</v>
      </c>
      <c r="OV31" s="67">
        <f t="shared" si="175"/>
        <v>0</v>
      </c>
      <c r="OW31" s="67">
        <f t="shared" si="176"/>
        <v>0</v>
      </c>
      <c r="PA31" s="166"/>
      <c r="PB31" s="166"/>
      <c r="PC31" s="166"/>
      <c r="PD31" s="210">
        <f t="shared" si="115"/>
        <v>0</v>
      </c>
      <c r="PE31" s="210"/>
      <c r="PF31" s="210">
        <f t="shared" si="116"/>
        <v>0</v>
      </c>
      <c r="PG31" s="210">
        <f t="shared" si="117"/>
        <v>0</v>
      </c>
      <c r="PH31" s="210">
        <f t="shared" si="117"/>
        <v>0</v>
      </c>
      <c r="PI31" s="210">
        <f t="shared" si="117"/>
        <v>0</v>
      </c>
      <c r="PJ31" s="210">
        <f t="shared" si="117"/>
        <v>0</v>
      </c>
      <c r="PK31" s="210">
        <f t="shared" si="117"/>
        <v>0</v>
      </c>
      <c r="PL31" s="210">
        <f t="shared" si="117"/>
        <v>0</v>
      </c>
      <c r="PO31" s="172">
        <f t="shared" si="177"/>
        <v>0</v>
      </c>
      <c r="PP31" s="172">
        <f t="shared" si="178"/>
        <v>0</v>
      </c>
      <c r="PQ31" s="172">
        <f t="shared" si="179"/>
        <v>0</v>
      </c>
    </row>
    <row r="32" spans="1:433" ht="16" x14ac:dyDescent="0.2">
      <c r="A32" s="19">
        <f t="shared" si="180"/>
        <v>24</v>
      </c>
      <c r="B32" s="138" t="s">
        <v>391</v>
      </c>
      <c r="C32" s="138">
        <v>25</v>
      </c>
      <c r="D32" s="20">
        <v>1</v>
      </c>
      <c r="E32" s="20">
        <v>59</v>
      </c>
      <c r="F32" s="20">
        <v>1</v>
      </c>
      <c r="G32" s="20">
        <f t="shared" si="2"/>
        <v>59</v>
      </c>
      <c r="H32" s="137">
        <f t="shared" si="3"/>
        <v>1</v>
      </c>
      <c r="I32" s="137">
        <f t="shared" si="4"/>
        <v>1</v>
      </c>
      <c r="J32" s="20">
        <v>1</v>
      </c>
      <c r="K32" s="20">
        <f t="shared" si="5"/>
        <v>59</v>
      </c>
      <c r="L32" s="137">
        <f t="shared" si="6"/>
        <v>1</v>
      </c>
      <c r="M32" s="137">
        <f t="shared" si="7"/>
        <v>1</v>
      </c>
      <c r="N32" s="20">
        <v>1</v>
      </c>
      <c r="O32" s="20">
        <f t="shared" si="8"/>
        <v>59</v>
      </c>
      <c r="P32" s="137">
        <f t="shared" si="9"/>
        <v>1</v>
      </c>
      <c r="Q32" s="137">
        <f t="shared" si="10"/>
        <v>1</v>
      </c>
      <c r="R32" s="20">
        <v>1</v>
      </c>
      <c r="S32" s="20">
        <f t="shared" si="11"/>
        <v>59</v>
      </c>
      <c r="T32" s="137">
        <f t="shared" si="12"/>
        <v>1</v>
      </c>
      <c r="U32" s="137">
        <f t="shared" si="13"/>
        <v>1</v>
      </c>
      <c r="V32" s="165">
        <v>1</v>
      </c>
      <c r="W32" s="20">
        <f t="shared" si="14"/>
        <v>59</v>
      </c>
      <c r="X32" s="137">
        <f t="shared" si="15"/>
        <v>1</v>
      </c>
      <c r="Y32" s="137">
        <f t="shared" si="16"/>
        <v>1</v>
      </c>
      <c r="Z32" s="38">
        <f>698615000/1000000000</f>
        <v>0.69861499999999999</v>
      </c>
      <c r="AA32" s="38"/>
      <c r="AB32" s="17">
        <f t="shared" si="118"/>
        <v>0</v>
      </c>
      <c r="AC32" s="18">
        <f t="shared" si="119"/>
        <v>0</v>
      </c>
      <c r="AD32" s="18">
        <f t="shared" si="120"/>
        <v>0</v>
      </c>
      <c r="AE32" s="38"/>
      <c r="AF32" s="20">
        <f t="shared" si="121"/>
        <v>0</v>
      </c>
      <c r="AG32" s="20"/>
      <c r="AH32" s="31"/>
      <c r="AI32" s="20">
        <v>0</v>
      </c>
      <c r="AJ32" s="20">
        <f t="shared" si="181"/>
        <v>0</v>
      </c>
      <c r="AK32" s="20"/>
      <c r="AL32" s="20"/>
      <c r="AM32" s="20">
        <v>0</v>
      </c>
      <c r="AN32" s="139"/>
      <c r="BB32" s="17">
        <f t="shared" si="123"/>
        <v>0</v>
      </c>
      <c r="BE32" s="17">
        <f t="shared" si="19"/>
        <v>0</v>
      </c>
      <c r="BF32" s="17">
        <f t="shared" si="20"/>
        <v>0</v>
      </c>
      <c r="BG32" s="17">
        <f t="shared" si="21"/>
        <v>0</v>
      </c>
      <c r="BH32" s="17">
        <f t="shared" si="22"/>
        <v>0</v>
      </c>
      <c r="BI32" s="17">
        <f t="shared" si="23"/>
        <v>0</v>
      </c>
      <c r="BJ32" s="17">
        <f t="shared" si="24"/>
        <v>0</v>
      </c>
      <c r="BK32" s="17">
        <f t="shared" si="124"/>
        <v>0</v>
      </c>
      <c r="BN32" s="142"/>
      <c r="BP32" s="139"/>
      <c r="BQ32" s="139"/>
      <c r="BR32" s="139"/>
      <c r="BS32" s="139"/>
      <c r="BT32" s="139"/>
      <c r="BU32" s="139"/>
      <c r="BV32" s="139"/>
      <c r="BW32" s="139"/>
      <c r="BX32" s="139"/>
      <c r="BY32" s="139"/>
      <c r="BZ32" s="139"/>
      <c r="CB32" s="139"/>
      <c r="CD32" s="17">
        <f t="shared" si="125"/>
        <v>0</v>
      </c>
      <c r="CE32" s="17">
        <f t="shared" si="126"/>
        <v>0</v>
      </c>
      <c r="CF32" s="139">
        <f t="shared" si="182"/>
        <v>0</v>
      </c>
      <c r="CG32" s="139">
        <f t="shared" si="183"/>
        <v>0</v>
      </c>
      <c r="CH32" s="139">
        <f t="shared" si="184"/>
        <v>0</v>
      </c>
      <c r="CI32" s="139">
        <f t="shared" si="185"/>
        <v>0</v>
      </c>
      <c r="CJ32" s="139">
        <f t="shared" si="186"/>
        <v>0</v>
      </c>
      <c r="CK32" s="139">
        <f t="shared" si="187"/>
        <v>0</v>
      </c>
      <c r="CL32" s="139">
        <f t="shared" si="188"/>
        <v>0</v>
      </c>
      <c r="CM32" s="139">
        <f t="shared" si="189"/>
        <v>0</v>
      </c>
      <c r="CN32" s="139">
        <f t="shared" si="190"/>
        <v>0</v>
      </c>
      <c r="CO32" s="139">
        <f t="shared" si="191"/>
        <v>0</v>
      </c>
      <c r="CP32" s="139">
        <f t="shared" si="192"/>
        <v>0</v>
      </c>
      <c r="CQ32" s="148">
        <f t="shared" si="27"/>
        <v>0</v>
      </c>
      <c r="DV32" s="139">
        <f t="shared" si="28"/>
        <v>0</v>
      </c>
      <c r="DW32" s="139">
        <f t="shared" si="29"/>
        <v>0</v>
      </c>
      <c r="DX32" s="139">
        <f t="shared" si="30"/>
        <v>0</v>
      </c>
      <c r="DY32" s="139">
        <f t="shared" si="31"/>
        <v>0</v>
      </c>
      <c r="DZ32" s="139">
        <f t="shared" si="32"/>
        <v>0</v>
      </c>
      <c r="EA32" s="139">
        <f t="shared" si="33"/>
        <v>0</v>
      </c>
      <c r="EB32" s="139">
        <f t="shared" si="127"/>
        <v>0</v>
      </c>
      <c r="EG32" s="57">
        <f t="shared" si="128"/>
        <v>0</v>
      </c>
      <c r="EH32" s="57">
        <f t="shared" si="129"/>
        <v>0</v>
      </c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X32" s="80"/>
      <c r="FY32" s="17">
        <f t="shared" si="130"/>
        <v>0</v>
      </c>
      <c r="FZ32" s="17">
        <f t="shared" si="35"/>
        <v>0</v>
      </c>
      <c r="GA32" s="17">
        <f t="shared" si="36"/>
        <v>0</v>
      </c>
      <c r="GB32" s="17">
        <f t="shared" si="37"/>
        <v>0</v>
      </c>
      <c r="GC32" s="17">
        <f t="shared" si="38"/>
        <v>0</v>
      </c>
      <c r="GD32" s="17">
        <f t="shared" si="39"/>
        <v>0</v>
      </c>
      <c r="GE32" s="17">
        <f t="shared" si="40"/>
        <v>0</v>
      </c>
      <c r="GF32" s="67"/>
      <c r="GG32" s="17">
        <v>0</v>
      </c>
      <c r="GH32" s="17">
        <v>0</v>
      </c>
      <c r="GI32" s="67"/>
      <c r="GJ32" s="62">
        <f t="shared" si="131"/>
        <v>0</v>
      </c>
      <c r="GK32" s="62">
        <f t="shared" si="132"/>
        <v>0</v>
      </c>
      <c r="GO32" s="17">
        <f t="shared" si="41"/>
        <v>0</v>
      </c>
      <c r="GP32" s="17">
        <f t="shared" si="42"/>
        <v>0</v>
      </c>
      <c r="GQ32" s="17">
        <f t="shared" si="43"/>
        <v>0</v>
      </c>
      <c r="GR32" s="17">
        <f t="shared" si="44"/>
        <v>0</v>
      </c>
      <c r="GS32" s="17">
        <f t="shared" si="45"/>
        <v>0</v>
      </c>
      <c r="GT32" s="17">
        <f t="shared" si="133"/>
        <v>1</v>
      </c>
      <c r="GU32" s="101">
        <f t="shared" si="134"/>
        <v>43243</v>
      </c>
      <c r="GV32" s="17" t="str">
        <f t="shared" si="135"/>
        <v>SELESAI</v>
      </c>
      <c r="GW32" s="17">
        <f t="shared" si="136"/>
        <v>0</v>
      </c>
      <c r="GX32" s="66" t="str">
        <f t="shared" si="137"/>
        <v>SELESAI</v>
      </c>
      <c r="GY32" s="66">
        <f t="shared" si="138"/>
        <v>0</v>
      </c>
      <c r="GZ32" s="102" t="str">
        <f t="shared" si="139"/>
        <v>SELESAI</v>
      </c>
      <c r="HA32" s="83"/>
      <c r="HB32" s="83"/>
      <c r="HC32" s="17">
        <f t="shared" si="46"/>
        <v>0</v>
      </c>
      <c r="HD32" s="17">
        <f t="shared" si="47"/>
        <v>0</v>
      </c>
      <c r="HE32" s="17">
        <f t="shared" si="140"/>
        <v>0</v>
      </c>
      <c r="HF32" s="17">
        <f t="shared" si="141"/>
        <v>0</v>
      </c>
      <c r="HG32" s="17">
        <f t="shared" si="142"/>
        <v>0</v>
      </c>
      <c r="HH32" s="101" t="str">
        <f t="shared" si="48"/>
        <v>TIDAK KONSINYASI</v>
      </c>
      <c r="HI32" s="101" t="str">
        <f t="shared" si="143"/>
        <v>SELESAI</v>
      </c>
      <c r="HJ32" s="27"/>
      <c r="HK32" s="101">
        <f t="shared" si="49"/>
        <v>0</v>
      </c>
      <c r="HL32" s="83"/>
      <c r="HM32" s="83"/>
      <c r="HN32" s="83"/>
      <c r="HO32" s="83"/>
      <c r="HP32" s="102">
        <f t="shared" si="144"/>
        <v>0</v>
      </c>
      <c r="HQ32" s="66">
        <f t="shared" si="145"/>
        <v>0</v>
      </c>
      <c r="HR32" s="66">
        <f t="shared" si="50"/>
        <v>0</v>
      </c>
      <c r="HS32" s="102">
        <f t="shared" si="146"/>
        <v>0</v>
      </c>
      <c r="HT32" s="66">
        <f t="shared" si="147"/>
        <v>0</v>
      </c>
      <c r="HU32" s="66">
        <f t="shared" si="51"/>
        <v>0</v>
      </c>
      <c r="HV32" s="102">
        <f t="shared" si="148"/>
        <v>0</v>
      </c>
      <c r="HW32" s="66">
        <f t="shared" si="52"/>
        <v>0</v>
      </c>
      <c r="HX32" s="66">
        <f t="shared" si="53"/>
        <v>0</v>
      </c>
      <c r="HY32" s="102">
        <f t="shared" si="54"/>
        <v>0</v>
      </c>
      <c r="HZ32" s="66">
        <f t="shared" si="149"/>
        <v>0</v>
      </c>
      <c r="IA32" s="66">
        <f t="shared" si="55"/>
        <v>0</v>
      </c>
      <c r="IB32" s="102">
        <f t="shared" si="150"/>
        <v>0</v>
      </c>
      <c r="IC32" s="66">
        <f t="shared" si="56"/>
        <v>0</v>
      </c>
      <c r="ID32" s="66">
        <f t="shared" si="57"/>
        <v>0</v>
      </c>
      <c r="IE32" s="102">
        <f t="shared" si="58"/>
        <v>0</v>
      </c>
      <c r="IF32" s="66">
        <f t="shared" si="59"/>
        <v>0</v>
      </c>
      <c r="IG32" s="66">
        <f t="shared" si="60"/>
        <v>0</v>
      </c>
      <c r="IH32" s="102">
        <f t="shared" si="151"/>
        <v>0</v>
      </c>
      <c r="II32" s="66">
        <f t="shared" si="152"/>
        <v>0</v>
      </c>
      <c r="IJ32" s="66">
        <f t="shared" si="61"/>
        <v>0</v>
      </c>
      <c r="IK32" s="102">
        <f t="shared" si="62"/>
        <v>0</v>
      </c>
      <c r="IL32" s="66">
        <f t="shared" si="63"/>
        <v>0</v>
      </c>
      <c r="IM32" s="66">
        <f t="shared" si="64"/>
        <v>0</v>
      </c>
      <c r="IN32" s="83"/>
      <c r="IO32" s="102">
        <f t="shared" si="65"/>
        <v>0</v>
      </c>
      <c r="IP32" s="66">
        <f t="shared" si="66"/>
        <v>0</v>
      </c>
      <c r="IQ32" s="66">
        <f t="shared" si="67"/>
        <v>0</v>
      </c>
      <c r="IR32" s="83"/>
      <c r="IS32" s="102"/>
      <c r="IT32" s="66">
        <f t="shared" si="68"/>
        <v>1</v>
      </c>
      <c r="IU32" s="66">
        <f t="shared" si="69"/>
        <v>59</v>
      </c>
      <c r="IV32" s="83"/>
      <c r="IW32" s="102"/>
      <c r="IX32" s="66">
        <f t="shared" si="70"/>
        <v>0</v>
      </c>
      <c r="IY32" s="66">
        <f t="shared" si="71"/>
        <v>0</v>
      </c>
      <c r="IZ32" s="83"/>
      <c r="JA32" s="102"/>
      <c r="JB32" s="66">
        <f t="shared" si="72"/>
        <v>0</v>
      </c>
      <c r="JC32" s="66">
        <f t="shared" si="73"/>
        <v>0</v>
      </c>
      <c r="JD32" s="83"/>
      <c r="JE32" s="102"/>
      <c r="JF32" s="66">
        <f t="shared" si="153"/>
        <v>1</v>
      </c>
      <c r="JG32" s="66">
        <f t="shared" si="74"/>
        <v>59</v>
      </c>
      <c r="JH32" s="83"/>
      <c r="JI32" s="102"/>
      <c r="JJ32" s="66">
        <f t="shared" si="75"/>
        <v>0</v>
      </c>
      <c r="JK32" s="66">
        <f t="shared" si="76"/>
        <v>0</v>
      </c>
      <c r="JM32" s="102">
        <f t="shared" si="154"/>
        <v>0</v>
      </c>
      <c r="JO32" s="29">
        <f t="shared" si="77"/>
        <v>0</v>
      </c>
      <c r="JP32" s="122">
        <f t="shared" si="78"/>
        <v>0</v>
      </c>
      <c r="JQ32" s="122">
        <f t="shared" si="79"/>
        <v>0</v>
      </c>
      <c r="JR32" s="122">
        <f t="shared" si="80"/>
        <v>0</v>
      </c>
      <c r="JS32" s="122">
        <f t="shared" si="81"/>
        <v>0</v>
      </c>
      <c r="JT32" s="122">
        <f t="shared" si="82"/>
        <v>0</v>
      </c>
      <c r="JU32" s="122">
        <f t="shared" si="83"/>
        <v>0</v>
      </c>
      <c r="JV32" s="122">
        <f t="shared" si="84"/>
        <v>0</v>
      </c>
      <c r="JW32" s="122">
        <f t="shared" si="85"/>
        <v>0</v>
      </c>
      <c r="JX32" s="122">
        <f t="shared" si="86"/>
        <v>0</v>
      </c>
      <c r="JY32" s="122">
        <f t="shared" si="87"/>
        <v>0</v>
      </c>
      <c r="JZ32" s="122">
        <f t="shared" si="88"/>
        <v>0</v>
      </c>
      <c r="KA32" s="122">
        <f t="shared" si="89"/>
        <v>0</v>
      </c>
      <c r="KB32" s="122">
        <f t="shared" si="90"/>
        <v>0</v>
      </c>
      <c r="KD32" s="122">
        <f t="shared" si="155"/>
        <v>0</v>
      </c>
      <c r="KE32" s="122">
        <f t="shared" si="92"/>
        <v>0</v>
      </c>
      <c r="KF32" s="122">
        <f t="shared" si="93"/>
        <v>0</v>
      </c>
      <c r="KG32" s="122">
        <f t="shared" si="94"/>
        <v>0</v>
      </c>
      <c r="KH32" s="122">
        <f t="shared" si="95"/>
        <v>0</v>
      </c>
      <c r="KI32" s="122">
        <f t="shared" si="96"/>
        <v>0</v>
      </c>
      <c r="KJ32" s="122">
        <f t="shared" si="97"/>
        <v>0</v>
      </c>
      <c r="KK32" s="122">
        <f t="shared" si="98"/>
        <v>0</v>
      </c>
      <c r="KL32" s="122">
        <f t="shared" si="99"/>
        <v>0</v>
      </c>
      <c r="KM32" s="122">
        <f t="shared" si="100"/>
        <v>0</v>
      </c>
      <c r="KN32" s="123">
        <f t="shared" si="101"/>
        <v>0</v>
      </c>
      <c r="KO32" s="123">
        <f t="shared" si="102"/>
        <v>0</v>
      </c>
      <c r="KP32" s="123">
        <f t="shared" si="103"/>
        <v>0</v>
      </c>
      <c r="KQ32" s="123">
        <f t="shared" si="104"/>
        <v>0</v>
      </c>
      <c r="KR32" s="123">
        <f t="shared" si="105"/>
        <v>0</v>
      </c>
      <c r="KT32">
        <f t="shared" si="106"/>
        <v>0</v>
      </c>
      <c r="KU32" s="123"/>
      <c r="KV32" s="123"/>
      <c r="KW32" s="123"/>
      <c r="KX32" s="123"/>
      <c r="KY32" s="123"/>
      <c r="KZ32" s="123"/>
      <c r="LA32" s="123"/>
      <c r="LB32" s="123"/>
      <c r="LC32" s="123"/>
      <c r="LD32" s="123"/>
      <c r="LE32" s="123"/>
      <c r="LF32" s="123"/>
      <c r="LG32" s="123"/>
      <c r="LH32" s="123"/>
      <c r="LI32" s="123"/>
      <c r="LJ32" s="123"/>
      <c r="LK32" s="123"/>
      <c r="LL32" s="123"/>
      <c r="LM32" s="123"/>
      <c r="LN32" s="123"/>
      <c r="LO32" s="123"/>
      <c r="LP32" s="123"/>
      <c r="LQ32" s="123"/>
      <c r="LR32" s="123"/>
      <c r="LS32" s="123"/>
      <c r="LT32" s="123"/>
      <c r="LU32" s="123"/>
      <c r="LV32" s="123"/>
      <c r="LW32" s="123"/>
      <c r="LX32" s="123"/>
      <c r="LY32" s="123"/>
      <c r="LZ32" s="123"/>
      <c r="MA32" s="123"/>
      <c r="MB32" s="123"/>
      <c r="MC32" s="123"/>
      <c r="MD32" s="123"/>
      <c r="ME32" s="123"/>
      <c r="MF32" s="123"/>
      <c r="MG32" s="123"/>
      <c r="MH32" s="123"/>
      <c r="MI32" s="123"/>
      <c r="MJ32" s="123"/>
      <c r="MK32" s="123"/>
      <c r="ML32" s="123"/>
      <c r="MM32" s="123"/>
      <c r="MN32" s="123"/>
      <c r="MO32" s="123"/>
      <c r="MP32" s="123"/>
      <c r="MQ32" s="123"/>
      <c r="MR32" s="123"/>
      <c r="MS32" s="123"/>
      <c r="MT32" s="123"/>
      <c r="MU32" s="123"/>
      <c r="MV32" s="123"/>
      <c r="MW32" s="123"/>
      <c r="MX32" s="123"/>
      <c r="MY32" s="123"/>
      <c r="MZ32" s="123"/>
      <c r="NA32" s="123"/>
      <c r="NB32" s="123"/>
      <c r="NC32" s="123"/>
      <c r="ND32" s="123"/>
      <c r="NE32" s="123"/>
      <c r="NF32" s="123"/>
      <c r="NG32" s="123"/>
      <c r="NH32" s="123"/>
      <c r="NI32" s="123"/>
      <c r="NJ32" s="123"/>
      <c r="NK32" s="123"/>
      <c r="NM32">
        <f t="shared" si="156"/>
        <v>0</v>
      </c>
      <c r="NN32">
        <f t="shared" si="157"/>
        <v>0</v>
      </c>
      <c r="NO32">
        <f t="shared" si="158"/>
        <v>0</v>
      </c>
      <c r="NP32">
        <f t="shared" si="159"/>
        <v>0</v>
      </c>
      <c r="NQ32">
        <f t="shared" si="160"/>
        <v>0</v>
      </c>
      <c r="NR32">
        <f t="shared" si="161"/>
        <v>0</v>
      </c>
      <c r="NS32">
        <f t="shared" si="162"/>
        <v>0</v>
      </c>
      <c r="NT32">
        <f t="shared" si="163"/>
        <v>0</v>
      </c>
      <c r="NU32" s="29">
        <f t="shared" si="164"/>
        <v>0</v>
      </c>
      <c r="NY32" s="29">
        <f t="shared" si="108"/>
        <v>1</v>
      </c>
      <c r="NZ32" s="152">
        <v>8036000</v>
      </c>
      <c r="OE32" s="155">
        <f t="shared" si="109"/>
        <v>0</v>
      </c>
      <c r="OF32" s="155">
        <f t="shared" si="110"/>
        <v>0</v>
      </c>
      <c r="OG32" s="155">
        <f t="shared" si="111"/>
        <v>0</v>
      </c>
      <c r="OH32" s="155">
        <f t="shared" si="165"/>
        <v>0</v>
      </c>
      <c r="OI32" s="155">
        <f t="shared" si="112"/>
        <v>0</v>
      </c>
      <c r="OJ32" s="67">
        <f t="shared" si="166"/>
        <v>0</v>
      </c>
      <c r="OK32" s="67">
        <f t="shared" si="167"/>
        <v>0</v>
      </c>
      <c r="OL32" s="67">
        <f t="shared" si="168"/>
        <v>0</v>
      </c>
      <c r="OM32" s="67">
        <f t="shared" si="169"/>
        <v>0</v>
      </c>
      <c r="OO32" s="155">
        <f t="shared" si="113"/>
        <v>0</v>
      </c>
      <c r="OP32" s="155">
        <f t="shared" si="114"/>
        <v>0</v>
      </c>
      <c r="OQ32" s="155">
        <f t="shared" si="170"/>
        <v>0</v>
      </c>
      <c r="OR32" s="155">
        <f t="shared" si="171"/>
        <v>0</v>
      </c>
      <c r="OS32" s="155">
        <f t="shared" si="172"/>
        <v>0</v>
      </c>
      <c r="OT32" s="67">
        <f t="shared" si="173"/>
        <v>0</v>
      </c>
      <c r="OU32" s="67">
        <f t="shared" si="174"/>
        <v>0</v>
      </c>
      <c r="OV32" s="67">
        <f t="shared" si="175"/>
        <v>0</v>
      </c>
      <c r="OW32" s="67">
        <f t="shared" si="176"/>
        <v>0</v>
      </c>
      <c r="PA32" s="166"/>
      <c r="PB32" s="166"/>
      <c r="PC32" s="166"/>
      <c r="PD32" s="210">
        <f t="shared" si="115"/>
        <v>0</v>
      </c>
      <c r="PE32" s="210"/>
      <c r="PF32" s="210">
        <f t="shared" si="116"/>
        <v>0</v>
      </c>
      <c r="PG32" s="210">
        <f t="shared" si="117"/>
        <v>0</v>
      </c>
      <c r="PH32" s="210">
        <f t="shared" si="117"/>
        <v>0</v>
      </c>
      <c r="PI32" s="210">
        <f t="shared" si="117"/>
        <v>0</v>
      </c>
      <c r="PJ32" s="210">
        <f t="shared" si="117"/>
        <v>0</v>
      </c>
      <c r="PK32" s="210">
        <f t="shared" si="117"/>
        <v>0</v>
      </c>
      <c r="PL32" s="210">
        <f t="shared" si="117"/>
        <v>0</v>
      </c>
      <c r="PO32" s="172">
        <f t="shared" si="177"/>
        <v>0</v>
      </c>
      <c r="PP32" s="172">
        <f t="shared" si="178"/>
        <v>0</v>
      </c>
      <c r="PQ32" s="172">
        <f t="shared" si="179"/>
        <v>0</v>
      </c>
    </row>
    <row r="33" spans="1:433" ht="16" x14ac:dyDescent="0.2">
      <c r="A33" s="19">
        <f t="shared" si="180"/>
        <v>25</v>
      </c>
      <c r="B33" s="138" t="s">
        <v>240</v>
      </c>
      <c r="C33" s="138">
        <v>26</v>
      </c>
      <c r="D33" s="20">
        <v>1</v>
      </c>
      <c r="E33" s="20">
        <v>90</v>
      </c>
      <c r="F33" s="20">
        <v>1</v>
      </c>
      <c r="G33" s="20">
        <f t="shared" si="2"/>
        <v>90</v>
      </c>
      <c r="H33" s="137">
        <f t="shared" si="3"/>
        <v>1</v>
      </c>
      <c r="I33" s="137">
        <f t="shared" si="4"/>
        <v>1</v>
      </c>
      <c r="J33" s="20">
        <v>1</v>
      </c>
      <c r="K33" s="20">
        <f t="shared" si="5"/>
        <v>90</v>
      </c>
      <c r="L33" s="137">
        <f t="shared" si="6"/>
        <v>1</v>
      </c>
      <c r="M33" s="137">
        <f t="shared" si="7"/>
        <v>1</v>
      </c>
      <c r="N33" s="20">
        <v>1</v>
      </c>
      <c r="O33" s="20">
        <f t="shared" si="8"/>
        <v>90</v>
      </c>
      <c r="P33" s="137">
        <f t="shared" si="9"/>
        <v>1</v>
      </c>
      <c r="Q33" s="137">
        <f t="shared" si="10"/>
        <v>1</v>
      </c>
      <c r="R33" s="20">
        <v>1</v>
      </c>
      <c r="S33" s="20">
        <f t="shared" si="11"/>
        <v>90</v>
      </c>
      <c r="T33" s="137">
        <f t="shared" si="12"/>
        <v>1</v>
      </c>
      <c r="U33" s="137">
        <f t="shared" si="13"/>
        <v>1</v>
      </c>
      <c r="V33" s="20">
        <v>1</v>
      </c>
      <c r="W33" s="20">
        <f t="shared" si="14"/>
        <v>90</v>
      </c>
      <c r="X33" s="137">
        <f t="shared" si="15"/>
        <v>1</v>
      </c>
      <c r="Y33" s="137">
        <f t="shared" si="16"/>
        <v>1</v>
      </c>
      <c r="Z33" s="42">
        <f>1135764000/1000000000</f>
        <v>1.135764</v>
      </c>
      <c r="AA33" s="42"/>
      <c r="AB33" s="17">
        <f t="shared" si="118"/>
        <v>0</v>
      </c>
      <c r="AC33" s="18">
        <f t="shared" si="119"/>
        <v>0</v>
      </c>
      <c r="AD33" s="18">
        <f t="shared" si="120"/>
        <v>0</v>
      </c>
      <c r="AE33" s="42"/>
      <c r="AF33" s="20">
        <f t="shared" si="121"/>
        <v>0</v>
      </c>
      <c r="AG33" s="20"/>
      <c r="AH33" s="17"/>
      <c r="AI33" s="20">
        <v>0</v>
      </c>
      <c r="AJ33" s="20">
        <f t="shared" si="181"/>
        <v>0</v>
      </c>
      <c r="AK33" s="20"/>
      <c r="AL33" s="20"/>
      <c r="AM33" s="20">
        <v>0</v>
      </c>
      <c r="AN33" s="139"/>
      <c r="BB33" s="17">
        <f t="shared" si="123"/>
        <v>0</v>
      </c>
      <c r="BE33" s="17">
        <f t="shared" si="19"/>
        <v>0</v>
      </c>
      <c r="BF33" s="17">
        <f t="shared" si="20"/>
        <v>0</v>
      </c>
      <c r="BG33" s="17">
        <f t="shared" si="21"/>
        <v>0</v>
      </c>
      <c r="BH33" s="17">
        <f t="shared" si="22"/>
        <v>0</v>
      </c>
      <c r="BI33" s="17">
        <f t="shared" si="23"/>
        <v>0</v>
      </c>
      <c r="BJ33" s="17">
        <f t="shared" si="24"/>
        <v>0</v>
      </c>
      <c r="BK33" s="17">
        <f t="shared" si="124"/>
        <v>0</v>
      </c>
      <c r="BN33" s="141"/>
      <c r="BO33" s="284"/>
      <c r="BP33" s="139"/>
      <c r="BQ33" s="139"/>
      <c r="BR33" s="139"/>
      <c r="BS33" s="139"/>
      <c r="BT33" s="139"/>
      <c r="BU33" s="139"/>
      <c r="BV33" s="139"/>
      <c r="BW33" s="139"/>
      <c r="BX33" s="139"/>
      <c r="BY33" s="139"/>
      <c r="BZ33" s="139"/>
      <c r="CB33" s="139"/>
      <c r="CD33" s="17">
        <f t="shared" si="125"/>
        <v>0</v>
      </c>
      <c r="CE33" s="17">
        <f t="shared" si="126"/>
        <v>0</v>
      </c>
      <c r="CF33" s="139">
        <f t="shared" si="182"/>
        <v>0</v>
      </c>
      <c r="CG33" s="139">
        <f t="shared" si="183"/>
        <v>0</v>
      </c>
      <c r="CH33" s="139">
        <f t="shared" si="184"/>
        <v>0</v>
      </c>
      <c r="CI33" s="139">
        <f t="shared" si="185"/>
        <v>0</v>
      </c>
      <c r="CJ33" s="139">
        <f t="shared" si="186"/>
        <v>0</v>
      </c>
      <c r="CK33" s="139">
        <f t="shared" si="187"/>
        <v>0</v>
      </c>
      <c r="CL33" s="139">
        <f t="shared" si="188"/>
        <v>0</v>
      </c>
      <c r="CM33" s="139">
        <f t="shared" si="189"/>
        <v>0</v>
      </c>
      <c r="CN33" s="139">
        <f t="shared" si="190"/>
        <v>0</v>
      </c>
      <c r="CO33" s="139">
        <f t="shared" si="191"/>
        <v>0</v>
      </c>
      <c r="CP33" s="139">
        <f t="shared" si="192"/>
        <v>0</v>
      </c>
      <c r="CQ33" s="148">
        <f t="shared" si="27"/>
        <v>0</v>
      </c>
      <c r="DV33" s="139">
        <f t="shared" si="28"/>
        <v>0</v>
      </c>
      <c r="DW33" s="139">
        <f t="shared" si="29"/>
        <v>0</v>
      </c>
      <c r="DX33" s="139">
        <f t="shared" si="30"/>
        <v>0</v>
      </c>
      <c r="DY33" s="139">
        <f t="shared" si="31"/>
        <v>0</v>
      </c>
      <c r="DZ33" s="139">
        <f t="shared" si="32"/>
        <v>0</v>
      </c>
      <c r="EA33" s="139">
        <f t="shared" si="33"/>
        <v>0</v>
      </c>
      <c r="EB33" s="139">
        <f t="shared" si="127"/>
        <v>0</v>
      </c>
      <c r="EG33" s="57">
        <f t="shared" si="128"/>
        <v>0</v>
      </c>
      <c r="EH33" s="57">
        <f t="shared" si="129"/>
        <v>0</v>
      </c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X33" s="80"/>
      <c r="FY33" s="17">
        <f t="shared" si="130"/>
        <v>0</v>
      </c>
      <c r="FZ33" s="17">
        <f t="shared" si="35"/>
        <v>0</v>
      </c>
      <c r="GA33" s="17">
        <f t="shared" si="36"/>
        <v>0</v>
      </c>
      <c r="GB33" s="17">
        <f t="shared" si="37"/>
        <v>0</v>
      </c>
      <c r="GC33" s="17">
        <f t="shared" si="38"/>
        <v>0</v>
      </c>
      <c r="GD33" s="17">
        <f t="shared" si="39"/>
        <v>0</v>
      </c>
      <c r="GE33" s="17">
        <f t="shared" si="40"/>
        <v>0</v>
      </c>
      <c r="GF33" s="67"/>
      <c r="GG33" s="17">
        <v>0</v>
      </c>
      <c r="GH33" s="17">
        <v>0</v>
      </c>
      <c r="GI33" s="67"/>
      <c r="GJ33" s="62">
        <f t="shared" si="131"/>
        <v>0</v>
      </c>
      <c r="GK33" s="62">
        <f t="shared" si="132"/>
        <v>0</v>
      </c>
      <c r="GO33" s="17">
        <f t="shared" si="41"/>
        <v>0</v>
      </c>
      <c r="GP33" s="17">
        <f t="shared" si="42"/>
        <v>0</v>
      </c>
      <c r="GQ33" s="17">
        <f t="shared" si="43"/>
        <v>0</v>
      </c>
      <c r="GR33" s="17">
        <f t="shared" si="44"/>
        <v>0</v>
      </c>
      <c r="GS33" s="17">
        <f t="shared" si="45"/>
        <v>0</v>
      </c>
      <c r="GT33" s="17">
        <f t="shared" si="133"/>
        <v>1</v>
      </c>
      <c r="GU33" s="101">
        <f t="shared" si="134"/>
        <v>43243</v>
      </c>
      <c r="GV33" s="17" t="str">
        <f t="shared" si="135"/>
        <v>SELESAI</v>
      </c>
      <c r="GW33" s="17">
        <f t="shared" si="136"/>
        <v>0</v>
      </c>
      <c r="GX33" s="66" t="str">
        <f t="shared" si="137"/>
        <v>SELESAI</v>
      </c>
      <c r="GY33" s="66">
        <f t="shared" si="138"/>
        <v>0</v>
      </c>
      <c r="GZ33" s="102" t="str">
        <f t="shared" si="139"/>
        <v>SELESAI</v>
      </c>
      <c r="HA33" s="83"/>
      <c r="HB33" s="83"/>
      <c r="HC33" s="17">
        <f t="shared" si="46"/>
        <v>0</v>
      </c>
      <c r="HD33" s="17">
        <f t="shared" si="47"/>
        <v>0</v>
      </c>
      <c r="HE33" s="17">
        <f t="shared" si="140"/>
        <v>0</v>
      </c>
      <c r="HF33" s="17">
        <f t="shared" si="141"/>
        <v>0</v>
      </c>
      <c r="HG33" s="17">
        <f t="shared" si="142"/>
        <v>0</v>
      </c>
      <c r="HH33" s="101" t="str">
        <f t="shared" si="48"/>
        <v>TIDAK KONSINYASI</v>
      </c>
      <c r="HI33" s="101" t="str">
        <f t="shared" si="143"/>
        <v>SELESAI</v>
      </c>
      <c r="HJ33" s="27"/>
      <c r="HK33" s="101">
        <f t="shared" si="49"/>
        <v>0</v>
      </c>
      <c r="HL33" s="83"/>
      <c r="HM33" s="83"/>
      <c r="HN33" s="83"/>
      <c r="HO33" s="83"/>
      <c r="HP33" s="102">
        <f t="shared" si="144"/>
        <v>0</v>
      </c>
      <c r="HQ33" s="66">
        <f t="shared" si="145"/>
        <v>0</v>
      </c>
      <c r="HR33" s="66">
        <f t="shared" si="50"/>
        <v>0</v>
      </c>
      <c r="HS33" s="102">
        <f t="shared" si="146"/>
        <v>0</v>
      </c>
      <c r="HT33" s="66">
        <f t="shared" si="147"/>
        <v>0</v>
      </c>
      <c r="HU33" s="66">
        <f t="shared" si="51"/>
        <v>0</v>
      </c>
      <c r="HV33" s="102">
        <f t="shared" si="148"/>
        <v>0</v>
      </c>
      <c r="HW33" s="66">
        <f t="shared" si="52"/>
        <v>0</v>
      </c>
      <c r="HX33" s="66">
        <f t="shared" si="53"/>
        <v>0</v>
      </c>
      <c r="HY33" s="102">
        <f t="shared" si="54"/>
        <v>0</v>
      </c>
      <c r="HZ33" s="66">
        <f t="shared" si="149"/>
        <v>0</v>
      </c>
      <c r="IA33" s="66">
        <f t="shared" si="55"/>
        <v>0</v>
      </c>
      <c r="IB33" s="102">
        <f t="shared" si="150"/>
        <v>0</v>
      </c>
      <c r="IC33" s="66">
        <f t="shared" si="56"/>
        <v>0</v>
      </c>
      <c r="ID33" s="66">
        <f t="shared" si="57"/>
        <v>0</v>
      </c>
      <c r="IE33" s="102">
        <f t="shared" si="58"/>
        <v>0</v>
      </c>
      <c r="IF33" s="66">
        <f t="shared" si="59"/>
        <v>0</v>
      </c>
      <c r="IG33" s="66">
        <f t="shared" si="60"/>
        <v>0</v>
      </c>
      <c r="IH33" s="102">
        <f t="shared" si="151"/>
        <v>0</v>
      </c>
      <c r="II33" s="66">
        <f t="shared" si="152"/>
        <v>0</v>
      </c>
      <c r="IJ33" s="66">
        <f t="shared" si="61"/>
        <v>0</v>
      </c>
      <c r="IK33" s="102">
        <f t="shared" si="62"/>
        <v>0</v>
      </c>
      <c r="IL33" s="66">
        <f t="shared" si="63"/>
        <v>0</v>
      </c>
      <c r="IM33" s="66">
        <f t="shared" si="64"/>
        <v>0</v>
      </c>
      <c r="IN33" s="83"/>
      <c r="IO33" s="102">
        <f t="shared" si="65"/>
        <v>0</v>
      </c>
      <c r="IP33" s="66">
        <f t="shared" si="66"/>
        <v>0</v>
      </c>
      <c r="IQ33" s="66">
        <f t="shared" si="67"/>
        <v>0</v>
      </c>
      <c r="IR33" s="83"/>
      <c r="IS33" s="102"/>
      <c r="IT33" s="66">
        <f t="shared" si="68"/>
        <v>1</v>
      </c>
      <c r="IU33" s="66">
        <f t="shared" si="69"/>
        <v>90</v>
      </c>
      <c r="IV33" s="83"/>
      <c r="IW33" s="102"/>
      <c r="IX33" s="66">
        <f t="shared" si="70"/>
        <v>0</v>
      </c>
      <c r="IY33" s="66">
        <f t="shared" si="71"/>
        <v>0</v>
      </c>
      <c r="IZ33" s="83"/>
      <c r="JA33" s="102"/>
      <c r="JB33" s="66">
        <f t="shared" si="72"/>
        <v>0</v>
      </c>
      <c r="JC33" s="66">
        <f t="shared" si="73"/>
        <v>0</v>
      </c>
      <c r="JD33" s="83"/>
      <c r="JE33" s="102"/>
      <c r="JF33" s="66">
        <f t="shared" si="153"/>
        <v>1</v>
      </c>
      <c r="JG33" s="66">
        <f t="shared" si="74"/>
        <v>90</v>
      </c>
      <c r="JH33" s="83"/>
      <c r="JI33" s="102"/>
      <c r="JJ33" s="66">
        <f t="shared" si="75"/>
        <v>0</v>
      </c>
      <c r="JK33" s="66">
        <f t="shared" si="76"/>
        <v>0</v>
      </c>
      <c r="JM33" s="102">
        <f t="shared" si="154"/>
        <v>0</v>
      </c>
      <c r="JO33" s="29">
        <f t="shared" si="77"/>
        <v>0</v>
      </c>
      <c r="JP33" s="122">
        <f t="shared" si="78"/>
        <v>0</v>
      </c>
      <c r="JQ33" s="122">
        <f t="shared" si="79"/>
        <v>0</v>
      </c>
      <c r="JR33" s="122">
        <f t="shared" si="80"/>
        <v>0</v>
      </c>
      <c r="JS33" s="122">
        <f t="shared" si="81"/>
        <v>0</v>
      </c>
      <c r="JT33" s="122">
        <f t="shared" si="82"/>
        <v>0</v>
      </c>
      <c r="JU33" s="122">
        <f t="shared" si="83"/>
        <v>0</v>
      </c>
      <c r="JV33" s="122">
        <f t="shared" si="84"/>
        <v>0</v>
      </c>
      <c r="JW33" s="122">
        <f t="shared" si="85"/>
        <v>0</v>
      </c>
      <c r="JX33" s="122">
        <f t="shared" si="86"/>
        <v>0</v>
      </c>
      <c r="JY33" s="122">
        <f t="shared" si="87"/>
        <v>0</v>
      </c>
      <c r="JZ33" s="122">
        <f t="shared" si="88"/>
        <v>0</v>
      </c>
      <c r="KA33" s="122">
        <f t="shared" si="89"/>
        <v>0</v>
      </c>
      <c r="KB33" s="122">
        <f t="shared" si="90"/>
        <v>0</v>
      </c>
      <c r="KD33" s="122">
        <f t="shared" si="155"/>
        <v>0</v>
      </c>
      <c r="KE33" s="122">
        <f t="shared" si="92"/>
        <v>0</v>
      </c>
      <c r="KF33" s="122">
        <f t="shared" si="93"/>
        <v>0</v>
      </c>
      <c r="KG33" s="122">
        <f t="shared" si="94"/>
        <v>0</v>
      </c>
      <c r="KH33" s="122">
        <f t="shared" si="95"/>
        <v>0</v>
      </c>
      <c r="KI33" s="122">
        <f t="shared" si="96"/>
        <v>0</v>
      </c>
      <c r="KJ33" s="122">
        <f t="shared" si="97"/>
        <v>0</v>
      </c>
      <c r="KK33" s="122">
        <f t="shared" si="98"/>
        <v>0</v>
      </c>
      <c r="KL33" s="122">
        <f t="shared" si="99"/>
        <v>0</v>
      </c>
      <c r="KM33" s="122">
        <f t="shared" si="100"/>
        <v>0</v>
      </c>
      <c r="KN33" s="123">
        <f t="shared" si="101"/>
        <v>0</v>
      </c>
      <c r="KO33" s="123">
        <f t="shared" si="102"/>
        <v>0</v>
      </c>
      <c r="KP33" s="123">
        <f t="shared" si="103"/>
        <v>0</v>
      </c>
      <c r="KQ33" s="123">
        <f t="shared" si="104"/>
        <v>0</v>
      </c>
      <c r="KR33" s="123">
        <f t="shared" si="105"/>
        <v>0</v>
      </c>
      <c r="KT33">
        <f t="shared" si="106"/>
        <v>0</v>
      </c>
      <c r="KU33" s="123"/>
      <c r="KV33" s="123"/>
      <c r="KW33" s="123"/>
      <c r="KX33" s="123"/>
      <c r="KY33" s="123"/>
      <c r="KZ33" s="123"/>
      <c r="LA33" s="123"/>
      <c r="LB33" s="123"/>
      <c r="LC33" s="123"/>
      <c r="LD33" s="123"/>
      <c r="LE33" s="123"/>
      <c r="LF33" s="123"/>
      <c r="LG33" s="123"/>
      <c r="LH33" s="123"/>
      <c r="LI33" s="123"/>
      <c r="LJ33" s="123"/>
      <c r="LK33" s="123"/>
      <c r="LL33" s="123"/>
      <c r="LM33" s="123"/>
      <c r="LN33" s="123"/>
      <c r="LO33" s="123"/>
      <c r="LP33" s="123"/>
      <c r="LQ33" s="123"/>
      <c r="LR33" s="123"/>
      <c r="LS33" s="123"/>
      <c r="LT33" s="123"/>
      <c r="LU33" s="123"/>
      <c r="LV33" s="123"/>
      <c r="LW33" s="123"/>
      <c r="LX33" s="123"/>
      <c r="LY33" s="123"/>
      <c r="LZ33" s="123"/>
      <c r="MA33" s="123"/>
      <c r="MB33" s="123"/>
      <c r="MC33" s="123"/>
      <c r="MD33" s="123"/>
      <c r="ME33" s="123"/>
      <c r="MF33" s="123"/>
      <c r="MG33" s="123"/>
      <c r="MH33" s="123"/>
      <c r="MI33" s="123"/>
      <c r="MJ33" s="123"/>
      <c r="MK33" s="123"/>
      <c r="ML33" s="123"/>
      <c r="MM33" s="123"/>
      <c r="MN33" s="123"/>
      <c r="MO33" s="123"/>
      <c r="MP33" s="123"/>
      <c r="MQ33" s="123"/>
      <c r="MR33" s="123"/>
      <c r="MS33" s="123"/>
      <c r="MT33" s="123"/>
      <c r="MU33" s="123"/>
      <c r="MV33" s="123"/>
      <c r="MW33" s="123"/>
      <c r="MX33" s="123"/>
      <c r="MY33" s="123"/>
      <c r="MZ33" s="123"/>
      <c r="NA33" s="123"/>
      <c r="NB33" s="123"/>
      <c r="NC33" s="123"/>
      <c r="ND33" s="123"/>
      <c r="NE33" s="123"/>
      <c r="NF33" s="123"/>
      <c r="NG33" s="123"/>
      <c r="NH33" s="123"/>
      <c r="NI33" s="123"/>
      <c r="NJ33" s="123"/>
      <c r="NK33" s="123"/>
      <c r="NM33">
        <f t="shared" si="156"/>
        <v>0</v>
      </c>
      <c r="NN33">
        <f t="shared" si="157"/>
        <v>0</v>
      </c>
      <c r="NO33">
        <f t="shared" si="158"/>
        <v>0</v>
      </c>
      <c r="NP33">
        <f t="shared" si="159"/>
        <v>0</v>
      </c>
      <c r="NQ33">
        <f t="shared" si="160"/>
        <v>0</v>
      </c>
      <c r="NR33">
        <f t="shared" si="161"/>
        <v>0</v>
      </c>
      <c r="NS33">
        <f t="shared" si="162"/>
        <v>0</v>
      </c>
      <c r="NT33">
        <f t="shared" si="163"/>
        <v>0</v>
      </c>
      <c r="NU33" s="29">
        <f t="shared" si="164"/>
        <v>0</v>
      </c>
      <c r="NY33" s="29">
        <f t="shared" si="108"/>
        <v>1</v>
      </c>
      <c r="NZ33" s="152">
        <v>8036000</v>
      </c>
      <c r="OE33" s="155">
        <f t="shared" si="109"/>
        <v>0</v>
      </c>
      <c r="OF33" s="155">
        <f t="shared" si="110"/>
        <v>0</v>
      </c>
      <c r="OG33" s="155">
        <f t="shared" si="111"/>
        <v>0</v>
      </c>
      <c r="OH33" s="155">
        <f t="shared" si="165"/>
        <v>0</v>
      </c>
      <c r="OI33" s="155">
        <f t="shared" si="112"/>
        <v>0</v>
      </c>
      <c r="OJ33" s="67">
        <f t="shared" si="166"/>
        <v>0</v>
      </c>
      <c r="OK33" s="67">
        <f t="shared" si="167"/>
        <v>0</v>
      </c>
      <c r="OL33" s="67">
        <f t="shared" si="168"/>
        <v>0</v>
      </c>
      <c r="OM33" s="67">
        <f t="shared" si="169"/>
        <v>0</v>
      </c>
      <c r="OO33" s="155">
        <f t="shared" si="113"/>
        <v>0</v>
      </c>
      <c r="OP33" s="155">
        <f t="shared" si="114"/>
        <v>0</v>
      </c>
      <c r="OQ33" s="155">
        <f t="shared" si="170"/>
        <v>0</v>
      </c>
      <c r="OR33" s="155">
        <f t="shared" si="171"/>
        <v>0</v>
      </c>
      <c r="OS33" s="155">
        <f t="shared" si="172"/>
        <v>0</v>
      </c>
      <c r="OT33" s="67">
        <f t="shared" si="173"/>
        <v>0</v>
      </c>
      <c r="OU33" s="67">
        <f t="shared" si="174"/>
        <v>0</v>
      </c>
      <c r="OV33" s="67">
        <f t="shared" si="175"/>
        <v>0</v>
      </c>
      <c r="OW33" s="67">
        <f t="shared" si="176"/>
        <v>0</v>
      </c>
      <c r="PA33" s="166"/>
      <c r="PB33" s="166"/>
      <c r="PC33" s="166"/>
      <c r="PD33" s="210">
        <f t="shared" si="115"/>
        <v>0</v>
      </c>
      <c r="PE33" s="210"/>
      <c r="PF33" s="210">
        <f t="shared" si="116"/>
        <v>0</v>
      </c>
      <c r="PG33" s="210">
        <f t="shared" si="117"/>
        <v>0</v>
      </c>
      <c r="PH33" s="210">
        <f t="shared" si="117"/>
        <v>0</v>
      </c>
      <c r="PI33" s="210">
        <f t="shared" si="117"/>
        <v>0</v>
      </c>
      <c r="PJ33" s="210">
        <f t="shared" si="117"/>
        <v>0</v>
      </c>
      <c r="PK33" s="210">
        <f t="shared" si="117"/>
        <v>0</v>
      </c>
      <c r="PL33" s="210">
        <f t="shared" si="117"/>
        <v>0</v>
      </c>
      <c r="PO33" s="172">
        <f t="shared" si="177"/>
        <v>0</v>
      </c>
      <c r="PP33" s="172">
        <f t="shared" si="178"/>
        <v>0</v>
      </c>
      <c r="PQ33" s="172">
        <f t="shared" si="179"/>
        <v>0</v>
      </c>
    </row>
    <row r="34" spans="1:433" ht="16" x14ac:dyDescent="0.2">
      <c r="A34" s="19">
        <f t="shared" si="180"/>
        <v>26</v>
      </c>
      <c r="B34" s="138" t="s">
        <v>241</v>
      </c>
      <c r="C34" s="138">
        <v>27</v>
      </c>
      <c r="D34" s="20">
        <v>1</v>
      </c>
      <c r="E34" s="20">
        <v>218</v>
      </c>
      <c r="F34" s="20">
        <v>1</v>
      </c>
      <c r="G34" s="20">
        <f t="shared" si="2"/>
        <v>218</v>
      </c>
      <c r="H34" s="137">
        <f t="shared" si="3"/>
        <v>1</v>
      </c>
      <c r="I34" s="137">
        <f t="shared" si="4"/>
        <v>1</v>
      </c>
      <c r="J34" s="20">
        <v>1</v>
      </c>
      <c r="K34" s="20">
        <f t="shared" si="5"/>
        <v>218</v>
      </c>
      <c r="L34" s="137">
        <f t="shared" si="6"/>
        <v>1</v>
      </c>
      <c r="M34" s="137">
        <f t="shared" si="7"/>
        <v>1</v>
      </c>
      <c r="N34" s="20">
        <v>1</v>
      </c>
      <c r="O34" s="20">
        <f t="shared" si="8"/>
        <v>218</v>
      </c>
      <c r="P34" s="137">
        <f t="shared" si="9"/>
        <v>1</v>
      </c>
      <c r="Q34" s="137">
        <f t="shared" si="10"/>
        <v>1</v>
      </c>
      <c r="R34" s="20">
        <v>1</v>
      </c>
      <c r="S34" s="20">
        <f t="shared" si="11"/>
        <v>218</v>
      </c>
      <c r="T34" s="137">
        <f t="shared" si="12"/>
        <v>1</v>
      </c>
      <c r="U34" s="137">
        <f t="shared" si="13"/>
        <v>1</v>
      </c>
      <c r="V34" s="20">
        <v>1</v>
      </c>
      <c r="W34" s="20">
        <f t="shared" si="14"/>
        <v>218</v>
      </c>
      <c r="X34" s="137">
        <f t="shared" si="15"/>
        <v>1</v>
      </c>
      <c r="Y34" s="137">
        <f t="shared" si="16"/>
        <v>1</v>
      </c>
      <c r="Z34" s="42">
        <f>3450448000/1000000000</f>
        <v>3.4504480000000002</v>
      </c>
      <c r="AA34" s="42"/>
      <c r="AB34" s="17">
        <f t="shared" si="118"/>
        <v>0</v>
      </c>
      <c r="AC34" s="18">
        <f t="shared" si="119"/>
        <v>0</v>
      </c>
      <c r="AD34" s="18">
        <f t="shared" si="120"/>
        <v>0</v>
      </c>
      <c r="AE34" s="42"/>
      <c r="AF34" s="20">
        <f t="shared" si="121"/>
        <v>0</v>
      </c>
      <c r="AG34" s="20"/>
      <c r="AH34" s="17"/>
      <c r="AI34" s="20">
        <v>0</v>
      </c>
      <c r="AJ34" s="20">
        <f t="shared" si="181"/>
        <v>0</v>
      </c>
      <c r="AK34" s="20"/>
      <c r="AL34" s="20"/>
      <c r="AM34" s="20">
        <v>0</v>
      </c>
      <c r="AN34" s="139"/>
      <c r="BB34" s="17">
        <f t="shared" si="123"/>
        <v>0</v>
      </c>
      <c r="BE34" s="17">
        <f t="shared" si="19"/>
        <v>0</v>
      </c>
      <c r="BF34" s="17">
        <f t="shared" si="20"/>
        <v>0</v>
      </c>
      <c r="BG34" s="17">
        <f t="shared" si="21"/>
        <v>0</v>
      </c>
      <c r="BH34" s="17">
        <f t="shared" si="22"/>
        <v>0</v>
      </c>
      <c r="BI34" s="17">
        <f t="shared" si="23"/>
        <v>0</v>
      </c>
      <c r="BJ34" s="17">
        <f t="shared" si="24"/>
        <v>0</v>
      </c>
      <c r="BK34" s="17">
        <f t="shared" si="124"/>
        <v>0</v>
      </c>
      <c r="BN34" s="141"/>
      <c r="BO34" s="284"/>
      <c r="BP34" s="139"/>
      <c r="BQ34" s="139"/>
      <c r="BR34" s="139"/>
      <c r="BS34" s="139"/>
      <c r="BT34" s="139"/>
      <c r="BU34" s="139"/>
      <c r="BV34" s="139"/>
      <c r="BW34" s="139"/>
      <c r="BX34" s="139"/>
      <c r="BY34" s="139"/>
      <c r="BZ34" s="139"/>
      <c r="CB34" s="139"/>
      <c r="CD34" s="17">
        <f t="shared" si="125"/>
        <v>0</v>
      </c>
      <c r="CE34" s="17">
        <f t="shared" si="126"/>
        <v>0</v>
      </c>
      <c r="CF34" s="139">
        <f t="shared" si="182"/>
        <v>0</v>
      </c>
      <c r="CG34" s="139">
        <f t="shared" si="183"/>
        <v>0</v>
      </c>
      <c r="CH34" s="139">
        <f t="shared" si="184"/>
        <v>0</v>
      </c>
      <c r="CI34" s="139">
        <f t="shared" si="185"/>
        <v>0</v>
      </c>
      <c r="CJ34" s="139">
        <f t="shared" si="186"/>
        <v>0</v>
      </c>
      <c r="CK34" s="139">
        <f t="shared" si="187"/>
        <v>0</v>
      </c>
      <c r="CL34" s="139">
        <f t="shared" si="188"/>
        <v>0</v>
      </c>
      <c r="CM34" s="139">
        <f t="shared" si="189"/>
        <v>0</v>
      </c>
      <c r="CN34" s="139">
        <f t="shared" si="190"/>
        <v>0</v>
      </c>
      <c r="CO34" s="139">
        <f t="shared" si="191"/>
        <v>0</v>
      </c>
      <c r="CP34" s="139">
        <f t="shared" si="192"/>
        <v>0</v>
      </c>
      <c r="CQ34" s="148">
        <f t="shared" si="27"/>
        <v>0</v>
      </c>
      <c r="DV34" s="139">
        <f t="shared" si="28"/>
        <v>0</v>
      </c>
      <c r="DW34" s="139">
        <f t="shared" si="29"/>
        <v>0</v>
      </c>
      <c r="DX34" s="139">
        <f t="shared" si="30"/>
        <v>0</v>
      </c>
      <c r="DY34" s="139">
        <f t="shared" si="31"/>
        <v>0</v>
      </c>
      <c r="DZ34" s="139">
        <f t="shared" si="32"/>
        <v>0</v>
      </c>
      <c r="EA34" s="139">
        <f t="shared" si="33"/>
        <v>0</v>
      </c>
      <c r="EB34" s="139">
        <f t="shared" si="127"/>
        <v>0</v>
      </c>
      <c r="EG34" s="57">
        <f t="shared" si="128"/>
        <v>0</v>
      </c>
      <c r="EH34" s="57">
        <f t="shared" si="129"/>
        <v>0</v>
      </c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X34" s="80"/>
      <c r="FY34" s="17">
        <f t="shared" si="130"/>
        <v>0</v>
      </c>
      <c r="FZ34" s="17">
        <f t="shared" si="35"/>
        <v>0</v>
      </c>
      <c r="GA34" s="17">
        <f t="shared" si="36"/>
        <v>0</v>
      </c>
      <c r="GB34" s="17">
        <f t="shared" si="37"/>
        <v>0</v>
      </c>
      <c r="GC34" s="17">
        <f t="shared" si="38"/>
        <v>0</v>
      </c>
      <c r="GD34" s="17">
        <f t="shared" si="39"/>
        <v>0</v>
      </c>
      <c r="GE34" s="17">
        <f t="shared" si="40"/>
        <v>0</v>
      </c>
      <c r="GF34" s="67"/>
      <c r="GG34" s="17">
        <v>0</v>
      </c>
      <c r="GH34" s="17">
        <v>0</v>
      </c>
      <c r="GI34" s="67"/>
      <c r="GJ34" s="62">
        <f t="shared" si="131"/>
        <v>0</v>
      </c>
      <c r="GK34" s="62">
        <f t="shared" si="132"/>
        <v>0</v>
      </c>
      <c r="GO34" s="17">
        <f t="shared" si="41"/>
        <v>0</v>
      </c>
      <c r="GP34" s="17">
        <f t="shared" si="42"/>
        <v>0</v>
      </c>
      <c r="GQ34" s="17">
        <f t="shared" si="43"/>
        <v>0</v>
      </c>
      <c r="GR34" s="17">
        <f t="shared" si="44"/>
        <v>0</v>
      </c>
      <c r="GS34" s="17">
        <f t="shared" si="45"/>
        <v>0</v>
      </c>
      <c r="GT34" s="17">
        <f t="shared" si="133"/>
        <v>1</v>
      </c>
      <c r="GU34" s="101">
        <f t="shared" si="134"/>
        <v>43243</v>
      </c>
      <c r="GV34" s="17" t="str">
        <f t="shared" si="135"/>
        <v>SELESAI</v>
      </c>
      <c r="GW34" s="17">
        <f t="shared" si="136"/>
        <v>0</v>
      </c>
      <c r="GX34" s="66" t="str">
        <f t="shared" si="137"/>
        <v>SELESAI</v>
      </c>
      <c r="GY34" s="66">
        <f t="shared" si="138"/>
        <v>0</v>
      </c>
      <c r="GZ34" s="102" t="str">
        <f t="shared" si="139"/>
        <v>SELESAI</v>
      </c>
      <c r="HA34" s="83"/>
      <c r="HB34" s="83"/>
      <c r="HC34" s="17">
        <f t="shared" si="46"/>
        <v>0</v>
      </c>
      <c r="HD34" s="17">
        <f t="shared" si="47"/>
        <v>0</v>
      </c>
      <c r="HE34" s="17">
        <f t="shared" si="140"/>
        <v>0</v>
      </c>
      <c r="HF34" s="17">
        <f t="shared" si="141"/>
        <v>0</v>
      </c>
      <c r="HG34" s="17">
        <f t="shared" si="142"/>
        <v>0</v>
      </c>
      <c r="HH34" s="101" t="str">
        <f t="shared" si="48"/>
        <v>TIDAK KONSINYASI</v>
      </c>
      <c r="HI34" s="101" t="str">
        <f t="shared" si="143"/>
        <v>SELESAI</v>
      </c>
      <c r="HJ34" s="27"/>
      <c r="HK34" s="101">
        <f t="shared" si="49"/>
        <v>0</v>
      </c>
      <c r="HL34" s="83"/>
      <c r="HM34" s="83"/>
      <c r="HN34" s="83"/>
      <c r="HO34" s="83"/>
      <c r="HP34" s="102">
        <f t="shared" si="144"/>
        <v>0</v>
      </c>
      <c r="HQ34" s="66">
        <f t="shared" si="145"/>
        <v>0</v>
      </c>
      <c r="HR34" s="66">
        <f t="shared" si="50"/>
        <v>0</v>
      </c>
      <c r="HS34" s="102">
        <f t="shared" si="146"/>
        <v>0</v>
      </c>
      <c r="HT34" s="66">
        <f t="shared" si="147"/>
        <v>0</v>
      </c>
      <c r="HU34" s="66">
        <f t="shared" si="51"/>
        <v>0</v>
      </c>
      <c r="HV34" s="102">
        <f t="shared" si="148"/>
        <v>0</v>
      </c>
      <c r="HW34" s="66">
        <f t="shared" si="52"/>
        <v>0</v>
      </c>
      <c r="HX34" s="66">
        <f t="shared" si="53"/>
        <v>0</v>
      </c>
      <c r="HY34" s="102">
        <f t="shared" si="54"/>
        <v>0</v>
      </c>
      <c r="HZ34" s="66">
        <f t="shared" si="149"/>
        <v>0</v>
      </c>
      <c r="IA34" s="66">
        <f t="shared" si="55"/>
        <v>0</v>
      </c>
      <c r="IB34" s="102">
        <f t="shared" si="150"/>
        <v>0</v>
      </c>
      <c r="IC34" s="66">
        <f t="shared" si="56"/>
        <v>0</v>
      </c>
      <c r="ID34" s="66">
        <f t="shared" si="57"/>
        <v>0</v>
      </c>
      <c r="IE34" s="102">
        <f t="shared" si="58"/>
        <v>0</v>
      </c>
      <c r="IF34" s="66">
        <f t="shared" si="59"/>
        <v>0</v>
      </c>
      <c r="IG34" s="66">
        <f t="shared" si="60"/>
        <v>0</v>
      </c>
      <c r="IH34" s="102">
        <f t="shared" si="151"/>
        <v>0</v>
      </c>
      <c r="II34" s="66">
        <f t="shared" si="152"/>
        <v>0</v>
      </c>
      <c r="IJ34" s="66">
        <f t="shared" si="61"/>
        <v>0</v>
      </c>
      <c r="IK34" s="102">
        <f t="shared" si="62"/>
        <v>0</v>
      </c>
      <c r="IL34" s="66">
        <f t="shared" si="63"/>
        <v>0</v>
      </c>
      <c r="IM34" s="66">
        <f t="shared" si="64"/>
        <v>0</v>
      </c>
      <c r="IN34" s="83"/>
      <c r="IO34" s="102">
        <f t="shared" si="65"/>
        <v>0</v>
      </c>
      <c r="IP34" s="66">
        <f t="shared" si="66"/>
        <v>0</v>
      </c>
      <c r="IQ34" s="66">
        <f t="shared" si="67"/>
        <v>0</v>
      </c>
      <c r="IR34" s="83"/>
      <c r="IS34" s="102"/>
      <c r="IT34" s="66">
        <f t="shared" si="68"/>
        <v>1</v>
      </c>
      <c r="IU34" s="66">
        <f t="shared" si="69"/>
        <v>218</v>
      </c>
      <c r="IV34" s="83"/>
      <c r="IW34" s="102"/>
      <c r="IX34" s="66">
        <f t="shared" si="70"/>
        <v>0</v>
      </c>
      <c r="IY34" s="66">
        <f t="shared" si="71"/>
        <v>0</v>
      </c>
      <c r="IZ34" s="83"/>
      <c r="JA34" s="102"/>
      <c r="JB34" s="66">
        <f t="shared" si="72"/>
        <v>0</v>
      </c>
      <c r="JC34" s="66">
        <f t="shared" si="73"/>
        <v>0</v>
      </c>
      <c r="JD34" s="83"/>
      <c r="JE34" s="102"/>
      <c r="JF34" s="66">
        <f t="shared" si="153"/>
        <v>1</v>
      </c>
      <c r="JG34" s="66">
        <f t="shared" si="74"/>
        <v>218</v>
      </c>
      <c r="JH34" s="83"/>
      <c r="JI34" s="102"/>
      <c r="JJ34" s="66">
        <f t="shared" si="75"/>
        <v>0</v>
      </c>
      <c r="JK34" s="66">
        <f t="shared" si="76"/>
        <v>0</v>
      </c>
      <c r="JM34" s="102">
        <f t="shared" si="154"/>
        <v>0</v>
      </c>
      <c r="JO34" s="29">
        <f t="shared" si="77"/>
        <v>0</v>
      </c>
      <c r="JP34" s="122">
        <f t="shared" si="78"/>
        <v>0</v>
      </c>
      <c r="JQ34" s="122">
        <f t="shared" si="79"/>
        <v>0</v>
      </c>
      <c r="JR34" s="122">
        <f t="shared" si="80"/>
        <v>0</v>
      </c>
      <c r="JS34" s="122">
        <f t="shared" si="81"/>
        <v>0</v>
      </c>
      <c r="JT34" s="122">
        <f t="shared" si="82"/>
        <v>0</v>
      </c>
      <c r="JU34" s="122">
        <f t="shared" si="83"/>
        <v>0</v>
      </c>
      <c r="JV34" s="122">
        <f t="shared" si="84"/>
        <v>0</v>
      </c>
      <c r="JW34" s="122">
        <f t="shared" si="85"/>
        <v>0</v>
      </c>
      <c r="JX34" s="122">
        <f t="shared" si="86"/>
        <v>0</v>
      </c>
      <c r="JY34" s="122">
        <f t="shared" si="87"/>
        <v>0</v>
      </c>
      <c r="JZ34" s="122">
        <f t="shared" si="88"/>
        <v>0</v>
      </c>
      <c r="KA34" s="122">
        <f t="shared" si="89"/>
        <v>0</v>
      </c>
      <c r="KB34" s="122">
        <f t="shared" si="90"/>
        <v>0</v>
      </c>
      <c r="KD34" s="122">
        <f t="shared" si="155"/>
        <v>0</v>
      </c>
      <c r="KE34" s="122">
        <f t="shared" si="92"/>
        <v>0</v>
      </c>
      <c r="KF34" s="122">
        <f t="shared" si="93"/>
        <v>0</v>
      </c>
      <c r="KG34" s="122">
        <f t="shared" si="94"/>
        <v>0</v>
      </c>
      <c r="KH34" s="122">
        <f t="shared" si="95"/>
        <v>0</v>
      </c>
      <c r="KI34" s="122">
        <f t="shared" si="96"/>
        <v>0</v>
      </c>
      <c r="KJ34" s="122">
        <f t="shared" si="97"/>
        <v>0</v>
      </c>
      <c r="KK34" s="122">
        <f t="shared" si="98"/>
        <v>0</v>
      </c>
      <c r="KL34" s="122">
        <f t="shared" si="99"/>
        <v>0</v>
      </c>
      <c r="KM34" s="122">
        <f t="shared" si="100"/>
        <v>0</v>
      </c>
      <c r="KN34" s="123">
        <f t="shared" si="101"/>
        <v>0</v>
      </c>
      <c r="KO34" s="123">
        <f t="shared" si="102"/>
        <v>0</v>
      </c>
      <c r="KP34" s="123">
        <f t="shared" si="103"/>
        <v>0</v>
      </c>
      <c r="KQ34" s="123">
        <f t="shared" si="104"/>
        <v>0</v>
      </c>
      <c r="KR34" s="123">
        <f t="shared" si="105"/>
        <v>0</v>
      </c>
      <c r="KT34">
        <f t="shared" si="106"/>
        <v>0</v>
      </c>
      <c r="KU34" s="123"/>
      <c r="KV34" s="123"/>
      <c r="KW34" s="123"/>
      <c r="KX34" s="123"/>
      <c r="KY34" s="123"/>
      <c r="KZ34" s="123"/>
      <c r="LA34" s="123"/>
      <c r="LB34" s="123"/>
      <c r="LC34" s="123"/>
      <c r="LD34" s="123"/>
      <c r="LE34" s="123"/>
      <c r="LF34" s="123"/>
      <c r="LG34" s="123"/>
      <c r="LH34" s="123"/>
      <c r="LI34" s="123"/>
      <c r="LJ34" s="123"/>
      <c r="LK34" s="123"/>
      <c r="LL34" s="123"/>
      <c r="LM34" s="123"/>
      <c r="LN34" s="123"/>
      <c r="LO34" s="123"/>
      <c r="LP34" s="123"/>
      <c r="LQ34" s="123"/>
      <c r="LR34" s="123"/>
      <c r="LS34" s="123"/>
      <c r="LT34" s="123"/>
      <c r="LU34" s="123"/>
      <c r="LV34" s="123"/>
      <c r="LW34" s="123"/>
      <c r="LX34" s="123"/>
      <c r="LY34" s="123"/>
      <c r="LZ34" s="123"/>
      <c r="MA34" s="123"/>
      <c r="MB34" s="123"/>
      <c r="MC34" s="123"/>
      <c r="MD34" s="123"/>
      <c r="ME34" s="123"/>
      <c r="MF34" s="123"/>
      <c r="MG34" s="123"/>
      <c r="MH34" s="123"/>
      <c r="MI34" s="123"/>
      <c r="MJ34" s="123"/>
      <c r="MK34" s="123"/>
      <c r="ML34" s="123"/>
      <c r="MM34" s="123"/>
      <c r="MN34" s="123"/>
      <c r="MO34" s="123"/>
      <c r="MP34" s="123"/>
      <c r="MQ34" s="123"/>
      <c r="MR34" s="123"/>
      <c r="MS34" s="123"/>
      <c r="MT34" s="123"/>
      <c r="MU34" s="123"/>
      <c r="MV34" s="123"/>
      <c r="MW34" s="123"/>
      <c r="MX34" s="123"/>
      <c r="MY34" s="123"/>
      <c r="MZ34" s="123"/>
      <c r="NA34" s="123"/>
      <c r="NB34" s="123"/>
      <c r="NC34" s="123"/>
      <c r="ND34" s="123"/>
      <c r="NE34" s="123"/>
      <c r="NF34" s="123"/>
      <c r="NG34" s="123"/>
      <c r="NH34" s="123"/>
      <c r="NI34" s="123"/>
      <c r="NJ34" s="123"/>
      <c r="NK34" s="123"/>
      <c r="NM34">
        <f t="shared" si="156"/>
        <v>0</v>
      </c>
      <c r="NN34">
        <f t="shared" si="157"/>
        <v>0</v>
      </c>
      <c r="NO34">
        <f t="shared" si="158"/>
        <v>0</v>
      </c>
      <c r="NP34">
        <f t="shared" si="159"/>
        <v>0</v>
      </c>
      <c r="NQ34">
        <f t="shared" si="160"/>
        <v>0</v>
      </c>
      <c r="NR34">
        <f t="shared" si="161"/>
        <v>0</v>
      </c>
      <c r="NS34">
        <f t="shared" si="162"/>
        <v>0</v>
      </c>
      <c r="NT34">
        <f t="shared" si="163"/>
        <v>0</v>
      </c>
      <c r="NU34" s="29">
        <f t="shared" si="164"/>
        <v>0</v>
      </c>
      <c r="NY34" s="29">
        <f t="shared" si="108"/>
        <v>1</v>
      </c>
      <c r="NZ34" s="152">
        <v>8036000</v>
      </c>
      <c r="OE34" s="155">
        <f t="shared" si="109"/>
        <v>0</v>
      </c>
      <c r="OF34" s="155">
        <f t="shared" si="110"/>
        <v>0</v>
      </c>
      <c r="OG34" s="155">
        <f t="shared" si="111"/>
        <v>0</v>
      </c>
      <c r="OH34" s="155">
        <f t="shared" si="165"/>
        <v>0</v>
      </c>
      <c r="OI34" s="155">
        <f t="shared" si="112"/>
        <v>0</v>
      </c>
      <c r="OJ34" s="67">
        <f t="shared" si="166"/>
        <v>0</v>
      </c>
      <c r="OK34" s="67">
        <f t="shared" si="167"/>
        <v>0</v>
      </c>
      <c r="OL34" s="67">
        <f t="shared" si="168"/>
        <v>0</v>
      </c>
      <c r="OM34" s="67">
        <f t="shared" si="169"/>
        <v>0</v>
      </c>
      <c r="OO34" s="155">
        <f t="shared" si="113"/>
        <v>0</v>
      </c>
      <c r="OP34" s="155">
        <f t="shared" si="114"/>
        <v>0</v>
      </c>
      <c r="OQ34" s="155">
        <f t="shared" si="170"/>
        <v>0</v>
      </c>
      <c r="OR34" s="155">
        <f t="shared" si="171"/>
        <v>0</v>
      </c>
      <c r="OS34" s="155">
        <f t="shared" si="172"/>
        <v>0</v>
      </c>
      <c r="OT34" s="67">
        <f t="shared" si="173"/>
        <v>0</v>
      </c>
      <c r="OU34" s="67">
        <f t="shared" si="174"/>
        <v>0</v>
      </c>
      <c r="OV34" s="67">
        <f t="shared" si="175"/>
        <v>0</v>
      </c>
      <c r="OW34" s="67">
        <f t="shared" si="176"/>
        <v>0</v>
      </c>
      <c r="PA34" s="166"/>
      <c r="PB34" s="166"/>
      <c r="PC34" s="166"/>
      <c r="PD34" s="210">
        <f t="shared" si="115"/>
        <v>0</v>
      </c>
      <c r="PE34" s="210"/>
      <c r="PF34" s="210">
        <f t="shared" si="116"/>
        <v>0</v>
      </c>
      <c r="PG34" s="210">
        <f t="shared" si="117"/>
        <v>0</v>
      </c>
      <c r="PH34" s="210">
        <f t="shared" si="117"/>
        <v>0</v>
      </c>
      <c r="PI34" s="210">
        <f t="shared" si="117"/>
        <v>0</v>
      </c>
      <c r="PJ34" s="210">
        <f t="shared" si="117"/>
        <v>0</v>
      </c>
      <c r="PK34" s="210">
        <f t="shared" si="117"/>
        <v>0</v>
      </c>
      <c r="PL34" s="210">
        <f t="shared" si="117"/>
        <v>0</v>
      </c>
      <c r="PO34" s="172">
        <f t="shared" si="177"/>
        <v>0</v>
      </c>
      <c r="PP34" s="172">
        <f t="shared" si="178"/>
        <v>0</v>
      </c>
      <c r="PQ34" s="172">
        <f t="shared" si="179"/>
        <v>0</v>
      </c>
    </row>
    <row r="35" spans="1:433" ht="15.75" customHeight="1" x14ac:dyDescent="0.2">
      <c r="A35" s="19">
        <f t="shared" si="180"/>
        <v>27</v>
      </c>
      <c r="B35" s="138" t="s">
        <v>242</v>
      </c>
      <c r="C35" s="138">
        <v>28</v>
      </c>
      <c r="D35" s="20">
        <v>1</v>
      </c>
      <c r="E35" s="20">
        <v>59</v>
      </c>
      <c r="F35" s="20">
        <v>1</v>
      </c>
      <c r="G35" s="20">
        <f t="shared" si="2"/>
        <v>59</v>
      </c>
      <c r="H35" s="137">
        <f t="shared" si="3"/>
        <v>1</v>
      </c>
      <c r="I35" s="137">
        <f t="shared" si="4"/>
        <v>1</v>
      </c>
      <c r="J35" s="20">
        <v>1</v>
      </c>
      <c r="K35" s="20">
        <f t="shared" si="5"/>
        <v>59</v>
      </c>
      <c r="L35" s="137">
        <f t="shared" si="6"/>
        <v>1</v>
      </c>
      <c r="M35" s="137">
        <f t="shared" si="7"/>
        <v>1</v>
      </c>
      <c r="N35" s="20">
        <v>1</v>
      </c>
      <c r="O35" s="20">
        <f t="shared" si="8"/>
        <v>59</v>
      </c>
      <c r="P35" s="137">
        <f t="shared" si="9"/>
        <v>1</v>
      </c>
      <c r="Q35" s="137">
        <f t="shared" si="10"/>
        <v>1</v>
      </c>
      <c r="R35" s="20">
        <v>1</v>
      </c>
      <c r="S35" s="20">
        <f t="shared" si="11"/>
        <v>59</v>
      </c>
      <c r="T35" s="137">
        <f t="shared" si="12"/>
        <v>1</v>
      </c>
      <c r="U35" s="137">
        <f t="shared" si="13"/>
        <v>1</v>
      </c>
      <c r="V35" s="20">
        <v>1</v>
      </c>
      <c r="W35" s="20">
        <f t="shared" si="14"/>
        <v>59</v>
      </c>
      <c r="X35" s="137">
        <f t="shared" si="15"/>
        <v>1</v>
      </c>
      <c r="Y35" s="137">
        <f t="shared" si="16"/>
        <v>1</v>
      </c>
      <c r="Z35" s="42">
        <f>688249000/1000000000</f>
        <v>0.688249</v>
      </c>
      <c r="AA35" s="42"/>
      <c r="AB35" s="17">
        <f t="shared" si="118"/>
        <v>0</v>
      </c>
      <c r="AC35" s="18">
        <f t="shared" si="119"/>
        <v>0</v>
      </c>
      <c r="AD35" s="18">
        <f t="shared" si="120"/>
        <v>0</v>
      </c>
      <c r="AE35" s="42"/>
      <c r="AF35" s="20">
        <f t="shared" si="121"/>
        <v>0</v>
      </c>
      <c r="AG35" s="20"/>
      <c r="AH35" s="17"/>
      <c r="AI35" s="20">
        <v>0</v>
      </c>
      <c r="AJ35" s="20">
        <f t="shared" si="181"/>
        <v>0</v>
      </c>
      <c r="AK35" s="20"/>
      <c r="AL35" s="20"/>
      <c r="AM35" s="20">
        <v>0</v>
      </c>
      <c r="AN35" s="139"/>
      <c r="BB35" s="17">
        <f t="shared" si="123"/>
        <v>0</v>
      </c>
      <c r="BE35" s="17">
        <f t="shared" si="19"/>
        <v>0</v>
      </c>
      <c r="BF35" s="17">
        <f t="shared" si="20"/>
        <v>0</v>
      </c>
      <c r="BG35" s="17">
        <f t="shared" si="21"/>
        <v>0</v>
      </c>
      <c r="BH35" s="17">
        <f t="shared" si="22"/>
        <v>0</v>
      </c>
      <c r="BI35" s="17">
        <f t="shared" si="23"/>
        <v>0</v>
      </c>
      <c r="BJ35" s="17">
        <f t="shared" si="24"/>
        <v>0</v>
      </c>
      <c r="BK35" s="17">
        <f t="shared" si="124"/>
        <v>0</v>
      </c>
      <c r="BN35" s="141"/>
      <c r="BO35" s="284"/>
      <c r="BP35" s="139"/>
      <c r="BQ35" s="139"/>
      <c r="BR35" s="139"/>
      <c r="BS35" s="139"/>
      <c r="BT35" s="139"/>
      <c r="BU35" s="139"/>
      <c r="BV35" s="139"/>
      <c r="BW35" s="139"/>
      <c r="BX35" s="139"/>
      <c r="BY35" s="139"/>
      <c r="BZ35" s="139"/>
      <c r="CB35" s="139"/>
      <c r="CD35" s="17">
        <f t="shared" si="125"/>
        <v>0</v>
      </c>
      <c r="CE35" s="17">
        <f t="shared" si="126"/>
        <v>0</v>
      </c>
      <c r="CF35" s="139">
        <f t="shared" si="182"/>
        <v>0</v>
      </c>
      <c r="CG35" s="139">
        <f t="shared" si="183"/>
        <v>0</v>
      </c>
      <c r="CH35" s="139">
        <f t="shared" si="184"/>
        <v>0</v>
      </c>
      <c r="CI35" s="139">
        <f t="shared" si="185"/>
        <v>0</v>
      </c>
      <c r="CJ35" s="139">
        <f t="shared" si="186"/>
        <v>0</v>
      </c>
      <c r="CK35" s="139">
        <f t="shared" si="187"/>
        <v>0</v>
      </c>
      <c r="CL35" s="139">
        <f t="shared" si="188"/>
        <v>0</v>
      </c>
      <c r="CM35" s="139">
        <f t="shared" si="189"/>
        <v>0</v>
      </c>
      <c r="CN35" s="139">
        <f t="shared" si="190"/>
        <v>0</v>
      </c>
      <c r="CO35" s="139">
        <f t="shared" si="191"/>
        <v>0</v>
      </c>
      <c r="CP35" s="139">
        <f t="shared" si="192"/>
        <v>0</v>
      </c>
      <c r="CQ35" s="148">
        <f t="shared" si="27"/>
        <v>0</v>
      </c>
      <c r="DV35" s="139">
        <f t="shared" si="28"/>
        <v>0</v>
      </c>
      <c r="DW35" s="139">
        <f t="shared" si="29"/>
        <v>0</v>
      </c>
      <c r="DX35" s="139">
        <f t="shared" si="30"/>
        <v>0</v>
      </c>
      <c r="DY35" s="139">
        <f t="shared" si="31"/>
        <v>0</v>
      </c>
      <c r="DZ35" s="139">
        <f t="shared" si="32"/>
        <v>0</v>
      </c>
      <c r="EA35" s="139">
        <f t="shared" si="33"/>
        <v>0</v>
      </c>
      <c r="EB35" s="139">
        <f t="shared" si="127"/>
        <v>0</v>
      </c>
      <c r="EG35" s="57">
        <f t="shared" si="128"/>
        <v>0</v>
      </c>
      <c r="EH35" s="57">
        <f t="shared" si="129"/>
        <v>0</v>
      </c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X35" s="80"/>
      <c r="FY35" s="17">
        <f t="shared" si="130"/>
        <v>0</v>
      </c>
      <c r="FZ35" s="17">
        <f t="shared" si="35"/>
        <v>0</v>
      </c>
      <c r="GA35" s="17">
        <f t="shared" si="36"/>
        <v>0</v>
      </c>
      <c r="GB35" s="17">
        <f t="shared" si="37"/>
        <v>0</v>
      </c>
      <c r="GC35" s="17">
        <f t="shared" si="38"/>
        <v>0</v>
      </c>
      <c r="GD35" s="17">
        <f t="shared" si="39"/>
        <v>0</v>
      </c>
      <c r="GE35" s="17">
        <f t="shared" si="40"/>
        <v>0</v>
      </c>
      <c r="GF35" s="67"/>
      <c r="GG35" s="17">
        <v>0</v>
      </c>
      <c r="GH35" s="17">
        <v>0</v>
      </c>
      <c r="GI35" s="67"/>
      <c r="GJ35" s="62">
        <f t="shared" si="131"/>
        <v>0</v>
      </c>
      <c r="GK35" s="62">
        <f t="shared" si="132"/>
        <v>0</v>
      </c>
      <c r="GO35" s="17">
        <f t="shared" si="41"/>
        <v>0</v>
      </c>
      <c r="GP35" s="17">
        <f t="shared" si="42"/>
        <v>0</v>
      </c>
      <c r="GQ35" s="17">
        <f t="shared" si="43"/>
        <v>0</v>
      </c>
      <c r="GR35" s="17">
        <f t="shared" si="44"/>
        <v>0</v>
      </c>
      <c r="GS35" s="17">
        <f t="shared" si="45"/>
        <v>0</v>
      </c>
      <c r="GT35" s="17">
        <f t="shared" si="133"/>
        <v>1</v>
      </c>
      <c r="GU35" s="101">
        <f t="shared" si="134"/>
        <v>43243</v>
      </c>
      <c r="GV35" s="17" t="str">
        <f t="shared" si="135"/>
        <v>SELESAI</v>
      </c>
      <c r="GW35" s="17">
        <f t="shared" si="136"/>
        <v>0</v>
      </c>
      <c r="GX35" s="66" t="str">
        <f t="shared" si="137"/>
        <v>SELESAI</v>
      </c>
      <c r="GY35" s="66">
        <f t="shared" si="138"/>
        <v>0</v>
      </c>
      <c r="GZ35" s="102" t="str">
        <f t="shared" si="139"/>
        <v>SELESAI</v>
      </c>
      <c r="HA35" s="83"/>
      <c r="HB35" s="83"/>
      <c r="HC35" s="17">
        <f t="shared" si="46"/>
        <v>0</v>
      </c>
      <c r="HD35" s="17">
        <f t="shared" si="47"/>
        <v>0</v>
      </c>
      <c r="HE35" s="17">
        <f t="shared" si="140"/>
        <v>0</v>
      </c>
      <c r="HF35" s="17">
        <f t="shared" si="141"/>
        <v>0</v>
      </c>
      <c r="HG35" s="17">
        <f t="shared" si="142"/>
        <v>0</v>
      </c>
      <c r="HH35" s="101" t="str">
        <f t="shared" si="48"/>
        <v>TIDAK KONSINYASI</v>
      </c>
      <c r="HI35" s="101" t="str">
        <f t="shared" si="143"/>
        <v>SELESAI</v>
      </c>
      <c r="HJ35" s="27"/>
      <c r="HK35" s="101">
        <f t="shared" si="49"/>
        <v>0</v>
      </c>
      <c r="HL35" s="83"/>
      <c r="HM35" s="83"/>
      <c r="HN35" s="83"/>
      <c r="HO35" s="83"/>
      <c r="HP35" s="102">
        <f t="shared" si="144"/>
        <v>0</v>
      </c>
      <c r="HQ35" s="66">
        <f t="shared" si="145"/>
        <v>0</v>
      </c>
      <c r="HR35" s="66">
        <f t="shared" si="50"/>
        <v>0</v>
      </c>
      <c r="HS35" s="102">
        <f t="shared" si="146"/>
        <v>0</v>
      </c>
      <c r="HT35" s="66">
        <f t="shared" si="147"/>
        <v>0</v>
      </c>
      <c r="HU35" s="66">
        <f t="shared" si="51"/>
        <v>0</v>
      </c>
      <c r="HV35" s="102">
        <f t="shared" si="148"/>
        <v>0</v>
      </c>
      <c r="HW35" s="66">
        <f t="shared" si="52"/>
        <v>0</v>
      </c>
      <c r="HX35" s="66">
        <f t="shared" si="53"/>
        <v>0</v>
      </c>
      <c r="HY35" s="102">
        <f t="shared" si="54"/>
        <v>0</v>
      </c>
      <c r="HZ35" s="66">
        <f t="shared" si="149"/>
        <v>0</v>
      </c>
      <c r="IA35" s="66">
        <f t="shared" si="55"/>
        <v>0</v>
      </c>
      <c r="IB35" s="102">
        <f t="shared" si="150"/>
        <v>0</v>
      </c>
      <c r="IC35" s="66">
        <f t="shared" si="56"/>
        <v>0</v>
      </c>
      <c r="ID35" s="66">
        <f t="shared" si="57"/>
        <v>0</v>
      </c>
      <c r="IE35" s="102">
        <f t="shared" si="58"/>
        <v>0</v>
      </c>
      <c r="IF35" s="66">
        <f t="shared" si="59"/>
        <v>0</v>
      </c>
      <c r="IG35" s="66">
        <f t="shared" si="60"/>
        <v>0</v>
      </c>
      <c r="IH35" s="102">
        <f t="shared" si="151"/>
        <v>0</v>
      </c>
      <c r="II35" s="66">
        <f t="shared" si="152"/>
        <v>0</v>
      </c>
      <c r="IJ35" s="66">
        <f t="shared" si="61"/>
        <v>0</v>
      </c>
      <c r="IK35" s="102">
        <f t="shared" si="62"/>
        <v>0</v>
      </c>
      <c r="IL35" s="66">
        <f t="shared" si="63"/>
        <v>0</v>
      </c>
      <c r="IM35" s="66">
        <f t="shared" si="64"/>
        <v>0</v>
      </c>
      <c r="IN35" s="83"/>
      <c r="IO35" s="102">
        <f t="shared" si="65"/>
        <v>0</v>
      </c>
      <c r="IP35" s="66">
        <f t="shared" si="66"/>
        <v>0</v>
      </c>
      <c r="IQ35" s="66">
        <f t="shared" si="67"/>
        <v>0</v>
      </c>
      <c r="IR35" s="83"/>
      <c r="IS35" s="102"/>
      <c r="IT35" s="66">
        <f t="shared" si="68"/>
        <v>1</v>
      </c>
      <c r="IU35" s="66">
        <f t="shared" si="69"/>
        <v>59</v>
      </c>
      <c r="IV35" s="83"/>
      <c r="IW35" s="102"/>
      <c r="IX35" s="66">
        <f t="shared" si="70"/>
        <v>0</v>
      </c>
      <c r="IY35" s="66">
        <f t="shared" si="71"/>
        <v>0</v>
      </c>
      <c r="IZ35" s="83"/>
      <c r="JA35" s="102"/>
      <c r="JB35" s="66">
        <f t="shared" si="72"/>
        <v>0</v>
      </c>
      <c r="JC35" s="66">
        <f t="shared" si="73"/>
        <v>0</v>
      </c>
      <c r="JD35" s="83"/>
      <c r="JE35" s="102"/>
      <c r="JF35" s="66">
        <f t="shared" si="153"/>
        <v>1</v>
      </c>
      <c r="JG35" s="66">
        <f t="shared" si="74"/>
        <v>59</v>
      </c>
      <c r="JH35" s="83"/>
      <c r="JI35" s="102"/>
      <c r="JJ35" s="66">
        <f t="shared" si="75"/>
        <v>0</v>
      </c>
      <c r="JK35" s="66">
        <f t="shared" si="76"/>
        <v>0</v>
      </c>
      <c r="JM35" s="102">
        <f t="shared" si="154"/>
        <v>0</v>
      </c>
      <c r="JO35" s="29">
        <f t="shared" si="77"/>
        <v>0</v>
      </c>
      <c r="JP35" s="122">
        <f t="shared" si="78"/>
        <v>0</v>
      </c>
      <c r="JQ35" s="122">
        <f t="shared" si="79"/>
        <v>0</v>
      </c>
      <c r="JR35" s="122">
        <f t="shared" si="80"/>
        <v>0</v>
      </c>
      <c r="JS35" s="122">
        <f t="shared" si="81"/>
        <v>0</v>
      </c>
      <c r="JT35" s="122">
        <f t="shared" si="82"/>
        <v>0</v>
      </c>
      <c r="JU35" s="122">
        <f t="shared" si="83"/>
        <v>0</v>
      </c>
      <c r="JV35" s="122">
        <f t="shared" si="84"/>
        <v>0</v>
      </c>
      <c r="JW35" s="122">
        <f t="shared" si="85"/>
        <v>0</v>
      </c>
      <c r="JX35" s="122">
        <f t="shared" si="86"/>
        <v>0</v>
      </c>
      <c r="JY35" s="122">
        <f t="shared" si="87"/>
        <v>0</v>
      </c>
      <c r="JZ35" s="122">
        <f t="shared" si="88"/>
        <v>0</v>
      </c>
      <c r="KA35" s="122">
        <f t="shared" si="89"/>
        <v>0</v>
      </c>
      <c r="KB35" s="122">
        <f t="shared" si="90"/>
        <v>0</v>
      </c>
      <c r="KD35" s="122">
        <f t="shared" si="155"/>
        <v>0</v>
      </c>
      <c r="KE35" s="122">
        <f t="shared" si="92"/>
        <v>0</v>
      </c>
      <c r="KF35" s="122">
        <f t="shared" si="93"/>
        <v>0</v>
      </c>
      <c r="KG35" s="122">
        <f t="shared" si="94"/>
        <v>0</v>
      </c>
      <c r="KH35" s="122">
        <f t="shared" si="95"/>
        <v>0</v>
      </c>
      <c r="KI35" s="122">
        <f t="shared" si="96"/>
        <v>0</v>
      </c>
      <c r="KJ35" s="122">
        <f t="shared" si="97"/>
        <v>0</v>
      </c>
      <c r="KK35" s="122">
        <f t="shared" si="98"/>
        <v>0</v>
      </c>
      <c r="KL35" s="122">
        <f t="shared" si="99"/>
        <v>0</v>
      </c>
      <c r="KM35" s="122">
        <f t="shared" si="100"/>
        <v>0</v>
      </c>
      <c r="KN35" s="123">
        <f t="shared" si="101"/>
        <v>0</v>
      </c>
      <c r="KO35" s="123">
        <f t="shared" si="102"/>
        <v>0</v>
      </c>
      <c r="KP35" s="123">
        <f t="shared" si="103"/>
        <v>0</v>
      </c>
      <c r="KQ35" s="123">
        <f t="shared" si="104"/>
        <v>0</v>
      </c>
      <c r="KR35" s="123">
        <f t="shared" si="105"/>
        <v>0</v>
      </c>
      <c r="KT35">
        <f t="shared" si="106"/>
        <v>0</v>
      </c>
      <c r="KU35" s="123"/>
      <c r="KV35" s="123"/>
      <c r="KW35" s="123"/>
      <c r="KX35" s="123"/>
      <c r="KY35" s="123"/>
      <c r="KZ35" s="123"/>
      <c r="LA35" s="123"/>
      <c r="LB35" s="123"/>
      <c r="LC35" s="123"/>
      <c r="LD35" s="123"/>
      <c r="LE35" s="123"/>
      <c r="LF35" s="123"/>
      <c r="LG35" s="123"/>
      <c r="LH35" s="123"/>
      <c r="LI35" s="123"/>
      <c r="LJ35" s="123"/>
      <c r="LK35" s="123"/>
      <c r="LL35" s="123"/>
      <c r="LM35" s="123"/>
      <c r="LN35" s="123"/>
      <c r="LO35" s="123"/>
      <c r="LP35" s="123"/>
      <c r="LQ35" s="123"/>
      <c r="LR35" s="123"/>
      <c r="LS35" s="123"/>
      <c r="LT35" s="123"/>
      <c r="LU35" s="123"/>
      <c r="LV35" s="123"/>
      <c r="LW35" s="123"/>
      <c r="LX35" s="123"/>
      <c r="LY35" s="123"/>
      <c r="LZ35" s="123"/>
      <c r="MA35" s="123"/>
      <c r="MB35" s="123"/>
      <c r="MC35" s="123"/>
      <c r="MD35" s="123"/>
      <c r="ME35" s="123"/>
      <c r="MF35" s="123"/>
      <c r="MG35" s="123"/>
      <c r="MH35" s="123"/>
      <c r="MI35" s="123"/>
      <c r="MJ35" s="123"/>
      <c r="MK35" s="123"/>
      <c r="ML35" s="123"/>
      <c r="MM35" s="123"/>
      <c r="MN35" s="123"/>
      <c r="MO35" s="123"/>
      <c r="MP35" s="123"/>
      <c r="MQ35" s="123"/>
      <c r="MR35" s="123"/>
      <c r="MS35" s="123"/>
      <c r="MT35" s="123"/>
      <c r="MU35" s="123"/>
      <c r="MV35" s="123"/>
      <c r="MW35" s="123"/>
      <c r="MX35" s="123"/>
      <c r="MY35" s="123"/>
      <c r="MZ35" s="123"/>
      <c r="NA35" s="123"/>
      <c r="NB35" s="123"/>
      <c r="NC35" s="123"/>
      <c r="ND35" s="123"/>
      <c r="NE35" s="123"/>
      <c r="NF35" s="123"/>
      <c r="NG35" s="123"/>
      <c r="NH35" s="123"/>
      <c r="NI35" s="123"/>
      <c r="NJ35" s="123"/>
      <c r="NK35" s="123"/>
      <c r="NM35">
        <f t="shared" si="156"/>
        <v>0</v>
      </c>
      <c r="NN35">
        <f t="shared" si="157"/>
        <v>0</v>
      </c>
      <c r="NO35">
        <f t="shared" si="158"/>
        <v>0</v>
      </c>
      <c r="NP35">
        <f t="shared" si="159"/>
        <v>0</v>
      </c>
      <c r="NQ35">
        <f t="shared" si="160"/>
        <v>0</v>
      </c>
      <c r="NR35">
        <f t="shared" si="161"/>
        <v>0</v>
      </c>
      <c r="NS35">
        <f t="shared" si="162"/>
        <v>0</v>
      </c>
      <c r="NT35">
        <f t="shared" si="163"/>
        <v>0</v>
      </c>
      <c r="NU35" s="29">
        <f t="shared" si="164"/>
        <v>0</v>
      </c>
      <c r="NY35" s="29">
        <f t="shared" si="108"/>
        <v>1</v>
      </c>
      <c r="NZ35" s="152">
        <v>8036000</v>
      </c>
      <c r="OE35" s="155">
        <f t="shared" si="109"/>
        <v>0</v>
      </c>
      <c r="OF35" s="155">
        <f t="shared" si="110"/>
        <v>0</v>
      </c>
      <c r="OG35" s="155">
        <f t="shared" si="111"/>
        <v>0</v>
      </c>
      <c r="OH35" s="155">
        <f t="shared" si="165"/>
        <v>0</v>
      </c>
      <c r="OI35" s="155">
        <f t="shared" si="112"/>
        <v>0</v>
      </c>
      <c r="OJ35" s="67">
        <f t="shared" si="166"/>
        <v>0</v>
      </c>
      <c r="OK35" s="67">
        <f t="shared" si="167"/>
        <v>0</v>
      </c>
      <c r="OL35" s="67">
        <f t="shared" si="168"/>
        <v>0</v>
      </c>
      <c r="OM35" s="67">
        <f t="shared" si="169"/>
        <v>0</v>
      </c>
      <c r="OO35" s="155">
        <f t="shared" si="113"/>
        <v>0</v>
      </c>
      <c r="OP35" s="155">
        <f t="shared" si="114"/>
        <v>0</v>
      </c>
      <c r="OQ35" s="155">
        <f t="shared" si="170"/>
        <v>0</v>
      </c>
      <c r="OR35" s="155">
        <f t="shared" si="171"/>
        <v>0</v>
      </c>
      <c r="OS35" s="155">
        <f t="shared" si="172"/>
        <v>0</v>
      </c>
      <c r="OT35" s="67">
        <f t="shared" si="173"/>
        <v>0</v>
      </c>
      <c r="OU35" s="67">
        <f t="shared" si="174"/>
        <v>0</v>
      </c>
      <c r="OV35" s="67">
        <f t="shared" si="175"/>
        <v>0</v>
      </c>
      <c r="OW35" s="67">
        <f t="shared" si="176"/>
        <v>0</v>
      </c>
      <c r="PA35" s="166"/>
      <c r="PB35" s="166"/>
      <c r="PC35" s="166"/>
      <c r="PD35" s="210">
        <f t="shared" si="115"/>
        <v>0</v>
      </c>
      <c r="PE35" s="210"/>
      <c r="PF35" s="210">
        <f t="shared" si="116"/>
        <v>0</v>
      </c>
      <c r="PG35" s="210">
        <f t="shared" si="117"/>
        <v>0</v>
      </c>
      <c r="PH35" s="210">
        <f t="shared" si="117"/>
        <v>0</v>
      </c>
      <c r="PI35" s="210">
        <f t="shared" si="117"/>
        <v>0</v>
      </c>
      <c r="PJ35" s="210">
        <f t="shared" si="117"/>
        <v>0</v>
      </c>
      <c r="PK35" s="210">
        <f t="shared" si="117"/>
        <v>0</v>
      </c>
      <c r="PL35" s="210">
        <f t="shared" si="117"/>
        <v>0</v>
      </c>
      <c r="PO35" s="172">
        <f t="shared" si="177"/>
        <v>0</v>
      </c>
      <c r="PP35" s="172">
        <f t="shared" si="178"/>
        <v>0</v>
      </c>
      <c r="PQ35" s="172">
        <f t="shared" si="179"/>
        <v>0</v>
      </c>
    </row>
    <row r="36" spans="1:433" ht="16" x14ac:dyDescent="0.2">
      <c r="A36" s="19">
        <f t="shared" si="180"/>
        <v>28</v>
      </c>
      <c r="B36" s="138" t="s">
        <v>243</v>
      </c>
      <c r="C36" s="138">
        <v>29</v>
      </c>
      <c r="D36" s="20">
        <v>1</v>
      </c>
      <c r="E36" s="20">
        <v>13</v>
      </c>
      <c r="F36" s="20">
        <v>1</v>
      </c>
      <c r="G36" s="20">
        <f t="shared" si="2"/>
        <v>13</v>
      </c>
      <c r="H36" s="137">
        <f t="shared" si="3"/>
        <v>1</v>
      </c>
      <c r="I36" s="137">
        <f t="shared" si="4"/>
        <v>1</v>
      </c>
      <c r="J36" s="20">
        <v>1</v>
      </c>
      <c r="K36" s="20">
        <f t="shared" si="5"/>
        <v>13</v>
      </c>
      <c r="L36" s="137">
        <f t="shared" si="6"/>
        <v>1</v>
      </c>
      <c r="M36" s="137">
        <f t="shared" si="7"/>
        <v>1</v>
      </c>
      <c r="N36" s="20">
        <v>1</v>
      </c>
      <c r="O36" s="20">
        <f t="shared" si="8"/>
        <v>13</v>
      </c>
      <c r="P36" s="137">
        <f t="shared" si="9"/>
        <v>1</v>
      </c>
      <c r="Q36" s="137">
        <f t="shared" si="10"/>
        <v>1</v>
      </c>
      <c r="R36" s="20">
        <v>1</v>
      </c>
      <c r="S36" s="20">
        <f t="shared" si="11"/>
        <v>13</v>
      </c>
      <c r="T36" s="137">
        <f t="shared" si="12"/>
        <v>1</v>
      </c>
      <c r="U36" s="137">
        <f t="shared" si="13"/>
        <v>1</v>
      </c>
      <c r="V36" s="20">
        <v>1</v>
      </c>
      <c r="W36" s="20">
        <f t="shared" si="14"/>
        <v>13</v>
      </c>
      <c r="X36" s="137">
        <f t="shared" si="15"/>
        <v>1</v>
      </c>
      <c r="Y36" s="137">
        <f t="shared" si="16"/>
        <v>1</v>
      </c>
      <c r="Z36" s="42">
        <f>150279000/1000000000</f>
        <v>0.150279</v>
      </c>
      <c r="AA36" s="42"/>
      <c r="AB36" s="17">
        <f t="shared" si="118"/>
        <v>0</v>
      </c>
      <c r="AC36" s="18">
        <f t="shared" si="119"/>
        <v>0</v>
      </c>
      <c r="AD36" s="18">
        <f t="shared" si="120"/>
        <v>0</v>
      </c>
      <c r="AE36" s="42"/>
      <c r="AF36" s="20">
        <f t="shared" si="121"/>
        <v>0</v>
      </c>
      <c r="AG36" s="20"/>
      <c r="AH36" s="17"/>
      <c r="AI36" s="20">
        <v>0</v>
      </c>
      <c r="AJ36" s="20">
        <f t="shared" si="181"/>
        <v>0</v>
      </c>
      <c r="AK36" s="20"/>
      <c r="AL36" s="20"/>
      <c r="AM36" s="20">
        <v>0</v>
      </c>
      <c r="AN36" s="139"/>
      <c r="BB36" s="17">
        <f t="shared" si="123"/>
        <v>0</v>
      </c>
      <c r="BE36" s="17">
        <f t="shared" si="19"/>
        <v>0</v>
      </c>
      <c r="BF36" s="17">
        <f t="shared" si="20"/>
        <v>0</v>
      </c>
      <c r="BG36" s="17">
        <f t="shared" si="21"/>
        <v>0</v>
      </c>
      <c r="BH36" s="17">
        <f t="shared" si="22"/>
        <v>0</v>
      </c>
      <c r="BI36" s="17">
        <f t="shared" si="23"/>
        <v>0</v>
      </c>
      <c r="BJ36" s="17">
        <f t="shared" si="24"/>
        <v>0</v>
      </c>
      <c r="BK36" s="17">
        <f t="shared" si="124"/>
        <v>0</v>
      </c>
      <c r="BN36" s="141"/>
      <c r="BO36" s="284"/>
      <c r="BP36" s="139"/>
      <c r="BQ36" s="139"/>
      <c r="BR36" s="139"/>
      <c r="BS36" s="139"/>
      <c r="BT36" s="139"/>
      <c r="BU36" s="139"/>
      <c r="BV36" s="139"/>
      <c r="BW36" s="139"/>
      <c r="BX36" s="139"/>
      <c r="BY36" s="139"/>
      <c r="BZ36" s="139"/>
      <c r="CB36" s="139"/>
      <c r="CD36" s="17">
        <f t="shared" si="125"/>
        <v>0</v>
      </c>
      <c r="CE36" s="17">
        <f t="shared" si="126"/>
        <v>0</v>
      </c>
      <c r="CF36" s="139">
        <f t="shared" si="182"/>
        <v>0</v>
      </c>
      <c r="CG36" s="139">
        <f t="shared" si="183"/>
        <v>0</v>
      </c>
      <c r="CH36" s="139">
        <f t="shared" si="184"/>
        <v>0</v>
      </c>
      <c r="CI36" s="139">
        <f t="shared" si="185"/>
        <v>0</v>
      </c>
      <c r="CJ36" s="139">
        <f t="shared" si="186"/>
        <v>0</v>
      </c>
      <c r="CK36" s="139">
        <f t="shared" si="187"/>
        <v>0</v>
      </c>
      <c r="CL36" s="139">
        <f t="shared" si="188"/>
        <v>0</v>
      </c>
      <c r="CM36" s="139">
        <f t="shared" si="189"/>
        <v>0</v>
      </c>
      <c r="CN36" s="139">
        <f t="shared" si="190"/>
        <v>0</v>
      </c>
      <c r="CO36" s="139">
        <f t="shared" si="191"/>
        <v>0</v>
      </c>
      <c r="CP36" s="139">
        <f t="shared" si="192"/>
        <v>0</v>
      </c>
      <c r="CQ36" s="148">
        <f t="shared" si="27"/>
        <v>0</v>
      </c>
      <c r="DV36" s="139">
        <f t="shared" si="28"/>
        <v>0</v>
      </c>
      <c r="DW36" s="139">
        <f t="shared" si="29"/>
        <v>0</v>
      </c>
      <c r="DX36" s="139">
        <f t="shared" si="30"/>
        <v>0</v>
      </c>
      <c r="DY36" s="139">
        <f t="shared" si="31"/>
        <v>0</v>
      </c>
      <c r="DZ36" s="139">
        <f t="shared" si="32"/>
        <v>0</v>
      </c>
      <c r="EA36" s="139">
        <f t="shared" si="33"/>
        <v>0</v>
      </c>
      <c r="EB36" s="139">
        <f t="shared" si="127"/>
        <v>0</v>
      </c>
      <c r="EG36" s="57">
        <f t="shared" si="128"/>
        <v>0</v>
      </c>
      <c r="EH36" s="57">
        <f t="shared" si="129"/>
        <v>0</v>
      </c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X36" s="80"/>
      <c r="FY36" s="17">
        <f t="shared" si="130"/>
        <v>0</v>
      </c>
      <c r="FZ36" s="17">
        <f t="shared" si="35"/>
        <v>0</v>
      </c>
      <c r="GA36" s="17">
        <f t="shared" si="36"/>
        <v>0</v>
      </c>
      <c r="GB36" s="17">
        <f t="shared" si="37"/>
        <v>0</v>
      </c>
      <c r="GC36" s="17">
        <f t="shared" si="38"/>
        <v>0</v>
      </c>
      <c r="GD36" s="17">
        <f t="shared" si="39"/>
        <v>0</v>
      </c>
      <c r="GE36" s="17">
        <f t="shared" si="40"/>
        <v>0</v>
      </c>
      <c r="GF36" s="67"/>
      <c r="GG36" s="17">
        <v>0</v>
      </c>
      <c r="GH36" s="17">
        <v>0</v>
      </c>
      <c r="GI36" s="67"/>
      <c r="GJ36" s="62">
        <f t="shared" si="131"/>
        <v>0</v>
      </c>
      <c r="GK36" s="62">
        <f t="shared" si="132"/>
        <v>0</v>
      </c>
      <c r="GO36" s="17">
        <f t="shared" si="41"/>
        <v>0</v>
      </c>
      <c r="GP36" s="17">
        <f t="shared" si="42"/>
        <v>0</v>
      </c>
      <c r="GQ36" s="17">
        <f t="shared" si="43"/>
        <v>0</v>
      </c>
      <c r="GR36" s="17">
        <f t="shared" si="44"/>
        <v>0</v>
      </c>
      <c r="GS36" s="17">
        <f t="shared" si="45"/>
        <v>0</v>
      </c>
      <c r="GT36" s="17">
        <f t="shared" si="133"/>
        <v>1</v>
      </c>
      <c r="GU36" s="101">
        <f t="shared" si="134"/>
        <v>43243</v>
      </c>
      <c r="GV36" s="17" t="str">
        <f t="shared" si="135"/>
        <v>SELESAI</v>
      </c>
      <c r="GW36" s="17">
        <f t="shared" si="136"/>
        <v>0</v>
      </c>
      <c r="GX36" s="66" t="str">
        <f t="shared" si="137"/>
        <v>SELESAI</v>
      </c>
      <c r="GY36" s="66">
        <f t="shared" si="138"/>
        <v>0</v>
      </c>
      <c r="GZ36" s="102" t="str">
        <f t="shared" si="139"/>
        <v>SELESAI</v>
      </c>
      <c r="HA36" s="83"/>
      <c r="HB36" s="83"/>
      <c r="HC36" s="17">
        <f t="shared" si="46"/>
        <v>0</v>
      </c>
      <c r="HD36" s="17">
        <f t="shared" si="47"/>
        <v>0</v>
      </c>
      <c r="HE36" s="17">
        <f t="shared" si="140"/>
        <v>0</v>
      </c>
      <c r="HF36" s="17">
        <f t="shared" si="141"/>
        <v>0</v>
      </c>
      <c r="HG36" s="17">
        <f t="shared" si="142"/>
        <v>0</v>
      </c>
      <c r="HH36" s="101" t="str">
        <f t="shared" si="48"/>
        <v>TIDAK KONSINYASI</v>
      </c>
      <c r="HI36" s="101" t="str">
        <f t="shared" si="143"/>
        <v>SELESAI</v>
      </c>
      <c r="HJ36" s="27"/>
      <c r="HK36" s="101">
        <f t="shared" si="49"/>
        <v>0</v>
      </c>
      <c r="HL36" s="83"/>
      <c r="HM36" s="83"/>
      <c r="HN36" s="83"/>
      <c r="HO36" s="83"/>
      <c r="HP36" s="102">
        <f t="shared" si="144"/>
        <v>0</v>
      </c>
      <c r="HQ36" s="66">
        <f t="shared" si="145"/>
        <v>0</v>
      </c>
      <c r="HR36" s="66">
        <f t="shared" si="50"/>
        <v>0</v>
      </c>
      <c r="HS36" s="102">
        <f t="shared" si="146"/>
        <v>0</v>
      </c>
      <c r="HT36" s="66">
        <f t="shared" si="147"/>
        <v>0</v>
      </c>
      <c r="HU36" s="66">
        <f t="shared" si="51"/>
        <v>0</v>
      </c>
      <c r="HV36" s="102">
        <f t="shared" si="148"/>
        <v>0</v>
      </c>
      <c r="HW36" s="66">
        <f t="shared" si="52"/>
        <v>0</v>
      </c>
      <c r="HX36" s="66">
        <f t="shared" si="53"/>
        <v>0</v>
      </c>
      <c r="HY36" s="102">
        <f t="shared" si="54"/>
        <v>0</v>
      </c>
      <c r="HZ36" s="66">
        <f t="shared" si="149"/>
        <v>0</v>
      </c>
      <c r="IA36" s="66">
        <f t="shared" si="55"/>
        <v>0</v>
      </c>
      <c r="IB36" s="102">
        <f t="shared" si="150"/>
        <v>0</v>
      </c>
      <c r="IC36" s="66">
        <f t="shared" si="56"/>
        <v>0</v>
      </c>
      <c r="ID36" s="66">
        <f t="shared" si="57"/>
        <v>0</v>
      </c>
      <c r="IE36" s="102">
        <f t="shared" si="58"/>
        <v>0</v>
      </c>
      <c r="IF36" s="66">
        <f t="shared" si="59"/>
        <v>0</v>
      </c>
      <c r="IG36" s="66">
        <f t="shared" si="60"/>
        <v>0</v>
      </c>
      <c r="IH36" s="102">
        <f t="shared" si="151"/>
        <v>0</v>
      </c>
      <c r="II36" s="66">
        <f t="shared" si="152"/>
        <v>0</v>
      </c>
      <c r="IJ36" s="66">
        <f t="shared" si="61"/>
        <v>0</v>
      </c>
      <c r="IK36" s="102">
        <f t="shared" si="62"/>
        <v>0</v>
      </c>
      <c r="IL36" s="66">
        <f t="shared" si="63"/>
        <v>0</v>
      </c>
      <c r="IM36" s="66">
        <f t="shared" si="64"/>
        <v>0</v>
      </c>
      <c r="IN36" s="83"/>
      <c r="IO36" s="102">
        <f t="shared" si="65"/>
        <v>0</v>
      </c>
      <c r="IP36" s="66">
        <f t="shared" si="66"/>
        <v>0</v>
      </c>
      <c r="IQ36" s="66">
        <f t="shared" si="67"/>
        <v>0</v>
      </c>
      <c r="IR36" s="83"/>
      <c r="IS36" s="102"/>
      <c r="IT36" s="66">
        <f t="shared" si="68"/>
        <v>1</v>
      </c>
      <c r="IU36" s="66">
        <f t="shared" si="69"/>
        <v>13</v>
      </c>
      <c r="IV36" s="83"/>
      <c r="IW36" s="102"/>
      <c r="IX36" s="66">
        <f t="shared" si="70"/>
        <v>0</v>
      </c>
      <c r="IY36" s="66">
        <f t="shared" si="71"/>
        <v>0</v>
      </c>
      <c r="IZ36" s="83"/>
      <c r="JA36" s="102"/>
      <c r="JB36" s="66">
        <f t="shared" si="72"/>
        <v>0</v>
      </c>
      <c r="JC36" s="66">
        <f t="shared" si="73"/>
        <v>0</v>
      </c>
      <c r="JD36" s="83"/>
      <c r="JE36" s="102"/>
      <c r="JF36" s="66">
        <f t="shared" si="153"/>
        <v>1</v>
      </c>
      <c r="JG36" s="66">
        <f t="shared" si="74"/>
        <v>13</v>
      </c>
      <c r="JH36" s="83"/>
      <c r="JI36" s="102"/>
      <c r="JJ36" s="66">
        <f t="shared" si="75"/>
        <v>0</v>
      </c>
      <c r="JK36" s="66">
        <f t="shared" si="76"/>
        <v>0</v>
      </c>
      <c r="JM36" s="102">
        <f t="shared" si="154"/>
        <v>0</v>
      </c>
      <c r="JO36" s="29">
        <f t="shared" si="77"/>
        <v>0</v>
      </c>
      <c r="JP36" s="122">
        <f t="shared" si="78"/>
        <v>0</v>
      </c>
      <c r="JQ36" s="122">
        <f t="shared" si="79"/>
        <v>0</v>
      </c>
      <c r="JR36" s="122">
        <f t="shared" si="80"/>
        <v>0</v>
      </c>
      <c r="JS36" s="122">
        <f t="shared" si="81"/>
        <v>0</v>
      </c>
      <c r="JT36" s="122">
        <f t="shared" si="82"/>
        <v>0</v>
      </c>
      <c r="JU36" s="122">
        <f t="shared" si="83"/>
        <v>0</v>
      </c>
      <c r="JV36" s="122">
        <f t="shared" si="84"/>
        <v>0</v>
      </c>
      <c r="JW36" s="122">
        <f t="shared" si="85"/>
        <v>0</v>
      </c>
      <c r="JX36" s="122">
        <f t="shared" si="86"/>
        <v>0</v>
      </c>
      <c r="JY36" s="122">
        <f t="shared" si="87"/>
        <v>0</v>
      </c>
      <c r="JZ36" s="122">
        <f t="shared" si="88"/>
        <v>0</v>
      </c>
      <c r="KA36" s="122">
        <f t="shared" si="89"/>
        <v>0</v>
      </c>
      <c r="KB36" s="122">
        <f t="shared" si="90"/>
        <v>0</v>
      </c>
      <c r="KD36" s="122">
        <f t="shared" si="155"/>
        <v>0</v>
      </c>
      <c r="KE36" s="122">
        <f t="shared" si="92"/>
        <v>0</v>
      </c>
      <c r="KF36" s="122">
        <f t="shared" si="93"/>
        <v>0</v>
      </c>
      <c r="KG36" s="122">
        <f t="shared" si="94"/>
        <v>0</v>
      </c>
      <c r="KH36" s="122">
        <f t="shared" si="95"/>
        <v>0</v>
      </c>
      <c r="KI36" s="122">
        <f t="shared" si="96"/>
        <v>0</v>
      </c>
      <c r="KJ36" s="122">
        <f t="shared" si="97"/>
        <v>0</v>
      </c>
      <c r="KK36" s="122">
        <f t="shared" si="98"/>
        <v>0</v>
      </c>
      <c r="KL36" s="122">
        <f t="shared" si="99"/>
        <v>0</v>
      </c>
      <c r="KM36" s="122">
        <f t="shared" si="100"/>
        <v>0</v>
      </c>
      <c r="KN36" s="123">
        <f t="shared" si="101"/>
        <v>0</v>
      </c>
      <c r="KO36" s="123">
        <f t="shared" si="102"/>
        <v>0</v>
      </c>
      <c r="KP36" s="123">
        <f t="shared" si="103"/>
        <v>0</v>
      </c>
      <c r="KQ36" s="123">
        <f t="shared" si="104"/>
        <v>0</v>
      </c>
      <c r="KR36" s="123">
        <f t="shared" si="105"/>
        <v>0</v>
      </c>
      <c r="KT36">
        <f t="shared" si="106"/>
        <v>0</v>
      </c>
      <c r="KU36" s="123"/>
      <c r="KV36" s="123"/>
      <c r="KW36" s="123"/>
      <c r="KX36" s="123"/>
      <c r="KY36" s="123"/>
      <c r="KZ36" s="123"/>
      <c r="LA36" s="123"/>
      <c r="LB36" s="123"/>
      <c r="LC36" s="123"/>
      <c r="LD36" s="123"/>
      <c r="LE36" s="123"/>
      <c r="LF36" s="123"/>
      <c r="LG36" s="123"/>
      <c r="LH36" s="123"/>
      <c r="LI36" s="123"/>
      <c r="LJ36" s="123"/>
      <c r="LK36" s="123"/>
      <c r="LL36" s="123"/>
      <c r="LM36" s="123"/>
      <c r="LN36" s="123"/>
      <c r="LO36" s="123"/>
      <c r="LP36" s="123"/>
      <c r="LQ36" s="123"/>
      <c r="LR36" s="123"/>
      <c r="LS36" s="123"/>
      <c r="LT36" s="123"/>
      <c r="LU36" s="123"/>
      <c r="LV36" s="123"/>
      <c r="LW36" s="123"/>
      <c r="LX36" s="123"/>
      <c r="LY36" s="123"/>
      <c r="LZ36" s="123"/>
      <c r="MA36" s="123"/>
      <c r="MB36" s="123"/>
      <c r="MC36" s="123"/>
      <c r="MD36" s="123"/>
      <c r="ME36" s="123"/>
      <c r="MF36" s="123"/>
      <c r="MG36" s="123"/>
      <c r="MH36" s="123"/>
      <c r="MI36" s="123"/>
      <c r="MJ36" s="123"/>
      <c r="MK36" s="123"/>
      <c r="ML36" s="123"/>
      <c r="MM36" s="123"/>
      <c r="MN36" s="123"/>
      <c r="MO36" s="123"/>
      <c r="MP36" s="123"/>
      <c r="MQ36" s="123"/>
      <c r="MR36" s="123"/>
      <c r="MS36" s="123"/>
      <c r="MT36" s="123"/>
      <c r="MU36" s="123"/>
      <c r="MV36" s="123"/>
      <c r="MW36" s="123"/>
      <c r="MX36" s="123"/>
      <c r="MY36" s="123"/>
      <c r="MZ36" s="123"/>
      <c r="NA36" s="123"/>
      <c r="NB36" s="123"/>
      <c r="NC36" s="123"/>
      <c r="ND36" s="123"/>
      <c r="NE36" s="123"/>
      <c r="NF36" s="123"/>
      <c r="NG36" s="123"/>
      <c r="NH36" s="123"/>
      <c r="NI36" s="123"/>
      <c r="NJ36" s="123"/>
      <c r="NK36" s="123"/>
      <c r="NM36">
        <f t="shared" si="156"/>
        <v>0</v>
      </c>
      <c r="NN36">
        <f t="shared" si="157"/>
        <v>0</v>
      </c>
      <c r="NO36">
        <f t="shared" si="158"/>
        <v>0</v>
      </c>
      <c r="NP36">
        <f t="shared" si="159"/>
        <v>0</v>
      </c>
      <c r="NQ36">
        <f t="shared" si="160"/>
        <v>0</v>
      </c>
      <c r="NR36">
        <f t="shared" si="161"/>
        <v>0</v>
      </c>
      <c r="NS36">
        <f t="shared" si="162"/>
        <v>0</v>
      </c>
      <c r="NT36">
        <f t="shared" si="163"/>
        <v>0</v>
      </c>
      <c r="NU36" s="29">
        <f t="shared" si="164"/>
        <v>0</v>
      </c>
      <c r="NY36" s="29">
        <f t="shared" si="108"/>
        <v>1</v>
      </c>
      <c r="NZ36" s="152">
        <v>8036000</v>
      </c>
      <c r="OE36" s="155">
        <f t="shared" si="109"/>
        <v>0</v>
      </c>
      <c r="OF36" s="155">
        <f t="shared" si="110"/>
        <v>0</v>
      </c>
      <c r="OG36" s="155">
        <f t="shared" si="111"/>
        <v>0</v>
      </c>
      <c r="OH36" s="155">
        <f t="shared" si="165"/>
        <v>0</v>
      </c>
      <c r="OI36" s="155">
        <f t="shared" si="112"/>
        <v>0</v>
      </c>
      <c r="OJ36" s="67">
        <f t="shared" si="166"/>
        <v>0</v>
      </c>
      <c r="OK36" s="67">
        <f t="shared" si="167"/>
        <v>0</v>
      </c>
      <c r="OL36" s="67">
        <f t="shared" si="168"/>
        <v>0</v>
      </c>
      <c r="OM36" s="67">
        <f t="shared" si="169"/>
        <v>0</v>
      </c>
      <c r="OO36" s="155">
        <f t="shared" si="113"/>
        <v>0</v>
      </c>
      <c r="OP36" s="155">
        <f t="shared" si="114"/>
        <v>0</v>
      </c>
      <c r="OQ36" s="155">
        <f t="shared" si="170"/>
        <v>0</v>
      </c>
      <c r="OR36" s="155">
        <f t="shared" si="171"/>
        <v>0</v>
      </c>
      <c r="OS36" s="155">
        <f t="shared" si="172"/>
        <v>0</v>
      </c>
      <c r="OT36" s="67">
        <f t="shared" si="173"/>
        <v>0</v>
      </c>
      <c r="OU36" s="67">
        <f t="shared" si="174"/>
        <v>0</v>
      </c>
      <c r="OV36" s="67">
        <f t="shared" si="175"/>
        <v>0</v>
      </c>
      <c r="OW36" s="67">
        <f t="shared" si="176"/>
        <v>0</v>
      </c>
      <c r="PA36" s="166"/>
      <c r="PB36" s="166"/>
      <c r="PC36" s="166"/>
      <c r="PD36" s="210">
        <f t="shared" si="115"/>
        <v>0</v>
      </c>
      <c r="PE36" s="210"/>
      <c r="PF36" s="210">
        <f t="shared" si="116"/>
        <v>0</v>
      </c>
      <c r="PG36" s="210">
        <f t="shared" si="117"/>
        <v>0</v>
      </c>
      <c r="PH36" s="210">
        <f t="shared" si="117"/>
        <v>0</v>
      </c>
      <c r="PI36" s="210">
        <f t="shared" si="117"/>
        <v>0</v>
      </c>
      <c r="PJ36" s="210">
        <f t="shared" si="117"/>
        <v>0</v>
      </c>
      <c r="PK36" s="210">
        <f t="shared" si="117"/>
        <v>0</v>
      </c>
      <c r="PL36" s="210">
        <f t="shared" si="117"/>
        <v>0</v>
      </c>
      <c r="PO36" s="172">
        <f t="shared" si="177"/>
        <v>0</v>
      </c>
      <c r="PP36" s="172">
        <f t="shared" si="178"/>
        <v>0</v>
      </c>
      <c r="PQ36" s="172">
        <f t="shared" si="179"/>
        <v>0</v>
      </c>
    </row>
    <row r="37" spans="1:433" ht="16" x14ac:dyDescent="0.2">
      <c r="A37" s="19">
        <f t="shared" si="180"/>
        <v>29</v>
      </c>
      <c r="B37" s="138" t="s">
        <v>241</v>
      </c>
      <c r="C37" s="138">
        <v>30</v>
      </c>
      <c r="D37" s="20">
        <v>1</v>
      </c>
      <c r="E37" s="20">
        <v>54</v>
      </c>
      <c r="F37" s="20">
        <v>1</v>
      </c>
      <c r="G37" s="20">
        <f t="shared" si="2"/>
        <v>54</v>
      </c>
      <c r="H37" s="137">
        <f t="shared" si="3"/>
        <v>1</v>
      </c>
      <c r="I37" s="137">
        <f t="shared" si="4"/>
        <v>1</v>
      </c>
      <c r="J37" s="20">
        <v>1</v>
      </c>
      <c r="K37" s="20">
        <f t="shared" si="5"/>
        <v>54</v>
      </c>
      <c r="L37" s="137">
        <f t="shared" si="6"/>
        <v>1</v>
      </c>
      <c r="M37" s="137">
        <f t="shared" si="7"/>
        <v>1</v>
      </c>
      <c r="N37" s="20">
        <v>1</v>
      </c>
      <c r="O37" s="20">
        <f t="shared" si="8"/>
        <v>54</v>
      </c>
      <c r="P37" s="137">
        <f t="shared" si="9"/>
        <v>1</v>
      </c>
      <c r="Q37" s="137">
        <f t="shared" si="10"/>
        <v>1</v>
      </c>
      <c r="R37" s="20">
        <v>1</v>
      </c>
      <c r="S37" s="20">
        <f t="shared" si="11"/>
        <v>54</v>
      </c>
      <c r="T37" s="137">
        <f t="shared" si="12"/>
        <v>1</v>
      </c>
      <c r="U37" s="137">
        <f t="shared" si="13"/>
        <v>1</v>
      </c>
      <c r="V37" s="20">
        <v>1</v>
      </c>
      <c r="W37" s="20">
        <f t="shared" si="14"/>
        <v>54</v>
      </c>
      <c r="X37" s="137">
        <f t="shared" si="15"/>
        <v>1</v>
      </c>
      <c r="Y37" s="137">
        <f t="shared" si="16"/>
        <v>1</v>
      </c>
      <c r="Z37" s="42">
        <f>810364000/1000000000</f>
        <v>0.81036399999999997</v>
      </c>
      <c r="AA37" s="42"/>
      <c r="AB37" s="17">
        <f t="shared" si="118"/>
        <v>0</v>
      </c>
      <c r="AC37" s="18">
        <f t="shared" si="119"/>
        <v>0</v>
      </c>
      <c r="AD37" s="18">
        <f t="shared" si="120"/>
        <v>0</v>
      </c>
      <c r="AE37" s="42"/>
      <c r="AF37" s="20">
        <f t="shared" si="121"/>
        <v>0</v>
      </c>
      <c r="AG37" s="20"/>
      <c r="AH37" s="17"/>
      <c r="AI37" s="20">
        <v>0</v>
      </c>
      <c r="AJ37" s="20">
        <f t="shared" si="181"/>
        <v>0</v>
      </c>
      <c r="AK37" s="20"/>
      <c r="AL37" s="20"/>
      <c r="AM37" s="20">
        <v>0</v>
      </c>
      <c r="AN37" s="139"/>
      <c r="BB37" s="17">
        <f t="shared" si="123"/>
        <v>0</v>
      </c>
      <c r="BE37" s="17">
        <f t="shared" si="19"/>
        <v>0</v>
      </c>
      <c r="BF37" s="17">
        <f t="shared" si="20"/>
        <v>0</v>
      </c>
      <c r="BG37" s="17">
        <f t="shared" si="21"/>
        <v>0</v>
      </c>
      <c r="BH37" s="17">
        <f t="shared" si="22"/>
        <v>0</v>
      </c>
      <c r="BI37" s="17">
        <f t="shared" si="23"/>
        <v>0</v>
      </c>
      <c r="BJ37" s="17">
        <f t="shared" si="24"/>
        <v>0</v>
      </c>
      <c r="BK37" s="17">
        <f t="shared" si="124"/>
        <v>0</v>
      </c>
      <c r="BN37" s="141"/>
      <c r="BO37" s="284"/>
      <c r="BP37" s="139"/>
      <c r="BQ37" s="139"/>
      <c r="BR37" s="139"/>
      <c r="BS37" s="139"/>
      <c r="BT37" s="139"/>
      <c r="BU37" s="139"/>
      <c r="BV37" s="139"/>
      <c r="BW37" s="139"/>
      <c r="BX37" s="139"/>
      <c r="BY37" s="139"/>
      <c r="BZ37" s="139"/>
      <c r="CB37" s="139"/>
      <c r="CD37" s="17">
        <f t="shared" si="125"/>
        <v>0</v>
      </c>
      <c r="CE37" s="17">
        <f t="shared" si="126"/>
        <v>0</v>
      </c>
      <c r="CF37" s="139">
        <f t="shared" si="182"/>
        <v>0</v>
      </c>
      <c r="CG37" s="139">
        <f t="shared" si="183"/>
        <v>0</v>
      </c>
      <c r="CH37" s="139">
        <f t="shared" si="184"/>
        <v>0</v>
      </c>
      <c r="CI37" s="139">
        <f t="shared" si="185"/>
        <v>0</v>
      </c>
      <c r="CJ37" s="139">
        <f t="shared" si="186"/>
        <v>0</v>
      </c>
      <c r="CK37" s="139">
        <f t="shared" si="187"/>
        <v>0</v>
      </c>
      <c r="CL37" s="139">
        <f t="shared" si="188"/>
        <v>0</v>
      </c>
      <c r="CM37" s="139">
        <f t="shared" si="189"/>
        <v>0</v>
      </c>
      <c r="CN37" s="139">
        <f t="shared" si="190"/>
        <v>0</v>
      </c>
      <c r="CO37" s="139">
        <f t="shared" si="191"/>
        <v>0</v>
      </c>
      <c r="CP37" s="139">
        <f t="shared" si="192"/>
        <v>0</v>
      </c>
      <c r="CQ37" s="148">
        <f t="shared" si="27"/>
        <v>0</v>
      </c>
      <c r="DV37" s="139">
        <f t="shared" si="28"/>
        <v>0</v>
      </c>
      <c r="DW37" s="139">
        <f t="shared" si="29"/>
        <v>0</v>
      </c>
      <c r="DX37" s="139">
        <f t="shared" si="30"/>
        <v>0</v>
      </c>
      <c r="DY37" s="139">
        <f t="shared" si="31"/>
        <v>0</v>
      </c>
      <c r="DZ37" s="139">
        <f t="shared" si="32"/>
        <v>0</v>
      </c>
      <c r="EA37" s="139">
        <f t="shared" si="33"/>
        <v>0</v>
      </c>
      <c r="EB37" s="139">
        <f t="shared" si="127"/>
        <v>0</v>
      </c>
      <c r="EG37" s="57">
        <f t="shared" si="128"/>
        <v>0</v>
      </c>
      <c r="EH37" s="57">
        <f t="shared" si="129"/>
        <v>0</v>
      </c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X37" s="80"/>
      <c r="FY37" s="17">
        <f t="shared" si="130"/>
        <v>0</v>
      </c>
      <c r="FZ37" s="17">
        <f t="shared" si="35"/>
        <v>0</v>
      </c>
      <c r="GA37" s="17">
        <f t="shared" si="36"/>
        <v>0</v>
      </c>
      <c r="GB37" s="17">
        <f t="shared" si="37"/>
        <v>0</v>
      </c>
      <c r="GC37" s="17">
        <f t="shared" si="38"/>
        <v>0</v>
      </c>
      <c r="GD37" s="17">
        <f t="shared" si="39"/>
        <v>0</v>
      </c>
      <c r="GE37" s="17">
        <f t="shared" si="40"/>
        <v>0</v>
      </c>
      <c r="GF37" s="67"/>
      <c r="GG37" s="17">
        <v>0</v>
      </c>
      <c r="GH37" s="17">
        <v>0</v>
      </c>
      <c r="GI37" s="67"/>
      <c r="GJ37" s="62">
        <f t="shared" si="131"/>
        <v>0</v>
      </c>
      <c r="GK37" s="62">
        <f t="shared" si="132"/>
        <v>0</v>
      </c>
      <c r="GO37" s="17">
        <f t="shared" si="41"/>
        <v>0</v>
      </c>
      <c r="GP37" s="17">
        <f t="shared" si="42"/>
        <v>0</v>
      </c>
      <c r="GQ37" s="17">
        <f t="shared" si="43"/>
        <v>0</v>
      </c>
      <c r="GR37" s="17">
        <f t="shared" si="44"/>
        <v>0</v>
      </c>
      <c r="GS37" s="17">
        <f t="shared" si="45"/>
        <v>0</v>
      </c>
      <c r="GT37" s="17">
        <f t="shared" si="133"/>
        <v>1</v>
      </c>
      <c r="GU37" s="101">
        <f t="shared" si="134"/>
        <v>43243</v>
      </c>
      <c r="GV37" s="17" t="str">
        <f t="shared" si="135"/>
        <v>SELESAI</v>
      </c>
      <c r="GW37" s="17">
        <f t="shared" si="136"/>
        <v>0</v>
      </c>
      <c r="GX37" s="66" t="str">
        <f t="shared" si="137"/>
        <v>SELESAI</v>
      </c>
      <c r="GY37" s="66">
        <f t="shared" si="138"/>
        <v>0</v>
      </c>
      <c r="GZ37" s="102" t="str">
        <f t="shared" si="139"/>
        <v>SELESAI</v>
      </c>
      <c r="HA37" s="83"/>
      <c r="HB37" s="83"/>
      <c r="HC37" s="17">
        <f t="shared" si="46"/>
        <v>0</v>
      </c>
      <c r="HD37" s="17">
        <f t="shared" si="47"/>
        <v>0</v>
      </c>
      <c r="HE37" s="17">
        <f t="shared" si="140"/>
        <v>0</v>
      </c>
      <c r="HF37" s="17">
        <f t="shared" si="141"/>
        <v>0</v>
      </c>
      <c r="HG37" s="17">
        <f t="shared" si="142"/>
        <v>0</v>
      </c>
      <c r="HH37" s="101" t="str">
        <f t="shared" si="48"/>
        <v>TIDAK KONSINYASI</v>
      </c>
      <c r="HI37" s="101" t="str">
        <f t="shared" si="143"/>
        <v>SELESAI</v>
      </c>
      <c r="HJ37" s="27"/>
      <c r="HK37" s="101">
        <f t="shared" si="49"/>
        <v>0</v>
      </c>
      <c r="HL37" s="83"/>
      <c r="HM37" s="83"/>
      <c r="HN37" s="83"/>
      <c r="HO37" s="83"/>
      <c r="HP37" s="102">
        <f t="shared" si="144"/>
        <v>0</v>
      </c>
      <c r="HQ37" s="66">
        <f t="shared" si="145"/>
        <v>0</v>
      </c>
      <c r="HR37" s="66">
        <f t="shared" si="50"/>
        <v>0</v>
      </c>
      <c r="HS37" s="102">
        <f t="shared" si="146"/>
        <v>0</v>
      </c>
      <c r="HT37" s="66">
        <f t="shared" si="147"/>
        <v>0</v>
      </c>
      <c r="HU37" s="66">
        <f t="shared" si="51"/>
        <v>0</v>
      </c>
      <c r="HV37" s="102">
        <f t="shared" si="148"/>
        <v>0</v>
      </c>
      <c r="HW37" s="66">
        <f t="shared" si="52"/>
        <v>0</v>
      </c>
      <c r="HX37" s="66">
        <f t="shared" si="53"/>
        <v>0</v>
      </c>
      <c r="HY37" s="102">
        <f t="shared" si="54"/>
        <v>0</v>
      </c>
      <c r="HZ37" s="66">
        <f t="shared" si="149"/>
        <v>0</v>
      </c>
      <c r="IA37" s="66">
        <f t="shared" si="55"/>
        <v>0</v>
      </c>
      <c r="IB37" s="102">
        <f t="shared" si="150"/>
        <v>0</v>
      </c>
      <c r="IC37" s="66">
        <f t="shared" si="56"/>
        <v>0</v>
      </c>
      <c r="ID37" s="66">
        <f t="shared" si="57"/>
        <v>0</v>
      </c>
      <c r="IE37" s="102">
        <f t="shared" si="58"/>
        <v>0</v>
      </c>
      <c r="IF37" s="66">
        <f t="shared" si="59"/>
        <v>0</v>
      </c>
      <c r="IG37" s="66">
        <f t="shared" si="60"/>
        <v>0</v>
      </c>
      <c r="IH37" s="102">
        <f t="shared" si="151"/>
        <v>0</v>
      </c>
      <c r="II37" s="66">
        <f t="shared" si="152"/>
        <v>0</v>
      </c>
      <c r="IJ37" s="66">
        <f t="shared" si="61"/>
        <v>0</v>
      </c>
      <c r="IK37" s="102">
        <f t="shared" si="62"/>
        <v>0</v>
      </c>
      <c r="IL37" s="66">
        <f t="shared" si="63"/>
        <v>0</v>
      </c>
      <c r="IM37" s="66">
        <f t="shared" si="64"/>
        <v>0</v>
      </c>
      <c r="IN37" s="83"/>
      <c r="IO37" s="102">
        <f t="shared" si="65"/>
        <v>0</v>
      </c>
      <c r="IP37" s="66">
        <f t="shared" si="66"/>
        <v>0</v>
      </c>
      <c r="IQ37" s="66">
        <f t="shared" si="67"/>
        <v>0</v>
      </c>
      <c r="IR37" s="83"/>
      <c r="IS37" s="102"/>
      <c r="IT37" s="66">
        <f t="shared" si="68"/>
        <v>1</v>
      </c>
      <c r="IU37" s="66">
        <f t="shared" si="69"/>
        <v>54</v>
      </c>
      <c r="IV37" s="83"/>
      <c r="IW37" s="102"/>
      <c r="IX37" s="66">
        <f t="shared" si="70"/>
        <v>0</v>
      </c>
      <c r="IY37" s="66">
        <f t="shared" si="71"/>
        <v>0</v>
      </c>
      <c r="IZ37" s="83"/>
      <c r="JA37" s="102"/>
      <c r="JB37" s="66">
        <f t="shared" si="72"/>
        <v>0</v>
      </c>
      <c r="JC37" s="66">
        <f t="shared" si="73"/>
        <v>0</v>
      </c>
      <c r="JD37" s="83"/>
      <c r="JE37" s="102"/>
      <c r="JF37" s="66">
        <f t="shared" si="153"/>
        <v>1</v>
      </c>
      <c r="JG37" s="66">
        <f t="shared" si="74"/>
        <v>54</v>
      </c>
      <c r="JH37" s="83"/>
      <c r="JI37" s="102"/>
      <c r="JJ37" s="66">
        <f t="shared" si="75"/>
        <v>0</v>
      </c>
      <c r="JK37" s="66">
        <f t="shared" si="76"/>
        <v>0</v>
      </c>
      <c r="JM37" s="102">
        <f t="shared" si="154"/>
        <v>0</v>
      </c>
      <c r="JO37" s="29">
        <f t="shared" si="77"/>
        <v>0</v>
      </c>
      <c r="JP37" s="122">
        <f t="shared" si="78"/>
        <v>0</v>
      </c>
      <c r="JQ37" s="122">
        <f t="shared" si="79"/>
        <v>0</v>
      </c>
      <c r="JR37" s="122">
        <f t="shared" si="80"/>
        <v>0</v>
      </c>
      <c r="JS37" s="122">
        <f t="shared" si="81"/>
        <v>0</v>
      </c>
      <c r="JT37" s="122">
        <f t="shared" si="82"/>
        <v>0</v>
      </c>
      <c r="JU37" s="122">
        <f t="shared" si="83"/>
        <v>0</v>
      </c>
      <c r="JV37" s="122">
        <f t="shared" si="84"/>
        <v>0</v>
      </c>
      <c r="JW37" s="122">
        <f t="shared" si="85"/>
        <v>0</v>
      </c>
      <c r="JX37" s="122">
        <f t="shared" si="86"/>
        <v>0</v>
      </c>
      <c r="JY37" s="122">
        <f t="shared" si="87"/>
        <v>0</v>
      </c>
      <c r="JZ37" s="122">
        <f t="shared" si="88"/>
        <v>0</v>
      </c>
      <c r="KA37" s="122">
        <f t="shared" si="89"/>
        <v>0</v>
      </c>
      <c r="KB37" s="122">
        <f t="shared" si="90"/>
        <v>0</v>
      </c>
      <c r="KD37" s="122">
        <f t="shared" si="155"/>
        <v>0</v>
      </c>
      <c r="KE37" s="122">
        <f t="shared" si="92"/>
        <v>0</v>
      </c>
      <c r="KF37" s="122">
        <f t="shared" si="93"/>
        <v>0</v>
      </c>
      <c r="KG37" s="122">
        <f t="shared" si="94"/>
        <v>0</v>
      </c>
      <c r="KH37" s="122">
        <f t="shared" si="95"/>
        <v>0</v>
      </c>
      <c r="KI37" s="122">
        <f t="shared" si="96"/>
        <v>0</v>
      </c>
      <c r="KJ37" s="122">
        <f t="shared" si="97"/>
        <v>0</v>
      </c>
      <c r="KK37" s="122">
        <f t="shared" si="98"/>
        <v>0</v>
      </c>
      <c r="KL37" s="122">
        <f t="shared" si="99"/>
        <v>0</v>
      </c>
      <c r="KM37" s="122">
        <f t="shared" si="100"/>
        <v>0</v>
      </c>
      <c r="KN37" s="123">
        <f t="shared" si="101"/>
        <v>0</v>
      </c>
      <c r="KO37" s="123">
        <f t="shared" si="102"/>
        <v>0</v>
      </c>
      <c r="KP37" s="123">
        <f t="shared" si="103"/>
        <v>0</v>
      </c>
      <c r="KQ37" s="123">
        <f t="shared" si="104"/>
        <v>0</v>
      </c>
      <c r="KR37" s="123">
        <f t="shared" si="105"/>
        <v>0</v>
      </c>
      <c r="KT37">
        <f t="shared" si="106"/>
        <v>0</v>
      </c>
      <c r="KU37" s="123"/>
      <c r="KV37" s="123"/>
      <c r="KW37" s="123"/>
      <c r="KX37" s="123"/>
      <c r="KY37" s="123"/>
      <c r="KZ37" s="123"/>
      <c r="LA37" s="123"/>
      <c r="LB37" s="123"/>
      <c r="LC37" s="123"/>
      <c r="LD37" s="123"/>
      <c r="LE37" s="123"/>
      <c r="LF37" s="123"/>
      <c r="LG37" s="123"/>
      <c r="LH37" s="123"/>
      <c r="LI37" s="123"/>
      <c r="LJ37" s="123"/>
      <c r="LK37" s="123"/>
      <c r="LL37" s="123"/>
      <c r="LM37" s="123"/>
      <c r="LN37" s="123"/>
      <c r="LO37" s="123"/>
      <c r="LP37" s="123"/>
      <c r="LQ37" s="123"/>
      <c r="LR37" s="123"/>
      <c r="LS37" s="123"/>
      <c r="LT37" s="123"/>
      <c r="LU37" s="123"/>
      <c r="LV37" s="123"/>
      <c r="LW37" s="123"/>
      <c r="LX37" s="123"/>
      <c r="LY37" s="123"/>
      <c r="LZ37" s="123"/>
      <c r="MA37" s="123"/>
      <c r="MB37" s="123"/>
      <c r="MC37" s="123"/>
      <c r="MD37" s="123"/>
      <c r="ME37" s="123"/>
      <c r="MF37" s="123"/>
      <c r="MG37" s="123"/>
      <c r="MH37" s="123"/>
      <c r="MI37" s="123"/>
      <c r="MJ37" s="123"/>
      <c r="MK37" s="123"/>
      <c r="ML37" s="123"/>
      <c r="MM37" s="123"/>
      <c r="MN37" s="123"/>
      <c r="MO37" s="123"/>
      <c r="MP37" s="123"/>
      <c r="MQ37" s="123"/>
      <c r="MR37" s="123"/>
      <c r="MS37" s="123"/>
      <c r="MT37" s="123"/>
      <c r="MU37" s="123"/>
      <c r="MV37" s="123"/>
      <c r="MW37" s="123"/>
      <c r="MX37" s="123"/>
      <c r="MY37" s="123"/>
      <c r="MZ37" s="123"/>
      <c r="NA37" s="123"/>
      <c r="NB37" s="123"/>
      <c r="NC37" s="123"/>
      <c r="ND37" s="123"/>
      <c r="NE37" s="123"/>
      <c r="NF37" s="123"/>
      <c r="NG37" s="123"/>
      <c r="NH37" s="123"/>
      <c r="NI37" s="123"/>
      <c r="NJ37" s="123"/>
      <c r="NK37" s="123"/>
      <c r="NM37">
        <f t="shared" si="156"/>
        <v>0</v>
      </c>
      <c r="NN37">
        <f t="shared" si="157"/>
        <v>0</v>
      </c>
      <c r="NO37">
        <f t="shared" si="158"/>
        <v>0</v>
      </c>
      <c r="NP37">
        <f t="shared" si="159"/>
        <v>0</v>
      </c>
      <c r="NQ37">
        <f t="shared" si="160"/>
        <v>0</v>
      </c>
      <c r="NR37">
        <f t="shared" si="161"/>
        <v>0</v>
      </c>
      <c r="NS37">
        <f t="shared" si="162"/>
        <v>0</v>
      </c>
      <c r="NT37">
        <f t="shared" si="163"/>
        <v>0</v>
      </c>
      <c r="NU37" s="29">
        <f t="shared" si="164"/>
        <v>0</v>
      </c>
      <c r="NY37" s="29">
        <f t="shared" si="108"/>
        <v>1</v>
      </c>
      <c r="NZ37" s="152">
        <v>8036000</v>
      </c>
      <c r="OE37" s="155">
        <f t="shared" si="109"/>
        <v>0</v>
      </c>
      <c r="OF37" s="155">
        <f t="shared" si="110"/>
        <v>0</v>
      </c>
      <c r="OG37" s="155">
        <f t="shared" si="111"/>
        <v>0</v>
      </c>
      <c r="OH37" s="155">
        <f t="shared" si="165"/>
        <v>0</v>
      </c>
      <c r="OI37" s="155">
        <f t="shared" si="112"/>
        <v>0</v>
      </c>
      <c r="OJ37" s="67">
        <f t="shared" si="166"/>
        <v>0</v>
      </c>
      <c r="OK37" s="67">
        <f t="shared" si="167"/>
        <v>0</v>
      </c>
      <c r="OL37" s="67">
        <f t="shared" si="168"/>
        <v>0</v>
      </c>
      <c r="OM37" s="67">
        <f t="shared" si="169"/>
        <v>0</v>
      </c>
      <c r="OO37" s="155">
        <f t="shared" si="113"/>
        <v>0</v>
      </c>
      <c r="OP37" s="155">
        <f t="shared" si="114"/>
        <v>0</v>
      </c>
      <c r="OQ37" s="155">
        <f t="shared" si="170"/>
        <v>0</v>
      </c>
      <c r="OR37" s="155">
        <f t="shared" si="171"/>
        <v>0</v>
      </c>
      <c r="OS37" s="155">
        <f t="shared" si="172"/>
        <v>0</v>
      </c>
      <c r="OT37" s="67">
        <f t="shared" si="173"/>
        <v>0</v>
      </c>
      <c r="OU37" s="67">
        <f t="shared" si="174"/>
        <v>0</v>
      </c>
      <c r="OV37" s="67">
        <f t="shared" si="175"/>
        <v>0</v>
      </c>
      <c r="OW37" s="67">
        <f t="shared" si="176"/>
        <v>0</v>
      </c>
      <c r="PA37" s="166"/>
      <c r="PB37" s="166"/>
      <c r="PC37" s="166"/>
      <c r="PD37" s="210">
        <f t="shared" si="115"/>
        <v>0</v>
      </c>
      <c r="PE37" s="210"/>
      <c r="PF37" s="210">
        <f t="shared" si="116"/>
        <v>0</v>
      </c>
      <c r="PG37" s="210">
        <f t="shared" si="117"/>
        <v>0</v>
      </c>
      <c r="PH37" s="210">
        <f t="shared" si="117"/>
        <v>0</v>
      </c>
      <c r="PI37" s="210">
        <f t="shared" si="117"/>
        <v>0</v>
      </c>
      <c r="PJ37" s="210">
        <f t="shared" si="117"/>
        <v>0</v>
      </c>
      <c r="PK37" s="210">
        <f t="shared" si="117"/>
        <v>0</v>
      </c>
      <c r="PL37" s="210">
        <f t="shared" si="117"/>
        <v>0</v>
      </c>
      <c r="PO37" s="172">
        <f t="shared" si="177"/>
        <v>0</v>
      </c>
      <c r="PP37" s="172">
        <f t="shared" si="178"/>
        <v>0</v>
      </c>
      <c r="PQ37" s="172">
        <f t="shared" si="179"/>
        <v>0</v>
      </c>
    </row>
    <row r="38" spans="1:433" ht="16" x14ac:dyDescent="0.2">
      <c r="A38" s="19">
        <f t="shared" si="180"/>
        <v>30</v>
      </c>
      <c r="B38" s="138" t="s">
        <v>392</v>
      </c>
      <c r="C38" s="138">
        <v>31</v>
      </c>
      <c r="D38" s="20">
        <v>1</v>
      </c>
      <c r="E38" s="20">
        <v>62</v>
      </c>
      <c r="F38" s="20">
        <v>1</v>
      </c>
      <c r="G38" s="20">
        <f t="shared" si="2"/>
        <v>62</v>
      </c>
      <c r="H38" s="137">
        <f t="shared" si="3"/>
        <v>1</v>
      </c>
      <c r="I38" s="137">
        <f t="shared" si="4"/>
        <v>1</v>
      </c>
      <c r="J38" s="20">
        <v>1</v>
      </c>
      <c r="K38" s="20">
        <f t="shared" si="5"/>
        <v>62</v>
      </c>
      <c r="L38" s="137">
        <f t="shared" si="6"/>
        <v>1</v>
      </c>
      <c r="M38" s="137">
        <f t="shared" si="7"/>
        <v>1</v>
      </c>
      <c r="N38" s="20">
        <v>1</v>
      </c>
      <c r="O38" s="20">
        <f t="shared" si="8"/>
        <v>62</v>
      </c>
      <c r="P38" s="137">
        <f t="shared" si="9"/>
        <v>1</v>
      </c>
      <c r="Q38" s="137">
        <f t="shared" si="10"/>
        <v>1</v>
      </c>
      <c r="R38" s="20">
        <v>1</v>
      </c>
      <c r="S38" s="20">
        <f t="shared" si="11"/>
        <v>62</v>
      </c>
      <c r="T38" s="137">
        <f t="shared" si="12"/>
        <v>1</v>
      </c>
      <c r="U38" s="137">
        <f t="shared" si="13"/>
        <v>1</v>
      </c>
      <c r="V38" s="20">
        <v>1</v>
      </c>
      <c r="W38" s="20">
        <f t="shared" si="14"/>
        <v>62</v>
      </c>
      <c r="X38" s="137">
        <f t="shared" si="15"/>
        <v>1</v>
      </c>
      <c r="Y38" s="137">
        <f t="shared" si="16"/>
        <v>1</v>
      </c>
      <c r="Z38" s="42">
        <f>1161501000/1000000000</f>
        <v>1.1615009999999999</v>
      </c>
      <c r="AA38" s="42"/>
      <c r="AB38" s="17">
        <f t="shared" si="118"/>
        <v>0</v>
      </c>
      <c r="AC38" s="18">
        <f t="shared" si="119"/>
        <v>0</v>
      </c>
      <c r="AD38" s="18">
        <f t="shared" si="120"/>
        <v>0</v>
      </c>
      <c r="AE38" s="42"/>
      <c r="AF38" s="20">
        <f t="shared" si="121"/>
        <v>0</v>
      </c>
      <c r="AG38" s="20"/>
      <c r="AH38" s="17"/>
      <c r="AI38" s="20">
        <v>0</v>
      </c>
      <c r="AJ38" s="20">
        <f t="shared" si="181"/>
        <v>0</v>
      </c>
      <c r="AK38" s="20"/>
      <c r="AL38" s="20"/>
      <c r="AM38" s="20">
        <v>0</v>
      </c>
      <c r="AN38" s="139"/>
      <c r="BB38" s="17">
        <f t="shared" si="123"/>
        <v>0</v>
      </c>
      <c r="BE38" s="17">
        <f t="shared" si="19"/>
        <v>0</v>
      </c>
      <c r="BF38" s="17">
        <f t="shared" si="20"/>
        <v>0</v>
      </c>
      <c r="BG38" s="17">
        <f t="shared" si="21"/>
        <v>0</v>
      </c>
      <c r="BH38" s="17">
        <f t="shared" si="22"/>
        <v>0</v>
      </c>
      <c r="BI38" s="17">
        <f t="shared" si="23"/>
        <v>0</v>
      </c>
      <c r="BJ38" s="17">
        <f t="shared" si="24"/>
        <v>0</v>
      </c>
      <c r="BK38" s="17">
        <f t="shared" si="124"/>
        <v>0</v>
      </c>
      <c r="BN38" s="142"/>
      <c r="BP38" s="139"/>
      <c r="BQ38" s="139"/>
      <c r="BR38" s="139"/>
      <c r="BS38" s="139"/>
      <c r="BT38" s="139"/>
      <c r="BU38" s="139"/>
      <c r="BV38" s="139"/>
      <c r="BW38" s="139"/>
      <c r="BX38" s="139"/>
      <c r="BY38" s="139"/>
      <c r="BZ38" s="139"/>
      <c r="CB38" s="139"/>
      <c r="CD38" s="17">
        <f t="shared" si="125"/>
        <v>0</v>
      </c>
      <c r="CE38" s="17">
        <f t="shared" si="126"/>
        <v>0</v>
      </c>
      <c r="CF38" s="139">
        <f t="shared" si="182"/>
        <v>0</v>
      </c>
      <c r="CG38" s="139">
        <f t="shared" si="183"/>
        <v>0</v>
      </c>
      <c r="CH38" s="139">
        <f t="shared" si="184"/>
        <v>0</v>
      </c>
      <c r="CI38" s="139">
        <f t="shared" si="185"/>
        <v>0</v>
      </c>
      <c r="CJ38" s="139">
        <f t="shared" si="186"/>
        <v>0</v>
      </c>
      <c r="CK38" s="139">
        <f t="shared" si="187"/>
        <v>0</v>
      </c>
      <c r="CL38" s="139">
        <f t="shared" si="188"/>
        <v>0</v>
      </c>
      <c r="CM38" s="139">
        <f t="shared" si="189"/>
        <v>0</v>
      </c>
      <c r="CN38" s="139">
        <f t="shared" si="190"/>
        <v>0</v>
      </c>
      <c r="CO38" s="139">
        <f t="shared" si="191"/>
        <v>0</v>
      </c>
      <c r="CP38" s="139">
        <f t="shared" si="192"/>
        <v>0</v>
      </c>
      <c r="CQ38" s="148">
        <f t="shared" si="27"/>
        <v>0</v>
      </c>
      <c r="DV38" s="139">
        <f t="shared" si="28"/>
        <v>0</v>
      </c>
      <c r="DW38" s="139">
        <f t="shared" si="29"/>
        <v>0</v>
      </c>
      <c r="DX38" s="139">
        <f t="shared" si="30"/>
        <v>0</v>
      </c>
      <c r="DY38" s="139">
        <f t="shared" si="31"/>
        <v>0</v>
      </c>
      <c r="DZ38" s="139">
        <f t="shared" si="32"/>
        <v>0</v>
      </c>
      <c r="EA38" s="139">
        <f t="shared" si="33"/>
        <v>0</v>
      </c>
      <c r="EB38" s="139">
        <f t="shared" si="127"/>
        <v>0</v>
      </c>
      <c r="EG38" s="57">
        <f t="shared" si="128"/>
        <v>0</v>
      </c>
      <c r="EH38" s="57">
        <f t="shared" si="129"/>
        <v>0</v>
      </c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X38" s="80"/>
      <c r="FY38" s="17">
        <f t="shared" si="130"/>
        <v>0</v>
      </c>
      <c r="FZ38" s="17">
        <f t="shared" si="35"/>
        <v>0</v>
      </c>
      <c r="GA38" s="17">
        <f t="shared" si="36"/>
        <v>0</v>
      </c>
      <c r="GB38" s="17">
        <f t="shared" si="37"/>
        <v>0</v>
      </c>
      <c r="GC38" s="17">
        <f t="shared" si="38"/>
        <v>0</v>
      </c>
      <c r="GD38" s="17">
        <f t="shared" si="39"/>
        <v>0</v>
      </c>
      <c r="GE38" s="17">
        <f t="shared" si="40"/>
        <v>0</v>
      </c>
      <c r="GF38" s="67"/>
      <c r="GG38" s="17">
        <v>0</v>
      </c>
      <c r="GH38" s="17">
        <v>0</v>
      </c>
      <c r="GI38" s="67"/>
      <c r="GJ38" s="62">
        <f t="shared" si="131"/>
        <v>0</v>
      </c>
      <c r="GK38" s="62">
        <f t="shared" si="132"/>
        <v>0</v>
      </c>
      <c r="GO38" s="17">
        <f t="shared" si="41"/>
        <v>0</v>
      </c>
      <c r="GP38" s="17">
        <f t="shared" si="42"/>
        <v>0</v>
      </c>
      <c r="GQ38" s="17">
        <f t="shared" si="43"/>
        <v>0</v>
      </c>
      <c r="GR38" s="17">
        <f t="shared" si="44"/>
        <v>0</v>
      </c>
      <c r="GS38" s="17">
        <f t="shared" si="45"/>
        <v>0</v>
      </c>
      <c r="GT38" s="17">
        <f t="shared" si="133"/>
        <v>1</v>
      </c>
      <c r="GU38" s="101">
        <f t="shared" si="134"/>
        <v>43243</v>
      </c>
      <c r="GV38" s="17" t="str">
        <f t="shared" si="135"/>
        <v>SELESAI</v>
      </c>
      <c r="GW38" s="17">
        <f t="shared" si="136"/>
        <v>0</v>
      </c>
      <c r="GX38" s="66" t="str">
        <f t="shared" si="137"/>
        <v>SELESAI</v>
      </c>
      <c r="GY38" s="66">
        <f t="shared" si="138"/>
        <v>0</v>
      </c>
      <c r="GZ38" s="102" t="str">
        <f t="shared" si="139"/>
        <v>SELESAI</v>
      </c>
      <c r="HA38" s="83"/>
      <c r="HB38" s="83"/>
      <c r="HC38" s="17">
        <f t="shared" si="46"/>
        <v>0</v>
      </c>
      <c r="HD38" s="17">
        <f t="shared" si="47"/>
        <v>0</v>
      </c>
      <c r="HE38" s="17">
        <f t="shared" si="140"/>
        <v>0</v>
      </c>
      <c r="HF38" s="17">
        <f t="shared" si="141"/>
        <v>0</v>
      </c>
      <c r="HG38" s="17">
        <f t="shared" si="142"/>
        <v>0</v>
      </c>
      <c r="HH38" s="101" t="str">
        <f t="shared" si="48"/>
        <v>TIDAK KONSINYASI</v>
      </c>
      <c r="HI38" s="101" t="str">
        <f t="shared" si="143"/>
        <v>SELESAI</v>
      </c>
      <c r="HJ38" s="27"/>
      <c r="HK38" s="101">
        <f t="shared" si="49"/>
        <v>0</v>
      </c>
      <c r="HL38" s="83"/>
      <c r="HM38" s="83"/>
      <c r="HN38" s="83"/>
      <c r="HO38" s="83"/>
      <c r="HP38" s="102">
        <f t="shared" si="144"/>
        <v>0</v>
      </c>
      <c r="HQ38" s="66">
        <f t="shared" si="145"/>
        <v>0</v>
      </c>
      <c r="HR38" s="66">
        <f t="shared" si="50"/>
        <v>0</v>
      </c>
      <c r="HS38" s="102">
        <f t="shared" si="146"/>
        <v>0</v>
      </c>
      <c r="HT38" s="66">
        <f t="shared" si="147"/>
        <v>0</v>
      </c>
      <c r="HU38" s="66">
        <f t="shared" si="51"/>
        <v>0</v>
      </c>
      <c r="HV38" s="102">
        <f t="shared" si="148"/>
        <v>0</v>
      </c>
      <c r="HW38" s="66">
        <f t="shared" si="52"/>
        <v>0</v>
      </c>
      <c r="HX38" s="66">
        <f t="shared" si="53"/>
        <v>0</v>
      </c>
      <c r="HY38" s="102">
        <f t="shared" si="54"/>
        <v>0</v>
      </c>
      <c r="HZ38" s="66">
        <f t="shared" si="149"/>
        <v>0</v>
      </c>
      <c r="IA38" s="66">
        <f t="shared" si="55"/>
        <v>0</v>
      </c>
      <c r="IB38" s="102">
        <f t="shared" si="150"/>
        <v>0</v>
      </c>
      <c r="IC38" s="66">
        <f t="shared" si="56"/>
        <v>0</v>
      </c>
      <c r="ID38" s="66">
        <f t="shared" si="57"/>
        <v>0</v>
      </c>
      <c r="IE38" s="102">
        <f t="shared" si="58"/>
        <v>0</v>
      </c>
      <c r="IF38" s="66">
        <f t="shared" si="59"/>
        <v>0</v>
      </c>
      <c r="IG38" s="66">
        <f t="shared" si="60"/>
        <v>0</v>
      </c>
      <c r="IH38" s="102">
        <f t="shared" si="151"/>
        <v>0</v>
      </c>
      <c r="II38" s="66">
        <f t="shared" si="152"/>
        <v>0</v>
      </c>
      <c r="IJ38" s="66">
        <f t="shared" si="61"/>
        <v>0</v>
      </c>
      <c r="IK38" s="102">
        <f t="shared" si="62"/>
        <v>0</v>
      </c>
      <c r="IL38" s="66">
        <f t="shared" si="63"/>
        <v>0</v>
      </c>
      <c r="IM38" s="66">
        <f t="shared" si="64"/>
        <v>0</v>
      </c>
      <c r="IN38" s="83"/>
      <c r="IO38" s="102">
        <f t="shared" si="65"/>
        <v>0</v>
      </c>
      <c r="IP38" s="66">
        <f t="shared" si="66"/>
        <v>0</v>
      </c>
      <c r="IQ38" s="66">
        <f t="shared" si="67"/>
        <v>0</v>
      </c>
      <c r="IR38" s="83"/>
      <c r="IS38" s="102"/>
      <c r="IT38" s="66">
        <f t="shared" si="68"/>
        <v>1</v>
      </c>
      <c r="IU38" s="66">
        <f t="shared" si="69"/>
        <v>62</v>
      </c>
      <c r="IV38" s="83"/>
      <c r="IW38" s="102"/>
      <c r="IX38" s="66">
        <f t="shared" si="70"/>
        <v>0</v>
      </c>
      <c r="IY38" s="66">
        <f t="shared" si="71"/>
        <v>0</v>
      </c>
      <c r="IZ38" s="83"/>
      <c r="JA38" s="102"/>
      <c r="JB38" s="66">
        <f t="shared" si="72"/>
        <v>0</v>
      </c>
      <c r="JC38" s="66">
        <f t="shared" si="73"/>
        <v>0</v>
      </c>
      <c r="JD38" s="83"/>
      <c r="JE38" s="102"/>
      <c r="JF38" s="66">
        <f t="shared" si="153"/>
        <v>1</v>
      </c>
      <c r="JG38" s="66">
        <f t="shared" si="74"/>
        <v>62</v>
      </c>
      <c r="JH38" s="83"/>
      <c r="JI38" s="102"/>
      <c r="JJ38" s="66">
        <f t="shared" si="75"/>
        <v>0</v>
      </c>
      <c r="JK38" s="66">
        <f t="shared" si="76"/>
        <v>0</v>
      </c>
      <c r="JM38" s="102">
        <f t="shared" si="154"/>
        <v>0</v>
      </c>
      <c r="JO38" s="29">
        <f t="shared" si="77"/>
        <v>0</v>
      </c>
      <c r="JP38" s="122">
        <f t="shared" si="78"/>
        <v>0</v>
      </c>
      <c r="JQ38" s="122">
        <f t="shared" si="79"/>
        <v>0</v>
      </c>
      <c r="JR38" s="122">
        <f t="shared" si="80"/>
        <v>0</v>
      </c>
      <c r="JS38" s="122">
        <f t="shared" si="81"/>
        <v>0</v>
      </c>
      <c r="JT38" s="122">
        <f t="shared" si="82"/>
        <v>0</v>
      </c>
      <c r="JU38" s="122">
        <f t="shared" si="83"/>
        <v>0</v>
      </c>
      <c r="JV38" s="122">
        <f t="shared" si="84"/>
        <v>0</v>
      </c>
      <c r="JW38" s="122">
        <f t="shared" si="85"/>
        <v>0</v>
      </c>
      <c r="JX38" s="122">
        <f t="shared" si="86"/>
        <v>0</v>
      </c>
      <c r="JY38" s="122">
        <f t="shared" si="87"/>
        <v>0</v>
      </c>
      <c r="JZ38" s="122">
        <f t="shared" si="88"/>
        <v>0</v>
      </c>
      <c r="KA38" s="122">
        <f t="shared" si="89"/>
        <v>0</v>
      </c>
      <c r="KB38" s="122">
        <f t="shared" si="90"/>
        <v>0</v>
      </c>
      <c r="KD38" s="122">
        <f t="shared" si="155"/>
        <v>0</v>
      </c>
      <c r="KE38" s="122">
        <f t="shared" si="92"/>
        <v>0</v>
      </c>
      <c r="KF38" s="122">
        <f t="shared" si="93"/>
        <v>0</v>
      </c>
      <c r="KG38" s="122">
        <f t="shared" si="94"/>
        <v>0</v>
      </c>
      <c r="KH38" s="122">
        <f t="shared" si="95"/>
        <v>0</v>
      </c>
      <c r="KI38" s="122">
        <f t="shared" si="96"/>
        <v>0</v>
      </c>
      <c r="KJ38" s="122">
        <f t="shared" si="97"/>
        <v>0</v>
      </c>
      <c r="KK38" s="122">
        <f t="shared" si="98"/>
        <v>0</v>
      </c>
      <c r="KL38" s="122">
        <f t="shared" si="99"/>
        <v>0</v>
      </c>
      <c r="KM38" s="122">
        <f t="shared" si="100"/>
        <v>0</v>
      </c>
      <c r="KN38" s="123">
        <f t="shared" si="101"/>
        <v>0</v>
      </c>
      <c r="KO38" s="123">
        <f t="shared" si="102"/>
        <v>0</v>
      </c>
      <c r="KP38" s="123">
        <f t="shared" si="103"/>
        <v>0</v>
      </c>
      <c r="KQ38" s="123">
        <f t="shared" si="104"/>
        <v>0</v>
      </c>
      <c r="KR38" s="123">
        <f t="shared" si="105"/>
        <v>0</v>
      </c>
      <c r="KT38">
        <f t="shared" si="106"/>
        <v>0</v>
      </c>
      <c r="KU38" s="123"/>
      <c r="KV38" s="123"/>
      <c r="KW38" s="123"/>
      <c r="KX38" s="123"/>
      <c r="KY38" s="123"/>
      <c r="KZ38" s="123"/>
      <c r="LA38" s="123"/>
      <c r="LB38" s="123"/>
      <c r="LC38" s="123"/>
      <c r="LD38" s="123"/>
      <c r="LE38" s="123"/>
      <c r="LF38" s="123"/>
      <c r="LG38" s="123"/>
      <c r="LH38" s="123"/>
      <c r="LI38" s="123"/>
      <c r="LJ38" s="123"/>
      <c r="LK38" s="123"/>
      <c r="LL38" s="123"/>
      <c r="LM38" s="123"/>
      <c r="LN38" s="123"/>
      <c r="LO38" s="123"/>
      <c r="LP38" s="123"/>
      <c r="LQ38" s="123"/>
      <c r="LR38" s="123"/>
      <c r="LS38" s="123"/>
      <c r="LT38" s="123"/>
      <c r="LU38" s="123"/>
      <c r="LV38" s="123"/>
      <c r="LW38" s="123"/>
      <c r="LX38" s="123"/>
      <c r="LY38" s="123"/>
      <c r="LZ38" s="123"/>
      <c r="MA38" s="123"/>
      <c r="MB38" s="123"/>
      <c r="MC38" s="123"/>
      <c r="MD38" s="123"/>
      <c r="ME38" s="123"/>
      <c r="MF38" s="123"/>
      <c r="MG38" s="123"/>
      <c r="MH38" s="123"/>
      <c r="MI38" s="123"/>
      <c r="MJ38" s="123"/>
      <c r="MK38" s="123"/>
      <c r="ML38" s="123"/>
      <c r="MM38" s="123"/>
      <c r="MN38" s="123"/>
      <c r="MO38" s="123"/>
      <c r="MP38" s="123"/>
      <c r="MQ38" s="123"/>
      <c r="MR38" s="123"/>
      <c r="MS38" s="123"/>
      <c r="MT38" s="123"/>
      <c r="MU38" s="123"/>
      <c r="MV38" s="123"/>
      <c r="MW38" s="123"/>
      <c r="MX38" s="123"/>
      <c r="MY38" s="123"/>
      <c r="MZ38" s="123"/>
      <c r="NA38" s="123"/>
      <c r="NB38" s="123"/>
      <c r="NC38" s="123"/>
      <c r="ND38" s="123"/>
      <c r="NE38" s="123"/>
      <c r="NF38" s="123"/>
      <c r="NG38" s="123"/>
      <c r="NH38" s="123"/>
      <c r="NI38" s="123"/>
      <c r="NJ38" s="123"/>
      <c r="NK38" s="123"/>
      <c r="NM38">
        <f t="shared" si="156"/>
        <v>0</v>
      </c>
      <c r="NN38">
        <f t="shared" si="157"/>
        <v>0</v>
      </c>
      <c r="NO38">
        <f t="shared" si="158"/>
        <v>0</v>
      </c>
      <c r="NP38">
        <f t="shared" si="159"/>
        <v>0</v>
      </c>
      <c r="NQ38">
        <f t="shared" si="160"/>
        <v>0</v>
      </c>
      <c r="NR38">
        <f t="shared" si="161"/>
        <v>0</v>
      </c>
      <c r="NS38">
        <f t="shared" si="162"/>
        <v>0</v>
      </c>
      <c r="NT38">
        <f t="shared" si="163"/>
        <v>0</v>
      </c>
      <c r="NU38" s="29">
        <f t="shared" si="164"/>
        <v>0</v>
      </c>
      <c r="NY38" s="29">
        <f t="shared" si="108"/>
        <v>1</v>
      </c>
      <c r="NZ38" s="152">
        <v>8036000</v>
      </c>
      <c r="OE38" s="155">
        <f t="shared" si="109"/>
        <v>0</v>
      </c>
      <c r="OF38" s="155">
        <f t="shared" si="110"/>
        <v>0</v>
      </c>
      <c r="OG38" s="155">
        <f t="shared" si="111"/>
        <v>0</v>
      </c>
      <c r="OH38" s="155">
        <f t="shared" si="165"/>
        <v>0</v>
      </c>
      <c r="OI38" s="155">
        <f t="shared" si="112"/>
        <v>0</v>
      </c>
      <c r="OJ38" s="67">
        <f t="shared" si="166"/>
        <v>0</v>
      </c>
      <c r="OK38" s="67">
        <f t="shared" si="167"/>
        <v>0</v>
      </c>
      <c r="OL38" s="67">
        <f t="shared" si="168"/>
        <v>0</v>
      </c>
      <c r="OM38" s="67">
        <f t="shared" si="169"/>
        <v>0</v>
      </c>
      <c r="OO38" s="155">
        <f t="shared" si="113"/>
        <v>0</v>
      </c>
      <c r="OP38" s="155">
        <f t="shared" si="114"/>
        <v>0</v>
      </c>
      <c r="OQ38" s="155">
        <f t="shared" si="170"/>
        <v>0</v>
      </c>
      <c r="OR38" s="155">
        <f t="shared" si="171"/>
        <v>0</v>
      </c>
      <c r="OS38" s="155">
        <f t="shared" si="172"/>
        <v>0</v>
      </c>
      <c r="OT38" s="67">
        <f t="shared" si="173"/>
        <v>0</v>
      </c>
      <c r="OU38" s="67">
        <f t="shared" si="174"/>
        <v>0</v>
      </c>
      <c r="OV38" s="67">
        <f t="shared" si="175"/>
        <v>0</v>
      </c>
      <c r="OW38" s="67">
        <f t="shared" si="176"/>
        <v>0</v>
      </c>
      <c r="PA38" s="166"/>
      <c r="PB38" s="166"/>
      <c r="PC38" s="166"/>
      <c r="PD38" s="210">
        <f t="shared" si="115"/>
        <v>0</v>
      </c>
      <c r="PE38" s="210"/>
      <c r="PF38" s="210">
        <f t="shared" si="116"/>
        <v>0</v>
      </c>
      <c r="PG38" s="210">
        <f t="shared" si="117"/>
        <v>0</v>
      </c>
      <c r="PH38" s="210">
        <f t="shared" si="117"/>
        <v>0</v>
      </c>
      <c r="PI38" s="210">
        <f t="shared" si="117"/>
        <v>0</v>
      </c>
      <c r="PJ38" s="210">
        <f t="shared" si="117"/>
        <v>0</v>
      </c>
      <c r="PK38" s="210">
        <f t="shared" si="117"/>
        <v>0</v>
      </c>
      <c r="PL38" s="210">
        <f t="shared" si="117"/>
        <v>0</v>
      </c>
      <c r="PO38" s="172">
        <f t="shared" si="177"/>
        <v>0</v>
      </c>
      <c r="PP38" s="172">
        <f t="shared" si="178"/>
        <v>0</v>
      </c>
      <c r="PQ38" s="172">
        <f t="shared" si="179"/>
        <v>0</v>
      </c>
    </row>
    <row r="39" spans="1:433" ht="16" x14ac:dyDescent="0.2">
      <c r="A39" s="19">
        <f t="shared" si="180"/>
        <v>31</v>
      </c>
      <c r="B39" s="138" t="s">
        <v>244</v>
      </c>
      <c r="C39" s="138">
        <v>32</v>
      </c>
      <c r="D39" s="20">
        <v>1</v>
      </c>
      <c r="E39" s="20">
        <v>126</v>
      </c>
      <c r="F39" s="20">
        <v>1</v>
      </c>
      <c r="G39" s="20">
        <f t="shared" si="2"/>
        <v>126</v>
      </c>
      <c r="H39" s="137">
        <f t="shared" si="3"/>
        <v>1</v>
      </c>
      <c r="I39" s="137">
        <f t="shared" si="4"/>
        <v>1</v>
      </c>
      <c r="J39" s="20">
        <v>1</v>
      </c>
      <c r="K39" s="20">
        <f t="shared" si="5"/>
        <v>126</v>
      </c>
      <c r="L39" s="137">
        <f t="shared" si="6"/>
        <v>1</v>
      </c>
      <c r="M39" s="137">
        <f t="shared" si="7"/>
        <v>1</v>
      </c>
      <c r="N39" s="20">
        <v>1</v>
      </c>
      <c r="O39" s="20">
        <f t="shared" si="8"/>
        <v>126</v>
      </c>
      <c r="P39" s="137">
        <f t="shared" si="9"/>
        <v>1</v>
      </c>
      <c r="Q39" s="137">
        <f t="shared" si="10"/>
        <v>1</v>
      </c>
      <c r="R39" s="20">
        <v>1</v>
      </c>
      <c r="S39" s="20">
        <f t="shared" si="11"/>
        <v>126</v>
      </c>
      <c r="T39" s="137">
        <f t="shared" si="12"/>
        <v>1</v>
      </c>
      <c r="U39" s="137">
        <f t="shared" si="13"/>
        <v>1</v>
      </c>
      <c r="V39" s="20">
        <v>1</v>
      </c>
      <c r="W39" s="20">
        <f t="shared" si="14"/>
        <v>126</v>
      </c>
      <c r="X39" s="137">
        <f t="shared" si="15"/>
        <v>1</v>
      </c>
      <c r="Y39" s="137">
        <f t="shared" si="16"/>
        <v>1</v>
      </c>
      <c r="Z39" s="42">
        <f>1558814000/1000000000</f>
        <v>1.5588139999999999</v>
      </c>
      <c r="AA39" s="42"/>
      <c r="AB39" s="17">
        <f t="shared" si="118"/>
        <v>0</v>
      </c>
      <c r="AC39" s="18">
        <f t="shared" si="119"/>
        <v>0</v>
      </c>
      <c r="AD39" s="18">
        <f t="shared" si="120"/>
        <v>0</v>
      </c>
      <c r="AE39" s="42"/>
      <c r="AF39" s="20">
        <f t="shared" si="121"/>
        <v>0</v>
      </c>
      <c r="AG39" s="20"/>
      <c r="AH39" s="17"/>
      <c r="AI39" s="20">
        <v>0</v>
      </c>
      <c r="AJ39" s="20">
        <f t="shared" si="181"/>
        <v>0</v>
      </c>
      <c r="AK39" s="20"/>
      <c r="AL39" s="20"/>
      <c r="AM39" s="20">
        <v>0</v>
      </c>
      <c r="AN39" s="139"/>
      <c r="BB39" s="17">
        <f t="shared" si="123"/>
        <v>0</v>
      </c>
      <c r="BE39" s="17">
        <f t="shared" si="19"/>
        <v>0</v>
      </c>
      <c r="BF39" s="17">
        <f t="shared" si="20"/>
        <v>0</v>
      </c>
      <c r="BG39" s="17">
        <f t="shared" si="21"/>
        <v>0</v>
      </c>
      <c r="BH39" s="17">
        <f t="shared" si="22"/>
        <v>0</v>
      </c>
      <c r="BI39" s="17">
        <f t="shared" si="23"/>
        <v>0</v>
      </c>
      <c r="BJ39" s="17">
        <f t="shared" si="24"/>
        <v>0</v>
      </c>
      <c r="BK39" s="17">
        <f t="shared" si="124"/>
        <v>0</v>
      </c>
      <c r="BN39" s="142">
        <v>44</v>
      </c>
      <c r="BO39">
        <v>1</v>
      </c>
      <c r="BP39" s="139"/>
      <c r="BQ39" s="139"/>
      <c r="BR39" s="139"/>
      <c r="BS39" s="139"/>
      <c r="BT39" s="139"/>
      <c r="BU39" s="139"/>
      <c r="BV39" s="139"/>
      <c r="BW39" s="139"/>
      <c r="BX39" s="139"/>
      <c r="BY39" s="139"/>
      <c r="BZ39" s="139"/>
      <c r="CB39" s="139"/>
      <c r="CD39" s="17">
        <f t="shared" si="125"/>
        <v>44</v>
      </c>
      <c r="CE39" s="17">
        <f t="shared" si="126"/>
        <v>44</v>
      </c>
      <c r="CF39" s="139">
        <f t="shared" si="182"/>
        <v>0</v>
      </c>
      <c r="CG39" s="139">
        <f t="shared" si="183"/>
        <v>0</v>
      </c>
      <c r="CH39" s="139">
        <f t="shared" si="184"/>
        <v>0</v>
      </c>
      <c r="CI39" s="139">
        <f t="shared" si="185"/>
        <v>0</v>
      </c>
      <c r="CJ39" s="139">
        <f t="shared" si="186"/>
        <v>0</v>
      </c>
      <c r="CK39" s="139">
        <f t="shared" si="187"/>
        <v>0</v>
      </c>
      <c r="CL39" s="139">
        <f t="shared" si="188"/>
        <v>0</v>
      </c>
      <c r="CM39" s="139">
        <f t="shared" si="189"/>
        <v>0</v>
      </c>
      <c r="CN39" s="139">
        <f t="shared" si="190"/>
        <v>0</v>
      </c>
      <c r="CO39" s="139">
        <f t="shared" si="191"/>
        <v>0</v>
      </c>
      <c r="CP39" s="139">
        <f t="shared" si="192"/>
        <v>0</v>
      </c>
      <c r="CQ39" s="148">
        <f t="shared" si="27"/>
        <v>0</v>
      </c>
      <c r="DV39" s="139">
        <f t="shared" si="28"/>
        <v>0</v>
      </c>
      <c r="DW39" s="139">
        <f t="shared" si="29"/>
        <v>0</v>
      </c>
      <c r="DX39" s="139">
        <f t="shared" si="30"/>
        <v>0</v>
      </c>
      <c r="DY39" s="139">
        <f t="shared" si="31"/>
        <v>0</v>
      </c>
      <c r="DZ39" s="139">
        <f t="shared" si="32"/>
        <v>0</v>
      </c>
      <c r="EA39" s="139">
        <f t="shared" si="33"/>
        <v>0</v>
      </c>
      <c r="EB39" s="139">
        <f t="shared" si="127"/>
        <v>0</v>
      </c>
      <c r="EG39" s="57">
        <f t="shared" si="128"/>
        <v>0</v>
      </c>
      <c r="EH39" s="57">
        <f t="shared" si="129"/>
        <v>0</v>
      </c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X39" s="80">
        <v>1</v>
      </c>
      <c r="FY39" s="17">
        <f t="shared" si="130"/>
        <v>44</v>
      </c>
      <c r="FZ39" s="17">
        <f t="shared" si="35"/>
        <v>44</v>
      </c>
      <c r="GA39" s="17">
        <f t="shared" si="36"/>
        <v>0</v>
      </c>
      <c r="GB39" s="17">
        <f t="shared" si="37"/>
        <v>0</v>
      </c>
      <c r="GC39" s="17">
        <f t="shared" si="38"/>
        <v>0</v>
      </c>
      <c r="GD39" s="17">
        <f t="shared" si="39"/>
        <v>0</v>
      </c>
      <c r="GE39" s="17">
        <f t="shared" si="40"/>
        <v>0</v>
      </c>
      <c r="GF39" s="67"/>
      <c r="GG39" s="17">
        <v>0</v>
      </c>
      <c r="GH39" s="17">
        <v>0</v>
      </c>
      <c r="GI39" s="67"/>
      <c r="GJ39" s="62">
        <f t="shared" si="131"/>
        <v>0</v>
      </c>
      <c r="GK39" s="62">
        <f t="shared" si="132"/>
        <v>0</v>
      </c>
      <c r="GO39" s="17">
        <f t="shared" si="41"/>
        <v>0</v>
      </c>
      <c r="GP39" s="17">
        <f t="shared" si="42"/>
        <v>0</v>
      </c>
      <c r="GQ39" s="17">
        <f t="shared" si="43"/>
        <v>0</v>
      </c>
      <c r="GR39" s="17">
        <f t="shared" si="44"/>
        <v>0</v>
      </c>
      <c r="GS39" s="17">
        <f t="shared" si="45"/>
        <v>0</v>
      </c>
      <c r="GT39" s="17">
        <f t="shared" si="133"/>
        <v>1</v>
      </c>
      <c r="GU39" s="101">
        <f t="shared" si="134"/>
        <v>43243</v>
      </c>
      <c r="GV39" s="17" t="str">
        <f t="shared" si="135"/>
        <v>SELESAI</v>
      </c>
      <c r="GW39" s="17">
        <f t="shared" si="136"/>
        <v>0</v>
      </c>
      <c r="GX39" s="66" t="str">
        <f t="shared" si="137"/>
        <v>SELESAI</v>
      </c>
      <c r="GY39" s="66">
        <f t="shared" si="138"/>
        <v>0</v>
      </c>
      <c r="GZ39" s="102" t="str">
        <f t="shared" si="139"/>
        <v>SELESAI</v>
      </c>
      <c r="HA39" s="83"/>
      <c r="HB39" s="83"/>
      <c r="HC39" s="17">
        <f t="shared" si="46"/>
        <v>0</v>
      </c>
      <c r="HD39" s="17">
        <f t="shared" si="47"/>
        <v>0</v>
      </c>
      <c r="HE39" s="17">
        <f t="shared" si="140"/>
        <v>0</v>
      </c>
      <c r="HF39" s="17">
        <f t="shared" si="141"/>
        <v>0</v>
      </c>
      <c r="HG39" s="17">
        <f t="shared" si="142"/>
        <v>0</v>
      </c>
      <c r="HH39" s="101" t="str">
        <f t="shared" si="48"/>
        <v>TIDAK KONSINYASI</v>
      </c>
      <c r="HI39" s="101" t="str">
        <f t="shared" si="143"/>
        <v>SELESAI</v>
      </c>
      <c r="HJ39" s="27"/>
      <c r="HK39" s="101">
        <f t="shared" si="49"/>
        <v>0</v>
      </c>
      <c r="HL39" s="83"/>
      <c r="HM39" s="83"/>
      <c r="HN39" s="83"/>
      <c r="HO39" s="83"/>
      <c r="HP39" s="102">
        <f t="shared" si="144"/>
        <v>0</v>
      </c>
      <c r="HQ39" s="66">
        <f t="shared" si="145"/>
        <v>0</v>
      </c>
      <c r="HR39" s="66">
        <f t="shared" si="50"/>
        <v>0</v>
      </c>
      <c r="HS39" s="102">
        <f t="shared" si="146"/>
        <v>0</v>
      </c>
      <c r="HT39" s="66">
        <f t="shared" si="147"/>
        <v>0</v>
      </c>
      <c r="HU39" s="66">
        <f t="shared" si="51"/>
        <v>0</v>
      </c>
      <c r="HV39" s="102">
        <f t="shared" si="148"/>
        <v>0</v>
      </c>
      <c r="HW39" s="66">
        <f t="shared" si="52"/>
        <v>0</v>
      </c>
      <c r="HX39" s="66">
        <f t="shared" si="53"/>
        <v>0</v>
      </c>
      <c r="HY39" s="102">
        <f t="shared" si="54"/>
        <v>0</v>
      </c>
      <c r="HZ39" s="66">
        <f t="shared" si="149"/>
        <v>0</v>
      </c>
      <c r="IA39" s="66">
        <f t="shared" si="55"/>
        <v>0</v>
      </c>
      <c r="IB39" s="102">
        <f t="shared" si="150"/>
        <v>0</v>
      </c>
      <c r="IC39" s="66">
        <f t="shared" si="56"/>
        <v>0</v>
      </c>
      <c r="ID39" s="66">
        <f t="shared" si="57"/>
        <v>0</v>
      </c>
      <c r="IE39" s="102">
        <f t="shared" si="58"/>
        <v>0</v>
      </c>
      <c r="IF39" s="66">
        <f t="shared" si="59"/>
        <v>0</v>
      </c>
      <c r="IG39" s="66">
        <f t="shared" si="60"/>
        <v>0</v>
      </c>
      <c r="IH39" s="102">
        <f t="shared" si="151"/>
        <v>0</v>
      </c>
      <c r="II39" s="66">
        <f t="shared" si="152"/>
        <v>0</v>
      </c>
      <c r="IJ39" s="66">
        <f t="shared" si="61"/>
        <v>0</v>
      </c>
      <c r="IK39" s="102">
        <f t="shared" si="62"/>
        <v>0</v>
      </c>
      <c r="IL39" s="66">
        <f t="shared" si="63"/>
        <v>0</v>
      </c>
      <c r="IM39" s="66">
        <f t="shared" si="64"/>
        <v>0</v>
      </c>
      <c r="IN39" s="83"/>
      <c r="IO39" s="102">
        <f t="shared" si="65"/>
        <v>0</v>
      </c>
      <c r="IP39" s="66">
        <f t="shared" si="66"/>
        <v>0</v>
      </c>
      <c r="IQ39" s="66">
        <f t="shared" si="67"/>
        <v>0</v>
      </c>
      <c r="IR39" s="83"/>
      <c r="IS39" s="102"/>
      <c r="IT39" s="66">
        <f t="shared" si="68"/>
        <v>1</v>
      </c>
      <c r="IU39" s="66">
        <f t="shared" si="69"/>
        <v>126</v>
      </c>
      <c r="IV39" s="83"/>
      <c r="IW39" s="102"/>
      <c r="IX39" s="66">
        <f t="shared" si="70"/>
        <v>0</v>
      </c>
      <c r="IY39" s="66">
        <f t="shared" si="71"/>
        <v>0</v>
      </c>
      <c r="IZ39" s="83"/>
      <c r="JA39" s="102"/>
      <c r="JB39" s="66">
        <f t="shared" si="72"/>
        <v>0</v>
      </c>
      <c r="JC39" s="66">
        <f t="shared" si="73"/>
        <v>0</v>
      </c>
      <c r="JD39" s="83"/>
      <c r="JE39" s="102"/>
      <c r="JF39" s="66">
        <f t="shared" si="153"/>
        <v>1</v>
      </c>
      <c r="JG39" s="66">
        <f t="shared" si="74"/>
        <v>126</v>
      </c>
      <c r="JH39" s="83"/>
      <c r="JI39" s="102"/>
      <c r="JJ39" s="66">
        <f t="shared" si="75"/>
        <v>0</v>
      </c>
      <c r="JK39" s="66">
        <f t="shared" si="76"/>
        <v>0</v>
      </c>
      <c r="JM39" s="102">
        <f t="shared" si="154"/>
        <v>0</v>
      </c>
      <c r="JO39" s="29">
        <f t="shared" si="77"/>
        <v>1</v>
      </c>
      <c r="JP39" s="122">
        <f t="shared" si="78"/>
        <v>44</v>
      </c>
      <c r="JQ39" s="122">
        <f t="shared" si="79"/>
        <v>1</v>
      </c>
      <c r="JR39" s="122">
        <f t="shared" si="80"/>
        <v>0</v>
      </c>
      <c r="JS39" s="122">
        <f t="shared" si="81"/>
        <v>0</v>
      </c>
      <c r="JT39" s="122">
        <f t="shared" si="82"/>
        <v>0</v>
      </c>
      <c r="JU39" s="122">
        <f t="shared" si="83"/>
        <v>0</v>
      </c>
      <c r="JV39" s="122">
        <f t="shared" si="84"/>
        <v>0</v>
      </c>
      <c r="JW39" s="122">
        <f t="shared" si="85"/>
        <v>0</v>
      </c>
      <c r="JX39" s="122">
        <f t="shared" si="86"/>
        <v>0</v>
      </c>
      <c r="JY39" s="122">
        <f t="shared" si="87"/>
        <v>0</v>
      </c>
      <c r="JZ39" s="122">
        <f t="shared" si="88"/>
        <v>0</v>
      </c>
      <c r="KA39" s="122">
        <f t="shared" si="89"/>
        <v>0</v>
      </c>
      <c r="KB39" s="122">
        <f t="shared" si="90"/>
        <v>0</v>
      </c>
      <c r="KD39" s="122">
        <f t="shared" si="155"/>
        <v>0</v>
      </c>
      <c r="KE39" s="122">
        <f t="shared" si="92"/>
        <v>0</v>
      </c>
      <c r="KF39" s="122">
        <f t="shared" si="93"/>
        <v>44</v>
      </c>
      <c r="KG39" s="122">
        <f t="shared" si="94"/>
        <v>44</v>
      </c>
      <c r="KH39" s="122">
        <f t="shared" si="95"/>
        <v>0</v>
      </c>
      <c r="KI39" s="122">
        <f t="shared" si="96"/>
        <v>0</v>
      </c>
      <c r="KJ39" s="122">
        <f t="shared" si="97"/>
        <v>0</v>
      </c>
      <c r="KK39" s="122">
        <f t="shared" si="98"/>
        <v>0</v>
      </c>
      <c r="KL39" s="122">
        <f t="shared" si="99"/>
        <v>0</v>
      </c>
      <c r="KM39" s="122">
        <f t="shared" si="100"/>
        <v>0</v>
      </c>
      <c r="KN39" s="123">
        <f t="shared" si="101"/>
        <v>0</v>
      </c>
      <c r="KO39" s="123">
        <f t="shared" si="102"/>
        <v>0</v>
      </c>
      <c r="KP39" s="123">
        <f t="shared" si="103"/>
        <v>0</v>
      </c>
      <c r="KQ39" s="123">
        <f t="shared" si="104"/>
        <v>0</v>
      </c>
      <c r="KR39" s="123">
        <f t="shared" si="105"/>
        <v>0</v>
      </c>
      <c r="KT39">
        <f t="shared" si="106"/>
        <v>0</v>
      </c>
      <c r="KU39" s="123"/>
      <c r="KV39" s="123"/>
      <c r="KW39" s="123"/>
      <c r="KX39" s="123"/>
      <c r="KY39" s="123"/>
      <c r="KZ39" s="123"/>
      <c r="LA39" s="123"/>
      <c r="LB39" s="123"/>
      <c r="LC39" s="123"/>
      <c r="LD39" s="123"/>
      <c r="LE39" s="123"/>
      <c r="LF39" s="123"/>
      <c r="LG39" s="123"/>
      <c r="LH39" s="123"/>
      <c r="LI39" s="123"/>
      <c r="LJ39" s="123"/>
      <c r="LK39" s="123"/>
      <c r="LL39" s="123"/>
      <c r="LM39" s="123"/>
      <c r="LN39" s="123"/>
      <c r="LO39" s="123"/>
      <c r="LP39" s="123"/>
      <c r="LQ39" s="123"/>
      <c r="LR39" s="123"/>
      <c r="LS39" s="123"/>
      <c r="LT39" s="123"/>
      <c r="LU39" s="123"/>
      <c r="LV39" s="123"/>
      <c r="LW39" s="123"/>
      <c r="LX39" s="123"/>
      <c r="LY39" s="123"/>
      <c r="LZ39" s="123"/>
      <c r="MA39" s="123"/>
      <c r="MB39" s="123"/>
      <c r="MC39" s="123"/>
      <c r="MD39" s="123"/>
      <c r="ME39" s="123"/>
      <c r="MF39" s="123"/>
      <c r="MG39" s="123"/>
      <c r="MH39" s="123"/>
      <c r="MI39" s="123"/>
      <c r="MJ39" s="123"/>
      <c r="MK39" s="123"/>
      <c r="ML39" s="123"/>
      <c r="MM39" s="123"/>
      <c r="MN39" s="123"/>
      <c r="MO39" s="123"/>
      <c r="MP39" s="123"/>
      <c r="MQ39" s="123"/>
      <c r="MR39" s="123"/>
      <c r="MS39" s="123"/>
      <c r="MT39" s="123"/>
      <c r="MU39" s="123"/>
      <c r="MV39" s="123"/>
      <c r="MW39" s="123"/>
      <c r="MX39" s="123"/>
      <c r="MY39" s="123"/>
      <c r="MZ39" s="123"/>
      <c r="NA39" s="123"/>
      <c r="NB39" s="123"/>
      <c r="NC39" s="123"/>
      <c r="ND39" s="123"/>
      <c r="NE39" s="123"/>
      <c r="NF39" s="123"/>
      <c r="NG39" s="123"/>
      <c r="NH39" s="123"/>
      <c r="NI39" s="123"/>
      <c r="NJ39" s="123"/>
      <c r="NK39" s="123"/>
      <c r="NM39">
        <f t="shared" si="156"/>
        <v>0</v>
      </c>
      <c r="NN39">
        <f t="shared" si="157"/>
        <v>0</v>
      </c>
      <c r="NO39">
        <f t="shared" si="158"/>
        <v>0</v>
      </c>
      <c r="NP39">
        <f t="shared" si="159"/>
        <v>0</v>
      </c>
      <c r="NQ39">
        <f t="shared" si="160"/>
        <v>0</v>
      </c>
      <c r="NR39">
        <f t="shared" si="161"/>
        <v>0</v>
      </c>
      <c r="NS39">
        <f t="shared" si="162"/>
        <v>0</v>
      </c>
      <c r="NT39">
        <f t="shared" si="163"/>
        <v>0</v>
      </c>
      <c r="NU39" s="29">
        <f t="shared" si="164"/>
        <v>0</v>
      </c>
      <c r="NY39" s="29">
        <f t="shared" si="108"/>
        <v>1</v>
      </c>
      <c r="NZ39" s="152">
        <v>8036000</v>
      </c>
      <c r="OE39" s="155">
        <f t="shared" si="109"/>
        <v>0</v>
      </c>
      <c r="OF39" s="155">
        <f t="shared" si="110"/>
        <v>0</v>
      </c>
      <c r="OG39" s="155">
        <f t="shared" si="111"/>
        <v>0</v>
      </c>
      <c r="OH39" s="155">
        <f t="shared" si="165"/>
        <v>0</v>
      </c>
      <c r="OI39" s="155">
        <f t="shared" si="112"/>
        <v>0</v>
      </c>
      <c r="OJ39" s="67">
        <f t="shared" si="166"/>
        <v>0</v>
      </c>
      <c r="OK39" s="67">
        <f t="shared" si="167"/>
        <v>0</v>
      </c>
      <c r="OL39" s="67">
        <f t="shared" si="168"/>
        <v>0</v>
      </c>
      <c r="OM39" s="67">
        <f t="shared" si="169"/>
        <v>0</v>
      </c>
      <c r="OO39" s="155">
        <f t="shared" si="113"/>
        <v>0</v>
      </c>
      <c r="OP39" s="155">
        <f t="shared" si="114"/>
        <v>0</v>
      </c>
      <c r="OQ39" s="155">
        <f t="shared" si="170"/>
        <v>0</v>
      </c>
      <c r="OR39" s="155">
        <f t="shared" si="171"/>
        <v>0</v>
      </c>
      <c r="OS39" s="155">
        <f t="shared" si="172"/>
        <v>0</v>
      </c>
      <c r="OT39" s="67">
        <f t="shared" si="173"/>
        <v>0</v>
      </c>
      <c r="OU39" s="67">
        <f t="shared" si="174"/>
        <v>0</v>
      </c>
      <c r="OV39" s="67">
        <f t="shared" si="175"/>
        <v>0</v>
      </c>
      <c r="OW39" s="67">
        <f t="shared" si="176"/>
        <v>0</v>
      </c>
      <c r="PA39" s="166"/>
      <c r="PB39" s="166"/>
      <c r="PC39" s="166"/>
      <c r="PD39" s="210">
        <f t="shared" si="115"/>
        <v>0</v>
      </c>
      <c r="PE39" s="210"/>
      <c r="PF39" s="210">
        <f t="shared" si="116"/>
        <v>0</v>
      </c>
      <c r="PG39" s="210">
        <f t="shared" si="117"/>
        <v>0</v>
      </c>
      <c r="PH39" s="210">
        <f t="shared" si="117"/>
        <v>0</v>
      </c>
      <c r="PI39" s="210">
        <f t="shared" si="117"/>
        <v>0</v>
      </c>
      <c r="PJ39" s="210">
        <f t="shared" si="117"/>
        <v>0</v>
      </c>
      <c r="PK39" s="210">
        <f t="shared" si="117"/>
        <v>0</v>
      </c>
      <c r="PL39" s="210">
        <f t="shared" si="117"/>
        <v>0</v>
      </c>
      <c r="PO39" s="172">
        <f t="shared" si="177"/>
        <v>0</v>
      </c>
      <c r="PP39" s="172">
        <f t="shared" si="178"/>
        <v>0</v>
      </c>
      <c r="PQ39" s="172">
        <f t="shared" si="179"/>
        <v>0</v>
      </c>
    </row>
    <row r="40" spans="1:433" ht="16" x14ac:dyDescent="0.2">
      <c r="A40" s="19">
        <f t="shared" si="180"/>
        <v>32</v>
      </c>
      <c r="B40" s="138" t="s">
        <v>245</v>
      </c>
      <c r="C40" s="138">
        <v>33</v>
      </c>
      <c r="D40" s="20">
        <v>1</v>
      </c>
      <c r="E40" s="20">
        <v>15</v>
      </c>
      <c r="F40" s="20">
        <v>1</v>
      </c>
      <c r="G40" s="20">
        <f t="shared" si="2"/>
        <v>15</v>
      </c>
      <c r="H40" s="137">
        <f t="shared" si="3"/>
        <v>1</v>
      </c>
      <c r="I40" s="137">
        <f t="shared" si="4"/>
        <v>1</v>
      </c>
      <c r="J40" s="20">
        <v>1</v>
      </c>
      <c r="K40" s="20">
        <f t="shared" si="5"/>
        <v>15</v>
      </c>
      <c r="L40" s="137">
        <f t="shared" si="6"/>
        <v>1</v>
      </c>
      <c r="M40" s="137">
        <f t="shared" si="7"/>
        <v>1</v>
      </c>
      <c r="N40" s="20">
        <v>1</v>
      </c>
      <c r="O40" s="20">
        <f t="shared" si="8"/>
        <v>15</v>
      </c>
      <c r="P40" s="137">
        <f t="shared" si="9"/>
        <v>1</v>
      </c>
      <c r="Q40" s="137">
        <f t="shared" si="10"/>
        <v>1</v>
      </c>
      <c r="R40" s="20">
        <v>1</v>
      </c>
      <c r="S40" s="20">
        <f t="shared" si="11"/>
        <v>15</v>
      </c>
      <c r="T40" s="137">
        <f t="shared" si="12"/>
        <v>1</v>
      </c>
      <c r="U40" s="137">
        <f t="shared" si="13"/>
        <v>1</v>
      </c>
      <c r="V40" s="20">
        <v>1</v>
      </c>
      <c r="W40" s="20">
        <f t="shared" si="14"/>
        <v>15</v>
      </c>
      <c r="X40" s="137">
        <f t="shared" si="15"/>
        <v>1</v>
      </c>
      <c r="Y40" s="137">
        <f t="shared" si="16"/>
        <v>1</v>
      </c>
      <c r="Z40" s="38">
        <f>125764000/1000000000</f>
        <v>0.12576399999999999</v>
      </c>
      <c r="AA40" s="38"/>
      <c r="AB40" s="17">
        <f t="shared" si="118"/>
        <v>0</v>
      </c>
      <c r="AC40" s="18">
        <f t="shared" si="119"/>
        <v>0</v>
      </c>
      <c r="AD40" s="18">
        <f t="shared" si="120"/>
        <v>0</v>
      </c>
      <c r="AE40" s="38"/>
      <c r="AF40" s="20">
        <f t="shared" si="121"/>
        <v>0</v>
      </c>
      <c r="AG40" s="20"/>
      <c r="AH40" s="31"/>
      <c r="AI40" s="20">
        <v>0</v>
      </c>
      <c r="AJ40" s="20">
        <f t="shared" si="181"/>
        <v>0</v>
      </c>
      <c r="AK40" s="20"/>
      <c r="AL40" s="20"/>
      <c r="AM40" s="20">
        <v>0</v>
      </c>
      <c r="AN40" s="139"/>
      <c r="BB40" s="17">
        <f t="shared" si="123"/>
        <v>0</v>
      </c>
      <c r="BE40" s="17">
        <f t="shared" si="19"/>
        <v>0</v>
      </c>
      <c r="BF40" s="17">
        <f t="shared" si="20"/>
        <v>0</v>
      </c>
      <c r="BG40" s="17">
        <f t="shared" si="21"/>
        <v>0</v>
      </c>
      <c r="BH40" s="17">
        <f t="shared" si="22"/>
        <v>0</v>
      </c>
      <c r="BI40" s="17">
        <f t="shared" si="23"/>
        <v>0</v>
      </c>
      <c r="BJ40" s="17">
        <f t="shared" si="24"/>
        <v>0</v>
      </c>
      <c r="BK40" s="17">
        <f t="shared" si="124"/>
        <v>0</v>
      </c>
      <c r="BN40" s="141"/>
      <c r="BO40" s="285"/>
      <c r="BP40" s="139"/>
      <c r="BQ40" s="139"/>
      <c r="BR40" s="139"/>
      <c r="BS40" s="139"/>
      <c r="BT40" s="139"/>
      <c r="BU40" s="139"/>
      <c r="BV40" s="139"/>
      <c r="BW40" s="139"/>
      <c r="BX40" s="139"/>
      <c r="BY40" s="139"/>
      <c r="BZ40" s="139"/>
      <c r="CB40" s="139"/>
      <c r="CD40" s="17">
        <f t="shared" si="125"/>
        <v>0</v>
      </c>
      <c r="CE40" s="17">
        <f t="shared" si="126"/>
        <v>0</v>
      </c>
      <c r="CF40" s="139">
        <f t="shared" si="182"/>
        <v>0</v>
      </c>
      <c r="CG40" s="139">
        <f t="shared" si="183"/>
        <v>0</v>
      </c>
      <c r="CH40" s="139">
        <f t="shared" si="184"/>
        <v>0</v>
      </c>
      <c r="CI40" s="139">
        <f t="shared" si="185"/>
        <v>0</v>
      </c>
      <c r="CJ40" s="139">
        <f t="shared" si="186"/>
        <v>0</v>
      </c>
      <c r="CK40" s="139">
        <f t="shared" si="187"/>
        <v>0</v>
      </c>
      <c r="CL40" s="139">
        <f t="shared" si="188"/>
        <v>0</v>
      </c>
      <c r="CM40" s="139">
        <f t="shared" si="189"/>
        <v>0</v>
      </c>
      <c r="CN40" s="139">
        <f t="shared" si="190"/>
        <v>0</v>
      </c>
      <c r="CO40" s="139">
        <f t="shared" si="191"/>
        <v>0</v>
      </c>
      <c r="CP40" s="139">
        <f t="shared" si="192"/>
        <v>0</v>
      </c>
      <c r="CQ40" s="148">
        <f t="shared" si="27"/>
        <v>0</v>
      </c>
      <c r="DV40" s="139">
        <f t="shared" si="28"/>
        <v>0</v>
      </c>
      <c r="DW40" s="139">
        <f t="shared" si="29"/>
        <v>0</v>
      </c>
      <c r="DX40" s="139">
        <f t="shared" si="30"/>
        <v>0</v>
      </c>
      <c r="DY40" s="139">
        <f t="shared" si="31"/>
        <v>0</v>
      </c>
      <c r="DZ40" s="139">
        <f t="shared" si="32"/>
        <v>0</v>
      </c>
      <c r="EA40" s="139">
        <f t="shared" si="33"/>
        <v>0</v>
      </c>
      <c r="EB40" s="139">
        <f t="shared" si="127"/>
        <v>0</v>
      </c>
      <c r="EG40" s="57">
        <f t="shared" si="128"/>
        <v>0</v>
      </c>
      <c r="EH40" s="57">
        <f t="shared" si="129"/>
        <v>0</v>
      </c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X40" s="80"/>
      <c r="FY40" s="17">
        <f t="shared" si="130"/>
        <v>0</v>
      </c>
      <c r="FZ40" s="17">
        <f t="shared" si="35"/>
        <v>0</v>
      </c>
      <c r="GA40" s="17">
        <f t="shared" si="36"/>
        <v>0</v>
      </c>
      <c r="GB40" s="17">
        <f t="shared" si="37"/>
        <v>0</v>
      </c>
      <c r="GC40" s="17">
        <f t="shared" si="38"/>
        <v>0</v>
      </c>
      <c r="GD40" s="17">
        <f t="shared" si="39"/>
        <v>0</v>
      </c>
      <c r="GE40" s="17">
        <f t="shared" si="40"/>
        <v>0</v>
      </c>
      <c r="GF40" s="67"/>
      <c r="GG40" s="17">
        <v>0</v>
      </c>
      <c r="GH40" s="17">
        <v>0</v>
      </c>
      <c r="GI40" s="67"/>
      <c r="GJ40" s="62">
        <f t="shared" si="131"/>
        <v>0</v>
      </c>
      <c r="GK40" s="62">
        <f t="shared" si="132"/>
        <v>0</v>
      </c>
      <c r="GO40" s="17">
        <f t="shared" si="41"/>
        <v>0</v>
      </c>
      <c r="GP40" s="17">
        <f t="shared" si="42"/>
        <v>0</v>
      </c>
      <c r="GQ40" s="17">
        <f t="shared" si="43"/>
        <v>0</v>
      </c>
      <c r="GR40" s="17">
        <f t="shared" si="44"/>
        <v>0</v>
      </c>
      <c r="GS40" s="17">
        <f t="shared" si="45"/>
        <v>0</v>
      </c>
      <c r="GT40" s="17">
        <f t="shared" si="133"/>
        <v>1</v>
      </c>
      <c r="GU40" s="101">
        <f t="shared" si="134"/>
        <v>43243</v>
      </c>
      <c r="GV40" s="17" t="str">
        <f t="shared" si="135"/>
        <v>SELESAI</v>
      </c>
      <c r="GW40" s="17">
        <f t="shared" si="136"/>
        <v>0</v>
      </c>
      <c r="GX40" s="66" t="str">
        <f t="shared" si="137"/>
        <v>SELESAI</v>
      </c>
      <c r="GY40" s="66">
        <f t="shared" si="138"/>
        <v>0</v>
      </c>
      <c r="GZ40" s="102" t="str">
        <f t="shared" si="139"/>
        <v>SELESAI</v>
      </c>
      <c r="HA40" s="83"/>
      <c r="HB40" s="83"/>
      <c r="HC40" s="17">
        <f t="shared" si="46"/>
        <v>0</v>
      </c>
      <c r="HD40" s="17">
        <f t="shared" si="47"/>
        <v>0</v>
      </c>
      <c r="HE40" s="17">
        <f t="shared" si="140"/>
        <v>0</v>
      </c>
      <c r="HF40" s="17">
        <f t="shared" si="141"/>
        <v>0</v>
      </c>
      <c r="HG40" s="17">
        <f t="shared" si="142"/>
        <v>0</v>
      </c>
      <c r="HH40" s="101" t="str">
        <f t="shared" si="48"/>
        <v>TIDAK KONSINYASI</v>
      </c>
      <c r="HI40" s="101" t="str">
        <f t="shared" si="143"/>
        <v>SELESAI</v>
      </c>
      <c r="HJ40" s="27"/>
      <c r="HK40" s="101">
        <f t="shared" si="49"/>
        <v>0</v>
      </c>
      <c r="HL40" s="83"/>
      <c r="HM40" s="83"/>
      <c r="HN40" s="83"/>
      <c r="HO40" s="83"/>
      <c r="HP40" s="102">
        <f t="shared" si="144"/>
        <v>0</v>
      </c>
      <c r="HQ40" s="66">
        <f t="shared" si="145"/>
        <v>0</v>
      </c>
      <c r="HR40" s="66">
        <f t="shared" si="50"/>
        <v>0</v>
      </c>
      <c r="HS40" s="102">
        <f t="shared" si="146"/>
        <v>0</v>
      </c>
      <c r="HT40" s="66">
        <f t="shared" si="147"/>
        <v>0</v>
      </c>
      <c r="HU40" s="66">
        <f t="shared" si="51"/>
        <v>0</v>
      </c>
      <c r="HV40" s="102">
        <f t="shared" si="148"/>
        <v>0</v>
      </c>
      <c r="HW40" s="66">
        <f t="shared" si="52"/>
        <v>0</v>
      </c>
      <c r="HX40" s="66">
        <f t="shared" si="53"/>
        <v>0</v>
      </c>
      <c r="HY40" s="102">
        <f t="shared" si="54"/>
        <v>0</v>
      </c>
      <c r="HZ40" s="66">
        <f t="shared" si="149"/>
        <v>0</v>
      </c>
      <c r="IA40" s="66">
        <f t="shared" si="55"/>
        <v>0</v>
      </c>
      <c r="IB40" s="102">
        <f t="shared" si="150"/>
        <v>0</v>
      </c>
      <c r="IC40" s="66">
        <f t="shared" si="56"/>
        <v>0</v>
      </c>
      <c r="ID40" s="66">
        <f t="shared" si="57"/>
        <v>0</v>
      </c>
      <c r="IE40" s="102">
        <f t="shared" si="58"/>
        <v>0</v>
      </c>
      <c r="IF40" s="66">
        <f t="shared" si="59"/>
        <v>0</v>
      </c>
      <c r="IG40" s="66">
        <f t="shared" si="60"/>
        <v>0</v>
      </c>
      <c r="IH40" s="102">
        <f t="shared" si="151"/>
        <v>0</v>
      </c>
      <c r="II40" s="66">
        <f t="shared" si="152"/>
        <v>0</v>
      </c>
      <c r="IJ40" s="66">
        <f t="shared" si="61"/>
        <v>0</v>
      </c>
      <c r="IK40" s="102">
        <f t="shared" si="62"/>
        <v>0</v>
      </c>
      <c r="IL40" s="66">
        <f t="shared" si="63"/>
        <v>0</v>
      </c>
      <c r="IM40" s="66">
        <f t="shared" si="64"/>
        <v>0</v>
      </c>
      <c r="IN40" s="83"/>
      <c r="IO40" s="102">
        <f t="shared" si="65"/>
        <v>0</v>
      </c>
      <c r="IP40" s="66">
        <f t="shared" si="66"/>
        <v>0</v>
      </c>
      <c r="IQ40" s="66">
        <f t="shared" si="67"/>
        <v>0</v>
      </c>
      <c r="IR40" s="83"/>
      <c r="IS40" s="102"/>
      <c r="IT40" s="66">
        <f t="shared" si="68"/>
        <v>1</v>
      </c>
      <c r="IU40" s="66">
        <f t="shared" si="69"/>
        <v>15</v>
      </c>
      <c r="IV40" s="83"/>
      <c r="IW40" s="102"/>
      <c r="IX40" s="66">
        <f t="shared" si="70"/>
        <v>0</v>
      </c>
      <c r="IY40" s="66">
        <f t="shared" si="71"/>
        <v>0</v>
      </c>
      <c r="IZ40" s="83"/>
      <c r="JA40" s="102"/>
      <c r="JB40" s="66">
        <f t="shared" si="72"/>
        <v>0</v>
      </c>
      <c r="JC40" s="66">
        <f t="shared" si="73"/>
        <v>0</v>
      </c>
      <c r="JD40" s="83"/>
      <c r="JE40" s="102"/>
      <c r="JF40" s="66">
        <f t="shared" si="153"/>
        <v>1</v>
      </c>
      <c r="JG40" s="66">
        <f t="shared" si="74"/>
        <v>15</v>
      </c>
      <c r="JH40" s="83"/>
      <c r="JI40" s="102"/>
      <c r="JJ40" s="66">
        <f t="shared" si="75"/>
        <v>0</v>
      </c>
      <c r="JK40" s="66">
        <f t="shared" si="76"/>
        <v>0</v>
      </c>
      <c r="JM40" s="102">
        <f t="shared" si="154"/>
        <v>0</v>
      </c>
      <c r="JO40" s="29">
        <f t="shared" si="77"/>
        <v>0</v>
      </c>
      <c r="JP40" s="122">
        <f t="shared" si="78"/>
        <v>0</v>
      </c>
      <c r="JQ40" s="122">
        <f t="shared" si="79"/>
        <v>0</v>
      </c>
      <c r="JR40" s="122">
        <f t="shared" si="80"/>
        <v>0</v>
      </c>
      <c r="JS40" s="122">
        <f t="shared" si="81"/>
        <v>0</v>
      </c>
      <c r="JT40" s="122">
        <f t="shared" si="82"/>
        <v>0</v>
      </c>
      <c r="JU40" s="122">
        <f t="shared" si="83"/>
        <v>0</v>
      </c>
      <c r="JV40" s="122">
        <f t="shared" si="84"/>
        <v>0</v>
      </c>
      <c r="JW40" s="122">
        <f t="shared" si="85"/>
        <v>0</v>
      </c>
      <c r="JX40" s="122">
        <f t="shared" si="86"/>
        <v>0</v>
      </c>
      <c r="JY40" s="122">
        <f t="shared" si="87"/>
        <v>0</v>
      </c>
      <c r="JZ40" s="122">
        <f t="shared" si="88"/>
        <v>0</v>
      </c>
      <c r="KA40" s="122">
        <f t="shared" si="89"/>
        <v>0</v>
      </c>
      <c r="KB40" s="122">
        <f t="shared" si="90"/>
        <v>0</v>
      </c>
      <c r="KD40" s="122">
        <f t="shared" si="155"/>
        <v>0</v>
      </c>
      <c r="KE40" s="122">
        <f t="shared" si="92"/>
        <v>0</v>
      </c>
      <c r="KF40" s="122">
        <f t="shared" si="93"/>
        <v>0</v>
      </c>
      <c r="KG40" s="122">
        <f t="shared" si="94"/>
        <v>0</v>
      </c>
      <c r="KH40" s="122">
        <f t="shared" si="95"/>
        <v>0</v>
      </c>
      <c r="KI40" s="122">
        <f t="shared" si="96"/>
        <v>0</v>
      </c>
      <c r="KJ40" s="122">
        <f t="shared" si="97"/>
        <v>0</v>
      </c>
      <c r="KK40" s="122">
        <f t="shared" si="98"/>
        <v>0</v>
      </c>
      <c r="KL40" s="122">
        <f t="shared" si="99"/>
        <v>0</v>
      </c>
      <c r="KM40" s="122">
        <f t="shared" si="100"/>
        <v>0</v>
      </c>
      <c r="KN40" s="123">
        <f t="shared" si="101"/>
        <v>0</v>
      </c>
      <c r="KO40" s="123">
        <f t="shared" si="102"/>
        <v>0</v>
      </c>
      <c r="KP40" s="123">
        <f t="shared" si="103"/>
        <v>0</v>
      </c>
      <c r="KQ40" s="123">
        <f t="shared" si="104"/>
        <v>0</v>
      </c>
      <c r="KR40" s="123">
        <f t="shared" si="105"/>
        <v>0</v>
      </c>
      <c r="KT40">
        <f t="shared" si="106"/>
        <v>0</v>
      </c>
      <c r="KU40" s="123"/>
      <c r="KV40" s="123"/>
      <c r="KW40" s="123"/>
      <c r="KX40" s="123"/>
      <c r="KY40" s="123"/>
      <c r="KZ40" s="123"/>
      <c r="LA40" s="123"/>
      <c r="LB40" s="123"/>
      <c r="LC40" s="123"/>
      <c r="LD40" s="123"/>
      <c r="LE40" s="123"/>
      <c r="LF40" s="123"/>
      <c r="LG40" s="123"/>
      <c r="LH40" s="123"/>
      <c r="LI40" s="123"/>
      <c r="LJ40" s="123"/>
      <c r="LK40" s="123"/>
      <c r="LL40" s="123"/>
      <c r="LM40" s="123"/>
      <c r="LN40" s="123"/>
      <c r="LO40" s="123"/>
      <c r="LP40" s="123"/>
      <c r="LQ40" s="123"/>
      <c r="LR40" s="123"/>
      <c r="LS40" s="123"/>
      <c r="LT40" s="123"/>
      <c r="LU40" s="123"/>
      <c r="LV40" s="123"/>
      <c r="LW40" s="123"/>
      <c r="LX40" s="123"/>
      <c r="LY40" s="123"/>
      <c r="LZ40" s="123"/>
      <c r="MA40" s="123"/>
      <c r="MB40" s="123"/>
      <c r="MC40" s="123"/>
      <c r="MD40" s="123"/>
      <c r="ME40" s="123"/>
      <c r="MF40" s="123"/>
      <c r="MG40" s="123"/>
      <c r="MH40" s="123"/>
      <c r="MI40" s="123"/>
      <c r="MJ40" s="123"/>
      <c r="MK40" s="123"/>
      <c r="ML40" s="123"/>
      <c r="MM40" s="123"/>
      <c r="MN40" s="123"/>
      <c r="MO40" s="123"/>
      <c r="MP40" s="123"/>
      <c r="MQ40" s="123"/>
      <c r="MR40" s="123"/>
      <c r="MS40" s="123"/>
      <c r="MT40" s="123"/>
      <c r="MU40" s="123"/>
      <c r="MV40" s="123"/>
      <c r="MW40" s="123"/>
      <c r="MX40" s="123"/>
      <c r="MY40" s="123"/>
      <c r="MZ40" s="123"/>
      <c r="NA40" s="123"/>
      <c r="NB40" s="123"/>
      <c r="NC40" s="123"/>
      <c r="ND40" s="123"/>
      <c r="NE40" s="123"/>
      <c r="NF40" s="123"/>
      <c r="NG40" s="123"/>
      <c r="NH40" s="123"/>
      <c r="NI40" s="123"/>
      <c r="NJ40" s="123"/>
      <c r="NK40" s="123"/>
      <c r="NM40">
        <f t="shared" si="156"/>
        <v>0</v>
      </c>
      <c r="NN40">
        <f t="shared" si="157"/>
        <v>0</v>
      </c>
      <c r="NO40">
        <f t="shared" si="158"/>
        <v>0</v>
      </c>
      <c r="NP40">
        <f t="shared" si="159"/>
        <v>0</v>
      </c>
      <c r="NQ40">
        <f t="shared" si="160"/>
        <v>0</v>
      </c>
      <c r="NR40">
        <f t="shared" si="161"/>
        <v>0</v>
      </c>
      <c r="NS40">
        <f t="shared" si="162"/>
        <v>0</v>
      </c>
      <c r="NT40">
        <f t="shared" si="163"/>
        <v>0</v>
      </c>
      <c r="NU40" s="29">
        <f t="shared" si="164"/>
        <v>0</v>
      </c>
      <c r="NY40" s="29">
        <f t="shared" si="108"/>
        <v>1</v>
      </c>
      <c r="NZ40" s="152">
        <v>7857280</v>
      </c>
      <c r="OE40" s="155">
        <f t="shared" si="109"/>
        <v>0</v>
      </c>
      <c r="OF40" s="155">
        <f t="shared" si="110"/>
        <v>0</v>
      </c>
      <c r="OG40" s="155">
        <f t="shared" si="111"/>
        <v>0</v>
      </c>
      <c r="OH40" s="155">
        <f t="shared" si="165"/>
        <v>0</v>
      </c>
      <c r="OI40" s="155">
        <f t="shared" si="112"/>
        <v>0</v>
      </c>
      <c r="OJ40" s="67">
        <f t="shared" si="166"/>
        <v>0</v>
      </c>
      <c r="OK40" s="67">
        <f t="shared" si="167"/>
        <v>0</v>
      </c>
      <c r="OL40" s="67">
        <f t="shared" si="168"/>
        <v>0</v>
      </c>
      <c r="OM40" s="67">
        <f t="shared" si="169"/>
        <v>0</v>
      </c>
      <c r="OO40" s="155">
        <f t="shared" si="113"/>
        <v>0</v>
      </c>
      <c r="OP40" s="155">
        <f t="shared" si="114"/>
        <v>0</v>
      </c>
      <c r="OQ40" s="155">
        <f t="shared" si="170"/>
        <v>0</v>
      </c>
      <c r="OR40" s="155">
        <f t="shared" si="171"/>
        <v>0</v>
      </c>
      <c r="OS40" s="155">
        <f t="shared" si="172"/>
        <v>0</v>
      </c>
      <c r="OT40" s="67">
        <f t="shared" si="173"/>
        <v>0</v>
      </c>
      <c r="OU40" s="67">
        <f t="shared" si="174"/>
        <v>0</v>
      </c>
      <c r="OV40" s="67">
        <f t="shared" si="175"/>
        <v>0</v>
      </c>
      <c r="OW40" s="67">
        <f t="shared" si="176"/>
        <v>0</v>
      </c>
      <c r="PA40" s="166"/>
      <c r="PB40" s="166"/>
      <c r="PC40" s="166"/>
      <c r="PD40" s="210">
        <f t="shared" si="115"/>
        <v>0</v>
      </c>
      <c r="PE40" s="210"/>
      <c r="PF40" s="210">
        <f t="shared" si="116"/>
        <v>0</v>
      </c>
      <c r="PG40" s="210">
        <f t="shared" si="117"/>
        <v>0</v>
      </c>
      <c r="PH40" s="210">
        <f t="shared" si="117"/>
        <v>0</v>
      </c>
      <c r="PI40" s="210">
        <f t="shared" si="117"/>
        <v>0</v>
      </c>
      <c r="PJ40" s="210">
        <f t="shared" si="117"/>
        <v>0</v>
      </c>
      <c r="PK40" s="210">
        <f t="shared" si="117"/>
        <v>0</v>
      </c>
      <c r="PL40" s="210">
        <f t="shared" si="117"/>
        <v>0</v>
      </c>
      <c r="PO40" s="172">
        <f t="shared" si="177"/>
        <v>0</v>
      </c>
      <c r="PP40" s="172">
        <f t="shared" si="178"/>
        <v>0</v>
      </c>
      <c r="PQ40" s="172">
        <f t="shared" si="179"/>
        <v>0</v>
      </c>
    </row>
    <row r="41" spans="1:433" ht="16" x14ac:dyDescent="0.2">
      <c r="A41" s="19">
        <f t="shared" si="180"/>
        <v>33</v>
      </c>
      <c r="B41" s="138" t="s">
        <v>246</v>
      </c>
      <c r="C41" s="138">
        <v>34</v>
      </c>
      <c r="D41" s="20">
        <v>1</v>
      </c>
      <c r="E41" s="20">
        <v>72</v>
      </c>
      <c r="F41" s="20">
        <v>1</v>
      </c>
      <c r="G41" s="20">
        <f t="shared" si="2"/>
        <v>72</v>
      </c>
      <c r="H41" s="137">
        <f t="shared" si="3"/>
        <v>1</v>
      </c>
      <c r="I41" s="137">
        <f t="shared" si="4"/>
        <v>1</v>
      </c>
      <c r="J41" s="20">
        <v>1</v>
      </c>
      <c r="K41" s="20">
        <f t="shared" si="5"/>
        <v>72</v>
      </c>
      <c r="L41" s="137">
        <f t="shared" si="6"/>
        <v>1</v>
      </c>
      <c r="M41" s="137">
        <f t="shared" si="7"/>
        <v>1</v>
      </c>
      <c r="N41" s="20">
        <v>1</v>
      </c>
      <c r="O41" s="20">
        <f t="shared" si="8"/>
        <v>72</v>
      </c>
      <c r="P41" s="137">
        <f t="shared" si="9"/>
        <v>1</v>
      </c>
      <c r="Q41" s="137">
        <f t="shared" si="10"/>
        <v>1</v>
      </c>
      <c r="R41" s="20">
        <v>1</v>
      </c>
      <c r="S41" s="20">
        <f t="shared" si="11"/>
        <v>72</v>
      </c>
      <c r="T41" s="137">
        <f t="shared" si="12"/>
        <v>1</v>
      </c>
      <c r="U41" s="137">
        <f t="shared" si="13"/>
        <v>1</v>
      </c>
      <c r="V41" s="20">
        <v>1</v>
      </c>
      <c r="W41" s="20">
        <f t="shared" si="14"/>
        <v>72</v>
      </c>
      <c r="X41" s="137">
        <f t="shared" si="15"/>
        <v>1</v>
      </c>
      <c r="Y41" s="137">
        <f t="shared" si="16"/>
        <v>1</v>
      </c>
      <c r="Z41" s="42">
        <f>1147058000/1000000000</f>
        <v>1.1470579999999999</v>
      </c>
      <c r="AA41" s="42"/>
      <c r="AB41" s="17">
        <f t="shared" si="118"/>
        <v>0</v>
      </c>
      <c r="AC41" s="18">
        <f t="shared" si="119"/>
        <v>0</v>
      </c>
      <c r="AD41" s="18">
        <f t="shared" si="120"/>
        <v>0</v>
      </c>
      <c r="AE41" s="42"/>
      <c r="AF41" s="20">
        <f t="shared" si="121"/>
        <v>0</v>
      </c>
      <c r="AG41" s="20"/>
      <c r="AH41" s="17"/>
      <c r="AI41" s="20">
        <v>0</v>
      </c>
      <c r="AJ41" s="20">
        <f t="shared" si="181"/>
        <v>0</v>
      </c>
      <c r="AK41" s="20"/>
      <c r="AL41" s="20"/>
      <c r="AM41" s="20">
        <v>0</v>
      </c>
      <c r="AN41" s="139"/>
      <c r="BB41" s="17">
        <f t="shared" si="123"/>
        <v>0</v>
      </c>
      <c r="BE41" s="17">
        <f t="shared" si="19"/>
        <v>0</v>
      </c>
      <c r="BF41" s="17">
        <f t="shared" si="20"/>
        <v>0</v>
      </c>
      <c r="BG41" s="17">
        <f t="shared" si="21"/>
        <v>0</v>
      </c>
      <c r="BH41" s="17">
        <f t="shared" si="22"/>
        <v>0</v>
      </c>
      <c r="BI41" s="17">
        <f t="shared" si="23"/>
        <v>0</v>
      </c>
      <c r="BJ41" s="17">
        <f t="shared" si="24"/>
        <v>0</v>
      </c>
      <c r="BK41" s="17">
        <f t="shared" si="124"/>
        <v>0</v>
      </c>
      <c r="BN41" s="141"/>
      <c r="BO41" s="284"/>
      <c r="BP41" s="139"/>
      <c r="BQ41" s="139"/>
      <c r="BR41" s="139"/>
      <c r="BS41" s="139"/>
      <c r="BT41" s="139"/>
      <c r="BU41" s="139"/>
      <c r="BV41" s="139"/>
      <c r="BW41" s="139"/>
      <c r="BX41" s="139"/>
      <c r="BY41" s="139"/>
      <c r="BZ41" s="139"/>
      <c r="CB41" s="139"/>
      <c r="CD41" s="17">
        <f t="shared" si="125"/>
        <v>0</v>
      </c>
      <c r="CE41" s="17">
        <f t="shared" si="126"/>
        <v>0</v>
      </c>
      <c r="CF41" s="139">
        <f t="shared" si="182"/>
        <v>0</v>
      </c>
      <c r="CG41" s="139">
        <f t="shared" si="183"/>
        <v>0</v>
      </c>
      <c r="CH41" s="139">
        <f t="shared" si="184"/>
        <v>0</v>
      </c>
      <c r="CI41" s="139">
        <f t="shared" si="185"/>
        <v>0</v>
      </c>
      <c r="CJ41" s="139">
        <f t="shared" si="186"/>
        <v>0</v>
      </c>
      <c r="CK41" s="139">
        <f t="shared" si="187"/>
        <v>0</v>
      </c>
      <c r="CL41" s="139">
        <f t="shared" si="188"/>
        <v>0</v>
      </c>
      <c r="CM41" s="139">
        <f t="shared" si="189"/>
        <v>0</v>
      </c>
      <c r="CN41" s="139">
        <f t="shared" si="190"/>
        <v>0</v>
      </c>
      <c r="CO41" s="139">
        <f t="shared" si="191"/>
        <v>0</v>
      </c>
      <c r="CP41" s="139">
        <f t="shared" si="192"/>
        <v>0</v>
      </c>
      <c r="CQ41" s="148">
        <f t="shared" si="27"/>
        <v>0</v>
      </c>
      <c r="DV41" s="139">
        <f t="shared" si="28"/>
        <v>0</v>
      </c>
      <c r="DW41" s="139">
        <f t="shared" si="29"/>
        <v>0</v>
      </c>
      <c r="DX41" s="139">
        <f t="shared" si="30"/>
        <v>0</v>
      </c>
      <c r="DY41" s="139">
        <f t="shared" si="31"/>
        <v>0</v>
      </c>
      <c r="DZ41" s="139">
        <f t="shared" si="32"/>
        <v>0</v>
      </c>
      <c r="EA41" s="139">
        <f t="shared" si="33"/>
        <v>0</v>
      </c>
      <c r="EB41" s="139">
        <f t="shared" si="127"/>
        <v>0</v>
      </c>
      <c r="EG41" s="57">
        <f t="shared" si="128"/>
        <v>0</v>
      </c>
      <c r="EH41" s="57">
        <f t="shared" si="129"/>
        <v>0</v>
      </c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X41" s="80"/>
      <c r="FY41" s="17">
        <f t="shared" si="130"/>
        <v>0</v>
      </c>
      <c r="FZ41" s="17">
        <f t="shared" si="35"/>
        <v>0</v>
      </c>
      <c r="GA41" s="17">
        <f t="shared" si="36"/>
        <v>0</v>
      </c>
      <c r="GB41" s="17">
        <f t="shared" si="37"/>
        <v>0</v>
      </c>
      <c r="GC41" s="17">
        <f t="shared" si="38"/>
        <v>0</v>
      </c>
      <c r="GD41" s="17">
        <f t="shared" si="39"/>
        <v>0</v>
      </c>
      <c r="GE41" s="17">
        <f t="shared" si="40"/>
        <v>0</v>
      </c>
      <c r="GF41" s="67"/>
      <c r="GG41" s="17">
        <v>0</v>
      </c>
      <c r="GH41" s="17">
        <v>0</v>
      </c>
      <c r="GI41" s="67"/>
      <c r="GJ41" s="62">
        <f t="shared" si="131"/>
        <v>0</v>
      </c>
      <c r="GK41" s="62">
        <f t="shared" si="132"/>
        <v>0</v>
      </c>
      <c r="GO41" s="17">
        <f t="shared" si="41"/>
        <v>0</v>
      </c>
      <c r="GP41" s="17">
        <f t="shared" si="42"/>
        <v>0</v>
      </c>
      <c r="GQ41" s="17">
        <f t="shared" si="43"/>
        <v>0</v>
      </c>
      <c r="GR41" s="17">
        <f t="shared" si="44"/>
        <v>0</v>
      </c>
      <c r="GS41" s="17">
        <f t="shared" si="45"/>
        <v>0</v>
      </c>
      <c r="GT41" s="17">
        <f t="shared" si="133"/>
        <v>1</v>
      </c>
      <c r="GU41" s="101">
        <f t="shared" si="134"/>
        <v>43243</v>
      </c>
      <c r="GV41" s="17" t="str">
        <f t="shared" si="135"/>
        <v>SELESAI</v>
      </c>
      <c r="GW41" s="17">
        <f t="shared" si="136"/>
        <v>0</v>
      </c>
      <c r="GX41" s="66" t="str">
        <f t="shared" si="137"/>
        <v>SELESAI</v>
      </c>
      <c r="GY41" s="66">
        <f t="shared" si="138"/>
        <v>0</v>
      </c>
      <c r="GZ41" s="102" t="str">
        <f t="shared" si="139"/>
        <v>SELESAI</v>
      </c>
      <c r="HA41" s="83"/>
      <c r="HB41" s="83"/>
      <c r="HC41" s="17">
        <f t="shared" si="46"/>
        <v>0</v>
      </c>
      <c r="HD41" s="17">
        <f t="shared" si="47"/>
        <v>0</v>
      </c>
      <c r="HE41" s="17">
        <f t="shared" si="140"/>
        <v>0</v>
      </c>
      <c r="HF41" s="17">
        <f t="shared" si="141"/>
        <v>0</v>
      </c>
      <c r="HG41" s="17">
        <f t="shared" si="142"/>
        <v>0</v>
      </c>
      <c r="HH41" s="101" t="str">
        <f t="shared" si="48"/>
        <v>TIDAK KONSINYASI</v>
      </c>
      <c r="HI41" s="101" t="str">
        <f t="shared" si="143"/>
        <v>SELESAI</v>
      </c>
      <c r="HJ41" s="27"/>
      <c r="HK41" s="101">
        <f t="shared" si="49"/>
        <v>0</v>
      </c>
      <c r="HL41" s="83"/>
      <c r="HM41" s="83"/>
      <c r="HN41" s="83"/>
      <c r="HO41" s="83"/>
      <c r="HP41" s="102">
        <f t="shared" si="144"/>
        <v>0</v>
      </c>
      <c r="HQ41" s="66">
        <f t="shared" si="145"/>
        <v>0</v>
      </c>
      <c r="HR41" s="66">
        <f t="shared" si="50"/>
        <v>0</v>
      </c>
      <c r="HS41" s="102">
        <f t="shared" si="146"/>
        <v>0</v>
      </c>
      <c r="HT41" s="66">
        <f t="shared" si="147"/>
        <v>0</v>
      </c>
      <c r="HU41" s="66">
        <f t="shared" si="51"/>
        <v>0</v>
      </c>
      <c r="HV41" s="102">
        <f t="shared" si="148"/>
        <v>0</v>
      </c>
      <c r="HW41" s="66">
        <f t="shared" si="52"/>
        <v>0</v>
      </c>
      <c r="HX41" s="66">
        <f t="shared" si="53"/>
        <v>0</v>
      </c>
      <c r="HY41" s="102">
        <f t="shared" si="54"/>
        <v>0</v>
      </c>
      <c r="HZ41" s="66">
        <f t="shared" si="149"/>
        <v>0</v>
      </c>
      <c r="IA41" s="66">
        <f t="shared" si="55"/>
        <v>0</v>
      </c>
      <c r="IB41" s="102">
        <f t="shared" si="150"/>
        <v>0</v>
      </c>
      <c r="IC41" s="66">
        <f t="shared" si="56"/>
        <v>0</v>
      </c>
      <c r="ID41" s="66">
        <f t="shared" si="57"/>
        <v>0</v>
      </c>
      <c r="IE41" s="102">
        <f t="shared" si="58"/>
        <v>0</v>
      </c>
      <c r="IF41" s="66">
        <f t="shared" si="59"/>
        <v>0</v>
      </c>
      <c r="IG41" s="66">
        <f t="shared" si="60"/>
        <v>0</v>
      </c>
      <c r="IH41" s="102">
        <f t="shared" si="151"/>
        <v>0</v>
      </c>
      <c r="II41" s="66">
        <f t="shared" si="152"/>
        <v>0</v>
      </c>
      <c r="IJ41" s="66">
        <f t="shared" si="61"/>
        <v>0</v>
      </c>
      <c r="IK41" s="102">
        <f t="shared" si="62"/>
        <v>0</v>
      </c>
      <c r="IL41" s="66">
        <f t="shared" si="63"/>
        <v>0</v>
      </c>
      <c r="IM41" s="66">
        <f t="shared" si="64"/>
        <v>0</v>
      </c>
      <c r="IN41" s="83"/>
      <c r="IO41" s="102">
        <f t="shared" si="65"/>
        <v>0</v>
      </c>
      <c r="IP41" s="66">
        <f t="shared" si="66"/>
        <v>0</v>
      </c>
      <c r="IQ41" s="66">
        <f t="shared" si="67"/>
        <v>0</v>
      </c>
      <c r="IR41" s="83"/>
      <c r="IS41" s="102"/>
      <c r="IT41" s="66">
        <f t="shared" si="68"/>
        <v>1</v>
      </c>
      <c r="IU41" s="66">
        <f t="shared" si="69"/>
        <v>72</v>
      </c>
      <c r="IV41" s="83"/>
      <c r="IW41" s="102"/>
      <c r="IX41" s="66">
        <f t="shared" si="70"/>
        <v>0</v>
      </c>
      <c r="IY41" s="66">
        <f t="shared" si="71"/>
        <v>0</v>
      </c>
      <c r="IZ41" s="83"/>
      <c r="JA41" s="102"/>
      <c r="JB41" s="66">
        <f t="shared" si="72"/>
        <v>0</v>
      </c>
      <c r="JC41" s="66">
        <f t="shared" si="73"/>
        <v>0</v>
      </c>
      <c r="JD41" s="83"/>
      <c r="JE41" s="102"/>
      <c r="JF41" s="66">
        <f t="shared" si="153"/>
        <v>1</v>
      </c>
      <c r="JG41" s="66">
        <f t="shared" si="74"/>
        <v>72</v>
      </c>
      <c r="JH41" s="83"/>
      <c r="JI41" s="102"/>
      <c r="JJ41" s="66">
        <f t="shared" si="75"/>
        <v>0</v>
      </c>
      <c r="JK41" s="66">
        <f t="shared" si="76"/>
        <v>0</v>
      </c>
      <c r="JM41" s="102">
        <f t="shared" si="154"/>
        <v>0</v>
      </c>
      <c r="JO41" s="29">
        <f t="shared" si="77"/>
        <v>0</v>
      </c>
      <c r="JP41" s="122">
        <f t="shared" si="78"/>
        <v>0</v>
      </c>
      <c r="JQ41" s="122">
        <f t="shared" si="79"/>
        <v>0</v>
      </c>
      <c r="JR41" s="122">
        <f t="shared" si="80"/>
        <v>0</v>
      </c>
      <c r="JS41" s="122">
        <f t="shared" si="81"/>
        <v>0</v>
      </c>
      <c r="JT41" s="122">
        <f t="shared" si="82"/>
        <v>0</v>
      </c>
      <c r="JU41" s="122">
        <f t="shared" si="83"/>
        <v>0</v>
      </c>
      <c r="JV41" s="122">
        <f t="shared" si="84"/>
        <v>0</v>
      </c>
      <c r="JW41" s="122">
        <f t="shared" si="85"/>
        <v>0</v>
      </c>
      <c r="JX41" s="122">
        <f t="shared" si="86"/>
        <v>0</v>
      </c>
      <c r="JY41" s="122">
        <f t="shared" si="87"/>
        <v>0</v>
      </c>
      <c r="JZ41" s="122">
        <f t="shared" si="88"/>
        <v>0</v>
      </c>
      <c r="KA41" s="122">
        <f t="shared" si="89"/>
        <v>0</v>
      </c>
      <c r="KB41" s="122">
        <f t="shared" si="90"/>
        <v>0</v>
      </c>
      <c r="KD41" s="122">
        <f t="shared" si="155"/>
        <v>0</v>
      </c>
      <c r="KE41" s="122">
        <f t="shared" si="92"/>
        <v>0</v>
      </c>
      <c r="KF41" s="122">
        <f t="shared" si="93"/>
        <v>0</v>
      </c>
      <c r="KG41" s="122">
        <f t="shared" si="94"/>
        <v>0</v>
      </c>
      <c r="KH41" s="122">
        <f t="shared" si="95"/>
        <v>0</v>
      </c>
      <c r="KI41" s="122">
        <f t="shared" si="96"/>
        <v>0</v>
      </c>
      <c r="KJ41" s="122">
        <f t="shared" si="97"/>
        <v>0</v>
      </c>
      <c r="KK41" s="122">
        <f t="shared" si="98"/>
        <v>0</v>
      </c>
      <c r="KL41" s="122">
        <f t="shared" si="99"/>
        <v>0</v>
      </c>
      <c r="KM41" s="122">
        <f t="shared" si="100"/>
        <v>0</v>
      </c>
      <c r="KN41" s="123">
        <f t="shared" si="101"/>
        <v>0</v>
      </c>
      <c r="KO41" s="123">
        <f t="shared" si="102"/>
        <v>0</v>
      </c>
      <c r="KP41" s="123">
        <f t="shared" si="103"/>
        <v>0</v>
      </c>
      <c r="KQ41" s="123">
        <f t="shared" si="104"/>
        <v>0</v>
      </c>
      <c r="KR41" s="123">
        <f t="shared" si="105"/>
        <v>0</v>
      </c>
      <c r="KT41">
        <f t="shared" si="106"/>
        <v>0</v>
      </c>
      <c r="KU41" s="123"/>
      <c r="KV41" s="123"/>
      <c r="KW41" s="123"/>
      <c r="KX41" s="123"/>
      <c r="KY41" s="123"/>
      <c r="KZ41" s="123"/>
      <c r="LA41" s="123"/>
      <c r="LB41" s="123"/>
      <c r="LC41" s="123"/>
      <c r="LD41" s="123"/>
      <c r="LE41" s="123"/>
      <c r="LF41" s="123"/>
      <c r="LG41" s="123"/>
      <c r="LH41" s="123"/>
      <c r="LI41" s="123"/>
      <c r="LJ41" s="123"/>
      <c r="LK41" s="123"/>
      <c r="LL41" s="123"/>
      <c r="LM41" s="123"/>
      <c r="LN41" s="123"/>
      <c r="LO41" s="123"/>
      <c r="LP41" s="123"/>
      <c r="LQ41" s="123"/>
      <c r="LR41" s="123"/>
      <c r="LS41" s="123"/>
      <c r="LT41" s="123"/>
      <c r="LU41" s="123"/>
      <c r="LV41" s="123"/>
      <c r="LW41" s="123"/>
      <c r="LX41" s="123"/>
      <c r="LY41" s="123"/>
      <c r="LZ41" s="123"/>
      <c r="MA41" s="123"/>
      <c r="MB41" s="123"/>
      <c r="MC41" s="123"/>
      <c r="MD41" s="123"/>
      <c r="ME41" s="123"/>
      <c r="MF41" s="123"/>
      <c r="MG41" s="123"/>
      <c r="MH41" s="123"/>
      <c r="MI41" s="123"/>
      <c r="MJ41" s="123"/>
      <c r="MK41" s="123"/>
      <c r="ML41" s="123"/>
      <c r="MM41" s="123"/>
      <c r="MN41" s="123"/>
      <c r="MO41" s="123"/>
      <c r="MP41" s="123"/>
      <c r="MQ41" s="123"/>
      <c r="MR41" s="123"/>
      <c r="MS41" s="123"/>
      <c r="MT41" s="123"/>
      <c r="MU41" s="123"/>
      <c r="MV41" s="123"/>
      <c r="MW41" s="123"/>
      <c r="MX41" s="123"/>
      <c r="MY41" s="123"/>
      <c r="MZ41" s="123"/>
      <c r="NA41" s="123"/>
      <c r="NB41" s="123"/>
      <c r="NC41" s="123"/>
      <c r="ND41" s="123"/>
      <c r="NE41" s="123"/>
      <c r="NF41" s="123"/>
      <c r="NG41" s="123"/>
      <c r="NH41" s="123"/>
      <c r="NI41" s="123"/>
      <c r="NJ41" s="123"/>
      <c r="NK41" s="123"/>
      <c r="NM41">
        <f t="shared" si="156"/>
        <v>0</v>
      </c>
      <c r="NN41">
        <f t="shared" si="157"/>
        <v>0</v>
      </c>
      <c r="NO41">
        <f t="shared" si="158"/>
        <v>0</v>
      </c>
      <c r="NP41">
        <f t="shared" si="159"/>
        <v>0</v>
      </c>
      <c r="NQ41">
        <f t="shared" si="160"/>
        <v>0</v>
      </c>
      <c r="NR41">
        <f t="shared" si="161"/>
        <v>0</v>
      </c>
      <c r="NS41">
        <f t="shared" si="162"/>
        <v>0</v>
      </c>
      <c r="NT41">
        <f t="shared" si="163"/>
        <v>0</v>
      </c>
      <c r="NU41" s="29">
        <f t="shared" si="164"/>
        <v>0</v>
      </c>
      <c r="NY41" s="29">
        <f t="shared" si="108"/>
        <v>1</v>
      </c>
      <c r="NZ41" s="152">
        <v>8036000</v>
      </c>
      <c r="OE41" s="155">
        <f t="shared" si="109"/>
        <v>0</v>
      </c>
      <c r="OF41" s="155">
        <f t="shared" si="110"/>
        <v>0</v>
      </c>
      <c r="OG41" s="155">
        <f t="shared" si="111"/>
        <v>0</v>
      </c>
      <c r="OH41" s="155">
        <f t="shared" si="165"/>
        <v>0</v>
      </c>
      <c r="OI41" s="155">
        <f t="shared" si="112"/>
        <v>0</v>
      </c>
      <c r="OJ41" s="67">
        <f t="shared" si="166"/>
        <v>0</v>
      </c>
      <c r="OK41" s="67">
        <f t="shared" si="167"/>
        <v>0</v>
      </c>
      <c r="OL41" s="67">
        <f t="shared" si="168"/>
        <v>0</v>
      </c>
      <c r="OM41" s="67">
        <f t="shared" si="169"/>
        <v>0</v>
      </c>
      <c r="OO41" s="155">
        <f t="shared" si="113"/>
        <v>0</v>
      </c>
      <c r="OP41" s="155">
        <f t="shared" si="114"/>
        <v>0</v>
      </c>
      <c r="OQ41" s="155">
        <f t="shared" si="170"/>
        <v>0</v>
      </c>
      <c r="OR41" s="155">
        <f t="shared" si="171"/>
        <v>0</v>
      </c>
      <c r="OS41" s="155">
        <f t="shared" si="172"/>
        <v>0</v>
      </c>
      <c r="OT41" s="67">
        <f t="shared" si="173"/>
        <v>0</v>
      </c>
      <c r="OU41" s="67">
        <f t="shared" si="174"/>
        <v>0</v>
      </c>
      <c r="OV41" s="67">
        <f t="shared" si="175"/>
        <v>0</v>
      </c>
      <c r="OW41" s="67">
        <f t="shared" si="176"/>
        <v>0</v>
      </c>
      <c r="PA41" s="166"/>
      <c r="PB41" s="166"/>
      <c r="PC41" s="166"/>
      <c r="PD41" s="210">
        <f t="shared" si="115"/>
        <v>0</v>
      </c>
      <c r="PE41" s="210"/>
      <c r="PF41" s="210">
        <f t="shared" si="116"/>
        <v>0</v>
      </c>
      <c r="PG41" s="210">
        <f t="shared" si="117"/>
        <v>0</v>
      </c>
      <c r="PH41" s="210">
        <f t="shared" si="117"/>
        <v>0</v>
      </c>
      <c r="PI41" s="210">
        <f t="shared" si="117"/>
        <v>0</v>
      </c>
      <c r="PJ41" s="210">
        <f t="shared" si="117"/>
        <v>0</v>
      </c>
      <c r="PK41" s="210">
        <f t="shared" si="117"/>
        <v>0</v>
      </c>
      <c r="PL41" s="210">
        <f t="shared" si="117"/>
        <v>0</v>
      </c>
      <c r="PO41" s="172">
        <f t="shared" si="177"/>
        <v>0</v>
      </c>
      <c r="PP41" s="172">
        <f t="shared" si="178"/>
        <v>0</v>
      </c>
      <c r="PQ41" s="172">
        <f t="shared" si="179"/>
        <v>0</v>
      </c>
    </row>
    <row r="42" spans="1:433" ht="15.75" customHeight="1" x14ac:dyDescent="0.2">
      <c r="A42" s="19">
        <f t="shared" si="180"/>
        <v>34</v>
      </c>
      <c r="B42" s="138" t="s">
        <v>247</v>
      </c>
      <c r="C42" s="138">
        <v>35</v>
      </c>
      <c r="D42" s="20">
        <v>1</v>
      </c>
      <c r="E42" s="20">
        <v>104</v>
      </c>
      <c r="F42" s="20">
        <v>1</v>
      </c>
      <c r="G42" s="20">
        <f t="shared" si="2"/>
        <v>104</v>
      </c>
      <c r="H42" s="137">
        <f t="shared" si="3"/>
        <v>1</v>
      </c>
      <c r="I42" s="137">
        <f t="shared" si="4"/>
        <v>1</v>
      </c>
      <c r="J42" s="20">
        <v>1</v>
      </c>
      <c r="K42" s="20">
        <f t="shared" si="5"/>
        <v>104</v>
      </c>
      <c r="L42" s="137">
        <f t="shared" si="6"/>
        <v>1</v>
      </c>
      <c r="M42" s="137">
        <f t="shared" si="7"/>
        <v>1</v>
      </c>
      <c r="N42" s="20">
        <v>1</v>
      </c>
      <c r="O42" s="20">
        <f t="shared" si="8"/>
        <v>104</v>
      </c>
      <c r="P42" s="137">
        <f t="shared" si="9"/>
        <v>1</v>
      </c>
      <c r="Q42" s="137">
        <f t="shared" si="10"/>
        <v>1</v>
      </c>
      <c r="R42" s="20">
        <v>1</v>
      </c>
      <c r="S42" s="20">
        <f t="shared" si="11"/>
        <v>104</v>
      </c>
      <c r="T42" s="137">
        <f t="shared" si="12"/>
        <v>1</v>
      </c>
      <c r="U42" s="137">
        <f t="shared" si="13"/>
        <v>1</v>
      </c>
      <c r="V42" s="20">
        <v>1</v>
      </c>
      <c r="W42" s="20">
        <f t="shared" si="14"/>
        <v>104</v>
      </c>
      <c r="X42" s="137">
        <f t="shared" si="15"/>
        <v>1</v>
      </c>
      <c r="Y42" s="137">
        <f t="shared" si="16"/>
        <v>1</v>
      </c>
      <c r="Z42" s="42">
        <f>1258407000/1000000000</f>
        <v>1.2584070000000001</v>
      </c>
      <c r="AA42" s="42"/>
      <c r="AB42" s="17">
        <f t="shared" si="118"/>
        <v>0</v>
      </c>
      <c r="AC42" s="18">
        <f t="shared" si="119"/>
        <v>0</v>
      </c>
      <c r="AD42" s="18">
        <f t="shared" si="120"/>
        <v>0</v>
      </c>
      <c r="AE42" s="42"/>
      <c r="AF42" s="20">
        <f t="shared" si="121"/>
        <v>0</v>
      </c>
      <c r="AG42" s="20"/>
      <c r="AH42" s="17"/>
      <c r="AI42" s="20">
        <v>0</v>
      </c>
      <c r="AJ42" s="20">
        <f t="shared" si="181"/>
        <v>0</v>
      </c>
      <c r="AK42" s="20"/>
      <c r="AL42" s="20"/>
      <c r="AM42" s="20">
        <v>0</v>
      </c>
      <c r="AN42" s="139"/>
      <c r="BB42" s="17">
        <f t="shared" si="123"/>
        <v>0</v>
      </c>
      <c r="BE42" s="17">
        <f t="shared" si="19"/>
        <v>0</v>
      </c>
      <c r="BF42" s="17">
        <f t="shared" si="20"/>
        <v>0</v>
      </c>
      <c r="BG42" s="17">
        <f t="shared" si="21"/>
        <v>0</v>
      </c>
      <c r="BH42" s="17">
        <f t="shared" si="22"/>
        <v>0</v>
      </c>
      <c r="BI42" s="17">
        <f t="shared" si="23"/>
        <v>0</v>
      </c>
      <c r="BJ42" s="17">
        <f t="shared" si="24"/>
        <v>0</v>
      </c>
      <c r="BK42" s="17">
        <f t="shared" si="124"/>
        <v>0</v>
      </c>
      <c r="BN42" s="142">
        <v>46</v>
      </c>
      <c r="BO42">
        <v>1</v>
      </c>
      <c r="BP42" s="139"/>
      <c r="BQ42" s="139"/>
      <c r="BR42" s="139"/>
      <c r="BS42" s="139"/>
      <c r="BT42" s="139"/>
      <c r="BU42" s="139"/>
      <c r="BV42" s="139"/>
      <c r="BW42" s="139"/>
      <c r="BX42" s="139"/>
      <c r="BY42" s="139"/>
      <c r="BZ42" s="139"/>
      <c r="CB42" s="139"/>
      <c r="CD42" s="17">
        <f t="shared" si="125"/>
        <v>46</v>
      </c>
      <c r="CE42" s="17">
        <f t="shared" si="126"/>
        <v>46</v>
      </c>
      <c r="CF42" s="139">
        <f t="shared" si="182"/>
        <v>0</v>
      </c>
      <c r="CG42" s="139">
        <f t="shared" si="183"/>
        <v>0</v>
      </c>
      <c r="CH42" s="139">
        <f t="shared" si="184"/>
        <v>0</v>
      </c>
      <c r="CI42" s="139">
        <f t="shared" si="185"/>
        <v>0</v>
      </c>
      <c r="CJ42" s="139">
        <f t="shared" si="186"/>
        <v>0</v>
      </c>
      <c r="CK42" s="139">
        <f t="shared" si="187"/>
        <v>0</v>
      </c>
      <c r="CL42" s="139">
        <f t="shared" si="188"/>
        <v>0</v>
      </c>
      <c r="CM42" s="139">
        <f t="shared" si="189"/>
        <v>0</v>
      </c>
      <c r="CN42" s="139">
        <f t="shared" si="190"/>
        <v>0</v>
      </c>
      <c r="CO42" s="139">
        <f t="shared" si="191"/>
        <v>0</v>
      </c>
      <c r="CP42" s="139">
        <f t="shared" si="192"/>
        <v>0</v>
      </c>
      <c r="CQ42" s="148">
        <f t="shared" si="27"/>
        <v>0</v>
      </c>
      <c r="DV42" s="139">
        <f t="shared" si="28"/>
        <v>0</v>
      </c>
      <c r="DW42" s="139">
        <f t="shared" si="29"/>
        <v>0</v>
      </c>
      <c r="DX42" s="139">
        <f t="shared" si="30"/>
        <v>0</v>
      </c>
      <c r="DY42" s="139">
        <f t="shared" si="31"/>
        <v>0</v>
      </c>
      <c r="DZ42" s="139">
        <f t="shared" si="32"/>
        <v>0</v>
      </c>
      <c r="EA42" s="139">
        <f t="shared" si="33"/>
        <v>0</v>
      </c>
      <c r="EB42" s="139">
        <f t="shared" si="127"/>
        <v>0</v>
      </c>
      <c r="EG42" s="57">
        <f t="shared" si="128"/>
        <v>0</v>
      </c>
      <c r="EH42" s="57">
        <f t="shared" si="129"/>
        <v>0</v>
      </c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X42" s="80">
        <v>1</v>
      </c>
      <c r="FY42" s="17">
        <f t="shared" si="130"/>
        <v>46</v>
      </c>
      <c r="FZ42" s="17">
        <f t="shared" si="35"/>
        <v>46</v>
      </c>
      <c r="GA42" s="17">
        <f t="shared" si="36"/>
        <v>0</v>
      </c>
      <c r="GB42" s="17">
        <f t="shared" si="37"/>
        <v>0</v>
      </c>
      <c r="GC42" s="17">
        <f t="shared" si="38"/>
        <v>0</v>
      </c>
      <c r="GD42" s="17">
        <f t="shared" si="39"/>
        <v>0</v>
      </c>
      <c r="GE42" s="17">
        <f t="shared" si="40"/>
        <v>0</v>
      </c>
      <c r="GF42" s="67"/>
      <c r="GG42" s="17">
        <v>0</v>
      </c>
      <c r="GH42" s="17">
        <v>0</v>
      </c>
      <c r="GI42" s="67"/>
      <c r="GJ42" s="62">
        <f t="shared" si="131"/>
        <v>0</v>
      </c>
      <c r="GK42" s="62">
        <f t="shared" si="132"/>
        <v>0</v>
      </c>
      <c r="GO42" s="17">
        <f t="shared" si="41"/>
        <v>0</v>
      </c>
      <c r="GP42" s="17">
        <f t="shared" si="42"/>
        <v>0</v>
      </c>
      <c r="GQ42" s="17">
        <f t="shared" si="43"/>
        <v>0</v>
      </c>
      <c r="GR42" s="17">
        <f t="shared" si="44"/>
        <v>0</v>
      </c>
      <c r="GS42" s="17">
        <f t="shared" si="45"/>
        <v>0</v>
      </c>
      <c r="GT42" s="17">
        <f t="shared" si="133"/>
        <v>1</v>
      </c>
      <c r="GU42" s="101">
        <f t="shared" si="134"/>
        <v>43243</v>
      </c>
      <c r="GV42" s="17" t="str">
        <f t="shared" si="135"/>
        <v>SELESAI</v>
      </c>
      <c r="GW42" s="17">
        <f t="shared" si="136"/>
        <v>0</v>
      </c>
      <c r="GX42" s="66" t="str">
        <f t="shared" si="137"/>
        <v>SELESAI</v>
      </c>
      <c r="GY42" s="66">
        <f t="shared" si="138"/>
        <v>0</v>
      </c>
      <c r="GZ42" s="102" t="str">
        <f t="shared" si="139"/>
        <v>SELESAI</v>
      </c>
      <c r="HA42" s="83"/>
      <c r="HB42" s="83"/>
      <c r="HC42" s="17">
        <f t="shared" si="46"/>
        <v>0</v>
      </c>
      <c r="HD42" s="17">
        <f t="shared" si="47"/>
        <v>0</v>
      </c>
      <c r="HE42" s="17">
        <f t="shared" si="140"/>
        <v>0</v>
      </c>
      <c r="HF42" s="17">
        <f t="shared" si="141"/>
        <v>0</v>
      </c>
      <c r="HG42" s="17">
        <f t="shared" si="142"/>
        <v>0</v>
      </c>
      <c r="HH42" s="101" t="str">
        <f t="shared" si="48"/>
        <v>TIDAK KONSINYASI</v>
      </c>
      <c r="HI42" s="101" t="str">
        <f t="shared" si="143"/>
        <v>SELESAI</v>
      </c>
      <c r="HJ42" s="27"/>
      <c r="HK42" s="101">
        <f t="shared" si="49"/>
        <v>0</v>
      </c>
      <c r="HL42" s="83"/>
      <c r="HM42" s="83"/>
      <c r="HN42" s="83"/>
      <c r="HO42" s="83"/>
      <c r="HP42" s="102">
        <f t="shared" si="144"/>
        <v>0</v>
      </c>
      <c r="HQ42" s="66">
        <f t="shared" si="145"/>
        <v>0</v>
      </c>
      <c r="HR42" s="66">
        <f t="shared" si="50"/>
        <v>0</v>
      </c>
      <c r="HS42" s="102">
        <f t="shared" si="146"/>
        <v>0</v>
      </c>
      <c r="HT42" s="66">
        <f t="shared" si="147"/>
        <v>0</v>
      </c>
      <c r="HU42" s="66">
        <f t="shared" si="51"/>
        <v>0</v>
      </c>
      <c r="HV42" s="102">
        <f t="shared" si="148"/>
        <v>0</v>
      </c>
      <c r="HW42" s="66">
        <f t="shared" si="52"/>
        <v>0</v>
      </c>
      <c r="HX42" s="66">
        <f t="shared" si="53"/>
        <v>0</v>
      </c>
      <c r="HY42" s="102">
        <f t="shared" si="54"/>
        <v>0</v>
      </c>
      <c r="HZ42" s="66">
        <f t="shared" si="149"/>
        <v>0</v>
      </c>
      <c r="IA42" s="66">
        <f t="shared" si="55"/>
        <v>0</v>
      </c>
      <c r="IB42" s="102">
        <f t="shared" si="150"/>
        <v>0</v>
      </c>
      <c r="IC42" s="66">
        <f t="shared" si="56"/>
        <v>0</v>
      </c>
      <c r="ID42" s="66">
        <f t="shared" si="57"/>
        <v>0</v>
      </c>
      <c r="IE42" s="102">
        <f t="shared" si="58"/>
        <v>0</v>
      </c>
      <c r="IF42" s="66">
        <f t="shared" si="59"/>
        <v>0</v>
      </c>
      <c r="IG42" s="66">
        <f t="shared" si="60"/>
        <v>0</v>
      </c>
      <c r="IH42" s="102">
        <f t="shared" si="151"/>
        <v>0</v>
      </c>
      <c r="II42" s="66">
        <f t="shared" si="152"/>
        <v>0</v>
      </c>
      <c r="IJ42" s="66">
        <f t="shared" si="61"/>
        <v>0</v>
      </c>
      <c r="IK42" s="102">
        <f t="shared" si="62"/>
        <v>0</v>
      </c>
      <c r="IL42" s="66">
        <f t="shared" si="63"/>
        <v>0</v>
      </c>
      <c r="IM42" s="66">
        <f t="shared" si="64"/>
        <v>0</v>
      </c>
      <c r="IN42" s="83"/>
      <c r="IO42" s="102">
        <f t="shared" si="65"/>
        <v>0</v>
      </c>
      <c r="IP42" s="66">
        <f t="shared" si="66"/>
        <v>0</v>
      </c>
      <c r="IQ42" s="66">
        <f t="shared" si="67"/>
        <v>0</v>
      </c>
      <c r="IR42" s="83"/>
      <c r="IS42" s="102"/>
      <c r="IT42" s="66">
        <f t="shared" si="68"/>
        <v>1</v>
      </c>
      <c r="IU42" s="66">
        <f t="shared" si="69"/>
        <v>104</v>
      </c>
      <c r="IV42" s="83"/>
      <c r="IW42" s="102"/>
      <c r="IX42" s="66">
        <f t="shared" si="70"/>
        <v>0</v>
      </c>
      <c r="IY42" s="66">
        <f t="shared" si="71"/>
        <v>0</v>
      </c>
      <c r="IZ42" s="83"/>
      <c r="JA42" s="102"/>
      <c r="JB42" s="66">
        <f t="shared" si="72"/>
        <v>0</v>
      </c>
      <c r="JC42" s="66">
        <f t="shared" si="73"/>
        <v>0</v>
      </c>
      <c r="JD42" s="83"/>
      <c r="JE42" s="102"/>
      <c r="JF42" s="66">
        <f t="shared" si="153"/>
        <v>1</v>
      </c>
      <c r="JG42" s="66">
        <f t="shared" si="74"/>
        <v>104</v>
      </c>
      <c r="JH42" s="83"/>
      <c r="JI42" s="102"/>
      <c r="JJ42" s="66">
        <f t="shared" si="75"/>
        <v>0</v>
      </c>
      <c r="JK42" s="66">
        <f t="shared" si="76"/>
        <v>0</v>
      </c>
      <c r="JM42" s="102">
        <f t="shared" si="154"/>
        <v>0</v>
      </c>
      <c r="JO42" s="29">
        <f t="shared" si="77"/>
        <v>1</v>
      </c>
      <c r="JP42" s="122">
        <f t="shared" si="78"/>
        <v>46</v>
      </c>
      <c r="JQ42" s="122">
        <f t="shared" si="79"/>
        <v>1</v>
      </c>
      <c r="JR42" s="122">
        <f t="shared" si="80"/>
        <v>0</v>
      </c>
      <c r="JS42" s="122">
        <f t="shared" si="81"/>
        <v>0</v>
      </c>
      <c r="JT42" s="122">
        <f t="shared" si="82"/>
        <v>0</v>
      </c>
      <c r="JU42" s="122">
        <f t="shared" si="83"/>
        <v>0</v>
      </c>
      <c r="JV42" s="122">
        <f t="shared" si="84"/>
        <v>0</v>
      </c>
      <c r="JW42" s="122">
        <f t="shared" si="85"/>
        <v>0</v>
      </c>
      <c r="JX42" s="122">
        <f t="shared" si="86"/>
        <v>0</v>
      </c>
      <c r="JY42" s="122">
        <f t="shared" si="87"/>
        <v>0</v>
      </c>
      <c r="JZ42" s="122">
        <f t="shared" si="88"/>
        <v>0</v>
      </c>
      <c r="KA42" s="122">
        <f t="shared" si="89"/>
        <v>0</v>
      </c>
      <c r="KB42" s="122">
        <f t="shared" si="90"/>
        <v>0</v>
      </c>
      <c r="KD42" s="122">
        <f t="shared" si="155"/>
        <v>0</v>
      </c>
      <c r="KE42" s="122">
        <f t="shared" si="92"/>
        <v>0</v>
      </c>
      <c r="KF42" s="122">
        <f t="shared" si="93"/>
        <v>46</v>
      </c>
      <c r="KG42" s="122">
        <f t="shared" si="94"/>
        <v>46</v>
      </c>
      <c r="KH42" s="122">
        <f t="shared" si="95"/>
        <v>0</v>
      </c>
      <c r="KI42" s="122">
        <f t="shared" si="96"/>
        <v>0</v>
      </c>
      <c r="KJ42" s="122">
        <f t="shared" si="97"/>
        <v>0</v>
      </c>
      <c r="KK42" s="122">
        <f t="shared" si="98"/>
        <v>0</v>
      </c>
      <c r="KL42" s="122">
        <f t="shared" si="99"/>
        <v>0</v>
      </c>
      <c r="KM42" s="122">
        <f t="shared" si="100"/>
        <v>0</v>
      </c>
      <c r="KN42" s="123">
        <f t="shared" si="101"/>
        <v>0</v>
      </c>
      <c r="KO42" s="123">
        <f t="shared" si="102"/>
        <v>0</v>
      </c>
      <c r="KP42" s="123">
        <f t="shared" si="103"/>
        <v>0</v>
      </c>
      <c r="KQ42" s="123">
        <f t="shared" si="104"/>
        <v>0</v>
      </c>
      <c r="KR42" s="123">
        <f t="shared" si="105"/>
        <v>0</v>
      </c>
      <c r="KT42">
        <f t="shared" si="106"/>
        <v>0</v>
      </c>
      <c r="KU42" s="123"/>
      <c r="KV42" s="123"/>
      <c r="KW42" s="123"/>
      <c r="KX42" s="123"/>
      <c r="KY42" s="123"/>
      <c r="KZ42" s="123"/>
      <c r="LA42" s="123"/>
      <c r="LB42" s="123"/>
      <c r="LC42" s="123"/>
      <c r="LD42" s="123"/>
      <c r="LE42" s="123"/>
      <c r="LF42" s="123"/>
      <c r="LG42" s="123"/>
      <c r="LH42" s="123"/>
      <c r="LI42" s="123"/>
      <c r="LJ42" s="123"/>
      <c r="LK42" s="123"/>
      <c r="LL42" s="123"/>
      <c r="LM42" s="123"/>
      <c r="LN42" s="123"/>
      <c r="LO42" s="123"/>
      <c r="LP42" s="123"/>
      <c r="LQ42" s="123"/>
      <c r="LR42" s="123"/>
      <c r="LS42" s="123"/>
      <c r="LT42" s="123"/>
      <c r="LU42" s="123"/>
      <c r="LV42" s="123"/>
      <c r="LW42" s="123"/>
      <c r="LX42" s="123"/>
      <c r="LY42" s="123"/>
      <c r="LZ42" s="123"/>
      <c r="MA42" s="123"/>
      <c r="MB42" s="123"/>
      <c r="MC42" s="123"/>
      <c r="MD42" s="123"/>
      <c r="ME42" s="123"/>
      <c r="MF42" s="123"/>
      <c r="MG42" s="123"/>
      <c r="MH42" s="123"/>
      <c r="MI42" s="123"/>
      <c r="MJ42" s="123"/>
      <c r="MK42" s="123"/>
      <c r="ML42" s="123"/>
      <c r="MM42" s="123"/>
      <c r="MN42" s="123"/>
      <c r="MO42" s="123"/>
      <c r="MP42" s="123"/>
      <c r="MQ42" s="123"/>
      <c r="MR42" s="123"/>
      <c r="MS42" s="123"/>
      <c r="MT42" s="123"/>
      <c r="MU42" s="123"/>
      <c r="MV42" s="123"/>
      <c r="MW42" s="123"/>
      <c r="MX42" s="123"/>
      <c r="MY42" s="123"/>
      <c r="MZ42" s="123"/>
      <c r="NA42" s="123"/>
      <c r="NB42" s="123"/>
      <c r="NC42" s="123"/>
      <c r="ND42" s="123"/>
      <c r="NE42" s="123"/>
      <c r="NF42" s="123"/>
      <c r="NG42" s="123"/>
      <c r="NH42" s="123"/>
      <c r="NI42" s="123"/>
      <c r="NJ42" s="123"/>
      <c r="NK42" s="123"/>
      <c r="NM42">
        <f t="shared" si="156"/>
        <v>0</v>
      </c>
      <c r="NN42">
        <f t="shared" si="157"/>
        <v>0</v>
      </c>
      <c r="NO42">
        <f t="shared" si="158"/>
        <v>0</v>
      </c>
      <c r="NP42">
        <f t="shared" si="159"/>
        <v>0</v>
      </c>
      <c r="NQ42">
        <f t="shared" si="160"/>
        <v>0</v>
      </c>
      <c r="NR42">
        <f t="shared" si="161"/>
        <v>0</v>
      </c>
      <c r="NS42">
        <f t="shared" si="162"/>
        <v>0</v>
      </c>
      <c r="NT42">
        <f t="shared" si="163"/>
        <v>0</v>
      </c>
      <c r="NU42" s="29">
        <f t="shared" si="164"/>
        <v>0</v>
      </c>
      <c r="NY42" s="29">
        <f t="shared" si="108"/>
        <v>1</v>
      </c>
      <c r="NZ42" s="152">
        <v>8036000</v>
      </c>
      <c r="OE42" s="155">
        <f t="shared" si="109"/>
        <v>0</v>
      </c>
      <c r="OF42" s="155">
        <f t="shared" si="110"/>
        <v>0</v>
      </c>
      <c r="OG42" s="155">
        <f t="shared" si="111"/>
        <v>0</v>
      </c>
      <c r="OH42" s="155">
        <f t="shared" si="165"/>
        <v>0</v>
      </c>
      <c r="OI42" s="155">
        <f t="shared" si="112"/>
        <v>0</v>
      </c>
      <c r="OJ42" s="67">
        <f t="shared" si="166"/>
        <v>0</v>
      </c>
      <c r="OK42" s="67">
        <f t="shared" si="167"/>
        <v>0</v>
      </c>
      <c r="OL42" s="67">
        <f t="shared" si="168"/>
        <v>0</v>
      </c>
      <c r="OM42" s="67">
        <f t="shared" si="169"/>
        <v>0</v>
      </c>
      <c r="OO42" s="155">
        <f t="shared" si="113"/>
        <v>0</v>
      </c>
      <c r="OP42" s="155">
        <f t="shared" si="114"/>
        <v>0</v>
      </c>
      <c r="OQ42" s="155">
        <f t="shared" si="170"/>
        <v>0</v>
      </c>
      <c r="OR42" s="155">
        <f t="shared" si="171"/>
        <v>0</v>
      </c>
      <c r="OS42" s="155">
        <f t="shared" si="172"/>
        <v>0</v>
      </c>
      <c r="OT42" s="67">
        <f t="shared" si="173"/>
        <v>0</v>
      </c>
      <c r="OU42" s="67">
        <f t="shared" si="174"/>
        <v>0</v>
      </c>
      <c r="OV42" s="67">
        <f t="shared" si="175"/>
        <v>0</v>
      </c>
      <c r="OW42" s="67">
        <f t="shared" si="176"/>
        <v>0</v>
      </c>
      <c r="PA42" s="166"/>
      <c r="PB42" s="166"/>
      <c r="PC42" s="166"/>
      <c r="PD42" s="210">
        <f t="shared" si="115"/>
        <v>0</v>
      </c>
      <c r="PE42" s="210"/>
      <c r="PF42" s="210">
        <f t="shared" si="116"/>
        <v>0</v>
      </c>
      <c r="PG42" s="210">
        <f t="shared" si="117"/>
        <v>0</v>
      </c>
      <c r="PH42" s="210">
        <f t="shared" si="117"/>
        <v>0</v>
      </c>
      <c r="PI42" s="210">
        <f t="shared" si="117"/>
        <v>0</v>
      </c>
      <c r="PJ42" s="210">
        <f t="shared" si="117"/>
        <v>0</v>
      </c>
      <c r="PK42" s="210">
        <f t="shared" si="117"/>
        <v>0</v>
      </c>
      <c r="PL42" s="210">
        <f t="shared" si="117"/>
        <v>0</v>
      </c>
      <c r="PO42" s="172">
        <f t="shared" si="177"/>
        <v>0</v>
      </c>
      <c r="PP42" s="172">
        <f t="shared" si="178"/>
        <v>0</v>
      </c>
      <c r="PQ42" s="172">
        <f t="shared" si="179"/>
        <v>0</v>
      </c>
    </row>
    <row r="43" spans="1:433" ht="16" x14ac:dyDescent="0.2">
      <c r="A43" s="19">
        <f t="shared" si="180"/>
        <v>35</v>
      </c>
      <c r="B43" s="138" t="s">
        <v>248</v>
      </c>
      <c r="C43" s="138">
        <v>36</v>
      </c>
      <c r="D43" s="20">
        <v>1</v>
      </c>
      <c r="E43" s="20">
        <v>103</v>
      </c>
      <c r="F43" s="20">
        <v>1</v>
      </c>
      <c r="G43" s="20">
        <f t="shared" si="2"/>
        <v>103</v>
      </c>
      <c r="H43" s="137">
        <f t="shared" si="3"/>
        <v>1</v>
      </c>
      <c r="I43" s="137">
        <f t="shared" si="4"/>
        <v>1</v>
      </c>
      <c r="J43" s="20">
        <v>1</v>
      </c>
      <c r="K43" s="20">
        <f t="shared" si="5"/>
        <v>103</v>
      </c>
      <c r="L43" s="137">
        <f t="shared" si="6"/>
        <v>1</v>
      </c>
      <c r="M43" s="137">
        <f t="shared" si="7"/>
        <v>1</v>
      </c>
      <c r="N43" s="20">
        <v>1</v>
      </c>
      <c r="O43" s="20">
        <f t="shared" si="8"/>
        <v>103</v>
      </c>
      <c r="P43" s="137">
        <f t="shared" si="9"/>
        <v>1</v>
      </c>
      <c r="Q43" s="137">
        <f t="shared" si="10"/>
        <v>1</v>
      </c>
      <c r="R43" s="20">
        <v>1</v>
      </c>
      <c r="S43" s="20">
        <f t="shared" si="11"/>
        <v>103</v>
      </c>
      <c r="T43" s="137">
        <f t="shared" si="12"/>
        <v>1</v>
      </c>
      <c r="U43" s="137">
        <f t="shared" si="13"/>
        <v>1</v>
      </c>
      <c r="V43" s="20">
        <v>1</v>
      </c>
      <c r="W43" s="20">
        <f t="shared" si="14"/>
        <v>103</v>
      </c>
      <c r="X43" s="137">
        <f t="shared" si="15"/>
        <v>1</v>
      </c>
      <c r="Y43" s="137">
        <f t="shared" si="16"/>
        <v>1</v>
      </c>
      <c r="Z43" s="42">
        <f>1109294000/1000000000</f>
        <v>1.109294</v>
      </c>
      <c r="AA43" s="42"/>
      <c r="AB43" s="17">
        <f t="shared" si="118"/>
        <v>0</v>
      </c>
      <c r="AC43" s="18">
        <f t="shared" si="119"/>
        <v>0</v>
      </c>
      <c r="AD43" s="18">
        <f t="shared" si="120"/>
        <v>0</v>
      </c>
      <c r="AE43" s="42"/>
      <c r="AF43" s="20">
        <f t="shared" si="121"/>
        <v>0</v>
      </c>
      <c r="AG43" s="20"/>
      <c r="AH43" s="17"/>
      <c r="AI43" s="20">
        <v>0</v>
      </c>
      <c r="AJ43" s="20">
        <f t="shared" si="181"/>
        <v>0</v>
      </c>
      <c r="AK43" s="20"/>
      <c r="AL43" s="20"/>
      <c r="AM43" s="20">
        <v>0</v>
      </c>
      <c r="AN43" s="139"/>
      <c r="BB43" s="17">
        <f t="shared" si="123"/>
        <v>0</v>
      </c>
      <c r="BE43" s="17">
        <f t="shared" si="19"/>
        <v>0</v>
      </c>
      <c r="BF43" s="17">
        <f t="shared" si="20"/>
        <v>0</v>
      </c>
      <c r="BG43" s="17">
        <f t="shared" si="21"/>
        <v>0</v>
      </c>
      <c r="BH43" s="17">
        <f t="shared" si="22"/>
        <v>0</v>
      </c>
      <c r="BI43" s="17">
        <f t="shared" si="23"/>
        <v>0</v>
      </c>
      <c r="BJ43" s="17">
        <f t="shared" si="24"/>
        <v>0</v>
      </c>
      <c r="BK43" s="17">
        <f t="shared" si="124"/>
        <v>0</v>
      </c>
      <c r="BN43" s="142">
        <v>46</v>
      </c>
      <c r="BO43">
        <v>1</v>
      </c>
      <c r="BP43" s="139"/>
      <c r="BQ43" s="139"/>
      <c r="BR43" s="139"/>
      <c r="BS43" s="139"/>
      <c r="BT43" s="139"/>
      <c r="BU43" s="139"/>
      <c r="BV43" s="139"/>
      <c r="BW43" s="139"/>
      <c r="BX43" s="139"/>
      <c r="BY43" s="139"/>
      <c r="BZ43" s="139"/>
      <c r="CB43" s="139"/>
      <c r="CD43" s="17">
        <f t="shared" si="125"/>
        <v>46</v>
      </c>
      <c r="CE43" s="17">
        <f t="shared" si="126"/>
        <v>46</v>
      </c>
      <c r="CF43" s="139">
        <f t="shared" si="182"/>
        <v>0</v>
      </c>
      <c r="CG43" s="139">
        <f t="shared" si="183"/>
        <v>0</v>
      </c>
      <c r="CH43" s="139">
        <f t="shared" si="184"/>
        <v>0</v>
      </c>
      <c r="CI43" s="139">
        <f t="shared" si="185"/>
        <v>0</v>
      </c>
      <c r="CJ43" s="139">
        <f t="shared" si="186"/>
        <v>0</v>
      </c>
      <c r="CK43" s="139">
        <f t="shared" si="187"/>
        <v>0</v>
      </c>
      <c r="CL43" s="139">
        <f t="shared" si="188"/>
        <v>0</v>
      </c>
      <c r="CM43" s="139">
        <f t="shared" si="189"/>
        <v>0</v>
      </c>
      <c r="CN43" s="139">
        <f t="shared" si="190"/>
        <v>0</v>
      </c>
      <c r="CO43" s="139">
        <f t="shared" si="191"/>
        <v>0</v>
      </c>
      <c r="CP43" s="139">
        <f t="shared" si="192"/>
        <v>0</v>
      </c>
      <c r="CQ43" s="148">
        <f t="shared" si="27"/>
        <v>0</v>
      </c>
      <c r="DV43" s="139">
        <f t="shared" si="28"/>
        <v>0</v>
      </c>
      <c r="DW43" s="139">
        <f t="shared" si="29"/>
        <v>0</v>
      </c>
      <c r="DX43" s="139">
        <f t="shared" si="30"/>
        <v>0</v>
      </c>
      <c r="DY43" s="139">
        <f t="shared" si="31"/>
        <v>0</v>
      </c>
      <c r="DZ43" s="139">
        <f t="shared" si="32"/>
        <v>0</v>
      </c>
      <c r="EA43" s="139">
        <f t="shared" si="33"/>
        <v>0</v>
      </c>
      <c r="EB43" s="139">
        <f t="shared" si="127"/>
        <v>0</v>
      </c>
      <c r="EG43" s="57">
        <f t="shared" si="128"/>
        <v>0</v>
      </c>
      <c r="EH43" s="57">
        <f t="shared" si="129"/>
        <v>0</v>
      </c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X43" s="80">
        <v>1</v>
      </c>
      <c r="FY43" s="17">
        <f t="shared" si="130"/>
        <v>46</v>
      </c>
      <c r="FZ43" s="17">
        <f t="shared" si="35"/>
        <v>46</v>
      </c>
      <c r="GA43" s="17">
        <f t="shared" si="36"/>
        <v>0</v>
      </c>
      <c r="GB43" s="17">
        <f t="shared" si="37"/>
        <v>0</v>
      </c>
      <c r="GC43" s="17">
        <f t="shared" si="38"/>
        <v>0</v>
      </c>
      <c r="GD43" s="17">
        <f t="shared" si="39"/>
        <v>0</v>
      </c>
      <c r="GE43" s="17">
        <f t="shared" si="40"/>
        <v>0</v>
      </c>
      <c r="GF43" s="67"/>
      <c r="GG43" s="17">
        <v>0</v>
      </c>
      <c r="GH43" s="17">
        <v>0</v>
      </c>
      <c r="GI43" s="67"/>
      <c r="GJ43" s="62">
        <f t="shared" si="131"/>
        <v>0</v>
      </c>
      <c r="GK43" s="62">
        <f t="shared" si="132"/>
        <v>0</v>
      </c>
      <c r="GO43" s="17">
        <f t="shared" si="41"/>
        <v>0</v>
      </c>
      <c r="GP43" s="17">
        <f t="shared" si="42"/>
        <v>0</v>
      </c>
      <c r="GQ43" s="17">
        <f t="shared" si="43"/>
        <v>0</v>
      </c>
      <c r="GR43" s="17">
        <f t="shared" si="44"/>
        <v>0</v>
      </c>
      <c r="GS43" s="17">
        <f t="shared" si="45"/>
        <v>0</v>
      </c>
      <c r="GT43" s="17">
        <f t="shared" si="133"/>
        <v>1</v>
      </c>
      <c r="GU43" s="101">
        <f t="shared" si="134"/>
        <v>43243</v>
      </c>
      <c r="GV43" s="17" t="str">
        <f t="shared" si="135"/>
        <v>SELESAI</v>
      </c>
      <c r="GW43" s="17">
        <f t="shared" si="136"/>
        <v>0</v>
      </c>
      <c r="GX43" s="66" t="str">
        <f t="shared" si="137"/>
        <v>SELESAI</v>
      </c>
      <c r="GY43" s="66">
        <f t="shared" si="138"/>
        <v>0</v>
      </c>
      <c r="GZ43" s="102" t="str">
        <f t="shared" si="139"/>
        <v>SELESAI</v>
      </c>
      <c r="HA43" s="83"/>
      <c r="HB43" s="83"/>
      <c r="HC43" s="17">
        <f t="shared" si="46"/>
        <v>0</v>
      </c>
      <c r="HD43" s="17">
        <f t="shared" si="47"/>
        <v>0</v>
      </c>
      <c r="HE43" s="17">
        <f t="shared" si="140"/>
        <v>0</v>
      </c>
      <c r="HF43" s="17">
        <f t="shared" si="141"/>
        <v>0</v>
      </c>
      <c r="HG43" s="17">
        <f t="shared" si="142"/>
        <v>0</v>
      </c>
      <c r="HH43" s="101" t="str">
        <f t="shared" si="48"/>
        <v>TIDAK KONSINYASI</v>
      </c>
      <c r="HI43" s="101" t="str">
        <f t="shared" si="143"/>
        <v>SELESAI</v>
      </c>
      <c r="HJ43" s="27"/>
      <c r="HK43" s="101">
        <f t="shared" si="49"/>
        <v>0</v>
      </c>
      <c r="HL43" s="83"/>
      <c r="HM43" s="83"/>
      <c r="HN43" s="83"/>
      <c r="HO43" s="83"/>
      <c r="HP43" s="102">
        <f t="shared" si="144"/>
        <v>0</v>
      </c>
      <c r="HQ43" s="66">
        <f t="shared" si="145"/>
        <v>0</v>
      </c>
      <c r="HR43" s="66">
        <f t="shared" si="50"/>
        <v>0</v>
      </c>
      <c r="HS43" s="102">
        <f t="shared" si="146"/>
        <v>0</v>
      </c>
      <c r="HT43" s="66">
        <f t="shared" si="147"/>
        <v>0</v>
      </c>
      <c r="HU43" s="66">
        <f t="shared" si="51"/>
        <v>0</v>
      </c>
      <c r="HV43" s="102">
        <f t="shared" si="148"/>
        <v>0</v>
      </c>
      <c r="HW43" s="66">
        <f t="shared" si="52"/>
        <v>0</v>
      </c>
      <c r="HX43" s="66">
        <f t="shared" si="53"/>
        <v>0</v>
      </c>
      <c r="HY43" s="102">
        <f t="shared" si="54"/>
        <v>0</v>
      </c>
      <c r="HZ43" s="66">
        <f t="shared" si="149"/>
        <v>0</v>
      </c>
      <c r="IA43" s="66">
        <f t="shared" si="55"/>
        <v>0</v>
      </c>
      <c r="IB43" s="102">
        <f t="shared" si="150"/>
        <v>0</v>
      </c>
      <c r="IC43" s="66">
        <f t="shared" si="56"/>
        <v>0</v>
      </c>
      <c r="ID43" s="66">
        <f t="shared" si="57"/>
        <v>0</v>
      </c>
      <c r="IE43" s="102">
        <f t="shared" si="58"/>
        <v>0</v>
      </c>
      <c r="IF43" s="66">
        <f t="shared" si="59"/>
        <v>0</v>
      </c>
      <c r="IG43" s="66">
        <f t="shared" si="60"/>
        <v>0</v>
      </c>
      <c r="IH43" s="102">
        <f t="shared" si="151"/>
        <v>0</v>
      </c>
      <c r="II43" s="66">
        <f t="shared" si="152"/>
        <v>0</v>
      </c>
      <c r="IJ43" s="66">
        <f t="shared" si="61"/>
        <v>0</v>
      </c>
      <c r="IK43" s="102">
        <f t="shared" si="62"/>
        <v>0</v>
      </c>
      <c r="IL43" s="66">
        <f t="shared" si="63"/>
        <v>0</v>
      </c>
      <c r="IM43" s="66">
        <f t="shared" si="64"/>
        <v>0</v>
      </c>
      <c r="IN43" s="83"/>
      <c r="IO43" s="102">
        <f t="shared" si="65"/>
        <v>0</v>
      </c>
      <c r="IP43" s="66">
        <f t="shared" si="66"/>
        <v>0</v>
      </c>
      <c r="IQ43" s="66">
        <f t="shared" si="67"/>
        <v>0</v>
      </c>
      <c r="IR43" s="83"/>
      <c r="IS43" s="102"/>
      <c r="IT43" s="66">
        <f t="shared" si="68"/>
        <v>1</v>
      </c>
      <c r="IU43" s="66">
        <f t="shared" si="69"/>
        <v>103</v>
      </c>
      <c r="IV43" s="83"/>
      <c r="IW43" s="102"/>
      <c r="IX43" s="66">
        <f t="shared" si="70"/>
        <v>0</v>
      </c>
      <c r="IY43" s="66">
        <f t="shared" si="71"/>
        <v>0</v>
      </c>
      <c r="IZ43" s="83"/>
      <c r="JA43" s="102"/>
      <c r="JB43" s="66">
        <f t="shared" si="72"/>
        <v>0</v>
      </c>
      <c r="JC43" s="66">
        <f t="shared" si="73"/>
        <v>0</v>
      </c>
      <c r="JD43" s="83"/>
      <c r="JE43" s="102"/>
      <c r="JF43" s="66">
        <f t="shared" si="153"/>
        <v>1</v>
      </c>
      <c r="JG43" s="66">
        <f t="shared" si="74"/>
        <v>103</v>
      </c>
      <c r="JH43" s="83"/>
      <c r="JI43" s="102"/>
      <c r="JJ43" s="66">
        <f t="shared" si="75"/>
        <v>0</v>
      </c>
      <c r="JK43" s="66">
        <f t="shared" si="76"/>
        <v>0</v>
      </c>
      <c r="JM43" s="102">
        <f t="shared" si="154"/>
        <v>0</v>
      </c>
      <c r="JO43" s="29">
        <f t="shared" si="77"/>
        <v>1</v>
      </c>
      <c r="JP43" s="122">
        <f t="shared" si="78"/>
        <v>46</v>
      </c>
      <c r="JQ43" s="122">
        <f t="shared" si="79"/>
        <v>1</v>
      </c>
      <c r="JR43" s="122">
        <f t="shared" si="80"/>
        <v>0</v>
      </c>
      <c r="JS43" s="122">
        <f t="shared" si="81"/>
        <v>0</v>
      </c>
      <c r="JT43" s="122">
        <f t="shared" si="82"/>
        <v>0</v>
      </c>
      <c r="JU43" s="122">
        <f t="shared" si="83"/>
        <v>0</v>
      </c>
      <c r="JV43" s="122">
        <f t="shared" si="84"/>
        <v>0</v>
      </c>
      <c r="JW43" s="122">
        <f t="shared" si="85"/>
        <v>0</v>
      </c>
      <c r="JX43" s="122">
        <f t="shared" si="86"/>
        <v>0</v>
      </c>
      <c r="JY43" s="122">
        <f t="shared" si="87"/>
        <v>0</v>
      </c>
      <c r="JZ43" s="122">
        <f t="shared" si="88"/>
        <v>0</v>
      </c>
      <c r="KA43" s="122">
        <f t="shared" si="89"/>
        <v>0</v>
      </c>
      <c r="KB43" s="122">
        <f t="shared" si="90"/>
        <v>0</v>
      </c>
      <c r="KD43" s="122">
        <f t="shared" si="155"/>
        <v>0</v>
      </c>
      <c r="KE43" s="122">
        <f t="shared" si="92"/>
        <v>0</v>
      </c>
      <c r="KF43" s="122">
        <f t="shared" si="93"/>
        <v>46</v>
      </c>
      <c r="KG43" s="122">
        <f t="shared" si="94"/>
        <v>46</v>
      </c>
      <c r="KH43" s="122">
        <f t="shared" si="95"/>
        <v>0</v>
      </c>
      <c r="KI43" s="122">
        <f t="shared" si="96"/>
        <v>0</v>
      </c>
      <c r="KJ43" s="122">
        <f t="shared" si="97"/>
        <v>0</v>
      </c>
      <c r="KK43" s="122">
        <f t="shared" si="98"/>
        <v>0</v>
      </c>
      <c r="KL43" s="122">
        <f t="shared" si="99"/>
        <v>0</v>
      </c>
      <c r="KM43" s="122">
        <f t="shared" si="100"/>
        <v>0</v>
      </c>
      <c r="KN43" s="123">
        <f t="shared" si="101"/>
        <v>0</v>
      </c>
      <c r="KO43" s="123">
        <f t="shared" si="102"/>
        <v>0</v>
      </c>
      <c r="KP43" s="123">
        <f t="shared" si="103"/>
        <v>0</v>
      </c>
      <c r="KQ43" s="123">
        <f t="shared" si="104"/>
        <v>0</v>
      </c>
      <c r="KR43" s="123">
        <f t="shared" si="105"/>
        <v>0</v>
      </c>
      <c r="KT43">
        <f t="shared" si="106"/>
        <v>0</v>
      </c>
      <c r="KU43" s="123"/>
      <c r="KV43" s="123"/>
      <c r="KW43" s="123"/>
      <c r="KX43" s="123"/>
      <c r="KY43" s="123"/>
      <c r="KZ43" s="123"/>
      <c r="LA43" s="123"/>
      <c r="LB43" s="123"/>
      <c r="LC43" s="123"/>
      <c r="LD43" s="123"/>
      <c r="LE43" s="123"/>
      <c r="LF43" s="123"/>
      <c r="LG43" s="123"/>
      <c r="LH43" s="123"/>
      <c r="LI43" s="123"/>
      <c r="LJ43" s="123"/>
      <c r="LK43" s="123"/>
      <c r="LL43" s="123"/>
      <c r="LM43" s="123"/>
      <c r="LN43" s="123"/>
      <c r="LO43" s="123"/>
      <c r="LP43" s="123"/>
      <c r="LQ43" s="123"/>
      <c r="LR43" s="123"/>
      <c r="LS43" s="123"/>
      <c r="LT43" s="123"/>
      <c r="LU43" s="123"/>
      <c r="LV43" s="123"/>
      <c r="LW43" s="123"/>
      <c r="LX43" s="123"/>
      <c r="LY43" s="123"/>
      <c r="LZ43" s="123"/>
      <c r="MA43" s="123"/>
      <c r="MB43" s="123"/>
      <c r="MC43" s="123"/>
      <c r="MD43" s="123"/>
      <c r="ME43" s="123"/>
      <c r="MF43" s="123"/>
      <c r="MG43" s="123"/>
      <c r="MH43" s="123"/>
      <c r="MI43" s="123"/>
      <c r="MJ43" s="123"/>
      <c r="MK43" s="123"/>
      <c r="ML43" s="123"/>
      <c r="MM43" s="123"/>
      <c r="MN43" s="123"/>
      <c r="MO43" s="123"/>
      <c r="MP43" s="123"/>
      <c r="MQ43" s="123"/>
      <c r="MR43" s="123"/>
      <c r="MS43" s="123"/>
      <c r="MT43" s="123"/>
      <c r="MU43" s="123"/>
      <c r="MV43" s="123"/>
      <c r="MW43" s="123"/>
      <c r="MX43" s="123"/>
      <c r="MY43" s="123"/>
      <c r="MZ43" s="123"/>
      <c r="NA43" s="123"/>
      <c r="NB43" s="123"/>
      <c r="NC43" s="123"/>
      <c r="ND43" s="123"/>
      <c r="NE43" s="123"/>
      <c r="NF43" s="123"/>
      <c r="NG43" s="123"/>
      <c r="NH43" s="123"/>
      <c r="NI43" s="123"/>
      <c r="NJ43" s="123"/>
      <c r="NK43" s="123"/>
      <c r="NM43">
        <f t="shared" si="156"/>
        <v>0</v>
      </c>
      <c r="NN43">
        <f t="shared" si="157"/>
        <v>0</v>
      </c>
      <c r="NO43">
        <f t="shared" si="158"/>
        <v>0</v>
      </c>
      <c r="NP43">
        <f t="shared" si="159"/>
        <v>0</v>
      </c>
      <c r="NQ43">
        <f t="shared" si="160"/>
        <v>0</v>
      </c>
      <c r="NR43">
        <f t="shared" si="161"/>
        <v>0</v>
      </c>
      <c r="NS43">
        <f t="shared" si="162"/>
        <v>0</v>
      </c>
      <c r="NT43">
        <f t="shared" si="163"/>
        <v>0</v>
      </c>
      <c r="NU43" s="29">
        <f t="shared" si="164"/>
        <v>0</v>
      </c>
      <c r="NY43" s="29">
        <f t="shared" si="108"/>
        <v>1</v>
      </c>
      <c r="NZ43" s="152">
        <v>8036000</v>
      </c>
      <c r="OE43" s="155">
        <f t="shared" si="109"/>
        <v>0</v>
      </c>
      <c r="OF43" s="155">
        <f t="shared" si="110"/>
        <v>0</v>
      </c>
      <c r="OG43" s="155">
        <f t="shared" si="111"/>
        <v>0</v>
      </c>
      <c r="OH43" s="155">
        <f t="shared" si="165"/>
        <v>0</v>
      </c>
      <c r="OI43" s="155">
        <f t="shared" si="112"/>
        <v>0</v>
      </c>
      <c r="OJ43" s="67">
        <f t="shared" si="166"/>
        <v>0</v>
      </c>
      <c r="OK43" s="67">
        <f t="shared" si="167"/>
        <v>0</v>
      </c>
      <c r="OL43" s="67">
        <f t="shared" si="168"/>
        <v>0</v>
      </c>
      <c r="OM43" s="67">
        <f t="shared" si="169"/>
        <v>0</v>
      </c>
      <c r="OO43" s="155">
        <f t="shared" si="113"/>
        <v>0</v>
      </c>
      <c r="OP43" s="155">
        <f t="shared" si="114"/>
        <v>0</v>
      </c>
      <c r="OQ43" s="155">
        <f t="shared" si="170"/>
        <v>0</v>
      </c>
      <c r="OR43" s="155">
        <f t="shared" si="171"/>
        <v>0</v>
      </c>
      <c r="OS43" s="155">
        <f t="shared" si="172"/>
        <v>0</v>
      </c>
      <c r="OT43" s="67">
        <f t="shared" si="173"/>
        <v>0</v>
      </c>
      <c r="OU43" s="67">
        <f t="shared" si="174"/>
        <v>0</v>
      </c>
      <c r="OV43" s="67">
        <f t="shared" si="175"/>
        <v>0</v>
      </c>
      <c r="OW43" s="67">
        <f t="shared" si="176"/>
        <v>0</v>
      </c>
      <c r="PA43" s="166"/>
      <c r="PB43" s="166"/>
      <c r="PC43" s="166"/>
      <c r="PD43" s="210">
        <f t="shared" si="115"/>
        <v>0</v>
      </c>
      <c r="PE43" s="210"/>
      <c r="PF43" s="210">
        <f t="shared" si="116"/>
        <v>0</v>
      </c>
      <c r="PG43" s="210">
        <f t="shared" si="117"/>
        <v>0</v>
      </c>
      <c r="PH43" s="210">
        <f t="shared" si="117"/>
        <v>0</v>
      </c>
      <c r="PI43" s="210">
        <f t="shared" si="117"/>
        <v>0</v>
      </c>
      <c r="PJ43" s="210">
        <f t="shared" si="117"/>
        <v>0</v>
      </c>
      <c r="PK43" s="210">
        <f t="shared" si="117"/>
        <v>0</v>
      </c>
      <c r="PL43" s="210">
        <f t="shared" si="117"/>
        <v>0</v>
      </c>
      <c r="PO43" s="172">
        <f t="shared" si="177"/>
        <v>0</v>
      </c>
      <c r="PP43" s="172">
        <f t="shared" si="178"/>
        <v>0</v>
      </c>
      <c r="PQ43" s="172">
        <f t="shared" si="179"/>
        <v>0</v>
      </c>
    </row>
    <row r="44" spans="1:433" ht="16" x14ac:dyDescent="0.2">
      <c r="A44" s="19">
        <f t="shared" si="180"/>
        <v>36</v>
      </c>
      <c r="B44" s="138" t="s">
        <v>249</v>
      </c>
      <c r="C44" s="138">
        <v>37</v>
      </c>
      <c r="D44" s="20">
        <v>1</v>
      </c>
      <c r="E44" s="20">
        <v>45</v>
      </c>
      <c r="F44" s="20">
        <v>1</v>
      </c>
      <c r="G44" s="20">
        <f t="shared" si="2"/>
        <v>45</v>
      </c>
      <c r="H44" s="137">
        <f t="shared" si="3"/>
        <v>1</v>
      </c>
      <c r="I44" s="137">
        <f t="shared" si="4"/>
        <v>1</v>
      </c>
      <c r="J44" s="20">
        <v>1</v>
      </c>
      <c r="K44" s="20">
        <f t="shared" si="5"/>
        <v>45</v>
      </c>
      <c r="L44" s="137">
        <f t="shared" si="6"/>
        <v>1</v>
      </c>
      <c r="M44" s="137">
        <f t="shared" si="7"/>
        <v>1</v>
      </c>
      <c r="N44" s="20">
        <v>1</v>
      </c>
      <c r="O44" s="20">
        <f t="shared" si="8"/>
        <v>45</v>
      </c>
      <c r="P44" s="137">
        <f t="shared" si="9"/>
        <v>1</v>
      </c>
      <c r="Q44" s="137">
        <f t="shared" si="10"/>
        <v>1</v>
      </c>
      <c r="R44" s="20">
        <v>1</v>
      </c>
      <c r="S44" s="20">
        <f t="shared" si="11"/>
        <v>45</v>
      </c>
      <c r="T44" s="137">
        <f t="shared" si="12"/>
        <v>1</v>
      </c>
      <c r="U44" s="137">
        <f t="shared" si="13"/>
        <v>1</v>
      </c>
      <c r="V44" s="20">
        <v>1</v>
      </c>
      <c r="W44" s="20">
        <f t="shared" si="14"/>
        <v>45</v>
      </c>
      <c r="X44" s="137">
        <f t="shared" si="15"/>
        <v>1</v>
      </c>
      <c r="Y44" s="137">
        <f t="shared" si="16"/>
        <v>1</v>
      </c>
      <c r="Z44" s="38">
        <f>856777000/1000000000</f>
        <v>0.85677700000000001</v>
      </c>
      <c r="AA44" s="38"/>
      <c r="AB44" s="17">
        <f t="shared" si="118"/>
        <v>0</v>
      </c>
      <c r="AC44" s="18">
        <f t="shared" si="119"/>
        <v>0</v>
      </c>
      <c r="AD44" s="18">
        <f t="shared" si="120"/>
        <v>0</v>
      </c>
      <c r="AE44" s="38"/>
      <c r="AF44" s="20">
        <f t="shared" si="121"/>
        <v>0</v>
      </c>
      <c r="AG44" s="20"/>
      <c r="AH44" s="31"/>
      <c r="AI44" s="20">
        <v>0</v>
      </c>
      <c r="AJ44" s="20">
        <f t="shared" si="181"/>
        <v>0</v>
      </c>
      <c r="AK44" s="20"/>
      <c r="AL44" s="20"/>
      <c r="AM44" s="20">
        <v>0</v>
      </c>
      <c r="AN44" s="139"/>
      <c r="BB44" s="17">
        <f t="shared" si="123"/>
        <v>0</v>
      </c>
      <c r="BE44" s="17">
        <f t="shared" si="19"/>
        <v>0</v>
      </c>
      <c r="BF44" s="17">
        <f t="shared" si="20"/>
        <v>0</v>
      </c>
      <c r="BG44" s="17">
        <f t="shared" si="21"/>
        <v>0</v>
      </c>
      <c r="BH44" s="17">
        <f t="shared" si="22"/>
        <v>0</v>
      </c>
      <c r="BI44" s="17">
        <f t="shared" si="23"/>
        <v>0</v>
      </c>
      <c r="BJ44" s="17">
        <f t="shared" si="24"/>
        <v>0</v>
      </c>
      <c r="BK44" s="17">
        <f t="shared" si="124"/>
        <v>0</v>
      </c>
      <c r="BN44" s="141"/>
      <c r="BO44" s="284"/>
      <c r="BP44" s="139"/>
      <c r="BQ44" s="139"/>
      <c r="BR44" s="139"/>
      <c r="BS44" s="139"/>
      <c r="BT44" s="139"/>
      <c r="BU44" s="139"/>
      <c r="BV44" s="139"/>
      <c r="BW44" s="139"/>
      <c r="BX44" s="139"/>
      <c r="BY44" s="139"/>
      <c r="BZ44" s="139"/>
      <c r="CB44" s="139"/>
      <c r="CD44" s="17">
        <f t="shared" si="125"/>
        <v>0</v>
      </c>
      <c r="CE44" s="17">
        <f t="shared" si="126"/>
        <v>0</v>
      </c>
      <c r="CF44" s="139">
        <f t="shared" si="182"/>
        <v>0</v>
      </c>
      <c r="CG44" s="139">
        <f t="shared" si="183"/>
        <v>0</v>
      </c>
      <c r="CH44" s="139">
        <f t="shared" si="184"/>
        <v>0</v>
      </c>
      <c r="CI44" s="139">
        <f t="shared" si="185"/>
        <v>0</v>
      </c>
      <c r="CJ44" s="139">
        <f t="shared" si="186"/>
        <v>0</v>
      </c>
      <c r="CK44" s="139">
        <f t="shared" si="187"/>
        <v>0</v>
      </c>
      <c r="CL44" s="139">
        <f t="shared" si="188"/>
        <v>0</v>
      </c>
      <c r="CM44" s="139">
        <f t="shared" si="189"/>
        <v>0</v>
      </c>
      <c r="CN44" s="139">
        <f t="shared" si="190"/>
        <v>0</v>
      </c>
      <c r="CO44" s="139">
        <f t="shared" si="191"/>
        <v>0</v>
      </c>
      <c r="CP44" s="139">
        <f t="shared" si="192"/>
        <v>0</v>
      </c>
      <c r="CQ44" s="148">
        <f t="shared" si="27"/>
        <v>0</v>
      </c>
      <c r="DV44" s="139">
        <f t="shared" si="28"/>
        <v>0</v>
      </c>
      <c r="DW44" s="139">
        <f t="shared" si="29"/>
        <v>0</v>
      </c>
      <c r="DX44" s="139">
        <f t="shared" si="30"/>
        <v>0</v>
      </c>
      <c r="DY44" s="139">
        <f t="shared" si="31"/>
        <v>0</v>
      </c>
      <c r="DZ44" s="139">
        <f t="shared" si="32"/>
        <v>0</v>
      </c>
      <c r="EA44" s="139">
        <f t="shared" si="33"/>
        <v>0</v>
      </c>
      <c r="EB44" s="139">
        <f t="shared" si="127"/>
        <v>0</v>
      </c>
      <c r="EG44" s="57">
        <f t="shared" si="128"/>
        <v>0</v>
      </c>
      <c r="EH44" s="57">
        <f t="shared" si="129"/>
        <v>0</v>
      </c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X44" s="80"/>
      <c r="FY44" s="17">
        <f t="shared" si="130"/>
        <v>0</v>
      </c>
      <c r="FZ44" s="17">
        <f t="shared" si="35"/>
        <v>0</v>
      </c>
      <c r="GA44" s="17">
        <f t="shared" si="36"/>
        <v>0</v>
      </c>
      <c r="GB44" s="17">
        <f t="shared" si="37"/>
        <v>0</v>
      </c>
      <c r="GC44" s="17">
        <f t="shared" si="38"/>
        <v>0</v>
      </c>
      <c r="GD44" s="17">
        <f t="shared" si="39"/>
        <v>0</v>
      </c>
      <c r="GE44" s="17">
        <f t="shared" si="40"/>
        <v>0</v>
      </c>
      <c r="GF44" s="67"/>
      <c r="GG44" s="17">
        <v>0</v>
      </c>
      <c r="GH44" s="17">
        <v>0</v>
      </c>
      <c r="GI44" s="67"/>
      <c r="GJ44" s="62">
        <f t="shared" si="131"/>
        <v>0</v>
      </c>
      <c r="GK44" s="62">
        <f t="shared" si="132"/>
        <v>0</v>
      </c>
      <c r="GO44" s="17">
        <f t="shared" si="41"/>
        <v>0</v>
      </c>
      <c r="GP44" s="17">
        <f t="shared" si="42"/>
        <v>0</v>
      </c>
      <c r="GQ44" s="17">
        <f t="shared" si="43"/>
        <v>0</v>
      </c>
      <c r="GR44" s="17">
        <f t="shared" si="44"/>
        <v>0</v>
      </c>
      <c r="GS44" s="17">
        <f t="shared" si="45"/>
        <v>0</v>
      </c>
      <c r="GT44" s="17">
        <f t="shared" si="133"/>
        <v>1</v>
      </c>
      <c r="GU44" s="101">
        <f t="shared" si="134"/>
        <v>43243</v>
      </c>
      <c r="GV44" s="17" t="str">
        <f t="shared" si="135"/>
        <v>SELESAI</v>
      </c>
      <c r="GW44" s="17">
        <f t="shared" si="136"/>
        <v>0</v>
      </c>
      <c r="GX44" s="66" t="str">
        <f t="shared" si="137"/>
        <v>SELESAI</v>
      </c>
      <c r="GY44" s="66">
        <f t="shared" si="138"/>
        <v>0</v>
      </c>
      <c r="GZ44" s="102" t="str">
        <f t="shared" si="139"/>
        <v>SELESAI</v>
      </c>
      <c r="HA44" s="83"/>
      <c r="HB44" s="83"/>
      <c r="HC44" s="17">
        <f t="shared" si="46"/>
        <v>0</v>
      </c>
      <c r="HD44" s="17">
        <f t="shared" si="47"/>
        <v>0</v>
      </c>
      <c r="HE44" s="17">
        <f t="shared" si="140"/>
        <v>0</v>
      </c>
      <c r="HF44" s="17">
        <f t="shared" si="141"/>
        <v>0</v>
      </c>
      <c r="HG44" s="17">
        <f t="shared" si="142"/>
        <v>0</v>
      </c>
      <c r="HH44" s="101" t="str">
        <f t="shared" si="48"/>
        <v>TIDAK KONSINYASI</v>
      </c>
      <c r="HI44" s="101" t="str">
        <f t="shared" si="143"/>
        <v>SELESAI</v>
      </c>
      <c r="HJ44" s="27"/>
      <c r="HK44" s="101">
        <f t="shared" si="49"/>
        <v>0</v>
      </c>
      <c r="HL44" s="83"/>
      <c r="HM44" s="83"/>
      <c r="HN44" s="83"/>
      <c r="HO44" s="83"/>
      <c r="HP44" s="102">
        <f t="shared" si="144"/>
        <v>0</v>
      </c>
      <c r="HQ44" s="66">
        <f t="shared" si="145"/>
        <v>0</v>
      </c>
      <c r="HR44" s="66">
        <f t="shared" si="50"/>
        <v>0</v>
      </c>
      <c r="HS44" s="102">
        <f t="shared" si="146"/>
        <v>0</v>
      </c>
      <c r="HT44" s="66">
        <f t="shared" si="147"/>
        <v>0</v>
      </c>
      <c r="HU44" s="66">
        <f t="shared" si="51"/>
        <v>0</v>
      </c>
      <c r="HV44" s="102">
        <f t="shared" si="148"/>
        <v>0</v>
      </c>
      <c r="HW44" s="66">
        <f t="shared" si="52"/>
        <v>0</v>
      </c>
      <c r="HX44" s="66">
        <f t="shared" si="53"/>
        <v>0</v>
      </c>
      <c r="HY44" s="102">
        <f t="shared" si="54"/>
        <v>0</v>
      </c>
      <c r="HZ44" s="66">
        <f t="shared" si="149"/>
        <v>0</v>
      </c>
      <c r="IA44" s="66">
        <f t="shared" si="55"/>
        <v>0</v>
      </c>
      <c r="IB44" s="102">
        <f t="shared" si="150"/>
        <v>0</v>
      </c>
      <c r="IC44" s="66">
        <f t="shared" si="56"/>
        <v>0</v>
      </c>
      <c r="ID44" s="66">
        <f t="shared" si="57"/>
        <v>0</v>
      </c>
      <c r="IE44" s="102">
        <f t="shared" si="58"/>
        <v>0</v>
      </c>
      <c r="IF44" s="66">
        <f t="shared" si="59"/>
        <v>0</v>
      </c>
      <c r="IG44" s="66">
        <f t="shared" si="60"/>
        <v>0</v>
      </c>
      <c r="IH44" s="102">
        <f t="shared" si="151"/>
        <v>0</v>
      </c>
      <c r="II44" s="66">
        <f t="shared" si="152"/>
        <v>0</v>
      </c>
      <c r="IJ44" s="66">
        <f t="shared" si="61"/>
        <v>0</v>
      </c>
      <c r="IK44" s="102">
        <f t="shared" si="62"/>
        <v>0</v>
      </c>
      <c r="IL44" s="66">
        <f t="shared" si="63"/>
        <v>0</v>
      </c>
      <c r="IM44" s="66">
        <f t="shared" si="64"/>
        <v>0</v>
      </c>
      <c r="IN44" s="83"/>
      <c r="IO44" s="102">
        <f t="shared" si="65"/>
        <v>0</v>
      </c>
      <c r="IP44" s="66">
        <f t="shared" si="66"/>
        <v>0</v>
      </c>
      <c r="IQ44" s="66">
        <f t="shared" si="67"/>
        <v>0</v>
      </c>
      <c r="IR44" s="83"/>
      <c r="IS44" s="102"/>
      <c r="IT44" s="66">
        <f t="shared" si="68"/>
        <v>1</v>
      </c>
      <c r="IU44" s="66">
        <f t="shared" si="69"/>
        <v>45</v>
      </c>
      <c r="IV44" s="83"/>
      <c r="IW44" s="102"/>
      <c r="IX44" s="66">
        <f t="shared" si="70"/>
        <v>0</v>
      </c>
      <c r="IY44" s="66">
        <f t="shared" si="71"/>
        <v>0</v>
      </c>
      <c r="IZ44" s="83"/>
      <c r="JA44" s="102"/>
      <c r="JB44" s="66">
        <f t="shared" si="72"/>
        <v>0</v>
      </c>
      <c r="JC44" s="66">
        <f t="shared" si="73"/>
        <v>0</v>
      </c>
      <c r="JD44" s="83"/>
      <c r="JE44" s="102"/>
      <c r="JF44" s="66">
        <f t="shared" si="153"/>
        <v>1</v>
      </c>
      <c r="JG44" s="66">
        <f t="shared" si="74"/>
        <v>45</v>
      </c>
      <c r="JH44" s="83"/>
      <c r="JI44" s="102"/>
      <c r="JJ44" s="66">
        <f t="shared" si="75"/>
        <v>0</v>
      </c>
      <c r="JK44" s="66">
        <f t="shared" si="76"/>
        <v>0</v>
      </c>
      <c r="JM44" s="102">
        <f t="shared" si="154"/>
        <v>0</v>
      </c>
      <c r="JO44" s="29">
        <f t="shared" si="77"/>
        <v>0</v>
      </c>
      <c r="JP44" s="122">
        <f t="shared" si="78"/>
        <v>0</v>
      </c>
      <c r="JQ44" s="122">
        <f t="shared" si="79"/>
        <v>0</v>
      </c>
      <c r="JR44" s="122">
        <f t="shared" si="80"/>
        <v>0</v>
      </c>
      <c r="JS44" s="122">
        <f t="shared" si="81"/>
        <v>0</v>
      </c>
      <c r="JT44" s="122">
        <f t="shared" si="82"/>
        <v>0</v>
      </c>
      <c r="JU44" s="122">
        <f t="shared" si="83"/>
        <v>0</v>
      </c>
      <c r="JV44" s="122">
        <f t="shared" si="84"/>
        <v>0</v>
      </c>
      <c r="JW44" s="122">
        <f t="shared" si="85"/>
        <v>0</v>
      </c>
      <c r="JX44" s="122">
        <f t="shared" si="86"/>
        <v>0</v>
      </c>
      <c r="JY44" s="122">
        <f t="shared" si="87"/>
        <v>0</v>
      </c>
      <c r="JZ44" s="122">
        <f t="shared" si="88"/>
        <v>0</v>
      </c>
      <c r="KA44" s="122">
        <f t="shared" si="89"/>
        <v>0</v>
      </c>
      <c r="KB44" s="122">
        <f t="shared" si="90"/>
        <v>0</v>
      </c>
      <c r="KD44" s="122">
        <f t="shared" si="155"/>
        <v>0</v>
      </c>
      <c r="KE44" s="122">
        <f t="shared" si="92"/>
        <v>0</v>
      </c>
      <c r="KF44" s="122">
        <f t="shared" si="93"/>
        <v>0</v>
      </c>
      <c r="KG44" s="122">
        <f t="shared" si="94"/>
        <v>0</v>
      </c>
      <c r="KH44" s="122">
        <f t="shared" si="95"/>
        <v>0</v>
      </c>
      <c r="KI44" s="122">
        <f t="shared" si="96"/>
        <v>0</v>
      </c>
      <c r="KJ44" s="122">
        <f t="shared" si="97"/>
        <v>0</v>
      </c>
      <c r="KK44" s="122">
        <f t="shared" si="98"/>
        <v>0</v>
      </c>
      <c r="KL44" s="122">
        <f t="shared" si="99"/>
        <v>0</v>
      </c>
      <c r="KM44" s="122">
        <f t="shared" si="100"/>
        <v>0</v>
      </c>
      <c r="KN44" s="123">
        <f t="shared" si="101"/>
        <v>0</v>
      </c>
      <c r="KO44" s="123">
        <f t="shared" si="102"/>
        <v>0</v>
      </c>
      <c r="KP44" s="123">
        <f t="shared" si="103"/>
        <v>0</v>
      </c>
      <c r="KQ44" s="123">
        <f t="shared" si="104"/>
        <v>0</v>
      </c>
      <c r="KR44" s="123">
        <f t="shared" si="105"/>
        <v>0</v>
      </c>
      <c r="KT44">
        <f t="shared" si="106"/>
        <v>0</v>
      </c>
      <c r="KU44" s="123"/>
      <c r="KV44" s="123"/>
      <c r="KW44" s="123"/>
      <c r="KX44" s="123"/>
      <c r="KY44" s="123"/>
      <c r="KZ44" s="123"/>
      <c r="LA44" s="123"/>
      <c r="LB44" s="123"/>
      <c r="LC44" s="123"/>
      <c r="LD44" s="123"/>
      <c r="LE44" s="123"/>
      <c r="LF44" s="123"/>
      <c r="LG44" s="123"/>
      <c r="LH44" s="123"/>
      <c r="LI44" s="123"/>
      <c r="LJ44" s="123"/>
      <c r="LK44" s="123"/>
      <c r="LL44" s="123"/>
      <c r="LM44" s="123"/>
      <c r="LN44" s="123"/>
      <c r="LO44" s="123"/>
      <c r="LP44" s="123"/>
      <c r="LQ44" s="123"/>
      <c r="LR44" s="123"/>
      <c r="LS44" s="123"/>
      <c r="LT44" s="123"/>
      <c r="LU44" s="123"/>
      <c r="LV44" s="123"/>
      <c r="LW44" s="123"/>
      <c r="LX44" s="123"/>
      <c r="LY44" s="123"/>
      <c r="LZ44" s="123"/>
      <c r="MA44" s="123"/>
      <c r="MB44" s="123"/>
      <c r="MC44" s="123"/>
      <c r="MD44" s="123"/>
      <c r="ME44" s="123"/>
      <c r="MF44" s="123"/>
      <c r="MG44" s="123"/>
      <c r="MH44" s="123"/>
      <c r="MI44" s="123"/>
      <c r="MJ44" s="123"/>
      <c r="MK44" s="123"/>
      <c r="ML44" s="123"/>
      <c r="MM44" s="123"/>
      <c r="MN44" s="123"/>
      <c r="MO44" s="123"/>
      <c r="MP44" s="123"/>
      <c r="MQ44" s="123"/>
      <c r="MR44" s="123"/>
      <c r="MS44" s="123"/>
      <c r="MT44" s="123"/>
      <c r="MU44" s="123"/>
      <c r="MV44" s="123"/>
      <c r="MW44" s="123"/>
      <c r="MX44" s="123"/>
      <c r="MY44" s="123"/>
      <c r="MZ44" s="123"/>
      <c r="NA44" s="123"/>
      <c r="NB44" s="123"/>
      <c r="NC44" s="123"/>
      <c r="ND44" s="123"/>
      <c r="NE44" s="123"/>
      <c r="NF44" s="123"/>
      <c r="NG44" s="123"/>
      <c r="NH44" s="123"/>
      <c r="NI44" s="123"/>
      <c r="NJ44" s="123"/>
      <c r="NK44" s="123"/>
      <c r="NM44">
        <f t="shared" si="156"/>
        <v>0</v>
      </c>
      <c r="NN44">
        <f t="shared" si="157"/>
        <v>0</v>
      </c>
      <c r="NO44">
        <f t="shared" si="158"/>
        <v>0</v>
      </c>
      <c r="NP44">
        <f t="shared" si="159"/>
        <v>0</v>
      </c>
      <c r="NQ44">
        <f t="shared" si="160"/>
        <v>0</v>
      </c>
      <c r="NR44">
        <f t="shared" si="161"/>
        <v>0</v>
      </c>
      <c r="NS44">
        <f t="shared" si="162"/>
        <v>0</v>
      </c>
      <c r="NT44">
        <f t="shared" si="163"/>
        <v>0</v>
      </c>
      <c r="NU44" s="29">
        <f t="shared" si="164"/>
        <v>0</v>
      </c>
      <c r="NY44" s="29">
        <f t="shared" si="108"/>
        <v>1</v>
      </c>
      <c r="NZ44" s="152">
        <v>8036000</v>
      </c>
      <c r="OE44" s="155">
        <f t="shared" si="109"/>
        <v>0</v>
      </c>
      <c r="OF44" s="155">
        <f t="shared" si="110"/>
        <v>0</v>
      </c>
      <c r="OG44" s="155">
        <f t="shared" si="111"/>
        <v>0</v>
      </c>
      <c r="OH44" s="155">
        <f t="shared" si="165"/>
        <v>0</v>
      </c>
      <c r="OI44" s="155">
        <f t="shared" si="112"/>
        <v>0</v>
      </c>
      <c r="OJ44" s="67">
        <f t="shared" si="166"/>
        <v>0</v>
      </c>
      <c r="OK44" s="67">
        <f t="shared" si="167"/>
        <v>0</v>
      </c>
      <c r="OL44" s="67">
        <f t="shared" si="168"/>
        <v>0</v>
      </c>
      <c r="OM44" s="67">
        <f t="shared" si="169"/>
        <v>0</v>
      </c>
      <c r="OO44" s="155">
        <f t="shared" si="113"/>
        <v>0</v>
      </c>
      <c r="OP44" s="155">
        <f t="shared" si="114"/>
        <v>0</v>
      </c>
      <c r="OQ44" s="155">
        <f t="shared" si="170"/>
        <v>0</v>
      </c>
      <c r="OR44" s="155">
        <f t="shared" si="171"/>
        <v>0</v>
      </c>
      <c r="OS44" s="155">
        <f t="shared" si="172"/>
        <v>0</v>
      </c>
      <c r="OT44" s="67">
        <f t="shared" si="173"/>
        <v>0</v>
      </c>
      <c r="OU44" s="67">
        <f t="shared" si="174"/>
        <v>0</v>
      </c>
      <c r="OV44" s="67">
        <f t="shared" si="175"/>
        <v>0</v>
      </c>
      <c r="OW44" s="67">
        <f t="shared" si="176"/>
        <v>0</v>
      </c>
      <c r="PA44" s="166"/>
      <c r="PB44" s="166"/>
      <c r="PC44" s="166"/>
      <c r="PD44" s="210">
        <f t="shared" si="115"/>
        <v>0</v>
      </c>
      <c r="PE44" s="210"/>
      <c r="PF44" s="210">
        <f t="shared" si="116"/>
        <v>0</v>
      </c>
      <c r="PG44" s="210">
        <f t="shared" si="117"/>
        <v>0</v>
      </c>
      <c r="PH44" s="210">
        <f t="shared" si="117"/>
        <v>0</v>
      </c>
      <c r="PI44" s="210">
        <f t="shared" si="117"/>
        <v>0</v>
      </c>
      <c r="PJ44" s="210">
        <f t="shared" si="117"/>
        <v>0</v>
      </c>
      <c r="PK44" s="210">
        <f t="shared" si="117"/>
        <v>0</v>
      </c>
      <c r="PL44" s="210">
        <f t="shared" si="117"/>
        <v>0</v>
      </c>
      <c r="PO44" s="172">
        <f t="shared" si="177"/>
        <v>0</v>
      </c>
      <c r="PP44" s="172">
        <f t="shared" si="178"/>
        <v>0</v>
      </c>
      <c r="PQ44" s="172">
        <f t="shared" si="179"/>
        <v>0</v>
      </c>
    </row>
    <row r="45" spans="1:433" ht="16" x14ac:dyDescent="0.2">
      <c r="A45" s="19">
        <f t="shared" si="180"/>
        <v>37</v>
      </c>
      <c r="B45" s="138" t="s">
        <v>393</v>
      </c>
      <c r="C45" s="138">
        <v>38</v>
      </c>
      <c r="D45" s="20">
        <v>1</v>
      </c>
      <c r="E45" s="20">
        <v>9</v>
      </c>
      <c r="F45" s="20">
        <v>1</v>
      </c>
      <c r="G45" s="20">
        <f t="shared" si="2"/>
        <v>9</v>
      </c>
      <c r="H45" s="137">
        <f t="shared" si="3"/>
        <v>1</v>
      </c>
      <c r="I45" s="137">
        <f t="shared" si="4"/>
        <v>1</v>
      </c>
      <c r="J45" s="20">
        <v>1</v>
      </c>
      <c r="K45" s="20">
        <f t="shared" si="5"/>
        <v>9</v>
      </c>
      <c r="L45" s="137">
        <f t="shared" si="6"/>
        <v>1</v>
      </c>
      <c r="M45" s="137">
        <f t="shared" si="7"/>
        <v>1</v>
      </c>
      <c r="N45" s="20">
        <v>1</v>
      </c>
      <c r="O45" s="20">
        <f t="shared" si="8"/>
        <v>9</v>
      </c>
      <c r="P45" s="137">
        <f t="shared" si="9"/>
        <v>1</v>
      </c>
      <c r="Q45" s="137">
        <f t="shared" si="10"/>
        <v>1</v>
      </c>
      <c r="R45" s="20">
        <v>1</v>
      </c>
      <c r="S45" s="20">
        <f t="shared" si="11"/>
        <v>9</v>
      </c>
      <c r="T45" s="137">
        <f t="shared" si="12"/>
        <v>1</v>
      </c>
      <c r="U45" s="137">
        <f t="shared" si="13"/>
        <v>1</v>
      </c>
      <c r="V45" s="20">
        <v>1</v>
      </c>
      <c r="W45" s="20">
        <f t="shared" si="14"/>
        <v>9</v>
      </c>
      <c r="X45" s="137">
        <f t="shared" si="15"/>
        <v>1</v>
      </c>
      <c r="Y45" s="137">
        <f t="shared" si="16"/>
        <v>1</v>
      </c>
      <c r="Z45" s="38">
        <f>76999000/1000000000</f>
        <v>7.6998999999999998E-2</v>
      </c>
      <c r="AA45" s="38"/>
      <c r="AB45" s="17">
        <f t="shared" si="118"/>
        <v>0</v>
      </c>
      <c r="AC45" s="18">
        <f t="shared" si="119"/>
        <v>0</v>
      </c>
      <c r="AD45" s="18">
        <f t="shared" si="120"/>
        <v>0</v>
      </c>
      <c r="AE45" s="38"/>
      <c r="AF45" s="20">
        <f t="shared" si="121"/>
        <v>0</v>
      </c>
      <c r="AG45" s="20"/>
      <c r="AH45" s="31"/>
      <c r="AI45" s="20">
        <v>0</v>
      </c>
      <c r="AJ45" s="20">
        <f t="shared" si="181"/>
        <v>0</v>
      </c>
      <c r="AK45" s="20"/>
      <c r="AL45" s="20"/>
      <c r="AM45" s="20">
        <v>0</v>
      </c>
      <c r="AN45" s="139"/>
      <c r="BB45" s="17">
        <f t="shared" si="123"/>
        <v>0</v>
      </c>
      <c r="BE45" s="17">
        <f t="shared" si="19"/>
        <v>0</v>
      </c>
      <c r="BF45" s="17">
        <f t="shared" si="20"/>
        <v>0</v>
      </c>
      <c r="BG45" s="17">
        <f t="shared" si="21"/>
        <v>0</v>
      </c>
      <c r="BH45" s="17">
        <f t="shared" si="22"/>
        <v>0</v>
      </c>
      <c r="BI45" s="17">
        <f t="shared" si="23"/>
        <v>0</v>
      </c>
      <c r="BJ45" s="17">
        <f t="shared" si="24"/>
        <v>0</v>
      </c>
      <c r="BK45" s="17">
        <f t="shared" si="124"/>
        <v>0</v>
      </c>
      <c r="BN45" s="141"/>
      <c r="BO45" s="284"/>
      <c r="BP45" s="139"/>
      <c r="BQ45" s="139"/>
      <c r="BR45" s="139"/>
      <c r="BS45" s="139"/>
      <c r="BT45" s="139"/>
      <c r="BU45" s="139"/>
      <c r="BV45" s="139"/>
      <c r="BW45" s="139"/>
      <c r="BX45" s="139"/>
      <c r="BY45" s="139"/>
      <c r="BZ45" s="139"/>
      <c r="CB45" s="139"/>
      <c r="CD45" s="17">
        <f t="shared" si="125"/>
        <v>0</v>
      </c>
      <c r="CE45" s="17">
        <f t="shared" si="126"/>
        <v>0</v>
      </c>
      <c r="CF45" s="139">
        <f t="shared" si="182"/>
        <v>0</v>
      </c>
      <c r="CG45" s="139">
        <f t="shared" si="183"/>
        <v>0</v>
      </c>
      <c r="CH45" s="139">
        <f t="shared" si="184"/>
        <v>0</v>
      </c>
      <c r="CI45" s="139">
        <f t="shared" si="185"/>
        <v>0</v>
      </c>
      <c r="CJ45" s="139">
        <f t="shared" si="186"/>
        <v>0</v>
      </c>
      <c r="CK45" s="139">
        <f t="shared" si="187"/>
        <v>0</v>
      </c>
      <c r="CL45" s="139">
        <f t="shared" si="188"/>
        <v>0</v>
      </c>
      <c r="CM45" s="139">
        <f t="shared" si="189"/>
        <v>0</v>
      </c>
      <c r="CN45" s="139">
        <f t="shared" si="190"/>
        <v>0</v>
      </c>
      <c r="CO45" s="139">
        <f t="shared" si="191"/>
        <v>0</v>
      </c>
      <c r="CP45" s="139">
        <f t="shared" si="192"/>
        <v>0</v>
      </c>
      <c r="CQ45" s="148">
        <f t="shared" si="27"/>
        <v>0</v>
      </c>
      <c r="DV45" s="139">
        <f t="shared" si="28"/>
        <v>0</v>
      </c>
      <c r="DW45" s="139">
        <f t="shared" si="29"/>
        <v>0</v>
      </c>
      <c r="DX45" s="139">
        <f t="shared" si="30"/>
        <v>0</v>
      </c>
      <c r="DY45" s="139">
        <f t="shared" si="31"/>
        <v>0</v>
      </c>
      <c r="DZ45" s="139">
        <f t="shared" si="32"/>
        <v>0</v>
      </c>
      <c r="EA45" s="139">
        <f t="shared" si="33"/>
        <v>0</v>
      </c>
      <c r="EB45" s="139">
        <f t="shared" si="127"/>
        <v>0</v>
      </c>
      <c r="EG45" s="57">
        <f t="shared" si="128"/>
        <v>0</v>
      </c>
      <c r="EH45" s="57">
        <f t="shared" si="129"/>
        <v>0</v>
      </c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X45" s="80"/>
      <c r="FY45" s="17">
        <f t="shared" si="130"/>
        <v>0</v>
      </c>
      <c r="FZ45" s="17">
        <f t="shared" si="35"/>
        <v>0</v>
      </c>
      <c r="GA45" s="17">
        <f t="shared" si="36"/>
        <v>0</v>
      </c>
      <c r="GB45" s="17">
        <f t="shared" si="37"/>
        <v>0</v>
      </c>
      <c r="GC45" s="17">
        <f t="shared" si="38"/>
        <v>0</v>
      </c>
      <c r="GD45" s="17">
        <f t="shared" si="39"/>
        <v>0</v>
      </c>
      <c r="GE45" s="17">
        <f t="shared" si="40"/>
        <v>0</v>
      </c>
      <c r="GF45" s="67"/>
      <c r="GG45" s="17">
        <v>0</v>
      </c>
      <c r="GH45" s="17">
        <v>0</v>
      </c>
      <c r="GI45" s="67"/>
      <c r="GJ45" s="62">
        <f t="shared" si="131"/>
        <v>0</v>
      </c>
      <c r="GK45" s="62">
        <f t="shared" si="132"/>
        <v>0</v>
      </c>
      <c r="GO45" s="17">
        <f t="shared" si="41"/>
        <v>0</v>
      </c>
      <c r="GP45" s="17">
        <f t="shared" si="42"/>
        <v>0</v>
      </c>
      <c r="GQ45" s="17">
        <f t="shared" si="43"/>
        <v>0</v>
      </c>
      <c r="GR45" s="17">
        <f t="shared" si="44"/>
        <v>0</v>
      </c>
      <c r="GS45" s="17">
        <f t="shared" si="45"/>
        <v>0</v>
      </c>
      <c r="GT45" s="17">
        <f t="shared" si="133"/>
        <v>1</v>
      </c>
      <c r="GU45" s="101">
        <f t="shared" si="134"/>
        <v>43243</v>
      </c>
      <c r="GV45" s="17" t="str">
        <f t="shared" si="135"/>
        <v>SELESAI</v>
      </c>
      <c r="GW45" s="17">
        <f t="shared" si="136"/>
        <v>0</v>
      </c>
      <c r="GX45" s="66" t="str">
        <f t="shared" si="137"/>
        <v>SELESAI</v>
      </c>
      <c r="GY45" s="66">
        <f t="shared" si="138"/>
        <v>0</v>
      </c>
      <c r="GZ45" s="102" t="str">
        <f t="shared" si="139"/>
        <v>SELESAI</v>
      </c>
      <c r="HA45" s="83"/>
      <c r="HB45" s="83"/>
      <c r="HC45" s="17">
        <f t="shared" si="46"/>
        <v>0</v>
      </c>
      <c r="HD45" s="17">
        <f t="shared" si="47"/>
        <v>0</v>
      </c>
      <c r="HE45" s="17">
        <f t="shared" si="140"/>
        <v>0</v>
      </c>
      <c r="HF45" s="17">
        <f t="shared" si="141"/>
        <v>0</v>
      </c>
      <c r="HG45" s="17">
        <f t="shared" si="142"/>
        <v>0</v>
      </c>
      <c r="HH45" s="101" t="str">
        <f t="shared" si="48"/>
        <v>TIDAK KONSINYASI</v>
      </c>
      <c r="HI45" s="101" t="str">
        <f t="shared" si="143"/>
        <v>SELESAI</v>
      </c>
      <c r="HJ45" s="27"/>
      <c r="HK45" s="101">
        <f t="shared" si="49"/>
        <v>0</v>
      </c>
      <c r="HL45" s="83"/>
      <c r="HM45" s="83"/>
      <c r="HN45" s="83"/>
      <c r="HO45" s="83"/>
      <c r="HP45" s="102">
        <f t="shared" si="144"/>
        <v>0</v>
      </c>
      <c r="HQ45" s="66">
        <f t="shared" si="145"/>
        <v>0</v>
      </c>
      <c r="HR45" s="66">
        <f t="shared" si="50"/>
        <v>0</v>
      </c>
      <c r="HS45" s="102">
        <f t="shared" si="146"/>
        <v>0</v>
      </c>
      <c r="HT45" s="66">
        <f t="shared" si="147"/>
        <v>0</v>
      </c>
      <c r="HU45" s="66">
        <f t="shared" si="51"/>
        <v>0</v>
      </c>
      <c r="HV45" s="102">
        <f t="shared" si="148"/>
        <v>0</v>
      </c>
      <c r="HW45" s="66">
        <f t="shared" si="52"/>
        <v>0</v>
      </c>
      <c r="HX45" s="66">
        <f t="shared" si="53"/>
        <v>0</v>
      </c>
      <c r="HY45" s="102">
        <f t="shared" si="54"/>
        <v>0</v>
      </c>
      <c r="HZ45" s="66">
        <f t="shared" si="149"/>
        <v>0</v>
      </c>
      <c r="IA45" s="66">
        <f t="shared" si="55"/>
        <v>0</v>
      </c>
      <c r="IB45" s="102">
        <f t="shared" si="150"/>
        <v>0</v>
      </c>
      <c r="IC45" s="66">
        <f t="shared" si="56"/>
        <v>0</v>
      </c>
      <c r="ID45" s="66">
        <f t="shared" si="57"/>
        <v>0</v>
      </c>
      <c r="IE45" s="102">
        <f t="shared" si="58"/>
        <v>0</v>
      </c>
      <c r="IF45" s="66">
        <f t="shared" si="59"/>
        <v>0</v>
      </c>
      <c r="IG45" s="66">
        <f t="shared" si="60"/>
        <v>0</v>
      </c>
      <c r="IH45" s="102">
        <f t="shared" si="151"/>
        <v>0</v>
      </c>
      <c r="II45" s="66">
        <f t="shared" si="152"/>
        <v>0</v>
      </c>
      <c r="IJ45" s="66">
        <f t="shared" si="61"/>
        <v>0</v>
      </c>
      <c r="IK45" s="102">
        <f t="shared" si="62"/>
        <v>0</v>
      </c>
      <c r="IL45" s="66">
        <f t="shared" si="63"/>
        <v>0</v>
      </c>
      <c r="IM45" s="66">
        <f t="shared" si="64"/>
        <v>0</v>
      </c>
      <c r="IN45" s="83"/>
      <c r="IO45" s="102">
        <f t="shared" si="65"/>
        <v>0</v>
      </c>
      <c r="IP45" s="66">
        <f t="shared" si="66"/>
        <v>0</v>
      </c>
      <c r="IQ45" s="66">
        <f t="shared" si="67"/>
        <v>0</v>
      </c>
      <c r="IR45" s="83"/>
      <c r="IS45" s="102"/>
      <c r="IT45" s="66">
        <f t="shared" si="68"/>
        <v>1</v>
      </c>
      <c r="IU45" s="66">
        <f t="shared" si="69"/>
        <v>9</v>
      </c>
      <c r="IV45" s="83"/>
      <c r="IW45" s="102"/>
      <c r="IX45" s="66">
        <f t="shared" si="70"/>
        <v>0</v>
      </c>
      <c r="IY45" s="66">
        <f t="shared" si="71"/>
        <v>0</v>
      </c>
      <c r="IZ45" s="83"/>
      <c r="JA45" s="102"/>
      <c r="JB45" s="66">
        <f t="shared" si="72"/>
        <v>0</v>
      </c>
      <c r="JC45" s="66">
        <f t="shared" si="73"/>
        <v>0</v>
      </c>
      <c r="JD45" s="83"/>
      <c r="JE45" s="102"/>
      <c r="JF45" s="66">
        <f t="shared" si="153"/>
        <v>1</v>
      </c>
      <c r="JG45" s="66">
        <f t="shared" si="74"/>
        <v>9</v>
      </c>
      <c r="JH45" s="83"/>
      <c r="JI45" s="102"/>
      <c r="JJ45" s="66">
        <f t="shared" si="75"/>
        <v>0</v>
      </c>
      <c r="JK45" s="66">
        <f t="shared" si="76"/>
        <v>0</v>
      </c>
      <c r="JM45" s="102">
        <f t="shared" si="154"/>
        <v>0</v>
      </c>
      <c r="JO45" s="29">
        <f t="shared" si="77"/>
        <v>0</v>
      </c>
      <c r="JP45" s="122">
        <f t="shared" si="78"/>
        <v>0</v>
      </c>
      <c r="JQ45" s="122">
        <f t="shared" si="79"/>
        <v>0</v>
      </c>
      <c r="JR45" s="122">
        <f t="shared" si="80"/>
        <v>0</v>
      </c>
      <c r="JS45" s="122">
        <f t="shared" si="81"/>
        <v>0</v>
      </c>
      <c r="JT45" s="122">
        <f t="shared" si="82"/>
        <v>0</v>
      </c>
      <c r="JU45" s="122">
        <f t="shared" si="83"/>
        <v>0</v>
      </c>
      <c r="JV45" s="122">
        <f t="shared" si="84"/>
        <v>0</v>
      </c>
      <c r="JW45" s="122">
        <f t="shared" si="85"/>
        <v>0</v>
      </c>
      <c r="JX45" s="122">
        <f t="shared" si="86"/>
        <v>0</v>
      </c>
      <c r="JY45" s="122">
        <f t="shared" si="87"/>
        <v>0</v>
      </c>
      <c r="JZ45" s="122">
        <f t="shared" si="88"/>
        <v>0</v>
      </c>
      <c r="KA45" s="122">
        <f t="shared" si="89"/>
        <v>0</v>
      </c>
      <c r="KB45" s="122">
        <f t="shared" si="90"/>
        <v>0</v>
      </c>
      <c r="KD45" s="122">
        <f t="shared" si="155"/>
        <v>0</v>
      </c>
      <c r="KE45" s="122">
        <f t="shared" si="92"/>
        <v>0</v>
      </c>
      <c r="KF45" s="122">
        <f t="shared" si="93"/>
        <v>0</v>
      </c>
      <c r="KG45" s="122">
        <f t="shared" si="94"/>
        <v>0</v>
      </c>
      <c r="KH45" s="122">
        <f t="shared" si="95"/>
        <v>0</v>
      </c>
      <c r="KI45" s="122">
        <f t="shared" si="96"/>
        <v>0</v>
      </c>
      <c r="KJ45" s="122">
        <f t="shared" si="97"/>
        <v>0</v>
      </c>
      <c r="KK45" s="122">
        <f t="shared" si="98"/>
        <v>0</v>
      </c>
      <c r="KL45" s="122">
        <f t="shared" si="99"/>
        <v>0</v>
      </c>
      <c r="KM45" s="122">
        <f t="shared" si="100"/>
        <v>0</v>
      </c>
      <c r="KN45" s="123">
        <f t="shared" si="101"/>
        <v>0</v>
      </c>
      <c r="KO45" s="123">
        <f t="shared" si="102"/>
        <v>0</v>
      </c>
      <c r="KP45" s="123">
        <f t="shared" si="103"/>
        <v>0</v>
      </c>
      <c r="KQ45" s="123">
        <f t="shared" si="104"/>
        <v>0</v>
      </c>
      <c r="KR45" s="123">
        <f t="shared" si="105"/>
        <v>0</v>
      </c>
      <c r="KT45">
        <f t="shared" si="106"/>
        <v>0</v>
      </c>
      <c r="KU45" s="123"/>
      <c r="KV45" s="123"/>
      <c r="KW45" s="123"/>
      <c r="KX45" s="123"/>
      <c r="KY45" s="123"/>
      <c r="KZ45" s="123"/>
      <c r="LA45" s="123"/>
      <c r="LB45" s="123"/>
      <c r="LC45" s="123"/>
      <c r="LD45" s="123"/>
      <c r="LE45" s="123"/>
      <c r="LF45" s="123"/>
      <c r="LG45" s="123"/>
      <c r="LH45" s="123"/>
      <c r="LI45" s="123"/>
      <c r="LJ45" s="123"/>
      <c r="LK45" s="123"/>
      <c r="LL45" s="123"/>
      <c r="LM45" s="123"/>
      <c r="LN45" s="123"/>
      <c r="LO45" s="123"/>
      <c r="LP45" s="123"/>
      <c r="LQ45" s="123"/>
      <c r="LR45" s="123"/>
      <c r="LS45" s="123"/>
      <c r="LT45" s="123"/>
      <c r="LU45" s="123"/>
      <c r="LV45" s="123"/>
      <c r="LW45" s="123"/>
      <c r="LX45" s="123"/>
      <c r="LY45" s="123"/>
      <c r="LZ45" s="123"/>
      <c r="MA45" s="123"/>
      <c r="MB45" s="123"/>
      <c r="MC45" s="123"/>
      <c r="MD45" s="123"/>
      <c r="ME45" s="123"/>
      <c r="MF45" s="123"/>
      <c r="MG45" s="123"/>
      <c r="MH45" s="123"/>
      <c r="MI45" s="123"/>
      <c r="MJ45" s="123"/>
      <c r="MK45" s="123"/>
      <c r="ML45" s="123"/>
      <c r="MM45" s="123"/>
      <c r="MN45" s="123"/>
      <c r="MO45" s="123"/>
      <c r="MP45" s="123"/>
      <c r="MQ45" s="123"/>
      <c r="MR45" s="123"/>
      <c r="MS45" s="123"/>
      <c r="MT45" s="123"/>
      <c r="MU45" s="123"/>
      <c r="MV45" s="123"/>
      <c r="MW45" s="123"/>
      <c r="MX45" s="123"/>
      <c r="MY45" s="123"/>
      <c r="MZ45" s="123"/>
      <c r="NA45" s="123"/>
      <c r="NB45" s="123"/>
      <c r="NC45" s="123"/>
      <c r="ND45" s="123"/>
      <c r="NE45" s="123"/>
      <c r="NF45" s="123"/>
      <c r="NG45" s="123"/>
      <c r="NH45" s="123"/>
      <c r="NI45" s="123"/>
      <c r="NJ45" s="123"/>
      <c r="NK45" s="123"/>
      <c r="NM45">
        <f t="shared" si="156"/>
        <v>0</v>
      </c>
      <c r="NN45">
        <f t="shared" si="157"/>
        <v>0</v>
      </c>
      <c r="NO45">
        <f t="shared" si="158"/>
        <v>0</v>
      </c>
      <c r="NP45">
        <f t="shared" si="159"/>
        <v>0</v>
      </c>
      <c r="NQ45">
        <f t="shared" si="160"/>
        <v>0</v>
      </c>
      <c r="NR45">
        <f t="shared" si="161"/>
        <v>0</v>
      </c>
      <c r="NS45">
        <f t="shared" si="162"/>
        <v>0</v>
      </c>
      <c r="NT45">
        <f t="shared" si="163"/>
        <v>0</v>
      </c>
      <c r="NU45" s="29">
        <f t="shared" si="164"/>
        <v>0</v>
      </c>
      <c r="NY45" s="29">
        <f t="shared" si="108"/>
        <v>1</v>
      </c>
      <c r="NZ45" s="152">
        <v>8036000</v>
      </c>
      <c r="OE45" s="155">
        <f t="shared" si="109"/>
        <v>0</v>
      </c>
      <c r="OF45" s="155">
        <f t="shared" si="110"/>
        <v>0</v>
      </c>
      <c r="OG45" s="155">
        <f t="shared" si="111"/>
        <v>0</v>
      </c>
      <c r="OH45" s="155">
        <f t="shared" si="165"/>
        <v>0</v>
      </c>
      <c r="OI45" s="155">
        <f t="shared" si="112"/>
        <v>0</v>
      </c>
      <c r="OJ45" s="67">
        <f t="shared" si="166"/>
        <v>0</v>
      </c>
      <c r="OK45" s="67">
        <f t="shared" si="167"/>
        <v>0</v>
      </c>
      <c r="OL45" s="67">
        <f t="shared" si="168"/>
        <v>0</v>
      </c>
      <c r="OM45" s="67">
        <f t="shared" si="169"/>
        <v>0</v>
      </c>
      <c r="OO45" s="155">
        <f t="shared" si="113"/>
        <v>0</v>
      </c>
      <c r="OP45" s="155">
        <f t="shared" si="114"/>
        <v>0</v>
      </c>
      <c r="OQ45" s="155">
        <f t="shared" si="170"/>
        <v>0</v>
      </c>
      <c r="OR45" s="155">
        <f t="shared" si="171"/>
        <v>0</v>
      </c>
      <c r="OS45" s="155">
        <f t="shared" si="172"/>
        <v>0</v>
      </c>
      <c r="OT45" s="67">
        <f t="shared" si="173"/>
        <v>0</v>
      </c>
      <c r="OU45" s="67">
        <f t="shared" si="174"/>
        <v>0</v>
      </c>
      <c r="OV45" s="67">
        <f t="shared" si="175"/>
        <v>0</v>
      </c>
      <c r="OW45" s="67">
        <f t="shared" si="176"/>
        <v>0</v>
      </c>
      <c r="PA45" s="166"/>
      <c r="PB45" s="166"/>
      <c r="PC45" s="166"/>
      <c r="PD45" s="210">
        <f t="shared" si="115"/>
        <v>0</v>
      </c>
      <c r="PE45" s="210"/>
      <c r="PF45" s="210">
        <f t="shared" si="116"/>
        <v>0</v>
      </c>
      <c r="PG45" s="210">
        <f t="shared" si="117"/>
        <v>0</v>
      </c>
      <c r="PH45" s="210">
        <f t="shared" si="117"/>
        <v>0</v>
      </c>
      <c r="PI45" s="210">
        <f t="shared" si="117"/>
        <v>0</v>
      </c>
      <c r="PJ45" s="210">
        <f t="shared" si="117"/>
        <v>0</v>
      </c>
      <c r="PK45" s="210">
        <f t="shared" si="117"/>
        <v>0</v>
      </c>
      <c r="PL45" s="210">
        <f t="shared" si="117"/>
        <v>0</v>
      </c>
      <c r="PO45" s="172">
        <f t="shared" si="177"/>
        <v>0</v>
      </c>
      <c r="PP45" s="172">
        <f t="shared" si="178"/>
        <v>0</v>
      </c>
      <c r="PQ45" s="172">
        <f t="shared" si="179"/>
        <v>0</v>
      </c>
    </row>
    <row r="46" spans="1:433" ht="16" x14ac:dyDescent="0.2">
      <c r="A46" s="19">
        <f t="shared" si="180"/>
        <v>38</v>
      </c>
      <c r="B46" s="138" t="s">
        <v>394</v>
      </c>
      <c r="C46" s="138">
        <v>39</v>
      </c>
      <c r="D46" s="20">
        <v>1</v>
      </c>
      <c r="E46" s="20">
        <v>61</v>
      </c>
      <c r="F46" s="20">
        <v>1</v>
      </c>
      <c r="G46" s="20">
        <f t="shared" si="2"/>
        <v>61</v>
      </c>
      <c r="H46" s="137">
        <f t="shared" si="3"/>
        <v>1</v>
      </c>
      <c r="I46" s="137">
        <f t="shared" si="4"/>
        <v>1</v>
      </c>
      <c r="J46" s="20">
        <v>1</v>
      </c>
      <c r="K46" s="20">
        <f t="shared" si="5"/>
        <v>61</v>
      </c>
      <c r="L46" s="137">
        <f t="shared" si="6"/>
        <v>1</v>
      </c>
      <c r="M46" s="137">
        <f t="shared" si="7"/>
        <v>1</v>
      </c>
      <c r="N46" s="20">
        <v>1</v>
      </c>
      <c r="O46" s="20">
        <f t="shared" si="8"/>
        <v>61</v>
      </c>
      <c r="P46" s="137">
        <f t="shared" si="9"/>
        <v>1</v>
      </c>
      <c r="Q46" s="137">
        <f t="shared" si="10"/>
        <v>1</v>
      </c>
      <c r="R46" s="20">
        <v>1</v>
      </c>
      <c r="S46" s="20">
        <f t="shared" si="11"/>
        <v>61</v>
      </c>
      <c r="T46" s="137">
        <f t="shared" si="12"/>
        <v>1</v>
      </c>
      <c r="U46" s="137">
        <f t="shared" si="13"/>
        <v>1</v>
      </c>
      <c r="V46" s="20">
        <v>1</v>
      </c>
      <c r="W46" s="20">
        <f t="shared" si="14"/>
        <v>61</v>
      </c>
      <c r="X46" s="137">
        <f t="shared" si="15"/>
        <v>1</v>
      </c>
      <c r="Y46" s="137">
        <f t="shared" si="16"/>
        <v>1</v>
      </c>
      <c r="Z46" s="42">
        <f>905820000/1000000000</f>
        <v>0.90581999999999996</v>
      </c>
      <c r="AA46" s="42"/>
      <c r="AB46" s="17">
        <f t="shared" si="118"/>
        <v>0</v>
      </c>
      <c r="AC46" s="18">
        <f t="shared" si="119"/>
        <v>0</v>
      </c>
      <c r="AD46" s="18">
        <f t="shared" si="120"/>
        <v>0</v>
      </c>
      <c r="AE46" s="42"/>
      <c r="AF46" s="20">
        <f t="shared" si="121"/>
        <v>0</v>
      </c>
      <c r="AG46" s="20"/>
      <c r="AH46" s="17"/>
      <c r="AI46" s="20">
        <v>0</v>
      </c>
      <c r="AJ46" s="20">
        <f t="shared" si="181"/>
        <v>0</v>
      </c>
      <c r="AK46" s="20"/>
      <c r="AL46" s="20"/>
      <c r="AM46" s="20">
        <v>0</v>
      </c>
      <c r="AN46" s="139"/>
      <c r="BB46" s="17">
        <f t="shared" si="123"/>
        <v>0</v>
      </c>
      <c r="BE46" s="17">
        <f t="shared" si="19"/>
        <v>0</v>
      </c>
      <c r="BF46" s="17">
        <f t="shared" si="20"/>
        <v>0</v>
      </c>
      <c r="BG46" s="17">
        <f t="shared" si="21"/>
        <v>0</v>
      </c>
      <c r="BH46" s="17">
        <f t="shared" si="22"/>
        <v>0</v>
      </c>
      <c r="BI46" s="17">
        <f t="shared" si="23"/>
        <v>0</v>
      </c>
      <c r="BJ46" s="17">
        <f t="shared" si="24"/>
        <v>0</v>
      </c>
      <c r="BK46" s="17">
        <f t="shared" si="124"/>
        <v>0</v>
      </c>
      <c r="BN46" s="142">
        <v>7</v>
      </c>
      <c r="BO46">
        <v>1</v>
      </c>
      <c r="BP46" s="139"/>
      <c r="BQ46" s="139"/>
      <c r="BR46" s="139"/>
      <c r="BS46" s="139"/>
      <c r="BT46" s="139"/>
      <c r="BU46" s="139"/>
      <c r="BV46" s="139"/>
      <c r="BW46" s="139"/>
      <c r="BX46" s="139"/>
      <c r="BY46" s="139"/>
      <c r="BZ46" s="139"/>
      <c r="CB46" s="139"/>
      <c r="CD46" s="17">
        <f t="shared" si="125"/>
        <v>7</v>
      </c>
      <c r="CE46" s="17">
        <f t="shared" si="126"/>
        <v>7</v>
      </c>
      <c r="CF46" s="139">
        <f t="shared" si="182"/>
        <v>0</v>
      </c>
      <c r="CG46" s="139">
        <f t="shared" si="183"/>
        <v>0</v>
      </c>
      <c r="CH46" s="139">
        <f t="shared" si="184"/>
        <v>0</v>
      </c>
      <c r="CI46" s="139">
        <f t="shared" si="185"/>
        <v>0</v>
      </c>
      <c r="CJ46" s="139">
        <f t="shared" si="186"/>
        <v>0</v>
      </c>
      <c r="CK46" s="139">
        <f t="shared" si="187"/>
        <v>0</v>
      </c>
      <c r="CL46" s="139">
        <f t="shared" si="188"/>
        <v>0</v>
      </c>
      <c r="CM46" s="139">
        <f t="shared" si="189"/>
        <v>0</v>
      </c>
      <c r="CN46" s="139">
        <f t="shared" si="190"/>
        <v>0</v>
      </c>
      <c r="CO46" s="139">
        <f t="shared" si="191"/>
        <v>0</v>
      </c>
      <c r="CP46" s="139">
        <f t="shared" si="192"/>
        <v>0</v>
      </c>
      <c r="CQ46" s="148">
        <f t="shared" si="27"/>
        <v>0</v>
      </c>
      <c r="DV46" s="139">
        <f t="shared" si="28"/>
        <v>0</v>
      </c>
      <c r="DW46" s="139">
        <f t="shared" si="29"/>
        <v>0</v>
      </c>
      <c r="DX46" s="139">
        <f t="shared" si="30"/>
        <v>0</v>
      </c>
      <c r="DY46" s="139">
        <f t="shared" si="31"/>
        <v>0</v>
      </c>
      <c r="DZ46" s="139">
        <f t="shared" si="32"/>
        <v>0</v>
      </c>
      <c r="EA46" s="139">
        <f t="shared" si="33"/>
        <v>0</v>
      </c>
      <c r="EB46" s="139">
        <f t="shared" si="127"/>
        <v>0</v>
      </c>
      <c r="EG46" s="57">
        <f t="shared" si="128"/>
        <v>0</v>
      </c>
      <c r="EH46" s="57">
        <f t="shared" si="129"/>
        <v>0</v>
      </c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X46" s="80">
        <v>1</v>
      </c>
      <c r="FY46" s="17">
        <f t="shared" si="130"/>
        <v>7</v>
      </c>
      <c r="FZ46" s="17">
        <f t="shared" si="35"/>
        <v>7</v>
      </c>
      <c r="GA46" s="17">
        <f t="shared" si="36"/>
        <v>0</v>
      </c>
      <c r="GB46" s="17">
        <f t="shared" si="37"/>
        <v>0</v>
      </c>
      <c r="GC46" s="17">
        <f t="shared" si="38"/>
        <v>0</v>
      </c>
      <c r="GD46" s="17">
        <f t="shared" si="39"/>
        <v>0</v>
      </c>
      <c r="GE46" s="17">
        <f t="shared" si="40"/>
        <v>0</v>
      </c>
      <c r="GF46" s="67"/>
      <c r="GG46" s="17">
        <v>0</v>
      </c>
      <c r="GH46" s="17">
        <v>0</v>
      </c>
      <c r="GI46" s="67"/>
      <c r="GJ46" s="62">
        <f t="shared" si="131"/>
        <v>0</v>
      </c>
      <c r="GK46" s="62">
        <f t="shared" si="132"/>
        <v>0</v>
      </c>
      <c r="GO46" s="17">
        <f t="shared" si="41"/>
        <v>0</v>
      </c>
      <c r="GP46" s="17">
        <f t="shared" si="42"/>
        <v>0</v>
      </c>
      <c r="GQ46" s="17">
        <f t="shared" si="43"/>
        <v>0</v>
      </c>
      <c r="GR46" s="17">
        <f t="shared" si="44"/>
        <v>0</v>
      </c>
      <c r="GS46" s="17">
        <f t="shared" si="45"/>
        <v>0</v>
      </c>
      <c r="GT46" s="17">
        <f t="shared" si="133"/>
        <v>1</v>
      </c>
      <c r="GU46" s="101">
        <f t="shared" si="134"/>
        <v>43243</v>
      </c>
      <c r="GV46" s="17" t="str">
        <f t="shared" si="135"/>
        <v>SELESAI</v>
      </c>
      <c r="GW46" s="17">
        <f t="shared" si="136"/>
        <v>0</v>
      </c>
      <c r="GX46" s="66" t="str">
        <f t="shared" si="137"/>
        <v>SELESAI</v>
      </c>
      <c r="GY46" s="66">
        <f t="shared" si="138"/>
        <v>0</v>
      </c>
      <c r="GZ46" s="102" t="str">
        <f t="shared" si="139"/>
        <v>SELESAI</v>
      </c>
      <c r="HA46" s="83"/>
      <c r="HB46" s="83"/>
      <c r="HC46" s="17">
        <f t="shared" si="46"/>
        <v>0</v>
      </c>
      <c r="HD46" s="17">
        <f t="shared" si="47"/>
        <v>0</v>
      </c>
      <c r="HE46" s="17">
        <f t="shared" si="140"/>
        <v>0</v>
      </c>
      <c r="HF46" s="17">
        <f t="shared" si="141"/>
        <v>0</v>
      </c>
      <c r="HG46" s="17">
        <f t="shared" si="142"/>
        <v>0</v>
      </c>
      <c r="HH46" s="101" t="str">
        <f t="shared" si="48"/>
        <v>TIDAK KONSINYASI</v>
      </c>
      <c r="HI46" s="101" t="str">
        <f t="shared" si="143"/>
        <v>SELESAI</v>
      </c>
      <c r="HJ46" s="27"/>
      <c r="HK46" s="101">
        <f t="shared" si="49"/>
        <v>0</v>
      </c>
      <c r="HL46" s="83"/>
      <c r="HM46" s="83"/>
      <c r="HN46" s="83"/>
      <c r="HO46" s="83"/>
      <c r="HP46" s="102">
        <f t="shared" si="144"/>
        <v>0</v>
      </c>
      <c r="HQ46" s="66">
        <f t="shared" si="145"/>
        <v>0</v>
      </c>
      <c r="HR46" s="66">
        <f t="shared" si="50"/>
        <v>0</v>
      </c>
      <c r="HS46" s="102">
        <f t="shared" si="146"/>
        <v>0</v>
      </c>
      <c r="HT46" s="66">
        <f t="shared" si="147"/>
        <v>0</v>
      </c>
      <c r="HU46" s="66">
        <f t="shared" si="51"/>
        <v>0</v>
      </c>
      <c r="HV46" s="102">
        <f t="shared" si="148"/>
        <v>0</v>
      </c>
      <c r="HW46" s="66">
        <f t="shared" si="52"/>
        <v>0</v>
      </c>
      <c r="HX46" s="66">
        <f t="shared" si="53"/>
        <v>0</v>
      </c>
      <c r="HY46" s="102">
        <f t="shared" si="54"/>
        <v>0</v>
      </c>
      <c r="HZ46" s="66">
        <f t="shared" si="149"/>
        <v>0</v>
      </c>
      <c r="IA46" s="66">
        <f t="shared" si="55"/>
        <v>0</v>
      </c>
      <c r="IB46" s="102">
        <f t="shared" si="150"/>
        <v>0</v>
      </c>
      <c r="IC46" s="66">
        <f t="shared" si="56"/>
        <v>0</v>
      </c>
      <c r="ID46" s="66">
        <f t="shared" si="57"/>
        <v>0</v>
      </c>
      <c r="IE46" s="102">
        <f t="shared" si="58"/>
        <v>0</v>
      </c>
      <c r="IF46" s="66">
        <f t="shared" si="59"/>
        <v>0</v>
      </c>
      <c r="IG46" s="66">
        <f t="shared" si="60"/>
        <v>0</v>
      </c>
      <c r="IH46" s="102">
        <f t="shared" si="151"/>
        <v>0</v>
      </c>
      <c r="II46" s="66">
        <f t="shared" si="152"/>
        <v>0</v>
      </c>
      <c r="IJ46" s="66">
        <f t="shared" si="61"/>
        <v>0</v>
      </c>
      <c r="IK46" s="102">
        <f t="shared" si="62"/>
        <v>0</v>
      </c>
      <c r="IL46" s="66">
        <f t="shared" si="63"/>
        <v>0</v>
      </c>
      <c r="IM46" s="66">
        <f t="shared" si="64"/>
        <v>0</v>
      </c>
      <c r="IN46" s="83"/>
      <c r="IO46" s="102">
        <f t="shared" si="65"/>
        <v>0</v>
      </c>
      <c r="IP46" s="66">
        <f t="shared" si="66"/>
        <v>0</v>
      </c>
      <c r="IQ46" s="66">
        <f t="shared" si="67"/>
        <v>0</v>
      </c>
      <c r="IR46" s="83"/>
      <c r="IS46" s="102"/>
      <c r="IT46" s="66">
        <f t="shared" si="68"/>
        <v>1</v>
      </c>
      <c r="IU46" s="66">
        <f t="shared" si="69"/>
        <v>61</v>
      </c>
      <c r="IV46" s="83"/>
      <c r="IW46" s="102"/>
      <c r="IX46" s="66">
        <f t="shared" si="70"/>
        <v>0</v>
      </c>
      <c r="IY46" s="66">
        <f t="shared" si="71"/>
        <v>0</v>
      </c>
      <c r="IZ46" s="83"/>
      <c r="JA46" s="102"/>
      <c r="JB46" s="66">
        <f t="shared" si="72"/>
        <v>0</v>
      </c>
      <c r="JC46" s="66">
        <f t="shared" si="73"/>
        <v>0</v>
      </c>
      <c r="JD46" s="83"/>
      <c r="JE46" s="102"/>
      <c r="JF46" s="66">
        <f t="shared" si="153"/>
        <v>1</v>
      </c>
      <c r="JG46" s="66">
        <f t="shared" si="74"/>
        <v>61</v>
      </c>
      <c r="JH46" s="83"/>
      <c r="JI46" s="102"/>
      <c r="JJ46" s="66">
        <f t="shared" si="75"/>
        <v>0</v>
      </c>
      <c r="JK46" s="66">
        <f t="shared" si="76"/>
        <v>0</v>
      </c>
      <c r="JM46" s="102">
        <f t="shared" si="154"/>
        <v>0</v>
      </c>
      <c r="JO46" s="29">
        <f t="shared" si="77"/>
        <v>1</v>
      </c>
      <c r="JP46" s="122">
        <f t="shared" si="78"/>
        <v>7</v>
      </c>
      <c r="JQ46" s="122">
        <f t="shared" si="79"/>
        <v>1</v>
      </c>
      <c r="JR46" s="122">
        <f t="shared" si="80"/>
        <v>0</v>
      </c>
      <c r="JS46" s="122">
        <f t="shared" si="81"/>
        <v>0</v>
      </c>
      <c r="JT46" s="122">
        <f t="shared" si="82"/>
        <v>0</v>
      </c>
      <c r="JU46" s="122">
        <f t="shared" si="83"/>
        <v>0</v>
      </c>
      <c r="JV46" s="122">
        <f t="shared" si="84"/>
        <v>0</v>
      </c>
      <c r="JW46" s="122">
        <f t="shared" si="85"/>
        <v>0</v>
      </c>
      <c r="JX46" s="122">
        <f t="shared" si="86"/>
        <v>0</v>
      </c>
      <c r="JY46" s="122">
        <f t="shared" si="87"/>
        <v>0</v>
      </c>
      <c r="JZ46" s="122">
        <f t="shared" si="88"/>
        <v>0</v>
      </c>
      <c r="KA46" s="122">
        <f t="shared" si="89"/>
        <v>0</v>
      </c>
      <c r="KB46" s="122">
        <f t="shared" si="90"/>
        <v>0</v>
      </c>
      <c r="KD46" s="122">
        <f t="shared" si="155"/>
        <v>0</v>
      </c>
      <c r="KE46" s="122">
        <f t="shared" si="92"/>
        <v>0</v>
      </c>
      <c r="KF46" s="122">
        <f t="shared" si="93"/>
        <v>7</v>
      </c>
      <c r="KG46" s="122">
        <f t="shared" si="94"/>
        <v>7</v>
      </c>
      <c r="KH46" s="122">
        <f t="shared" si="95"/>
        <v>0</v>
      </c>
      <c r="KI46" s="122">
        <f t="shared" si="96"/>
        <v>0</v>
      </c>
      <c r="KJ46" s="122">
        <f t="shared" si="97"/>
        <v>0</v>
      </c>
      <c r="KK46" s="122">
        <f t="shared" si="98"/>
        <v>0</v>
      </c>
      <c r="KL46" s="122">
        <f t="shared" si="99"/>
        <v>0</v>
      </c>
      <c r="KM46" s="122">
        <f t="shared" si="100"/>
        <v>0</v>
      </c>
      <c r="KN46" s="123">
        <f t="shared" si="101"/>
        <v>0</v>
      </c>
      <c r="KO46" s="123">
        <f t="shared" si="102"/>
        <v>0</v>
      </c>
      <c r="KP46" s="123">
        <f t="shared" si="103"/>
        <v>0</v>
      </c>
      <c r="KQ46" s="123">
        <f t="shared" si="104"/>
        <v>0</v>
      </c>
      <c r="KR46" s="123">
        <f t="shared" si="105"/>
        <v>0</v>
      </c>
      <c r="KT46">
        <f t="shared" si="106"/>
        <v>0</v>
      </c>
      <c r="KU46" s="123"/>
      <c r="KV46" s="123"/>
      <c r="KW46" s="123"/>
      <c r="KX46" s="123"/>
      <c r="KY46" s="123"/>
      <c r="KZ46" s="123"/>
      <c r="LA46" s="123"/>
      <c r="LB46" s="123"/>
      <c r="LC46" s="123"/>
      <c r="LD46" s="123"/>
      <c r="LE46" s="123"/>
      <c r="LF46" s="123"/>
      <c r="LG46" s="123"/>
      <c r="LH46" s="123"/>
      <c r="LI46" s="123"/>
      <c r="LJ46" s="123"/>
      <c r="LK46" s="123"/>
      <c r="LL46" s="123"/>
      <c r="LM46" s="123"/>
      <c r="LN46" s="123"/>
      <c r="LO46" s="123"/>
      <c r="LP46" s="123"/>
      <c r="LQ46" s="123"/>
      <c r="LR46" s="123"/>
      <c r="LS46" s="123"/>
      <c r="LT46" s="123"/>
      <c r="LU46" s="123"/>
      <c r="LV46" s="123"/>
      <c r="LW46" s="123"/>
      <c r="LX46" s="123"/>
      <c r="LY46" s="123"/>
      <c r="LZ46" s="123"/>
      <c r="MA46" s="123"/>
      <c r="MB46" s="123"/>
      <c r="MC46" s="123"/>
      <c r="MD46" s="123"/>
      <c r="ME46" s="123"/>
      <c r="MF46" s="123"/>
      <c r="MG46" s="123"/>
      <c r="MH46" s="123"/>
      <c r="MI46" s="123"/>
      <c r="MJ46" s="123"/>
      <c r="MK46" s="123"/>
      <c r="ML46" s="123"/>
      <c r="MM46" s="123"/>
      <c r="MN46" s="123"/>
      <c r="MO46" s="123"/>
      <c r="MP46" s="123"/>
      <c r="MQ46" s="123"/>
      <c r="MR46" s="123"/>
      <c r="MS46" s="123"/>
      <c r="MT46" s="123"/>
      <c r="MU46" s="123"/>
      <c r="MV46" s="123"/>
      <c r="MW46" s="123"/>
      <c r="MX46" s="123"/>
      <c r="MY46" s="123"/>
      <c r="MZ46" s="123"/>
      <c r="NA46" s="123"/>
      <c r="NB46" s="123"/>
      <c r="NC46" s="123"/>
      <c r="ND46" s="123"/>
      <c r="NE46" s="123"/>
      <c r="NF46" s="123"/>
      <c r="NG46" s="123"/>
      <c r="NH46" s="123"/>
      <c r="NI46" s="123"/>
      <c r="NJ46" s="123"/>
      <c r="NK46" s="123"/>
      <c r="NM46">
        <f t="shared" si="156"/>
        <v>0</v>
      </c>
      <c r="NN46">
        <f t="shared" si="157"/>
        <v>0</v>
      </c>
      <c r="NO46">
        <f t="shared" si="158"/>
        <v>0</v>
      </c>
      <c r="NP46">
        <f t="shared" si="159"/>
        <v>0</v>
      </c>
      <c r="NQ46">
        <f t="shared" si="160"/>
        <v>0</v>
      </c>
      <c r="NR46">
        <f t="shared" si="161"/>
        <v>0</v>
      </c>
      <c r="NS46">
        <f t="shared" si="162"/>
        <v>0</v>
      </c>
      <c r="NT46">
        <f t="shared" si="163"/>
        <v>0</v>
      </c>
      <c r="NU46" s="29">
        <f t="shared" si="164"/>
        <v>0</v>
      </c>
      <c r="NY46" s="29">
        <f t="shared" si="108"/>
        <v>1</v>
      </c>
      <c r="NZ46" s="152">
        <v>8036000</v>
      </c>
      <c r="OE46" s="155">
        <f t="shared" si="109"/>
        <v>0</v>
      </c>
      <c r="OF46" s="155">
        <f t="shared" si="110"/>
        <v>0</v>
      </c>
      <c r="OG46" s="155">
        <f t="shared" si="111"/>
        <v>0</v>
      </c>
      <c r="OH46" s="155">
        <f t="shared" si="165"/>
        <v>0</v>
      </c>
      <c r="OI46" s="155">
        <f t="shared" si="112"/>
        <v>0</v>
      </c>
      <c r="OJ46" s="67">
        <f t="shared" si="166"/>
        <v>0</v>
      </c>
      <c r="OK46" s="67">
        <f t="shared" si="167"/>
        <v>0</v>
      </c>
      <c r="OL46" s="67">
        <f t="shared" si="168"/>
        <v>0</v>
      </c>
      <c r="OM46" s="67">
        <f t="shared" si="169"/>
        <v>0</v>
      </c>
      <c r="OO46" s="155">
        <f t="shared" si="113"/>
        <v>0</v>
      </c>
      <c r="OP46" s="155">
        <f t="shared" si="114"/>
        <v>0</v>
      </c>
      <c r="OQ46" s="155">
        <f t="shared" si="170"/>
        <v>0</v>
      </c>
      <c r="OR46" s="155">
        <f t="shared" si="171"/>
        <v>0</v>
      </c>
      <c r="OS46" s="155">
        <f t="shared" si="172"/>
        <v>0</v>
      </c>
      <c r="OT46" s="67">
        <f t="shared" si="173"/>
        <v>0</v>
      </c>
      <c r="OU46" s="67">
        <f t="shared" si="174"/>
        <v>0</v>
      </c>
      <c r="OV46" s="67">
        <f t="shared" si="175"/>
        <v>0</v>
      </c>
      <c r="OW46" s="67">
        <f t="shared" si="176"/>
        <v>0</v>
      </c>
      <c r="PA46" s="166"/>
      <c r="PB46" s="166"/>
      <c r="PC46" s="166"/>
      <c r="PD46" s="210">
        <f t="shared" si="115"/>
        <v>0</v>
      </c>
      <c r="PE46" s="210"/>
      <c r="PF46" s="210">
        <f t="shared" si="116"/>
        <v>0</v>
      </c>
      <c r="PG46" s="210">
        <f t="shared" si="117"/>
        <v>0</v>
      </c>
      <c r="PH46" s="210">
        <f t="shared" si="117"/>
        <v>0</v>
      </c>
      <c r="PI46" s="210">
        <f t="shared" si="117"/>
        <v>0</v>
      </c>
      <c r="PJ46" s="210">
        <f t="shared" si="117"/>
        <v>0</v>
      </c>
      <c r="PK46" s="210">
        <f t="shared" si="117"/>
        <v>0</v>
      </c>
      <c r="PL46" s="210">
        <f t="shared" si="117"/>
        <v>0</v>
      </c>
      <c r="PO46" s="172">
        <f t="shared" si="177"/>
        <v>0</v>
      </c>
      <c r="PP46" s="172">
        <f t="shared" si="178"/>
        <v>0</v>
      </c>
      <c r="PQ46" s="172">
        <f t="shared" si="179"/>
        <v>0</v>
      </c>
    </row>
    <row r="47" spans="1:433" ht="16" x14ac:dyDescent="0.2">
      <c r="A47" s="19">
        <f t="shared" si="180"/>
        <v>39</v>
      </c>
      <c r="B47" s="138" t="s">
        <v>250</v>
      </c>
      <c r="C47" s="138">
        <v>40</v>
      </c>
      <c r="D47" s="20">
        <v>1</v>
      </c>
      <c r="E47" s="20">
        <v>10</v>
      </c>
      <c r="F47" s="20">
        <v>1</v>
      </c>
      <c r="G47" s="20">
        <f t="shared" si="2"/>
        <v>10</v>
      </c>
      <c r="H47" s="137">
        <f t="shared" si="3"/>
        <v>1</v>
      </c>
      <c r="I47" s="137">
        <f t="shared" si="4"/>
        <v>1</v>
      </c>
      <c r="J47" s="20">
        <v>1</v>
      </c>
      <c r="K47" s="20">
        <f t="shared" si="5"/>
        <v>10</v>
      </c>
      <c r="L47" s="137">
        <f t="shared" si="6"/>
        <v>1</v>
      </c>
      <c r="M47" s="137">
        <f t="shared" si="7"/>
        <v>1</v>
      </c>
      <c r="N47" s="20">
        <v>1</v>
      </c>
      <c r="O47" s="20">
        <f t="shared" si="8"/>
        <v>10</v>
      </c>
      <c r="P47" s="137">
        <f t="shared" si="9"/>
        <v>1</v>
      </c>
      <c r="Q47" s="137">
        <f t="shared" si="10"/>
        <v>1</v>
      </c>
      <c r="R47" s="20">
        <v>1</v>
      </c>
      <c r="S47" s="20">
        <f t="shared" si="11"/>
        <v>10</v>
      </c>
      <c r="T47" s="137">
        <f t="shared" si="12"/>
        <v>1</v>
      </c>
      <c r="U47" s="137">
        <f t="shared" si="13"/>
        <v>1</v>
      </c>
      <c r="V47" s="20">
        <v>1</v>
      </c>
      <c r="W47" s="20">
        <f t="shared" si="14"/>
        <v>10</v>
      </c>
      <c r="X47" s="137">
        <f t="shared" si="15"/>
        <v>1</v>
      </c>
      <c r="Y47" s="137">
        <f t="shared" si="16"/>
        <v>1</v>
      </c>
      <c r="Z47" s="38">
        <f>83843000/1000000000</f>
        <v>8.3843000000000001E-2</v>
      </c>
      <c r="AA47" s="38"/>
      <c r="AB47" s="17">
        <f t="shared" si="118"/>
        <v>0</v>
      </c>
      <c r="AC47" s="18">
        <f t="shared" si="119"/>
        <v>0</v>
      </c>
      <c r="AD47" s="18">
        <f t="shared" si="120"/>
        <v>0</v>
      </c>
      <c r="AE47" s="38"/>
      <c r="AF47" s="20">
        <f t="shared" si="121"/>
        <v>0</v>
      </c>
      <c r="AG47" s="20"/>
      <c r="AH47" s="31"/>
      <c r="AI47" s="20">
        <v>0</v>
      </c>
      <c r="AJ47" s="20">
        <f t="shared" si="181"/>
        <v>0</v>
      </c>
      <c r="AK47" s="20"/>
      <c r="AL47" s="20"/>
      <c r="AM47" s="20">
        <v>0</v>
      </c>
      <c r="AN47" s="139"/>
      <c r="BB47" s="17">
        <f t="shared" si="123"/>
        <v>0</v>
      </c>
      <c r="BE47" s="17">
        <f t="shared" si="19"/>
        <v>0</v>
      </c>
      <c r="BF47" s="17">
        <f t="shared" si="20"/>
        <v>0</v>
      </c>
      <c r="BG47" s="17">
        <f t="shared" si="21"/>
        <v>0</v>
      </c>
      <c r="BH47" s="17">
        <f t="shared" si="22"/>
        <v>0</v>
      </c>
      <c r="BI47" s="17">
        <f t="shared" si="23"/>
        <v>0</v>
      </c>
      <c r="BJ47" s="17">
        <f t="shared" si="24"/>
        <v>0</v>
      </c>
      <c r="BK47" s="17">
        <f t="shared" si="124"/>
        <v>0</v>
      </c>
      <c r="BN47" s="142"/>
      <c r="BP47" s="139"/>
      <c r="BQ47" s="139"/>
      <c r="BR47" s="139"/>
      <c r="BS47" s="139"/>
      <c r="BT47" s="139"/>
      <c r="BU47" s="139"/>
      <c r="BV47" s="139"/>
      <c r="BW47" s="139"/>
      <c r="BX47" s="139"/>
      <c r="BY47" s="139"/>
      <c r="BZ47" s="139"/>
      <c r="CB47" s="139"/>
      <c r="CD47" s="17">
        <f t="shared" si="125"/>
        <v>0</v>
      </c>
      <c r="CE47" s="17">
        <f t="shared" si="126"/>
        <v>0</v>
      </c>
      <c r="CF47" s="139">
        <f t="shared" si="182"/>
        <v>0</v>
      </c>
      <c r="CG47" s="139">
        <f t="shared" si="183"/>
        <v>0</v>
      </c>
      <c r="CH47" s="139">
        <f t="shared" si="184"/>
        <v>0</v>
      </c>
      <c r="CI47" s="139">
        <f t="shared" si="185"/>
        <v>0</v>
      </c>
      <c r="CJ47" s="139">
        <f t="shared" si="186"/>
        <v>0</v>
      </c>
      <c r="CK47" s="139">
        <f t="shared" si="187"/>
        <v>0</v>
      </c>
      <c r="CL47" s="139">
        <f t="shared" si="188"/>
        <v>0</v>
      </c>
      <c r="CM47" s="139">
        <f t="shared" si="189"/>
        <v>0</v>
      </c>
      <c r="CN47" s="139">
        <f t="shared" si="190"/>
        <v>0</v>
      </c>
      <c r="CO47" s="139">
        <f t="shared" si="191"/>
        <v>0</v>
      </c>
      <c r="CP47" s="139">
        <f t="shared" si="192"/>
        <v>0</v>
      </c>
      <c r="CQ47" s="148">
        <f t="shared" si="27"/>
        <v>0</v>
      </c>
      <c r="DV47" s="139">
        <f t="shared" si="28"/>
        <v>0</v>
      </c>
      <c r="DW47" s="139">
        <f t="shared" si="29"/>
        <v>0</v>
      </c>
      <c r="DX47" s="139">
        <f t="shared" si="30"/>
        <v>0</v>
      </c>
      <c r="DY47" s="139">
        <f t="shared" si="31"/>
        <v>0</v>
      </c>
      <c r="DZ47" s="139">
        <f t="shared" si="32"/>
        <v>0</v>
      </c>
      <c r="EA47" s="139">
        <f t="shared" si="33"/>
        <v>0</v>
      </c>
      <c r="EB47" s="139">
        <f t="shared" si="127"/>
        <v>0</v>
      </c>
      <c r="EG47" s="57">
        <f t="shared" si="128"/>
        <v>0</v>
      </c>
      <c r="EH47" s="57">
        <f t="shared" si="129"/>
        <v>0</v>
      </c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X47" s="80"/>
      <c r="FY47" s="17">
        <f t="shared" si="130"/>
        <v>0</v>
      </c>
      <c r="FZ47" s="17">
        <f t="shared" si="35"/>
        <v>0</v>
      </c>
      <c r="GA47" s="17">
        <f t="shared" si="36"/>
        <v>0</v>
      </c>
      <c r="GB47" s="17">
        <f t="shared" si="37"/>
        <v>0</v>
      </c>
      <c r="GC47" s="17">
        <f t="shared" si="38"/>
        <v>0</v>
      </c>
      <c r="GD47" s="17">
        <f t="shared" si="39"/>
        <v>0</v>
      </c>
      <c r="GE47" s="17">
        <f t="shared" si="40"/>
        <v>0</v>
      </c>
      <c r="GF47" s="67"/>
      <c r="GG47" s="17">
        <v>0</v>
      </c>
      <c r="GH47" s="17">
        <v>0</v>
      </c>
      <c r="GI47" s="67"/>
      <c r="GJ47" s="62">
        <f t="shared" si="131"/>
        <v>0</v>
      </c>
      <c r="GK47" s="62">
        <f t="shared" si="132"/>
        <v>0</v>
      </c>
      <c r="GO47" s="17">
        <f t="shared" si="41"/>
        <v>0</v>
      </c>
      <c r="GP47" s="17">
        <f t="shared" si="42"/>
        <v>0</v>
      </c>
      <c r="GQ47" s="17">
        <f t="shared" si="43"/>
        <v>0</v>
      </c>
      <c r="GR47" s="17">
        <f t="shared" si="44"/>
        <v>0</v>
      </c>
      <c r="GS47" s="17">
        <f t="shared" si="45"/>
        <v>0</v>
      </c>
      <c r="GT47" s="17">
        <f t="shared" si="133"/>
        <v>1</v>
      </c>
      <c r="GU47" s="101">
        <f t="shared" si="134"/>
        <v>43243</v>
      </c>
      <c r="GV47" s="17" t="str">
        <f t="shared" si="135"/>
        <v>SELESAI</v>
      </c>
      <c r="GW47" s="17">
        <f t="shared" si="136"/>
        <v>0</v>
      </c>
      <c r="GX47" s="66" t="str">
        <f t="shared" si="137"/>
        <v>SELESAI</v>
      </c>
      <c r="GY47" s="66">
        <f t="shared" si="138"/>
        <v>0</v>
      </c>
      <c r="GZ47" s="102" t="str">
        <f t="shared" si="139"/>
        <v>SELESAI</v>
      </c>
      <c r="HA47" s="83"/>
      <c r="HB47" s="83"/>
      <c r="HC47" s="17">
        <f t="shared" si="46"/>
        <v>0</v>
      </c>
      <c r="HD47" s="17">
        <f t="shared" si="47"/>
        <v>0</v>
      </c>
      <c r="HE47" s="17">
        <f t="shared" si="140"/>
        <v>0</v>
      </c>
      <c r="HF47" s="17">
        <f t="shared" si="141"/>
        <v>0</v>
      </c>
      <c r="HG47" s="17">
        <f t="shared" si="142"/>
        <v>0</v>
      </c>
      <c r="HH47" s="101" t="str">
        <f t="shared" si="48"/>
        <v>TIDAK KONSINYASI</v>
      </c>
      <c r="HI47" s="101" t="str">
        <f t="shared" si="143"/>
        <v>SELESAI</v>
      </c>
      <c r="HJ47" s="27"/>
      <c r="HK47" s="101">
        <f t="shared" si="49"/>
        <v>0</v>
      </c>
      <c r="HL47" s="83"/>
      <c r="HM47" s="83"/>
      <c r="HN47" s="83"/>
      <c r="HO47" s="83"/>
      <c r="HP47" s="102">
        <f t="shared" si="144"/>
        <v>0</v>
      </c>
      <c r="HQ47" s="66">
        <f t="shared" si="145"/>
        <v>0</v>
      </c>
      <c r="HR47" s="66">
        <f t="shared" si="50"/>
        <v>0</v>
      </c>
      <c r="HS47" s="102">
        <f t="shared" si="146"/>
        <v>0</v>
      </c>
      <c r="HT47" s="66">
        <f t="shared" si="147"/>
        <v>0</v>
      </c>
      <c r="HU47" s="66">
        <f t="shared" si="51"/>
        <v>0</v>
      </c>
      <c r="HV47" s="102">
        <f t="shared" si="148"/>
        <v>0</v>
      </c>
      <c r="HW47" s="66">
        <f t="shared" si="52"/>
        <v>0</v>
      </c>
      <c r="HX47" s="66">
        <f t="shared" si="53"/>
        <v>0</v>
      </c>
      <c r="HY47" s="102">
        <f t="shared" si="54"/>
        <v>0</v>
      </c>
      <c r="HZ47" s="66">
        <f t="shared" si="149"/>
        <v>0</v>
      </c>
      <c r="IA47" s="66">
        <f t="shared" si="55"/>
        <v>0</v>
      </c>
      <c r="IB47" s="102">
        <f t="shared" si="150"/>
        <v>0</v>
      </c>
      <c r="IC47" s="66">
        <f t="shared" si="56"/>
        <v>0</v>
      </c>
      <c r="ID47" s="66">
        <f t="shared" si="57"/>
        <v>0</v>
      </c>
      <c r="IE47" s="102">
        <f t="shared" si="58"/>
        <v>0</v>
      </c>
      <c r="IF47" s="66">
        <f t="shared" si="59"/>
        <v>0</v>
      </c>
      <c r="IG47" s="66">
        <f t="shared" si="60"/>
        <v>0</v>
      </c>
      <c r="IH47" s="102">
        <f t="shared" si="151"/>
        <v>0</v>
      </c>
      <c r="II47" s="66">
        <f t="shared" si="152"/>
        <v>0</v>
      </c>
      <c r="IJ47" s="66">
        <f t="shared" si="61"/>
        <v>0</v>
      </c>
      <c r="IK47" s="102">
        <f t="shared" si="62"/>
        <v>0</v>
      </c>
      <c r="IL47" s="66">
        <f t="shared" si="63"/>
        <v>0</v>
      </c>
      <c r="IM47" s="66">
        <f t="shared" si="64"/>
        <v>0</v>
      </c>
      <c r="IN47" s="83"/>
      <c r="IO47" s="102">
        <f t="shared" si="65"/>
        <v>0</v>
      </c>
      <c r="IP47" s="66">
        <f t="shared" si="66"/>
        <v>0</v>
      </c>
      <c r="IQ47" s="66">
        <f t="shared" si="67"/>
        <v>0</v>
      </c>
      <c r="IR47" s="83"/>
      <c r="IS47" s="102"/>
      <c r="IT47" s="66">
        <f t="shared" si="68"/>
        <v>1</v>
      </c>
      <c r="IU47" s="66">
        <f t="shared" si="69"/>
        <v>10</v>
      </c>
      <c r="IV47" s="83"/>
      <c r="IW47" s="102"/>
      <c r="IX47" s="66">
        <f t="shared" si="70"/>
        <v>0</v>
      </c>
      <c r="IY47" s="66">
        <f t="shared" si="71"/>
        <v>0</v>
      </c>
      <c r="IZ47" s="83"/>
      <c r="JA47" s="102"/>
      <c r="JB47" s="66">
        <f t="shared" si="72"/>
        <v>0</v>
      </c>
      <c r="JC47" s="66">
        <f t="shared" si="73"/>
        <v>0</v>
      </c>
      <c r="JD47" s="83"/>
      <c r="JE47" s="102"/>
      <c r="JF47" s="66">
        <f t="shared" si="153"/>
        <v>1</v>
      </c>
      <c r="JG47" s="66">
        <f t="shared" si="74"/>
        <v>10</v>
      </c>
      <c r="JH47" s="83"/>
      <c r="JI47" s="102"/>
      <c r="JJ47" s="66">
        <f t="shared" si="75"/>
        <v>0</v>
      </c>
      <c r="JK47" s="66">
        <f t="shared" si="76"/>
        <v>0</v>
      </c>
      <c r="JM47" s="102">
        <f t="shared" si="154"/>
        <v>0</v>
      </c>
      <c r="JO47" s="29">
        <f t="shared" si="77"/>
        <v>0</v>
      </c>
      <c r="JP47" s="122">
        <f t="shared" si="78"/>
        <v>0</v>
      </c>
      <c r="JQ47" s="122">
        <f t="shared" si="79"/>
        <v>0</v>
      </c>
      <c r="JR47" s="122">
        <f t="shared" si="80"/>
        <v>0</v>
      </c>
      <c r="JS47" s="122">
        <f t="shared" si="81"/>
        <v>0</v>
      </c>
      <c r="JT47" s="122">
        <f t="shared" si="82"/>
        <v>0</v>
      </c>
      <c r="JU47" s="122">
        <f t="shared" si="83"/>
        <v>0</v>
      </c>
      <c r="JV47" s="122">
        <f t="shared" si="84"/>
        <v>0</v>
      </c>
      <c r="JW47" s="122">
        <f t="shared" si="85"/>
        <v>0</v>
      </c>
      <c r="JX47" s="122">
        <f t="shared" si="86"/>
        <v>0</v>
      </c>
      <c r="JY47" s="122">
        <f t="shared" si="87"/>
        <v>0</v>
      </c>
      <c r="JZ47" s="122">
        <f t="shared" si="88"/>
        <v>0</v>
      </c>
      <c r="KA47" s="122">
        <f t="shared" si="89"/>
        <v>0</v>
      </c>
      <c r="KB47" s="122">
        <f t="shared" si="90"/>
        <v>0</v>
      </c>
      <c r="KD47" s="122">
        <f t="shared" si="155"/>
        <v>0</v>
      </c>
      <c r="KE47" s="122">
        <f t="shared" si="92"/>
        <v>0</v>
      </c>
      <c r="KF47" s="122">
        <f t="shared" si="93"/>
        <v>0</v>
      </c>
      <c r="KG47" s="122">
        <f t="shared" si="94"/>
        <v>0</v>
      </c>
      <c r="KH47" s="122">
        <f t="shared" si="95"/>
        <v>0</v>
      </c>
      <c r="KI47" s="122">
        <f t="shared" si="96"/>
        <v>0</v>
      </c>
      <c r="KJ47" s="122">
        <f t="shared" si="97"/>
        <v>0</v>
      </c>
      <c r="KK47" s="122">
        <f t="shared" si="98"/>
        <v>0</v>
      </c>
      <c r="KL47" s="122">
        <f t="shared" si="99"/>
        <v>0</v>
      </c>
      <c r="KM47" s="122">
        <f t="shared" si="100"/>
        <v>0</v>
      </c>
      <c r="KN47" s="123">
        <f t="shared" si="101"/>
        <v>0</v>
      </c>
      <c r="KO47" s="123">
        <f t="shared" si="102"/>
        <v>0</v>
      </c>
      <c r="KP47" s="123">
        <f t="shared" si="103"/>
        <v>0</v>
      </c>
      <c r="KQ47" s="123">
        <f t="shared" si="104"/>
        <v>0</v>
      </c>
      <c r="KR47" s="123">
        <f t="shared" si="105"/>
        <v>0</v>
      </c>
      <c r="KT47">
        <f t="shared" si="106"/>
        <v>0</v>
      </c>
      <c r="KU47" s="123"/>
      <c r="KV47" s="123"/>
      <c r="KW47" s="123"/>
      <c r="KX47" s="123"/>
      <c r="KY47" s="123"/>
      <c r="KZ47" s="123"/>
      <c r="LA47" s="123"/>
      <c r="LB47" s="123"/>
      <c r="LC47" s="123"/>
      <c r="LD47" s="123"/>
      <c r="LE47" s="123"/>
      <c r="LF47" s="123"/>
      <c r="LG47" s="123"/>
      <c r="LH47" s="123"/>
      <c r="LI47" s="123"/>
      <c r="LJ47" s="123"/>
      <c r="LK47" s="123"/>
      <c r="LL47" s="123"/>
      <c r="LM47" s="123"/>
      <c r="LN47" s="123"/>
      <c r="LO47" s="123"/>
      <c r="LP47" s="123"/>
      <c r="LQ47" s="123"/>
      <c r="LR47" s="123"/>
      <c r="LS47" s="123"/>
      <c r="LT47" s="123"/>
      <c r="LU47" s="123"/>
      <c r="LV47" s="123"/>
      <c r="LW47" s="123"/>
      <c r="LX47" s="123"/>
      <c r="LY47" s="123"/>
      <c r="LZ47" s="123"/>
      <c r="MA47" s="123"/>
      <c r="MB47" s="123"/>
      <c r="MC47" s="123"/>
      <c r="MD47" s="123"/>
      <c r="ME47" s="123"/>
      <c r="MF47" s="123"/>
      <c r="MG47" s="123"/>
      <c r="MH47" s="123"/>
      <c r="MI47" s="123"/>
      <c r="MJ47" s="123"/>
      <c r="MK47" s="123"/>
      <c r="ML47" s="123"/>
      <c r="MM47" s="123"/>
      <c r="MN47" s="123"/>
      <c r="MO47" s="123"/>
      <c r="MP47" s="123"/>
      <c r="MQ47" s="123"/>
      <c r="MR47" s="123"/>
      <c r="MS47" s="123"/>
      <c r="MT47" s="123"/>
      <c r="MU47" s="123"/>
      <c r="MV47" s="123"/>
      <c r="MW47" s="123"/>
      <c r="MX47" s="123"/>
      <c r="MY47" s="123"/>
      <c r="MZ47" s="123"/>
      <c r="NA47" s="123"/>
      <c r="NB47" s="123"/>
      <c r="NC47" s="123"/>
      <c r="ND47" s="123"/>
      <c r="NE47" s="123"/>
      <c r="NF47" s="123"/>
      <c r="NG47" s="123"/>
      <c r="NH47" s="123"/>
      <c r="NI47" s="123"/>
      <c r="NJ47" s="123"/>
      <c r="NK47" s="123"/>
      <c r="NM47">
        <f t="shared" si="156"/>
        <v>0</v>
      </c>
      <c r="NN47">
        <f t="shared" si="157"/>
        <v>0</v>
      </c>
      <c r="NO47">
        <f t="shared" si="158"/>
        <v>0</v>
      </c>
      <c r="NP47">
        <f t="shared" si="159"/>
        <v>0</v>
      </c>
      <c r="NQ47">
        <f t="shared" si="160"/>
        <v>0</v>
      </c>
      <c r="NR47">
        <f t="shared" si="161"/>
        <v>0</v>
      </c>
      <c r="NS47">
        <f t="shared" si="162"/>
        <v>0</v>
      </c>
      <c r="NT47">
        <f t="shared" si="163"/>
        <v>0</v>
      </c>
      <c r="NU47" s="29">
        <f t="shared" si="164"/>
        <v>0</v>
      </c>
      <c r="NY47" s="29">
        <f t="shared" si="108"/>
        <v>1</v>
      </c>
      <c r="NZ47" s="152">
        <v>7875280</v>
      </c>
      <c r="OE47" s="155">
        <f t="shared" si="109"/>
        <v>0</v>
      </c>
      <c r="OF47" s="155">
        <f t="shared" si="110"/>
        <v>0</v>
      </c>
      <c r="OG47" s="155">
        <f t="shared" si="111"/>
        <v>0</v>
      </c>
      <c r="OH47" s="155">
        <f t="shared" si="165"/>
        <v>0</v>
      </c>
      <c r="OI47" s="155">
        <f t="shared" si="112"/>
        <v>0</v>
      </c>
      <c r="OJ47" s="67">
        <f t="shared" si="166"/>
        <v>0</v>
      </c>
      <c r="OK47" s="67">
        <f t="shared" si="167"/>
        <v>0</v>
      </c>
      <c r="OL47" s="67">
        <f t="shared" si="168"/>
        <v>0</v>
      </c>
      <c r="OM47" s="67">
        <f t="shared" si="169"/>
        <v>0</v>
      </c>
      <c r="OO47" s="155">
        <f t="shared" si="113"/>
        <v>0</v>
      </c>
      <c r="OP47" s="155">
        <f t="shared" si="114"/>
        <v>0</v>
      </c>
      <c r="OQ47" s="155">
        <f t="shared" si="170"/>
        <v>0</v>
      </c>
      <c r="OR47" s="155">
        <f t="shared" si="171"/>
        <v>0</v>
      </c>
      <c r="OS47" s="155">
        <f t="shared" si="172"/>
        <v>0</v>
      </c>
      <c r="OT47" s="67">
        <f t="shared" si="173"/>
        <v>0</v>
      </c>
      <c r="OU47" s="67">
        <f t="shared" si="174"/>
        <v>0</v>
      </c>
      <c r="OV47" s="67">
        <f t="shared" si="175"/>
        <v>0</v>
      </c>
      <c r="OW47" s="67">
        <f t="shared" si="176"/>
        <v>0</v>
      </c>
      <c r="PA47" s="166"/>
      <c r="PB47" s="166"/>
      <c r="PC47" s="166"/>
      <c r="PD47" s="210">
        <f t="shared" si="115"/>
        <v>0</v>
      </c>
      <c r="PE47" s="210"/>
      <c r="PF47" s="210">
        <f t="shared" si="116"/>
        <v>0</v>
      </c>
      <c r="PG47" s="210">
        <f t="shared" si="117"/>
        <v>0</v>
      </c>
      <c r="PH47" s="210">
        <f t="shared" si="117"/>
        <v>0</v>
      </c>
      <c r="PI47" s="210">
        <f t="shared" si="117"/>
        <v>0</v>
      </c>
      <c r="PJ47" s="210">
        <f t="shared" si="117"/>
        <v>0</v>
      </c>
      <c r="PK47" s="210">
        <f t="shared" si="117"/>
        <v>0</v>
      </c>
      <c r="PL47" s="210">
        <f t="shared" si="117"/>
        <v>0</v>
      </c>
      <c r="PO47" s="172">
        <f t="shared" si="177"/>
        <v>0</v>
      </c>
      <c r="PP47" s="172">
        <f t="shared" si="178"/>
        <v>0</v>
      </c>
      <c r="PQ47" s="172">
        <f t="shared" si="179"/>
        <v>0</v>
      </c>
    </row>
    <row r="48" spans="1:433" ht="16" x14ac:dyDescent="0.2">
      <c r="A48" s="19">
        <f t="shared" si="180"/>
        <v>40</v>
      </c>
      <c r="B48" s="138" t="s">
        <v>251</v>
      </c>
      <c r="C48" s="138">
        <v>41</v>
      </c>
      <c r="D48" s="20">
        <v>1</v>
      </c>
      <c r="E48" s="20">
        <v>50</v>
      </c>
      <c r="F48" s="20">
        <v>1</v>
      </c>
      <c r="G48" s="20">
        <f t="shared" si="2"/>
        <v>50</v>
      </c>
      <c r="H48" s="137">
        <f t="shared" si="3"/>
        <v>1</v>
      </c>
      <c r="I48" s="137">
        <f t="shared" si="4"/>
        <v>1</v>
      </c>
      <c r="J48" s="20">
        <v>1</v>
      </c>
      <c r="K48" s="20">
        <f t="shared" si="5"/>
        <v>50</v>
      </c>
      <c r="L48" s="137">
        <f t="shared" si="6"/>
        <v>1</v>
      </c>
      <c r="M48" s="137">
        <f t="shared" si="7"/>
        <v>1</v>
      </c>
      <c r="N48" s="20">
        <v>1</v>
      </c>
      <c r="O48" s="20">
        <f t="shared" si="8"/>
        <v>50</v>
      </c>
      <c r="P48" s="137">
        <f t="shared" si="9"/>
        <v>1</v>
      </c>
      <c r="Q48" s="137">
        <f t="shared" si="10"/>
        <v>1</v>
      </c>
      <c r="R48" s="20">
        <v>1</v>
      </c>
      <c r="S48" s="20">
        <f t="shared" si="11"/>
        <v>50</v>
      </c>
      <c r="T48" s="137">
        <f t="shared" si="12"/>
        <v>1</v>
      </c>
      <c r="U48" s="137">
        <f t="shared" si="13"/>
        <v>1</v>
      </c>
      <c r="V48" s="20">
        <v>1</v>
      </c>
      <c r="W48" s="20">
        <f t="shared" si="14"/>
        <v>50</v>
      </c>
      <c r="X48" s="137">
        <f t="shared" si="15"/>
        <v>1</v>
      </c>
      <c r="Y48" s="137">
        <f t="shared" si="16"/>
        <v>1</v>
      </c>
      <c r="Z48" s="38">
        <f>773013000/1000000000</f>
        <v>0.77301299999999995</v>
      </c>
      <c r="AA48" s="38"/>
      <c r="AB48" s="17">
        <f t="shared" si="118"/>
        <v>0</v>
      </c>
      <c r="AC48" s="18">
        <f t="shared" si="119"/>
        <v>0</v>
      </c>
      <c r="AD48" s="18">
        <f t="shared" si="120"/>
        <v>0</v>
      </c>
      <c r="AE48" s="38"/>
      <c r="AF48" s="20">
        <f t="shared" si="121"/>
        <v>0</v>
      </c>
      <c r="AG48" s="20"/>
      <c r="AH48" s="31"/>
      <c r="AI48" s="20">
        <v>0</v>
      </c>
      <c r="AJ48" s="20">
        <f t="shared" si="181"/>
        <v>0</v>
      </c>
      <c r="AK48" s="20"/>
      <c r="AL48" s="20"/>
      <c r="AM48" s="20">
        <v>0</v>
      </c>
      <c r="AN48" s="139"/>
      <c r="BB48" s="17">
        <f t="shared" si="123"/>
        <v>0</v>
      </c>
      <c r="BE48" s="17">
        <f t="shared" si="19"/>
        <v>0</v>
      </c>
      <c r="BF48" s="17">
        <f t="shared" si="20"/>
        <v>0</v>
      </c>
      <c r="BG48" s="17">
        <f t="shared" si="21"/>
        <v>0</v>
      </c>
      <c r="BH48" s="17">
        <f t="shared" si="22"/>
        <v>0</v>
      </c>
      <c r="BI48" s="17">
        <f t="shared" si="23"/>
        <v>0</v>
      </c>
      <c r="BJ48" s="17">
        <f t="shared" si="24"/>
        <v>0</v>
      </c>
      <c r="BK48" s="17">
        <f t="shared" si="124"/>
        <v>0</v>
      </c>
      <c r="BN48" s="142">
        <v>26</v>
      </c>
      <c r="BO48">
        <v>1</v>
      </c>
      <c r="BP48" s="139"/>
      <c r="BQ48" s="139"/>
      <c r="BR48" s="139"/>
      <c r="BS48" s="139"/>
      <c r="BT48" s="139"/>
      <c r="BU48" s="139"/>
      <c r="BV48" s="139"/>
      <c r="BW48" s="139"/>
      <c r="BX48" s="139"/>
      <c r="BY48" s="139"/>
      <c r="BZ48" s="139"/>
      <c r="CB48" s="139"/>
      <c r="CD48" s="17">
        <f t="shared" si="125"/>
        <v>26</v>
      </c>
      <c r="CE48" s="17">
        <f t="shared" si="126"/>
        <v>26</v>
      </c>
      <c r="CF48" s="139">
        <f t="shared" si="182"/>
        <v>0</v>
      </c>
      <c r="CG48" s="139">
        <f t="shared" si="183"/>
        <v>0</v>
      </c>
      <c r="CH48" s="139">
        <f t="shared" si="184"/>
        <v>0</v>
      </c>
      <c r="CI48" s="139">
        <f t="shared" si="185"/>
        <v>0</v>
      </c>
      <c r="CJ48" s="139">
        <f t="shared" si="186"/>
        <v>0</v>
      </c>
      <c r="CK48" s="139">
        <f t="shared" si="187"/>
        <v>0</v>
      </c>
      <c r="CL48" s="139">
        <f t="shared" si="188"/>
        <v>0</v>
      </c>
      <c r="CM48" s="139">
        <f t="shared" si="189"/>
        <v>0</v>
      </c>
      <c r="CN48" s="139">
        <f t="shared" si="190"/>
        <v>0</v>
      </c>
      <c r="CO48" s="139">
        <f t="shared" si="191"/>
        <v>0</v>
      </c>
      <c r="CP48" s="139">
        <f t="shared" si="192"/>
        <v>0</v>
      </c>
      <c r="CQ48" s="148">
        <f t="shared" si="27"/>
        <v>0</v>
      </c>
      <c r="DV48" s="139">
        <f t="shared" si="28"/>
        <v>0</v>
      </c>
      <c r="DW48" s="139">
        <f t="shared" si="29"/>
        <v>0</v>
      </c>
      <c r="DX48" s="139">
        <f t="shared" si="30"/>
        <v>0</v>
      </c>
      <c r="DY48" s="139">
        <f t="shared" si="31"/>
        <v>0</v>
      </c>
      <c r="DZ48" s="139">
        <f t="shared" si="32"/>
        <v>0</v>
      </c>
      <c r="EA48" s="139">
        <f t="shared" si="33"/>
        <v>0</v>
      </c>
      <c r="EB48" s="139">
        <f t="shared" si="127"/>
        <v>0</v>
      </c>
      <c r="EG48" s="57">
        <f t="shared" si="128"/>
        <v>0</v>
      </c>
      <c r="EH48" s="57">
        <f t="shared" si="129"/>
        <v>0</v>
      </c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X48" s="80">
        <v>1</v>
      </c>
      <c r="FY48" s="17">
        <f t="shared" si="130"/>
        <v>26</v>
      </c>
      <c r="FZ48" s="17">
        <f t="shared" si="35"/>
        <v>26</v>
      </c>
      <c r="GA48" s="17">
        <f t="shared" si="36"/>
        <v>0</v>
      </c>
      <c r="GB48" s="17">
        <f t="shared" si="37"/>
        <v>0</v>
      </c>
      <c r="GC48" s="17">
        <f t="shared" si="38"/>
        <v>0</v>
      </c>
      <c r="GD48" s="17">
        <f t="shared" si="39"/>
        <v>0</v>
      </c>
      <c r="GE48" s="17">
        <f t="shared" si="40"/>
        <v>0</v>
      </c>
      <c r="GF48" s="67"/>
      <c r="GG48" s="17">
        <v>0</v>
      </c>
      <c r="GH48" s="17">
        <v>0</v>
      </c>
      <c r="GI48" s="67"/>
      <c r="GJ48" s="62">
        <f t="shared" si="131"/>
        <v>0</v>
      </c>
      <c r="GK48" s="62">
        <f t="shared" si="132"/>
        <v>0</v>
      </c>
      <c r="GO48" s="17">
        <f t="shared" si="41"/>
        <v>0</v>
      </c>
      <c r="GP48" s="17">
        <f t="shared" si="42"/>
        <v>0</v>
      </c>
      <c r="GQ48" s="17">
        <f t="shared" si="43"/>
        <v>0</v>
      </c>
      <c r="GR48" s="17">
        <f t="shared" si="44"/>
        <v>0</v>
      </c>
      <c r="GS48" s="17">
        <f t="shared" si="45"/>
        <v>0</v>
      </c>
      <c r="GT48" s="17">
        <f t="shared" si="133"/>
        <v>1</v>
      </c>
      <c r="GU48" s="101">
        <f t="shared" si="134"/>
        <v>43243</v>
      </c>
      <c r="GV48" s="17" t="str">
        <f t="shared" si="135"/>
        <v>SELESAI</v>
      </c>
      <c r="GW48" s="17">
        <f t="shared" si="136"/>
        <v>0</v>
      </c>
      <c r="GX48" s="66" t="str">
        <f t="shared" si="137"/>
        <v>SELESAI</v>
      </c>
      <c r="GY48" s="66">
        <f t="shared" si="138"/>
        <v>0</v>
      </c>
      <c r="GZ48" s="102" t="str">
        <f t="shared" si="139"/>
        <v>SELESAI</v>
      </c>
      <c r="HA48" s="83"/>
      <c r="HB48" s="83"/>
      <c r="HC48" s="17">
        <f t="shared" si="46"/>
        <v>0</v>
      </c>
      <c r="HD48" s="17">
        <f t="shared" si="47"/>
        <v>0</v>
      </c>
      <c r="HE48" s="17">
        <f t="shared" si="140"/>
        <v>0</v>
      </c>
      <c r="HF48" s="17">
        <f t="shared" si="141"/>
        <v>0</v>
      </c>
      <c r="HG48" s="17">
        <f t="shared" si="142"/>
        <v>0</v>
      </c>
      <c r="HH48" s="101" t="str">
        <f t="shared" si="48"/>
        <v>TIDAK KONSINYASI</v>
      </c>
      <c r="HI48" s="101" t="str">
        <f t="shared" si="143"/>
        <v>SELESAI</v>
      </c>
      <c r="HJ48" s="27"/>
      <c r="HK48" s="101">
        <f t="shared" si="49"/>
        <v>0</v>
      </c>
      <c r="HL48" s="83"/>
      <c r="HM48" s="83"/>
      <c r="HN48" s="83"/>
      <c r="HO48" s="83"/>
      <c r="HP48" s="102">
        <f t="shared" si="144"/>
        <v>0</v>
      </c>
      <c r="HQ48" s="66">
        <f t="shared" si="145"/>
        <v>0</v>
      </c>
      <c r="HR48" s="66">
        <f t="shared" si="50"/>
        <v>0</v>
      </c>
      <c r="HS48" s="102">
        <f t="shared" si="146"/>
        <v>0</v>
      </c>
      <c r="HT48" s="66">
        <f t="shared" si="147"/>
        <v>0</v>
      </c>
      <c r="HU48" s="66">
        <f t="shared" si="51"/>
        <v>0</v>
      </c>
      <c r="HV48" s="102">
        <f t="shared" si="148"/>
        <v>0</v>
      </c>
      <c r="HW48" s="66">
        <f t="shared" si="52"/>
        <v>0</v>
      </c>
      <c r="HX48" s="66">
        <f t="shared" si="53"/>
        <v>0</v>
      </c>
      <c r="HY48" s="102">
        <f t="shared" si="54"/>
        <v>0</v>
      </c>
      <c r="HZ48" s="66">
        <f t="shared" si="149"/>
        <v>0</v>
      </c>
      <c r="IA48" s="66">
        <f t="shared" si="55"/>
        <v>0</v>
      </c>
      <c r="IB48" s="102">
        <f t="shared" si="150"/>
        <v>0</v>
      </c>
      <c r="IC48" s="66">
        <f t="shared" si="56"/>
        <v>0</v>
      </c>
      <c r="ID48" s="66">
        <f t="shared" si="57"/>
        <v>0</v>
      </c>
      <c r="IE48" s="102">
        <f t="shared" si="58"/>
        <v>0</v>
      </c>
      <c r="IF48" s="66">
        <f t="shared" si="59"/>
        <v>0</v>
      </c>
      <c r="IG48" s="66">
        <f t="shared" si="60"/>
        <v>0</v>
      </c>
      <c r="IH48" s="102">
        <f t="shared" si="151"/>
        <v>0</v>
      </c>
      <c r="II48" s="66">
        <f t="shared" si="152"/>
        <v>0</v>
      </c>
      <c r="IJ48" s="66">
        <f t="shared" si="61"/>
        <v>0</v>
      </c>
      <c r="IK48" s="102">
        <f t="shared" si="62"/>
        <v>0</v>
      </c>
      <c r="IL48" s="66">
        <f t="shared" si="63"/>
        <v>0</v>
      </c>
      <c r="IM48" s="66">
        <f t="shared" si="64"/>
        <v>0</v>
      </c>
      <c r="IN48" s="83"/>
      <c r="IO48" s="102">
        <f t="shared" si="65"/>
        <v>0</v>
      </c>
      <c r="IP48" s="66">
        <f t="shared" si="66"/>
        <v>0</v>
      </c>
      <c r="IQ48" s="66">
        <f t="shared" si="67"/>
        <v>0</v>
      </c>
      <c r="IR48" s="83"/>
      <c r="IS48" s="102"/>
      <c r="IT48" s="66">
        <f t="shared" si="68"/>
        <v>1</v>
      </c>
      <c r="IU48" s="66">
        <f t="shared" si="69"/>
        <v>50</v>
      </c>
      <c r="IV48" s="83"/>
      <c r="IW48" s="102"/>
      <c r="IX48" s="66">
        <f t="shared" si="70"/>
        <v>0</v>
      </c>
      <c r="IY48" s="66">
        <f t="shared" si="71"/>
        <v>0</v>
      </c>
      <c r="IZ48" s="83"/>
      <c r="JA48" s="102"/>
      <c r="JB48" s="66">
        <f t="shared" si="72"/>
        <v>0</v>
      </c>
      <c r="JC48" s="66">
        <f t="shared" si="73"/>
        <v>0</v>
      </c>
      <c r="JD48" s="83"/>
      <c r="JE48" s="102"/>
      <c r="JF48" s="66">
        <f t="shared" si="153"/>
        <v>1</v>
      </c>
      <c r="JG48" s="66">
        <f t="shared" si="74"/>
        <v>50</v>
      </c>
      <c r="JH48" s="83"/>
      <c r="JI48" s="102"/>
      <c r="JJ48" s="66">
        <f t="shared" si="75"/>
        <v>0</v>
      </c>
      <c r="JK48" s="66">
        <f t="shared" si="76"/>
        <v>0</v>
      </c>
      <c r="JM48" s="102">
        <f t="shared" si="154"/>
        <v>0</v>
      </c>
      <c r="JO48" s="29">
        <f t="shared" si="77"/>
        <v>1</v>
      </c>
      <c r="JP48" s="122">
        <f t="shared" si="78"/>
        <v>26</v>
      </c>
      <c r="JQ48" s="122">
        <f t="shared" si="79"/>
        <v>1</v>
      </c>
      <c r="JR48" s="122">
        <f t="shared" si="80"/>
        <v>0</v>
      </c>
      <c r="JS48" s="122">
        <f t="shared" si="81"/>
        <v>0</v>
      </c>
      <c r="JT48" s="122">
        <f t="shared" si="82"/>
        <v>0</v>
      </c>
      <c r="JU48" s="122">
        <f t="shared" si="83"/>
        <v>0</v>
      </c>
      <c r="JV48" s="122">
        <f t="shared" si="84"/>
        <v>0</v>
      </c>
      <c r="JW48" s="122">
        <f t="shared" si="85"/>
        <v>0</v>
      </c>
      <c r="JX48" s="122">
        <f t="shared" si="86"/>
        <v>0</v>
      </c>
      <c r="JY48" s="122">
        <f t="shared" si="87"/>
        <v>0</v>
      </c>
      <c r="JZ48" s="122">
        <f t="shared" si="88"/>
        <v>0</v>
      </c>
      <c r="KA48" s="122">
        <f t="shared" si="89"/>
        <v>0</v>
      </c>
      <c r="KB48" s="122">
        <f t="shared" si="90"/>
        <v>0</v>
      </c>
      <c r="KD48" s="122">
        <f t="shared" si="155"/>
        <v>0</v>
      </c>
      <c r="KE48" s="122">
        <f t="shared" si="92"/>
        <v>0</v>
      </c>
      <c r="KF48" s="122">
        <f t="shared" si="93"/>
        <v>26</v>
      </c>
      <c r="KG48" s="122">
        <f t="shared" si="94"/>
        <v>26</v>
      </c>
      <c r="KH48" s="122">
        <f t="shared" si="95"/>
        <v>0</v>
      </c>
      <c r="KI48" s="122">
        <f t="shared" si="96"/>
        <v>0</v>
      </c>
      <c r="KJ48" s="122">
        <f t="shared" si="97"/>
        <v>0</v>
      </c>
      <c r="KK48" s="122">
        <f t="shared" si="98"/>
        <v>0</v>
      </c>
      <c r="KL48" s="122">
        <f t="shared" si="99"/>
        <v>0</v>
      </c>
      <c r="KM48" s="122">
        <f t="shared" si="100"/>
        <v>0</v>
      </c>
      <c r="KN48" s="123">
        <f t="shared" si="101"/>
        <v>0</v>
      </c>
      <c r="KO48" s="123">
        <f t="shared" si="102"/>
        <v>0</v>
      </c>
      <c r="KP48" s="123">
        <f t="shared" si="103"/>
        <v>0</v>
      </c>
      <c r="KQ48" s="123">
        <f t="shared" si="104"/>
        <v>0</v>
      </c>
      <c r="KR48" s="123">
        <f t="shared" si="105"/>
        <v>0</v>
      </c>
      <c r="KT48">
        <f t="shared" si="106"/>
        <v>0</v>
      </c>
      <c r="KU48" s="123"/>
      <c r="KV48" s="123"/>
      <c r="KW48" s="123"/>
      <c r="KX48" s="123"/>
      <c r="KY48" s="123"/>
      <c r="KZ48" s="123"/>
      <c r="LA48" s="123"/>
      <c r="LB48" s="123"/>
      <c r="LC48" s="123"/>
      <c r="LD48" s="123"/>
      <c r="LE48" s="123"/>
      <c r="LF48" s="123"/>
      <c r="LG48" s="123"/>
      <c r="LH48" s="123"/>
      <c r="LI48" s="123"/>
      <c r="LJ48" s="123"/>
      <c r="LK48" s="123"/>
      <c r="LL48" s="123"/>
      <c r="LM48" s="123"/>
      <c r="LN48" s="123"/>
      <c r="LO48" s="123"/>
      <c r="LP48" s="123"/>
      <c r="LQ48" s="123"/>
      <c r="LR48" s="123"/>
      <c r="LS48" s="123"/>
      <c r="LT48" s="123"/>
      <c r="LU48" s="123"/>
      <c r="LV48" s="123"/>
      <c r="LW48" s="123"/>
      <c r="LX48" s="123"/>
      <c r="LY48" s="123"/>
      <c r="LZ48" s="123"/>
      <c r="MA48" s="123"/>
      <c r="MB48" s="123"/>
      <c r="MC48" s="123"/>
      <c r="MD48" s="123"/>
      <c r="ME48" s="123"/>
      <c r="MF48" s="123"/>
      <c r="MG48" s="123"/>
      <c r="MH48" s="123"/>
      <c r="MI48" s="123"/>
      <c r="MJ48" s="123"/>
      <c r="MK48" s="123"/>
      <c r="ML48" s="123"/>
      <c r="MM48" s="123"/>
      <c r="MN48" s="123"/>
      <c r="MO48" s="123"/>
      <c r="MP48" s="123"/>
      <c r="MQ48" s="123"/>
      <c r="MR48" s="123"/>
      <c r="MS48" s="123"/>
      <c r="MT48" s="123"/>
      <c r="MU48" s="123"/>
      <c r="MV48" s="123"/>
      <c r="MW48" s="123"/>
      <c r="MX48" s="123"/>
      <c r="MY48" s="123"/>
      <c r="MZ48" s="123"/>
      <c r="NA48" s="123"/>
      <c r="NB48" s="123"/>
      <c r="NC48" s="123"/>
      <c r="ND48" s="123"/>
      <c r="NE48" s="123"/>
      <c r="NF48" s="123"/>
      <c r="NG48" s="123"/>
      <c r="NH48" s="123"/>
      <c r="NI48" s="123"/>
      <c r="NJ48" s="123"/>
      <c r="NK48" s="123"/>
      <c r="NM48">
        <f t="shared" si="156"/>
        <v>0</v>
      </c>
      <c r="NN48">
        <f t="shared" si="157"/>
        <v>0</v>
      </c>
      <c r="NO48">
        <f t="shared" si="158"/>
        <v>0</v>
      </c>
      <c r="NP48">
        <f t="shared" si="159"/>
        <v>0</v>
      </c>
      <c r="NQ48">
        <f t="shared" si="160"/>
        <v>0</v>
      </c>
      <c r="NR48">
        <f t="shared" si="161"/>
        <v>0</v>
      </c>
      <c r="NS48">
        <f t="shared" si="162"/>
        <v>0</v>
      </c>
      <c r="NT48">
        <f t="shared" si="163"/>
        <v>0</v>
      </c>
      <c r="NU48" s="29">
        <f t="shared" si="164"/>
        <v>0</v>
      </c>
      <c r="NY48" s="29">
        <f t="shared" si="108"/>
        <v>1</v>
      </c>
      <c r="NZ48" s="152">
        <v>8036000</v>
      </c>
      <c r="OE48" s="155">
        <f t="shared" si="109"/>
        <v>0</v>
      </c>
      <c r="OF48" s="155">
        <f t="shared" si="110"/>
        <v>0</v>
      </c>
      <c r="OG48" s="155">
        <f t="shared" si="111"/>
        <v>0</v>
      </c>
      <c r="OH48" s="155">
        <f t="shared" si="165"/>
        <v>0</v>
      </c>
      <c r="OI48" s="155">
        <f t="shared" si="112"/>
        <v>0</v>
      </c>
      <c r="OJ48" s="67">
        <f t="shared" si="166"/>
        <v>0</v>
      </c>
      <c r="OK48" s="67">
        <f t="shared" si="167"/>
        <v>0</v>
      </c>
      <c r="OL48" s="67">
        <f t="shared" si="168"/>
        <v>0</v>
      </c>
      <c r="OM48" s="67">
        <f t="shared" si="169"/>
        <v>0</v>
      </c>
      <c r="OO48" s="155">
        <f t="shared" si="113"/>
        <v>0</v>
      </c>
      <c r="OP48" s="155">
        <f t="shared" si="114"/>
        <v>0</v>
      </c>
      <c r="OQ48" s="155">
        <f t="shared" si="170"/>
        <v>0</v>
      </c>
      <c r="OR48" s="155">
        <f t="shared" si="171"/>
        <v>0</v>
      </c>
      <c r="OS48" s="155">
        <f t="shared" si="172"/>
        <v>0</v>
      </c>
      <c r="OT48" s="67">
        <f t="shared" si="173"/>
        <v>0</v>
      </c>
      <c r="OU48" s="67">
        <f t="shared" si="174"/>
        <v>0</v>
      </c>
      <c r="OV48" s="67">
        <f t="shared" si="175"/>
        <v>0</v>
      </c>
      <c r="OW48" s="67">
        <f t="shared" si="176"/>
        <v>0</v>
      </c>
      <c r="PA48" s="166"/>
      <c r="PB48" s="166"/>
      <c r="PC48" s="166"/>
      <c r="PD48" s="210">
        <f t="shared" si="115"/>
        <v>0</v>
      </c>
      <c r="PE48" s="210"/>
      <c r="PF48" s="210">
        <f t="shared" si="116"/>
        <v>0</v>
      </c>
      <c r="PG48" s="210">
        <f t="shared" si="117"/>
        <v>0</v>
      </c>
      <c r="PH48" s="210">
        <f t="shared" si="117"/>
        <v>0</v>
      </c>
      <c r="PI48" s="210">
        <f t="shared" si="117"/>
        <v>0</v>
      </c>
      <c r="PJ48" s="210">
        <f t="shared" si="117"/>
        <v>0</v>
      </c>
      <c r="PK48" s="210">
        <f t="shared" si="117"/>
        <v>0</v>
      </c>
      <c r="PL48" s="210">
        <f t="shared" si="117"/>
        <v>0</v>
      </c>
      <c r="PO48" s="172">
        <f t="shared" si="177"/>
        <v>0</v>
      </c>
      <c r="PP48" s="172">
        <f t="shared" si="178"/>
        <v>0</v>
      </c>
      <c r="PQ48" s="172">
        <f t="shared" si="179"/>
        <v>0</v>
      </c>
    </row>
    <row r="49" spans="1:433" ht="15.75" customHeight="1" x14ac:dyDescent="0.2">
      <c r="A49" s="19">
        <f t="shared" si="180"/>
        <v>41</v>
      </c>
      <c r="B49" s="138" t="s">
        <v>252</v>
      </c>
      <c r="C49" s="138">
        <v>42</v>
      </c>
      <c r="D49" s="20">
        <v>1</v>
      </c>
      <c r="E49" s="20">
        <v>100</v>
      </c>
      <c r="F49" s="20">
        <v>1</v>
      </c>
      <c r="G49" s="20">
        <f t="shared" si="2"/>
        <v>100</v>
      </c>
      <c r="H49" s="137">
        <f t="shared" si="3"/>
        <v>1</v>
      </c>
      <c r="I49" s="137">
        <f t="shared" si="4"/>
        <v>1</v>
      </c>
      <c r="J49" s="20">
        <v>1</v>
      </c>
      <c r="K49" s="20">
        <f t="shared" si="5"/>
        <v>100</v>
      </c>
      <c r="L49" s="137">
        <f t="shared" si="6"/>
        <v>1</v>
      </c>
      <c r="M49" s="137">
        <f t="shared" si="7"/>
        <v>1</v>
      </c>
      <c r="N49" s="20">
        <v>1</v>
      </c>
      <c r="O49" s="20">
        <f t="shared" si="8"/>
        <v>100</v>
      </c>
      <c r="P49" s="137">
        <f t="shared" si="9"/>
        <v>1</v>
      </c>
      <c r="Q49" s="137">
        <f t="shared" si="10"/>
        <v>1</v>
      </c>
      <c r="R49" s="20">
        <v>1</v>
      </c>
      <c r="S49" s="20">
        <f t="shared" si="11"/>
        <v>100</v>
      </c>
      <c r="T49" s="137">
        <f t="shared" si="12"/>
        <v>1</v>
      </c>
      <c r="U49" s="137">
        <f t="shared" si="13"/>
        <v>1</v>
      </c>
      <c r="V49" s="20">
        <v>1</v>
      </c>
      <c r="W49" s="20">
        <f t="shared" si="14"/>
        <v>100</v>
      </c>
      <c r="X49" s="137">
        <f t="shared" si="15"/>
        <v>1</v>
      </c>
      <c r="Y49" s="137">
        <f t="shared" si="16"/>
        <v>1</v>
      </c>
      <c r="Z49" s="42">
        <f>1274034000/1000000000</f>
        <v>1.2740340000000001</v>
      </c>
      <c r="AA49" s="42"/>
      <c r="AB49" s="17">
        <f t="shared" si="118"/>
        <v>0</v>
      </c>
      <c r="AC49" s="18">
        <f t="shared" si="119"/>
        <v>0</v>
      </c>
      <c r="AD49" s="18">
        <f t="shared" si="120"/>
        <v>0</v>
      </c>
      <c r="AE49" s="42"/>
      <c r="AF49" s="20">
        <f t="shared" si="121"/>
        <v>0</v>
      </c>
      <c r="AG49" s="20"/>
      <c r="AH49" s="17"/>
      <c r="AI49" s="20">
        <v>0</v>
      </c>
      <c r="AJ49" s="20">
        <f t="shared" si="181"/>
        <v>0</v>
      </c>
      <c r="AK49" s="20"/>
      <c r="AL49" s="20"/>
      <c r="AM49" s="20">
        <v>0</v>
      </c>
      <c r="AN49" s="139"/>
      <c r="BB49" s="17">
        <f t="shared" si="123"/>
        <v>0</v>
      </c>
      <c r="BE49" s="17">
        <f t="shared" si="19"/>
        <v>0</v>
      </c>
      <c r="BF49" s="17">
        <f t="shared" si="20"/>
        <v>0</v>
      </c>
      <c r="BG49" s="17">
        <f t="shared" si="21"/>
        <v>0</v>
      </c>
      <c r="BH49" s="17">
        <f t="shared" si="22"/>
        <v>0</v>
      </c>
      <c r="BI49" s="17">
        <f t="shared" si="23"/>
        <v>0</v>
      </c>
      <c r="BJ49" s="17">
        <f t="shared" si="24"/>
        <v>0</v>
      </c>
      <c r="BK49" s="17">
        <f t="shared" si="124"/>
        <v>0</v>
      </c>
      <c r="BN49" s="142">
        <v>49</v>
      </c>
      <c r="BO49">
        <v>1</v>
      </c>
      <c r="BP49" s="139"/>
      <c r="BQ49" s="139"/>
      <c r="BR49" s="139"/>
      <c r="BS49" s="139"/>
      <c r="BT49" s="139"/>
      <c r="BU49" s="139"/>
      <c r="BV49" s="139"/>
      <c r="BW49" s="139"/>
      <c r="BX49" s="139"/>
      <c r="BY49" s="139"/>
      <c r="BZ49" s="139"/>
      <c r="CB49" s="139"/>
      <c r="CD49" s="17">
        <f t="shared" si="125"/>
        <v>49</v>
      </c>
      <c r="CE49" s="17">
        <f t="shared" si="126"/>
        <v>49</v>
      </c>
      <c r="CF49" s="139">
        <f t="shared" si="182"/>
        <v>0</v>
      </c>
      <c r="CG49" s="139">
        <f t="shared" si="183"/>
        <v>0</v>
      </c>
      <c r="CH49" s="139">
        <f t="shared" si="184"/>
        <v>0</v>
      </c>
      <c r="CI49" s="139">
        <f t="shared" si="185"/>
        <v>0</v>
      </c>
      <c r="CJ49" s="139">
        <f t="shared" si="186"/>
        <v>0</v>
      </c>
      <c r="CK49" s="139">
        <f t="shared" si="187"/>
        <v>0</v>
      </c>
      <c r="CL49" s="139">
        <f t="shared" si="188"/>
        <v>0</v>
      </c>
      <c r="CM49" s="139">
        <f t="shared" si="189"/>
        <v>0</v>
      </c>
      <c r="CN49" s="139">
        <f t="shared" si="190"/>
        <v>0</v>
      </c>
      <c r="CO49" s="139">
        <f t="shared" si="191"/>
        <v>0</v>
      </c>
      <c r="CP49" s="139">
        <f t="shared" si="192"/>
        <v>0</v>
      </c>
      <c r="CQ49" s="148">
        <f t="shared" si="27"/>
        <v>0</v>
      </c>
      <c r="DV49" s="139">
        <f t="shared" si="28"/>
        <v>0</v>
      </c>
      <c r="DW49" s="139">
        <f t="shared" si="29"/>
        <v>0</v>
      </c>
      <c r="DX49" s="139">
        <f t="shared" si="30"/>
        <v>0</v>
      </c>
      <c r="DY49" s="139">
        <f t="shared" si="31"/>
        <v>0</v>
      </c>
      <c r="DZ49" s="139">
        <f t="shared" si="32"/>
        <v>0</v>
      </c>
      <c r="EA49" s="139">
        <f t="shared" si="33"/>
        <v>0</v>
      </c>
      <c r="EB49" s="139">
        <f t="shared" si="127"/>
        <v>0</v>
      </c>
      <c r="EG49" s="57">
        <f t="shared" si="128"/>
        <v>0</v>
      </c>
      <c r="EH49" s="57">
        <f t="shared" si="129"/>
        <v>0</v>
      </c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X49" s="80">
        <v>1</v>
      </c>
      <c r="FY49" s="17">
        <f t="shared" si="130"/>
        <v>49</v>
      </c>
      <c r="FZ49" s="17">
        <f t="shared" si="35"/>
        <v>49</v>
      </c>
      <c r="GA49" s="17">
        <f t="shared" si="36"/>
        <v>0</v>
      </c>
      <c r="GB49" s="17">
        <f t="shared" si="37"/>
        <v>0</v>
      </c>
      <c r="GC49" s="17">
        <f t="shared" si="38"/>
        <v>0</v>
      </c>
      <c r="GD49" s="17">
        <f t="shared" si="39"/>
        <v>0</v>
      </c>
      <c r="GE49" s="17">
        <f t="shared" si="40"/>
        <v>0</v>
      </c>
      <c r="GF49" s="67"/>
      <c r="GG49" s="17">
        <v>0</v>
      </c>
      <c r="GH49" s="17">
        <v>0</v>
      </c>
      <c r="GI49" s="67"/>
      <c r="GJ49" s="62">
        <f t="shared" si="131"/>
        <v>0</v>
      </c>
      <c r="GK49" s="62">
        <f t="shared" si="132"/>
        <v>0</v>
      </c>
      <c r="GO49" s="17">
        <f t="shared" si="41"/>
        <v>0</v>
      </c>
      <c r="GP49" s="17">
        <f t="shared" si="42"/>
        <v>0</v>
      </c>
      <c r="GQ49" s="17">
        <f t="shared" si="43"/>
        <v>0</v>
      </c>
      <c r="GR49" s="17">
        <f t="shared" si="44"/>
        <v>0</v>
      </c>
      <c r="GS49" s="17">
        <f t="shared" si="45"/>
        <v>0</v>
      </c>
      <c r="GT49" s="17">
        <f t="shared" si="133"/>
        <v>1</v>
      </c>
      <c r="GU49" s="101">
        <f t="shared" si="134"/>
        <v>43243</v>
      </c>
      <c r="GV49" s="17" t="str">
        <f t="shared" si="135"/>
        <v>SELESAI</v>
      </c>
      <c r="GW49" s="17">
        <f t="shared" si="136"/>
        <v>0</v>
      </c>
      <c r="GX49" s="66" t="str">
        <f t="shared" si="137"/>
        <v>SELESAI</v>
      </c>
      <c r="GY49" s="66">
        <f t="shared" si="138"/>
        <v>0</v>
      </c>
      <c r="GZ49" s="102" t="str">
        <f t="shared" si="139"/>
        <v>SELESAI</v>
      </c>
      <c r="HA49" s="83"/>
      <c r="HB49" s="83"/>
      <c r="HC49" s="17">
        <f t="shared" si="46"/>
        <v>0</v>
      </c>
      <c r="HD49" s="17">
        <f t="shared" si="47"/>
        <v>0</v>
      </c>
      <c r="HE49" s="17">
        <f t="shared" si="140"/>
        <v>0</v>
      </c>
      <c r="HF49" s="17">
        <f t="shared" si="141"/>
        <v>0</v>
      </c>
      <c r="HG49" s="17">
        <f t="shared" si="142"/>
        <v>0</v>
      </c>
      <c r="HH49" s="101" t="str">
        <f t="shared" si="48"/>
        <v>TIDAK KONSINYASI</v>
      </c>
      <c r="HI49" s="101" t="str">
        <f t="shared" si="143"/>
        <v>SELESAI</v>
      </c>
      <c r="HJ49" s="27"/>
      <c r="HK49" s="101">
        <f t="shared" si="49"/>
        <v>0</v>
      </c>
      <c r="HL49" s="83"/>
      <c r="HM49" s="83"/>
      <c r="HN49" s="83"/>
      <c r="HO49" s="83"/>
      <c r="HP49" s="102">
        <f t="shared" si="144"/>
        <v>0</v>
      </c>
      <c r="HQ49" s="66">
        <f t="shared" si="145"/>
        <v>0</v>
      </c>
      <c r="HR49" s="66">
        <f t="shared" si="50"/>
        <v>0</v>
      </c>
      <c r="HS49" s="102">
        <f t="shared" si="146"/>
        <v>0</v>
      </c>
      <c r="HT49" s="66">
        <f t="shared" si="147"/>
        <v>0</v>
      </c>
      <c r="HU49" s="66">
        <f t="shared" si="51"/>
        <v>0</v>
      </c>
      <c r="HV49" s="102">
        <f t="shared" si="148"/>
        <v>0</v>
      </c>
      <c r="HW49" s="66">
        <f t="shared" si="52"/>
        <v>0</v>
      </c>
      <c r="HX49" s="66">
        <f t="shared" si="53"/>
        <v>0</v>
      </c>
      <c r="HY49" s="102">
        <f t="shared" si="54"/>
        <v>0</v>
      </c>
      <c r="HZ49" s="66">
        <f t="shared" si="149"/>
        <v>0</v>
      </c>
      <c r="IA49" s="66">
        <f t="shared" si="55"/>
        <v>0</v>
      </c>
      <c r="IB49" s="102">
        <f t="shared" si="150"/>
        <v>0</v>
      </c>
      <c r="IC49" s="66">
        <f t="shared" si="56"/>
        <v>0</v>
      </c>
      <c r="ID49" s="66">
        <f t="shared" si="57"/>
        <v>0</v>
      </c>
      <c r="IE49" s="102">
        <f t="shared" si="58"/>
        <v>0</v>
      </c>
      <c r="IF49" s="66">
        <f t="shared" si="59"/>
        <v>0</v>
      </c>
      <c r="IG49" s="66">
        <f t="shared" si="60"/>
        <v>0</v>
      </c>
      <c r="IH49" s="102">
        <f t="shared" si="151"/>
        <v>0</v>
      </c>
      <c r="II49" s="66">
        <f t="shared" si="152"/>
        <v>0</v>
      </c>
      <c r="IJ49" s="66">
        <f t="shared" si="61"/>
        <v>0</v>
      </c>
      <c r="IK49" s="102">
        <f t="shared" si="62"/>
        <v>0</v>
      </c>
      <c r="IL49" s="66">
        <f t="shared" si="63"/>
        <v>0</v>
      </c>
      <c r="IM49" s="66">
        <f t="shared" si="64"/>
        <v>0</v>
      </c>
      <c r="IN49" s="83"/>
      <c r="IO49" s="102">
        <f t="shared" si="65"/>
        <v>0</v>
      </c>
      <c r="IP49" s="66">
        <f t="shared" si="66"/>
        <v>0</v>
      </c>
      <c r="IQ49" s="66">
        <f t="shared" si="67"/>
        <v>0</v>
      </c>
      <c r="IR49" s="83"/>
      <c r="IS49" s="102"/>
      <c r="IT49" s="66">
        <f t="shared" si="68"/>
        <v>1</v>
      </c>
      <c r="IU49" s="66">
        <f t="shared" si="69"/>
        <v>100</v>
      </c>
      <c r="IV49" s="83"/>
      <c r="IW49" s="102"/>
      <c r="IX49" s="66">
        <f t="shared" si="70"/>
        <v>0</v>
      </c>
      <c r="IY49" s="66">
        <f t="shared" si="71"/>
        <v>0</v>
      </c>
      <c r="IZ49" s="83"/>
      <c r="JA49" s="102"/>
      <c r="JB49" s="66">
        <f t="shared" si="72"/>
        <v>0</v>
      </c>
      <c r="JC49" s="66">
        <f t="shared" si="73"/>
        <v>0</v>
      </c>
      <c r="JD49" s="83"/>
      <c r="JE49" s="102"/>
      <c r="JF49" s="66">
        <f t="shared" si="153"/>
        <v>1</v>
      </c>
      <c r="JG49" s="66">
        <f t="shared" si="74"/>
        <v>100</v>
      </c>
      <c r="JH49" s="83"/>
      <c r="JI49" s="102"/>
      <c r="JJ49" s="66">
        <f t="shared" si="75"/>
        <v>0</v>
      </c>
      <c r="JK49" s="66">
        <f t="shared" si="76"/>
        <v>0</v>
      </c>
      <c r="JM49" s="102">
        <f t="shared" si="154"/>
        <v>0</v>
      </c>
      <c r="JO49" s="29">
        <f t="shared" si="77"/>
        <v>1</v>
      </c>
      <c r="JP49" s="122">
        <f t="shared" si="78"/>
        <v>49</v>
      </c>
      <c r="JQ49" s="122">
        <f t="shared" si="79"/>
        <v>1</v>
      </c>
      <c r="JR49" s="122">
        <f t="shared" si="80"/>
        <v>0</v>
      </c>
      <c r="JS49" s="122">
        <f t="shared" si="81"/>
        <v>0</v>
      </c>
      <c r="JT49" s="122">
        <f t="shared" si="82"/>
        <v>0</v>
      </c>
      <c r="JU49" s="122">
        <f t="shared" si="83"/>
        <v>0</v>
      </c>
      <c r="JV49" s="122">
        <f t="shared" si="84"/>
        <v>0</v>
      </c>
      <c r="JW49" s="122">
        <f t="shared" si="85"/>
        <v>0</v>
      </c>
      <c r="JX49" s="122">
        <f t="shared" si="86"/>
        <v>0</v>
      </c>
      <c r="JY49" s="122">
        <f t="shared" si="87"/>
        <v>0</v>
      </c>
      <c r="JZ49" s="122">
        <f t="shared" si="88"/>
        <v>0</v>
      </c>
      <c r="KA49" s="122">
        <f t="shared" si="89"/>
        <v>0</v>
      </c>
      <c r="KB49" s="122">
        <f t="shared" si="90"/>
        <v>0</v>
      </c>
      <c r="KD49" s="122">
        <f t="shared" si="155"/>
        <v>0</v>
      </c>
      <c r="KE49" s="122">
        <f t="shared" si="92"/>
        <v>0</v>
      </c>
      <c r="KF49" s="122">
        <f t="shared" si="93"/>
        <v>49</v>
      </c>
      <c r="KG49" s="122">
        <f t="shared" si="94"/>
        <v>49</v>
      </c>
      <c r="KH49" s="122">
        <f t="shared" si="95"/>
        <v>0</v>
      </c>
      <c r="KI49" s="122">
        <f t="shared" si="96"/>
        <v>0</v>
      </c>
      <c r="KJ49" s="122">
        <f t="shared" si="97"/>
        <v>0</v>
      </c>
      <c r="KK49" s="122">
        <f t="shared" si="98"/>
        <v>0</v>
      </c>
      <c r="KL49" s="122">
        <f t="shared" si="99"/>
        <v>0</v>
      </c>
      <c r="KM49" s="122">
        <f t="shared" si="100"/>
        <v>0</v>
      </c>
      <c r="KN49" s="123">
        <f t="shared" si="101"/>
        <v>0</v>
      </c>
      <c r="KO49" s="123">
        <f t="shared" si="102"/>
        <v>0</v>
      </c>
      <c r="KP49" s="123">
        <f t="shared" si="103"/>
        <v>0</v>
      </c>
      <c r="KQ49" s="123">
        <f t="shared" si="104"/>
        <v>0</v>
      </c>
      <c r="KR49" s="123">
        <f t="shared" si="105"/>
        <v>0</v>
      </c>
      <c r="KT49">
        <f t="shared" si="106"/>
        <v>0</v>
      </c>
      <c r="KU49" s="123"/>
      <c r="KV49" s="123"/>
      <c r="KW49" s="123"/>
      <c r="KX49" s="123"/>
      <c r="KY49" s="123"/>
      <c r="KZ49" s="123"/>
      <c r="LA49" s="123"/>
      <c r="LB49" s="123"/>
      <c r="LC49" s="123"/>
      <c r="LD49" s="123"/>
      <c r="LE49" s="123"/>
      <c r="LF49" s="123"/>
      <c r="LG49" s="123"/>
      <c r="LH49" s="123"/>
      <c r="LI49" s="123"/>
      <c r="LJ49" s="123"/>
      <c r="LK49" s="123"/>
      <c r="LL49" s="123"/>
      <c r="LM49" s="123"/>
      <c r="LN49" s="123"/>
      <c r="LO49" s="123"/>
      <c r="LP49" s="123"/>
      <c r="LQ49" s="123"/>
      <c r="LR49" s="123"/>
      <c r="LS49" s="123"/>
      <c r="LT49" s="123"/>
      <c r="LU49" s="123"/>
      <c r="LV49" s="123"/>
      <c r="LW49" s="123"/>
      <c r="LX49" s="123"/>
      <c r="LY49" s="123"/>
      <c r="LZ49" s="123"/>
      <c r="MA49" s="123"/>
      <c r="MB49" s="123"/>
      <c r="MC49" s="123"/>
      <c r="MD49" s="123"/>
      <c r="ME49" s="123"/>
      <c r="MF49" s="123"/>
      <c r="MG49" s="123"/>
      <c r="MH49" s="123"/>
      <c r="MI49" s="123"/>
      <c r="MJ49" s="123"/>
      <c r="MK49" s="123"/>
      <c r="ML49" s="123"/>
      <c r="MM49" s="123"/>
      <c r="MN49" s="123"/>
      <c r="MO49" s="123"/>
      <c r="MP49" s="123"/>
      <c r="MQ49" s="123"/>
      <c r="MR49" s="123"/>
      <c r="MS49" s="123"/>
      <c r="MT49" s="123"/>
      <c r="MU49" s="123"/>
      <c r="MV49" s="123"/>
      <c r="MW49" s="123"/>
      <c r="MX49" s="123"/>
      <c r="MY49" s="123"/>
      <c r="MZ49" s="123"/>
      <c r="NA49" s="123"/>
      <c r="NB49" s="123"/>
      <c r="NC49" s="123"/>
      <c r="ND49" s="123"/>
      <c r="NE49" s="123"/>
      <c r="NF49" s="123"/>
      <c r="NG49" s="123"/>
      <c r="NH49" s="123"/>
      <c r="NI49" s="123"/>
      <c r="NJ49" s="123"/>
      <c r="NK49" s="123"/>
      <c r="NM49">
        <f t="shared" si="156"/>
        <v>0</v>
      </c>
      <c r="NN49">
        <f t="shared" si="157"/>
        <v>0</v>
      </c>
      <c r="NO49">
        <f t="shared" si="158"/>
        <v>0</v>
      </c>
      <c r="NP49">
        <f t="shared" si="159"/>
        <v>0</v>
      </c>
      <c r="NQ49">
        <f t="shared" si="160"/>
        <v>0</v>
      </c>
      <c r="NR49">
        <f t="shared" si="161"/>
        <v>0</v>
      </c>
      <c r="NS49">
        <f t="shared" si="162"/>
        <v>0</v>
      </c>
      <c r="NT49">
        <f t="shared" si="163"/>
        <v>0</v>
      </c>
      <c r="NU49" s="29">
        <f t="shared" si="164"/>
        <v>0</v>
      </c>
      <c r="NY49" s="29">
        <f t="shared" si="108"/>
        <v>1</v>
      </c>
      <c r="NZ49" s="152">
        <v>8036000</v>
      </c>
      <c r="OE49" s="155">
        <f t="shared" si="109"/>
        <v>0</v>
      </c>
      <c r="OF49" s="155">
        <f t="shared" si="110"/>
        <v>0</v>
      </c>
      <c r="OG49" s="155">
        <f t="shared" si="111"/>
        <v>0</v>
      </c>
      <c r="OH49" s="155">
        <f t="shared" si="165"/>
        <v>0</v>
      </c>
      <c r="OI49" s="155">
        <f t="shared" si="112"/>
        <v>0</v>
      </c>
      <c r="OJ49" s="67">
        <f t="shared" si="166"/>
        <v>0</v>
      </c>
      <c r="OK49" s="67">
        <f t="shared" si="167"/>
        <v>0</v>
      </c>
      <c r="OL49" s="67">
        <f t="shared" si="168"/>
        <v>0</v>
      </c>
      <c r="OM49" s="67">
        <f t="shared" si="169"/>
        <v>0</v>
      </c>
      <c r="OO49" s="155">
        <f t="shared" si="113"/>
        <v>0</v>
      </c>
      <c r="OP49" s="155">
        <f t="shared" si="114"/>
        <v>0</v>
      </c>
      <c r="OQ49" s="155">
        <f t="shared" si="170"/>
        <v>0</v>
      </c>
      <c r="OR49" s="155">
        <f t="shared" si="171"/>
        <v>0</v>
      </c>
      <c r="OS49" s="155">
        <f t="shared" si="172"/>
        <v>0</v>
      </c>
      <c r="OT49" s="67">
        <f t="shared" si="173"/>
        <v>0</v>
      </c>
      <c r="OU49" s="67">
        <f t="shared" si="174"/>
        <v>0</v>
      </c>
      <c r="OV49" s="67">
        <f t="shared" si="175"/>
        <v>0</v>
      </c>
      <c r="OW49" s="67">
        <f t="shared" si="176"/>
        <v>0</v>
      </c>
      <c r="PA49" s="166"/>
      <c r="PB49" s="166"/>
      <c r="PC49" s="166"/>
      <c r="PD49" s="210">
        <f t="shared" si="115"/>
        <v>0</v>
      </c>
      <c r="PE49" s="210"/>
      <c r="PF49" s="210">
        <f t="shared" si="116"/>
        <v>0</v>
      </c>
      <c r="PG49" s="210">
        <f t="shared" si="117"/>
        <v>0</v>
      </c>
      <c r="PH49" s="210">
        <f t="shared" si="117"/>
        <v>0</v>
      </c>
      <c r="PI49" s="210">
        <f t="shared" si="117"/>
        <v>0</v>
      </c>
      <c r="PJ49" s="210">
        <f t="shared" si="117"/>
        <v>0</v>
      </c>
      <c r="PK49" s="210">
        <f t="shared" si="117"/>
        <v>0</v>
      </c>
      <c r="PL49" s="210">
        <f t="shared" si="117"/>
        <v>0</v>
      </c>
      <c r="PO49" s="172">
        <f t="shared" si="177"/>
        <v>0</v>
      </c>
      <c r="PP49" s="172">
        <f t="shared" si="178"/>
        <v>0</v>
      </c>
      <c r="PQ49" s="172">
        <f t="shared" si="179"/>
        <v>0</v>
      </c>
    </row>
    <row r="50" spans="1:433" ht="16" x14ac:dyDescent="0.2">
      <c r="A50" s="19">
        <f t="shared" si="180"/>
        <v>42</v>
      </c>
      <c r="B50" s="186" t="s">
        <v>632</v>
      </c>
      <c r="C50" s="186">
        <v>43</v>
      </c>
      <c r="D50" s="188">
        <v>1</v>
      </c>
      <c r="E50" s="188">
        <v>839</v>
      </c>
      <c r="F50" s="188">
        <v>1</v>
      </c>
      <c r="G50" s="20">
        <f t="shared" si="2"/>
        <v>839</v>
      </c>
      <c r="H50" s="137">
        <f t="shared" si="3"/>
        <v>1</v>
      </c>
      <c r="I50" s="137">
        <f t="shared" si="4"/>
        <v>1</v>
      </c>
      <c r="J50" s="20">
        <v>1</v>
      </c>
      <c r="K50" s="20">
        <f t="shared" si="5"/>
        <v>839</v>
      </c>
      <c r="L50" s="137">
        <f t="shared" si="6"/>
        <v>1</v>
      </c>
      <c r="M50" s="137">
        <f t="shared" si="7"/>
        <v>1</v>
      </c>
      <c r="N50" s="188">
        <v>1</v>
      </c>
      <c r="O50" s="20">
        <f t="shared" si="8"/>
        <v>839</v>
      </c>
      <c r="P50" s="137">
        <f t="shared" si="9"/>
        <v>1</v>
      </c>
      <c r="Q50" s="137">
        <f t="shared" si="10"/>
        <v>1</v>
      </c>
      <c r="R50" s="20">
        <v>0</v>
      </c>
      <c r="S50" s="20">
        <f t="shared" si="11"/>
        <v>0</v>
      </c>
      <c r="T50" s="137">
        <f t="shared" si="12"/>
        <v>0</v>
      </c>
      <c r="U50" s="137">
        <f t="shared" si="13"/>
        <v>0</v>
      </c>
      <c r="V50" s="20">
        <v>0</v>
      </c>
      <c r="W50" s="20">
        <f t="shared" si="14"/>
        <v>0</v>
      </c>
      <c r="X50" s="137">
        <f t="shared" si="15"/>
        <v>0</v>
      </c>
      <c r="Y50" s="137">
        <f t="shared" si="16"/>
        <v>0</v>
      </c>
      <c r="Z50" s="38"/>
      <c r="AA50" s="38"/>
      <c r="AB50" s="17">
        <f t="shared" si="118"/>
        <v>0</v>
      </c>
      <c r="AC50" s="18">
        <f t="shared" si="119"/>
        <v>0</v>
      </c>
      <c r="AD50" s="18">
        <f t="shared" si="120"/>
        <v>0</v>
      </c>
      <c r="AE50" s="38"/>
      <c r="AF50" s="20">
        <f t="shared" si="121"/>
        <v>0</v>
      </c>
      <c r="AG50" s="20"/>
      <c r="AH50" s="17"/>
      <c r="AI50" s="20">
        <v>0</v>
      </c>
      <c r="AJ50" s="20">
        <f t="shared" si="181"/>
        <v>0</v>
      </c>
      <c r="AK50" s="20"/>
      <c r="AL50" s="20"/>
      <c r="AM50" s="20">
        <v>0</v>
      </c>
      <c r="AN50" s="139">
        <v>1</v>
      </c>
      <c r="BB50" s="17">
        <f t="shared" si="123"/>
        <v>839</v>
      </c>
      <c r="BE50" s="17">
        <f t="shared" si="19"/>
        <v>0</v>
      </c>
      <c r="BF50" s="17">
        <f t="shared" si="20"/>
        <v>0</v>
      </c>
      <c r="BG50" s="17">
        <f t="shared" si="21"/>
        <v>0</v>
      </c>
      <c r="BH50" s="17">
        <f t="shared" si="22"/>
        <v>0</v>
      </c>
      <c r="BI50" s="17">
        <f t="shared" si="23"/>
        <v>0</v>
      </c>
      <c r="BJ50" s="17">
        <f t="shared" si="24"/>
        <v>0</v>
      </c>
      <c r="BK50" s="17">
        <f t="shared" si="124"/>
        <v>0</v>
      </c>
      <c r="BN50" s="141"/>
      <c r="BO50" s="284"/>
      <c r="BP50" s="139"/>
      <c r="BQ50" s="139"/>
      <c r="BR50" s="139"/>
      <c r="BS50" s="139"/>
      <c r="BT50" s="139"/>
      <c r="BU50" s="139"/>
      <c r="BV50" s="139"/>
      <c r="BW50" s="139"/>
      <c r="BX50" s="139"/>
      <c r="BY50" s="139"/>
      <c r="BZ50" s="139"/>
      <c r="CB50" s="139"/>
      <c r="CD50" s="17">
        <f t="shared" si="125"/>
        <v>0</v>
      </c>
      <c r="CE50" s="17">
        <f t="shared" si="126"/>
        <v>0</v>
      </c>
      <c r="CF50" s="139">
        <f t="shared" si="182"/>
        <v>0</v>
      </c>
      <c r="CG50" s="139">
        <f t="shared" si="183"/>
        <v>0</v>
      </c>
      <c r="CH50" s="139">
        <f t="shared" si="184"/>
        <v>0</v>
      </c>
      <c r="CI50" s="139">
        <f t="shared" si="185"/>
        <v>0</v>
      </c>
      <c r="CJ50" s="139">
        <f t="shared" si="186"/>
        <v>0</v>
      </c>
      <c r="CK50" s="139">
        <f t="shared" si="187"/>
        <v>0</v>
      </c>
      <c r="CL50" s="139">
        <f t="shared" si="188"/>
        <v>0</v>
      </c>
      <c r="CM50" s="139">
        <f t="shared" si="189"/>
        <v>0</v>
      </c>
      <c r="CN50" s="139">
        <f t="shared" si="190"/>
        <v>0</v>
      </c>
      <c r="CO50" s="139">
        <f t="shared" si="191"/>
        <v>0</v>
      </c>
      <c r="CP50" s="139">
        <f t="shared" si="192"/>
        <v>0</v>
      </c>
      <c r="CQ50" s="148">
        <f t="shared" si="27"/>
        <v>0</v>
      </c>
      <c r="DV50" s="139">
        <f t="shared" si="28"/>
        <v>0</v>
      </c>
      <c r="DW50" s="139">
        <f t="shared" si="29"/>
        <v>0</v>
      </c>
      <c r="DX50" s="139">
        <f t="shared" si="30"/>
        <v>0</v>
      </c>
      <c r="DY50" s="139">
        <f t="shared" si="31"/>
        <v>0</v>
      </c>
      <c r="DZ50" s="139">
        <f t="shared" si="32"/>
        <v>0</v>
      </c>
      <c r="EA50" s="139">
        <f t="shared" si="33"/>
        <v>0</v>
      </c>
      <c r="EB50" s="139">
        <f t="shared" si="127"/>
        <v>0</v>
      </c>
      <c r="EG50" s="57">
        <f t="shared" si="128"/>
        <v>0</v>
      </c>
      <c r="EH50" s="57">
        <f t="shared" si="129"/>
        <v>0</v>
      </c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X50" s="80"/>
      <c r="FY50" s="17">
        <f t="shared" si="130"/>
        <v>0</v>
      </c>
      <c r="FZ50" s="17">
        <f t="shared" si="35"/>
        <v>0</v>
      </c>
      <c r="GA50" s="17">
        <f t="shared" si="36"/>
        <v>0</v>
      </c>
      <c r="GB50" s="17">
        <f t="shared" si="37"/>
        <v>0</v>
      </c>
      <c r="GC50" s="17">
        <f t="shared" si="38"/>
        <v>0</v>
      </c>
      <c r="GD50" s="17">
        <f t="shared" si="39"/>
        <v>0</v>
      </c>
      <c r="GE50" s="17">
        <f t="shared" si="40"/>
        <v>0</v>
      </c>
      <c r="GF50" s="67"/>
      <c r="GG50" s="17">
        <v>0</v>
      </c>
      <c r="GH50" s="17">
        <v>0</v>
      </c>
      <c r="GI50" s="67"/>
      <c r="GJ50" s="62">
        <f t="shared" si="131"/>
        <v>0</v>
      </c>
      <c r="GK50" s="62">
        <f t="shared" si="132"/>
        <v>0</v>
      </c>
      <c r="GO50" s="17">
        <f t="shared" si="41"/>
        <v>0</v>
      </c>
      <c r="GP50" s="17">
        <f t="shared" si="42"/>
        <v>0</v>
      </c>
      <c r="GQ50" s="17">
        <f t="shared" si="43"/>
        <v>0</v>
      </c>
      <c r="GR50" s="17">
        <f t="shared" si="44"/>
        <v>1</v>
      </c>
      <c r="GS50" s="17">
        <f t="shared" si="45"/>
        <v>1</v>
      </c>
      <c r="GT50" s="17">
        <f t="shared" si="133"/>
        <v>0</v>
      </c>
      <c r="GU50" s="101">
        <f t="shared" si="134"/>
        <v>43243</v>
      </c>
      <c r="GV50" s="17" t="str">
        <f t="shared" si="135"/>
        <v>Musyawarah</v>
      </c>
      <c r="GW50" s="17">
        <f t="shared" si="136"/>
        <v>1</v>
      </c>
      <c r="GX50" s="66" t="str">
        <f t="shared" si="137"/>
        <v>Musyawarah</v>
      </c>
      <c r="GY50" s="66">
        <f t="shared" si="138"/>
        <v>24</v>
      </c>
      <c r="GZ50" s="102">
        <f t="shared" si="139"/>
        <v>43267</v>
      </c>
      <c r="HA50" s="83"/>
      <c r="HB50" s="83"/>
      <c r="HC50" s="17">
        <f t="shared" si="46"/>
        <v>0</v>
      </c>
      <c r="HD50" s="17">
        <f t="shared" si="47"/>
        <v>0</v>
      </c>
      <c r="HE50" s="17">
        <f t="shared" si="140"/>
        <v>0</v>
      </c>
      <c r="HF50" s="17">
        <f t="shared" si="141"/>
        <v>0</v>
      </c>
      <c r="HG50" s="17">
        <f t="shared" si="142"/>
        <v>0</v>
      </c>
      <c r="HH50" s="101" t="str">
        <f t="shared" si="48"/>
        <v>TIDAK KONSINYASI</v>
      </c>
      <c r="HI50" s="101">
        <f t="shared" si="143"/>
        <v>43312</v>
      </c>
      <c r="HJ50" s="27"/>
      <c r="HK50" s="101">
        <f t="shared" si="49"/>
        <v>43312</v>
      </c>
      <c r="HL50" s="83"/>
      <c r="HM50" s="83"/>
      <c r="HN50" s="83"/>
      <c r="HO50" s="83"/>
      <c r="HP50" s="102">
        <f t="shared" si="144"/>
        <v>0</v>
      </c>
      <c r="HQ50" s="66">
        <f t="shared" si="145"/>
        <v>0</v>
      </c>
      <c r="HR50" s="66">
        <f t="shared" si="50"/>
        <v>0</v>
      </c>
      <c r="HS50" s="102">
        <f t="shared" si="146"/>
        <v>0</v>
      </c>
      <c r="HT50" s="66">
        <f t="shared" si="147"/>
        <v>0</v>
      </c>
      <c r="HU50" s="66">
        <f t="shared" si="51"/>
        <v>0</v>
      </c>
      <c r="HV50" s="102">
        <f t="shared" si="148"/>
        <v>0</v>
      </c>
      <c r="HW50" s="66">
        <f t="shared" si="52"/>
        <v>0</v>
      </c>
      <c r="HX50" s="66">
        <f t="shared" si="53"/>
        <v>0</v>
      </c>
      <c r="HY50" s="102">
        <f t="shared" si="54"/>
        <v>0</v>
      </c>
      <c r="HZ50" s="66">
        <f t="shared" si="149"/>
        <v>0</v>
      </c>
      <c r="IA50" s="66">
        <f t="shared" si="55"/>
        <v>0</v>
      </c>
      <c r="IB50" s="102">
        <f t="shared" si="150"/>
        <v>0</v>
      </c>
      <c r="IC50" s="66">
        <f t="shared" si="56"/>
        <v>0</v>
      </c>
      <c r="ID50" s="66">
        <f t="shared" si="57"/>
        <v>0</v>
      </c>
      <c r="IE50" s="102">
        <f t="shared" si="58"/>
        <v>0</v>
      </c>
      <c r="IF50" s="66">
        <f t="shared" si="59"/>
        <v>0</v>
      </c>
      <c r="IG50" s="66">
        <f t="shared" si="60"/>
        <v>0</v>
      </c>
      <c r="IH50" s="102">
        <f t="shared" si="151"/>
        <v>0</v>
      </c>
      <c r="II50" s="66">
        <f t="shared" si="152"/>
        <v>0</v>
      </c>
      <c r="IJ50" s="66">
        <f t="shared" si="61"/>
        <v>0</v>
      </c>
      <c r="IK50" s="102">
        <f t="shared" si="62"/>
        <v>0</v>
      </c>
      <c r="IL50" s="66">
        <f t="shared" si="63"/>
        <v>0</v>
      </c>
      <c r="IM50" s="66">
        <f t="shared" si="64"/>
        <v>0</v>
      </c>
      <c r="IN50" s="83"/>
      <c r="IO50" s="102">
        <f t="shared" si="65"/>
        <v>0</v>
      </c>
      <c r="IP50" s="66">
        <f t="shared" si="66"/>
        <v>0</v>
      </c>
      <c r="IQ50" s="66">
        <f t="shared" si="67"/>
        <v>0</v>
      </c>
      <c r="IR50" s="83"/>
      <c r="IS50" s="102"/>
      <c r="IT50" s="66">
        <f t="shared" si="68"/>
        <v>0</v>
      </c>
      <c r="IU50" s="66">
        <f t="shared" si="69"/>
        <v>0</v>
      </c>
      <c r="IV50" s="83"/>
      <c r="IW50" s="102"/>
      <c r="IX50" s="66">
        <f t="shared" si="70"/>
        <v>0</v>
      </c>
      <c r="IY50" s="66">
        <f t="shared" si="71"/>
        <v>0</v>
      </c>
      <c r="IZ50" s="83"/>
      <c r="JA50" s="102"/>
      <c r="JB50" s="66">
        <f t="shared" si="72"/>
        <v>1</v>
      </c>
      <c r="JC50" s="66">
        <f t="shared" si="73"/>
        <v>839</v>
      </c>
      <c r="JD50" s="83"/>
      <c r="JE50" s="102"/>
      <c r="JF50" s="66">
        <f t="shared" si="153"/>
        <v>1</v>
      </c>
      <c r="JG50" s="66">
        <f t="shared" si="74"/>
        <v>839</v>
      </c>
      <c r="JH50" s="83"/>
      <c r="JI50" s="102"/>
      <c r="JJ50" s="66">
        <f t="shared" si="75"/>
        <v>0</v>
      </c>
      <c r="JK50" s="66">
        <f t="shared" si="76"/>
        <v>0</v>
      </c>
      <c r="JM50" s="102">
        <f t="shared" si="154"/>
        <v>0</v>
      </c>
      <c r="JO50" s="29">
        <f t="shared" si="77"/>
        <v>0</v>
      </c>
      <c r="JP50" s="122">
        <f t="shared" si="78"/>
        <v>0</v>
      </c>
      <c r="JQ50" s="122">
        <f t="shared" si="79"/>
        <v>0</v>
      </c>
      <c r="JR50" s="122">
        <f t="shared" si="80"/>
        <v>0</v>
      </c>
      <c r="JS50" s="122">
        <f t="shared" si="81"/>
        <v>0</v>
      </c>
      <c r="JT50" s="122">
        <f t="shared" si="82"/>
        <v>0</v>
      </c>
      <c r="JU50" s="122">
        <f t="shared" si="83"/>
        <v>0</v>
      </c>
      <c r="JV50" s="122">
        <f t="shared" si="84"/>
        <v>0</v>
      </c>
      <c r="JW50" s="122">
        <f t="shared" si="85"/>
        <v>0</v>
      </c>
      <c r="JX50" s="122">
        <f t="shared" si="86"/>
        <v>0</v>
      </c>
      <c r="JY50" s="122">
        <f t="shared" si="87"/>
        <v>0</v>
      </c>
      <c r="JZ50" s="122">
        <f t="shared" si="88"/>
        <v>0</v>
      </c>
      <c r="KA50" s="122">
        <f t="shared" si="89"/>
        <v>0</v>
      </c>
      <c r="KB50" s="122">
        <f t="shared" si="90"/>
        <v>0</v>
      </c>
      <c r="KD50" s="122">
        <f t="shared" si="155"/>
        <v>0</v>
      </c>
      <c r="KE50" s="122">
        <f t="shared" si="92"/>
        <v>0</v>
      </c>
      <c r="KF50" s="122">
        <f t="shared" si="93"/>
        <v>0</v>
      </c>
      <c r="KG50" s="122">
        <f t="shared" si="94"/>
        <v>0</v>
      </c>
      <c r="KH50" s="122">
        <f t="shared" si="95"/>
        <v>0</v>
      </c>
      <c r="KI50" s="122">
        <f t="shared" si="96"/>
        <v>0</v>
      </c>
      <c r="KJ50" s="122">
        <f t="shared" si="97"/>
        <v>0</v>
      </c>
      <c r="KK50" s="122">
        <f t="shared" si="98"/>
        <v>0</v>
      </c>
      <c r="KL50" s="122">
        <f t="shared" si="99"/>
        <v>0</v>
      </c>
      <c r="KM50" s="122">
        <f t="shared" si="100"/>
        <v>0</v>
      </c>
      <c r="KN50" s="123">
        <f t="shared" si="101"/>
        <v>0</v>
      </c>
      <c r="KO50" s="123">
        <f t="shared" si="102"/>
        <v>0</v>
      </c>
      <c r="KP50" s="123">
        <f t="shared" si="103"/>
        <v>0</v>
      </c>
      <c r="KQ50" s="123">
        <f t="shared" si="104"/>
        <v>0</v>
      </c>
      <c r="KR50" s="123">
        <f t="shared" si="105"/>
        <v>0</v>
      </c>
      <c r="KS50">
        <v>7</v>
      </c>
      <c r="KT50">
        <f t="shared" si="106"/>
        <v>1</v>
      </c>
      <c r="KU50" s="123"/>
      <c r="KV50" s="123"/>
      <c r="KW50" s="123"/>
      <c r="KX50" s="123"/>
      <c r="KY50" s="123"/>
      <c r="KZ50" s="123"/>
      <c r="LA50" s="123"/>
      <c r="LB50" s="123"/>
      <c r="LC50" s="123"/>
      <c r="LD50" s="123"/>
      <c r="LE50" s="123"/>
      <c r="LF50" s="123"/>
      <c r="LG50" s="123"/>
      <c r="LH50" s="123"/>
      <c r="LI50" s="123"/>
      <c r="LJ50" s="123"/>
      <c r="LK50" s="123"/>
      <c r="LL50" s="123"/>
      <c r="LM50" s="123"/>
      <c r="LN50" s="123"/>
      <c r="LO50" s="123"/>
      <c r="LP50" s="123"/>
      <c r="LQ50" s="123"/>
      <c r="LR50" s="123"/>
      <c r="LS50" s="123"/>
      <c r="LT50" s="123"/>
      <c r="LU50" s="123"/>
      <c r="LV50" s="123"/>
      <c r="LW50" s="123"/>
      <c r="LX50" s="123"/>
      <c r="LY50" s="123"/>
      <c r="LZ50" s="123"/>
      <c r="MA50" s="123"/>
      <c r="MB50" s="123"/>
      <c r="MC50" s="123"/>
      <c r="MD50" s="123"/>
      <c r="ME50" s="123"/>
      <c r="MF50" s="123"/>
      <c r="MG50" s="123"/>
      <c r="MH50" s="123"/>
      <c r="MI50" s="123"/>
      <c r="MJ50" s="123"/>
      <c r="MK50" s="123"/>
      <c r="ML50" s="123"/>
      <c r="MM50" s="123"/>
      <c r="MN50" s="123"/>
      <c r="MO50" s="123"/>
      <c r="MP50" s="123"/>
      <c r="MQ50" s="123"/>
      <c r="MR50" s="123"/>
      <c r="MS50" s="123"/>
      <c r="MT50" s="123"/>
      <c r="MU50" s="123"/>
      <c r="MV50" s="123"/>
      <c r="MW50" s="123"/>
      <c r="MX50" s="123"/>
      <c r="MY50" s="123"/>
      <c r="MZ50" s="123"/>
      <c r="NA50" s="123"/>
      <c r="NB50" s="123"/>
      <c r="NC50" s="123"/>
      <c r="ND50" s="123"/>
      <c r="NE50" s="123"/>
      <c r="NF50" s="123"/>
      <c r="NG50" s="123"/>
      <c r="NH50" s="123"/>
      <c r="NI50" s="123"/>
      <c r="NJ50" s="123"/>
      <c r="NK50" s="123"/>
      <c r="NM50">
        <f t="shared" si="156"/>
        <v>0</v>
      </c>
      <c r="NN50">
        <f t="shared" si="157"/>
        <v>0</v>
      </c>
      <c r="NO50">
        <f t="shared" si="158"/>
        <v>0</v>
      </c>
      <c r="NP50">
        <f t="shared" si="159"/>
        <v>0</v>
      </c>
      <c r="NQ50">
        <f t="shared" si="160"/>
        <v>0</v>
      </c>
      <c r="NR50">
        <f t="shared" si="161"/>
        <v>0</v>
      </c>
      <c r="NS50">
        <f t="shared" si="162"/>
        <v>1</v>
      </c>
      <c r="NT50">
        <f t="shared" si="163"/>
        <v>1</v>
      </c>
      <c r="NU50" s="29">
        <f t="shared" si="164"/>
        <v>0</v>
      </c>
      <c r="NY50" s="29">
        <f t="shared" si="108"/>
        <v>0</v>
      </c>
      <c r="NZ50" s="152"/>
      <c r="OE50" s="155">
        <f t="shared" si="109"/>
        <v>0</v>
      </c>
      <c r="OF50" s="155">
        <f t="shared" si="110"/>
        <v>0</v>
      </c>
      <c r="OG50" s="155">
        <f t="shared" si="111"/>
        <v>1</v>
      </c>
      <c r="OH50" s="155">
        <f t="shared" si="165"/>
        <v>0</v>
      </c>
      <c r="OI50" s="155">
        <f t="shared" si="112"/>
        <v>1</v>
      </c>
      <c r="OJ50" s="67">
        <f t="shared" si="166"/>
        <v>0</v>
      </c>
      <c r="OK50" s="67">
        <f t="shared" si="167"/>
        <v>0</v>
      </c>
      <c r="OL50" s="67">
        <f t="shared" si="168"/>
        <v>0</v>
      </c>
      <c r="OM50" s="67">
        <f t="shared" si="169"/>
        <v>0</v>
      </c>
      <c r="OO50" s="155">
        <f t="shared" si="113"/>
        <v>0</v>
      </c>
      <c r="OP50" s="155">
        <f t="shared" si="114"/>
        <v>0</v>
      </c>
      <c r="OQ50" s="155">
        <f t="shared" si="170"/>
        <v>1</v>
      </c>
      <c r="OR50" s="155">
        <f t="shared" si="171"/>
        <v>0</v>
      </c>
      <c r="OS50" s="155">
        <f t="shared" si="172"/>
        <v>1</v>
      </c>
      <c r="OT50" s="67">
        <f t="shared" si="173"/>
        <v>0</v>
      </c>
      <c r="OU50" s="67">
        <f t="shared" si="174"/>
        <v>0</v>
      </c>
      <c r="OV50" s="67">
        <f t="shared" si="175"/>
        <v>0</v>
      </c>
      <c r="OW50" s="67">
        <f t="shared" si="176"/>
        <v>0</v>
      </c>
      <c r="PA50" s="166"/>
      <c r="PB50" s="166">
        <v>1</v>
      </c>
      <c r="PC50" s="166">
        <v>1</v>
      </c>
      <c r="PD50" s="210">
        <f t="shared" si="115"/>
        <v>0</v>
      </c>
      <c r="PE50" s="210"/>
      <c r="PF50" s="210">
        <f t="shared" si="116"/>
        <v>0</v>
      </c>
      <c r="PG50" s="210">
        <f t="shared" si="117"/>
        <v>0</v>
      </c>
      <c r="PH50" s="210">
        <f t="shared" si="117"/>
        <v>839</v>
      </c>
      <c r="PI50" s="210">
        <f t="shared" si="117"/>
        <v>839</v>
      </c>
      <c r="PJ50" s="210">
        <f t="shared" si="117"/>
        <v>0</v>
      </c>
      <c r="PK50" s="210">
        <f t="shared" si="117"/>
        <v>0</v>
      </c>
      <c r="PL50" s="210">
        <f t="shared" si="117"/>
        <v>0</v>
      </c>
      <c r="PO50" s="172">
        <f t="shared" si="177"/>
        <v>0</v>
      </c>
      <c r="PP50" s="172">
        <f t="shared" si="178"/>
        <v>0</v>
      </c>
      <c r="PQ50" s="172">
        <f t="shared" si="179"/>
        <v>0</v>
      </c>
    </row>
    <row r="51" spans="1:433" ht="16" x14ac:dyDescent="0.2">
      <c r="A51" s="19">
        <f t="shared" si="180"/>
        <v>43</v>
      </c>
      <c r="B51" s="186" t="s">
        <v>632</v>
      </c>
      <c r="C51" s="186">
        <v>44</v>
      </c>
      <c r="D51" s="188">
        <v>1</v>
      </c>
      <c r="E51" s="188">
        <v>534</v>
      </c>
      <c r="F51" s="188">
        <v>1</v>
      </c>
      <c r="G51" s="20">
        <f t="shared" si="2"/>
        <v>534</v>
      </c>
      <c r="H51" s="137">
        <f t="shared" si="3"/>
        <v>1</v>
      </c>
      <c r="I51" s="137">
        <f t="shared" si="4"/>
        <v>1</v>
      </c>
      <c r="J51" s="20">
        <v>1</v>
      </c>
      <c r="K51" s="20">
        <f t="shared" si="5"/>
        <v>534</v>
      </c>
      <c r="L51" s="137">
        <f t="shared" si="6"/>
        <v>1</v>
      </c>
      <c r="M51" s="137">
        <f t="shared" si="7"/>
        <v>1</v>
      </c>
      <c r="N51" s="188">
        <v>1</v>
      </c>
      <c r="O51" s="20">
        <f t="shared" si="8"/>
        <v>534</v>
      </c>
      <c r="P51" s="137">
        <f t="shared" si="9"/>
        <v>1</v>
      </c>
      <c r="Q51" s="137">
        <f t="shared" si="10"/>
        <v>1</v>
      </c>
      <c r="R51" s="20">
        <v>1</v>
      </c>
      <c r="S51" s="20">
        <f t="shared" si="11"/>
        <v>534</v>
      </c>
      <c r="T51" s="137">
        <f t="shared" si="12"/>
        <v>1</v>
      </c>
      <c r="U51" s="137">
        <f t="shared" si="13"/>
        <v>1</v>
      </c>
      <c r="V51" s="188">
        <v>1</v>
      </c>
      <c r="W51" s="20">
        <f t="shared" si="14"/>
        <v>534</v>
      </c>
      <c r="X51" s="137">
        <f t="shared" si="15"/>
        <v>1</v>
      </c>
      <c r="Y51" s="137">
        <f t="shared" si="16"/>
        <v>1</v>
      </c>
      <c r="Z51" s="38">
        <f>5829543500/1000000000</f>
        <v>5.8295434999999998</v>
      </c>
      <c r="AA51" s="38"/>
      <c r="AB51" s="17">
        <f t="shared" si="118"/>
        <v>0</v>
      </c>
      <c r="AC51" s="18">
        <f t="shared" si="119"/>
        <v>0</v>
      </c>
      <c r="AD51" s="18">
        <f t="shared" si="120"/>
        <v>0</v>
      </c>
      <c r="AE51" s="38"/>
      <c r="AF51" s="20">
        <f t="shared" si="121"/>
        <v>0</v>
      </c>
      <c r="AG51" s="20"/>
      <c r="AH51" s="17"/>
      <c r="AI51" s="20">
        <v>0</v>
      </c>
      <c r="AJ51" s="20">
        <f t="shared" si="181"/>
        <v>0</v>
      </c>
      <c r="AK51" s="20"/>
      <c r="AL51" s="20"/>
      <c r="AM51" s="20">
        <v>0</v>
      </c>
      <c r="AN51" s="139"/>
      <c r="BB51" s="17">
        <f t="shared" si="123"/>
        <v>0</v>
      </c>
      <c r="BE51" s="17">
        <f t="shared" si="19"/>
        <v>0</v>
      </c>
      <c r="BF51" s="17">
        <f t="shared" si="20"/>
        <v>0</v>
      </c>
      <c r="BG51" s="17">
        <f t="shared" si="21"/>
        <v>0</v>
      </c>
      <c r="BH51" s="17">
        <f t="shared" si="22"/>
        <v>0</v>
      </c>
      <c r="BI51" s="17">
        <f t="shared" si="23"/>
        <v>0</v>
      </c>
      <c r="BJ51" s="17">
        <f t="shared" si="24"/>
        <v>0</v>
      </c>
      <c r="BK51" s="17">
        <f t="shared" si="124"/>
        <v>0</v>
      </c>
      <c r="BN51" s="141"/>
      <c r="BO51" s="284"/>
      <c r="BP51" s="139"/>
      <c r="BQ51" s="139"/>
      <c r="BR51" s="139"/>
      <c r="BS51" s="139"/>
      <c r="BT51" s="139"/>
      <c r="BU51" s="139"/>
      <c r="BV51" s="139"/>
      <c r="BW51" s="139"/>
      <c r="BX51" s="139"/>
      <c r="BY51" s="139"/>
      <c r="BZ51" s="139"/>
      <c r="CB51" s="139"/>
      <c r="CD51" s="17">
        <f t="shared" si="125"/>
        <v>0</v>
      </c>
      <c r="CE51" s="17">
        <f t="shared" si="126"/>
        <v>0</v>
      </c>
      <c r="CF51" s="139">
        <f t="shared" si="182"/>
        <v>0</v>
      </c>
      <c r="CG51" s="139">
        <f t="shared" si="183"/>
        <v>0</v>
      </c>
      <c r="CH51" s="139">
        <f t="shared" si="184"/>
        <v>0</v>
      </c>
      <c r="CI51" s="139">
        <f t="shared" si="185"/>
        <v>0</v>
      </c>
      <c r="CJ51" s="139">
        <f t="shared" si="186"/>
        <v>0</v>
      </c>
      <c r="CK51" s="139">
        <f t="shared" si="187"/>
        <v>0</v>
      </c>
      <c r="CL51" s="139">
        <f t="shared" si="188"/>
        <v>0</v>
      </c>
      <c r="CM51" s="139">
        <f t="shared" si="189"/>
        <v>0</v>
      </c>
      <c r="CN51" s="139">
        <f t="shared" si="190"/>
        <v>0</v>
      </c>
      <c r="CO51" s="139">
        <f t="shared" si="191"/>
        <v>0</v>
      </c>
      <c r="CP51" s="139">
        <f t="shared" si="192"/>
        <v>0</v>
      </c>
      <c r="CQ51" s="148">
        <f t="shared" si="27"/>
        <v>0</v>
      </c>
      <c r="DV51" s="139">
        <f t="shared" si="28"/>
        <v>0</v>
      </c>
      <c r="DW51" s="139">
        <f t="shared" si="29"/>
        <v>0</v>
      </c>
      <c r="DX51" s="139">
        <f t="shared" si="30"/>
        <v>0</v>
      </c>
      <c r="DY51" s="139">
        <f t="shared" si="31"/>
        <v>0</v>
      </c>
      <c r="DZ51" s="139">
        <f t="shared" si="32"/>
        <v>0</v>
      </c>
      <c r="EA51" s="139">
        <f t="shared" si="33"/>
        <v>0</v>
      </c>
      <c r="EB51" s="139">
        <f t="shared" si="127"/>
        <v>0</v>
      </c>
      <c r="EG51" s="57">
        <f t="shared" si="128"/>
        <v>0</v>
      </c>
      <c r="EH51" s="57">
        <f t="shared" si="129"/>
        <v>0</v>
      </c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X51" s="80"/>
      <c r="FY51" s="17">
        <f t="shared" si="130"/>
        <v>0</v>
      </c>
      <c r="FZ51" s="17">
        <f t="shared" si="35"/>
        <v>0</v>
      </c>
      <c r="GA51" s="17">
        <f t="shared" si="36"/>
        <v>0</v>
      </c>
      <c r="GB51" s="17">
        <f t="shared" si="37"/>
        <v>0</v>
      </c>
      <c r="GC51" s="17">
        <f t="shared" si="38"/>
        <v>0</v>
      </c>
      <c r="GD51" s="17">
        <f t="shared" si="39"/>
        <v>0</v>
      </c>
      <c r="GE51" s="17">
        <f t="shared" si="40"/>
        <v>0</v>
      </c>
      <c r="GF51" s="67"/>
      <c r="GG51" s="17">
        <v>0</v>
      </c>
      <c r="GH51" s="17">
        <v>0</v>
      </c>
      <c r="GI51" s="67"/>
      <c r="GJ51" s="62">
        <f t="shared" si="131"/>
        <v>0</v>
      </c>
      <c r="GK51" s="62">
        <f t="shared" si="132"/>
        <v>0</v>
      </c>
      <c r="GO51" s="17">
        <f t="shared" si="41"/>
        <v>0</v>
      </c>
      <c r="GP51" s="17">
        <f t="shared" si="42"/>
        <v>0</v>
      </c>
      <c r="GQ51" s="17">
        <f t="shared" si="43"/>
        <v>0</v>
      </c>
      <c r="GR51" s="17">
        <f t="shared" si="44"/>
        <v>0</v>
      </c>
      <c r="GS51" s="17">
        <f t="shared" si="45"/>
        <v>0</v>
      </c>
      <c r="GT51" s="17">
        <f t="shared" si="133"/>
        <v>1</v>
      </c>
      <c r="GU51" s="101">
        <f t="shared" si="134"/>
        <v>43243</v>
      </c>
      <c r="GV51" s="17" t="str">
        <f t="shared" si="135"/>
        <v>SELESAI</v>
      </c>
      <c r="GW51" s="17">
        <f t="shared" si="136"/>
        <v>0</v>
      </c>
      <c r="GX51" s="66" t="str">
        <f t="shared" si="137"/>
        <v>SELESAI</v>
      </c>
      <c r="GY51" s="66">
        <f t="shared" si="138"/>
        <v>0</v>
      </c>
      <c r="GZ51" s="102" t="str">
        <f t="shared" si="139"/>
        <v>SELESAI</v>
      </c>
      <c r="HA51" s="83"/>
      <c r="HB51" s="83"/>
      <c r="HC51" s="17">
        <f t="shared" si="46"/>
        <v>0</v>
      </c>
      <c r="HD51" s="17">
        <f t="shared" si="47"/>
        <v>0</v>
      </c>
      <c r="HE51" s="17">
        <f t="shared" si="140"/>
        <v>0</v>
      </c>
      <c r="HF51" s="17">
        <f t="shared" si="141"/>
        <v>0</v>
      </c>
      <c r="HG51" s="17">
        <f t="shared" si="142"/>
        <v>0</v>
      </c>
      <c r="HH51" s="101" t="str">
        <f t="shared" si="48"/>
        <v>TIDAK KONSINYASI</v>
      </c>
      <c r="HI51" s="101" t="str">
        <f t="shared" si="143"/>
        <v>SELESAI</v>
      </c>
      <c r="HJ51" s="27"/>
      <c r="HK51" s="101">
        <f t="shared" si="49"/>
        <v>0</v>
      </c>
      <c r="HL51" s="83"/>
      <c r="HM51" s="83"/>
      <c r="HN51" s="83"/>
      <c r="HO51" s="83"/>
      <c r="HP51" s="102">
        <f t="shared" si="144"/>
        <v>0</v>
      </c>
      <c r="HQ51" s="66">
        <f t="shared" si="145"/>
        <v>0</v>
      </c>
      <c r="HR51" s="66">
        <f t="shared" si="50"/>
        <v>0</v>
      </c>
      <c r="HS51" s="102">
        <f t="shared" si="146"/>
        <v>0</v>
      </c>
      <c r="HT51" s="66">
        <f t="shared" si="147"/>
        <v>0</v>
      </c>
      <c r="HU51" s="66">
        <f t="shared" si="51"/>
        <v>0</v>
      </c>
      <c r="HV51" s="102">
        <f t="shared" si="148"/>
        <v>0</v>
      </c>
      <c r="HW51" s="66">
        <f t="shared" si="52"/>
        <v>0</v>
      </c>
      <c r="HX51" s="66">
        <f t="shared" si="53"/>
        <v>0</v>
      </c>
      <c r="HY51" s="102">
        <f t="shared" si="54"/>
        <v>0</v>
      </c>
      <c r="HZ51" s="66">
        <f t="shared" si="149"/>
        <v>0</v>
      </c>
      <c r="IA51" s="66">
        <f t="shared" si="55"/>
        <v>0</v>
      </c>
      <c r="IB51" s="102">
        <f t="shared" si="150"/>
        <v>0</v>
      </c>
      <c r="IC51" s="66">
        <f t="shared" si="56"/>
        <v>0</v>
      </c>
      <c r="ID51" s="66">
        <f t="shared" si="57"/>
        <v>0</v>
      </c>
      <c r="IE51" s="102">
        <f t="shared" si="58"/>
        <v>0</v>
      </c>
      <c r="IF51" s="66">
        <f t="shared" si="59"/>
        <v>0</v>
      </c>
      <c r="IG51" s="66">
        <f t="shared" si="60"/>
        <v>0</v>
      </c>
      <c r="IH51" s="102">
        <f t="shared" si="151"/>
        <v>0</v>
      </c>
      <c r="II51" s="66">
        <f t="shared" si="152"/>
        <v>0</v>
      </c>
      <c r="IJ51" s="66">
        <f t="shared" si="61"/>
        <v>0</v>
      </c>
      <c r="IK51" s="102">
        <f t="shared" si="62"/>
        <v>0</v>
      </c>
      <c r="IL51" s="66">
        <f t="shared" si="63"/>
        <v>0</v>
      </c>
      <c r="IM51" s="66">
        <f t="shared" si="64"/>
        <v>0</v>
      </c>
      <c r="IN51" s="83"/>
      <c r="IO51" s="102">
        <f t="shared" si="65"/>
        <v>0</v>
      </c>
      <c r="IP51" s="66">
        <f t="shared" si="66"/>
        <v>0</v>
      </c>
      <c r="IQ51" s="66">
        <f t="shared" si="67"/>
        <v>0</v>
      </c>
      <c r="IR51" s="83"/>
      <c r="IS51" s="102"/>
      <c r="IT51" s="66">
        <f t="shared" si="68"/>
        <v>1</v>
      </c>
      <c r="IU51" s="66">
        <f t="shared" si="69"/>
        <v>534</v>
      </c>
      <c r="IV51" s="83"/>
      <c r="IW51" s="102"/>
      <c r="IX51" s="66">
        <f t="shared" si="70"/>
        <v>0</v>
      </c>
      <c r="IY51" s="66">
        <f t="shared" si="71"/>
        <v>0</v>
      </c>
      <c r="IZ51" s="83"/>
      <c r="JA51" s="102"/>
      <c r="JB51" s="66">
        <f t="shared" si="72"/>
        <v>0</v>
      </c>
      <c r="JC51" s="66">
        <f t="shared" si="73"/>
        <v>0</v>
      </c>
      <c r="JD51" s="83"/>
      <c r="JE51" s="102"/>
      <c r="JF51" s="66">
        <f t="shared" si="153"/>
        <v>1</v>
      </c>
      <c r="JG51" s="66">
        <f t="shared" si="74"/>
        <v>534</v>
      </c>
      <c r="JH51" s="83"/>
      <c r="JI51" s="102"/>
      <c r="JJ51" s="66">
        <f t="shared" si="75"/>
        <v>0</v>
      </c>
      <c r="JK51" s="66">
        <f t="shared" si="76"/>
        <v>0</v>
      </c>
      <c r="JM51" s="102">
        <f t="shared" si="154"/>
        <v>0</v>
      </c>
      <c r="JO51" s="29">
        <f t="shared" si="77"/>
        <v>0</v>
      </c>
      <c r="JP51" s="122">
        <f t="shared" si="78"/>
        <v>0</v>
      </c>
      <c r="JQ51" s="122">
        <f t="shared" si="79"/>
        <v>0</v>
      </c>
      <c r="JR51" s="122">
        <f t="shared" si="80"/>
        <v>0</v>
      </c>
      <c r="JS51" s="122">
        <f t="shared" si="81"/>
        <v>0</v>
      </c>
      <c r="JT51" s="122">
        <f t="shared" si="82"/>
        <v>0</v>
      </c>
      <c r="JU51" s="122">
        <f t="shared" si="83"/>
        <v>0</v>
      </c>
      <c r="JV51" s="122">
        <f t="shared" si="84"/>
        <v>0</v>
      </c>
      <c r="JW51" s="122">
        <f t="shared" si="85"/>
        <v>0</v>
      </c>
      <c r="JX51" s="122">
        <f t="shared" si="86"/>
        <v>0</v>
      </c>
      <c r="JY51" s="122">
        <f t="shared" si="87"/>
        <v>0</v>
      </c>
      <c r="JZ51" s="122">
        <f t="shared" si="88"/>
        <v>0</v>
      </c>
      <c r="KA51" s="122">
        <f t="shared" si="89"/>
        <v>0</v>
      </c>
      <c r="KB51" s="122">
        <f t="shared" si="90"/>
        <v>0</v>
      </c>
      <c r="KD51" s="122">
        <f t="shared" si="155"/>
        <v>0</v>
      </c>
      <c r="KE51" s="122">
        <f t="shared" si="92"/>
        <v>0</v>
      </c>
      <c r="KF51" s="122">
        <f t="shared" si="93"/>
        <v>0</v>
      </c>
      <c r="KG51" s="122">
        <f t="shared" si="94"/>
        <v>0</v>
      </c>
      <c r="KH51" s="122">
        <f t="shared" si="95"/>
        <v>0</v>
      </c>
      <c r="KI51" s="122">
        <f t="shared" si="96"/>
        <v>0</v>
      </c>
      <c r="KJ51" s="122">
        <f t="shared" si="97"/>
        <v>0</v>
      </c>
      <c r="KK51" s="122">
        <f t="shared" si="98"/>
        <v>0</v>
      </c>
      <c r="KL51" s="122">
        <f t="shared" si="99"/>
        <v>0</v>
      </c>
      <c r="KM51" s="122">
        <f t="shared" si="100"/>
        <v>0</v>
      </c>
      <c r="KN51" s="123">
        <f t="shared" si="101"/>
        <v>0</v>
      </c>
      <c r="KO51" s="123">
        <f t="shared" si="102"/>
        <v>0</v>
      </c>
      <c r="KP51" s="123">
        <f t="shared" si="103"/>
        <v>0</v>
      </c>
      <c r="KQ51" s="123">
        <f t="shared" si="104"/>
        <v>0</v>
      </c>
      <c r="KR51" s="123">
        <f t="shared" si="105"/>
        <v>0</v>
      </c>
      <c r="KT51">
        <f t="shared" si="106"/>
        <v>0</v>
      </c>
      <c r="KU51" s="123"/>
      <c r="KV51" s="123"/>
      <c r="KW51" s="123"/>
      <c r="KX51" s="123"/>
      <c r="KY51" s="123"/>
      <c r="KZ51" s="123"/>
      <c r="LA51" s="123"/>
      <c r="LB51" s="123"/>
      <c r="LC51" s="123"/>
      <c r="LD51" s="123"/>
      <c r="LE51" s="123"/>
      <c r="LF51" s="123"/>
      <c r="LG51" s="123"/>
      <c r="LH51" s="123"/>
      <c r="LI51" s="123"/>
      <c r="LJ51" s="123"/>
      <c r="LK51" s="123"/>
      <c r="LL51" s="123"/>
      <c r="LM51" s="123"/>
      <c r="LN51" s="123"/>
      <c r="LO51" s="123"/>
      <c r="LP51" s="123"/>
      <c r="LQ51" s="123"/>
      <c r="LR51" s="123"/>
      <c r="LS51" s="123"/>
      <c r="LT51" s="123"/>
      <c r="LU51" s="123"/>
      <c r="LV51" s="123"/>
      <c r="LW51" s="123"/>
      <c r="LX51" s="123"/>
      <c r="LY51" s="123"/>
      <c r="LZ51" s="123"/>
      <c r="MA51" s="123"/>
      <c r="MB51" s="123"/>
      <c r="MC51" s="123"/>
      <c r="MD51" s="123"/>
      <c r="ME51" s="123"/>
      <c r="MF51" s="123"/>
      <c r="MG51" s="123"/>
      <c r="MH51" s="123"/>
      <c r="MI51" s="123"/>
      <c r="MJ51" s="123"/>
      <c r="MK51" s="123"/>
      <c r="ML51" s="123"/>
      <c r="MM51" s="123"/>
      <c r="MN51" s="123"/>
      <c r="MO51" s="123"/>
      <c r="MP51" s="123"/>
      <c r="MQ51" s="123"/>
      <c r="MR51" s="123"/>
      <c r="MS51" s="123"/>
      <c r="MT51" s="123"/>
      <c r="MU51" s="123"/>
      <c r="MV51" s="123"/>
      <c r="MW51" s="123"/>
      <c r="MX51" s="123"/>
      <c r="MY51" s="123"/>
      <c r="MZ51" s="123"/>
      <c r="NA51" s="123"/>
      <c r="NB51" s="123"/>
      <c r="NC51" s="123"/>
      <c r="ND51" s="123"/>
      <c r="NE51" s="123"/>
      <c r="NF51" s="123"/>
      <c r="NG51" s="123"/>
      <c r="NH51" s="123"/>
      <c r="NI51" s="123"/>
      <c r="NJ51" s="123"/>
      <c r="NK51" s="123"/>
      <c r="NM51">
        <f t="shared" si="156"/>
        <v>0</v>
      </c>
      <c r="NN51">
        <f t="shared" si="157"/>
        <v>0</v>
      </c>
      <c r="NO51">
        <f t="shared" si="158"/>
        <v>0</v>
      </c>
      <c r="NP51">
        <f t="shared" si="159"/>
        <v>0</v>
      </c>
      <c r="NQ51">
        <f t="shared" si="160"/>
        <v>0</v>
      </c>
      <c r="NR51">
        <f t="shared" si="161"/>
        <v>0</v>
      </c>
      <c r="NS51">
        <f t="shared" si="162"/>
        <v>0</v>
      </c>
      <c r="NT51">
        <f t="shared" si="163"/>
        <v>0</v>
      </c>
      <c r="NU51" s="29">
        <f t="shared" si="164"/>
        <v>0</v>
      </c>
      <c r="NY51" s="29">
        <f t="shared" si="108"/>
        <v>1</v>
      </c>
      <c r="NZ51" s="152">
        <v>8036000</v>
      </c>
      <c r="OE51" s="155">
        <f t="shared" si="109"/>
        <v>0</v>
      </c>
      <c r="OF51" s="155">
        <f t="shared" si="110"/>
        <v>0</v>
      </c>
      <c r="OG51" s="155">
        <f t="shared" si="111"/>
        <v>0</v>
      </c>
      <c r="OH51" s="155">
        <f t="shared" si="165"/>
        <v>0</v>
      </c>
      <c r="OI51" s="155">
        <f t="shared" si="112"/>
        <v>0</v>
      </c>
      <c r="OJ51" s="67">
        <f t="shared" si="166"/>
        <v>0</v>
      </c>
      <c r="OK51" s="67">
        <f t="shared" si="167"/>
        <v>0</v>
      </c>
      <c r="OL51" s="67">
        <f t="shared" si="168"/>
        <v>0</v>
      </c>
      <c r="OM51" s="67">
        <f t="shared" si="169"/>
        <v>0</v>
      </c>
      <c r="OO51" s="155">
        <f t="shared" si="113"/>
        <v>0</v>
      </c>
      <c r="OP51" s="155">
        <f t="shared" si="114"/>
        <v>0</v>
      </c>
      <c r="OQ51" s="155">
        <f t="shared" si="170"/>
        <v>0</v>
      </c>
      <c r="OR51" s="155">
        <f t="shared" si="171"/>
        <v>0</v>
      </c>
      <c r="OS51" s="155">
        <f t="shared" si="172"/>
        <v>0</v>
      </c>
      <c r="OT51" s="67">
        <f t="shared" si="173"/>
        <v>0</v>
      </c>
      <c r="OU51" s="67">
        <f t="shared" si="174"/>
        <v>0</v>
      </c>
      <c r="OV51" s="67">
        <f t="shared" si="175"/>
        <v>0</v>
      </c>
      <c r="OW51" s="67">
        <f t="shared" si="176"/>
        <v>0</v>
      </c>
      <c r="PA51" s="166"/>
      <c r="PB51" s="166"/>
      <c r="PC51" s="166"/>
      <c r="PD51" s="210">
        <f t="shared" si="115"/>
        <v>0</v>
      </c>
      <c r="PE51" s="210"/>
      <c r="PF51" s="210">
        <f t="shared" si="116"/>
        <v>0</v>
      </c>
      <c r="PG51" s="210">
        <f t="shared" si="117"/>
        <v>0</v>
      </c>
      <c r="PH51" s="210">
        <f t="shared" si="117"/>
        <v>0</v>
      </c>
      <c r="PI51" s="210">
        <f t="shared" si="117"/>
        <v>0</v>
      </c>
      <c r="PJ51" s="210">
        <f t="shared" ref="PG51:PL66" si="194">IF(PD51=1,$BB51,0)</f>
        <v>0</v>
      </c>
      <c r="PK51" s="210">
        <f t="shared" si="194"/>
        <v>0</v>
      </c>
      <c r="PL51" s="210">
        <f t="shared" si="194"/>
        <v>0</v>
      </c>
      <c r="PO51" s="172">
        <f t="shared" si="177"/>
        <v>0</v>
      </c>
      <c r="PP51" s="172">
        <f t="shared" si="178"/>
        <v>0</v>
      </c>
      <c r="PQ51" s="172">
        <f t="shared" si="179"/>
        <v>0</v>
      </c>
    </row>
    <row r="52" spans="1:433" ht="16" x14ac:dyDescent="0.2">
      <c r="A52" s="19">
        <f t="shared" si="180"/>
        <v>44</v>
      </c>
      <c r="B52" s="186" t="s">
        <v>672</v>
      </c>
      <c r="C52" s="186">
        <v>7</v>
      </c>
      <c r="D52" s="188">
        <v>1</v>
      </c>
      <c r="E52" s="188">
        <v>45</v>
      </c>
      <c r="F52" s="188">
        <v>1</v>
      </c>
      <c r="G52" s="20">
        <f t="shared" si="2"/>
        <v>45</v>
      </c>
      <c r="H52" s="137">
        <f t="shared" si="3"/>
        <v>1</v>
      </c>
      <c r="I52" s="137">
        <f t="shared" si="4"/>
        <v>1</v>
      </c>
      <c r="J52" s="188">
        <v>1</v>
      </c>
      <c r="K52" s="20">
        <f t="shared" si="5"/>
        <v>45</v>
      </c>
      <c r="L52" s="137">
        <f t="shared" ref="L52" si="195">J52/$D52</f>
        <v>1</v>
      </c>
      <c r="M52" s="137">
        <f t="shared" ref="M52" si="196">K52/$E52</f>
        <v>1</v>
      </c>
      <c r="N52" s="188">
        <v>1</v>
      </c>
      <c r="O52" s="20">
        <f t="shared" si="8"/>
        <v>45</v>
      </c>
      <c r="P52" s="137">
        <f t="shared" ref="P52" si="197">N52/$D52</f>
        <v>1</v>
      </c>
      <c r="Q52" s="137">
        <f t="shared" ref="Q52" si="198">O52/$E52</f>
        <v>1</v>
      </c>
      <c r="R52" s="20"/>
      <c r="S52" s="20"/>
      <c r="T52" s="137">
        <f t="shared" ref="T52" si="199">R52/$D52</f>
        <v>0</v>
      </c>
      <c r="U52" s="137">
        <f t="shared" ref="U52" si="200">S52/$E52</f>
        <v>0</v>
      </c>
      <c r="V52" s="20"/>
      <c r="W52" s="20"/>
      <c r="X52" s="137">
        <f t="shared" ref="X52" si="201">V52/$D52</f>
        <v>0</v>
      </c>
      <c r="Y52" s="137">
        <f t="shared" ref="Y52" si="202">W52/$E52</f>
        <v>0</v>
      </c>
      <c r="Z52" s="38"/>
      <c r="AA52" s="38"/>
      <c r="AB52" s="17">
        <f t="shared" si="118"/>
        <v>0</v>
      </c>
      <c r="AC52" s="18">
        <f t="shared" si="119"/>
        <v>0</v>
      </c>
      <c r="AD52" s="18">
        <f t="shared" si="120"/>
        <v>0</v>
      </c>
      <c r="AE52" s="38"/>
      <c r="AF52" s="31"/>
      <c r="AG52" s="20"/>
      <c r="AH52" s="31"/>
      <c r="AI52" s="20"/>
      <c r="AJ52" s="20"/>
      <c r="AK52" s="20"/>
      <c r="AL52" s="31"/>
      <c r="AM52" s="31"/>
      <c r="AN52" s="139">
        <v>1</v>
      </c>
      <c r="BB52" s="17">
        <f t="shared" si="123"/>
        <v>45</v>
      </c>
      <c r="BE52" s="17">
        <f t="shared" ref="BE52" si="203">IF(AF52=1,S52,0)</f>
        <v>0</v>
      </c>
      <c r="BF52" s="17">
        <f t="shared" ref="BF52" si="204">IF(AG52="A",S52,0)</f>
        <v>0</v>
      </c>
      <c r="BG52" s="17">
        <f t="shared" ref="BG52" si="205">IF(AG52="B",S52,0)</f>
        <v>0</v>
      </c>
      <c r="BH52" s="17">
        <f t="shared" ref="BH52" si="206">IF(AG52="C",S52,0)</f>
        <v>0</v>
      </c>
      <c r="BI52" s="17">
        <f t="shared" ref="BI52" si="207">IF(AG52="D",S52,0)</f>
        <v>0</v>
      </c>
      <c r="BJ52" s="17">
        <f t="shared" ref="BJ52" si="208">IF(AG52="E",S52,0)</f>
        <v>0</v>
      </c>
      <c r="BK52" s="17">
        <f t="shared" ref="BK52" si="209">SUM(BF52:BJ52)</f>
        <v>0</v>
      </c>
      <c r="BN52" s="141"/>
      <c r="BO52" s="284"/>
      <c r="BP52" s="139"/>
      <c r="BQ52" s="139"/>
      <c r="BR52" s="139"/>
      <c r="BS52" s="139"/>
      <c r="BT52" s="139"/>
      <c r="BU52" s="139"/>
      <c r="BV52" s="139"/>
      <c r="BW52" s="139"/>
      <c r="BX52" s="139"/>
      <c r="BY52" s="139"/>
      <c r="BZ52" s="139"/>
      <c r="CB52" s="139"/>
      <c r="CD52" s="17">
        <f t="shared" ref="CD52" si="210">BN52</f>
        <v>0</v>
      </c>
      <c r="CE52" s="17">
        <f t="shared" ref="CE52" si="211">IF(BO52=1,$CD52,0)</f>
        <v>0</v>
      </c>
      <c r="CF52" s="139">
        <f t="shared" ref="CF52" si="212">IF(BP52=1,$CD52,0)</f>
        <v>0</v>
      </c>
      <c r="CG52" s="139">
        <f t="shared" ref="CG52" si="213">IF(BQ52=1,$CD52,0)</f>
        <v>0</v>
      </c>
      <c r="CH52" s="139">
        <f t="shared" ref="CH52" si="214">IF(BR52=1,$CD52,0)</f>
        <v>0</v>
      </c>
      <c r="CI52" s="139">
        <f t="shared" ref="CI52" si="215">IF(BS52=1,$CD52,0)</f>
        <v>0</v>
      </c>
      <c r="CJ52" s="139">
        <f t="shared" ref="CJ52" si="216">IF(BT52=1,$CD52,0)</f>
        <v>0</v>
      </c>
      <c r="CK52" s="139">
        <f t="shared" ref="CK52" si="217">IF(BU52=1,$CD52,0)</f>
        <v>0</v>
      </c>
      <c r="CL52" s="139">
        <f t="shared" ref="CL52" si="218">IF(BV52=1,$CD52,0)</f>
        <v>0</v>
      </c>
      <c r="CM52" s="139">
        <f t="shared" ref="CM52" si="219">IF(BW52=1,$CD52,0)</f>
        <v>0</v>
      </c>
      <c r="CN52" s="139">
        <f t="shared" ref="CN52" si="220">IF(BX52=1,$CD52,0)</f>
        <v>0</v>
      </c>
      <c r="CO52" s="139">
        <f t="shared" ref="CO52" si="221">IF(BY52=1,$CD52,0)</f>
        <v>0</v>
      </c>
      <c r="CP52" s="139">
        <f t="shared" ref="CP52" si="222">IF(BZ52=1,$CD52,0)</f>
        <v>0</v>
      </c>
      <c r="CQ52" s="148">
        <f t="shared" ref="CQ52" si="223">SUM(CE52:CP52)-CD52</f>
        <v>0</v>
      </c>
      <c r="DV52" s="139">
        <f t="shared" ref="DV52" si="224">IF(CB52=1,G52,0)</f>
        <v>0</v>
      </c>
      <c r="DW52" s="139">
        <f t="shared" ref="DW52" si="225">IF(CC52="A",G52,0)</f>
        <v>0</v>
      </c>
      <c r="DX52" s="139">
        <f t="shared" ref="DX52" si="226">IF(CC52="B",G52,0)</f>
        <v>0</v>
      </c>
      <c r="DY52" s="139">
        <f t="shared" ref="DY52" si="227">IF(CC52="C",G52,0)</f>
        <v>0</v>
      </c>
      <c r="DZ52" s="139">
        <f t="shared" ref="DZ52" si="228">IF(CC52="D",G52,0)</f>
        <v>0</v>
      </c>
      <c r="EA52" s="139">
        <f t="shared" ref="EA52" si="229">IF(CC52="E",G52,0)</f>
        <v>0</v>
      </c>
      <c r="EB52" s="139">
        <f t="shared" ref="EB52" si="230">SUM(DW52:EA52)</f>
        <v>0</v>
      </c>
      <c r="EG52" s="57">
        <f t="shared" ref="EG52" si="231">IF(AG52="C","C",IF(AG52="D","D",0))</f>
        <v>0</v>
      </c>
      <c r="EH52" s="57">
        <f t="shared" ref="EH52" si="232">CC52</f>
        <v>0</v>
      </c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X52" s="80"/>
      <c r="FY52" s="17">
        <f t="shared" ref="FY52" si="233">SUM(FZ52:GE52)</f>
        <v>0</v>
      </c>
      <c r="FZ52" s="17">
        <f t="shared" ref="FZ52" si="234">DI52+CE52</f>
        <v>0</v>
      </c>
      <c r="GA52" s="17">
        <f t="shared" ref="GA52" si="235">DJ52+CF52</f>
        <v>0</v>
      </c>
      <c r="GB52" s="17">
        <f t="shared" ref="GB52" si="236">DK52+CG52</f>
        <v>0</v>
      </c>
      <c r="GC52" s="17">
        <f t="shared" ref="GC52" si="237">DM52+CI52</f>
        <v>0</v>
      </c>
      <c r="GD52" s="17">
        <f t="shared" ref="GD52" si="238">DO52+CK52</f>
        <v>0</v>
      </c>
      <c r="GE52" s="17">
        <f t="shared" ref="GE52" si="239">DT52+CP52</f>
        <v>0</v>
      </c>
      <c r="GF52" s="67"/>
      <c r="GG52" s="17">
        <v>0</v>
      </c>
      <c r="GH52" s="17">
        <v>0</v>
      </c>
      <c r="GI52" s="67"/>
      <c r="GJ52" s="62">
        <f t="shared" ref="GJ52" si="240">FY52*GG52/1000000000</f>
        <v>0</v>
      </c>
      <c r="GK52" s="62">
        <f t="shared" ref="GK52" si="241">FY52*GH52/1000000000</f>
        <v>0</v>
      </c>
      <c r="GO52" s="17">
        <f t="shared" ref="GO52" si="242">D52-F52</f>
        <v>0</v>
      </c>
      <c r="GP52" s="17">
        <f t="shared" ref="GP52" si="243">D52-J52</f>
        <v>0</v>
      </c>
      <c r="GQ52" s="17">
        <f t="shared" ref="GQ52" si="244">D52-N52</f>
        <v>0</v>
      </c>
      <c r="GR52" s="17">
        <f t="shared" ref="GR52" si="245">D52-R52</f>
        <v>1</v>
      </c>
      <c r="GS52" s="17">
        <f t="shared" ref="GS52" si="246">D52-V52</f>
        <v>1</v>
      </c>
      <c r="GT52" s="17">
        <f t="shared" ref="GT52" si="247">IF(SUM(GO52:GS52)=0,1,0)</f>
        <v>0</v>
      </c>
      <c r="GU52" s="101">
        <f t="shared" si="134"/>
        <v>43243</v>
      </c>
      <c r="GV52" s="17" t="str">
        <f t="shared" ref="GV52" si="248">IF(GO52&gt;0,$GO$6,IF(GP52&gt;0,$GP$6,IF(GQ52&gt;0,$GQ$6,IF(GR52&gt;0,$GR$6,IF(GS52&gt;0,$GS$6,IF(GT52&gt;0,$GT$6,0))))))</f>
        <v>Musyawarah</v>
      </c>
      <c r="GW52" s="17">
        <f t="shared" ref="GW52" si="249">IF(GV52=$GO$6,GO52,IF(GV52=$GP$6,GP52,IF(GV52=$GQ$6,GQ52,IF(GV52=$GR$6,GR52,IF(GV52=$GS$6,GS52,0)))))</f>
        <v>1</v>
      </c>
      <c r="GX52" s="66" t="str">
        <f t="shared" ref="GX52" si="250">GV52</f>
        <v>Musyawarah</v>
      </c>
      <c r="GY52" s="66">
        <f t="shared" ref="GY52" si="251">IF(GX52="DNP",SUM($GY$4:$GY$8),IF(GX52="Survey KJPP",SUM($GY$5:$GY$8),IF(GX52="Hasil Valuasi",SUM($GY$6:$GY$8),IF(GX52="Musyawarah",SUM($GY$7:$GY$8),IF(GX52="UGR",$GY$8,0)))))</f>
        <v>24</v>
      </c>
      <c r="GZ52" s="102">
        <f t="shared" ref="GZ52" si="252">IF(GW52=0,"SELESAI",GU52+GY52)</f>
        <v>43267</v>
      </c>
      <c r="HA52" s="83"/>
      <c r="HB52" s="83"/>
      <c r="HC52" s="17">
        <f t="shared" ref="HC52" si="253">IF(BH52&gt;0,1,IF(BI52&gt;0,1,0))</f>
        <v>0</v>
      </c>
      <c r="HD52" s="17">
        <f t="shared" ref="HD52" si="254">IF(CB52&gt;0,1,0)</f>
        <v>0</v>
      </c>
      <c r="HE52" s="17">
        <f t="shared" ref="HE52" si="255">HC52+HD52</f>
        <v>0</v>
      </c>
      <c r="HF52" s="17">
        <f t="shared" ref="HF52" si="256">FQ52</f>
        <v>0</v>
      </c>
      <c r="HG52" s="17">
        <f t="shared" ref="HG52" si="257">HE52-HF52</f>
        <v>0</v>
      </c>
      <c r="HH52" s="101" t="str">
        <f t="shared" ref="HH52" si="258">IF(HG52=1,GU52+$HH$8,"TIDAK KONSINYASI")</f>
        <v>TIDAK KONSINYASI</v>
      </c>
      <c r="HI52" s="101">
        <f t="shared" ref="HI52" si="259">IF(GW52=0,"SELESAI",GZ52+$HI$8)</f>
        <v>43312</v>
      </c>
      <c r="HJ52" s="27"/>
      <c r="HK52" s="101">
        <f t="shared" ref="HK52" si="260">MAX(GZ52,HH52,HI52)</f>
        <v>43312</v>
      </c>
      <c r="HL52" s="83"/>
      <c r="HM52" s="83"/>
      <c r="HN52" s="83"/>
      <c r="HO52" s="83"/>
      <c r="HP52" s="102">
        <f t="shared" ref="HP52" si="261">IF(HQ52=1,GZ52,0)</f>
        <v>0</v>
      </c>
      <c r="HQ52" s="66">
        <f t="shared" ref="HQ52" si="262">IF(IX52=0,IF(HT52=0,IF(IP52=0,IF(GV52="UGR",GS52,0),0),0),0)</f>
        <v>0</v>
      </c>
      <c r="HR52" s="66">
        <f t="shared" ref="HR52" si="263">IF(HQ52=1,E52,0)</f>
        <v>0</v>
      </c>
      <c r="HS52" s="102">
        <f t="shared" ref="HS52" si="264">IF(HT52=1,HH52,0)</f>
        <v>0</v>
      </c>
      <c r="HT52" s="66">
        <f t="shared" ref="HT52" si="265">HG52</f>
        <v>0</v>
      </c>
      <c r="HU52" s="66">
        <f t="shared" ref="HU52" si="266">IF(HT52=1,E52,0)</f>
        <v>0</v>
      </c>
      <c r="HV52" s="102">
        <f t="shared" ref="HV52" si="267">IF(HW52=1,GZ52,0)</f>
        <v>0</v>
      </c>
      <c r="HW52" s="66">
        <f t="shared" ref="HW52" si="268">IF(JB52=0,IF(IX52=0,IF(HT52=0,IF(GV52="MUSYAWARAH",GR52,0),0),0),0)</f>
        <v>0</v>
      </c>
      <c r="HX52" s="66">
        <f t="shared" ref="HX52" si="269">IF(HW52=1,E52,0)</f>
        <v>0</v>
      </c>
      <c r="HY52" s="102">
        <f t="shared" ref="HY52" si="270">IF(HZ52=1,HV52+$HI$8,0)</f>
        <v>0</v>
      </c>
      <c r="HZ52" s="66">
        <f t="shared" ref="HZ52" si="271">HW52</f>
        <v>0</v>
      </c>
      <c r="IA52" s="66">
        <f t="shared" ref="IA52" si="272">IF(HZ52=1,E52,0)</f>
        <v>0</v>
      </c>
      <c r="IB52" s="102">
        <f t="shared" ref="IB52" si="273">IF(IC52=1,$GU$3+SUM($GY$6:$GY$8),0)</f>
        <v>0</v>
      </c>
      <c r="IC52" s="66">
        <f t="shared" ref="IC52" si="274">IF(GV52="Hasil Valuasi",GQ52,0)</f>
        <v>0</v>
      </c>
      <c r="ID52" s="66">
        <f t="shared" ref="ID52" si="275">IF(IC52=1,E52,0)</f>
        <v>0</v>
      </c>
      <c r="IE52" s="102">
        <f t="shared" ref="IE52" si="276">IF(IF52=1,IB52+$HI$8,0)</f>
        <v>0</v>
      </c>
      <c r="IF52" s="66">
        <f t="shared" ref="IF52" si="277">IC52</f>
        <v>0</v>
      </c>
      <c r="IG52" s="66">
        <f t="shared" ref="IG52" si="278">IF(IF52=1,E52,0)</f>
        <v>0</v>
      </c>
      <c r="IH52" s="102">
        <f t="shared" ref="IH52" si="279">IF(II52=1,$GU$3+SUM($GY$5:$GY$8),0)</f>
        <v>0</v>
      </c>
      <c r="II52" s="66">
        <f t="shared" ref="II52" si="280">IF(GV52="Survey KJPP",GP52,0)</f>
        <v>0</v>
      </c>
      <c r="IJ52" s="66">
        <f t="shared" ref="IJ52" si="281">IF(II52=1,E52,0)</f>
        <v>0</v>
      </c>
      <c r="IK52" s="102">
        <f t="shared" ref="IK52" si="282">IF(IL52=1,IH52+$HI$8,0)</f>
        <v>0</v>
      </c>
      <c r="IL52" s="66">
        <f t="shared" ref="IL52" si="283">II52</f>
        <v>0</v>
      </c>
      <c r="IM52" s="66">
        <f t="shared" ref="IM52" si="284">IF(IL52=1,E52,0)</f>
        <v>0</v>
      </c>
      <c r="IN52" s="83"/>
      <c r="IO52" s="102">
        <f t="shared" ref="IO52" si="285">IF(IP52=1,+$GU$3+$HH$8,0)</f>
        <v>0</v>
      </c>
      <c r="IP52" s="66">
        <f t="shared" ref="IP52" si="286">IF(BG52&gt;0,1,0)</f>
        <v>0</v>
      </c>
      <c r="IQ52" s="66">
        <f t="shared" ref="IQ52" si="287">IF(IP52=1,E52,0)</f>
        <v>0</v>
      </c>
      <c r="IR52" s="83"/>
      <c r="IS52" s="102"/>
      <c r="IT52" s="66">
        <f t="shared" ref="IT52" si="288">V52</f>
        <v>0</v>
      </c>
      <c r="IU52" s="66">
        <f t="shared" ref="IU52" si="289">W52</f>
        <v>0</v>
      </c>
      <c r="IV52" s="83"/>
      <c r="IW52" s="102"/>
      <c r="IX52" s="66">
        <f t="shared" ref="IX52" si="290">AA52</f>
        <v>0</v>
      </c>
      <c r="IY52" s="66">
        <f t="shared" ref="IY52" si="291">AB52</f>
        <v>0</v>
      </c>
      <c r="IZ52" s="83"/>
      <c r="JA52" s="102"/>
      <c r="JB52" s="66">
        <f t="shared" ref="JB52" si="292">AN52</f>
        <v>1</v>
      </c>
      <c r="JC52" s="66">
        <f t="shared" ref="JC52" si="293">BB52</f>
        <v>45</v>
      </c>
      <c r="JD52" s="83"/>
      <c r="JE52" s="102"/>
      <c r="JF52" s="66">
        <f t="shared" ref="JF52" si="294">IT52+HQ52+HT52+HZ52+IF52+IL52+IP52+IX52+JB52</f>
        <v>1</v>
      </c>
      <c r="JG52" s="66">
        <f t="shared" ref="JG52" si="295">IU52+HR52+HU52+IA52+IG52+IM52+IQ52+IY52+JC52</f>
        <v>45</v>
      </c>
      <c r="JH52" s="83"/>
      <c r="JI52" s="102"/>
      <c r="JJ52" s="66">
        <f t="shared" ref="JJ52" si="296">JF52-D52</f>
        <v>0</v>
      </c>
      <c r="JK52" s="66">
        <f t="shared" ref="JK52" si="297">JG52-E52</f>
        <v>0</v>
      </c>
      <c r="JM52" s="102">
        <f t="shared" ref="JM52" si="298">MAX(IW52,IS52,IO52,IK52,IE52,HY52,HS52,HP52)</f>
        <v>0</v>
      </c>
      <c r="JO52" s="29">
        <f t="shared" ref="JO52" si="299">SUM(JQ52:KB52)</f>
        <v>0</v>
      </c>
      <c r="JP52" s="122">
        <f t="shared" ref="JP52" si="300">BN52+CR52</f>
        <v>0</v>
      </c>
      <c r="JQ52" s="122">
        <f t="shared" ref="JQ52" si="301">IF(BO52+CS52=2,1,IF(BO52+CS52=1,1,0))</f>
        <v>0</v>
      </c>
      <c r="JR52" s="122">
        <f t="shared" ref="JR52" si="302">IF(BP52+CT52=2,1,IF(BP52+CT52=1,1,0))</f>
        <v>0</v>
      </c>
      <c r="JS52" s="122">
        <f t="shared" ref="JS52" si="303">IF(BQ52+CU52=2,1,IF(BQ52+CU52=1,1,0))</f>
        <v>0</v>
      </c>
      <c r="JT52" s="122">
        <f t="shared" ref="JT52" si="304">IF(BR52+CV52=2,1,IF(BR52+CV52=1,1,0))</f>
        <v>0</v>
      </c>
      <c r="JU52" s="122">
        <f t="shared" ref="JU52" si="305">IF(BS52+CW52=2,1,IF(BS52+CW52=1,1,0))</f>
        <v>0</v>
      </c>
      <c r="JV52" s="122">
        <f t="shared" ref="JV52" si="306">IF(BT52+CX52=2,1,IF(BT52+CX52=1,1,0))</f>
        <v>0</v>
      </c>
      <c r="JW52" s="122">
        <f t="shared" ref="JW52" si="307">IF(BU52+CY52=2,1,IF(BU52+CY52=1,1,0))</f>
        <v>0</v>
      </c>
      <c r="JX52" s="122">
        <f t="shared" ref="JX52" si="308">IF(BV52+CZ52=2,1,IF(BV52+CZ52=1,1,0))</f>
        <v>0</v>
      </c>
      <c r="JY52" s="122">
        <f t="shared" ref="JY52" si="309">IF(BW52+DA52=2,1,IF(BW52+DA52=1,1,0))</f>
        <v>0</v>
      </c>
      <c r="JZ52" s="122">
        <f t="shared" ref="JZ52" si="310">IF(BX52+DB52=2,1,IF(BX52+DB52=1,1,0))</f>
        <v>0</v>
      </c>
      <c r="KA52" s="122">
        <f t="shared" ref="KA52" si="311">IF(BY52+DC52=2,1,IF(BY52+DC52=1,1,0))</f>
        <v>0</v>
      </c>
      <c r="KB52" s="122">
        <f t="shared" ref="KB52" si="312">IF(BZ52+DD52=2,1,IF(BZ52+DD52=1,1,0))</f>
        <v>0</v>
      </c>
      <c r="KD52" s="122">
        <f t="shared" ref="KD52" si="313">IF(IF(SUM(GA52:GE52)&gt;100,1,0)+IF(FX52=1,1,0)=2,1,0)</f>
        <v>0</v>
      </c>
      <c r="KE52" s="122">
        <f t="shared" ref="KE52" si="314">IF(KD52=1,KF52,0)</f>
        <v>0</v>
      </c>
      <c r="KF52" s="122">
        <f t="shared" ref="KF52" si="315">CD52+DH52</f>
        <v>0</v>
      </c>
      <c r="KG52" s="122">
        <f t="shared" ref="KG52" si="316">CE52+DI52</f>
        <v>0</v>
      </c>
      <c r="KH52" s="122">
        <f t="shared" ref="KH52" si="317">CF52+DJ52</f>
        <v>0</v>
      </c>
      <c r="KI52" s="122">
        <f t="shared" ref="KI52" si="318">CG52+DK52</f>
        <v>0</v>
      </c>
      <c r="KJ52" s="122">
        <f t="shared" ref="KJ52" si="319">CH52+DL52</f>
        <v>0</v>
      </c>
      <c r="KK52" s="122">
        <f t="shared" ref="KK52" si="320">CI52+DM52</f>
        <v>0</v>
      </c>
      <c r="KL52" s="122">
        <f t="shared" ref="KL52" si="321">CJ52+DN52</f>
        <v>0</v>
      </c>
      <c r="KM52" s="122">
        <f t="shared" ref="KM52" si="322">CK52+DO52</f>
        <v>0</v>
      </c>
      <c r="KN52" s="123">
        <f t="shared" ref="KN52" si="323">CL52+DP52</f>
        <v>0</v>
      </c>
      <c r="KO52" s="123">
        <f t="shared" ref="KO52" si="324">CM52+DQ52</f>
        <v>0</v>
      </c>
      <c r="KP52" s="123">
        <f t="shared" ref="KP52" si="325">CN52+DR52</f>
        <v>0</v>
      </c>
      <c r="KQ52" s="123">
        <f t="shared" ref="KQ52" si="326">CO52+DS52</f>
        <v>0</v>
      </c>
      <c r="KR52" s="123">
        <f t="shared" ref="KR52" si="327">CP52+DT52</f>
        <v>0</v>
      </c>
      <c r="KS52">
        <v>2</v>
      </c>
      <c r="KT52">
        <f t="shared" ref="KT52" si="328">AN52</f>
        <v>1</v>
      </c>
      <c r="KU52" s="123"/>
      <c r="KV52" s="123"/>
      <c r="KW52" s="123"/>
      <c r="KX52" s="123"/>
      <c r="KY52" s="123"/>
      <c r="KZ52" s="123"/>
      <c r="LA52" s="123"/>
      <c r="LB52" s="123"/>
      <c r="LC52" s="123"/>
      <c r="LD52" s="123"/>
      <c r="LE52" s="123"/>
      <c r="LF52" s="123"/>
      <c r="LG52" s="123"/>
      <c r="LH52" s="123"/>
      <c r="LI52" s="123"/>
      <c r="LJ52" s="123"/>
      <c r="LK52" s="123"/>
      <c r="LL52" s="123"/>
      <c r="LM52" s="123">
        <v>1</v>
      </c>
      <c r="LN52" s="123">
        <v>1</v>
      </c>
      <c r="LO52" s="123"/>
      <c r="LP52" s="123"/>
      <c r="LQ52" s="123"/>
      <c r="LR52" s="123"/>
      <c r="LS52" s="123"/>
      <c r="LT52" s="123"/>
      <c r="LU52" s="123"/>
      <c r="LV52" s="123"/>
      <c r="LW52" s="123"/>
      <c r="LX52" s="123"/>
      <c r="LY52" s="123"/>
      <c r="LZ52" s="123"/>
      <c r="MA52" s="123"/>
      <c r="MB52" s="123"/>
      <c r="MC52" s="123"/>
      <c r="MD52" s="123"/>
      <c r="ME52" s="123"/>
      <c r="MF52" s="123"/>
      <c r="MG52" s="123"/>
      <c r="MH52" s="123"/>
      <c r="MI52" s="123"/>
      <c r="MJ52" s="123"/>
      <c r="MK52" s="123"/>
      <c r="ML52" s="123"/>
      <c r="MM52" s="123"/>
      <c r="MN52" s="123"/>
      <c r="MO52" s="123"/>
      <c r="MP52" s="123"/>
      <c r="MQ52" s="123"/>
      <c r="MR52" s="123"/>
      <c r="MS52" s="123"/>
      <c r="MT52" s="123"/>
      <c r="MU52" s="123"/>
      <c r="MV52" s="123"/>
      <c r="MW52" s="123"/>
      <c r="MX52" s="123"/>
      <c r="MY52" s="123"/>
      <c r="MZ52" s="123"/>
      <c r="NA52" s="123"/>
      <c r="NB52" s="123"/>
      <c r="NC52" s="123"/>
      <c r="ND52" s="123"/>
      <c r="NE52" s="123"/>
      <c r="NF52" s="123"/>
      <c r="NG52" s="123"/>
      <c r="NH52" s="123"/>
      <c r="NI52" s="123"/>
      <c r="NJ52" s="123"/>
      <c r="NK52" s="123"/>
      <c r="NM52">
        <f t="shared" ref="NM52" si="329">IF(KS52=1,1,0)</f>
        <v>0</v>
      </c>
      <c r="NN52">
        <f t="shared" ref="NN52" si="330">IF(KS52=2,1,0)</f>
        <v>1</v>
      </c>
      <c r="NO52">
        <f t="shared" ref="NO52" si="331">IF(KS52=3,1,0)</f>
        <v>0</v>
      </c>
      <c r="NP52">
        <f t="shared" ref="NP52" si="332">IF(KS52=4,1,0)</f>
        <v>0</v>
      </c>
      <c r="NQ52">
        <f t="shared" ref="NQ52" si="333">IF(KS52=5,1,0)</f>
        <v>0</v>
      </c>
      <c r="NR52">
        <f t="shared" ref="NR52" si="334">IF(KS52=6,1,0)</f>
        <v>0</v>
      </c>
      <c r="NS52">
        <f t="shared" ref="NS52" si="335">IF(KS52=7,1,0)</f>
        <v>0</v>
      </c>
      <c r="NT52">
        <f t="shared" ref="NT52" si="336">SUM(NM52:NS52)</f>
        <v>1</v>
      </c>
      <c r="NU52" s="29">
        <f t="shared" ref="NU52" si="337">NT52-KT52</f>
        <v>0</v>
      </c>
      <c r="NY52" s="29">
        <f t="shared" ref="NY52" si="338">V52</f>
        <v>0</v>
      </c>
      <c r="NZ52" s="152"/>
      <c r="OE52" s="155">
        <f t="shared" ref="OE52" si="339">D52-J52</f>
        <v>0</v>
      </c>
      <c r="OF52" s="155">
        <f t="shared" ref="OF52" si="340">D52-N52</f>
        <v>0</v>
      </c>
      <c r="OG52" s="155">
        <f t="shared" ref="OG52" si="341">AN52</f>
        <v>1</v>
      </c>
      <c r="OH52" s="155">
        <f t="shared" ref="OH52" si="342">HE52</f>
        <v>0</v>
      </c>
      <c r="OI52" s="155">
        <f t="shared" ref="OI52" si="343">D52-R52</f>
        <v>1</v>
      </c>
      <c r="OJ52" s="67">
        <f t="shared" ref="OJ52" si="344">IF(OG52=1,OF52,0)</f>
        <v>0</v>
      </c>
      <c r="OK52" s="67">
        <f t="shared" ref="OK52" si="345">IF(OH52=1,OF52,0)</f>
        <v>0</v>
      </c>
      <c r="OL52" s="67">
        <f t="shared" ref="OL52" si="346">IF((OG52+OH52)=0,OF52,0)</f>
        <v>0</v>
      </c>
      <c r="OM52" s="67">
        <f t="shared" ref="OM52" si="347">SUM(OJ52:OL52)</f>
        <v>0</v>
      </c>
      <c r="OO52" s="155">
        <f t="shared" ref="OO52" si="348">E52-K52</f>
        <v>0</v>
      </c>
      <c r="OP52" s="155">
        <f t="shared" ref="OP52" si="349">E52-O52</f>
        <v>0</v>
      </c>
      <c r="OQ52" s="155">
        <f t="shared" ref="OQ52" si="350">OG52</f>
        <v>1</v>
      </c>
      <c r="OR52" s="155">
        <f t="shared" ref="OR52" si="351">OH52</f>
        <v>0</v>
      </c>
      <c r="OS52" s="155">
        <f t="shared" ref="OS52" si="352">OI52</f>
        <v>1</v>
      </c>
      <c r="OT52" s="67">
        <f t="shared" ref="OT52" si="353">IF(OQ52=1,OP52,0)</f>
        <v>0</v>
      </c>
      <c r="OU52" s="67">
        <f t="shared" ref="OU52" si="354">IF(OR52=1,OP52,0)</f>
        <v>0</v>
      </c>
      <c r="OV52" s="67">
        <f t="shared" ref="OV52" si="355">IF((OQ52+OR52)=0,OP52,0)</f>
        <v>0</v>
      </c>
      <c r="OW52" s="67">
        <f t="shared" ref="OW52" si="356">SUM(OT52:OV52)</f>
        <v>0</v>
      </c>
      <c r="PA52" s="166"/>
      <c r="PB52" s="171">
        <v>1</v>
      </c>
      <c r="PC52" s="166">
        <v>1</v>
      </c>
      <c r="PD52" s="210">
        <f t="shared" si="115"/>
        <v>0</v>
      </c>
      <c r="PE52" s="210"/>
      <c r="PF52" s="210">
        <f t="shared" si="116"/>
        <v>0</v>
      </c>
      <c r="PG52" s="210">
        <f t="shared" si="194"/>
        <v>0</v>
      </c>
      <c r="PH52" s="210">
        <f t="shared" si="194"/>
        <v>45</v>
      </c>
      <c r="PI52" s="210">
        <f t="shared" si="194"/>
        <v>45</v>
      </c>
      <c r="PJ52" s="210">
        <f t="shared" si="194"/>
        <v>0</v>
      </c>
      <c r="PK52" s="210">
        <f t="shared" si="194"/>
        <v>0</v>
      </c>
      <c r="PL52" s="210">
        <f t="shared" si="194"/>
        <v>0</v>
      </c>
      <c r="PO52" s="172">
        <f t="shared" ref="PO52" si="357">IF(FC52=1,AB52,0)</f>
        <v>0</v>
      </c>
      <c r="PP52" s="172">
        <f t="shared" ref="PP52" si="358">IF(FF52=1,AB52,0)</f>
        <v>0</v>
      </c>
      <c r="PQ52" s="172">
        <f t="shared" ref="PQ52" si="359">AB52-(PO52+PP52)</f>
        <v>0</v>
      </c>
    </row>
    <row r="53" spans="1:433" ht="16" x14ac:dyDescent="0.2">
      <c r="A53" s="19">
        <f t="shared" si="180"/>
        <v>45</v>
      </c>
      <c r="B53" s="186" t="s">
        <v>632</v>
      </c>
      <c r="C53" s="186">
        <v>45</v>
      </c>
      <c r="D53" s="188">
        <v>1</v>
      </c>
      <c r="E53" s="188">
        <v>73</v>
      </c>
      <c r="F53" s="188">
        <v>1</v>
      </c>
      <c r="G53" s="20">
        <f>E53</f>
        <v>73</v>
      </c>
      <c r="H53" s="137">
        <f t="shared" si="3"/>
        <v>1</v>
      </c>
      <c r="I53" s="137">
        <f t="shared" si="4"/>
        <v>1</v>
      </c>
      <c r="J53" s="20">
        <v>1</v>
      </c>
      <c r="K53" s="20">
        <f t="shared" si="5"/>
        <v>73</v>
      </c>
      <c r="L53" s="137">
        <f t="shared" si="6"/>
        <v>1</v>
      </c>
      <c r="M53" s="137">
        <f t="shared" si="7"/>
        <v>1</v>
      </c>
      <c r="N53" s="188">
        <v>1</v>
      </c>
      <c r="O53" s="20">
        <f t="shared" si="8"/>
        <v>73</v>
      </c>
      <c r="P53" s="137">
        <f t="shared" si="9"/>
        <v>1</v>
      </c>
      <c r="Q53" s="137">
        <f t="shared" si="10"/>
        <v>1</v>
      </c>
      <c r="R53" s="20">
        <v>0</v>
      </c>
      <c r="S53" s="20">
        <f t="shared" si="11"/>
        <v>0</v>
      </c>
      <c r="T53" s="137">
        <f t="shared" si="12"/>
        <v>0</v>
      </c>
      <c r="U53" s="137">
        <f t="shared" si="13"/>
        <v>0</v>
      </c>
      <c r="V53" s="20">
        <v>0</v>
      </c>
      <c r="W53" s="20">
        <f t="shared" si="14"/>
        <v>0</v>
      </c>
      <c r="X53" s="137">
        <f t="shared" si="15"/>
        <v>0</v>
      </c>
      <c r="Y53" s="137">
        <f t="shared" si="16"/>
        <v>0</v>
      </c>
      <c r="Z53" s="38"/>
      <c r="AA53" s="38"/>
      <c r="AB53" s="17">
        <f t="shared" si="118"/>
        <v>0</v>
      </c>
      <c r="AC53" s="18">
        <f t="shared" si="119"/>
        <v>0</v>
      </c>
      <c r="AD53" s="18">
        <f t="shared" si="120"/>
        <v>0</v>
      </c>
      <c r="AE53" s="38"/>
      <c r="AF53" s="20">
        <f t="shared" si="121"/>
        <v>0</v>
      </c>
      <c r="AG53" s="20"/>
      <c r="AH53" s="17"/>
      <c r="AI53" s="20">
        <v>0</v>
      </c>
      <c r="AJ53" s="20">
        <f t="shared" si="181"/>
        <v>0</v>
      </c>
      <c r="AK53" s="20"/>
      <c r="AL53" s="20"/>
      <c r="AM53" s="20">
        <v>0</v>
      </c>
      <c r="AN53" s="139">
        <v>1</v>
      </c>
      <c r="BB53" s="17">
        <f t="shared" si="123"/>
        <v>73</v>
      </c>
      <c r="BE53" s="17">
        <f t="shared" si="19"/>
        <v>0</v>
      </c>
      <c r="BF53" s="17">
        <f t="shared" si="20"/>
        <v>0</v>
      </c>
      <c r="BG53" s="17">
        <f t="shared" si="21"/>
        <v>0</v>
      </c>
      <c r="BH53" s="17">
        <f t="shared" si="22"/>
        <v>0</v>
      </c>
      <c r="BI53" s="17">
        <f t="shared" si="23"/>
        <v>0</v>
      </c>
      <c r="BJ53" s="17">
        <f t="shared" si="24"/>
        <v>0</v>
      </c>
      <c r="BK53" s="17">
        <f t="shared" si="124"/>
        <v>0</v>
      </c>
      <c r="BN53" s="141"/>
      <c r="BO53" s="284"/>
      <c r="BP53" s="139"/>
      <c r="BQ53" s="139"/>
      <c r="BR53" s="139"/>
      <c r="BS53" s="139"/>
      <c r="BT53" s="139"/>
      <c r="BU53" s="139"/>
      <c r="BV53" s="139"/>
      <c r="BW53" s="139"/>
      <c r="BX53" s="139"/>
      <c r="BY53" s="139"/>
      <c r="BZ53" s="139"/>
      <c r="CB53" s="139"/>
      <c r="CD53" s="17">
        <f t="shared" si="125"/>
        <v>0</v>
      </c>
      <c r="CE53" s="17">
        <f t="shared" si="126"/>
        <v>0</v>
      </c>
      <c r="CF53" s="139">
        <f t="shared" si="182"/>
        <v>0</v>
      </c>
      <c r="CG53" s="139">
        <f t="shared" si="183"/>
        <v>0</v>
      </c>
      <c r="CH53" s="139">
        <f t="shared" si="184"/>
        <v>0</v>
      </c>
      <c r="CI53" s="139">
        <f t="shared" si="185"/>
        <v>0</v>
      </c>
      <c r="CJ53" s="139">
        <f t="shared" si="186"/>
        <v>0</v>
      </c>
      <c r="CK53" s="139">
        <f t="shared" si="187"/>
        <v>0</v>
      </c>
      <c r="CL53" s="139">
        <f t="shared" si="188"/>
        <v>0</v>
      </c>
      <c r="CM53" s="139">
        <f t="shared" si="189"/>
        <v>0</v>
      </c>
      <c r="CN53" s="139">
        <f t="shared" si="190"/>
        <v>0</v>
      </c>
      <c r="CO53" s="139">
        <f t="shared" si="191"/>
        <v>0</v>
      </c>
      <c r="CP53" s="139">
        <f t="shared" si="192"/>
        <v>0</v>
      </c>
      <c r="CQ53" s="148">
        <f t="shared" si="27"/>
        <v>0</v>
      </c>
      <c r="DV53" s="139">
        <f t="shared" si="28"/>
        <v>0</v>
      </c>
      <c r="DW53" s="139">
        <f t="shared" si="29"/>
        <v>0</v>
      </c>
      <c r="DX53" s="139">
        <f t="shared" si="30"/>
        <v>0</v>
      </c>
      <c r="DY53" s="139">
        <f t="shared" si="31"/>
        <v>0</v>
      </c>
      <c r="DZ53" s="139">
        <f t="shared" si="32"/>
        <v>0</v>
      </c>
      <c r="EA53" s="139">
        <f t="shared" si="33"/>
        <v>0</v>
      </c>
      <c r="EB53" s="139">
        <f t="shared" si="127"/>
        <v>0</v>
      </c>
      <c r="EG53" s="57">
        <f t="shared" si="128"/>
        <v>0</v>
      </c>
      <c r="EH53" s="57">
        <f t="shared" si="129"/>
        <v>0</v>
      </c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X53" s="80"/>
      <c r="FY53" s="17">
        <f t="shared" si="130"/>
        <v>0</v>
      </c>
      <c r="FZ53" s="17">
        <f t="shared" ref="FZ53:FZ61" si="360">DI53+CE53</f>
        <v>0</v>
      </c>
      <c r="GA53" s="17">
        <f t="shared" ref="GA53:GA61" si="361">DJ53+CF53</f>
        <v>0</v>
      </c>
      <c r="GB53" s="17">
        <f t="shared" ref="GB53:GB61" si="362">DK53+CG53</f>
        <v>0</v>
      </c>
      <c r="GC53" s="17">
        <f t="shared" ref="GC53:GC61" si="363">DM53+CI53</f>
        <v>0</v>
      </c>
      <c r="GD53" s="17">
        <f t="shared" ref="GD53:GD61" si="364">DO53+CK53</f>
        <v>0</v>
      </c>
      <c r="GE53" s="17">
        <f t="shared" ref="GE53:GE61" si="365">DT53+CP53</f>
        <v>0</v>
      </c>
      <c r="GF53" s="67"/>
      <c r="GG53" s="17">
        <v>0</v>
      </c>
      <c r="GH53" s="17">
        <v>0</v>
      </c>
      <c r="GI53" s="67"/>
      <c r="GJ53" s="62">
        <f t="shared" si="131"/>
        <v>0</v>
      </c>
      <c r="GK53" s="62">
        <f t="shared" si="132"/>
        <v>0</v>
      </c>
      <c r="GO53" s="17">
        <f t="shared" ref="GO53:GO61" si="366">D53-F53</f>
        <v>0</v>
      </c>
      <c r="GP53" s="17">
        <f t="shared" ref="GP53:GP61" si="367">D53-J53</f>
        <v>0</v>
      </c>
      <c r="GQ53" s="17">
        <f t="shared" ref="GQ53:GQ61" si="368">D53-N53</f>
        <v>0</v>
      </c>
      <c r="GR53" s="17">
        <f t="shared" ref="GR53:GR61" si="369">D53-R53</f>
        <v>1</v>
      </c>
      <c r="GS53" s="17">
        <f t="shared" ref="GS53:GS61" si="370">D53-V53</f>
        <v>1</v>
      </c>
      <c r="GT53" s="17">
        <f t="shared" si="133"/>
        <v>0</v>
      </c>
      <c r="GU53" s="101">
        <f t="shared" si="134"/>
        <v>43243</v>
      </c>
      <c r="GV53" s="17" t="str">
        <f t="shared" si="135"/>
        <v>Musyawarah</v>
      </c>
      <c r="GW53" s="17">
        <f t="shared" si="136"/>
        <v>1</v>
      </c>
      <c r="GX53" s="66" t="str">
        <f t="shared" si="137"/>
        <v>Musyawarah</v>
      </c>
      <c r="GY53" s="66">
        <f t="shared" si="138"/>
        <v>24</v>
      </c>
      <c r="GZ53" s="102">
        <f t="shared" si="139"/>
        <v>43267</v>
      </c>
      <c r="HA53" s="83"/>
      <c r="HB53" s="83"/>
      <c r="HC53" s="17">
        <f t="shared" ref="HC53:HC61" si="371">IF(BH53&gt;0,1,IF(BI53&gt;0,1,0))</f>
        <v>0</v>
      </c>
      <c r="HD53" s="17">
        <f t="shared" ref="HD53:HD61" si="372">IF(CB53&gt;0,1,0)</f>
        <v>0</v>
      </c>
      <c r="HE53" s="17">
        <f t="shared" si="140"/>
        <v>0</v>
      </c>
      <c r="HF53" s="17">
        <f t="shared" si="141"/>
        <v>0</v>
      </c>
      <c r="HG53" s="17">
        <f t="shared" si="142"/>
        <v>0</v>
      </c>
      <c r="HH53" s="101" t="str">
        <f t="shared" si="48"/>
        <v>TIDAK KONSINYASI</v>
      </c>
      <c r="HI53" s="101">
        <f t="shared" si="143"/>
        <v>43312</v>
      </c>
      <c r="HJ53" s="27"/>
      <c r="HK53" s="101">
        <f t="shared" si="49"/>
        <v>43312</v>
      </c>
      <c r="HL53" s="83"/>
      <c r="HM53" s="83"/>
      <c r="HN53" s="83"/>
      <c r="HO53" s="83"/>
      <c r="HP53" s="102">
        <f t="shared" si="144"/>
        <v>0</v>
      </c>
      <c r="HQ53" s="66">
        <f t="shared" si="145"/>
        <v>0</v>
      </c>
      <c r="HR53" s="66">
        <f t="shared" ref="HR53:HR61" si="373">IF(HQ53=1,E53,0)</f>
        <v>0</v>
      </c>
      <c r="HS53" s="102">
        <f t="shared" si="146"/>
        <v>0</v>
      </c>
      <c r="HT53" s="66">
        <f t="shared" si="147"/>
        <v>0</v>
      </c>
      <c r="HU53" s="66">
        <f t="shared" ref="HU53:HU61" si="374">IF(HT53=1,E53,0)</f>
        <v>0</v>
      </c>
      <c r="HV53" s="102">
        <f t="shared" si="148"/>
        <v>0</v>
      </c>
      <c r="HW53" s="66">
        <f t="shared" si="52"/>
        <v>0</v>
      </c>
      <c r="HX53" s="66">
        <f t="shared" ref="HX53:HX61" si="375">IF(HW53=1,E53,0)</f>
        <v>0</v>
      </c>
      <c r="HY53" s="102">
        <f t="shared" si="54"/>
        <v>0</v>
      </c>
      <c r="HZ53" s="66">
        <f t="shared" si="149"/>
        <v>0</v>
      </c>
      <c r="IA53" s="66">
        <f t="shared" ref="IA53:IA61" si="376">IF(HZ53=1,E53,0)</f>
        <v>0</v>
      </c>
      <c r="IB53" s="102">
        <f t="shared" si="150"/>
        <v>0</v>
      </c>
      <c r="IC53" s="66">
        <f t="shared" si="56"/>
        <v>0</v>
      </c>
      <c r="ID53" s="66">
        <f t="shared" ref="ID53:ID61" si="377">IF(IC53=1,E53,0)</f>
        <v>0</v>
      </c>
      <c r="IE53" s="102">
        <f t="shared" si="58"/>
        <v>0</v>
      </c>
      <c r="IF53" s="66">
        <f t="shared" si="59"/>
        <v>0</v>
      </c>
      <c r="IG53" s="66">
        <f t="shared" ref="IG53:IG61" si="378">IF(IF53=1,E53,0)</f>
        <v>0</v>
      </c>
      <c r="IH53" s="102">
        <f t="shared" si="151"/>
        <v>0</v>
      </c>
      <c r="II53" s="66">
        <f t="shared" si="152"/>
        <v>0</v>
      </c>
      <c r="IJ53" s="66">
        <f t="shared" ref="IJ53:IJ61" si="379">IF(II53=1,E53,0)</f>
        <v>0</v>
      </c>
      <c r="IK53" s="102">
        <f t="shared" si="62"/>
        <v>0</v>
      </c>
      <c r="IL53" s="66">
        <f t="shared" si="63"/>
        <v>0</v>
      </c>
      <c r="IM53" s="66">
        <f t="shared" ref="IM53:IM61" si="380">IF(IL53=1,E53,0)</f>
        <v>0</v>
      </c>
      <c r="IN53" s="83"/>
      <c r="IO53" s="102">
        <f t="shared" si="65"/>
        <v>0</v>
      </c>
      <c r="IP53" s="66">
        <f t="shared" ref="IP53:IP61" si="381">IF(BG53&gt;0,1,0)</f>
        <v>0</v>
      </c>
      <c r="IQ53" s="66">
        <f t="shared" ref="IQ53:IQ61" si="382">IF(IP53=1,E53,0)</f>
        <v>0</v>
      </c>
      <c r="IR53" s="83"/>
      <c r="IS53" s="102"/>
      <c r="IT53" s="66">
        <f t="shared" ref="IT53:IT61" si="383">V53</f>
        <v>0</v>
      </c>
      <c r="IU53" s="66">
        <f t="shared" ref="IU53:IU61" si="384">W53</f>
        <v>0</v>
      </c>
      <c r="IV53" s="83"/>
      <c r="IW53" s="102"/>
      <c r="IX53" s="66">
        <f t="shared" ref="IX53:IX61" si="385">AA53</f>
        <v>0</v>
      </c>
      <c r="IY53" s="66">
        <f t="shared" ref="IY53:IY61" si="386">AB53</f>
        <v>0</v>
      </c>
      <c r="IZ53" s="83"/>
      <c r="JA53" s="102"/>
      <c r="JB53" s="66">
        <f t="shared" ref="JB53:JB61" si="387">AN53</f>
        <v>1</v>
      </c>
      <c r="JC53" s="66">
        <f t="shared" ref="JC53:JC61" si="388">BB53</f>
        <v>73</v>
      </c>
      <c r="JD53" s="83"/>
      <c r="JE53" s="102"/>
      <c r="JF53" s="66">
        <f t="shared" si="153"/>
        <v>1</v>
      </c>
      <c r="JG53" s="66">
        <f t="shared" si="74"/>
        <v>73</v>
      </c>
      <c r="JH53" s="83"/>
      <c r="JI53" s="102"/>
      <c r="JJ53" s="66">
        <f t="shared" ref="JJ53:JJ61" si="389">JF53-D53</f>
        <v>0</v>
      </c>
      <c r="JK53" s="66">
        <f t="shared" ref="JK53:JK61" si="390">JG53-E53</f>
        <v>0</v>
      </c>
      <c r="JM53" s="102">
        <f t="shared" si="154"/>
        <v>0</v>
      </c>
      <c r="JO53" s="29">
        <f t="shared" si="77"/>
        <v>0</v>
      </c>
      <c r="JP53" s="122">
        <f t="shared" ref="JP53:JP61" si="391">BN53+CR53</f>
        <v>0</v>
      </c>
      <c r="JQ53" s="122">
        <f t="shared" ref="JQ53:JQ61" si="392">IF(BO53+CS53=2,1,IF(BO53+CS53=1,1,0))</f>
        <v>0</v>
      </c>
      <c r="JR53" s="122">
        <f t="shared" ref="JR53:JR61" si="393">IF(BP53+CT53=2,1,IF(BP53+CT53=1,1,0))</f>
        <v>0</v>
      </c>
      <c r="JS53" s="122">
        <f t="shared" ref="JS53:JS61" si="394">IF(BQ53+CU53=2,1,IF(BQ53+CU53=1,1,0))</f>
        <v>0</v>
      </c>
      <c r="JT53" s="122">
        <f t="shared" ref="JT53:JT61" si="395">IF(BR53+CV53=2,1,IF(BR53+CV53=1,1,0))</f>
        <v>0</v>
      </c>
      <c r="JU53" s="122">
        <f t="shared" ref="JU53:JU61" si="396">IF(BS53+CW53=2,1,IF(BS53+CW53=1,1,0))</f>
        <v>0</v>
      </c>
      <c r="JV53" s="122">
        <f t="shared" ref="JV53:JV61" si="397">IF(BT53+CX53=2,1,IF(BT53+CX53=1,1,0))</f>
        <v>0</v>
      </c>
      <c r="JW53" s="122">
        <f t="shared" ref="JW53:JW61" si="398">IF(BU53+CY53=2,1,IF(BU53+CY53=1,1,0))</f>
        <v>0</v>
      </c>
      <c r="JX53" s="122">
        <f t="shared" ref="JX53:JX61" si="399">IF(BV53+CZ53=2,1,IF(BV53+CZ53=1,1,0))</f>
        <v>0</v>
      </c>
      <c r="JY53" s="122">
        <f t="shared" ref="JY53:JY61" si="400">IF(BW53+DA53=2,1,IF(BW53+DA53=1,1,0))</f>
        <v>0</v>
      </c>
      <c r="JZ53" s="122">
        <f t="shared" ref="JZ53:JZ61" si="401">IF(BX53+DB53=2,1,IF(BX53+DB53=1,1,0))</f>
        <v>0</v>
      </c>
      <c r="KA53" s="122">
        <f t="shared" ref="KA53:KA61" si="402">IF(BY53+DC53=2,1,IF(BY53+DC53=1,1,0))</f>
        <v>0</v>
      </c>
      <c r="KB53" s="122">
        <f t="shared" ref="KB53:KB61" si="403">IF(BZ53+DD53=2,1,IF(BZ53+DD53=1,1,0))</f>
        <v>0</v>
      </c>
      <c r="KD53" s="122">
        <f t="shared" si="155"/>
        <v>0</v>
      </c>
      <c r="KE53" s="122">
        <f t="shared" si="92"/>
        <v>0</v>
      </c>
      <c r="KF53" s="122">
        <f t="shared" ref="KF53:KF61" si="404">CD53+DH53</f>
        <v>0</v>
      </c>
      <c r="KG53" s="122">
        <f t="shared" ref="KG53:KG61" si="405">CE53+DI53</f>
        <v>0</v>
      </c>
      <c r="KH53" s="122">
        <f t="shared" ref="KH53:KH61" si="406">CF53+DJ53</f>
        <v>0</v>
      </c>
      <c r="KI53" s="122">
        <f t="shared" ref="KI53:KI61" si="407">CG53+DK53</f>
        <v>0</v>
      </c>
      <c r="KJ53" s="122">
        <f t="shared" ref="KJ53:KJ61" si="408">CH53+DL53</f>
        <v>0</v>
      </c>
      <c r="KK53" s="122">
        <f t="shared" ref="KK53:KK61" si="409">CI53+DM53</f>
        <v>0</v>
      </c>
      <c r="KL53" s="122">
        <f t="shared" ref="KL53:KL61" si="410">CJ53+DN53</f>
        <v>0</v>
      </c>
      <c r="KM53" s="122">
        <f t="shared" ref="KM53:KM61" si="411">CK53+DO53</f>
        <v>0</v>
      </c>
      <c r="KN53" s="123">
        <f t="shared" ref="KN53:KN61" si="412">CL53+DP53</f>
        <v>0</v>
      </c>
      <c r="KO53" s="123">
        <f t="shared" ref="KO53:KO61" si="413">CM53+DQ53</f>
        <v>0</v>
      </c>
      <c r="KP53" s="123">
        <f t="shared" ref="KP53:KP61" si="414">CN53+DR53</f>
        <v>0</v>
      </c>
      <c r="KQ53" s="123">
        <f t="shared" ref="KQ53:KQ61" si="415">CO53+DS53</f>
        <v>0</v>
      </c>
      <c r="KR53" s="123">
        <f t="shared" ref="KR53:KR61" si="416">CP53+DT53</f>
        <v>0</v>
      </c>
      <c r="KS53">
        <v>2</v>
      </c>
      <c r="KT53">
        <f t="shared" ref="KT53:KT61" si="417">AN53</f>
        <v>1</v>
      </c>
      <c r="KU53" s="123"/>
      <c r="KV53" s="123"/>
      <c r="KW53" s="123"/>
      <c r="KX53" s="123"/>
      <c r="KY53" s="123"/>
      <c r="KZ53" s="123"/>
      <c r="LA53" s="123"/>
      <c r="LB53" s="123"/>
      <c r="LC53" s="123"/>
      <c r="LD53" s="123"/>
      <c r="LE53" s="123"/>
      <c r="LF53" s="123"/>
      <c r="LG53" s="123"/>
      <c r="LH53" s="123"/>
      <c r="LI53" s="123"/>
      <c r="LJ53" s="123"/>
      <c r="LK53" s="123"/>
      <c r="LL53" s="123"/>
      <c r="LM53" s="123">
        <v>1</v>
      </c>
      <c r="LN53" s="123">
        <v>1</v>
      </c>
      <c r="LO53" s="123"/>
      <c r="LP53" s="123"/>
      <c r="LQ53" s="123"/>
      <c r="LR53" s="123"/>
      <c r="LS53" s="123"/>
      <c r="LT53" s="123"/>
      <c r="LU53" s="123"/>
      <c r="LV53" s="123"/>
      <c r="LW53" s="123"/>
      <c r="LX53" s="123"/>
      <c r="LY53" s="123"/>
      <c r="LZ53" s="123"/>
      <c r="MA53" s="123"/>
      <c r="MB53" s="123"/>
      <c r="MC53" s="123"/>
      <c r="MD53" s="123"/>
      <c r="ME53" s="123"/>
      <c r="MF53" s="123"/>
      <c r="MG53" s="123"/>
      <c r="MH53" s="123"/>
      <c r="MI53" s="123"/>
      <c r="MJ53" s="123"/>
      <c r="MK53" s="123"/>
      <c r="ML53" s="123"/>
      <c r="MM53" s="123"/>
      <c r="MN53" s="123"/>
      <c r="MO53" s="123"/>
      <c r="MP53" s="123"/>
      <c r="MQ53" s="123"/>
      <c r="MR53" s="123"/>
      <c r="MS53" s="123"/>
      <c r="MT53" s="123"/>
      <c r="MU53" s="123"/>
      <c r="MV53" s="123"/>
      <c r="MW53" s="123"/>
      <c r="MX53" s="123"/>
      <c r="MY53" s="123"/>
      <c r="MZ53" s="123"/>
      <c r="NA53" s="123"/>
      <c r="NB53" s="123"/>
      <c r="NC53" s="123"/>
      <c r="ND53" s="123"/>
      <c r="NE53" s="123"/>
      <c r="NF53" s="123"/>
      <c r="NG53" s="123"/>
      <c r="NH53" s="123"/>
      <c r="NI53" s="123"/>
      <c r="NJ53" s="123"/>
      <c r="NK53" s="123"/>
      <c r="NM53">
        <f t="shared" si="156"/>
        <v>0</v>
      </c>
      <c r="NN53">
        <f t="shared" si="157"/>
        <v>1</v>
      </c>
      <c r="NO53">
        <f t="shared" si="158"/>
        <v>0</v>
      </c>
      <c r="NP53">
        <f t="shared" si="159"/>
        <v>0</v>
      </c>
      <c r="NQ53">
        <f t="shared" si="160"/>
        <v>0</v>
      </c>
      <c r="NR53">
        <f t="shared" si="161"/>
        <v>0</v>
      </c>
      <c r="NS53">
        <f t="shared" si="162"/>
        <v>0</v>
      </c>
      <c r="NT53">
        <f t="shared" si="163"/>
        <v>1</v>
      </c>
      <c r="NU53" s="29">
        <f t="shared" si="164"/>
        <v>0</v>
      </c>
      <c r="NY53" s="29">
        <f t="shared" ref="NY53:NY61" si="418">V53</f>
        <v>0</v>
      </c>
      <c r="NZ53" s="152"/>
      <c r="OE53" s="155">
        <f t="shared" si="109"/>
        <v>0</v>
      </c>
      <c r="OF53" s="155">
        <f t="shared" si="110"/>
        <v>0</v>
      </c>
      <c r="OG53" s="155">
        <f t="shared" si="111"/>
        <v>1</v>
      </c>
      <c r="OH53" s="155">
        <f t="shared" si="165"/>
        <v>0</v>
      </c>
      <c r="OI53" s="155">
        <f t="shared" si="112"/>
        <v>1</v>
      </c>
      <c r="OJ53" s="67">
        <f t="shared" si="166"/>
        <v>0</v>
      </c>
      <c r="OK53" s="67">
        <f t="shared" si="167"/>
        <v>0</v>
      </c>
      <c r="OL53" s="67">
        <f t="shared" si="168"/>
        <v>0</v>
      </c>
      <c r="OM53" s="67">
        <f t="shared" si="169"/>
        <v>0</v>
      </c>
      <c r="OO53" s="155">
        <f t="shared" si="113"/>
        <v>0</v>
      </c>
      <c r="OP53" s="155">
        <f t="shared" si="114"/>
        <v>0</v>
      </c>
      <c r="OQ53" s="155">
        <f t="shared" si="170"/>
        <v>1</v>
      </c>
      <c r="OR53" s="155">
        <f t="shared" si="171"/>
        <v>0</v>
      </c>
      <c r="OS53" s="155">
        <f t="shared" si="172"/>
        <v>1</v>
      </c>
      <c r="OT53" s="67">
        <f t="shared" si="173"/>
        <v>0</v>
      </c>
      <c r="OU53" s="67">
        <f t="shared" si="174"/>
        <v>0</v>
      </c>
      <c r="OV53" s="67">
        <f t="shared" si="175"/>
        <v>0</v>
      </c>
      <c r="OW53" s="67">
        <f t="shared" si="176"/>
        <v>0</v>
      </c>
      <c r="PA53" s="166"/>
      <c r="PB53" s="166">
        <v>1</v>
      </c>
      <c r="PC53" s="166">
        <v>1</v>
      </c>
      <c r="PD53" s="210">
        <f t="shared" si="115"/>
        <v>0</v>
      </c>
      <c r="PE53" s="210"/>
      <c r="PF53" s="210">
        <f t="shared" si="116"/>
        <v>0</v>
      </c>
      <c r="PG53" s="210">
        <f t="shared" si="194"/>
        <v>0</v>
      </c>
      <c r="PH53" s="210">
        <f t="shared" si="194"/>
        <v>73</v>
      </c>
      <c r="PI53" s="210">
        <f t="shared" si="194"/>
        <v>73</v>
      </c>
      <c r="PJ53" s="210">
        <f t="shared" si="194"/>
        <v>0</v>
      </c>
      <c r="PK53" s="210">
        <f t="shared" si="194"/>
        <v>0</v>
      </c>
      <c r="PL53" s="210">
        <f t="shared" si="194"/>
        <v>0</v>
      </c>
      <c r="PO53" s="172">
        <f t="shared" si="177"/>
        <v>0</v>
      </c>
      <c r="PP53" s="172">
        <f t="shared" si="178"/>
        <v>0</v>
      </c>
      <c r="PQ53" s="172">
        <f t="shared" si="179"/>
        <v>0</v>
      </c>
    </row>
    <row r="54" spans="1:433" ht="16" x14ac:dyDescent="0.2">
      <c r="A54" s="19">
        <f t="shared" si="180"/>
        <v>46</v>
      </c>
      <c r="B54" s="186" t="s">
        <v>288</v>
      </c>
      <c r="C54" s="186">
        <v>46</v>
      </c>
      <c r="D54" s="188">
        <v>1</v>
      </c>
      <c r="E54" s="188">
        <v>13</v>
      </c>
      <c r="F54" s="188">
        <v>1</v>
      </c>
      <c r="G54" s="20">
        <f>E54</f>
        <v>13</v>
      </c>
      <c r="H54" s="137">
        <f t="shared" si="3"/>
        <v>1</v>
      </c>
      <c r="I54" s="137">
        <f t="shared" si="4"/>
        <v>1</v>
      </c>
      <c r="J54" s="20">
        <v>1</v>
      </c>
      <c r="K54" s="20">
        <f t="shared" si="5"/>
        <v>13</v>
      </c>
      <c r="L54" s="137">
        <f t="shared" si="6"/>
        <v>1</v>
      </c>
      <c r="M54" s="137">
        <f t="shared" si="7"/>
        <v>1</v>
      </c>
      <c r="N54" s="20">
        <v>1</v>
      </c>
      <c r="O54" s="20">
        <f t="shared" si="8"/>
        <v>13</v>
      </c>
      <c r="P54" s="137">
        <f t="shared" si="9"/>
        <v>1</v>
      </c>
      <c r="Q54" s="137">
        <f t="shared" si="10"/>
        <v>1</v>
      </c>
      <c r="R54" s="20">
        <v>1</v>
      </c>
      <c r="S54" s="20">
        <f t="shared" si="11"/>
        <v>13</v>
      </c>
      <c r="T54" s="137">
        <f t="shared" si="12"/>
        <v>1</v>
      </c>
      <c r="U54" s="137">
        <f t="shared" si="13"/>
        <v>1</v>
      </c>
      <c r="V54" s="20">
        <v>1</v>
      </c>
      <c r="W54" s="20">
        <f t="shared" si="14"/>
        <v>13</v>
      </c>
      <c r="X54" s="137">
        <f t="shared" si="15"/>
        <v>1</v>
      </c>
      <c r="Y54" s="137">
        <f t="shared" si="16"/>
        <v>1</v>
      </c>
      <c r="Z54" s="40">
        <f>233837000/1000000000</f>
        <v>0.23383699999999999</v>
      </c>
      <c r="AA54" s="40"/>
      <c r="AB54" s="17">
        <f t="shared" si="118"/>
        <v>0</v>
      </c>
      <c r="AC54" s="18">
        <f t="shared" si="119"/>
        <v>0</v>
      </c>
      <c r="AD54" s="18">
        <f t="shared" si="120"/>
        <v>0</v>
      </c>
      <c r="AE54" s="40"/>
      <c r="AF54" s="20">
        <f t="shared" si="121"/>
        <v>0</v>
      </c>
      <c r="AG54" s="20"/>
      <c r="AH54" s="31"/>
      <c r="AI54" s="20">
        <v>0</v>
      </c>
      <c r="AJ54" s="20">
        <f t="shared" si="181"/>
        <v>0</v>
      </c>
      <c r="AK54" s="20"/>
      <c r="AL54" s="31"/>
      <c r="AM54" s="31">
        <v>0</v>
      </c>
      <c r="AN54" s="139"/>
      <c r="BB54" s="17">
        <f t="shared" si="123"/>
        <v>0</v>
      </c>
      <c r="BE54" s="17">
        <f t="shared" si="19"/>
        <v>0</v>
      </c>
      <c r="BF54" s="17">
        <f t="shared" si="20"/>
        <v>0</v>
      </c>
      <c r="BG54" s="17">
        <f t="shared" si="21"/>
        <v>0</v>
      </c>
      <c r="BH54" s="17">
        <f t="shared" si="22"/>
        <v>0</v>
      </c>
      <c r="BI54" s="17">
        <f t="shared" si="23"/>
        <v>0</v>
      </c>
      <c r="BJ54" s="17">
        <f t="shared" si="24"/>
        <v>0</v>
      </c>
      <c r="BK54" s="17">
        <f t="shared" si="124"/>
        <v>0</v>
      </c>
      <c r="BN54" s="141"/>
      <c r="BO54" s="284"/>
      <c r="BP54" s="139"/>
      <c r="BQ54" s="139"/>
      <c r="BR54" s="139"/>
      <c r="BS54" s="139"/>
      <c r="BT54" s="139"/>
      <c r="BU54" s="139"/>
      <c r="BV54" s="139"/>
      <c r="BW54" s="139"/>
      <c r="BX54" s="139"/>
      <c r="BY54" s="139"/>
      <c r="BZ54" s="139"/>
      <c r="CB54" s="139"/>
      <c r="CD54" s="17">
        <f t="shared" si="125"/>
        <v>0</v>
      </c>
      <c r="CE54" s="17">
        <f t="shared" si="126"/>
        <v>0</v>
      </c>
      <c r="CF54" s="139">
        <f t="shared" si="182"/>
        <v>0</v>
      </c>
      <c r="CG54" s="139">
        <f t="shared" si="183"/>
        <v>0</v>
      </c>
      <c r="CH54" s="139">
        <f t="shared" si="184"/>
        <v>0</v>
      </c>
      <c r="CI54" s="139">
        <f t="shared" si="185"/>
        <v>0</v>
      </c>
      <c r="CJ54" s="139">
        <f t="shared" si="186"/>
        <v>0</v>
      </c>
      <c r="CK54" s="139">
        <f t="shared" si="187"/>
        <v>0</v>
      </c>
      <c r="CL54" s="139">
        <f t="shared" si="188"/>
        <v>0</v>
      </c>
      <c r="CM54" s="139">
        <f t="shared" si="189"/>
        <v>0</v>
      </c>
      <c r="CN54" s="139">
        <f t="shared" si="190"/>
        <v>0</v>
      </c>
      <c r="CO54" s="139">
        <f t="shared" si="191"/>
        <v>0</v>
      </c>
      <c r="CP54" s="139">
        <f t="shared" si="192"/>
        <v>0</v>
      </c>
      <c r="CQ54" s="148">
        <f t="shared" si="27"/>
        <v>0</v>
      </c>
      <c r="DV54" s="139">
        <f t="shared" si="28"/>
        <v>0</v>
      </c>
      <c r="DW54" s="139">
        <f t="shared" si="29"/>
        <v>0</v>
      </c>
      <c r="DX54" s="139">
        <f t="shared" si="30"/>
        <v>0</v>
      </c>
      <c r="DY54" s="139">
        <f t="shared" si="31"/>
        <v>0</v>
      </c>
      <c r="DZ54" s="139">
        <f t="shared" si="32"/>
        <v>0</v>
      </c>
      <c r="EA54" s="139">
        <f t="shared" si="33"/>
        <v>0</v>
      </c>
      <c r="EB54" s="139">
        <f t="shared" si="127"/>
        <v>0</v>
      </c>
      <c r="EG54" s="57">
        <f t="shared" si="128"/>
        <v>0</v>
      </c>
      <c r="EH54" s="57">
        <f t="shared" si="129"/>
        <v>0</v>
      </c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X54" s="80"/>
      <c r="FY54" s="17">
        <f t="shared" si="130"/>
        <v>0</v>
      </c>
      <c r="FZ54" s="17">
        <f t="shared" si="360"/>
        <v>0</v>
      </c>
      <c r="GA54" s="17">
        <f t="shared" si="361"/>
        <v>0</v>
      </c>
      <c r="GB54" s="17">
        <f t="shared" si="362"/>
        <v>0</v>
      </c>
      <c r="GC54" s="17">
        <f t="shared" si="363"/>
        <v>0</v>
      </c>
      <c r="GD54" s="17">
        <f t="shared" si="364"/>
        <v>0</v>
      </c>
      <c r="GE54" s="17">
        <f t="shared" si="365"/>
        <v>0</v>
      </c>
      <c r="GF54" s="67"/>
      <c r="GG54" s="17">
        <v>0</v>
      </c>
      <c r="GH54" s="17">
        <v>0</v>
      </c>
      <c r="GI54" s="67"/>
      <c r="GJ54" s="62">
        <f t="shared" si="131"/>
        <v>0</v>
      </c>
      <c r="GK54" s="62">
        <f t="shared" si="132"/>
        <v>0</v>
      </c>
      <c r="GO54" s="17">
        <f t="shared" si="366"/>
        <v>0</v>
      </c>
      <c r="GP54" s="17">
        <f t="shared" si="367"/>
        <v>0</v>
      </c>
      <c r="GQ54" s="17">
        <f t="shared" si="368"/>
        <v>0</v>
      </c>
      <c r="GR54" s="17">
        <f t="shared" si="369"/>
        <v>0</v>
      </c>
      <c r="GS54" s="17">
        <f t="shared" si="370"/>
        <v>0</v>
      </c>
      <c r="GT54" s="17">
        <f t="shared" si="133"/>
        <v>1</v>
      </c>
      <c r="GU54" s="101">
        <f t="shared" si="134"/>
        <v>43243</v>
      </c>
      <c r="GV54" s="17" t="str">
        <f t="shared" si="135"/>
        <v>SELESAI</v>
      </c>
      <c r="GW54" s="17">
        <f t="shared" si="136"/>
        <v>0</v>
      </c>
      <c r="GX54" s="66" t="str">
        <f t="shared" si="137"/>
        <v>SELESAI</v>
      </c>
      <c r="GY54" s="66">
        <f t="shared" si="138"/>
        <v>0</v>
      </c>
      <c r="GZ54" s="102" t="str">
        <f t="shared" si="139"/>
        <v>SELESAI</v>
      </c>
      <c r="HA54" s="83"/>
      <c r="HB54" s="83"/>
      <c r="HC54" s="17">
        <f t="shared" si="371"/>
        <v>0</v>
      </c>
      <c r="HD54" s="17">
        <f t="shared" si="372"/>
        <v>0</v>
      </c>
      <c r="HE54" s="17">
        <f t="shared" si="140"/>
        <v>0</v>
      </c>
      <c r="HF54" s="17">
        <f t="shared" si="141"/>
        <v>0</v>
      </c>
      <c r="HG54" s="17">
        <f t="shared" si="142"/>
        <v>0</v>
      </c>
      <c r="HH54" s="101" t="str">
        <f t="shared" si="48"/>
        <v>TIDAK KONSINYASI</v>
      </c>
      <c r="HI54" s="101" t="str">
        <f t="shared" si="143"/>
        <v>SELESAI</v>
      </c>
      <c r="HJ54" s="27"/>
      <c r="HK54" s="101">
        <f t="shared" si="49"/>
        <v>0</v>
      </c>
      <c r="HL54" s="83"/>
      <c r="HM54" s="83"/>
      <c r="HN54" s="83"/>
      <c r="HO54" s="83"/>
      <c r="HP54" s="102">
        <f t="shared" si="144"/>
        <v>0</v>
      </c>
      <c r="HQ54" s="66">
        <f t="shared" si="145"/>
        <v>0</v>
      </c>
      <c r="HR54" s="66">
        <f t="shared" si="373"/>
        <v>0</v>
      </c>
      <c r="HS54" s="102">
        <f t="shared" si="146"/>
        <v>0</v>
      </c>
      <c r="HT54" s="66">
        <f t="shared" si="147"/>
        <v>0</v>
      </c>
      <c r="HU54" s="66">
        <f t="shared" si="374"/>
        <v>0</v>
      </c>
      <c r="HV54" s="102">
        <f t="shared" si="148"/>
        <v>0</v>
      </c>
      <c r="HW54" s="66">
        <f t="shared" si="52"/>
        <v>0</v>
      </c>
      <c r="HX54" s="66">
        <f t="shared" si="375"/>
        <v>0</v>
      </c>
      <c r="HY54" s="102">
        <f t="shared" si="54"/>
        <v>0</v>
      </c>
      <c r="HZ54" s="66">
        <f t="shared" si="149"/>
        <v>0</v>
      </c>
      <c r="IA54" s="66">
        <f t="shared" si="376"/>
        <v>0</v>
      </c>
      <c r="IB54" s="102">
        <f t="shared" si="150"/>
        <v>0</v>
      </c>
      <c r="IC54" s="66">
        <f t="shared" si="56"/>
        <v>0</v>
      </c>
      <c r="ID54" s="66">
        <f t="shared" si="377"/>
        <v>0</v>
      </c>
      <c r="IE54" s="102">
        <f t="shared" si="58"/>
        <v>0</v>
      </c>
      <c r="IF54" s="66">
        <f t="shared" si="59"/>
        <v>0</v>
      </c>
      <c r="IG54" s="66">
        <f t="shared" si="378"/>
        <v>0</v>
      </c>
      <c r="IH54" s="102">
        <f t="shared" si="151"/>
        <v>0</v>
      </c>
      <c r="II54" s="66">
        <f t="shared" si="152"/>
        <v>0</v>
      </c>
      <c r="IJ54" s="66">
        <f t="shared" si="379"/>
        <v>0</v>
      </c>
      <c r="IK54" s="102">
        <f t="shared" si="62"/>
        <v>0</v>
      </c>
      <c r="IL54" s="66">
        <f t="shared" si="63"/>
        <v>0</v>
      </c>
      <c r="IM54" s="66">
        <f t="shared" si="380"/>
        <v>0</v>
      </c>
      <c r="IN54" s="83"/>
      <c r="IO54" s="102">
        <f t="shared" si="65"/>
        <v>0</v>
      </c>
      <c r="IP54" s="66">
        <f t="shared" si="381"/>
        <v>0</v>
      </c>
      <c r="IQ54" s="66">
        <f t="shared" si="382"/>
        <v>0</v>
      </c>
      <c r="IR54" s="83"/>
      <c r="IS54" s="102"/>
      <c r="IT54" s="66">
        <f t="shared" si="383"/>
        <v>1</v>
      </c>
      <c r="IU54" s="66">
        <f t="shared" si="384"/>
        <v>13</v>
      </c>
      <c r="IV54" s="83"/>
      <c r="IW54" s="102"/>
      <c r="IX54" s="66">
        <f t="shared" si="385"/>
        <v>0</v>
      </c>
      <c r="IY54" s="66">
        <f t="shared" si="386"/>
        <v>0</v>
      </c>
      <c r="IZ54" s="83"/>
      <c r="JA54" s="102"/>
      <c r="JB54" s="66">
        <f t="shared" si="387"/>
        <v>0</v>
      </c>
      <c r="JC54" s="66">
        <f t="shared" si="388"/>
        <v>0</v>
      </c>
      <c r="JD54" s="83"/>
      <c r="JE54" s="102"/>
      <c r="JF54" s="66">
        <f t="shared" si="153"/>
        <v>1</v>
      </c>
      <c r="JG54" s="66">
        <f t="shared" si="74"/>
        <v>13</v>
      </c>
      <c r="JH54" s="83"/>
      <c r="JI54" s="102"/>
      <c r="JJ54" s="66">
        <f t="shared" si="389"/>
        <v>0</v>
      </c>
      <c r="JK54" s="66">
        <f t="shared" si="390"/>
        <v>0</v>
      </c>
      <c r="JM54" s="102">
        <f t="shared" si="154"/>
        <v>0</v>
      </c>
      <c r="JO54" s="29">
        <f t="shared" si="77"/>
        <v>0</v>
      </c>
      <c r="JP54" s="122">
        <f t="shared" si="391"/>
        <v>0</v>
      </c>
      <c r="JQ54" s="122">
        <f t="shared" si="392"/>
        <v>0</v>
      </c>
      <c r="JR54" s="122">
        <f t="shared" si="393"/>
        <v>0</v>
      </c>
      <c r="JS54" s="122">
        <f t="shared" si="394"/>
        <v>0</v>
      </c>
      <c r="JT54" s="122">
        <f t="shared" si="395"/>
        <v>0</v>
      </c>
      <c r="JU54" s="122">
        <f t="shared" si="396"/>
        <v>0</v>
      </c>
      <c r="JV54" s="122">
        <f t="shared" si="397"/>
        <v>0</v>
      </c>
      <c r="JW54" s="122">
        <f t="shared" si="398"/>
        <v>0</v>
      </c>
      <c r="JX54" s="122">
        <f t="shared" si="399"/>
        <v>0</v>
      </c>
      <c r="JY54" s="122">
        <f t="shared" si="400"/>
        <v>0</v>
      </c>
      <c r="JZ54" s="122">
        <f t="shared" si="401"/>
        <v>0</v>
      </c>
      <c r="KA54" s="122">
        <f t="shared" si="402"/>
        <v>0</v>
      </c>
      <c r="KB54" s="122">
        <f t="shared" si="403"/>
        <v>0</v>
      </c>
      <c r="KD54" s="122">
        <f t="shared" si="155"/>
        <v>0</v>
      </c>
      <c r="KE54" s="122">
        <f t="shared" si="92"/>
        <v>0</v>
      </c>
      <c r="KF54" s="122">
        <f t="shared" si="404"/>
        <v>0</v>
      </c>
      <c r="KG54" s="122">
        <f t="shared" si="405"/>
        <v>0</v>
      </c>
      <c r="KH54" s="122">
        <f t="shared" si="406"/>
        <v>0</v>
      </c>
      <c r="KI54" s="122">
        <f t="shared" si="407"/>
        <v>0</v>
      </c>
      <c r="KJ54" s="122">
        <f t="shared" si="408"/>
        <v>0</v>
      </c>
      <c r="KK54" s="122">
        <f t="shared" si="409"/>
        <v>0</v>
      </c>
      <c r="KL54" s="122">
        <f t="shared" si="410"/>
        <v>0</v>
      </c>
      <c r="KM54" s="122">
        <f t="shared" si="411"/>
        <v>0</v>
      </c>
      <c r="KN54" s="123">
        <f t="shared" si="412"/>
        <v>0</v>
      </c>
      <c r="KO54" s="123">
        <f t="shared" si="413"/>
        <v>0</v>
      </c>
      <c r="KP54" s="123">
        <f t="shared" si="414"/>
        <v>0</v>
      </c>
      <c r="KQ54" s="123">
        <f t="shared" si="415"/>
        <v>0</v>
      </c>
      <c r="KR54" s="123">
        <f t="shared" si="416"/>
        <v>0</v>
      </c>
      <c r="KT54">
        <f t="shared" si="417"/>
        <v>0</v>
      </c>
      <c r="KU54" s="123"/>
      <c r="KV54" s="123"/>
      <c r="KW54" s="123"/>
      <c r="KX54" s="123"/>
      <c r="KY54" s="123"/>
      <c r="KZ54" s="123"/>
      <c r="LA54" s="123"/>
      <c r="LB54" s="123"/>
      <c r="LC54" s="123"/>
      <c r="LD54" s="123"/>
      <c r="LE54" s="123"/>
      <c r="LF54" s="123"/>
      <c r="LG54" s="123"/>
      <c r="LH54" s="123"/>
      <c r="LI54" s="123"/>
      <c r="LJ54" s="123"/>
      <c r="LK54" s="123"/>
      <c r="LL54" s="123"/>
      <c r="LM54" s="123"/>
      <c r="LN54" s="123"/>
      <c r="LO54" s="123"/>
      <c r="LP54" s="123"/>
      <c r="LQ54" s="123"/>
      <c r="LR54" s="123"/>
      <c r="LS54" s="123"/>
      <c r="LT54" s="123"/>
      <c r="LU54" s="123"/>
      <c r="LV54" s="123"/>
      <c r="LW54" s="123"/>
      <c r="LX54" s="123"/>
      <c r="LY54" s="123"/>
      <c r="LZ54" s="123"/>
      <c r="MA54" s="123"/>
      <c r="MB54" s="123"/>
      <c r="MC54" s="123"/>
      <c r="MD54" s="123"/>
      <c r="ME54" s="123"/>
      <c r="MF54" s="123"/>
      <c r="MG54" s="123"/>
      <c r="MH54" s="123"/>
      <c r="MI54" s="123"/>
      <c r="MJ54" s="123"/>
      <c r="MK54" s="123"/>
      <c r="ML54" s="123"/>
      <c r="MM54" s="123"/>
      <c r="MN54" s="123"/>
      <c r="MO54" s="123"/>
      <c r="MP54" s="123"/>
      <c r="MQ54" s="123"/>
      <c r="MR54" s="123"/>
      <c r="MS54" s="123"/>
      <c r="MT54" s="123"/>
      <c r="MU54" s="123"/>
      <c r="MV54" s="123"/>
      <c r="MW54" s="123"/>
      <c r="MX54" s="123"/>
      <c r="MY54" s="123"/>
      <c r="MZ54" s="123"/>
      <c r="NA54" s="123"/>
      <c r="NB54" s="123"/>
      <c r="NC54" s="123"/>
      <c r="ND54" s="123"/>
      <c r="NE54" s="123"/>
      <c r="NF54" s="123"/>
      <c r="NG54" s="123"/>
      <c r="NH54" s="123"/>
      <c r="NI54" s="123"/>
      <c r="NJ54" s="123"/>
      <c r="NK54" s="123"/>
      <c r="NM54">
        <f t="shared" si="156"/>
        <v>0</v>
      </c>
      <c r="NN54">
        <f t="shared" si="157"/>
        <v>0</v>
      </c>
      <c r="NO54">
        <f t="shared" si="158"/>
        <v>0</v>
      </c>
      <c r="NP54">
        <f t="shared" si="159"/>
        <v>0</v>
      </c>
      <c r="NQ54">
        <f t="shared" si="160"/>
        <v>0</v>
      </c>
      <c r="NR54">
        <f t="shared" si="161"/>
        <v>0</v>
      </c>
      <c r="NS54">
        <f t="shared" si="162"/>
        <v>0</v>
      </c>
      <c r="NT54">
        <f t="shared" si="163"/>
        <v>0</v>
      </c>
      <c r="NU54" s="29">
        <f t="shared" si="164"/>
        <v>0</v>
      </c>
      <c r="NY54" s="29">
        <f t="shared" si="418"/>
        <v>1</v>
      </c>
      <c r="NZ54" s="152">
        <v>7835100</v>
      </c>
      <c r="OE54" s="155">
        <f t="shared" si="109"/>
        <v>0</v>
      </c>
      <c r="OF54" s="155">
        <f t="shared" si="110"/>
        <v>0</v>
      </c>
      <c r="OG54" s="155">
        <f t="shared" si="111"/>
        <v>0</v>
      </c>
      <c r="OH54" s="155">
        <f t="shared" si="165"/>
        <v>0</v>
      </c>
      <c r="OI54" s="155">
        <f t="shared" si="112"/>
        <v>0</v>
      </c>
      <c r="OJ54" s="67">
        <f t="shared" si="166"/>
        <v>0</v>
      </c>
      <c r="OK54" s="67">
        <f t="shared" si="167"/>
        <v>0</v>
      </c>
      <c r="OL54" s="67">
        <f t="shared" si="168"/>
        <v>0</v>
      </c>
      <c r="OM54" s="67">
        <f t="shared" si="169"/>
        <v>0</v>
      </c>
      <c r="OO54" s="155">
        <f t="shared" si="113"/>
        <v>0</v>
      </c>
      <c r="OP54" s="155">
        <f t="shared" si="114"/>
        <v>0</v>
      </c>
      <c r="OQ54" s="155">
        <f t="shared" si="170"/>
        <v>0</v>
      </c>
      <c r="OR54" s="155">
        <f t="shared" si="171"/>
        <v>0</v>
      </c>
      <c r="OS54" s="155">
        <f t="shared" si="172"/>
        <v>0</v>
      </c>
      <c r="OT54" s="67">
        <f t="shared" si="173"/>
        <v>0</v>
      </c>
      <c r="OU54" s="67">
        <f t="shared" si="174"/>
        <v>0</v>
      </c>
      <c r="OV54" s="67">
        <f t="shared" si="175"/>
        <v>0</v>
      </c>
      <c r="OW54" s="67">
        <f t="shared" si="176"/>
        <v>0</v>
      </c>
      <c r="PA54" s="166"/>
      <c r="PB54" s="166"/>
      <c r="PC54" s="166"/>
      <c r="PD54" s="210">
        <f t="shared" si="115"/>
        <v>0</v>
      </c>
      <c r="PE54" s="210"/>
      <c r="PF54" s="210">
        <f t="shared" si="116"/>
        <v>0</v>
      </c>
      <c r="PG54" s="210">
        <f t="shared" si="194"/>
        <v>0</v>
      </c>
      <c r="PH54" s="210">
        <f t="shared" si="194"/>
        <v>0</v>
      </c>
      <c r="PI54" s="210">
        <f t="shared" si="194"/>
        <v>0</v>
      </c>
      <c r="PJ54" s="210">
        <f t="shared" si="194"/>
        <v>0</v>
      </c>
      <c r="PK54" s="210">
        <f t="shared" si="194"/>
        <v>0</v>
      </c>
      <c r="PL54" s="210">
        <f t="shared" si="194"/>
        <v>0</v>
      </c>
      <c r="PO54" s="172">
        <f t="shared" si="177"/>
        <v>0</v>
      </c>
      <c r="PP54" s="172">
        <f t="shared" si="178"/>
        <v>0</v>
      </c>
      <c r="PQ54" s="172">
        <f t="shared" si="179"/>
        <v>0</v>
      </c>
    </row>
    <row r="55" spans="1:433" ht="16" x14ac:dyDescent="0.2">
      <c r="A55" s="19">
        <f t="shared" si="180"/>
        <v>47</v>
      </c>
      <c r="B55" s="186" t="s">
        <v>289</v>
      </c>
      <c r="C55" s="186">
        <v>47</v>
      </c>
      <c r="D55" s="188">
        <v>1</v>
      </c>
      <c r="E55" s="188">
        <v>66</v>
      </c>
      <c r="F55" s="188">
        <v>1</v>
      </c>
      <c r="G55" s="20">
        <f>E55</f>
        <v>66</v>
      </c>
      <c r="H55" s="137">
        <f>F55/$D55</f>
        <v>1</v>
      </c>
      <c r="I55" s="137">
        <f>G55/$E55</f>
        <v>1</v>
      </c>
      <c r="J55" s="20">
        <v>1</v>
      </c>
      <c r="K55" s="20">
        <f t="shared" ref="K55" si="419">IF(J55=D55,E55,0)</f>
        <v>66</v>
      </c>
      <c r="L55" s="137">
        <f>J55/$D55</f>
        <v>1</v>
      </c>
      <c r="M55" s="137">
        <f>K55/$E55</f>
        <v>1</v>
      </c>
      <c r="N55" s="20">
        <v>1</v>
      </c>
      <c r="O55" s="20">
        <f t="shared" ref="O55" si="420">IF(N55=D55,E55,0)</f>
        <v>66</v>
      </c>
      <c r="P55" s="137">
        <f>N55/$D55</f>
        <v>1</v>
      </c>
      <c r="Q55" s="137">
        <f>O55/$E55</f>
        <v>1</v>
      </c>
      <c r="R55" s="20">
        <v>1</v>
      </c>
      <c r="S55" s="20">
        <f t="shared" ref="S55" si="421">IF(R55=D55,E55,0)</f>
        <v>66</v>
      </c>
      <c r="T55" s="137">
        <f>R55/$D55</f>
        <v>1</v>
      </c>
      <c r="U55" s="137">
        <f>S55/$E55</f>
        <v>1</v>
      </c>
      <c r="V55" s="20">
        <v>1</v>
      </c>
      <c r="W55" s="20">
        <f t="shared" ref="W55" si="422">IF(V55=D55,E55,0)</f>
        <v>66</v>
      </c>
      <c r="X55" s="137">
        <f>V55/$D55</f>
        <v>1</v>
      </c>
      <c r="Y55" s="137">
        <f>W55/$E55</f>
        <v>1</v>
      </c>
      <c r="Z55" s="43">
        <f>726337000/1000000000</f>
        <v>0.72633700000000001</v>
      </c>
      <c r="AA55" s="65"/>
      <c r="AB55" s="17">
        <f>IF(AA55=D55,E55,0)</f>
        <v>0</v>
      </c>
      <c r="AC55" s="18">
        <f>AA55/$D55</f>
        <v>0</v>
      </c>
      <c r="AD55" s="18">
        <f>AB55/$E55</f>
        <v>0</v>
      </c>
      <c r="AE55" s="65"/>
      <c r="AF55" s="20">
        <f t="shared" si="121"/>
        <v>0</v>
      </c>
      <c r="AG55" s="20"/>
      <c r="AH55" s="17"/>
      <c r="AI55" s="20">
        <v>0</v>
      </c>
      <c r="AJ55" s="20">
        <f t="shared" ref="AJ55" si="423">IF(AI55=D55,E55,0)</f>
        <v>0</v>
      </c>
      <c r="AK55" s="20"/>
      <c r="AL55" s="31"/>
      <c r="AM55" s="31">
        <v>0</v>
      </c>
      <c r="AN55" s="139"/>
      <c r="BB55" s="17">
        <f t="shared" si="123"/>
        <v>0</v>
      </c>
      <c r="BE55" s="17">
        <f>IF(AF55=1,S55,0)</f>
        <v>0</v>
      </c>
      <c r="BF55" s="17">
        <f>IF(AG55="A",S55,0)</f>
        <v>0</v>
      </c>
      <c r="BG55" s="17">
        <f>IF(AG55="B",S55,0)</f>
        <v>0</v>
      </c>
      <c r="BH55" s="17">
        <f>IF(AG55="C",S55,0)</f>
        <v>0</v>
      </c>
      <c r="BI55" s="17">
        <f>IF(AG55="D",S55,0)</f>
        <v>0</v>
      </c>
      <c r="BJ55" s="17">
        <f>IF(AG55="E",S55,0)</f>
        <v>0</v>
      </c>
      <c r="BK55" s="17">
        <f>SUM(BF55:BJ55)</f>
        <v>0</v>
      </c>
      <c r="BN55" s="142">
        <v>20</v>
      </c>
      <c r="BO55">
        <v>1</v>
      </c>
      <c r="BP55" s="139"/>
      <c r="BQ55" s="139"/>
      <c r="BR55" s="139"/>
      <c r="BS55" s="139"/>
      <c r="BT55" s="139"/>
      <c r="BU55" s="139"/>
      <c r="BV55" s="139"/>
      <c r="BW55" s="139"/>
      <c r="BX55" s="139"/>
      <c r="BY55" s="139"/>
      <c r="BZ55" s="139"/>
      <c r="CB55" s="139"/>
      <c r="CD55" s="17">
        <f>BN55</f>
        <v>20</v>
      </c>
      <c r="CE55" s="17">
        <f t="shared" ref="CE55:CP55" si="424">IF(BO55=1,$CD55,0)</f>
        <v>20</v>
      </c>
      <c r="CF55" s="139">
        <f t="shared" si="424"/>
        <v>0</v>
      </c>
      <c r="CG55" s="139">
        <f t="shared" si="424"/>
        <v>0</v>
      </c>
      <c r="CH55" s="139">
        <f t="shared" si="424"/>
        <v>0</v>
      </c>
      <c r="CI55" s="139">
        <f t="shared" si="424"/>
        <v>0</v>
      </c>
      <c r="CJ55" s="139">
        <f t="shared" si="424"/>
        <v>0</v>
      </c>
      <c r="CK55" s="139">
        <f t="shared" si="424"/>
        <v>0</v>
      </c>
      <c r="CL55" s="139">
        <f t="shared" si="424"/>
        <v>0</v>
      </c>
      <c r="CM55" s="139">
        <f t="shared" si="424"/>
        <v>0</v>
      </c>
      <c r="CN55" s="139">
        <f t="shared" si="424"/>
        <v>0</v>
      </c>
      <c r="CO55" s="139">
        <f t="shared" si="424"/>
        <v>0</v>
      </c>
      <c r="CP55" s="139">
        <f t="shared" si="424"/>
        <v>0</v>
      </c>
      <c r="CQ55" s="148">
        <f>SUM(CE55:CP55)-CD55</f>
        <v>0</v>
      </c>
      <c r="DV55" s="139">
        <f>IF(CB55=1,G55,0)</f>
        <v>0</v>
      </c>
      <c r="DW55" s="139">
        <f>IF(CC55="A",G55,0)</f>
        <v>0</v>
      </c>
      <c r="DX55" s="139">
        <f>IF(CC55="B",G55,0)</f>
        <v>0</v>
      </c>
      <c r="DY55" s="139">
        <f>IF(CC55="C",G55,0)</f>
        <v>0</v>
      </c>
      <c r="DZ55" s="139">
        <f>IF(CC55="D",G55,0)</f>
        <v>0</v>
      </c>
      <c r="EA55" s="139">
        <f>IF(CC55="E",G55,0)</f>
        <v>0</v>
      </c>
      <c r="EB55" s="139">
        <f>SUM(DW55:EA55)</f>
        <v>0</v>
      </c>
      <c r="EG55" s="57">
        <f>IF(AG55="C","C",IF(AG55="D","D",0))</f>
        <v>0</v>
      </c>
      <c r="EH55" s="57">
        <f>CC55</f>
        <v>0</v>
      </c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X55" s="80">
        <v>1</v>
      </c>
      <c r="FY55" s="17">
        <f>SUM(FZ55:GE55)</f>
        <v>20</v>
      </c>
      <c r="FZ55" s="17">
        <f t="shared" si="360"/>
        <v>20</v>
      </c>
      <c r="GA55" s="17">
        <f t="shared" si="361"/>
        <v>0</v>
      </c>
      <c r="GB55" s="17">
        <f t="shared" si="362"/>
        <v>0</v>
      </c>
      <c r="GC55" s="17">
        <f t="shared" si="363"/>
        <v>0</v>
      </c>
      <c r="GD55" s="17">
        <f t="shared" si="364"/>
        <v>0</v>
      </c>
      <c r="GE55" s="17">
        <f t="shared" si="365"/>
        <v>0</v>
      </c>
      <c r="GF55" s="67"/>
      <c r="GG55" s="17">
        <v>0</v>
      </c>
      <c r="GH55" s="17">
        <v>0</v>
      </c>
      <c r="GI55" s="67"/>
      <c r="GJ55" s="62">
        <f>FY55*GG55/1000000000</f>
        <v>0</v>
      </c>
      <c r="GK55" s="62">
        <f>FY55*GH55/1000000000</f>
        <v>0</v>
      </c>
      <c r="GO55" s="17">
        <f t="shared" si="366"/>
        <v>0</v>
      </c>
      <c r="GP55" s="17">
        <f t="shared" si="367"/>
        <v>0</v>
      </c>
      <c r="GQ55" s="17">
        <f t="shared" si="368"/>
        <v>0</v>
      </c>
      <c r="GR55" s="17">
        <f t="shared" si="369"/>
        <v>0</v>
      </c>
      <c r="GS55" s="17">
        <f t="shared" si="370"/>
        <v>0</v>
      </c>
      <c r="GT55" s="17">
        <f>IF(SUM(GO55:GS55)=0,1,0)</f>
        <v>1</v>
      </c>
      <c r="GU55" s="101">
        <f t="shared" si="134"/>
        <v>43243</v>
      </c>
      <c r="GV55" s="17" t="str">
        <f>IF(GO55&gt;0,$GO$6,IF(GP55&gt;0,$GP$6,IF(GQ55&gt;0,$GQ$6,IF(GR55&gt;0,$GR$6,IF(GS55&gt;0,$GS$6,IF(GT55&gt;0,$GT$6,0))))))</f>
        <v>SELESAI</v>
      </c>
      <c r="GW55" s="17">
        <f>IF(GV55=$GO$6,GO55,IF(GV55=$GP$6,GP55,IF(GV55=$GQ$6,GQ55,IF(GV55=$GR$6,GR55,IF(GV55=$GS$6,GS55,0)))))</f>
        <v>0</v>
      </c>
      <c r="GX55" s="66" t="str">
        <f>GV55</f>
        <v>SELESAI</v>
      </c>
      <c r="GY55" s="66">
        <f>IF(GX55="DNP",SUM($GY$4:$GY$8),IF(GX55="Survey KJPP",SUM($GY$5:$GY$8),IF(GX55="Hasil Valuasi",SUM($GY$6:$GY$8),IF(GX55="Musyawarah",SUM($GY$7:$GY$8),IF(GX55="UGR",$GY$8,0)))))</f>
        <v>0</v>
      </c>
      <c r="GZ55" s="102" t="str">
        <f>IF(GW55=0,"SELESAI",GU55+GY55)</f>
        <v>SELESAI</v>
      </c>
      <c r="HA55" s="83"/>
      <c r="HB55" s="83"/>
      <c r="HC55" s="17">
        <f t="shared" si="371"/>
        <v>0</v>
      </c>
      <c r="HD55" s="17">
        <f t="shared" si="372"/>
        <v>0</v>
      </c>
      <c r="HE55" s="17">
        <f>HC55+HD55</f>
        <v>0</v>
      </c>
      <c r="HF55" s="17">
        <f>FQ55</f>
        <v>0</v>
      </c>
      <c r="HG55" s="17">
        <f>HE55-HF55</f>
        <v>0</v>
      </c>
      <c r="HH55" s="101" t="str">
        <f>IF(HG55=1,GU55+$HH$8,"TIDAK KONSINYASI")</f>
        <v>TIDAK KONSINYASI</v>
      </c>
      <c r="HI55" s="101" t="str">
        <f>IF(GW55=0,"SELESAI",GZ55+$HI$8)</f>
        <v>SELESAI</v>
      </c>
      <c r="HJ55" s="27"/>
      <c r="HK55" s="101">
        <f>MAX(GZ55,HH55,HI55)</f>
        <v>0</v>
      </c>
      <c r="HL55" s="83"/>
      <c r="HM55" s="83"/>
      <c r="HN55" s="83"/>
      <c r="HO55" s="83"/>
      <c r="HP55" s="102">
        <f>IF(HQ55=1,GZ55,0)</f>
        <v>0</v>
      </c>
      <c r="HQ55" s="66">
        <f>IF(IX55=0,IF(HT55=0,IF(IP55=0,IF(GV55="UGR",GS55,0),0),0),0)</f>
        <v>0</v>
      </c>
      <c r="HR55" s="66">
        <f t="shared" si="373"/>
        <v>0</v>
      </c>
      <c r="HS55" s="102">
        <f>IF(HT55=1,HH55,0)</f>
        <v>0</v>
      </c>
      <c r="HT55" s="66">
        <f>HG55</f>
        <v>0</v>
      </c>
      <c r="HU55" s="66">
        <f t="shared" si="374"/>
        <v>0</v>
      </c>
      <c r="HV55" s="102">
        <f>IF(HW55=1,GZ55,0)</f>
        <v>0</v>
      </c>
      <c r="HW55" s="66">
        <f>IF(JB55=0,IF(IX55=0,IF(HT55=0,IF(GV55="MUSYAWARAH",GR55,0),0),0),0)</f>
        <v>0</v>
      </c>
      <c r="HX55" s="66">
        <f t="shared" si="375"/>
        <v>0</v>
      </c>
      <c r="HY55" s="102">
        <f>IF(HZ55=1,HV55+$HI$8,0)</f>
        <v>0</v>
      </c>
      <c r="HZ55" s="66">
        <f>HW55</f>
        <v>0</v>
      </c>
      <c r="IA55" s="66">
        <f t="shared" si="376"/>
        <v>0</v>
      </c>
      <c r="IB55" s="102">
        <f>IF(IC55=1,$GU$3+SUM($GY$6:$GY$8),0)</f>
        <v>0</v>
      </c>
      <c r="IC55" s="66">
        <f>IF(GV55="Hasil Valuasi",GQ55,0)</f>
        <v>0</v>
      </c>
      <c r="ID55" s="66">
        <f t="shared" si="377"/>
        <v>0</v>
      </c>
      <c r="IE55" s="102">
        <f>IF(IF55=1,IB55+$HI$8,0)</f>
        <v>0</v>
      </c>
      <c r="IF55" s="66">
        <f>IC55</f>
        <v>0</v>
      </c>
      <c r="IG55" s="66">
        <f t="shared" si="378"/>
        <v>0</v>
      </c>
      <c r="IH55" s="102">
        <f>IF(II55=1,$GU$3+SUM($GY$5:$GY$8),0)</f>
        <v>0</v>
      </c>
      <c r="II55" s="66">
        <f>IF(GV55="Survey KJPP",GP55,0)</f>
        <v>0</v>
      </c>
      <c r="IJ55" s="66">
        <f t="shared" si="379"/>
        <v>0</v>
      </c>
      <c r="IK55" s="102">
        <f>IF(IL55=1,IH55+$HI$8,0)</f>
        <v>0</v>
      </c>
      <c r="IL55" s="66">
        <f>II55</f>
        <v>0</v>
      </c>
      <c r="IM55" s="66">
        <f t="shared" si="380"/>
        <v>0</v>
      </c>
      <c r="IN55" s="83"/>
      <c r="IO55" s="102">
        <f>IF(IP55=1,+$GU$3+$HH$8,0)</f>
        <v>0</v>
      </c>
      <c r="IP55" s="66">
        <f t="shared" si="381"/>
        <v>0</v>
      </c>
      <c r="IQ55" s="66">
        <f t="shared" si="382"/>
        <v>0</v>
      </c>
      <c r="IR55" s="83"/>
      <c r="IS55" s="102"/>
      <c r="IT55" s="66">
        <f t="shared" si="383"/>
        <v>1</v>
      </c>
      <c r="IU55" s="66">
        <f t="shared" si="384"/>
        <v>66</v>
      </c>
      <c r="IV55" s="83"/>
      <c r="IW55" s="102"/>
      <c r="IX55" s="66">
        <f t="shared" si="385"/>
        <v>0</v>
      </c>
      <c r="IY55" s="66">
        <f t="shared" si="386"/>
        <v>0</v>
      </c>
      <c r="IZ55" s="83"/>
      <c r="JA55" s="102"/>
      <c r="JB55" s="66">
        <f t="shared" si="387"/>
        <v>0</v>
      </c>
      <c r="JC55" s="66">
        <f t="shared" si="388"/>
        <v>0</v>
      </c>
      <c r="JD55" s="83"/>
      <c r="JE55" s="102"/>
      <c r="JF55" s="66">
        <f>IT55+HQ55+HT55+HZ55+IF55+IL55+IP55+IX55+JB55</f>
        <v>1</v>
      </c>
      <c r="JG55" s="66">
        <f>IU55+HR55+HU55+IA55+IG55+IM55+IQ55+IY55+JC55</f>
        <v>66</v>
      </c>
      <c r="JH55" s="83"/>
      <c r="JI55" s="102"/>
      <c r="JJ55" s="66">
        <f t="shared" si="389"/>
        <v>0</v>
      </c>
      <c r="JK55" s="66">
        <f t="shared" si="390"/>
        <v>0</v>
      </c>
      <c r="JM55" s="102">
        <f>MAX(IW55,IS55,IO55,IK55,IE55,HY55,HS55,HP55)</f>
        <v>0</v>
      </c>
      <c r="JO55" s="29">
        <f>SUM(JQ55:KB55)</f>
        <v>1</v>
      </c>
      <c r="JP55" s="122">
        <f t="shared" si="391"/>
        <v>20</v>
      </c>
      <c r="JQ55" s="122">
        <f t="shared" si="392"/>
        <v>1</v>
      </c>
      <c r="JR55" s="122">
        <f t="shared" si="393"/>
        <v>0</v>
      </c>
      <c r="JS55" s="122">
        <f t="shared" si="394"/>
        <v>0</v>
      </c>
      <c r="JT55" s="122">
        <f t="shared" si="395"/>
        <v>0</v>
      </c>
      <c r="JU55" s="122">
        <f t="shared" si="396"/>
        <v>0</v>
      </c>
      <c r="JV55" s="122">
        <f t="shared" si="397"/>
        <v>0</v>
      </c>
      <c r="JW55" s="122">
        <f t="shared" si="398"/>
        <v>0</v>
      </c>
      <c r="JX55" s="122">
        <f t="shared" si="399"/>
        <v>0</v>
      </c>
      <c r="JY55" s="122">
        <f t="shared" si="400"/>
        <v>0</v>
      </c>
      <c r="JZ55" s="122">
        <f t="shared" si="401"/>
        <v>0</v>
      </c>
      <c r="KA55" s="122">
        <f t="shared" si="402"/>
        <v>0</v>
      </c>
      <c r="KB55" s="122">
        <f t="shared" si="403"/>
        <v>0</v>
      </c>
      <c r="KD55" s="122">
        <f t="shared" si="155"/>
        <v>0</v>
      </c>
      <c r="KE55" s="122">
        <f t="shared" si="92"/>
        <v>0</v>
      </c>
      <c r="KF55" s="122">
        <f t="shared" si="404"/>
        <v>20</v>
      </c>
      <c r="KG55" s="122">
        <f t="shared" si="405"/>
        <v>20</v>
      </c>
      <c r="KH55" s="122">
        <f t="shared" si="406"/>
        <v>0</v>
      </c>
      <c r="KI55" s="122">
        <f t="shared" si="407"/>
        <v>0</v>
      </c>
      <c r="KJ55" s="122">
        <f t="shared" si="408"/>
        <v>0</v>
      </c>
      <c r="KK55" s="122">
        <f t="shared" si="409"/>
        <v>0</v>
      </c>
      <c r="KL55" s="122">
        <f t="shared" si="410"/>
        <v>0</v>
      </c>
      <c r="KM55" s="122">
        <f t="shared" si="411"/>
        <v>0</v>
      </c>
      <c r="KN55" s="123">
        <f t="shared" si="412"/>
        <v>0</v>
      </c>
      <c r="KO55" s="123">
        <f t="shared" si="413"/>
        <v>0</v>
      </c>
      <c r="KP55" s="123">
        <f t="shared" si="414"/>
        <v>0</v>
      </c>
      <c r="KQ55" s="123">
        <f t="shared" si="415"/>
        <v>0</v>
      </c>
      <c r="KR55" s="123">
        <f t="shared" si="416"/>
        <v>0</v>
      </c>
      <c r="KT55">
        <f t="shared" si="417"/>
        <v>0</v>
      </c>
      <c r="KU55" s="123"/>
      <c r="KV55" s="123"/>
      <c r="KW55" s="123"/>
      <c r="KX55" s="123"/>
      <c r="KY55" s="123"/>
      <c r="KZ55" s="123"/>
      <c r="LA55" s="123"/>
      <c r="LB55" s="123"/>
      <c r="LC55" s="123"/>
      <c r="LD55" s="123"/>
      <c r="LE55" s="123"/>
      <c r="LF55" s="123"/>
      <c r="LG55" s="123"/>
      <c r="LH55" s="123"/>
      <c r="LI55" s="123"/>
      <c r="LJ55" s="123"/>
      <c r="LK55" s="123"/>
      <c r="LL55" s="123"/>
      <c r="LM55" s="123"/>
      <c r="LN55" s="123"/>
      <c r="LO55" s="123"/>
      <c r="LP55" s="123"/>
      <c r="LQ55" s="123"/>
      <c r="LR55" s="123"/>
      <c r="LS55" s="123"/>
      <c r="LT55" s="123"/>
      <c r="LU55" s="123"/>
      <c r="LV55" s="123"/>
      <c r="LW55" s="123"/>
      <c r="LX55" s="123"/>
      <c r="LY55" s="123"/>
      <c r="LZ55" s="123"/>
      <c r="MA55" s="123"/>
      <c r="MB55" s="123"/>
      <c r="MC55" s="123"/>
      <c r="MD55" s="123"/>
      <c r="ME55" s="123"/>
      <c r="MF55" s="123"/>
      <c r="MG55" s="123"/>
      <c r="MH55" s="123"/>
      <c r="MI55" s="123"/>
      <c r="MJ55" s="123"/>
      <c r="MK55" s="123"/>
      <c r="ML55" s="123"/>
      <c r="MM55" s="123"/>
      <c r="MN55" s="123"/>
      <c r="MO55" s="123"/>
      <c r="MP55" s="123"/>
      <c r="MQ55" s="123"/>
      <c r="MR55" s="123"/>
      <c r="MS55" s="123"/>
      <c r="MT55" s="123"/>
      <c r="MU55" s="123"/>
      <c r="MV55" s="123"/>
      <c r="MW55" s="123"/>
      <c r="MX55" s="123"/>
      <c r="MY55" s="123"/>
      <c r="MZ55" s="123"/>
      <c r="NA55" s="123"/>
      <c r="NB55" s="123"/>
      <c r="NC55" s="123"/>
      <c r="ND55" s="123"/>
      <c r="NE55" s="123"/>
      <c r="NF55" s="123"/>
      <c r="NG55" s="123"/>
      <c r="NH55" s="123"/>
      <c r="NI55" s="123"/>
      <c r="NJ55" s="123"/>
      <c r="NK55" s="123"/>
      <c r="NM55">
        <f>IF(KS55=1,1,0)</f>
        <v>0</v>
      </c>
      <c r="NN55">
        <f>IF(KS55=2,1,0)</f>
        <v>0</v>
      </c>
      <c r="NO55">
        <f>IF(KS55=3,1,0)</f>
        <v>0</v>
      </c>
      <c r="NP55">
        <f>IF(KS55=4,1,0)</f>
        <v>0</v>
      </c>
      <c r="NQ55">
        <f>IF(KS55=5,1,0)</f>
        <v>0</v>
      </c>
      <c r="NR55">
        <f>IF(KS55=6,1,0)</f>
        <v>0</v>
      </c>
      <c r="NS55">
        <f>IF(KS55=7,1,0)</f>
        <v>0</v>
      </c>
      <c r="NT55">
        <f>SUM(NM55:NS55)</f>
        <v>0</v>
      </c>
      <c r="NU55" s="29">
        <f>NT55-KT55</f>
        <v>0</v>
      </c>
      <c r="NY55" s="29">
        <f t="shared" si="418"/>
        <v>1</v>
      </c>
      <c r="NZ55" s="152">
        <v>8036000</v>
      </c>
      <c r="OE55" s="155">
        <f t="shared" si="109"/>
        <v>0</v>
      </c>
      <c r="OF55" s="155">
        <f t="shared" si="110"/>
        <v>0</v>
      </c>
      <c r="OG55" s="155">
        <f t="shared" si="111"/>
        <v>0</v>
      </c>
      <c r="OH55" s="155">
        <f>HE55</f>
        <v>0</v>
      </c>
      <c r="OI55" s="155">
        <f t="shared" si="112"/>
        <v>0</v>
      </c>
      <c r="OJ55" s="67">
        <f>IF(OG55=1,OF55,0)</f>
        <v>0</v>
      </c>
      <c r="OK55" s="67">
        <f>IF(OH55=1,OF55,0)</f>
        <v>0</v>
      </c>
      <c r="OL55" s="67">
        <f>IF((OG55+OH55)=0,OF55,0)</f>
        <v>0</v>
      </c>
      <c r="OM55" s="67">
        <f>SUM(OJ55:OL55)</f>
        <v>0</v>
      </c>
      <c r="OO55" s="155">
        <f t="shared" si="113"/>
        <v>0</v>
      </c>
      <c r="OP55" s="155">
        <f t="shared" si="114"/>
        <v>0</v>
      </c>
      <c r="OQ55" s="155">
        <f>OG55</f>
        <v>0</v>
      </c>
      <c r="OR55" s="155">
        <f>OH55</f>
        <v>0</v>
      </c>
      <c r="OS55" s="155">
        <f>OI55</f>
        <v>0</v>
      </c>
      <c r="OT55" s="67">
        <f>IF(OQ55=1,OP55,0)</f>
        <v>0</v>
      </c>
      <c r="OU55" s="67">
        <f>IF(OR55=1,OP55,0)</f>
        <v>0</v>
      </c>
      <c r="OV55" s="67">
        <f>IF((OQ55+OR55)=0,OP55,0)</f>
        <v>0</v>
      </c>
      <c r="OW55" s="67">
        <f>SUM(OT55:OV55)</f>
        <v>0</v>
      </c>
      <c r="PA55" s="166"/>
      <c r="PB55" s="166"/>
      <c r="PC55" s="166"/>
      <c r="PD55" s="210">
        <f t="shared" si="115"/>
        <v>0</v>
      </c>
      <c r="PE55" s="210"/>
      <c r="PF55" s="210">
        <f t="shared" si="116"/>
        <v>0</v>
      </c>
      <c r="PG55" s="210">
        <f t="shared" si="194"/>
        <v>0</v>
      </c>
      <c r="PH55" s="210">
        <f t="shared" si="194"/>
        <v>0</v>
      </c>
      <c r="PI55" s="210">
        <f t="shared" si="194"/>
        <v>0</v>
      </c>
      <c r="PJ55" s="210">
        <f t="shared" si="194"/>
        <v>0</v>
      </c>
      <c r="PK55" s="210">
        <f t="shared" si="194"/>
        <v>0</v>
      </c>
      <c r="PL55" s="210">
        <f t="shared" si="194"/>
        <v>0</v>
      </c>
      <c r="PO55" s="172">
        <f t="shared" si="177"/>
        <v>0</v>
      </c>
      <c r="PP55" s="172">
        <f t="shared" si="178"/>
        <v>0</v>
      </c>
      <c r="PQ55" s="172">
        <f t="shared" si="179"/>
        <v>0</v>
      </c>
    </row>
    <row r="56" spans="1:433" ht="15.75" customHeight="1" x14ac:dyDescent="0.2">
      <c r="A56" s="19"/>
      <c r="B56" s="237"/>
      <c r="C56" s="186"/>
      <c r="D56" s="188"/>
      <c r="E56" s="188"/>
      <c r="F56" s="188"/>
      <c r="G56" s="20"/>
      <c r="H56" s="137"/>
      <c r="I56" s="137"/>
      <c r="J56" s="20"/>
      <c r="K56" s="20"/>
      <c r="L56" s="137"/>
      <c r="M56" s="137"/>
      <c r="N56" s="20"/>
      <c r="O56" s="20"/>
      <c r="P56" s="137"/>
      <c r="Q56" s="137"/>
      <c r="R56" s="20"/>
      <c r="S56" s="20"/>
      <c r="T56" s="137"/>
      <c r="U56" s="137"/>
      <c r="V56" s="20"/>
      <c r="W56" s="20"/>
      <c r="X56" s="137"/>
      <c r="Y56" s="137"/>
      <c r="Z56" s="43"/>
      <c r="AA56" s="65"/>
      <c r="AB56" s="17"/>
      <c r="AC56" s="18"/>
      <c r="AD56" s="18"/>
      <c r="AE56" s="40"/>
      <c r="AF56" s="20"/>
      <c r="AG56" s="20"/>
      <c r="AH56" s="32"/>
      <c r="AI56" s="20"/>
      <c r="AJ56" s="20"/>
      <c r="AK56" s="20"/>
      <c r="AL56" s="31"/>
      <c r="AM56" s="31"/>
      <c r="AN56" s="139"/>
      <c r="BB56" s="17"/>
      <c r="BE56" s="17"/>
      <c r="BF56" s="17"/>
      <c r="BG56" s="17"/>
      <c r="BH56" s="17"/>
      <c r="BI56" s="17"/>
      <c r="BJ56" s="17"/>
      <c r="BK56" s="17"/>
      <c r="BN56" s="142"/>
      <c r="BP56" s="139"/>
      <c r="BQ56" s="139"/>
      <c r="BR56" s="139"/>
      <c r="BS56" s="139"/>
      <c r="BT56" s="139"/>
      <c r="BU56" s="139"/>
      <c r="BV56" s="139"/>
      <c r="BW56" s="139"/>
      <c r="BX56" s="139"/>
      <c r="BY56" s="139"/>
      <c r="BZ56" s="139"/>
      <c r="CB56" s="139"/>
      <c r="CD56" s="17"/>
      <c r="CE56" s="17"/>
      <c r="CF56" s="139"/>
      <c r="CG56" s="139"/>
      <c r="CH56" s="139"/>
      <c r="CI56" s="139"/>
      <c r="CJ56" s="139"/>
      <c r="CK56" s="139"/>
      <c r="CL56" s="139"/>
      <c r="CM56" s="139"/>
      <c r="CN56" s="139"/>
      <c r="CO56" s="139"/>
      <c r="CP56" s="139"/>
      <c r="CQ56" s="148"/>
      <c r="DV56" s="139"/>
      <c r="DW56" s="139"/>
      <c r="DX56" s="139"/>
      <c r="DY56" s="139"/>
      <c r="DZ56" s="139"/>
      <c r="EA56" s="139"/>
      <c r="EB56" s="139"/>
      <c r="EG56" s="57"/>
      <c r="EH56" s="5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X56" s="80"/>
      <c r="FY56" s="17"/>
      <c r="FZ56" s="17"/>
      <c r="GA56" s="17"/>
      <c r="GB56" s="17"/>
      <c r="GC56" s="17"/>
      <c r="GD56" s="17"/>
      <c r="GE56" s="17"/>
      <c r="GF56" s="67"/>
      <c r="GG56" s="17"/>
      <c r="GH56" s="17"/>
      <c r="GI56" s="67"/>
      <c r="GJ56" s="62"/>
      <c r="GK56" s="62"/>
      <c r="GO56" s="17"/>
      <c r="GP56" s="17"/>
      <c r="GQ56" s="17"/>
      <c r="GR56" s="17"/>
      <c r="GS56" s="17"/>
      <c r="GT56" s="17"/>
      <c r="GU56" s="101"/>
      <c r="GV56" s="17"/>
      <c r="GW56" s="17"/>
      <c r="GX56" s="66"/>
      <c r="GY56" s="66"/>
      <c r="GZ56" s="102"/>
      <c r="HA56" s="83"/>
      <c r="HB56" s="83"/>
      <c r="HC56" s="17"/>
      <c r="HD56" s="17"/>
      <c r="HE56" s="17"/>
      <c r="HF56" s="17"/>
      <c r="HG56" s="17"/>
      <c r="HH56" s="101"/>
      <c r="HI56" s="101"/>
      <c r="HJ56" s="27"/>
      <c r="HK56" s="101"/>
      <c r="HL56" s="83"/>
      <c r="HM56" s="83"/>
      <c r="HN56" s="83"/>
      <c r="HO56" s="83"/>
      <c r="HP56" s="102"/>
      <c r="HQ56" s="66"/>
      <c r="HR56" s="66"/>
      <c r="HS56" s="102"/>
      <c r="HT56" s="66"/>
      <c r="HU56" s="66"/>
      <c r="HV56" s="102"/>
      <c r="HW56" s="66"/>
      <c r="HX56" s="66"/>
      <c r="HY56" s="102"/>
      <c r="HZ56" s="66"/>
      <c r="IA56" s="66"/>
      <c r="IB56" s="102"/>
      <c r="IC56" s="66"/>
      <c r="ID56" s="66"/>
      <c r="IE56" s="102"/>
      <c r="IF56" s="66"/>
      <c r="IG56" s="66"/>
      <c r="IH56" s="102"/>
      <c r="II56" s="66"/>
      <c r="IJ56" s="66"/>
      <c r="IK56" s="102"/>
      <c r="IL56" s="66"/>
      <c r="IM56" s="66"/>
      <c r="IN56" s="83"/>
      <c r="IO56" s="102"/>
      <c r="IP56" s="66"/>
      <c r="IQ56" s="66"/>
      <c r="IR56" s="83"/>
      <c r="IS56" s="102"/>
      <c r="IT56" s="66"/>
      <c r="IU56" s="66"/>
      <c r="IV56" s="83"/>
      <c r="IW56" s="102"/>
      <c r="IX56" s="66"/>
      <c r="IY56" s="66"/>
      <c r="IZ56" s="83"/>
      <c r="JA56" s="102"/>
      <c r="JB56" s="66"/>
      <c r="JC56" s="66"/>
      <c r="JD56" s="83"/>
      <c r="JE56" s="102"/>
      <c r="JF56" s="66"/>
      <c r="JG56" s="66"/>
      <c r="JH56" s="83"/>
      <c r="JI56" s="102"/>
      <c r="JJ56" s="66"/>
      <c r="JK56" s="66"/>
      <c r="JM56" s="102"/>
      <c r="JO56" s="29"/>
      <c r="JP56" s="122"/>
      <c r="JQ56" s="122"/>
      <c r="JR56" s="122"/>
      <c r="JS56" s="122"/>
      <c r="JT56" s="122"/>
      <c r="JU56" s="122"/>
      <c r="JV56" s="122"/>
      <c r="JW56" s="122"/>
      <c r="JX56" s="122"/>
      <c r="JY56" s="122"/>
      <c r="JZ56" s="122"/>
      <c r="KA56" s="122"/>
      <c r="KB56" s="122"/>
      <c r="KD56" s="122"/>
      <c r="KE56" s="122"/>
      <c r="KF56" s="122"/>
      <c r="KG56" s="122"/>
      <c r="KH56" s="122"/>
      <c r="KI56" s="122"/>
      <c r="KJ56" s="122"/>
      <c r="KK56" s="122"/>
      <c r="KL56" s="122"/>
      <c r="KM56" s="122"/>
      <c r="KN56" s="123"/>
      <c r="KO56" s="123"/>
      <c r="KP56" s="123"/>
      <c r="KQ56" s="123"/>
      <c r="KR56" s="123"/>
      <c r="KU56" s="123"/>
      <c r="KV56" s="123"/>
      <c r="KW56" s="123"/>
      <c r="KX56" s="123"/>
      <c r="KY56" s="123"/>
      <c r="KZ56" s="123"/>
      <c r="LA56" s="123"/>
      <c r="LB56" s="123"/>
      <c r="LC56" s="123"/>
      <c r="LD56" s="123"/>
      <c r="LE56" s="123"/>
      <c r="LF56" s="123"/>
      <c r="LG56" s="123"/>
      <c r="LH56" s="123"/>
      <c r="LI56" s="123"/>
      <c r="LJ56" s="123"/>
      <c r="LK56" s="123"/>
      <c r="LL56" s="123"/>
      <c r="LM56" s="123"/>
      <c r="LN56" s="123"/>
      <c r="LO56" s="123"/>
      <c r="LP56" s="123"/>
      <c r="LQ56" s="123"/>
      <c r="LR56" s="123"/>
      <c r="LS56" s="123"/>
      <c r="LT56" s="123"/>
      <c r="LU56" s="123"/>
      <c r="LV56" s="123"/>
      <c r="LW56" s="123"/>
      <c r="LX56" s="123"/>
      <c r="LY56" s="123"/>
      <c r="LZ56" s="123"/>
      <c r="MA56" s="123"/>
      <c r="MB56" s="123"/>
      <c r="MC56" s="123"/>
      <c r="MD56" s="123"/>
      <c r="ME56" s="123"/>
      <c r="MF56" s="123"/>
      <c r="MG56" s="123"/>
      <c r="MH56" s="123"/>
      <c r="MI56" s="123"/>
      <c r="MJ56" s="123"/>
      <c r="MK56" s="123"/>
      <c r="ML56" s="123"/>
      <c r="MM56" s="123"/>
      <c r="MN56" s="123"/>
      <c r="MO56" s="123"/>
      <c r="MP56" s="123"/>
      <c r="MQ56" s="123"/>
      <c r="MR56" s="123"/>
      <c r="MS56" s="123"/>
      <c r="MT56" s="123"/>
      <c r="MU56" s="123"/>
      <c r="MV56" s="123"/>
      <c r="MW56" s="123"/>
      <c r="MX56" s="123"/>
      <c r="MY56" s="123"/>
      <c r="MZ56" s="123"/>
      <c r="NA56" s="123"/>
      <c r="NB56" s="123"/>
      <c r="NC56" s="123"/>
      <c r="ND56" s="123"/>
      <c r="NE56" s="123"/>
      <c r="NF56" s="123"/>
      <c r="NG56" s="123"/>
      <c r="NH56" s="123"/>
      <c r="NI56" s="123"/>
      <c r="NJ56" s="123"/>
      <c r="NK56" s="123"/>
      <c r="NU56" s="29"/>
      <c r="NY56" s="29"/>
      <c r="NZ56" s="152"/>
      <c r="OE56" s="155"/>
      <c r="OF56" s="155"/>
      <c r="OG56" s="155"/>
      <c r="OH56" s="155"/>
      <c r="OI56" s="155"/>
      <c r="OJ56" s="67"/>
      <c r="OK56" s="67"/>
      <c r="OL56" s="67"/>
      <c r="OM56" s="67"/>
      <c r="OO56" s="155"/>
      <c r="OP56" s="155"/>
      <c r="OQ56" s="155"/>
      <c r="OR56" s="155"/>
      <c r="OS56" s="155"/>
      <c r="OT56" s="67"/>
      <c r="OU56" s="67"/>
      <c r="OV56" s="67"/>
      <c r="OW56" s="67"/>
      <c r="PA56" s="166"/>
      <c r="PB56" s="166"/>
      <c r="PC56" s="166"/>
      <c r="PD56" s="210">
        <f t="shared" si="115"/>
        <v>0</v>
      </c>
      <c r="PE56" s="210"/>
      <c r="PF56" s="210">
        <f t="shared" si="116"/>
        <v>0</v>
      </c>
      <c r="PG56" s="210">
        <f t="shared" si="194"/>
        <v>0</v>
      </c>
      <c r="PH56" s="210">
        <f t="shared" si="194"/>
        <v>0</v>
      </c>
      <c r="PI56" s="210">
        <f t="shared" si="194"/>
        <v>0</v>
      </c>
      <c r="PJ56" s="210">
        <f t="shared" si="194"/>
        <v>0</v>
      </c>
      <c r="PK56" s="210">
        <f t="shared" si="194"/>
        <v>0</v>
      </c>
      <c r="PL56" s="210">
        <f t="shared" si="194"/>
        <v>0</v>
      </c>
      <c r="PO56" s="172"/>
      <c r="PP56" s="172"/>
      <c r="PQ56" s="172"/>
    </row>
    <row r="57" spans="1:433" ht="16" x14ac:dyDescent="0.2">
      <c r="A57" s="19">
        <f>A55+1</f>
        <v>48</v>
      </c>
      <c r="B57" s="237" t="s">
        <v>676</v>
      </c>
      <c r="C57" s="186">
        <v>4</v>
      </c>
      <c r="D57" s="188">
        <v>1</v>
      </c>
      <c r="E57" s="188">
        <v>684</v>
      </c>
      <c r="F57" s="188">
        <v>1</v>
      </c>
      <c r="G57" s="20">
        <f t="shared" ref="G57" si="425">E57</f>
        <v>684</v>
      </c>
      <c r="H57" s="137">
        <f t="shared" ref="H57:H61" si="426">F57/$D57</f>
        <v>1</v>
      </c>
      <c r="I57" s="137">
        <f t="shared" ref="I57:I61" si="427">G57/$E57</f>
        <v>1</v>
      </c>
      <c r="J57" s="188">
        <v>1</v>
      </c>
      <c r="K57" s="20">
        <f t="shared" ref="K57:K61" si="428">IF(J57=D57,E57,0)</f>
        <v>684</v>
      </c>
      <c r="L57" s="137">
        <f t="shared" ref="L57:L61" si="429">J57/$D57</f>
        <v>1</v>
      </c>
      <c r="M57" s="137">
        <f t="shared" ref="M57:M61" si="430">K57/$E57</f>
        <v>1</v>
      </c>
      <c r="N57" s="188">
        <v>1</v>
      </c>
      <c r="O57" s="20">
        <f t="shared" ref="O57:O61" si="431">IF(N57=D57,E57,0)</f>
        <v>684</v>
      </c>
      <c r="P57" s="137">
        <f t="shared" ref="P57:P61" si="432">N57/$D57</f>
        <v>1</v>
      </c>
      <c r="Q57" s="137">
        <f t="shared" ref="Q57:Q61" si="433">O57/$E57</f>
        <v>1</v>
      </c>
      <c r="R57" s="20"/>
      <c r="S57" s="20">
        <f t="shared" ref="S57:S61" si="434">IF(R57=D57,E57,0)</f>
        <v>0</v>
      </c>
      <c r="T57" s="137">
        <f t="shared" ref="T57:T61" si="435">R57/$D57</f>
        <v>0</v>
      </c>
      <c r="U57" s="137">
        <f t="shared" ref="U57:U61" si="436">S57/$E57</f>
        <v>0</v>
      </c>
      <c r="V57" s="20"/>
      <c r="W57" s="20">
        <f t="shared" ref="W57:W61" si="437">IF(V57=D57,E57,0)</f>
        <v>0</v>
      </c>
      <c r="X57" s="137">
        <f t="shared" ref="X57:X61" si="438">V57/$D57</f>
        <v>0</v>
      </c>
      <c r="Y57" s="137">
        <f t="shared" ref="Y57:Y61" si="439">W57/$E57</f>
        <v>0</v>
      </c>
      <c r="Z57" s="43"/>
      <c r="AA57" s="65"/>
      <c r="AB57" s="17">
        <f t="shared" ref="AB57:AB61" si="440">IF(AA57=D57,E57,0)</f>
        <v>0</v>
      </c>
      <c r="AC57" s="18">
        <f t="shared" ref="AC57:AC61" si="441">AA57/$D57</f>
        <v>0</v>
      </c>
      <c r="AD57" s="18">
        <f t="shared" ref="AD57:AD61" si="442">AB57/$E57</f>
        <v>0</v>
      </c>
      <c r="AE57" s="40"/>
      <c r="AF57" s="20">
        <f t="shared" si="121"/>
        <v>0</v>
      </c>
      <c r="AG57" s="20"/>
      <c r="AH57" s="32"/>
      <c r="AI57" s="20">
        <v>0</v>
      </c>
      <c r="AJ57" s="20">
        <f t="shared" ref="AJ57:AJ61" si="443">IF(AI57=D57,E57,0)</f>
        <v>0</v>
      </c>
      <c r="AK57" s="20"/>
      <c r="AL57" s="31"/>
      <c r="AM57" s="31"/>
      <c r="AN57" s="139">
        <v>1</v>
      </c>
      <c r="BB57" s="17">
        <f t="shared" ref="BB57:BB61" si="444">IF(AN57=1,E57,0)</f>
        <v>684</v>
      </c>
      <c r="BE57" s="17">
        <f t="shared" ref="BE57:BE61" si="445">IF(AF57=1,S57,0)</f>
        <v>0</v>
      </c>
      <c r="BF57" s="17">
        <f t="shared" ref="BF57:BF61" si="446">IF(AG57="A",S57,0)</f>
        <v>0</v>
      </c>
      <c r="BG57" s="17">
        <f t="shared" ref="BG57:BG61" si="447">IF(AG57="B",S57,0)</f>
        <v>0</v>
      </c>
      <c r="BH57" s="17">
        <f t="shared" ref="BH57:BH61" si="448">IF(AG57="C",S57,0)</f>
        <v>0</v>
      </c>
      <c r="BI57" s="17">
        <f t="shared" ref="BI57:BI61" si="449">IF(AG57="D",S57,0)</f>
        <v>0</v>
      </c>
      <c r="BJ57" s="17">
        <f t="shared" ref="BJ57:BJ61" si="450">IF(AG57="E",S57,0)</f>
        <v>0</v>
      </c>
      <c r="BK57" s="17">
        <f t="shared" ref="BK57:BK61" si="451">SUM(BF57:BJ57)</f>
        <v>0</v>
      </c>
      <c r="BN57" s="142"/>
      <c r="BP57" s="139"/>
      <c r="BQ57" s="139"/>
      <c r="BR57" s="139"/>
      <c r="BS57" s="139"/>
      <c r="BT57" s="139"/>
      <c r="BU57" s="139"/>
      <c r="BV57" s="139"/>
      <c r="BW57" s="139"/>
      <c r="BX57" s="139"/>
      <c r="BY57" s="139"/>
      <c r="BZ57" s="139"/>
      <c r="CB57" s="139"/>
      <c r="CD57" s="17">
        <f t="shared" ref="CD57:CD61" si="452">BN57</f>
        <v>0</v>
      </c>
      <c r="CE57" s="17">
        <f t="shared" ref="CE57:CE61" si="453">IF(BO57=1,$CD57,0)</f>
        <v>0</v>
      </c>
      <c r="CF57" s="139">
        <f t="shared" ref="CF57:CF61" si="454">IF(BP57=1,$CD57,0)</f>
        <v>0</v>
      </c>
      <c r="CG57" s="139">
        <f t="shared" ref="CG57:CG61" si="455">IF(BQ57=1,$CD57,0)</f>
        <v>0</v>
      </c>
      <c r="CH57" s="139">
        <f t="shared" ref="CH57:CH61" si="456">IF(BR57=1,$CD57,0)</f>
        <v>0</v>
      </c>
      <c r="CI57" s="139">
        <f t="shared" ref="CI57:CI61" si="457">IF(BS57=1,$CD57,0)</f>
        <v>0</v>
      </c>
      <c r="CJ57" s="139">
        <f t="shared" ref="CJ57:CJ61" si="458">IF(BT57=1,$CD57,0)</f>
        <v>0</v>
      </c>
      <c r="CK57" s="139">
        <f t="shared" ref="CK57:CK61" si="459">IF(BU57=1,$CD57,0)</f>
        <v>0</v>
      </c>
      <c r="CL57" s="139">
        <f t="shared" ref="CL57:CL61" si="460">IF(BV57=1,$CD57,0)</f>
        <v>0</v>
      </c>
      <c r="CM57" s="139">
        <f t="shared" ref="CM57:CM61" si="461">IF(BW57=1,$CD57,0)</f>
        <v>0</v>
      </c>
      <c r="CN57" s="139">
        <f t="shared" ref="CN57:CN61" si="462">IF(BX57=1,$CD57,0)</f>
        <v>0</v>
      </c>
      <c r="CO57" s="139">
        <f t="shared" ref="CO57:CO61" si="463">IF(BY57=1,$CD57,0)</f>
        <v>0</v>
      </c>
      <c r="CP57" s="139">
        <f t="shared" ref="CP57:CP61" si="464">IF(BZ57=1,$CD57,0)</f>
        <v>0</v>
      </c>
      <c r="CQ57" s="148">
        <f t="shared" ref="CQ57:CQ61" si="465">SUM(CE57:CP57)-CD57</f>
        <v>0</v>
      </c>
      <c r="DV57" s="139">
        <f t="shared" ref="DV57:DV61" si="466">IF(CB57=1,G57,0)</f>
        <v>0</v>
      </c>
      <c r="DW57" s="139">
        <f t="shared" ref="DW57:DW61" si="467">IF(CC57="A",G57,0)</f>
        <v>0</v>
      </c>
      <c r="DX57" s="139">
        <f t="shared" ref="DX57:DX61" si="468">IF(CC57="B",G57,0)</f>
        <v>0</v>
      </c>
      <c r="DY57" s="139">
        <f t="shared" ref="DY57:DY61" si="469">IF(CC57="C",G57,0)</f>
        <v>0</v>
      </c>
      <c r="DZ57" s="139">
        <f t="shared" ref="DZ57:DZ61" si="470">IF(CC57="D",G57,0)</f>
        <v>0</v>
      </c>
      <c r="EA57" s="139">
        <f t="shared" ref="EA57:EA61" si="471">IF(CC57="E",G57,0)</f>
        <v>0</v>
      </c>
      <c r="EB57" s="139">
        <f t="shared" ref="EB57:EB61" si="472">SUM(DW57:EA57)</f>
        <v>0</v>
      </c>
      <c r="EG57" s="57">
        <f t="shared" ref="EG57:EG61" si="473">IF(AG57="C","C",IF(AG57="D","D",0))</f>
        <v>0</v>
      </c>
      <c r="EH57" s="57">
        <f t="shared" ref="EH57:EH61" si="474">CC57</f>
        <v>0</v>
      </c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X57" s="80"/>
      <c r="FY57" s="17">
        <f t="shared" ref="FY57:FY61" si="475">SUM(FZ57:GE57)</f>
        <v>0</v>
      </c>
      <c r="FZ57" s="17">
        <f t="shared" si="360"/>
        <v>0</v>
      </c>
      <c r="GA57" s="17">
        <f t="shared" si="361"/>
        <v>0</v>
      </c>
      <c r="GB57" s="17">
        <f t="shared" si="362"/>
        <v>0</v>
      </c>
      <c r="GC57" s="17">
        <f t="shared" si="363"/>
        <v>0</v>
      </c>
      <c r="GD57" s="17">
        <f t="shared" si="364"/>
        <v>0</v>
      </c>
      <c r="GE57" s="17">
        <f t="shared" si="365"/>
        <v>0</v>
      </c>
      <c r="GF57" s="67"/>
      <c r="GG57" s="17">
        <v>0</v>
      </c>
      <c r="GH57" s="17">
        <v>0</v>
      </c>
      <c r="GI57" s="67"/>
      <c r="GJ57" s="62">
        <f t="shared" ref="GJ57:GJ61" si="476">FY57*GG57/1000000000</f>
        <v>0</v>
      </c>
      <c r="GK57" s="62">
        <f t="shared" ref="GK57:GK61" si="477">FY57*GH57/1000000000</f>
        <v>0</v>
      </c>
      <c r="GO57" s="17">
        <f t="shared" si="366"/>
        <v>0</v>
      </c>
      <c r="GP57" s="17">
        <f t="shared" si="367"/>
        <v>0</v>
      </c>
      <c r="GQ57" s="17">
        <f t="shared" si="368"/>
        <v>0</v>
      </c>
      <c r="GR57" s="17">
        <f t="shared" si="369"/>
        <v>1</v>
      </c>
      <c r="GS57" s="17">
        <f t="shared" si="370"/>
        <v>1</v>
      </c>
      <c r="GT57" s="17">
        <f t="shared" ref="GT57:GT61" si="478">IF(SUM(GO57:GS57)=0,1,0)</f>
        <v>0</v>
      </c>
      <c r="GU57" s="101">
        <f t="shared" si="134"/>
        <v>43243</v>
      </c>
      <c r="GV57" s="17" t="str">
        <f t="shared" ref="GV57:GV61" si="479">IF(GO57&gt;0,$GO$6,IF(GP57&gt;0,$GP$6,IF(GQ57&gt;0,$GQ$6,IF(GR57&gt;0,$GR$6,IF(GS57&gt;0,$GS$6,IF(GT57&gt;0,$GT$6,0))))))</f>
        <v>Musyawarah</v>
      </c>
      <c r="GW57" s="17">
        <f t="shared" ref="GW57:GW61" si="480">IF(GV57=$GO$6,GO57,IF(GV57=$GP$6,GP57,IF(GV57=$GQ$6,GQ57,IF(GV57=$GR$6,GR57,IF(GV57=$GS$6,GS57,0)))))</f>
        <v>1</v>
      </c>
      <c r="GX57" s="66" t="str">
        <f t="shared" ref="GX57:GX61" si="481">GV57</f>
        <v>Musyawarah</v>
      </c>
      <c r="GY57" s="66">
        <f t="shared" ref="GY57:GY61" si="482">IF(GX57="DNP",SUM($GY$4:$GY$8),IF(GX57="Survey KJPP",SUM($GY$5:$GY$8),IF(GX57="Hasil Valuasi",SUM($GY$6:$GY$8),IF(GX57="Musyawarah",SUM($GY$7:$GY$8),IF(GX57="UGR",$GY$8,0)))))</f>
        <v>24</v>
      </c>
      <c r="GZ57" s="102">
        <f t="shared" ref="GZ57:GZ61" si="483">IF(GW57=0,"SELESAI",GU57+GY57)</f>
        <v>43267</v>
      </c>
      <c r="HA57" s="83"/>
      <c r="HB57" s="83"/>
      <c r="HC57" s="17">
        <f t="shared" si="371"/>
        <v>0</v>
      </c>
      <c r="HD57" s="17">
        <f t="shared" si="372"/>
        <v>0</v>
      </c>
      <c r="HE57" s="17">
        <f t="shared" ref="HE57:HE61" si="484">HC57+HD57</f>
        <v>0</v>
      </c>
      <c r="HF57" s="17">
        <f t="shared" ref="HF57:HF61" si="485">FQ57</f>
        <v>0</v>
      </c>
      <c r="HG57" s="17">
        <f t="shared" ref="HG57:HG61" si="486">HE57-HF57</f>
        <v>0</v>
      </c>
      <c r="HH57" s="101" t="str">
        <f t="shared" ref="HH57:HH61" si="487">IF(HG57=1,GU57+$HH$8,"TIDAK KONSINYASI")</f>
        <v>TIDAK KONSINYASI</v>
      </c>
      <c r="HI57" s="101">
        <f t="shared" ref="HI57:HI61" si="488">IF(GW57=0,"SELESAI",GZ57+$HI$8)</f>
        <v>43312</v>
      </c>
      <c r="HJ57" s="27"/>
      <c r="HK57" s="101">
        <f t="shared" ref="HK57:HK61" si="489">MAX(GZ57,HH57,HI57)</f>
        <v>43312</v>
      </c>
      <c r="HL57" s="83"/>
      <c r="HM57" s="83"/>
      <c r="HN57" s="83"/>
      <c r="HO57" s="83"/>
      <c r="HP57" s="102">
        <f t="shared" ref="HP57:HP61" si="490">IF(HQ57=1,GZ57,0)</f>
        <v>0</v>
      </c>
      <c r="HQ57" s="66">
        <f t="shared" ref="HQ57:HQ61" si="491">IF(IX57=0,IF(HT57=0,IF(IP57=0,IF(GV57="UGR",GS57,0),0),0),0)</f>
        <v>0</v>
      </c>
      <c r="HR57" s="66">
        <f t="shared" si="373"/>
        <v>0</v>
      </c>
      <c r="HS57" s="102">
        <f t="shared" ref="HS57:HS61" si="492">IF(HT57=1,HH57,0)</f>
        <v>0</v>
      </c>
      <c r="HT57" s="66">
        <f t="shared" ref="HT57:HT61" si="493">HG57</f>
        <v>0</v>
      </c>
      <c r="HU57" s="66">
        <f t="shared" si="374"/>
        <v>0</v>
      </c>
      <c r="HV57" s="102">
        <f t="shared" ref="HV57:HV61" si="494">IF(HW57=1,GZ57,0)</f>
        <v>0</v>
      </c>
      <c r="HW57" s="66">
        <f t="shared" ref="HW57:HW61" si="495">IF(JB57=0,IF(IX57=0,IF(HT57=0,IF(GV57="MUSYAWARAH",GR57,0),0),0),0)</f>
        <v>0</v>
      </c>
      <c r="HX57" s="66">
        <f t="shared" si="375"/>
        <v>0</v>
      </c>
      <c r="HY57" s="102">
        <f t="shared" ref="HY57:HY61" si="496">IF(HZ57=1,HV57+$HI$8,0)</f>
        <v>0</v>
      </c>
      <c r="HZ57" s="66">
        <f t="shared" ref="HZ57:HZ61" si="497">HW57</f>
        <v>0</v>
      </c>
      <c r="IA57" s="66">
        <f t="shared" si="376"/>
        <v>0</v>
      </c>
      <c r="IB57" s="102">
        <f t="shared" ref="IB57:IB61" si="498">IF(IC57=1,$GU$3+SUM($GY$6:$GY$8),0)</f>
        <v>0</v>
      </c>
      <c r="IC57" s="66">
        <f t="shared" ref="IC57:IC61" si="499">IF(GV57="Hasil Valuasi",GQ57,0)</f>
        <v>0</v>
      </c>
      <c r="ID57" s="66">
        <f t="shared" si="377"/>
        <v>0</v>
      </c>
      <c r="IE57" s="102">
        <f t="shared" ref="IE57:IE61" si="500">IF(IF57=1,IB57+$HI$8,0)</f>
        <v>0</v>
      </c>
      <c r="IF57" s="66">
        <f t="shared" ref="IF57:IF61" si="501">IC57</f>
        <v>0</v>
      </c>
      <c r="IG57" s="66">
        <f t="shared" si="378"/>
        <v>0</v>
      </c>
      <c r="IH57" s="102">
        <f t="shared" ref="IH57:IH61" si="502">IF(II57=1,$GU$3+SUM($GY$5:$GY$8),0)</f>
        <v>0</v>
      </c>
      <c r="II57" s="66">
        <f t="shared" ref="II57:II61" si="503">IF(GV57="Survey KJPP",GP57,0)</f>
        <v>0</v>
      </c>
      <c r="IJ57" s="66">
        <f t="shared" si="379"/>
        <v>0</v>
      </c>
      <c r="IK57" s="102">
        <f t="shared" ref="IK57:IK61" si="504">IF(IL57=1,IH57+$HI$8,0)</f>
        <v>0</v>
      </c>
      <c r="IL57" s="66">
        <f t="shared" ref="IL57:IL61" si="505">II57</f>
        <v>0</v>
      </c>
      <c r="IM57" s="66">
        <f t="shared" si="380"/>
        <v>0</v>
      </c>
      <c r="IN57" s="83"/>
      <c r="IO57" s="102">
        <f t="shared" ref="IO57:IO61" si="506">IF(IP57=1,+$GU$3+$HH$8,0)</f>
        <v>0</v>
      </c>
      <c r="IP57" s="66">
        <f t="shared" si="381"/>
        <v>0</v>
      </c>
      <c r="IQ57" s="66">
        <f t="shared" si="382"/>
        <v>0</v>
      </c>
      <c r="IR57" s="83"/>
      <c r="IS57" s="102"/>
      <c r="IT57" s="66">
        <f t="shared" si="383"/>
        <v>0</v>
      </c>
      <c r="IU57" s="66">
        <f t="shared" si="384"/>
        <v>0</v>
      </c>
      <c r="IV57" s="83"/>
      <c r="IW57" s="102"/>
      <c r="IX57" s="66">
        <f t="shared" si="385"/>
        <v>0</v>
      </c>
      <c r="IY57" s="66">
        <f t="shared" si="386"/>
        <v>0</v>
      </c>
      <c r="IZ57" s="83"/>
      <c r="JA57" s="102"/>
      <c r="JB57" s="66">
        <f t="shared" si="387"/>
        <v>1</v>
      </c>
      <c r="JC57" s="66">
        <f t="shared" si="388"/>
        <v>684</v>
      </c>
      <c r="JD57" s="83"/>
      <c r="JE57" s="102"/>
      <c r="JF57" s="66">
        <f t="shared" ref="JF57:JF61" si="507">IT57+HQ57+HT57+HZ57+IF57+IL57+IP57+IX57+JB57</f>
        <v>1</v>
      </c>
      <c r="JG57" s="66">
        <f t="shared" ref="JG57:JG61" si="508">IU57+HR57+HU57+IA57+IG57+IM57+IQ57+IY57+JC57</f>
        <v>684</v>
      </c>
      <c r="JH57" s="83"/>
      <c r="JI57" s="102"/>
      <c r="JJ57" s="66">
        <f t="shared" si="389"/>
        <v>0</v>
      </c>
      <c r="JK57" s="66">
        <f t="shared" si="390"/>
        <v>0</v>
      </c>
      <c r="JM57" s="102">
        <f t="shared" ref="JM57:JM61" si="509">MAX(IW57,IS57,IO57,IK57,IE57,HY57,HS57,HP57)</f>
        <v>0</v>
      </c>
      <c r="JO57" s="29">
        <f t="shared" ref="JO57:JO61" si="510">SUM(JQ57:KB57)</f>
        <v>0</v>
      </c>
      <c r="JP57" s="122">
        <f t="shared" si="391"/>
        <v>0</v>
      </c>
      <c r="JQ57" s="122">
        <f t="shared" si="392"/>
        <v>0</v>
      </c>
      <c r="JR57" s="122">
        <f t="shared" si="393"/>
        <v>0</v>
      </c>
      <c r="JS57" s="122">
        <f t="shared" si="394"/>
        <v>0</v>
      </c>
      <c r="JT57" s="122">
        <f t="shared" si="395"/>
        <v>0</v>
      </c>
      <c r="JU57" s="122">
        <f t="shared" si="396"/>
        <v>0</v>
      </c>
      <c r="JV57" s="122">
        <f t="shared" si="397"/>
        <v>0</v>
      </c>
      <c r="JW57" s="122">
        <f t="shared" si="398"/>
        <v>0</v>
      </c>
      <c r="JX57" s="122">
        <f t="shared" si="399"/>
        <v>0</v>
      </c>
      <c r="JY57" s="122">
        <f t="shared" si="400"/>
        <v>0</v>
      </c>
      <c r="JZ57" s="122">
        <f t="shared" si="401"/>
        <v>0</v>
      </c>
      <c r="KA57" s="122">
        <f t="shared" si="402"/>
        <v>0</v>
      </c>
      <c r="KB57" s="122">
        <f t="shared" si="403"/>
        <v>0</v>
      </c>
      <c r="KD57" s="122">
        <f t="shared" si="155"/>
        <v>0</v>
      </c>
      <c r="KE57" s="122">
        <f t="shared" si="92"/>
        <v>0</v>
      </c>
      <c r="KF57" s="122">
        <f t="shared" si="404"/>
        <v>0</v>
      </c>
      <c r="KG57" s="122">
        <f t="shared" si="405"/>
        <v>0</v>
      </c>
      <c r="KH57" s="122">
        <f t="shared" si="406"/>
        <v>0</v>
      </c>
      <c r="KI57" s="122">
        <f t="shared" si="407"/>
        <v>0</v>
      </c>
      <c r="KJ57" s="122">
        <f t="shared" si="408"/>
        <v>0</v>
      </c>
      <c r="KK57" s="122">
        <f t="shared" si="409"/>
        <v>0</v>
      </c>
      <c r="KL57" s="122">
        <f t="shared" si="410"/>
        <v>0</v>
      </c>
      <c r="KM57" s="122">
        <f t="shared" si="411"/>
        <v>0</v>
      </c>
      <c r="KN57" s="123">
        <f t="shared" si="412"/>
        <v>0</v>
      </c>
      <c r="KO57" s="123">
        <f t="shared" si="413"/>
        <v>0</v>
      </c>
      <c r="KP57" s="123">
        <f t="shared" si="414"/>
        <v>0</v>
      </c>
      <c r="KQ57" s="123">
        <f t="shared" si="415"/>
        <v>0</v>
      </c>
      <c r="KR57" s="123">
        <f t="shared" si="416"/>
        <v>0</v>
      </c>
      <c r="KS57">
        <v>2</v>
      </c>
      <c r="KT57">
        <f t="shared" si="417"/>
        <v>1</v>
      </c>
      <c r="KU57" s="123"/>
      <c r="KV57" s="123"/>
      <c r="KW57" s="123"/>
      <c r="KX57" s="123"/>
      <c r="KY57" s="123"/>
      <c r="KZ57" s="123"/>
      <c r="LA57" s="123"/>
      <c r="LB57" s="123"/>
      <c r="LC57" s="123"/>
      <c r="LD57" s="123"/>
      <c r="LE57" s="123"/>
      <c r="LF57" s="123"/>
      <c r="LG57" s="123"/>
      <c r="LH57" s="123"/>
      <c r="LI57" s="123"/>
      <c r="LJ57" s="123"/>
      <c r="LK57" s="123"/>
      <c r="LL57" s="123"/>
      <c r="LM57" s="123">
        <v>1</v>
      </c>
      <c r="LN57" s="123">
        <v>1</v>
      </c>
      <c r="LO57" s="123"/>
      <c r="LP57" s="123"/>
      <c r="LQ57" s="123"/>
      <c r="LR57" s="123"/>
      <c r="LS57" s="123"/>
      <c r="LT57" s="123"/>
      <c r="LU57" s="123"/>
      <c r="LV57" s="123"/>
      <c r="LW57" s="123"/>
      <c r="LX57" s="123"/>
      <c r="LY57" s="123"/>
      <c r="LZ57" s="123"/>
      <c r="MA57" s="123"/>
      <c r="MB57" s="123"/>
      <c r="MC57" s="123"/>
      <c r="MD57" s="123"/>
      <c r="ME57" s="123"/>
      <c r="MF57" s="123"/>
      <c r="MG57" s="123"/>
      <c r="MH57" s="123"/>
      <c r="MI57" s="123"/>
      <c r="MJ57" s="123"/>
      <c r="MK57" s="123"/>
      <c r="ML57" s="123"/>
      <c r="MM57" s="123"/>
      <c r="MN57" s="123"/>
      <c r="MO57" s="123"/>
      <c r="MP57" s="123"/>
      <c r="MQ57" s="123"/>
      <c r="MR57" s="123"/>
      <c r="MS57" s="123"/>
      <c r="MT57" s="123"/>
      <c r="MU57" s="123"/>
      <c r="MV57" s="123"/>
      <c r="MW57" s="123"/>
      <c r="MX57" s="123"/>
      <c r="MY57" s="123"/>
      <c r="MZ57" s="123"/>
      <c r="NA57" s="123"/>
      <c r="NB57" s="123"/>
      <c r="NC57" s="123"/>
      <c r="ND57" s="123"/>
      <c r="NE57" s="123"/>
      <c r="NF57" s="123"/>
      <c r="NG57" s="123"/>
      <c r="NH57" s="123"/>
      <c r="NI57" s="123"/>
      <c r="NJ57" s="123"/>
      <c r="NK57" s="123"/>
      <c r="NM57">
        <f t="shared" ref="NM57:NM61" si="511">IF(KS57=1,1,0)</f>
        <v>0</v>
      </c>
      <c r="NN57">
        <f t="shared" ref="NN57:NN61" si="512">IF(KS57=2,1,0)</f>
        <v>1</v>
      </c>
      <c r="NO57">
        <f t="shared" ref="NO57:NO61" si="513">IF(KS57=3,1,0)</f>
        <v>0</v>
      </c>
      <c r="NP57">
        <f t="shared" ref="NP57:NP61" si="514">IF(KS57=4,1,0)</f>
        <v>0</v>
      </c>
      <c r="NQ57">
        <f t="shared" ref="NQ57:NQ61" si="515">IF(KS57=5,1,0)</f>
        <v>0</v>
      </c>
      <c r="NR57">
        <f t="shared" ref="NR57:NR61" si="516">IF(KS57=6,1,0)</f>
        <v>0</v>
      </c>
      <c r="NS57">
        <f t="shared" ref="NS57:NS61" si="517">IF(KS57=7,1,0)</f>
        <v>0</v>
      </c>
      <c r="NT57">
        <f t="shared" ref="NT57:NT61" si="518">SUM(NM57:NS57)</f>
        <v>1</v>
      </c>
      <c r="NU57" s="29">
        <f t="shared" ref="NU57:NU61" si="519">NT57-KT57</f>
        <v>0</v>
      </c>
      <c r="NY57" s="29">
        <f t="shared" si="418"/>
        <v>0</v>
      </c>
      <c r="NZ57" s="152"/>
      <c r="OE57" s="155"/>
      <c r="OF57" s="155"/>
      <c r="OG57" s="155"/>
      <c r="OH57" s="155"/>
      <c r="OI57" s="155"/>
      <c r="OJ57" s="67"/>
      <c r="OK57" s="67"/>
      <c r="OL57" s="67"/>
      <c r="OM57" s="67"/>
      <c r="OO57" s="155"/>
      <c r="OP57" s="155"/>
      <c r="OQ57" s="155"/>
      <c r="OR57" s="155"/>
      <c r="OS57" s="155"/>
      <c r="OT57" s="67"/>
      <c r="OU57" s="67"/>
      <c r="OV57" s="67"/>
      <c r="OW57" s="67"/>
      <c r="PA57" s="166"/>
      <c r="PB57" s="166">
        <v>1</v>
      </c>
      <c r="PC57" s="166">
        <v>1</v>
      </c>
      <c r="PD57" s="210">
        <f t="shared" si="115"/>
        <v>0</v>
      </c>
      <c r="PE57" s="210"/>
      <c r="PF57" s="210">
        <f t="shared" si="116"/>
        <v>0</v>
      </c>
      <c r="PG57" s="210">
        <f t="shared" si="194"/>
        <v>0</v>
      </c>
      <c r="PH57" s="210">
        <f t="shared" si="194"/>
        <v>684</v>
      </c>
      <c r="PI57" s="210">
        <f t="shared" si="194"/>
        <v>684</v>
      </c>
      <c r="PJ57" s="210">
        <f t="shared" si="194"/>
        <v>0</v>
      </c>
      <c r="PK57" s="210">
        <f t="shared" si="194"/>
        <v>0</v>
      </c>
      <c r="PL57" s="210">
        <f t="shared" si="194"/>
        <v>0</v>
      </c>
      <c r="PO57" s="172">
        <f t="shared" si="177"/>
        <v>0</v>
      </c>
      <c r="PP57" s="172">
        <f t="shared" si="178"/>
        <v>0</v>
      </c>
      <c r="PQ57" s="172">
        <f t="shared" si="179"/>
        <v>0</v>
      </c>
    </row>
    <row r="58" spans="1:433" ht="16" x14ac:dyDescent="0.2">
      <c r="A58" s="19">
        <f t="shared" si="180"/>
        <v>49</v>
      </c>
      <c r="B58" s="237" t="s">
        <v>607</v>
      </c>
      <c r="C58" s="186">
        <v>1</v>
      </c>
      <c r="D58" s="188">
        <v>1</v>
      </c>
      <c r="E58" s="188">
        <v>184</v>
      </c>
      <c r="F58" s="188">
        <v>1</v>
      </c>
      <c r="G58" s="20">
        <f>E58</f>
        <v>184</v>
      </c>
      <c r="H58" s="137">
        <f t="shared" si="426"/>
        <v>1</v>
      </c>
      <c r="I58" s="137">
        <f t="shared" si="427"/>
        <v>1</v>
      </c>
      <c r="J58" s="168">
        <v>1</v>
      </c>
      <c r="K58" s="20">
        <f t="shared" si="428"/>
        <v>184</v>
      </c>
      <c r="L58" s="137">
        <f t="shared" si="429"/>
        <v>1</v>
      </c>
      <c r="M58" s="137">
        <f t="shared" si="430"/>
        <v>1</v>
      </c>
      <c r="N58" s="168">
        <v>1</v>
      </c>
      <c r="O58" s="20">
        <f t="shared" si="431"/>
        <v>184</v>
      </c>
      <c r="P58" s="137">
        <f t="shared" si="432"/>
        <v>1</v>
      </c>
      <c r="Q58" s="137">
        <f t="shared" si="433"/>
        <v>1</v>
      </c>
      <c r="R58" s="20"/>
      <c r="S58" s="20">
        <f t="shared" si="434"/>
        <v>0</v>
      </c>
      <c r="T58" s="137">
        <f t="shared" si="435"/>
        <v>0</v>
      </c>
      <c r="U58" s="137">
        <f t="shared" si="436"/>
        <v>0</v>
      </c>
      <c r="V58" s="20"/>
      <c r="W58" s="20">
        <f t="shared" si="437"/>
        <v>0</v>
      </c>
      <c r="X58" s="137">
        <f t="shared" si="438"/>
        <v>0</v>
      </c>
      <c r="Y58" s="137">
        <f t="shared" si="439"/>
        <v>0</v>
      </c>
      <c r="Z58" s="43"/>
      <c r="AA58" s="65"/>
      <c r="AB58" s="17">
        <f t="shared" si="440"/>
        <v>0</v>
      </c>
      <c r="AC58" s="18">
        <f t="shared" si="441"/>
        <v>0</v>
      </c>
      <c r="AD58" s="18">
        <f t="shared" si="442"/>
        <v>0</v>
      </c>
      <c r="AE58" s="40"/>
      <c r="AF58" s="20">
        <f t="shared" si="121"/>
        <v>0</v>
      </c>
      <c r="AG58" s="20"/>
      <c r="AH58" s="32"/>
      <c r="AI58" s="20">
        <v>0</v>
      </c>
      <c r="AJ58" s="20">
        <f t="shared" si="443"/>
        <v>0</v>
      </c>
      <c r="AK58" s="20"/>
      <c r="AL58" s="31"/>
      <c r="AM58" s="31"/>
      <c r="AN58" s="139">
        <v>1</v>
      </c>
      <c r="BB58" s="17">
        <f t="shared" si="444"/>
        <v>184</v>
      </c>
      <c r="BE58" s="17">
        <f t="shared" si="445"/>
        <v>0</v>
      </c>
      <c r="BF58" s="17">
        <f t="shared" si="446"/>
        <v>0</v>
      </c>
      <c r="BG58" s="17">
        <f t="shared" si="447"/>
        <v>0</v>
      </c>
      <c r="BH58" s="17">
        <f t="shared" si="448"/>
        <v>0</v>
      </c>
      <c r="BI58" s="17">
        <f t="shared" si="449"/>
        <v>0</v>
      </c>
      <c r="BJ58" s="17">
        <f t="shared" si="450"/>
        <v>0</v>
      </c>
      <c r="BK58" s="17">
        <f t="shared" si="451"/>
        <v>0</v>
      </c>
      <c r="BN58" s="142"/>
      <c r="BP58" s="139"/>
      <c r="BQ58" s="139"/>
      <c r="BR58" s="139"/>
      <c r="BS58" s="139"/>
      <c r="BT58" s="139"/>
      <c r="BU58" s="139"/>
      <c r="BV58" s="139"/>
      <c r="BW58" s="139"/>
      <c r="BX58" s="139"/>
      <c r="BY58" s="139"/>
      <c r="BZ58" s="139"/>
      <c r="CB58" s="139"/>
      <c r="CD58" s="17">
        <f t="shared" si="452"/>
        <v>0</v>
      </c>
      <c r="CE58" s="17">
        <f t="shared" si="453"/>
        <v>0</v>
      </c>
      <c r="CF58" s="139">
        <f t="shared" si="454"/>
        <v>0</v>
      </c>
      <c r="CG58" s="139">
        <f t="shared" si="455"/>
        <v>0</v>
      </c>
      <c r="CH58" s="139">
        <f t="shared" si="456"/>
        <v>0</v>
      </c>
      <c r="CI58" s="139">
        <f t="shared" si="457"/>
        <v>0</v>
      </c>
      <c r="CJ58" s="139">
        <f t="shared" si="458"/>
        <v>0</v>
      </c>
      <c r="CK58" s="139">
        <f t="shared" si="459"/>
        <v>0</v>
      </c>
      <c r="CL58" s="139">
        <f t="shared" si="460"/>
        <v>0</v>
      </c>
      <c r="CM58" s="139">
        <f t="shared" si="461"/>
        <v>0</v>
      </c>
      <c r="CN58" s="139">
        <f t="shared" si="462"/>
        <v>0</v>
      </c>
      <c r="CO58" s="139">
        <f t="shared" si="463"/>
        <v>0</v>
      </c>
      <c r="CP58" s="139">
        <f t="shared" si="464"/>
        <v>0</v>
      </c>
      <c r="CQ58" s="148">
        <f t="shared" si="465"/>
        <v>0</v>
      </c>
      <c r="DV58" s="139">
        <f t="shared" si="466"/>
        <v>0</v>
      </c>
      <c r="DW58" s="139">
        <f t="shared" si="467"/>
        <v>0</v>
      </c>
      <c r="DX58" s="139">
        <f t="shared" si="468"/>
        <v>0</v>
      </c>
      <c r="DY58" s="139">
        <f t="shared" si="469"/>
        <v>0</v>
      </c>
      <c r="DZ58" s="139">
        <f t="shared" si="470"/>
        <v>0</v>
      </c>
      <c r="EA58" s="139">
        <f t="shared" si="471"/>
        <v>0</v>
      </c>
      <c r="EB58" s="139">
        <f t="shared" si="472"/>
        <v>0</v>
      </c>
      <c r="EG58" s="57">
        <f t="shared" si="473"/>
        <v>0</v>
      </c>
      <c r="EH58" s="57">
        <f t="shared" si="474"/>
        <v>0</v>
      </c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X58" s="80"/>
      <c r="FY58" s="17">
        <f t="shared" si="475"/>
        <v>0</v>
      </c>
      <c r="FZ58" s="17">
        <f t="shared" si="360"/>
        <v>0</v>
      </c>
      <c r="GA58" s="17">
        <f t="shared" si="361"/>
        <v>0</v>
      </c>
      <c r="GB58" s="17">
        <f t="shared" si="362"/>
        <v>0</v>
      </c>
      <c r="GC58" s="17">
        <f t="shared" si="363"/>
        <v>0</v>
      </c>
      <c r="GD58" s="17">
        <f t="shared" si="364"/>
        <v>0</v>
      </c>
      <c r="GE58" s="17">
        <f t="shared" si="365"/>
        <v>0</v>
      </c>
      <c r="GF58" s="67"/>
      <c r="GG58" s="17">
        <v>0</v>
      </c>
      <c r="GH58" s="17">
        <v>0</v>
      </c>
      <c r="GI58" s="67"/>
      <c r="GJ58" s="62">
        <f t="shared" si="476"/>
        <v>0</v>
      </c>
      <c r="GK58" s="62">
        <f t="shared" si="477"/>
        <v>0</v>
      </c>
      <c r="GO58" s="17">
        <f t="shared" si="366"/>
        <v>0</v>
      </c>
      <c r="GP58" s="17">
        <f t="shared" si="367"/>
        <v>0</v>
      </c>
      <c r="GQ58" s="17">
        <f t="shared" si="368"/>
        <v>0</v>
      </c>
      <c r="GR58" s="17">
        <f t="shared" si="369"/>
        <v>1</v>
      </c>
      <c r="GS58" s="17">
        <f t="shared" si="370"/>
        <v>1</v>
      </c>
      <c r="GT58" s="17">
        <f t="shared" si="478"/>
        <v>0</v>
      </c>
      <c r="GU58" s="101">
        <f t="shared" si="134"/>
        <v>43243</v>
      </c>
      <c r="GV58" s="17" t="str">
        <f t="shared" si="479"/>
        <v>Musyawarah</v>
      </c>
      <c r="GW58" s="17">
        <f t="shared" si="480"/>
        <v>1</v>
      </c>
      <c r="GX58" s="66" t="str">
        <f t="shared" si="481"/>
        <v>Musyawarah</v>
      </c>
      <c r="GY58" s="66">
        <f t="shared" si="482"/>
        <v>24</v>
      </c>
      <c r="GZ58" s="102">
        <f t="shared" si="483"/>
        <v>43267</v>
      </c>
      <c r="HA58" s="83"/>
      <c r="HB58" s="83"/>
      <c r="HC58" s="17">
        <f t="shared" si="371"/>
        <v>0</v>
      </c>
      <c r="HD58" s="17">
        <f t="shared" si="372"/>
        <v>0</v>
      </c>
      <c r="HE58" s="17">
        <f t="shared" si="484"/>
        <v>0</v>
      </c>
      <c r="HF58" s="17">
        <f t="shared" si="485"/>
        <v>0</v>
      </c>
      <c r="HG58" s="17">
        <f t="shared" si="486"/>
        <v>0</v>
      </c>
      <c r="HH58" s="101" t="str">
        <f t="shared" si="487"/>
        <v>TIDAK KONSINYASI</v>
      </c>
      <c r="HI58" s="101">
        <f t="shared" si="488"/>
        <v>43312</v>
      </c>
      <c r="HJ58" s="27"/>
      <c r="HK58" s="101">
        <f t="shared" si="489"/>
        <v>43312</v>
      </c>
      <c r="HL58" s="83"/>
      <c r="HM58" s="83"/>
      <c r="HN58" s="83"/>
      <c r="HO58" s="83"/>
      <c r="HP58" s="102">
        <f t="shared" si="490"/>
        <v>0</v>
      </c>
      <c r="HQ58" s="66">
        <f t="shared" si="491"/>
        <v>0</v>
      </c>
      <c r="HR58" s="66">
        <f t="shared" si="373"/>
        <v>0</v>
      </c>
      <c r="HS58" s="102">
        <f t="shared" si="492"/>
        <v>0</v>
      </c>
      <c r="HT58" s="66">
        <f t="shared" si="493"/>
        <v>0</v>
      </c>
      <c r="HU58" s="66">
        <f t="shared" si="374"/>
        <v>0</v>
      </c>
      <c r="HV58" s="102">
        <f t="shared" si="494"/>
        <v>0</v>
      </c>
      <c r="HW58" s="66">
        <f t="shared" si="495"/>
        <v>0</v>
      </c>
      <c r="HX58" s="66">
        <f t="shared" si="375"/>
        <v>0</v>
      </c>
      <c r="HY58" s="102">
        <f t="shared" si="496"/>
        <v>0</v>
      </c>
      <c r="HZ58" s="66">
        <f t="shared" si="497"/>
        <v>0</v>
      </c>
      <c r="IA58" s="66">
        <f t="shared" si="376"/>
        <v>0</v>
      </c>
      <c r="IB58" s="102">
        <f t="shared" si="498"/>
        <v>0</v>
      </c>
      <c r="IC58" s="66">
        <f t="shared" si="499"/>
        <v>0</v>
      </c>
      <c r="ID58" s="66">
        <f t="shared" si="377"/>
        <v>0</v>
      </c>
      <c r="IE58" s="102">
        <f t="shared" si="500"/>
        <v>0</v>
      </c>
      <c r="IF58" s="66">
        <f t="shared" si="501"/>
        <v>0</v>
      </c>
      <c r="IG58" s="66">
        <f t="shared" si="378"/>
        <v>0</v>
      </c>
      <c r="IH58" s="102">
        <f t="shared" si="502"/>
        <v>0</v>
      </c>
      <c r="II58" s="66">
        <f t="shared" si="503"/>
        <v>0</v>
      </c>
      <c r="IJ58" s="66">
        <f t="shared" si="379"/>
        <v>0</v>
      </c>
      <c r="IK58" s="102">
        <f t="shared" si="504"/>
        <v>0</v>
      </c>
      <c r="IL58" s="66">
        <f t="shared" si="505"/>
        <v>0</v>
      </c>
      <c r="IM58" s="66">
        <f t="shared" si="380"/>
        <v>0</v>
      </c>
      <c r="IN58" s="83"/>
      <c r="IO58" s="102">
        <f t="shared" si="506"/>
        <v>0</v>
      </c>
      <c r="IP58" s="66">
        <f t="shared" si="381"/>
        <v>0</v>
      </c>
      <c r="IQ58" s="66">
        <f t="shared" si="382"/>
        <v>0</v>
      </c>
      <c r="IR58" s="83"/>
      <c r="IS58" s="102"/>
      <c r="IT58" s="66">
        <f t="shared" si="383"/>
        <v>0</v>
      </c>
      <c r="IU58" s="66">
        <f t="shared" si="384"/>
        <v>0</v>
      </c>
      <c r="IV58" s="83"/>
      <c r="IW58" s="102"/>
      <c r="IX58" s="66">
        <f t="shared" si="385"/>
        <v>0</v>
      </c>
      <c r="IY58" s="66">
        <f t="shared" si="386"/>
        <v>0</v>
      </c>
      <c r="IZ58" s="83"/>
      <c r="JA58" s="102"/>
      <c r="JB58" s="66">
        <f t="shared" si="387"/>
        <v>1</v>
      </c>
      <c r="JC58" s="66">
        <f t="shared" si="388"/>
        <v>184</v>
      </c>
      <c r="JD58" s="83"/>
      <c r="JE58" s="102"/>
      <c r="JF58" s="66">
        <f t="shared" si="507"/>
        <v>1</v>
      </c>
      <c r="JG58" s="66">
        <f t="shared" si="508"/>
        <v>184</v>
      </c>
      <c r="JH58" s="83"/>
      <c r="JI58" s="102"/>
      <c r="JJ58" s="66">
        <f t="shared" si="389"/>
        <v>0</v>
      </c>
      <c r="JK58" s="66">
        <f t="shared" si="390"/>
        <v>0</v>
      </c>
      <c r="JM58" s="102">
        <f t="shared" si="509"/>
        <v>0</v>
      </c>
      <c r="JO58" s="29">
        <f t="shared" si="510"/>
        <v>0</v>
      </c>
      <c r="JP58" s="122">
        <f t="shared" si="391"/>
        <v>0</v>
      </c>
      <c r="JQ58" s="122">
        <f t="shared" si="392"/>
        <v>0</v>
      </c>
      <c r="JR58" s="122">
        <f t="shared" si="393"/>
        <v>0</v>
      </c>
      <c r="JS58" s="122">
        <f t="shared" si="394"/>
        <v>0</v>
      </c>
      <c r="JT58" s="122">
        <f t="shared" si="395"/>
        <v>0</v>
      </c>
      <c r="JU58" s="122">
        <f t="shared" si="396"/>
        <v>0</v>
      </c>
      <c r="JV58" s="122">
        <f t="shared" si="397"/>
        <v>0</v>
      </c>
      <c r="JW58" s="122">
        <f t="shared" si="398"/>
        <v>0</v>
      </c>
      <c r="JX58" s="122">
        <f t="shared" si="399"/>
        <v>0</v>
      </c>
      <c r="JY58" s="122">
        <f t="shared" si="400"/>
        <v>0</v>
      </c>
      <c r="JZ58" s="122">
        <f t="shared" si="401"/>
        <v>0</v>
      </c>
      <c r="KA58" s="122">
        <f t="shared" si="402"/>
        <v>0</v>
      </c>
      <c r="KB58" s="122">
        <f t="shared" si="403"/>
        <v>0</v>
      </c>
      <c r="KD58" s="122">
        <f t="shared" si="155"/>
        <v>0</v>
      </c>
      <c r="KE58" s="122">
        <f t="shared" si="92"/>
        <v>0</v>
      </c>
      <c r="KF58" s="122">
        <f t="shared" si="404"/>
        <v>0</v>
      </c>
      <c r="KG58" s="122">
        <f t="shared" si="405"/>
        <v>0</v>
      </c>
      <c r="KH58" s="122">
        <f t="shared" si="406"/>
        <v>0</v>
      </c>
      <c r="KI58" s="122">
        <f t="shared" si="407"/>
        <v>0</v>
      </c>
      <c r="KJ58" s="122">
        <f t="shared" si="408"/>
        <v>0</v>
      </c>
      <c r="KK58" s="122">
        <f t="shared" si="409"/>
        <v>0</v>
      </c>
      <c r="KL58" s="122">
        <f t="shared" si="410"/>
        <v>0</v>
      </c>
      <c r="KM58" s="122">
        <f t="shared" si="411"/>
        <v>0</v>
      </c>
      <c r="KN58" s="123">
        <f t="shared" si="412"/>
        <v>0</v>
      </c>
      <c r="KO58" s="123">
        <f t="shared" si="413"/>
        <v>0</v>
      </c>
      <c r="KP58" s="123">
        <f t="shared" si="414"/>
        <v>0</v>
      </c>
      <c r="KQ58" s="123">
        <f t="shared" si="415"/>
        <v>0</v>
      </c>
      <c r="KR58" s="123">
        <f t="shared" si="416"/>
        <v>0</v>
      </c>
      <c r="KS58">
        <v>1</v>
      </c>
      <c r="KT58">
        <f t="shared" si="417"/>
        <v>1</v>
      </c>
      <c r="KU58" s="123"/>
      <c r="KV58" s="123"/>
      <c r="KW58" s="123"/>
      <c r="KX58" s="123"/>
      <c r="KY58" s="123"/>
      <c r="KZ58" s="123"/>
      <c r="LA58" s="123"/>
      <c r="LB58" s="123"/>
      <c r="LC58" s="123"/>
      <c r="LD58" s="123"/>
      <c r="LE58" s="123"/>
      <c r="LF58" s="123"/>
      <c r="LG58" s="123"/>
      <c r="LH58" s="123"/>
      <c r="LI58" s="123"/>
      <c r="LJ58" s="123"/>
      <c r="LK58" s="123"/>
      <c r="LL58" s="123"/>
      <c r="LM58" s="123">
        <v>1</v>
      </c>
      <c r="LN58" s="123">
        <v>1</v>
      </c>
      <c r="LO58" s="123"/>
      <c r="LP58" s="123"/>
      <c r="LQ58" s="123"/>
      <c r="LR58" s="123"/>
      <c r="LS58" s="123"/>
      <c r="LT58" s="123"/>
      <c r="LU58" s="123"/>
      <c r="LV58" s="123"/>
      <c r="LW58" s="123"/>
      <c r="LX58" s="123"/>
      <c r="LY58" s="123"/>
      <c r="LZ58" s="123"/>
      <c r="MA58" s="123"/>
      <c r="MB58" s="123"/>
      <c r="MC58" s="123"/>
      <c r="MD58" s="123"/>
      <c r="ME58" s="123"/>
      <c r="MF58" s="123"/>
      <c r="MG58" s="123"/>
      <c r="MH58" s="123"/>
      <c r="MI58" s="123"/>
      <c r="MJ58" s="123"/>
      <c r="MK58" s="123"/>
      <c r="ML58" s="123"/>
      <c r="MM58" s="123"/>
      <c r="MN58" s="123"/>
      <c r="MO58" s="123"/>
      <c r="MP58" s="123"/>
      <c r="MQ58" s="123"/>
      <c r="MR58" s="123"/>
      <c r="MS58" s="123"/>
      <c r="MT58" s="123"/>
      <c r="MU58" s="123"/>
      <c r="MV58" s="123"/>
      <c r="MW58" s="123"/>
      <c r="MX58" s="123"/>
      <c r="MY58" s="123"/>
      <c r="MZ58" s="123"/>
      <c r="NA58" s="123"/>
      <c r="NB58" s="123"/>
      <c r="NC58" s="123"/>
      <c r="ND58" s="123"/>
      <c r="NE58" s="123"/>
      <c r="NF58" s="123"/>
      <c r="NG58" s="123"/>
      <c r="NH58" s="123"/>
      <c r="NI58" s="123"/>
      <c r="NJ58" s="123"/>
      <c r="NK58" s="123"/>
      <c r="NM58">
        <f t="shared" si="511"/>
        <v>1</v>
      </c>
      <c r="NN58">
        <f t="shared" si="512"/>
        <v>0</v>
      </c>
      <c r="NO58">
        <f t="shared" si="513"/>
        <v>0</v>
      </c>
      <c r="NP58">
        <f t="shared" si="514"/>
        <v>0</v>
      </c>
      <c r="NQ58">
        <f t="shared" si="515"/>
        <v>0</v>
      </c>
      <c r="NR58">
        <f t="shared" si="516"/>
        <v>0</v>
      </c>
      <c r="NS58">
        <f t="shared" si="517"/>
        <v>0</v>
      </c>
      <c r="NT58">
        <f t="shared" si="518"/>
        <v>1</v>
      </c>
      <c r="NU58" s="29">
        <f t="shared" si="519"/>
        <v>0</v>
      </c>
      <c r="NY58" s="29">
        <f t="shared" si="418"/>
        <v>0</v>
      </c>
      <c r="NZ58" s="152"/>
      <c r="OE58" s="155"/>
      <c r="OF58" s="155"/>
      <c r="OG58" s="155"/>
      <c r="OH58" s="155"/>
      <c r="OI58" s="155"/>
      <c r="OJ58" s="67"/>
      <c r="OK58" s="67"/>
      <c r="OL58" s="67"/>
      <c r="OM58" s="67"/>
      <c r="OO58" s="155"/>
      <c r="OP58" s="155"/>
      <c r="OQ58" s="155"/>
      <c r="OR58" s="155"/>
      <c r="OS58" s="155"/>
      <c r="OT58" s="67"/>
      <c r="OU58" s="67"/>
      <c r="OV58" s="67"/>
      <c r="OW58" s="67"/>
      <c r="PA58" s="166">
        <v>1</v>
      </c>
      <c r="PB58" s="166"/>
      <c r="PC58" s="166"/>
      <c r="PD58" s="210">
        <f t="shared" si="115"/>
        <v>0</v>
      </c>
      <c r="PE58" s="210"/>
      <c r="PF58" s="210">
        <f t="shared" si="116"/>
        <v>0</v>
      </c>
      <c r="PG58" s="210">
        <f t="shared" si="194"/>
        <v>184</v>
      </c>
      <c r="PH58" s="210">
        <f t="shared" si="194"/>
        <v>0</v>
      </c>
      <c r="PI58" s="210">
        <f t="shared" si="194"/>
        <v>0</v>
      </c>
      <c r="PJ58" s="210">
        <f t="shared" si="194"/>
        <v>0</v>
      </c>
      <c r="PK58" s="210">
        <f t="shared" si="194"/>
        <v>0</v>
      </c>
      <c r="PL58" s="210">
        <f t="shared" si="194"/>
        <v>0</v>
      </c>
      <c r="PO58" s="172">
        <f t="shared" si="177"/>
        <v>0</v>
      </c>
      <c r="PP58" s="172">
        <f t="shared" si="178"/>
        <v>0</v>
      </c>
      <c r="PQ58" s="172">
        <f t="shared" si="179"/>
        <v>0</v>
      </c>
    </row>
    <row r="59" spans="1:433" ht="16" x14ac:dyDescent="0.2">
      <c r="A59" s="19">
        <f t="shared" si="180"/>
        <v>50</v>
      </c>
      <c r="B59" s="237" t="s">
        <v>608</v>
      </c>
      <c r="C59" s="186">
        <v>2</v>
      </c>
      <c r="D59" s="188">
        <v>1</v>
      </c>
      <c r="E59" s="188">
        <v>445</v>
      </c>
      <c r="F59" s="188">
        <v>1</v>
      </c>
      <c r="G59" s="20">
        <f t="shared" ref="G59:G60" si="520">E59</f>
        <v>445</v>
      </c>
      <c r="H59" s="137">
        <f t="shared" si="426"/>
        <v>1</v>
      </c>
      <c r="I59" s="137">
        <f t="shared" si="427"/>
        <v>1</v>
      </c>
      <c r="J59" s="188">
        <v>1</v>
      </c>
      <c r="K59" s="20">
        <f t="shared" si="428"/>
        <v>445</v>
      </c>
      <c r="L59" s="137">
        <f t="shared" si="429"/>
        <v>1</v>
      </c>
      <c r="M59" s="137">
        <f t="shared" si="430"/>
        <v>1</v>
      </c>
      <c r="N59" s="188">
        <v>1</v>
      </c>
      <c r="O59" s="20">
        <f t="shared" si="431"/>
        <v>445</v>
      </c>
      <c r="P59" s="137">
        <f t="shared" si="432"/>
        <v>1</v>
      </c>
      <c r="Q59" s="137">
        <f t="shared" si="433"/>
        <v>1</v>
      </c>
      <c r="R59" s="20"/>
      <c r="S59" s="20">
        <f t="shared" si="434"/>
        <v>0</v>
      </c>
      <c r="T59" s="137">
        <f t="shared" si="435"/>
        <v>0</v>
      </c>
      <c r="U59" s="137">
        <f t="shared" si="436"/>
        <v>0</v>
      </c>
      <c r="V59" s="20"/>
      <c r="W59" s="20">
        <f t="shared" si="437"/>
        <v>0</v>
      </c>
      <c r="X59" s="137">
        <f t="shared" si="438"/>
        <v>0</v>
      </c>
      <c r="Y59" s="137">
        <f t="shared" si="439"/>
        <v>0</v>
      </c>
      <c r="Z59" s="43"/>
      <c r="AA59" s="65"/>
      <c r="AB59" s="17">
        <f t="shared" si="440"/>
        <v>0</v>
      </c>
      <c r="AC59" s="18">
        <f t="shared" si="441"/>
        <v>0</v>
      </c>
      <c r="AD59" s="18">
        <f t="shared" si="442"/>
        <v>0</v>
      </c>
      <c r="AE59" s="40"/>
      <c r="AF59" s="20">
        <f t="shared" si="121"/>
        <v>0</v>
      </c>
      <c r="AG59" s="20"/>
      <c r="AH59" s="32"/>
      <c r="AI59" s="20">
        <v>0</v>
      </c>
      <c r="AJ59" s="20">
        <f t="shared" si="443"/>
        <v>0</v>
      </c>
      <c r="AK59" s="20"/>
      <c r="AL59" s="31"/>
      <c r="AM59" s="31"/>
      <c r="AN59" s="139">
        <v>1</v>
      </c>
      <c r="BB59" s="17">
        <f t="shared" si="444"/>
        <v>445</v>
      </c>
      <c r="BE59" s="17">
        <f t="shared" si="445"/>
        <v>0</v>
      </c>
      <c r="BF59" s="17">
        <f t="shared" si="446"/>
        <v>0</v>
      </c>
      <c r="BG59" s="17">
        <f t="shared" si="447"/>
        <v>0</v>
      </c>
      <c r="BH59" s="17">
        <f t="shared" si="448"/>
        <v>0</v>
      </c>
      <c r="BI59" s="17">
        <f t="shared" si="449"/>
        <v>0</v>
      </c>
      <c r="BJ59" s="17">
        <f t="shared" si="450"/>
        <v>0</v>
      </c>
      <c r="BK59" s="17">
        <f t="shared" si="451"/>
        <v>0</v>
      </c>
      <c r="BN59" s="142"/>
      <c r="BP59" s="139"/>
      <c r="BQ59" s="139"/>
      <c r="BR59" s="139"/>
      <c r="BS59" s="139"/>
      <c r="BT59" s="139"/>
      <c r="BU59" s="139"/>
      <c r="BV59" s="139"/>
      <c r="BW59" s="139"/>
      <c r="BX59" s="139"/>
      <c r="BY59" s="139"/>
      <c r="BZ59" s="139"/>
      <c r="CB59" s="139"/>
      <c r="CD59" s="17">
        <f t="shared" si="452"/>
        <v>0</v>
      </c>
      <c r="CE59" s="17">
        <f t="shared" si="453"/>
        <v>0</v>
      </c>
      <c r="CF59" s="139">
        <f t="shared" si="454"/>
        <v>0</v>
      </c>
      <c r="CG59" s="139">
        <f t="shared" si="455"/>
        <v>0</v>
      </c>
      <c r="CH59" s="139">
        <f t="shared" si="456"/>
        <v>0</v>
      </c>
      <c r="CI59" s="139">
        <f t="shared" si="457"/>
        <v>0</v>
      </c>
      <c r="CJ59" s="139">
        <f t="shared" si="458"/>
        <v>0</v>
      </c>
      <c r="CK59" s="139">
        <f t="shared" si="459"/>
        <v>0</v>
      </c>
      <c r="CL59" s="139">
        <f t="shared" si="460"/>
        <v>0</v>
      </c>
      <c r="CM59" s="139">
        <f t="shared" si="461"/>
        <v>0</v>
      </c>
      <c r="CN59" s="139">
        <f t="shared" si="462"/>
        <v>0</v>
      </c>
      <c r="CO59" s="139">
        <f t="shared" si="463"/>
        <v>0</v>
      </c>
      <c r="CP59" s="139">
        <f t="shared" si="464"/>
        <v>0</v>
      </c>
      <c r="CQ59" s="148">
        <f t="shared" si="465"/>
        <v>0</v>
      </c>
      <c r="DV59" s="139">
        <f t="shared" si="466"/>
        <v>0</v>
      </c>
      <c r="DW59" s="139">
        <f t="shared" si="467"/>
        <v>0</v>
      </c>
      <c r="DX59" s="139">
        <f t="shared" si="468"/>
        <v>0</v>
      </c>
      <c r="DY59" s="139">
        <f t="shared" si="469"/>
        <v>0</v>
      </c>
      <c r="DZ59" s="139">
        <f t="shared" si="470"/>
        <v>0</v>
      </c>
      <c r="EA59" s="139">
        <f t="shared" si="471"/>
        <v>0</v>
      </c>
      <c r="EB59" s="139">
        <f t="shared" si="472"/>
        <v>0</v>
      </c>
      <c r="EG59" s="57">
        <f t="shared" si="473"/>
        <v>0</v>
      </c>
      <c r="EH59" s="57">
        <f t="shared" si="474"/>
        <v>0</v>
      </c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X59" s="80"/>
      <c r="FY59" s="17">
        <f t="shared" si="475"/>
        <v>0</v>
      </c>
      <c r="FZ59" s="17">
        <f t="shared" si="360"/>
        <v>0</v>
      </c>
      <c r="GA59" s="17">
        <f t="shared" si="361"/>
        <v>0</v>
      </c>
      <c r="GB59" s="17">
        <f t="shared" si="362"/>
        <v>0</v>
      </c>
      <c r="GC59" s="17">
        <f t="shared" si="363"/>
        <v>0</v>
      </c>
      <c r="GD59" s="17">
        <f t="shared" si="364"/>
        <v>0</v>
      </c>
      <c r="GE59" s="17">
        <f t="shared" si="365"/>
        <v>0</v>
      </c>
      <c r="GF59" s="67"/>
      <c r="GG59" s="17">
        <v>0</v>
      </c>
      <c r="GH59" s="17">
        <v>0</v>
      </c>
      <c r="GI59" s="67"/>
      <c r="GJ59" s="62">
        <f t="shared" si="476"/>
        <v>0</v>
      </c>
      <c r="GK59" s="62">
        <f t="shared" si="477"/>
        <v>0</v>
      </c>
      <c r="GO59" s="17">
        <f t="shared" si="366"/>
        <v>0</v>
      </c>
      <c r="GP59" s="17">
        <f t="shared" si="367"/>
        <v>0</v>
      </c>
      <c r="GQ59" s="17">
        <f t="shared" si="368"/>
        <v>0</v>
      </c>
      <c r="GR59" s="17">
        <f t="shared" si="369"/>
        <v>1</v>
      </c>
      <c r="GS59" s="17">
        <f t="shared" si="370"/>
        <v>1</v>
      </c>
      <c r="GT59" s="17">
        <f t="shared" si="478"/>
        <v>0</v>
      </c>
      <c r="GU59" s="101">
        <f t="shared" si="134"/>
        <v>43243</v>
      </c>
      <c r="GV59" s="17" t="str">
        <f t="shared" si="479"/>
        <v>Musyawarah</v>
      </c>
      <c r="GW59" s="17">
        <f t="shared" si="480"/>
        <v>1</v>
      </c>
      <c r="GX59" s="66" t="str">
        <f t="shared" si="481"/>
        <v>Musyawarah</v>
      </c>
      <c r="GY59" s="66">
        <f t="shared" si="482"/>
        <v>24</v>
      </c>
      <c r="GZ59" s="102">
        <f t="shared" si="483"/>
        <v>43267</v>
      </c>
      <c r="HA59" s="83"/>
      <c r="HB59" s="83"/>
      <c r="HC59" s="17">
        <f t="shared" si="371"/>
        <v>0</v>
      </c>
      <c r="HD59" s="17">
        <f t="shared" si="372"/>
        <v>0</v>
      </c>
      <c r="HE59" s="17">
        <f t="shared" si="484"/>
        <v>0</v>
      </c>
      <c r="HF59" s="17">
        <f t="shared" si="485"/>
        <v>0</v>
      </c>
      <c r="HG59" s="17">
        <f t="shared" si="486"/>
        <v>0</v>
      </c>
      <c r="HH59" s="101" t="str">
        <f t="shared" si="487"/>
        <v>TIDAK KONSINYASI</v>
      </c>
      <c r="HI59" s="101">
        <f t="shared" si="488"/>
        <v>43312</v>
      </c>
      <c r="HJ59" s="27"/>
      <c r="HK59" s="101">
        <f t="shared" si="489"/>
        <v>43312</v>
      </c>
      <c r="HL59" s="83"/>
      <c r="HM59" s="83"/>
      <c r="HN59" s="83"/>
      <c r="HO59" s="83"/>
      <c r="HP59" s="102">
        <f t="shared" si="490"/>
        <v>0</v>
      </c>
      <c r="HQ59" s="66">
        <f t="shared" si="491"/>
        <v>0</v>
      </c>
      <c r="HR59" s="66">
        <f t="shared" si="373"/>
        <v>0</v>
      </c>
      <c r="HS59" s="102">
        <f t="shared" si="492"/>
        <v>0</v>
      </c>
      <c r="HT59" s="66">
        <f t="shared" si="493"/>
        <v>0</v>
      </c>
      <c r="HU59" s="66">
        <f t="shared" si="374"/>
        <v>0</v>
      </c>
      <c r="HV59" s="102">
        <f t="shared" si="494"/>
        <v>0</v>
      </c>
      <c r="HW59" s="66">
        <f t="shared" si="495"/>
        <v>0</v>
      </c>
      <c r="HX59" s="66">
        <f t="shared" si="375"/>
        <v>0</v>
      </c>
      <c r="HY59" s="102">
        <f t="shared" si="496"/>
        <v>0</v>
      </c>
      <c r="HZ59" s="66">
        <f t="shared" si="497"/>
        <v>0</v>
      </c>
      <c r="IA59" s="66">
        <f t="shared" si="376"/>
        <v>0</v>
      </c>
      <c r="IB59" s="102">
        <f t="shared" si="498"/>
        <v>0</v>
      </c>
      <c r="IC59" s="66">
        <f t="shared" si="499"/>
        <v>0</v>
      </c>
      <c r="ID59" s="66">
        <f t="shared" si="377"/>
        <v>0</v>
      </c>
      <c r="IE59" s="102">
        <f t="shared" si="500"/>
        <v>0</v>
      </c>
      <c r="IF59" s="66">
        <f t="shared" si="501"/>
        <v>0</v>
      </c>
      <c r="IG59" s="66">
        <f t="shared" si="378"/>
        <v>0</v>
      </c>
      <c r="IH59" s="102">
        <f t="shared" si="502"/>
        <v>0</v>
      </c>
      <c r="II59" s="66">
        <f t="shared" si="503"/>
        <v>0</v>
      </c>
      <c r="IJ59" s="66">
        <f t="shared" si="379"/>
        <v>0</v>
      </c>
      <c r="IK59" s="102">
        <f t="shared" si="504"/>
        <v>0</v>
      </c>
      <c r="IL59" s="66">
        <f t="shared" si="505"/>
        <v>0</v>
      </c>
      <c r="IM59" s="66">
        <f t="shared" si="380"/>
        <v>0</v>
      </c>
      <c r="IN59" s="83"/>
      <c r="IO59" s="102">
        <f t="shared" si="506"/>
        <v>0</v>
      </c>
      <c r="IP59" s="66">
        <f t="shared" si="381"/>
        <v>0</v>
      </c>
      <c r="IQ59" s="66">
        <f t="shared" si="382"/>
        <v>0</v>
      </c>
      <c r="IR59" s="83"/>
      <c r="IS59" s="102"/>
      <c r="IT59" s="66">
        <f t="shared" si="383"/>
        <v>0</v>
      </c>
      <c r="IU59" s="66">
        <f t="shared" si="384"/>
        <v>0</v>
      </c>
      <c r="IV59" s="83"/>
      <c r="IW59" s="102"/>
      <c r="IX59" s="66">
        <f t="shared" si="385"/>
        <v>0</v>
      </c>
      <c r="IY59" s="66">
        <f t="shared" si="386"/>
        <v>0</v>
      </c>
      <c r="IZ59" s="83"/>
      <c r="JA59" s="102"/>
      <c r="JB59" s="66">
        <f t="shared" si="387"/>
        <v>1</v>
      </c>
      <c r="JC59" s="66">
        <f t="shared" si="388"/>
        <v>445</v>
      </c>
      <c r="JD59" s="83"/>
      <c r="JE59" s="102"/>
      <c r="JF59" s="66">
        <f t="shared" si="507"/>
        <v>1</v>
      </c>
      <c r="JG59" s="66">
        <f t="shared" si="508"/>
        <v>445</v>
      </c>
      <c r="JH59" s="83"/>
      <c r="JI59" s="102"/>
      <c r="JJ59" s="66">
        <f t="shared" si="389"/>
        <v>0</v>
      </c>
      <c r="JK59" s="66">
        <f t="shared" si="390"/>
        <v>0</v>
      </c>
      <c r="JM59" s="102">
        <f t="shared" si="509"/>
        <v>0</v>
      </c>
      <c r="JO59" s="29">
        <f t="shared" si="510"/>
        <v>0</v>
      </c>
      <c r="JP59" s="122">
        <f t="shared" si="391"/>
        <v>0</v>
      </c>
      <c r="JQ59" s="122">
        <f t="shared" si="392"/>
        <v>0</v>
      </c>
      <c r="JR59" s="122">
        <f t="shared" si="393"/>
        <v>0</v>
      </c>
      <c r="JS59" s="122">
        <f t="shared" si="394"/>
        <v>0</v>
      </c>
      <c r="JT59" s="122">
        <f t="shared" si="395"/>
        <v>0</v>
      </c>
      <c r="JU59" s="122">
        <f t="shared" si="396"/>
        <v>0</v>
      </c>
      <c r="JV59" s="122">
        <f t="shared" si="397"/>
        <v>0</v>
      </c>
      <c r="JW59" s="122">
        <f t="shared" si="398"/>
        <v>0</v>
      </c>
      <c r="JX59" s="122">
        <f t="shared" si="399"/>
        <v>0</v>
      </c>
      <c r="JY59" s="122">
        <f t="shared" si="400"/>
        <v>0</v>
      </c>
      <c r="JZ59" s="122">
        <f t="shared" si="401"/>
        <v>0</v>
      </c>
      <c r="KA59" s="122">
        <f t="shared" si="402"/>
        <v>0</v>
      </c>
      <c r="KB59" s="122">
        <f t="shared" si="403"/>
        <v>0</v>
      </c>
      <c r="KD59" s="122">
        <f t="shared" si="155"/>
        <v>0</v>
      </c>
      <c r="KE59" s="122">
        <f t="shared" si="92"/>
        <v>0</v>
      </c>
      <c r="KF59" s="122">
        <f t="shared" si="404"/>
        <v>0</v>
      </c>
      <c r="KG59" s="122">
        <f t="shared" si="405"/>
        <v>0</v>
      </c>
      <c r="KH59" s="122">
        <f t="shared" si="406"/>
        <v>0</v>
      </c>
      <c r="KI59" s="122">
        <f t="shared" si="407"/>
        <v>0</v>
      </c>
      <c r="KJ59" s="122">
        <f t="shared" si="408"/>
        <v>0</v>
      </c>
      <c r="KK59" s="122">
        <f t="shared" si="409"/>
        <v>0</v>
      </c>
      <c r="KL59" s="122">
        <f t="shared" si="410"/>
        <v>0</v>
      </c>
      <c r="KM59" s="122">
        <f t="shared" si="411"/>
        <v>0</v>
      </c>
      <c r="KN59" s="123">
        <f t="shared" si="412"/>
        <v>0</v>
      </c>
      <c r="KO59" s="123">
        <f t="shared" si="413"/>
        <v>0</v>
      </c>
      <c r="KP59" s="123">
        <f t="shared" si="414"/>
        <v>0</v>
      </c>
      <c r="KQ59" s="123">
        <f t="shared" si="415"/>
        <v>0</v>
      </c>
      <c r="KR59" s="123">
        <f t="shared" si="416"/>
        <v>0</v>
      </c>
      <c r="KS59">
        <v>2</v>
      </c>
      <c r="KT59">
        <f t="shared" si="417"/>
        <v>1</v>
      </c>
      <c r="KU59" s="123"/>
      <c r="KV59" s="123"/>
      <c r="KW59" s="123"/>
      <c r="KX59" s="123"/>
      <c r="KY59" s="123"/>
      <c r="KZ59" s="123"/>
      <c r="LA59" s="123"/>
      <c r="LB59" s="123"/>
      <c r="LC59" s="123"/>
      <c r="LD59" s="123"/>
      <c r="LE59" s="123"/>
      <c r="LF59" s="123"/>
      <c r="LG59" s="123"/>
      <c r="LH59" s="123"/>
      <c r="LI59" s="123"/>
      <c r="LJ59" s="123"/>
      <c r="LK59" s="123"/>
      <c r="LL59" s="123"/>
      <c r="LM59" s="123">
        <v>1</v>
      </c>
      <c r="LN59" s="123">
        <v>1</v>
      </c>
      <c r="LO59" s="123"/>
      <c r="LP59" s="123"/>
      <c r="LQ59" s="123"/>
      <c r="LR59" s="123"/>
      <c r="LS59" s="123"/>
      <c r="LT59" s="123"/>
      <c r="LU59" s="123"/>
      <c r="LV59" s="123"/>
      <c r="LW59" s="123"/>
      <c r="LX59" s="123"/>
      <c r="LY59" s="123"/>
      <c r="LZ59" s="123"/>
      <c r="MA59" s="123"/>
      <c r="MB59" s="123"/>
      <c r="MC59" s="123"/>
      <c r="MD59" s="123"/>
      <c r="ME59" s="123"/>
      <c r="MF59" s="123"/>
      <c r="MG59" s="123"/>
      <c r="MH59" s="123"/>
      <c r="MI59" s="123"/>
      <c r="MJ59" s="123"/>
      <c r="MK59" s="123"/>
      <c r="ML59" s="123"/>
      <c r="MM59" s="123"/>
      <c r="MN59" s="123"/>
      <c r="MO59" s="123"/>
      <c r="MP59" s="123"/>
      <c r="MQ59" s="123"/>
      <c r="MR59" s="123"/>
      <c r="MS59" s="123"/>
      <c r="MT59" s="123"/>
      <c r="MU59" s="123"/>
      <c r="MV59" s="123"/>
      <c r="MW59" s="123"/>
      <c r="MX59" s="123"/>
      <c r="MY59" s="123"/>
      <c r="MZ59" s="123"/>
      <c r="NA59" s="123"/>
      <c r="NB59" s="123"/>
      <c r="NC59" s="123"/>
      <c r="ND59" s="123"/>
      <c r="NE59" s="123"/>
      <c r="NF59" s="123"/>
      <c r="NG59" s="123"/>
      <c r="NH59" s="123"/>
      <c r="NI59" s="123"/>
      <c r="NJ59" s="123"/>
      <c r="NK59" s="123"/>
      <c r="NM59">
        <f t="shared" si="511"/>
        <v>0</v>
      </c>
      <c r="NN59">
        <f t="shared" si="512"/>
        <v>1</v>
      </c>
      <c r="NO59">
        <f t="shared" si="513"/>
        <v>0</v>
      </c>
      <c r="NP59">
        <f t="shared" si="514"/>
        <v>0</v>
      </c>
      <c r="NQ59">
        <f t="shared" si="515"/>
        <v>0</v>
      </c>
      <c r="NR59">
        <f t="shared" si="516"/>
        <v>0</v>
      </c>
      <c r="NS59">
        <f t="shared" si="517"/>
        <v>0</v>
      </c>
      <c r="NT59">
        <f t="shared" si="518"/>
        <v>1</v>
      </c>
      <c r="NU59" s="29">
        <f t="shared" si="519"/>
        <v>0</v>
      </c>
      <c r="NY59" s="29">
        <f t="shared" si="418"/>
        <v>0</v>
      </c>
      <c r="NZ59" s="152"/>
      <c r="OE59" s="155"/>
      <c r="OF59" s="155"/>
      <c r="OG59" s="155"/>
      <c r="OH59" s="155"/>
      <c r="OI59" s="155"/>
      <c r="OJ59" s="67"/>
      <c r="OK59" s="67"/>
      <c r="OL59" s="67"/>
      <c r="OM59" s="67"/>
      <c r="OO59" s="155"/>
      <c r="OP59" s="155"/>
      <c r="OQ59" s="155"/>
      <c r="OR59" s="155"/>
      <c r="OS59" s="155"/>
      <c r="OT59" s="67"/>
      <c r="OU59" s="67"/>
      <c r="OV59" s="67"/>
      <c r="OW59" s="67"/>
      <c r="PA59" s="166"/>
      <c r="PB59" s="166">
        <v>1</v>
      </c>
      <c r="PC59" s="166">
        <v>1</v>
      </c>
      <c r="PD59" s="210">
        <f t="shared" si="115"/>
        <v>0</v>
      </c>
      <c r="PE59" s="210"/>
      <c r="PF59" s="210">
        <f t="shared" si="116"/>
        <v>0</v>
      </c>
      <c r="PG59" s="210">
        <f t="shared" si="194"/>
        <v>0</v>
      </c>
      <c r="PH59" s="210">
        <f t="shared" si="194"/>
        <v>445</v>
      </c>
      <c r="PI59" s="210">
        <f t="shared" si="194"/>
        <v>445</v>
      </c>
      <c r="PJ59" s="210">
        <f t="shared" si="194"/>
        <v>0</v>
      </c>
      <c r="PK59" s="210">
        <f t="shared" si="194"/>
        <v>0</v>
      </c>
      <c r="PL59" s="210">
        <f t="shared" si="194"/>
        <v>0</v>
      </c>
      <c r="PO59" s="172">
        <f t="shared" si="177"/>
        <v>0</v>
      </c>
      <c r="PP59" s="172">
        <f t="shared" si="178"/>
        <v>0</v>
      </c>
      <c r="PQ59" s="172">
        <f t="shared" si="179"/>
        <v>0</v>
      </c>
    </row>
    <row r="60" spans="1:433" ht="16" x14ac:dyDescent="0.2">
      <c r="A60" s="19">
        <f t="shared" si="180"/>
        <v>51</v>
      </c>
      <c r="B60" s="237" t="s">
        <v>677</v>
      </c>
      <c r="C60" s="186">
        <v>5</v>
      </c>
      <c r="D60" s="188">
        <v>1</v>
      </c>
      <c r="E60" s="188">
        <v>371</v>
      </c>
      <c r="F60" s="188">
        <v>1</v>
      </c>
      <c r="G60" s="20">
        <f t="shared" si="520"/>
        <v>371</v>
      </c>
      <c r="H60" s="137">
        <f t="shared" si="426"/>
        <v>1</v>
      </c>
      <c r="I60" s="137">
        <f t="shared" si="427"/>
        <v>1</v>
      </c>
      <c r="J60" s="188">
        <v>1</v>
      </c>
      <c r="K60" s="20">
        <f t="shared" si="428"/>
        <v>371</v>
      </c>
      <c r="L60" s="137">
        <f t="shared" si="429"/>
        <v>1</v>
      </c>
      <c r="M60" s="137">
        <f t="shared" si="430"/>
        <v>1</v>
      </c>
      <c r="N60" s="188">
        <v>1</v>
      </c>
      <c r="O60" s="20">
        <f t="shared" si="431"/>
        <v>371</v>
      </c>
      <c r="P60" s="137">
        <f t="shared" si="432"/>
        <v>1</v>
      </c>
      <c r="Q60" s="137">
        <f t="shared" si="433"/>
        <v>1</v>
      </c>
      <c r="R60" s="20"/>
      <c r="S60" s="20">
        <f t="shared" si="434"/>
        <v>0</v>
      </c>
      <c r="T60" s="137">
        <f t="shared" si="435"/>
        <v>0</v>
      </c>
      <c r="U60" s="137">
        <f t="shared" si="436"/>
        <v>0</v>
      </c>
      <c r="V60" s="20"/>
      <c r="W60" s="20">
        <f t="shared" si="437"/>
        <v>0</v>
      </c>
      <c r="X60" s="137">
        <f t="shared" si="438"/>
        <v>0</v>
      </c>
      <c r="Y60" s="137">
        <f t="shared" si="439"/>
        <v>0</v>
      </c>
      <c r="Z60" s="43"/>
      <c r="AA60" s="65"/>
      <c r="AB60" s="17">
        <f t="shared" si="440"/>
        <v>0</v>
      </c>
      <c r="AC60" s="18">
        <f t="shared" si="441"/>
        <v>0</v>
      </c>
      <c r="AD60" s="18">
        <f t="shared" si="442"/>
        <v>0</v>
      </c>
      <c r="AE60" s="40"/>
      <c r="AF60" s="20">
        <f t="shared" si="121"/>
        <v>0</v>
      </c>
      <c r="AG60" s="20"/>
      <c r="AH60" s="32"/>
      <c r="AI60" s="20">
        <v>0</v>
      </c>
      <c r="AJ60" s="20">
        <f t="shared" si="443"/>
        <v>0</v>
      </c>
      <c r="AK60" s="20"/>
      <c r="AL60" s="31"/>
      <c r="AM60" s="31"/>
      <c r="AN60" s="139">
        <v>1</v>
      </c>
      <c r="BB60" s="17">
        <f t="shared" si="444"/>
        <v>371</v>
      </c>
      <c r="BE60" s="17">
        <f t="shared" si="445"/>
        <v>0</v>
      </c>
      <c r="BF60" s="17">
        <f t="shared" si="446"/>
        <v>0</v>
      </c>
      <c r="BG60" s="17">
        <f t="shared" si="447"/>
        <v>0</v>
      </c>
      <c r="BH60" s="17">
        <f t="shared" si="448"/>
        <v>0</v>
      </c>
      <c r="BI60" s="17">
        <f t="shared" si="449"/>
        <v>0</v>
      </c>
      <c r="BJ60" s="17">
        <f t="shared" si="450"/>
        <v>0</v>
      </c>
      <c r="BK60" s="17">
        <f t="shared" si="451"/>
        <v>0</v>
      </c>
      <c r="BN60" s="142"/>
      <c r="BP60" s="139"/>
      <c r="BQ60" s="139"/>
      <c r="BR60" s="139"/>
      <c r="BS60" s="139"/>
      <c r="BT60" s="139"/>
      <c r="BU60" s="139"/>
      <c r="BV60" s="139"/>
      <c r="BW60" s="139"/>
      <c r="BX60" s="139"/>
      <c r="BY60" s="139"/>
      <c r="BZ60" s="139"/>
      <c r="CB60" s="139"/>
      <c r="CD60" s="17">
        <f t="shared" si="452"/>
        <v>0</v>
      </c>
      <c r="CE60" s="17">
        <f t="shared" si="453"/>
        <v>0</v>
      </c>
      <c r="CF60" s="139">
        <f t="shared" si="454"/>
        <v>0</v>
      </c>
      <c r="CG60" s="139">
        <f t="shared" si="455"/>
        <v>0</v>
      </c>
      <c r="CH60" s="139">
        <f t="shared" si="456"/>
        <v>0</v>
      </c>
      <c r="CI60" s="139">
        <f t="shared" si="457"/>
        <v>0</v>
      </c>
      <c r="CJ60" s="139">
        <f t="shared" si="458"/>
        <v>0</v>
      </c>
      <c r="CK60" s="139">
        <f t="shared" si="459"/>
        <v>0</v>
      </c>
      <c r="CL60" s="139">
        <f t="shared" si="460"/>
        <v>0</v>
      </c>
      <c r="CM60" s="139">
        <f t="shared" si="461"/>
        <v>0</v>
      </c>
      <c r="CN60" s="139">
        <f t="shared" si="462"/>
        <v>0</v>
      </c>
      <c r="CO60" s="139">
        <f t="shared" si="463"/>
        <v>0</v>
      </c>
      <c r="CP60" s="139">
        <f t="shared" si="464"/>
        <v>0</v>
      </c>
      <c r="CQ60" s="148">
        <f t="shared" si="465"/>
        <v>0</v>
      </c>
      <c r="DV60" s="139">
        <f t="shared" si="466"/>
        <v>0</v>
      </c>
      <c r="DW60" s="139">
        <f t="shared" si="467"/>
        <v>0</v>
      </c>
      <c r="DX60" s="139">
        <f t="shared" si="468"/>
        <v>0</v>
      </c>
      <c r="DY60" s="139">
        <f t="shared" si="469"/>
        <v>0</v>
      </c>
      <c r="DZ60" s="139">
        <f t="shared" si="470"/>
        <v>0</v>
      </c>
      <c r="EA60" s="139">
        <f t="shared" si="471"/>
        <v>0</v>
      </c>
      <c r="EB60" s="139">
        <f t="shared" si="472"/>
        <v>0</v>
      </c>
      <c r="EG60" s="57">
        <f t="shared" si="473"/>
        <v>0</v>
      </c>
      <c r="EH60" s="57">
        <f t="shared" si="474"/>
        <v>0</v>
      </c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X60" s="80"/>
      <c r="FY60" s="17">
        <f t="shared" si="475"/>
        <v>0</v>
      </c>
      <c r="FZ60" s="17">
        <f t="shared" si="360"/>
        <v>0</v>
      </c>
      <c r="GA60" s="17">
        <f t="shared" si="361"/>
        <v>0</v>
      </c>
      <c r="GB60" s="17">
        <f t="shared" si="362"/>
        <v>0</v>
      </c>
      <c r="GC60" s="17">
        <f t="shared" si="363"/>
        <v>0</v>
      </c>
      <c r="GD60" s="17">
        <f t="shared" si="364"/>
        <v>0</v>
      </c>
      <c r="GE60" s="17">
        <f t="shared" si="365"/>
        <v>0</v>
      </c>
      <c r="GF60" s="67"/>
      <c r="GG60" s="17">
        <v>0</v>
      </c>
      <c r="GH60" s="17">
        <v>0</v>
      </c>
      <c r="GI60" s="67"/>
      <c r="GJ60" s="62">
        <f t="shared" si="476"/>
        <v>0</v>
      </c>
      <c r="GK60" s="62">
        <f t="shared" si="477"/>
        <v>0</v>
      </c>
      <c r="GO60" s="17">
        <f t="shared" si="366"/>
        <v>0</v>
      </c>
      <c r="GP60" s="17">
        <f t="shared" si="367"/>
        <v>0</v>
      </c>
      <c r="GQ60" s="17">
        <f t="shared" si="368"/>
        <v>0</v>
      </c>
      <c r="GR60" s="17">
        <f t="shared" si="369"/>
        <v>1</v>
      </c>
      <c r="GS60" s="17">
        <f t="shared" si="370"/>
        <v>1</v>
      </c>
      <c r="GT60" s="17">
        <f t="shared" si="478"/>
        <v>0</v>
      </c>
      <c r="GU60" s="101">
        <f t="shared" si="134"/>
        <v>43243</v>
      </c>
      <c r="GV60" s="17" t="str">
        <f t="shared" si="479"/>
        <v>Musyawarah</v>
      </c>
      <c r="GW60" s="17">
        <f t="shared" si="480"/>
        <v>1</v>
      </c>
      <c r="GX60" s="66" t="str">
        <f t="shared" si="481"/>
        <v>Musyawarah</v>
      </c>
      <c r="GY60" s="66">
        <f t="shared" si="482"/>
        <v>24</v>
      </c>
      <c r="GZ60" s="102">
        <f t="shared" si="483"/>
        <v>43267</v>
      </c>
      <c r="HA60" s="83"/>
      <c r="HB60" s="83"/>
      <c r="HC60" s="17">
        <f t="shared" si="371"/>
        <v>0</v>
      </c>
      <c r="HD60" s="17">
        <f t="shared" si="372"/>
        <v>0</v>
      </c>
      <c r="HE60" s="17">
        <f t="shared" si="484"/>
        <v>0</v>
      </c>
      <c r="HF60" s="17">
        <f t="shared" si="485"/>
        <v>0</v>
      </c>
      <c r="HG60" s="17">
        <f t="shared" si="486"/>
        <v>0</v>
      </c>
      <c r="HH60" s="101" t="str">
        <f t="shared" si="487"/>
        <v>TIDAK KONSINYASI</v>
      </c>
      <c r="HI60" s="101">
        <f t="shared" si="488"/>
        <v>43312</v>
      </c>
      <c r="HJ60" s="27"/>
      <c r="HK60" s="101">
        <f t="shared" si="489"/>
        <v>43312</v>
      </c>
      <c r="HL60" s="83"/>
      <c r="HM60" s="83"/>
      <c r="HN60" s="83"/>
      <c r="HO60" s="83"/>
      <c r="HP60" s="102">
        <f t="shared" si="490"/>
        <v>0</v>
      </c>
      <c r="HQ60" s="66">
        <f t="shared" si="491"/>
        <v>0</v>
      </c>
      <c r="HR60" s="66">
        <f t="shared" si="373"/>
        <v>0</v>
      </c>
      <c r="HS60" s="102">
        <f t="shared" si="492"/>
        <v>0</v>
      </c>
      <c r="HT60" s="66">
        <f t="shared" si="493"/>
        <v>0</v>
      </c>
      <c r="HU60" s="66">
        <f t="shared" si="374"/>
        <v>0</v>
      </c>
      <c r="HV60" s="102">
        <f t="shared" si="494"/>
        <v>0</v>
      </c>
      <c r="HW60" s="66">
        <f t="shared" si="495"/>
        <v>0</v>
      </c>
      <c r="HX60" s="66">
        <f t="shared" si="375"/>
        <v>0</v>
      </c>
      <c r="HY60" s="102">
        <f t="shared" si="496"/>
        <v>0</v>
      </c>
      <c r="HZ60" s="66">
        <f t="shared" si="497"/>
        <v>0</v>
      </c>
      <c r="IA60" s="66">
        <f t="shared" si="376"/>
        <v>0</v>
      </c>
      <c r="IB60" s="102">
        <f t="shared" si="498"/>
        <v>0</v>
      </c>
      <c r="IC60" s="66">
        <f t="shared" si="499"/>
        <v>0</v>
      </c>
      <c r="ID60" s="66">
        <f t="shared" si="377"/>
        <v>0</v>
      </c>
      <c r="IE60" s="102">
        <f t="shared" si="500"/>
        <v>0</v>
      </c>
      <c r="IF60" s="66">
        <f t="shared" si="501"/>
        <v>0</v>
      </c>
      <c r="IG60" s="66">
        <f t="shared" si="378"/>
        <v>0</v>
      </c>
      <c r="IH60" s="102">
        <f t="shared" si="502"/>
        <v>0</v>
      </c>
      <c r="II60" s="66">
        <f t="shared" si="503"/>
        <v>0</v>
      </c>
      <c r="IJ60" s="66">
        <f t="shared" si="379"/>
        <v>0</v>
      </c>
      <c r="IK60" s="102">
        <f t="shared" si="504"/>
        <v>0</v>
      </c>
      <c r="IL60" s="66">
        <f t="shared" si="505"/>
        <v>0</v>
      </c>
      <c r="IM60" s="66">
        <f t="shared" si="380"/>
        <v>0</v>
      </c>
      <c r="IN60" s="83"/>
      <c r="IO60" s="102">
        <f t="shared" si="506"/>
        <v>0</v>
      </c>
      <c r="IP60" s="66">
        <f t="shared" si="381"/>
        <v>0</v>
      </c>
      <c r="IQ60" s="66">
        <f t="shared" si="382"/>
        <v>0</v>
      </c>
      <c r="IR60" s="83"/>
      <c r="IS60" s="102"/>
      <c r="IT60" s="66">
        <f t="shared" si="383"/>
        <v>0</v>
      </c>
      <c r="IU60" s="66">
        <f t="shared" si="384"/>
        <v>0</v>
      </c>
      <c r="IV60" s="83"/>
      <c r="IW60" s="102"/>
      <c r="IX60" s="66">
        <f t="shared" si="385"/>
        <v>0</v>
      </c>
      <c r="IY60" s="66">
        <f t="shared" si="386"/>
        <v>0</v>
      </c>
      <c r="IZ60" s="83"/>
      <c r="JA60" s="102"/>
      <c r="JB60" s="66">
        <f t="shared" si="387"/>
        <v>1</v>
      </c>
      <c r="JC60" s="66">
        <f t="shared" si="388"/>
        <v>371</v>
      </c>
      <c r="JD60" s="83"/>
      <c r="JE60" s="102"/>
      <c r="JF60" s="66">
        <f t="shared" si="507"/>
        <v>1</v>
      </c>
      <c r="JG60" s="66">
        <f t="shared" si="508"/>
        <v>371</v>
      </c>
      <c r="JH60" s="83"/>
      <c r="JI60" s="102"/>
      <c r="JJ60" s="66">
        <f t="shared" si="389"/>
        <v>0</v>
      </c>
      <c r="JK60" s="66">
        <f t="shared" si="390"/>
        <v>0</v>
      </c>
      <c r="JM60" s="102">
        <f t="shared" si="509"/>
        <v>0</v>
      </c>
      <c r="JO60" s="29">
        <f t="shared" si="510"/>
        <v>0</v>
      </c>
      <c r="JP60" s="122">
        <f t="shared" si="391"/>
        <v>0</v>
      </c>
      <c r="JQ60" s="122">
        <f t="shared" si="392"/>
        <v>0</v>
      </c>
      <c r="JR60" s="122">
        <f t="shared" si="393"/>
        <v>0</v>
      </c>
      <c r="JS60" s="122">
        <f t="shared" si="394"/>
        <v>0</v>
      </c>
      <c r="JT60" s="122">
        <f t="shared" si="395"/>
        <v>0</v>
      </c>
      <c r="JU60" s="122">
        <f t="shared" si="396"/>
        <v>0</v>
      </c>
      <c r="JV60" s="122">
        <f t="shared" si="397"/>
        <v>0</v>
      </c>
      <c r="JW60" s="122">
        <f t="shared" si="398"/>
        <v>0</v>
      </c>
      <c r="JX60" s="122">
        <f t="shared" si="399"/>
        <v>0</v>
      </c>
      <c r="JY60" s="122">
        <f t="shared" si="400"/>
        <v>0</v>
      </c>
      <c r="JZ60" s="122">
        <f t="shared" si="401"/>
        <v>0</v>
      </c>
      <c r="KA60" s="122">
        <f t="shared" si="402"/>
        <v>0</v>
      </c>
      <c r="KB60" s="122">
        <f t="shared" si="403"/>
        <v>0</v>
      </c>
      <c r="KD60" s="122">
        <f t="shared" si="155"/>
        <v>0</v>
      </c>
      <c r="KE60" s="122">
        <f t="shared" si="92"/>
        <v>0</v>
      </c>
      <c r="KF60" s="122">
        <f t="shared" si="404"/>
        <v>0</v>
      </c>
      <c r="KG60" s="122">
        <f t="shared" si="405"/>
        <v>0</v>
      </c>
      <c r="KH60" s="122">
        <f t="shared" si="406"/>
        <v>0</v>
      </c>
      <c r="KI60" s="122">
        <f t="shared" si="407"/>
        <v>0</v>
      </c>
      <c r="KJ60" s="122">
        <f t="shared" si="408"/>
        <v>0</v>
      </c>
      <c r="KK60" s="122">
        <f t="shared" si="409"/>
        <v>0</v>
      </c>
      <c r="KL60" s="122">
        <f t="shared" si="410"/>
        <v>0</v>
      </c>
      <c r="KM60" s="122">
        <f t="shared" si="411"/>
        <v>0</v>
      </c>
      <c r="KN60" s="123">
        <f t="shared" si="412"/>
        <v>0</v>
      </c>
      <c r="KO60" s="123">
        <f t="shared" si="413"/>
        <v>0</v>
      </c>
      <c r="KP60" s="123">
        <f t="shared" si="414"/>
        <v>0</v>
      </c>
      <c r="KQ60" s="123">
        <f t="shared" si="415"/>
        <v>0</v>
      </c>
      <c r="KR60" s="123">
        <f t="shared" si="416"/>
        <v>0</v>
      </c>
      <c r="KS60">
        <v>2</v>
      </c>
      <c r="KT60">
        <f t="shared" si="417"/>
        <v>1</v>
      </c>
      <c r="KU60" s="123"/>
      <c r="KV60" s="123"/>
      <c r="KW60" s="123"/>
      <c r="KX60" s="123"/>
      <c r="KY60" s="123"/>
      <c r="KZ60" s="123"/>
      <c r="LA60" s="123"/>
      <c r="LB60" s="123"/>
      <c r="LC60" s="123"/>
      <c r="LD60" s="123"/>
      <c r="LE60" s="123"/>
      <c r="LF60" s="123"/>
      <c r="LG60" s="123"/>
      <c r="LH60" s="123"/>
      <c r="LI60" s="123"/>
      <c r="LJ60" s="123"/>
      <c r="LK60" s="123"/>
      <c r="LL60" s="123"/>
      <c r="LM60" s="123">
        <v>1</v>
      </c>
      <c r="LN60" s="123">
        <v>1</v>
      </c>
      <c r="LO60" s="123"/>
      <c r="LP60" s="123"/>
      <c r="LQ60" s="123"/>
      <c r="LR60" s="123"/>
      <c r="LS60" s="123"/>
      <c r="LT60" s="123"/>
      <c r="LU60" s="123"/>
      <c r="LV60" s="123"/>
      <c r="LW60" s="123"/>
      <c r="LX60" s="123"/>
      <c r="LY60" s="123"/>
      <c r="LZ60" s="123"/>
      <c r="MA60" s="123"/>
      <c r="MB60" s="123"/>
      <c r="MC60" s="123"/>
      <c r="MD60" s="123"/>
      <c r="ME60" s="123"/>
      <c r="MF60" s="123"/>
      <c r="MG60" s="123"/>
      <c r="MH60" s="123"/>
      <c r="MI60" s="123"/>
      <c r="MJ60" s="123"/>
      <c r="MK60" s="123"/>
      <c r="ML60" s="123"/>
      <c r="MM60" s="123"/>
      <c r="MN60" s="123"/>
      <c r="MO60" s="123"/>
      <c r="MP60" s="123"/>
      <c r="MQ60" s="123"/>
      <c r="MR60" s="123"/>
      <c r="MS60" s="123"/>
      <c r="MT60" s="123"/>
      <c r="MU60" s="123"/>
      <c r="MV60" s="123"/>
      <c r="MW60" s="123"/>
      <c r="MX60" s="123"/>
      <c r="MY60" s="123"/>
      <c r="MZ60" s="123"/>
      <c r="NA60" s="123"/>
      <c r="NB60" s="123"/>
      <c r="NC60" s="123"/>
      <c r="ND60" s="123"/>
      <c r="NE60" s="123"/>
      <c r="NF60" s="123"/>
      <c r="NG60" s="123"/>
      <c r="NH60" s="123"/>
      <c r="NI60" s="123"/>
      <c r="NJ60" s="123"/>
      <c r="NK60" s="123"/>
      <c r="NM60">
        <f t="shared" si="511"/>
        <v>0</v>
      </c>
      <c r="NN60">
        <f t="shared" si="512"/>
        <v>1</v>
      </c>
      <c r="NO60">
        <f t="shared" si="513"/>
        <v>0</v>
      </c>
      <c r="NP60">
        <f t="shared" si="514"/>
        <v>0</v>
      </c>
      <c r="NQ60">
        <f t="shared" si="515"/>
        <v>0</v>
      </c>
      <c r="NR60">
        <f t="shared" si="516"/>
        <v>0</v>
      </c>
      <c r="NS60">
        <f t="shared" si="517"/>
        <v>0</v>
      </c>
      <c r="NT60">
        <f t="shared" si="518"/>
        <v>1</v>
      </c>
      <c r="NU60" s="29">
        <f t="shared" si="519"/>
        <v>0</v>
      </c>
      <c r="NY60" s="29">
        <f t="shared" si="418"/>
        <v>0</v>
      </c>
      <c r="NZ60" s="152"/>
      <c r="OE60" s="155"/>
      <c r="OF60" s="155"/>
      <c r="OG60" s="155"/>
      <c r="OH60" s="155"/>
      <c r="OI60" s="155"/>
      <c r="OJ60" s="67"/>
      <c r="OK60" s="67"/>
      <c r="OL60" s="67"/>
      <c r="OM60" s="67"/>
      <c r="OO60" s="155"/>
      <c r="OP60" s="155"/>
      <c r="OQ60" s="155"/>
      <c r="OR60" s="155"/>
      <c r="OS60" s="155"/>
      <c r="OT60" s="67"/>
      <c r="OU60" s="67"/>
      <c r="OV60" s="67"/>
      <c r="OW60" s="67"/>
      <c r="PA60" s="166"/>
      <c r="PB60" s="166">
        <v>1</v>
      </c>
      <c r="PC60" s="166">
        <v>1</v>
      </c>
      <c r="PD60" s="210">
        <f t="shared" si="115"/>
        <v>0</v>
      </c>
      <c r="PE60" s="210"/>
      <c r="PF60" s="210">
        <f t="shared" si="116"/>
        <v>0</v>
      </c>
      <c r="PG60" s="210">
        <f t="shared" si="194"/>
        <v>0</v>
      </c>
      <c r="PH60" s="210">
        <f t="shared" si="194"/>
        <v>371</v>
      </c>
      <c r="PI60" s="210">
        <f t="shared" si="194"/>
        <v>371</v>
      </c>
      <c r="PJ60" s="210">
        <f t="shared" si="194"/>
        <v>0</v>
      </c>
      <c r="PK60" s="210">
        <f t="shared" si="194"/>
        <v>0</v>
      </c>
      <c r="PL60" s="210">
        <f t="shared" si="194"/>
        <v>0</v>
      </c>
      <c r="PO60" s="172">
        <f t="shared" si="177"/>
        <v>0</v>
      </c>
      <c r="PP60" s="172">
        <f t="shared" si="178"/>
        <v>0</v>
      </c>
      <c r="PQ60" s="172">
        <f t="shared" si="179"/>
        <v>0</v>
      </c>
    </row>
    <row r="61" spans="1:433" ht="16" x14ac:dyDescent="0.2">
      <c r="A61" s="19">
        <f t="shared" si="180"/>
        <v>52</v>
      </c>
      <c r="B61" s="237" t="s">
        <v>609</v>
      </c>
      <c r="C61" s="186">
        <v>3</v>
      </c>
      <c r="D61" s="188">
        <v>1</v>
      </c>
      <c r="E61" s="188">
        <v>787</v>
      </c>
      <c r="F61" s="188">
        <v>1</v>
      </c>
      <c r="G61" s="20">
        <f>E61</f>
        <v>787</v>
      </c>
      <c r="H61" s="137">
        <f t="shared" si="426"/>
        <v>1</v>
      </c>
      <c r="I61" s="137">
        <f t="shared" si="427"/>
        <v>1</v>
      </c>
      <c r="J61" s="168">
        <v>1</v>
      </c>
      <c r="K61" s="20">
        <f t="shared" si="428"/>
        <v>787</v>
      </c>
      <c r="L61" s="137">
        <f t="shared" si="429"/>
        <v>1</v>
      </c>
      <c r="M61" s="137">
        <f t="shared" si="430"/>
        <v>1</v>
      </c>
      <c r="N61" s="168">
        <v>1</v>
      </c>
      <c r="O61" s="20">
        <f t="shared" si="431"/>
        <v>787</v>
      </c>
      <c r="P61" s="137">
        <f t="shared" si="432"/>
        <v>1</v>
      </c>
      <c r="Q61" s="137">
        <f t="shared" si="433"/>
        <v>1</v>
      </c>
      <c r="R61" s="20"/>
      <c r="S61" s="20">
        <f t="shared" si="434"/>
        <v>0</v>
      </c>
      <c r="T61" s="137">
        <f t="shared" si="435"/>
        <v>0</v>
      </c>
      <c r="U61" s="137">
        <f t="shared" si="436"/>
        <v>0</v>
      </c>
      <c r="V61" s="20"/>
      <c r="W61" s="20">
        <f t="shared" si="437"/>
        <v>0</v>
      </c>
      <c r="X61" s="137">
        <f t="shared" si="438"/>
        <v>0</v>
      </c>
      <c r="Y61" s="137">
        <f t="shared" si="439"/>
        <v>0</v>
      </c>
      <c r="Z61" s="43"/>
      <c r="AA61" s="65"/>
      <c r="AB61" s="17">
        <f t="shared" si="440"/>
        <v>0</v>
      </c>
      <c r="AC61" s="18">
        <f t="shared" si="441"/>
        <v>0</v>
      </c>
      <c r="AD61" s="18">
        <f t="shared" si="442"/>
        <v>0</v>
      </c>
      <c r="AE61" s="40"/>
      <c r="AF61" s="20">
        <f t="shared" si="121"/>
        <v>0</v>
      </c>
      <c r="AG61" s="20"/>
      <c r="AH61" s="32"/>
      <c r="AI61" s="20">
        <v>0</v>
      </c>
      <c r="AJ61" s="20">
        <f t="shared" si="443"/>
        <v>0</v>
      </c>
      <c r="AK61" s="20"/>
      <c r="AL61" s="31"/>
      <c r="AM61" s="31"/>
      <c r="AN61" s="139">
        <v>1</v>
      </c>
      <c r="BB61" s="17">
        <f t="shared" si="444"/>
        <v>787</v>
      </c>
      <c r="BE61" s="17">
        <f t="shared" si="445"/>
        <v>0</v>
      </c>
      <c r="BF61" s="17">
        <f t="shared" si="446"/>
        <v>0</v>
      </c>
      <c r="BG61" s="17">
        <f t="shared" si="447"/>
        <v>0</v>
      </c>
      <c r="BH61" s="17">
        <f t="shared" si="448"/>
        <v>0</v>
      </c>
      <c r="BI61" s="17">
        <f t="shared" si="449"/>
        <v>0</v>
      </c>
      <c r="BJ61" s="17">
        <f t="shared" si="450"/>
        <v>0</v>
      </c>
      <c r="BK61" s="17">
        <f t="shared" si="451"/>
        <v>0</v>
      </c>
      <c r="BN61" s="142"/>
      <c r="BP61" s="139"/>
      <c r="BQ61" s="139"/>
      <c r="BR61" s="139"/>
      <c r="BS61" s="139"/>
      <c r="BT61" s="139"/>
      <c r="BU61" s="139"/>
      <c r="BV61" s="139"/>
      <c r="BW61" s="139"/>
      <c r="BX61" s="139"/>
      <c r="BY61" s="139"/>
      <c r="BZ61" s="139"/>
      <c r="CB61" s="139"/>
      <c r="CD61" s="17">
        <f t="shared" si="452"/>
        <v>0</v>
      </c>
      <c r="CE61" s="17">
        <f t="shared" si="453"/>
        <v>0</v>
      </c>
      <c r="CF61" s="139">
        <f t="shared" si="454"/>
        <v>0</v>
      </c>
      <c r="CG61" s="139">
        <f t="shared" si="455"/>
        <v>0</v>
      </c>
      <c r="CH61" s="139">
        <f t="shared" si="456"/>
        <v>0</v>
      </c>
      <c r="CI61" s="139">
        <f t="shared" si="457"/>
        <v>0</v>
      </c>
      <c r="CJ61" s="139">
        <f t="shared" si="458"/>
        <v>0</v>
      </c>
      <c r="CK61" s="139">
        <f t="shared" si="459"/>
        <v>0</v>
      </c>
      <c r="CL61" s="139">
        <f t="shared" si="460"/>
        <v>0</v>
      </c>
      <c r="CM61" s="139">
        <f t="shared" si="461"/>
        <v>0</v>
      </c>
      <c r="CN61" s="139">
        <f t="shared" si="462"/>
        <v>0</v>
      </c>
      <c r="CO61" s="139">
        <f t="shared" si="463"/>
        <v>0</v>
      </c>
      <c r="CP61" s="139">
        <f t="shared" si="464"/>
        <v>0</v>
      </c>
      <c r="CQ61" s="148">
        <f t="shared" si="465"/>
        <v>0</v>
      </c>
      <c r="DV61" s="139">
        <f t="shared" si="466"/>
        <v>0</v>
      </c>
      <c r="DW61" s="139">
        <f t="shared" si="467"/>
        <v>0</v>
      </c>
      <c r="DX61" s="139">
        <f t="shared" si="468"/>
        <v>0</v>
      </c>
      <c r="DY61" s="139">
        <f t="shared" si="469"/>
        <v>0</v>
      </c>
      <c r="DZ61" s="139">
        <f t="shared" si="470"/>
        <v>0</v>
      </c>
      <c r="EA61" s="139">
        <f t="shared" si="471"/>
        <v>0</v>
      </c>
      <c r="EB61" s="139">
        <f t="shared" si="472"/>
        <v>0</v>
      </c>
      <c r="EG61" s="57">
        <f t="shared" si="473"/>
        <v>0</v>
      </c>
      <c r="EH61" s="57">
        <f t="shared" si="474"/>
        <v>0</v>
      </c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X61" s="80"/>
      <c r="FY61" s="17">
        <f t="shared" si="475"/>
        <v>0</v>
      </c>
      <c r="FZ61" s="17">
        <f t="shared" si="360"/>
        <v>0</v>
      </c>
      <c r="GA61" s="17">
        <f t="shared" si="361"/>
        <v>0</v>
      </c>
      <c r="GB61" s="17">
        <f t="shared" si="362"/>
        <v>0</v>
      </c>
      <c r="GC61" s="17">
        <f t="shared" si="363"/>
        <v>0</v>
      </c>
      <c r="GD61" s="17">
        <f t="shared" si="364"/>
        <v>0</v>
      </c>
      <c r="GE61" s="17">
        <f t="shared" si="365"/>
        <v>0</v>
      </c>
      <c r="GF61" s="67"/>
      <c r="GG61" s="17">
        <v>0</v>
      </c>
      <c r="GH61" s="17">
        <v>0</v>
      </c>
      <c r="GI61" s="67"/>
      <c r="GJ61" s="62">
        <f t="shared" si="476"/>
        <v>0</v>
      </c>
      <c r="GK61" s="62">
        <f t="shared" si="477"/>
        <v>0</v>
      </c>
      <c r="GO61" s="17">
        <f t="shared" si="366"/>
        <v>0</v>
      </c>
      <c r="GP61" s="17">
        <f t="shared" si="367"/>
        <v>0</v>
      </c>
      <c r="GQ61" s="17">
        <f t="shared" si="368"/>
        <v>0</v>
      </c>
      <c r="GR61" s="17">
        <f t="shared" si="369"/>
        <v>1</v>
      </c>
      <c r="GS61" s="17">
        <f t="shared" si="370"/>
        <v>1</v>
      </c>
      <c r="GT61" s="17">
        <f t="shared" si="478"/>
        <v>0</v>
      </c>
      <c r="GU61" s="101">
        <f t="shared" si="134"/>
        <v>43243</v>
      </c>
      <c r="GV61" s="17" t="str">
        <f t="shared" si="479"/>
        <v>Musyawarah</v>
      </c>
      <c r="GW61" s="17">
        <f t="shared" si="480"/>
        <v>1</v>
      </c>
      <c r="GX61" s="66" t="str">
        <f t="shared" si="481"/>
        <v>Musyawarah</v>
      </c>
      <c r="GY61" s="66">
        <f t="shared" si="482"/>
        <v>24</v>
      </c>
      <c r="GZ61" s="102">
        <f t="shared" si="483"/>
        <v>43267</v>
      </c>
      <c r="HA61" s="83"/>
      <c r="HB61" s="83"/>
      <c r="HC61" s="17">
        <f t="shared" si="371"/>
        <v>0</v>
      </c>
      <c r="HD61" s="17">
        <f t="shared" si="372"/>
        <v>0</v>
      </c>
      <c r="HE61" s="17">
        <f t="shared" si="484"/>
        <v>0</v>
      </c>
      <c r="HF61" s="17">
        <f t="shared" si="485"/>
        <v>0</v>
      </c>
      <c r="HG61" s="17">
        <f t="shared" si="486"/>
        <v>0</v>
      </c>
      <c r="HH61" s="101" t="str">
        <f t="shared" si="487"/>
        <v>TIDAK KONSINYASI</v>
      </c>
      <c r="HI61" s="101">
        <f t="shared" si="488"/>
        <v>43312</v>
      </c>
      <c r="HJ61" s="27"/>
      <c r="HK61" s="101">
        <f t="shared" si="489"/>
        <v>43312</v>
      </c>
      <c r="HL61" s="83"/>
      <c r="HM61" s="83"/>
      <c r="HN61" s="83"/>
      <c r="HO61" s="83"/>
      <c r="HP61" s="102">
        <f t="shared" si="490"/>
        <v>0</v>
      </c>
      <c r="HQ61" s="66">
        <f t="shared" si="491"/>
        <v>0</v>
      </c>
      <c r="HR61" s="66">
        <f t="shared" si="373"/>
        <v>0</v>
      </c>
      <c r="HS61" s="102">
        <f t="shared" si="492"/>
        <v>0</v>
      </c>
      <c r="HT61" s="66">
        <f t="shared" si="493"/>
        <v>0</v>
      </c>
      <c r="HU61" s="66">
        <f t="shared" si="374"/>
        <v>0</v>
      </c>
      <c r="HV61" s="102">
        <f t="shared" si="494"/>
        <v>0</v>
      </c>
      <c r="HW61" s="66">
        <f t="shared" si="495"/>
        <v>0</v>
      </c>
      <c r="HX61" s="66">
        <f t="shared" si="375"/>
        <v>0</v>
      </c>
      <c r="HY61" s="102">
        <f t="shared" si="496"/>
        <v>0</v>
      </c>
      <c r="HZ61" s="66">
        <f t="shared" si="497"/>
        <v>0</v>
      </c>
      <c r="IA61" s="66">
        <f t="shared" si="376"/>
        <v>0</v>
      </c>
      <c r="IB61" s="102">
        <f t="shared" si="498"/>
        <v>0</v>
      </c>
      <c r="IC61" s="66">
        <f t="shared" si="499"/>
        <v>0</v>
      </c>
      <c r="ID61" s="66">
        <f t="shared" si="377"/>
        <v>0</v>
      </c>
      <c r="IE61" s="102">
        <f t="shared" si="500"/>
        <v>0</v>
      </c>
      <c r="IF61" s="66">
        <f t="shared" si="501"/>
        <v>0</v>
      </c>
      <c r="IG61" s="66">
        <f t="shared" si="378"/>
        <v>0</v>
      </c>
      <c r="IH61" s="102">
        <f t="shared" si="502"/>
        <v>0</v>
      </c>
      <c r="II61" s="66">
        <f t="shared" si="503"/>
        <v>0</v>
      </c>
      <c r="IJ61" s="66">
        <f t="shared" si="379"/>
        <v>0</v>
      </c>
      <c r="IK61" s="102">
        <f t="shared" si="504"/>
        <v>0</v>
      </c>
      <c r="IL61" s="66">
        <f t="shared" si="505"/>
        <v>0</v>
      </c>
      <c r="IM61" s="66">
        <f t="shared" si="380"/>
        <v>0</v>
      </c>
      <c r="IN61" s="83"/>
      <c r="IO61" s="102">
        <f t="shared" si="506"/>
        <v>0</v>
      </c>
      <c r="IP61" s="66">
        <f t="shared" si="381"/>
        <v>0</v>
      </c>
      <c r="IQ61" s="66">
        <f t="shared" si="382"/>
        <v>0</v>
      </c>
      <c r="IR61" s="83"/>
      <c r="IS61" s="102"/>
      <c r="IT61" s="66">
        <f t="shared" si="383"/>
        <v>0</v>
      </c>
      <c r="IU61" s="66">
        <f t="shared" si="384"/>
        <v>0</v>
      </c>
      <c r="IV61" s="83"/>
      <c r="IW61" s="102"/>
      <c r="IX61" s="66">
        <f t="shared" si="385"/>
        <v>0</v>
      </c>
      <c r="IY61" s="66">
        <f t="shared" si="386"/>
        <v>0</v>
      </c>
      <c r="IZ61" s="83"/>
      <c r="JA61" s="102"/>
      <c r="JB61" s="66">
        <f t="shared" si="387"/>
        <v>1</v>
      </c>
      <c r="JC61" s="66">
        <f t="shared" si="388"/>
        <v>787</v>
      </c>
      <c r="JD61" s="83"/>
      <c r="JE61" s="102"/>
      <c r="JF61" s="66">
        <f t="shared" si="507"/>
        <v>1</v>
      </c>
      <c r="JG61" s="66">
        <f t="shared" si="508"/>
        <v>787</v>
      </c>
      <c r="JH61" s="83"/>
      <c r="JI61" s="102"/>
      <c r="JJ61" s="66">
        <f t="shared" si="389"/>
        <v>0</v>
      </c>
      <c r="JK61" s="66">
        <f t="shared" si="390"/>
        <v>0</v>
      </c>
      <c r="JM61" s="102">
        <f t="shared" si="509"/>
        <v>0</v>
      </c>
      <c r="JO61" s="29">
        <f t="shared" si="510"/>
        <v>0</v>
      </c>
      <c r="JP61" s="122">
        <f t="shared" si="391"/>
        <v>0</v>
      </c>
      <c r="JQ61" s="122">
        <f t="shared" si="392"/>
        <v>0</v>
      </c>
      <c r="JR61" s="122">
        <f t="shared" si="393"/>
        <v>0</v>
      </c>
      <c r="JS61" s="122">
        <f t="shared" si="394"/>
        <v>0</v>
      </c>
      <c r="JT61" s="122">
        <f t="shared" si="395"/>
        <v>0</v>
      </c>
      <c r="JU61" s="122">
        <f t="shared" si="396"/>
        <v>0</v>
      </c>
      <c r="JV61" s="122">
        <f t="shared" si="397"/>
        <v>0</v>
      </c>
      <c r="JW61" s="122">
        <f t="shared" si="398"/>
        <v>0</v>
      </c>
      <c r="JX61" s="122">
        <f t="shared" si="399"/>
        <v>0</v>
      </c>
      <c r="JY61" s="122">
        <f t="shared" si="400"/>
        <v>0</v>
      </c>
      <c r="JZ61" s="122">
        <f t="shared" si="401"/>
        <v>0</v>
      </c>
      <c r="KA61" s="122">
        <f t="shared" si="402"/>
        <v>0</v>
      </c>
      <c r="KB61" s="122">
        <f t="shared" si="403"/>
        <v>0</v>
      </c>
      <c r="KD61" s="122">
        <f t="shared" si="155"/>
        <v>0</v>
      </c>
      <c r="KE61" s="122">
        <f t="shared" si="92"/>
        <v>0</v>
      </c>
      <c r="KF61" s="122">
        <f t="shared" si="404"/>
        <v>0</v>
      </c>
      <c r="KG61" s="122">
        <f t="shared" si="405"/>
        <v>0</v>
      </c>
      <c r="KH61" s="122">
        <f t="shared" si="406"/>
        <v>0</v>
      </c>
      <c r="KI61" s="122">
        <f t="shared" si="407"/>
        <v>0</v>
      </c>
      <c r="KJ61" s="122">
        <f t="shared" si="408"/>
        <v>0</v>
      </c>
      <c r="KK61" s="122">
        <f t="shared" si="409"/>
        <v>0</v>
      </c>
      <c r="KL61" s="122">
        <f t="shared" si="410"/>
        <v>0</v>
      </c>
      <c r="KM61" s="122">
        <f t="shared" si="411"/>
        <v>0</v>
      </c>
      <c r="KN61" s="123">
        <f t="shared" si="412"/>
        <v>0</v>
      </c>
      <c r="KO61" s="123">
        <f t="shared" si="413"/>
        <v>0</v>
      </c>
      <c r="KP61" s="123">
        <f t="shared" si="414"/>
        <v>0</v>
      </c>
      <c r="KQ61" s="123">
        <f t="shared" si="415"/>
        <v>0</v>
      </c>
      <c r="KR61" s="123">
        <f t="shared" si="416"/>
        <v>0</v>
      </c>
      <c r="KS61">
        <v>1</v>
      </c>
      <c r="KT61">
        <f t="shared" si="417"/>
        <v>1</v>
      </c>
      <c r="KU61" s="123"/>
      <c r="KV61" s="123"/>
      <c r="KW61" s="123"/>
      <c r="KX61" s="123"/>
      <c r="KY61" s="123"/>
      <c r="KZ61" s="123"/>
      <c r="LA61" s="123"/>
      <c r="LB61" s="123"/>
      <c r="LC61" s="123"/>
      <c r="LD61" s="123"/>
      <c r="LE61" s="123"/>
      <c r="LF61" s="123"/>
      <c r="LG61" s="123"/>
      <c r="LH61" s="123"/>
      <c r="LI61" s="123"/>
      <c r="LJ61" s="123"/>
      <c r="LK61" s="123"/>
      <c r="LL61" s="123"/>
      <c r="LM61" s="123"/>
      <c r="LN61" s="123"/>
      <c r="LO61" s="123"/>
      <c r="LP61" s="123"/>
      <c r="LQ61" s="123"/>
      <c r="LR61" s="123"/>
      <c r="LS61" s="123"/>
      <c r="LT61" s="123"/>
      <c r="LU61" s="123"/>
      <c r="LV61" s="123"/>
      <c r="LW61" s="123"/>
      <c r="LX61" s="123"/>
      <c r="LY61" s="123"/>
      <c r="LZ61" s="123"/>
      <c r="MA61" s="123"/>
      <c r="MB61" s="123"/>
      <c r="MC61" s="123"/>
      <c r="MD61" s="123"/>
      <c r="ME61" s="123"/>
      <c r="MF61" s="123"/>
      <c r="MG61" s="123"/>
      <c r="MH61" s="123"/>
      <c r="MI61" s="123"/>
      <c r="MJ61" s="123"/>
      <c r="MK61" s="123"/>
      <c r="ML61" s="123"/>
      <c r="MM61" s="123"/>
      <c r="MN61" s="123"/>
      <c r="MO61" s="123"/>
      <c r="MP61" s="123"/>
      <c r="MQ61" s="123"/>
      <c r="MR61" s="123"/>
      <c r="MS61" s="123"/>
      <c r="MT61" s="123"/>
      <c r="MU61" s="123"/>
      <c r="MV61" s="123"/>
      <c r="MW61" s="123"/>
      <c r="MX61" s="123"/>
      <c r="MY61" s="123"/>
      <c r="MZ61" s="123"/>
      <c r="NA61" s="123"/>
      <c r="NB61" s="123"/>
      <c r="NC61" s="123"/>
      <c r="ND61" s="123"/>
      <c r="NE61" s="123"/>
      <c r="NF61" s="123"/>
      <c r="NG61" s="123"/>
      <c r="NH61" s="123"/>
      <c r="NI61" s="123"/>
      <c r="NJ61" s="123"/>
      <c r="NK61" s="123"/>
      <c r="NM61">
        <f t="shared" si="511"/>
        <v>1</v>
      </c>
      <c r="NN61">
        <f t="shared" si="512"/>
        <v>0</v>
      </c>
      <c r="NO61">
        <f t="shared" si="513"/>
        <v>0</v>
      </c>
      <c r="NP61">
        <f t="shared" si="514"/>
        <v>0</v>
      </c>
      <c r="NQ61">
        <f t="shared" si="515"/>
        <v>0</v>
      </c>
      <c r="NR61">
        <f t="shared" si="516"/>
        <v>0</v>
      </c>
      <c r="NS61">
        <f t="shared" si="517"/>
        <v>0</v>
      </c>
      <c r="NT61">
        <f t="shared" si="518"/>
        <v>1</v>
      </c>
      <c r="NU61" s="29">
        <f t="shared" si="519"/>
        <v>0</v>
      </c>
      <c r="NY61" s="29">
        <f t="shared" si="418"/>
        <v>0</v>
      </c>
      <c r="NZ61" s="152"/>
      <c r="OE61" s="155"/>
      <c r="OF61" s="155"/>
      <c r="OG61" s="155"/>
      <c r="OH61" s="155"/>
      <c r="OI61" s="155"/>
      <c r="OJ61" s="67"/>
      <c r="OK61" s="67"/>
      <c r="OL61" s="67"/>
      <c r="OM61" s="67"/>
      <c r="OO61" s="155"/>
      <c r="OP61" s="155"/>
      <c r="OQ61" s="155"/>
      <c r="OR61" s="155"/>
      <c r="OS61" s="155"/>
      <c r="OT61" s="67"/>
      <c r="OU61" s="67"/>
      <c r="OV61" s="67"/>
      <c r="OW61" s="67"/>
      <c r="PA61" s="166">
        <v>1</v>
      </c>
      <c r="PB61" s="166"/>
      <c r="PC61" s="166"/>
      <c r="PD61" s="210">
        <f t="shared" si="115"/>
        <v>0</v>
      </c>
      <c r="PE61" s="210"/>
      <c r="PF61" s="210">
        <f t="shared" si="116"/>
        <v>0</v>
      </c>
      <c r="PG61" s="210">
        <f t="shared" si="194"/>
        <v>787</v>
      </c>
      <c r="PH61" s="210">
        <f t="shared" si="194"/>
        <v>0</v>
      </c>
      <c r="PI61" s="210">
        <f t="shared" si="194"/>
        <v>0</v>
      </c>
      <c r="PJ61" s="210">
        <f t="shared" si="194"/>
        <v>0</v>
      </c>
      <c r="PK61" s="210">
        <f t="shared" si="194"/>
        <v>0</v>
      </c>
      <c r="PL61" s="210">
        <f t="shared" si="194"/>
        <v>0</v>
      </c>
      <c r="PO61" s="172">
        <f t="shared" si="177"/>
        <v>0</v>
      </c>
      <c r="PP61" s="172">
        <f t="shared" si="178"/>
        <v>0</v>
      </c>
      <c r="PQ61" s="172">
        <f t="shared" si="179"/>
        <v>0</v>
      </c>
    </row>
    <row r="62" spans="1:433" ht="16" x14ac:dyDescent="0.2">
      <c r="A62" s="19">
        <f t="shared" si="180"/>
        <v>53</v>
      </c>
      <c r="B62" s="237" t="s">
        <v>675</v>
      </c>
      <c r="C62" s="186">
        <v>6</v>
      </c>
      <c r="D62" s="188">
        <v>1</v>
      </c>
      <c r="E62" s="188">
        <v>1704</v>
      </c>
      <c r="F62" s="188">
        <v>1</v>
      </c>
      <c r="G62" s="20">
        <f>E62</f>
        <v>1704</v>
      </c>
      <c r="H62" s="137">
        <f t="shared" ref="H62" si="521">F62/$D62</f>
        <v>1</v>
      </c>
      <c r="I62" s="137">
        <f t="shared" ref="I62" si="522">G62/$E62</f>
        <v>1</v>
      </c>
      <c r="J62" s="188">
        <v>1</v>
      </c>
      <c r="K62" s="20">
        <f t="shared" ref="K62" si="523">IF(J62=D62,E62,0)</f>
        <v>1704</v>
      </c>
      <c r="L62" s="137">
        <f t="shared" ref="L62" si="524">J62/$D62</f>
        <v>1</v>
      </c>
      <c r="M62" s="137">
        <f t="shared" ref="M62" si="525">K62/$E62</f>
        <v>1</v>
      </c>
      <c r="N62" s="188">
        <v>1</v>
      </c>
      <c r="O62" s="20">
        <f t="shared" ref="O62" si="526">IF(N62=D62,E62,0)</f>
        <v>1704</v>
      </c>
      <c r="P62" s="137">
        <f t="shared" ref="P62" si="527">N62/$D62</f>
        <v>1</v>
      </c>
      <c r="Q62" s="137">
        <f t="shared" ref="Q62" si="528">O62/$E62</f>
        <v>1</v>
      </c>
      <c r="R62" s="20"/>
      <c r="S62" s="20">
        <f t="shared" ref="S62" si="529">IF(R62=D62,E62,0)</f>
        <v>0</v>
      </c>
      <c r="T62" s="137">
        <f t="shared" ref="T62" si="530">R62/$D62</f>
        <v>0</v>
      </c>
      <c r="U62" s="137">
        <f t="shared" ref="U62" si="531">S62/$E62</f>
        <v>0</v>
      </c>
      <c r="V62" s="20"/>
      <c r="W62" s="20">
        <f t="shared" ref="W62" si="532">IF(V62=D62,E62,0)</f>
        <v>0</v>
      </c>
      <c r="X62" s="137">
        <f t="shared" ref="X62" si="533">V62/$D62</f>
        <v>0</v>
      </c>
      <c r="Y62" s="137">
        <f t="shared" ref="Y62" si="534">W62/$E62</f>
        <v>0</v>
      </c>
      <c r="Z62" s="43"/>
      <c r="AA62" s="65"/>
      <c r="AB62" s="17">
        <f t="shared" ref="AB62" si="535">IF(AA62=D62,E62,0)</f>
        <v>0</v>
      </c>
      <c r="AC62" s="18">
        <f t="shared" ref="AC62" si="536">AA62/$D62</f>
        <v>0</v>
      </c>
      <c r="AD62" s="18">
        <f t="shared" ref="AD62" si="537">AB62/$E62</f>
        <v>0</v>
      </c>
      <c r="AE62" s="40"/>
      <c r="AF62" s="20">
        <f t="shared" ref="AF62" si="538">R62-V62</f>
        <v>0</v>
      </c>
      <c r="AG62" s="20"/>
      <c r="AH62" s="32"/>
      <c r="AI62" s="20">
        <v>0</v>
      </c>
      <c r="AJ62" s="20">
        <f t="shared" ref="AJ62" si="539">IF(AI62=D62,E62,0)</f>
        <v>0</v>
      </c>
      <c r="AK62" s="20"/>
      <c r="AL62" s="31"/>
      <c r="AM62" s="31"/>
      <c r="AN62" s="139">
        <v>1</v>
      </c>
      <c r="BB62" s="17">
        <f t="shared" ref="BB62" si="540">IF(AN62=1,E62,0)</f>
        <v>1704</v>
      </c>
      <c r="BE62" s="17">
        <f t="shared" ref="BE62" si="541">IF(AF62=1,S62,0)</f>
        <v>0</v>
      </c>
      <c r="BF62" s="17">
        <f t="shared" ref="BF62" si="542">IF(AG62="A",S62,0)</f>
        <v>0</v>
      </c>
      <c r="BG62" s="17">
        <f t="shared" ref="BG62" si="543">IF(AG62="B",S62,0)</f>
        <v>0</v>
      </c>
      <c r="BH62" s="17">
        <f t="shared" ref="BH62" si="544">IF(AG62="C",S62,0)</f>
        <v>0</v>
      </c>
      <c r="BI62" s="17">
        <f t="shared" ref="BI62" si="545">IF(AG62="D",S62,0)</f>
        <v>0</v>
      </c>
      <c r="BJ62" s="17">
        <f t="shared" ref="BJ62" si="546">IF(AG62="E",S62,0)</f>
        <v>0</v>
      </c>
      <c r="BK62" s="17">
        <f t="shared" ref="BK62" si="547">SUM(BF62:BJ62)</f>
        <v>0</v>
      </c>
      <c r="BN62" s="142"/>
      <c r="BP62" s="139"/>
      <c r="BQ62" s="139"/>
      <c r="BR62" s="139"/>
      <c r="BS62" s="139"/>
      <c r="BT62" s="139"/>
      <c r="BU62" s="139"/>
      <c r="BV62" s="139"/>
      <c r="BW62" s="139"/>
      <c r="BX62" s="139"/>
      <c r="BY62" s="139"/>
      <c r="BZ62" s="139"/>
      <c r="CB62" s="139"/>
      <c r="CD62" s="17">
        <f t="shared" ref="CD62" si="548">BN62</f>
        <v>0</v>
      </c>
      <c r="CE62" s="17">
        <f t="shared" ref="CE62" si="549">IF(BO62=1,$CD62,0)</f>
        <v>0</v>
      </c>
      <c r="CF62" s="139">
        <f t="shared" ref="CF62" si="550">IF(BP62=1,$CD62,0)</f>
        <v>0</v>
      </c>
      <c r="CG62" s="139">
        <f t="shared" ref="CG62" si="551">IF(BQ62=1,$CD62,0)</f>
        <v>0</v>
      </c>
      <c r="CH62" s="139">
        <f t="shared" ref="CH62" si="552">IF(BR62=1,$CD62,0)</f>
        <v>0</v>
      </c>
      <c r="CI62" s="139">
        <f t="shared" ref="CI62" si="553">IF(BS62=1,$CD62,0)</f>
        <v>0</v>
      </c>
      <c r="CJ62" s="139">
        <f t="shared" ref="CJ62" si="554">IF(BT62=1,$CD62,0)</f>
        <v>0</v>
      </c>
      <c r="CK62" s="139">
        <f t="shared" ref="CK62" si="555">IF(BU62=1,$CD62,0)</f>
        <v>0</v>
      </c>
      <c r="CL62" s="139">
        <f t="shared" ref="CL62" si="556">IF(BV62=1,$CD62,0)</f>
        <v>0</v>
      </c>
      <c r="CM62" s="139">
        <f t="shared" ref="CM62" si="557">IF(BW62=1,$CD62,0)</f>
        <v>0</v>
      </c>
      <c r="CN62" s="139">
        <f t="shared" ref="CN62" si="558">IF(BX62=1,$CD62,0)</f>
        <v>0</v>
      </c>
      <c r="CO62" s="139">
        <f t="shared" ref="CO62" si="559">IF(BY62=1,$CD62,0)</f>
        <v>0</v>
      </c>
      <c r="CP62" s="139">
        <f t="shared" ref="CP62" si="560">IF(BZ62=1,$CD62,0)</f>
        <v>0</v>
      </c>
      <c r="CQ62" s="148">
        <f t="shared" ref="CQ62" si="561">SUM(CE62:CP62)-CD62</f>
        <v>0</v>
      </c>
      <c r="DV62" s="139">
        <f t="shared" ref="DV62" si="562">IF(CB62=1,G62,0)</f>
        <v>0</v>
      </c>
      <c r="DW62" s="139">
        <f t="shared" ref="DW62" si="563">IF(CC62="A",G62,0)</f>
        <v>0</v>
      </c>
      <c r="DX62" s="139">
        <f t="shared" ref="DX62" si="564">IF(CC62="B",G62,0)</f>
        <v>0</v>
      </c>
      <c r="DY62" s="139">
        <f t="shared" ref="DY62" si="565">IF(CC62="C",G62,0)</f>
        <v>0</v>
      </c>
      <c r="DZ62" s="139">
        <f t="shared" ref="DZ62" si="566">IF(CC62="D",G62,0)</f>
        <v>0</v>
      </c>
      <c r="EA62" s="139">
        <f t="shared" ref="EA62" si="567">IF(CC62="E",G62,0)</f>
        <v>0</v>
      </c>
      <c r="EB62" s="139">
        <f t="shared" ref="EB62" si="568">SUM(DW62:EA62)</f>
        <v>0</v>
      </c>
      <c r="EG62" s="57">
        <f t="shared" ref="EG62" si="569">IF(AG62="C","C",IF(AG62="D","D",0))</f>
        <v>0</v>
      </c>
      <c r="EH62" s="57">
        <f t="shared" ref="EH62" si="570">CC62</f>
        <v>0</v>
      </c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X62" s="80"/>
      <c r="FY62" s="17">
        <f t="shared" ref="FY62" si="571">SUM(FZ62:GE62)</f>
        <v>0</v>
      </c>
      <c r="FZ62" s="17">
        <f t="shared" ref="FZ62" si="572">DI62+CE62</f>
        <v>0</v>
      </c>
      <c r="GA62" s="17">
        <f t="shared" ref="GA62" si="573">DJ62+CF62</f>
        <v>0</v>
      </c>
      <c r="GB62" s="17">
        <f t="shared" ref="GB62" si="574">DK62+CG62</f>
        <v>0</v>
      </c>
      <c r="GC62" s="17">
        <f t="shared" ref="GC62" si="575">DM62+CI62</f>
        <v>0</v>
      </c>
      <c r="GD62" s="17">
        <f t="shared" ref="GD62" si="576">DO62+CK62</f>
        <v>0</v>
      </c>
      <c r="GE62" s="17">
        <f t="shared" ref="GE62" si="577">DT62+CP62</f>
        <v>0</v>
      </c>
      <c r="GF62" s="67"/>
      <c r="GG62" s="17">
        <v>0</v>
      </c>
      <c r="GH62" s="17">
        <v>0</v>
      </c>
      <c r="GI62" s="67"/>
      <c r="GJ62" s="62">
        <f t="shared" ref="GJ62" si="578">FY62*GG62/1000000000</f>
        <v>0</v>
      </c>
      <c r="GK62" s="62">
        <f t="shared" ref="GK62" si="579">FY62*GH62/1000000000</f>
        <v>0</v>
      </c>
      <c r="GO62" s="17">
        <f t="shared" ref="GO62" si="580">D62-F62</f>
        <v>0</v>
      </c>
      <c r="GP62" s="17">
        <f t="shared" ref="GP62" si="581">D62-J62</f>
        <v>0</v>
      </c>
      <c r="GQ62" s="17">
        <f t="shared" ref="GQ62" si="582">D62-N62</f>
        <v>0</v>
      </c>
      <c r="GR62" s="17">
        <f t="shared" ref="GR62" si="583">D62-R62</f>
        <v>1</v>
      </c>
      <c r="GS62" s="17">
        <f t="shared" ref="GS62" si="584">D62-V62</f>
        <v>1</v>
      </c>
      <c r="GT62" s="17">
        <f t="shared" ref="GT62" si="585">IF(SUM(GO62:GS62)=0,1,0)</f>
        <v>0</v>
      </c>
      <c r="GU62" s="101">
        <f t="shared" si="134"/>
        <v>43243</v>
      </c>
      <c r="GV62" s="17" t="str">
        <f t="shared" ref="GV62" si="586">IF(GO62&gt;0,$GO$6,IF(GP62&gt;0,$GP$6,IF(GQ62&gt;0,$GQ$6,IF(GR62&gt;0,$GR$6,IF(GS62&gt;0,$GS$6,IF(GT62&gt;0,$GT$6,0))))))</f>
        <v>Musyawarah</v>
      </c>
      <c r="GW62" s="17">
        <f t="shared" ref="GW62" si="587">IF(GV62=$GO$6,GO62,IF(GV62=$GP$6,GP62,IF(GV62=$GQ$6,GQ62,IF(GV62=$GR$6,GR62,IF(GV62=$GS$6,GS62,0)))))</f>
        <v>1</v>
      </c>
      <c r="GX62" s="66" t="str">
        <f t="shared" ref="GX62" si="588">GV62</f>
        <v>Musyawarah</v>
      </c>
      <c r="GY62" s="66">
        <f t="shared" ref="GY62" si="589">IF(GX62="DNP",SUM($GY$4:$GY$8),IF(GX62="Survey KJPP",SUM($GY$5:$GY$8),IF(GX62="Hasil Valuasi",SUM($GY$6:$GY$8),IF(GX62="Musyawarah",SUM($GY$7:$GY$8),IF(GX62="UGR",$GY$8,0)))))</f>
        <v>24</v>
      </c>
      <c r="GZ62" s="102">
        <f t="shared" ref="GZ62" si="590">IF(GW62=0,"SELESAI",GU62+GY62)</f>
        <v>43267</v>
      </c>
      <c r="HA62" s="83"/>
      <c r="HB62" s="83"/>
      <c r="HC62" s="17">
        <f t="shared" ref="HC62" si="591">IF(BH62&gt;0,1,IF(BI62&gt;0,1,0))</f>
        <v>0</v>
      </c>
      <c r="HD62" s="17">
        <f t="shared" ref="HD62" si="592">IF(CB62&gt;0,1,0)</f>
        <v>0</v>
      </c>
      <c r="HE62" s="17">
        <f t="shared" ref="HE62" si="593">HC62+HD62</f>
        <v>0</v>
      </c>
      <c r="HF62" s="17">
        <f t="shared" ref="HF62" si="594">FQ62</f>
        <v>0</v>
      </c>
      <c r="HG62" s="17">
        <f t="shared" ref="HG62" si="595">HE62-HF62</f>
        <v>0</v>
      </c>
      <c r="HH62" s="101" t="str">
        <f t="shared" ref="HH62" si="596">IF(HG62=1,GU62+$HH$8,"TIDAK KONSINYASI")</f>
        <v>TIDAK KONSINYASI</v>
      </c>
      <c r="HI62" s="101">
        <f t="shared" ref="HI62" si="597">IF(GW62=0,"SELESAI",GZ62+$HI$8)</f>
        <v>43312</v>
      </c>
      <c r="HJ62" s="27"/>
      <c r="HK62" s="101">
        <f t="shared" ref="HK62" si="598">MAX(GZ62,HH62,HI62)</f>
        <v>43312</v>
      </c>
      <c r="HL62" s="83"/>
      <c r="HM62" s="83"/>
      <c r="HN62" s="83"/>
      <c r="HO62" s="83"/>
      <c r="HP62" s="102">
        <f t="shared" ref="HP62" si="599">IF(HQ62=1,GZ62,0)</f>
        <v>0</v>
      </c>
      <c r="HQ62" s="66">
        <f t="shared" ref="HQ62" si="600">IF(IX62=0,IF(HT62=0,IF(IP62=0,IF(GV62="UGR",GS62,0),0),0),0)</f>
        <v>0</v>
      </c>
      <c r="HR62" s="66">
        <f t="shared" ref="HR62" si="601">IF(HQ62=1,E62,0)</f>
        <v>0</v>
      </c>
      <c r="HS62" s="102">
        <f t="shared" ref="HS62" si="602">IF(HT62=1,HH62,0)</f>
        <v>0</v>
      </c>
      <c r="HT62" s="66">
        <f t="shared" ref="HT62" si="603">HG62</f>
        <v>0</v>
      </c>
      <c r="HU62" s="66">
        <f t="shared" ref="HU62" si="604">IF(HT62=1,E62,0)</f>
        <v>0</v>
      </c>
      <c r="HV62" s="102">
        <f t="shared" ref="HV62" si="605">IF(HW62=1,GZ62,0)</f>
        <v>0</v>
      </c>
      <c r="HW62" s="66">
        <f t="shared" ref="HW62" si="606">IF(JB62=0,IF(IX62=0,IF(HT62=0,IF(GV62="MUSYAWARAH",GR62,0),0),0),0)</f>
        <v>0</v>
      </c>
      <c r="HX62" s="66">
        <f t="shared" ref="HX62" si="607">IF(HW62=1,E62,0)</f>
        <v>0</v>
      </c>
      <c r="HY62" s="102">
        <f t="shared" ref="HY62" si="608">IF(HZ62=1,HV62+$HI$8,0)</f>
        <v>0</v>
      </c>
      <c r="HZ62" s="66">
        <f t="shared" ref="HZ62" si="609">HW62</f>
        <v>0</v>
      </c>
      <c r="IA62" s="66">
        <f t="shared" ref="IA62" si="610">IF(HZ62=1,E62,0)</f>
        <v>0</v>
      </c>
      <c r="IB62" s="102">
        <f t="shared" ref="IB62" si="611">IF(IC62=1,$GU$3+SUM($GY$6:$GY$8),0)</f>
        <v>0</v>
      </c>
      <c r="IC62" s="66">
        <f t="shared" ref="IC62" si="612">IF(GV62="Hasil Valuasi",GQ62,0)</f>
        <v>0</v>
      </c>
      <c r="ID62" s="66">
        <f t="shared" ref="ID62" si="613">IF(IC62=1,E62,0)</f>
        <v>0</v>
      </c>
      <c r="IE62" s="102">
        <f t="shared" ref="IE62" si="614">IF(IF62=1,IB62+$HI$8,0)</f>
        <v>0</v>
      </c>
      <c r="IF62" s="66">
        <f t="shared" ref="IF62" si="615">IC62</f>
        <v>0</v>
      </c>
      <c r="IG62" s="66">
        <f t="shared" ref="IG62" si="616">IF(IF62=1,E62,0)</f>
        <v>0</v>
      </c>
      <c r="IH62" s="102">
        <f t="shared" ref="IH62" si="617">IF(II62=1,$GU$3+SUM($GY$5:$GY$8),0)</f>
        <v>0</v>
      </c>
      <c r="II62" s="66">
        <f t="shared" ref="II62" si="618">IF(GV62="Survey KJPP",GP62,0)</f>
        <v>0</v>
      </c>
      <c r="IJ62" s="66">
        <f t="shared" ref="IJ62" si="619">IF(II62=1,E62,0)</f>
        <v>0</v>
      </c>
      <c r="IK62" s="102">
        <f t="shared" ref="IK62" si="620">IF(IL62=1,IH62+$HI$8,0)</f>
        <v>0</v>
      </c>
      <c r="IL62" s="66">
        <f t="shared" ref="IL62" si="621">II62</f>
        <v>0</v>
      </c>
      <c r="IM62" s="66">
        <f t="shared" ref="IM62" si="622">IF(IL62=1,E62,0)</f>
        <v>0</v>
      </c>
      <c r="IN62" s="83"/>
      <c r="IO62" s="102">
        <f t="shared" ref="IO62" si="623">IF(IP62=1,+$GU$3+$HH$8,0)</f>
        <v>0</v>
      </c>
      <c r="IP62" s="66">
        <f t="shared" ref="IP62" si="624">IF(BG62&gt;0,1,0)</f>
        <v>0</v>
      </c>
      <c r="IQ62" s="66">
        <f t="shared" ref="IQ62" si="625">IF(IP62=1,E62,0)</f>
        <v>0</v>
      </c>
      <c r="IR62" s="83"/>
      <c r="IS62" s="102"/>
      <c r="IT62" s="66">
        <f t="shared" ref="IT62" si="626">V62</f>
        <v>0</v>
      </c>
      <c r="IU62" s="66">
        <f t="shared" ref="IU62" si="627">W62</f>
        <v>0</v>
      </c>
      <c r="IV62" s="83"/>
      <c r="IW62" s="102"/>
      <c r="IX62" s="66">
        <f t="shared" ref="IX62" si="628">AA62</f>
        <v>0</v>
      </c>
      <c r="IY62" s="66">
        <f t="shared" ref="IY62" si="629">AB62</f>
        <v>0</v>
      </c>
      <c r="IZ62" s="83"/>
      <c r="JA62" s="102"/>
      <c r="JB62" s="66">
        <f t="shared" ref="JB62" si="630">AN62</f>
        <v>1</v>
      </c>
      <c r="JC62" s="66">
        <f t="shared" ref="JC62" si="631">BB62</f>
        <v>1704</v>
      </c>
      <c r="JD62" s="83"/>
      <c r="JE62" s="102"/>
      <c r="JF62" s="66">
        <f t="shared" ref="JF62" si="632">IT62+HQ62+HT62+HZ62+IF62+IL62+IP62+IX62+JB62</f>
        <v>1</v>
      </c>
      <c r="JG62" s="66">
        <f t="shared" ref="JG62" si="633">IU62+HR62+HU62+IA62+IG62+IM62+IQ62+IY62+JC62</f>
        <v>1704</v>
      </c>
      <c r="JH62" s="83"/>
      <c r="JI62" s="102"/>
      <c r="JJ62" s="66">
        <f t="shared" ref="JJ62" si="634">JF62-D62</f>
        <v>0</v>
      </c>
      <c r="JK62" s="66">
        <f t="shared" ref="JK62" si="635">JG62-E62</f>
        <v>0</v>
      </c>
      <c r="JM62" s="102">
        <f t="shared" ref="JM62" si="636">MAX(IW62,IS62,IO62,IK62,IE62,HY62,HS62,HP62)</f>
        <v>0</v>
      </c>
      <c r="JO62" s="29">
        <f t="shared" ref="JO62" si="637">SUM(JQ62:KB62)</f>
        <v>0</v>
      </c>
      <c r="JP62" s="122">
        <f t="shared" ref="JP62" si="638">BN62+CR62</f>
        <v>0</v>
      </c>
      <c r="JQ62" s="122">
        <f t="shared" ref="JQ62" si="639">IF(BO62+CS62=2,1,IF(BO62+CS62=1,1,0))</f>
        <v>0</v>
      </c>
      <c r="JR62" s="122">
        <f t="shared" ref="JR62" si="640">IF(BP62+CT62=2,1,IF(BP62+CT62=1,1,0))</f>
        <v>0</v>
      </c>
      <c r="JS62" s="122">
        <f t="shared" ref="JS62" si="641">IF(BQ62+CU62=2,1,IF(BQ62+CU62=1,1,0))</f>
        <v>0</v>
      </c>
      <c r="JT62" s="122">
        <f t="shared" ref="JT62" si="642">IF(BR62+CV62=2,1,IF(BR62+CV62=1,1,0))</f>
        <v>0</v>
      </c>
      <c r="JU62" s="122">
        <f t="shared" ref="JU62" si="643">IF(BS62+CW62=2,1,IF(BS62+CW62=1,1,0))</f>
        <v>0</v>
      </c>
      <c r="JV62" s="122">
        <f t="shared" ref="JV62" si="644">IF(BT62+CX62=2,1,IF(BT62+CX62=1,1,0))</f>
        <v>0</v>
      </c>
      <c r="JW62" s="122">
        <f t="shared" ref="JW62" si="645">IF(BU62+CY62=2,1,IF(BU62+CY62=1,1,0))</f>
        <v>0</v>
      </c>
      <c r="JX62" s="122">
        <f t="shared" ref="JX62" si="646">IF(BV62+CZ62=2,1,IF(BV62+CZ62=1,1,0))</f>
        <v>0</v>
      </c>
      <c r="JY62" s="122">
        <f t="shared" ref="JY62" si="647">IF(BW62+DA62=2,1,IF(BW62+DA62=1,1,0))</f>
        <v>0</v>
      </c>
      <c r="JZ62" s="122">
        <f t="shared" ref="JZ62" si="648">IF(BX62+DB62=2,1,IF(BX62+DB62=1,1,0))</f>
        <v>0</v>
      </c>
      <c r="KA62" s="122">
        <f t="shared" ref="KA62" si="649">IF(BY62+DC62=2,1,IF(BY62+DC62=1,1,0))</f>
        <v>0</v>
      </c>
      <c r="KB62" s="122">
        <f t="shared" ref="KB62" si="650">IF(BZ62+DD62=2,1,IF(BZ62+DD62=1,1,0))</f>
        <v>0</v>
      </c>
      <c r="KD62" s="122">
        <f t="shared" ref="KD62" si="651">IF(IF(SUM(GA62:GE62)&gt;100,1,0)+IF(FX62=1,1,0)=2,1,0)</f>
        <v>0</v>
      </c>
      <c r="KE62" s="122">
        <f t="shared" ref="KE62" si="652">IF(KD62=1,KF62,0)</f>
        <v>0</v>
      </c>
      <c r="KF62" s="122">
        <f t="shared" ref="KF62" si="653">CD62+DH62</f>
        <v>0</v>
      </c>
      <c r="KG62" s="122">
        <f t="shared" ref="KG62" si="654">CE62+DI62</f>
        <v>0</v>
      </c>
      <c r="KH62" s="122">
        <f t="shared" ref="KH62" si="655">CF62+DJ62</f>
        <v>0</v>
      </c>
      <c r="KI62" s="122">
        <f t="shared" ref="KI62" si="656">CG62+DK62</f>
        <v>0</v>
      </c>
      <c r="KJ62" s="122">
        <f t="shared" ref="KJ62" si="657">CH62+DL62</f>
        <v>0</v>
      </c>
      <c r="KK62" s="122">
        <f t="shared" ref="KK62" si="658">CI62+DM62</f>
        <v>0</v>
      </c>
      <c r="KL62" s="122">
        <f t="shared" ref="KL62" si="659">CJ62+DN62</f>
        <v>0</v>
      </c>
      <c r="KM62" s="122">
        <f t="shared" ref="KM62" si="660">CK62+DO62</f>
        <v>0</v>
      </c>
      <c r="KN62" s="123">
        <f t="shared" ref="KN62" si="661">CL62+DP62</f>
        <v>0</v>
      </c>
      <c r="KO62" s="123">
        <f t="shared" ref="KO62" si="662">CM62+DQ62</f>
        <v>0</v>
      </c>
      <c r="KP62" s="123">
        <f t="shared" ref="KP62" si="663">CN62+DR62</f>
        <v>0</v>
      </c>
      <c r="KQ62" s="123">
        <f t="shared" ref="KQ62" si="664">CO62+DS62</f>
        <v>0</v>
      </c>
      <c r="KR62" s="123">
        <f t="shared" ref="KR62" si="665">CP62+DT62</f>
        <v>0</v>
      </c>
      <c r="KS62">
        <v>2</v>
      </c>
      <c r="KT62">
        <f t="shared" ref="KT62" si="666">AN62</f>
        <v>1</v>
      </c>
      <c r="KU62" s="123"/>
      <c r="KV62" s="123"/>
      <c r="KW62" s="123"/>
      <c r="KX62" s="123"/>
      <c r="KY62" s="123"/>
      <c r="KZ62" s="123"/>
      <c r="LA62" s="123"/>
      <c r="LB62" s="123"/>
      <c r="LC62" s="123"/>
      <c r="LD62" s="123"/>
      <c r="LE62" s="123"/>
      <c r="LF62" s="123"/>
      <c r="LG62" s="123"/>
      <c r="LH62" s="123"/>
      <c r="LI62" s="123"/>
      <c r="LJ62" s="123"/>
      <c r="LK62" s="123"/>
      <c r="LL62" s="123"/>
      <c r="LM62" s="123">
        <v>1</v>
      </c>
      <c r="LN62" s="123">
        <v>1</v>
      </c>
      <c r="LO62" s="123"/>
      <c r="LP62" s="123"/>
      <c r="LQ62" s="123"/>
      <c r="LR62" s="123"/>
      <c r="LS62" s="123"/>
      <c r="LT62" s="123"/>
      <c r="LU62" s="123"/>
      <c r="LV62" s="123"/>
      <c r="LW62" s="123"/>
      <c r="LX62" s="123"/>
      <c r="LY62" s="123"/>
      <c r="LZ62" s="123"/>
      <c r="MA62" s="123"/>
      <c r="MB62" s="123"/>
      <c r="MC62" s="123"/>
      <c r="MD62" s="123"/>
      <c r="ME62" s="123"/>
      <c r="MF62" s="123"/>
      <c r="MG62" s="123"/>
      <c r="MH62" s="123"/>
      <c r="MI62" s="123"/>
      <c r="MJ62" s="123"/>
      <c r="MK62" s="123"/>
      <c r="ML62" s="123"/>
      <c r="MM62" s="123"/>
      <c r="MN62" s="123"/>
      <c r="MO62" s="123"/>
      <c r="MP62" s="123"/>
      <c r="MQ62" s="123"/>
      <c r="MR62" s="123"/>
      <c r="MS62" s="123"/>
      <c r="MT62" s="123"/>
      <c r="MU62" s="123"/>
      <c r="MV62" s="123"/>
      <c r="MW62" s="123"/>
      <c r="MX62" s="123"/>
      <c r="MY62" s="123"/>
      <c r="MZ62" s="123"/>
      <c r="NA62" s="123"/>
      <c r="NB62" s="123"/>
      <c r="NC62" s="123"/>
      <c r="ND62" s="123"/>
      <c r="NE62" s="123"/>
      <c r="NF62" s="123"/>
      <c r="NG62" s="123"/>
      <c r="NH62" s="123"/>
      <c r="NI62" s="123"/>
      <c r="NJ62" s="123"/>
      <c r="NK62" s="123"/>
      <c r="NM62">
        <f t="shared" ref="NM62" si="667">IF(KS62=1,1,0)</f>
        <v>0</v>
      </c>
      <c r="NN62">
        <f t="shared" ref="NN62" si="668">IF(KS62=2,1,0)</f>
        <v>1</v>
      </c>
      <c r="NO62">
        <f t="shared" ref="NO62" si="669">IF(KS62=3,1,0)</f>
        <v>0</v>
      </c>
      <c r="NP62">
        <f t="shared" ref="NP62" si="670">IF(KS62=4,1,0)</f>
        <v>0</v>
      </c>
      <c r="NQ62">
        <f t="shared" ref="NQ62" si="671">IF(KS62=5,1,0)</f>
        <v>0</v>
      </c>
      <c r="NR62">
        <f t="shared" ref="NR62" si="672">IF(KS62=6,1,0)</f>
        <v>0</v>
      </c>
      <c r="NS62">
        <f t="shared" ref="NS62" si="673">IF(KS62=7,1,0)</f>
        <v>0</v>
      </c>
      <c r="NT62">
        <f t="shared" ref="NT62" si="674">SUM(NM62:NS62)</f>
        <v>1</v>
      </c>
      <c r="NU62" s="29">
        <f t="shared" ref="NU62" si="675">NT62-KT62</f>
        <v>0</v>
      </c>
      <c r="NY62" s="29">
        <f t="shared" ref="NY62" si="676">V62</f>
        <v>0</v>
      </c>
      <c r="NZ62" s="152"/>
      <c r="OE62" s="155"/>
      <c r="OF62" s="155"/>
      <c r="OG62" s="155"/>
      <c r="OH62" s="155"/>
      <c r="OI62" s="155"/>
      <c r="OJ62" s="67"/>
      <c r="OK62" s="67"/>
      <c r="OL62" s="67"/>
      <c r="OM62" s="67"/>
      <c r="OO62" s="155"/>
      <c r="OP62" s="155"/>
      <c r="OQ62" s="155"/>
      <c r="OR62" s="155"/>
      <c r="OS62" s="155"/>
      <c r="OT62" s="67"/>
      <c r="OU62" s="67"/>
      <c r="OV62" s="67"/>
      <c r="OW62" s="67"/>
      <c r="PA62" s="166"/>
      <c r="PB62" s="166">
        <v>1</v>
      </c>
      <c r="PC62" s="166">
        <v>1</v>
      </c>
      <c r="PD62" s="210">
        <f t="shared" si="115"/>
        <v>0</v>
      </c>
      <c r="PE62" s="210"/>
      <c r="PF62" s="210">
        <f t="shared" si="116"/>
        <v>0</v>
      </c>
      <c r="PG62" s="210">
        <f t="shared" si="194"/>
        <v>0</v>
      </c>
      <c r="PH62" s="210">
        <f t="shared" si="194"/>
        <v>1704</v>
      </c>
      <c r="PI62" s="210">
        <f t="shared" si="194"/>
        <v>1704</v>
      </c>
      <c r="PJ62" s="210">
        <f t="shared" si="194"/>
        <v>0</v>
      </c>
      <c r="PK62" s="210">
        <f t="shared" si="194"/>
        <v>0</v>
      </c>
      <c r="PL62" s="210">
        <f t="shared" si="194"/>
        <v>0</v>
      </c>
      <c r="PO62" s="172">
        <f t="shared" ref="PO62" si="677">IF(FC62=1,AB62,0)</f>
        <v>0</v>
      </c>
      <c r="PP62" s="172">
        <f t="shared" ref="PP62" si="678">IF(FF62=1,AB62,0)</f>
        <v>0</v>
      </c>
      <c r="PQ62" s="172">
        <f t="shared" ref="PQ62" si="679">AB62-(PO62+PP62)</f>
        <v>0</v>
      </c>
    </row>
    <row r="63" spans="1:433" ht="16" x14ac:dyDescent="0.2">
      <c r="A63" s="19"/>
      <c r="B63" s="237"/>
      <c r="C63" s="186"/>
      <c r="D63" s="188"/>
      <c r="E63" s="188"/>
      <c r="F63" s="20"/>
      <c r="G63" s="20"/>
      <c r="H63" s="137"/>
      <c r="I63" s="137"/>
      <c r="J63" s="20"/>
      <c r="K63" s="20"/>
      <c r="L63" s="137"/>
      <c r="M63" s="137"/>
      <c r="N63" s="20"/>
      <c r="O63" s="20"/>
      <c r="P63" s="137"/>
      <c r="Q63" s="137"/>
      <c r="R63" s="20"/>
      <c r="S63" s="20"/>
      <c r="T63" s="137"/>
      <c r="U63" s="137"/>
      <c r="V63" s="20"/>
      <c r="W63" s="20"/>
      <c r="X63" s="137"/>
      <c r="Y63" s="137"/>
      <c r="Z63" s="43"/>
      <c r="AA63" s="65"/>
      <c r="AB63" s="17"/>
      <c r="AC63" s="18"/>
      <c r="AD63" s="18"/>
      <c r="AE63" s="40"/>
      <c r="AF63" s="20"/>
      <c r="AG63" s="20"/>
      <c r="AH63" s="32"/>
      <c r="AI63" s="20"/>
      <c r="AJ63" s="20"/>
      <c r="AK63" s="20"/>
      <c r="AL63" s="31"/>
      <c r="AM63" s="31"/>
      <c r="AN63" s="139"/>
      <c r="BB63" s="17"/>
      <c r="BE63" s="17"/>
      <c r="BF63" s="17"/>
      <c r="BG63" s="17"/>
      <c r="BH63" s="17"/>
      <c r="BI63" s="17"/>
      <c r="BJ63" s="17"/>
      <c r="BK63" s="17"/>
      <c r="BN63" s="142"/>
      <c r="BP63" s="139"/>
      <c r="BQ63" s="139"/>
      <c r="BR63" s="139"/>
      <c r="BS63" s="139"/>
      <c r="BT63" s="139"/>
      <c r="BU63" s="139"/>
      <c r="BV63" s="139"/>
      <c r="BW63" s="139"/>
      <c r="BX63" s="139"/>
      <c r="BY63" s="139"/>
      <c r="BZ63" s="139"/>
      <c r="CB63" s="139"/>
      <c r="CD63" s="17"/>
      <c r="CE63" s="17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48"/>
      <c r="DV63" s="139"/>
      <c r="DW63" s="139"/>
      <c r="DX63" s="139"/>
      <c r="DY63" s="139"/>
      <c r="DZ63" s="139"/>
      <c r="EA63" s="139"/>
      <c r="EB63" s="139"/>
      <c r="EG63" s="57"/>
      <c r="EH63" s="5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X63" s="80"/>
      <c r="FY63" s="17"/>
      <c r="FZ63" s="17"/>
      <c r="GA63" s="17"/>
      <c r="GB63" s="17"/>
      <c r="GC63" s="17"/>
      <c r="GD63" s="17"/>
      <c r="GE63" s="17"/>
      <c r="GF63" s="67"/>
      <c r="GG63" s="17"/>
      <c r="GH63" s="17"/>
      <c r="GI63" s="67"/>
      <c r="GJ63" s="62"/>
      <c r="GK63" s="62"/>
      <c r="GO63" s="17"/>
      <c r="GP63" s="17"/>
      <c r="GQ63" s="17"/>
      <c r="GR63" s="17"/>
      <c r="GS63" s="17"/>
      <c r="GT63" s="17"/>
      <c r="GU63" s="101"/>
      <c r="GV63" s="17"/>
      <c r="GW63" s="17"/>
      <c r="GX63" s="66"/>
      <c r="GY63" s="66"/>
      <c r="GZ63" s="102"/>
      <c r="HA63" s="83"/>
      <c r="HB63" s="83"/>
      <c r="HC63" s="17"/>
      <c r="HD63" s="17"/>
      <c r="HE63" s="17"/>
      <c r="HF63" s="17"/>
      <c r="HG63" s="17"/>
      <c r="HH63" s="101"/>
      <c r="HI63" s="101"/>
      <c r="HJ63" s="27"/>
      <c r="HK63" s="101"/>
      <c r="HL63" s="83"/>
      <c r="HM63" s="83"/>
      <c r="HN63" s="83"/>
      <c r="HO63" s="83"/>
      <c r="HP63" s="102"/>
      <c r="HQ63" s="66"/>
      <c r="HR63" s="66"/>
      <c r="HS63" s="102"/>
      <c r="HT63" s="66"/>
      <c r="HU63" s="66"/>
      <c r="HV63" s="102"/>
      <c r="HW63" s="66"/>
      <c r="HX63" s="66"/>
      <c r="HY63" s="102"/>
      <c r="HZ63" s="66"/>
      <c r="IA63" s="66"/>
      <c r="IB63" s="102"/>
      <c r="IC63" s="66"/>
      <c r="ID63" s="66"/>
      <c r="IE63" s="102"/>
      <c r="IF63" s="66"/>
      <c r="IG63" s="66"/>
      <c r="IH63" s="102"/>
      <c r="II63" s="66"/>
      <c r="IJ63" s="66"/>
      <c r="IK63" s="102"/>
      <c r="IL63" s="66"/>
      <c r="IM63" s="66"/>
      <c r="IN63" s="83"/>
      <c r="IO63" s="102"/>
      <c r="IP63" s="66"/>
      <c r="IQ63" s="66"/>
      <c r="IR63" s="83"/>
      <c r="IS63" s="102"/>
      <c r="IT63" s="66"/>
      <c r="IU63" s="66"/>
      <c r="IV63" s="83"/>
      <c r="IW63" s="102"/>
      <c r="IX63" s="66"/>
      <c r="IY63" s="66"/>
      <c r="IZ63" s="83"/>
      <c r="JA63" s="102"/>
      <c r="JB63" s="66"/>
      <c r="JC63" s="66"/>
      <c r="JD63" s="83"/>
      <c r="JE63" s="102"/>
      <c r="JF63" s="66"/>
      <c r="JG63" s="66"/>
      <c r="JH63" s="83"/>
      <c r="JI63" s="102"/>
      <c r="JJ63" s="66"/>
      <c r="JK63" s="66"/>
      <c r="JM63" s="102"/>
      <c r="JO63" s="29"/>
      <c r="JP63" s="122"/>
      <c r="JQ63" s="122"/>
      <c r="JR63" s="122"/>
      <c r="JS63" s="122"/>
      <c r="JT63" s="122"/>
      <c r="JU63" s="122"/>
      <c r="JV63" s="122"/>
      <c r="JW63" s="122"/>
      <c r="JX63" s="122"/>
      <c r="JY63" s="122"/>
      <c r="JZ63" s="122"/>
      <c r="KA63" s="122"/>
      <c r="KB63" s="122"/>
      <c r="KD63" s="122"/>
      <c r="KE63" s="122"/>
      <c r="KF63" s="122"/>
      <c r="KG63" s="122"/>
      <c r="KH63" s="122"/>
      <c r="KI63" s="122"/>
      <c r="KJ63" s="122"/>
      <c r="KK63" s="122"/>
      <c r="KL63" s="122"/>
      <c r="KM63" s="122"/>
      <c r="KN63" s="123"/>
      <c r="KO63" s="123"/>
      <c r="KP63" s="123"/>
      <c r="KQ63" s="123"/>
      <c r="KR63" s="123"/>
      <c r="KU63" s="123"/>
      <c r="KV63" s="123"/>
      <c r="KW63" s="123"/>
      <c r="KX63" s="123"/>
      <c r="KY63" s="123"/>
      <c r="KZ63" s="123"/>
      <c r="LA63" s="123"/>
      <c r="LB63" s="123"/>
      <c r="LC63" s="123"/>
      <c r="LD63" s="123"/>
      <c r="LE63" s="123"/>
      <c r="LF63" s="123"/>
      <c r="LG63" s="123"/>
      <c r="LH63" s="123"/>
      <c r="LI63" s="123"/>
      <c r="LJ63" s="123"/>
      <c r="LK63" s="123"/>
      <c r="LL63" s="123"/>
      <c r="LM63" s="123"/>
      <c r="LN63" s="123"/>
      <c r="LO63" s="123"/>
      <c r="LP63" s="123"/>
      <c r="LQ63" s="123"/>
      <c r="LR63" s="123"/>
      <c r="LS63" s="123"/>
      <c r="LT63" s="123"/>
      <c r="LU63" s="123"/>
      <c r="LV63" s="123"/>
      <c r="LW63" s="123"/>
      <c r="LX63" s="123"/>
      <c r="LY63" s="123"/>
      <c r="LZ63" s="123"/>
      <c r="MA63" s="123"/>
      <c r="MB63" s="123"/>
      <c r="MC63" s="123"/>
      <c r="MD63" s="123"/>
      <c r="ME63" s="123"/>
      <c r="MF63" s="123"/>
      <c r="MG63" s="123"/>
      <c r="MH63" s="123"/>
      <c r="MI63" s="123"/>
      <c r="MJ63" s="123"/>
      <c r="MK63" s="123"/>
      <c r="ML63" s="123"/>
      <c r="MM63" s="123"/>
      <c r="MN63" s="123"/>
      <c r="MO63" s="123"/>
      <c r="MP63" s="123"/>
      <c r="MQ63" s="123"/>
      <c r="MR63" s="123"/>
      <c r="MS63" s="123"/>
      <c r="MT63" s="123"/>
      <c r="MU63" s="123"/>
      <c r="MV63" s="123"/>
      <c r="MW63" s="123"/>
      <c r="MX63" s="123"/>
      <c r="MY63" s="123"/>
      <c r="MZ63" s="123"/>
      <c r="NA63" s="123"/>
      <c r="NB63" s="123"/>
      <c r="NC63" s="123"/>
      <c r="ND63" s="123"/>
      <c r="NE63" s="123"/>
      <c r="NF63" s="123"/>
      <c r="NG63" s="123"/>
      <c r="NH63" s="123"/>
      <c r="NI63" s="123"/>
      <c r="NJ63" s="123"/>
      <c r="NK63" s="123"/>
      <c r="NU63" s="29"/>
      <c r="NY63" s="29"/>
      <c r="NZ63" s="152"/>
      <c r="OE63" s="155"/>
      <c r="OF63" s="155"/>
      <c r="OG63" s="155"/>
      <c r="OH63" s="155"/>
      <c r="OI63" s="155"/>
      <c r="OJ63" s="67"/>
      <c r="OK63" s="67"/>
      <c r="OL63" s="67"/>
      <c r="OM63" s="67"/>
      <c r="OO63" s="155"/>
      <c r="OP63" s="155"/>
      <c r="OQ63" s="155"/>
      <c r="OR63" s="155"/>
      <c r="OS63" s="155"/>
      <c r="OT63" s="67"/>
      <c r="OU63" s="67"/>
      <c r="OV63" s="67"/>
      <c r="OW63" s="67"/>
      <c r="PA63" s="166"/>
      <c r="PB63" s="166"/>
      <c r="PC63" s="166"/>
      <c r="PD63" s="210">
        <f t="shared" si="115"/>
        <v>0</v>
      </c>
      <c r="PE63" s="210"/>
      <c r="PF63" s="210">
        <f t="shared" si="116"/>
        <v>0</v>
      </c>
      <c r="PG63" s="210">
        <f t="shared" si="194"/>
        <v>0</v>
      </c>
      <c r="PH63" s="210">
        <f t="shared" si="194"/>
        <v>0</v>
      </c>
      <c r="PI63" s="210">
        <f t="shared" si="194"/>
        <v>0</v>
      </c>
      <c r="PJ63" s="210">
        <f t="shared" si="194"/>
        <v>0</v>
      </c>
      <c r="PK63" s="210">
        <f t="shared" si="194"/>
        <v>0</v>
      </c>
      <c r="PL63" s="210">
        <f t="shared" si="194"/>
        <v>0</v>
      </c>
      <c r="PO63" s="172"/>
      <c r="PP63" s="172"/>
      <c r="PQ63" s="172"/>
    </row>
    <row r="64" spans="1:433" ht="15.75" customHeight="1" x14ac:dyDescent="0.2">
      <c r="A64" s="19"/>
      <c r="B64" s="237"/>
      <c r="C64" s="186"/>
      <c r="D64" s="188"/>
      <c r="E64" s="188"/>
      <c r="F64" s="20"/>
      <c r="G64" s="20"/>
      <c r="H64" s="137"/>
      <c r="I64" s="137"/>
      <c r="J64" s="20"/>
      <c r="K64" s="20"/>
      <c r="L64" s="137"/>
      <c r="M64" s="137"/>
      <c r="N64" s="20"/>
      <c r="O64" s="20"/>
      <c r="P64" s="137"/>
      <c r="Q64" s="137"/>
      <c r="R64" s="20"/>
      <c r="S64" s="20"/>
      <c r="T64" s="137"/>
      <c r="U64" s="137"/>
      <c r="V64" s="20"/>
      <c r="W64" s="20"/>
      <c r="X64" s="137"/>
      <c r="Y64" s="137"/>
      <c r="Z64" s="43"/>
      <c r="AA64" s="65"/>
      <c r="AB64" s="17"/>
      <c r="AC64" s="18"/>
      <c r="AD64" s="18"/>
      <c r="AE64" s="40"/>
      <c r="AF64" s="20"/>
      <c r="AG64" s="20"/>
      <c r="AH64" s="32"/>
      <c r="AI64" s="20"/>
      <c r="AJ64" s="20"/>
      <c r="AK64" s="20"/>
      <c r="AL64" s="31"/>
      <c r="AM64" s="31"/>
      <c r="AN64" s="139"/>
      <c r="BB64" s="17"/>
      <c r="BE64" s="17"/>
      <c r="BF64" s="17"/>
      <c r="BG64" s="17"/>
      <c r="BH64" s="17"/>
      <c r="BI64" s="17"/>
      <c r="BJ64" s="17"/>
      <c r="BK64" s="17"/>
      <c r="BN64" s="142"/>
      <c r="BP64" s="139"/>
      <c r="BQ64" s="139"/>
      <c r="BR64" s="139"/>
      <c r="BS64" s="139"/>
      <c r="BT64" s="139"/>
      <c r="BU64" s="139"/>
      <c r="BV64" s="139"/>
      <c r="BW64" s="139"/>
      <c r="BX64" s="139"/>
      <c r="BY64" s="139"/>
      <c r="BZ64" s="139"/>
      <c r="CB64" s="139"/>
      <c r="CD64" s="17"/>
      <c r="CE64" s="17"/>
      <c r="CF64" s="139"/>
      <c r="CG64" s="139"/>
      <c r="CH64" s="139"/>
      <c r="CI64" s="139"/>
      <c r="CJ64" s="139"/>
      <c r="CK64" s="139"/>
      <c r="CL64" s="139"/>
      <c r="CM64" s="139"/>
      <c r="CN64" s="139"/>
      <c r="CO64" s="139"/>
      <c r="CP64" s="139"/>
      <c r="CQ64" s="148"/>
      <c r="DV64" s="139"/>
      <c r="DW64" s="139"/>
      <c r="DX64" s="139"/>
      <c r="DY64" s="139"/>
      <c r="DZ64" s="139"/>
      <c r="EA64" s="139"/>
      <c r="EB64" s="139"/>
      <c r="EG64" s="57"/>
      <c r="EH64" s="5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X64" s="80"/>
      <c r="FY64" s="17"/>
      <c r="FZ64" s="17"/>
      <c r="GA64" s="17"/>
      <c r="GB64" s="17"/>
      <c r="GC64" s="17"/>
      <c r="GD64" s="17"/>
      <c r="GE64" s="17"/>
      <c r="GF64" s="67"/>
      <c r="GG64" s="17"/>
      <c r="GH64" s="17"/>
      <c r="GI64" s="67"/>
      <c r="GJ64" s="62"/>
      <c r="GK64" s="62"/>
      <c r="GO64" s="17"/>
      <c r="GP64" s="17"/>
      <c r="GQ64" s="17"/>
      <c r="GR64" s="17"/>
      <c r="GS64" s="17"/>
      <c r="GT64" s="17"/>
      <c r="GU64" s="101"/>
      <c r="GV64" s="17"/>
      <c r="GW64" s="17"/>
      <c r="GX64" s="66"/>
      <c r="GY64" s="66"/>
      <c r="GZ64" s="102"/>
      <c r="HA64" s="83"/>
      <c r="HB64" s="83"/>
      <c r="HC64" s="17"/>
      <c r="HD64" s="17"/>
      <c r="HE64" s="17"/>
      <c r="HF64" s="17"/>
      <c r="HG64" s="17"/>
      <c r="HH64" s="101"/>
      <c r="HI64" s="101"/>
      <c r="HJ64" s="27"/>
      <c r="HK64" s="101"/>
      <c r="HL64" s="83"/>
      <c r="HM64" s="83"/>
      <c r="HN64" s="83"/>
      <c r="HO64" s="83"/>
      <c r="HP64" s="102"/>
      <c r="HQ64" s="66"/>
      <c r="HR64" s="66"/>
      <c r="HS64" s="102"/>
      <c r="HT64" s="66"/>
      <c r="HU64" s="66"/>
      <c r="HV64" s="102"/>
      <c r="HW64" s="66"/>
      <c r="HX64" s="66"/>
      <c r="HY64" s="102"/>
      <c r="HZ64" s="66"/>
      <c r="IA64" s="66"/>
      <c r="IB64" s="102"/>
      <c r="IC64" s="66"/>
      <c r="ID64" s="66"/>
      <c r="IE64" s="102"/>
      <c r="IF64" s="66"/>
      <c r="IG64" s="66"/>
      <c r="IH64" s="102"/>
      <c r="II64" s="66"/>
      <c r="IJ64" s="66"/>
      <c r="IK64" s="102"/>
      <c r="IL64" s="66"/>
      <c r="IM64" s="66"/>
      <c r="IN64" s="83"/>
      <c r="IO64" s="102"/>
      <c r="IP64" s="66"/>
      <c r="IQ64" s="66"/>
      <c r="IR64" s="83"/>
      <c r="IS64" s="102"/>
      <c r="IT64" s="66"/>
      <c r="IU64" s="66"/>
      <c r="IV64" s="83"/>
      <c r="IW64" s="102"/>
      <c r="IX64" s="66"/>
      <c r="IY64" s="66"/>
      <c r="IZ64" s="83"/>
      <c r="JA64" s="102"/>
      <c r="JB64" s="66"/>
      <c r="JC64" s="66"/>
      <c r="JD64" s="83"/>
      <c r="JE64" s="102"/>
      <c r="JF64" s="66"/>
      <c r="JG64" s="66"/>
      <c r="JH64" s="83"/>
      <c r="JI64" s="102"/>
      <c r="JJ64" s="66"/>
      <c r="JK64" s="66"/>
      <c r="JM64" s="102"/>
      <c r="JO64" s="29"/>
      <c r="JP64" s="122"/>
      <c r="JQ64" s="122"/>
      <c r="JR64" s="122"/>
      <c r="JS64" s="122"/>
      <c r="JT64" s="122"/>
      <c r="JU64" s="122"/>
      <c r="JV64" s="122"/>
      <c r="JW64" s="122"/>
      <c r="JX64" s="122"/>
      <c r="JY64" s="122"/>
      <c r="JZ64" s="122"/>
      <c r="KA64" s="122"/>
      <c r="KB64" s="122"/>
      <c r="KD64" s="122"/>
      <c r="KE64" s="122"/>
      <c r="KF64" s="122"/>
      <c r="KG64" s="122"/>
      <c r="KH64" s="122"/>
      <c r="KI64" s="122"/>
      <c r="KJ64" s="122"/>
      <c r="KK64" s="122"/>
      <c r="KL64" s="122"/>
      <c r="KM64" s="122"/>
      <c r="KN64" s="123"/>
      <c r="KO64" s="123"/>
      <c r="KP64" s="123"/>
      <c r="KQ64" s="123"/>
      <c r="KR64" s="123"/>
      <c r="KU64" s="123"/>
      <c r="KV64" s="123"/>
      <c r="KW64" s="123"/>
      <c r="KX64" s="123"/>
      <c r="KY64" s="123"/>
      <c r="KZ64" s="123"/>
      <c r="LA64" s="123"/>
      <c r="LB64" s="123"/>
      <c r="LC64" s="123"/>
      <c r="LD64" s="123"/>
      <c r="LE64" s="123"/>
      <c r="LF64" s="123"/>
      <c r="LG64" s="123"/>
      <c r="LH64" s="123"/>
      <c r="LI64" s="123"/>
      <c r="LJ64" s="123"/>
      <c r="LK64" s="123"/>
      <c r="LL64" s="123"/>
      <c r="LM64" s="123"/>
      <c r="LN64" s="123"/>
      <c r="LO64" s="123"/>
      <c r="LP64" s="123"/>
      <c r="LQ64" s="123"/>
      <c r="LR64" s="123"/>
      <c r="LS64" s="123"/>
      <c r="LT64" s="123"/>
      <c r="LU64" s="123"/>
      <c r="LV64" s="123"/>
      <c r="LW64" s="123"/>
      <c r="LX64" s="123"/>
      <c r="LY64" s="123"/>
      <c r="LZ64" s="123"/>
      <c r="MA64" s="123"/>
      <c r="MB64" s="123"/>
      <c r="MC64" s="123"/>
      <c r="MD64" s="123"/>
      <c r="ME64" s="123"/>
      <c r="MF64" s="123"/>
      <c r="MG64" s="123"/>
      <c r="MH64" s="123"/>
      <c r="MI64" s="123"/>
      <c r="MJ64" s="123"/>
      <c r="MK64" s="123"/>
      <c r="ML64" s="123"/>
      <c r="MM64" s="123"/>
      <c r="MN64" s="123"/>
      <c r="MO64" s="123"/>
      <c r="MP64" s="123"/>
      <c r="MQ64" s="123"/>
      <c r="MR64" s="123"/>
      <c r="MS64" s="123"/>
      <c r="MT64" s="123"/>
      <c r="MU64" s="123"/>
      <c r="MV64" s="123"/>
      <c r="MW64" s="123"/>
      <c r="MX64" s="123"/>
      <c r="MY64" s="123"/>
      <c r="MZ64" s="123"/>
      <c r="NA64" s="123"/>
      <c r="NB64" s="123"/>
      <c r="NC64" s="123"/>
      <c r="ND64" s="123"/>
      <c r="NE64" s="123"/>
      <c r="NF64" s="123"/>
      <c r="NG64" s="123"/>
      <c r="NH64" s="123"/>
      <c r="NI64" s="123"/>
      <c r="NJ64" s="123"/>
      <c r="NK64" s="123"/>
      <c r="NU64" s="29"/>
      <c r="NY64" s="29"/>
      <c r="NZ64" s="152"/>
      <c r="OE64" s="155"/>
      <c r="OF64" s="155"/>
      <c r="OG64" s="155"/>
      <c r="OH64" s="155"/>
      <c r="OI64" s="155"/>
      <c r="OJ64" s="67"/>
      <c r="OK64" s="67"/>
      <c r="OL64" s="67"/>
      <c r="OM64" s="67"/>
      <c r="OO64" s="155"/>
      <c r="OP64" s="155"/>
      <c r="OQ64" s="155"/>
      <c r="OR64" s="155"/>
      <c r="OS64" s="155"/>
      <c r="OT64" s="67"/>
      <c r="OU64" s="67"/>
      <c r="OV64" s="67"/>
      <c r="OW64" s="67"/>
      <c r="PA64" s="166"/>
      <c r="PB64" s="166"/>
      <c r="PC64" s="166"/>
      <c r="PD64" s="210">
        <f t="shared" si="115"/>
        <v>0</v>
      </c>
      <c r="PE64" s="210"/>
      <c r="PF64" s="210">
        <f t="shared" si="116"/>
        <v>0</v>
      </c>
      <c r="PG64" s="210">
        <f t="shared" si="194"/>
        <v>0</v>
      </c>
      <c r="PH64" s="210">
        <f t="shared" si="194"/>
        <v>0</v>
      </c>
      <c r="PI64" s="210">
        <f t="shared" si="194"/>
        <v>0</v>
      </c>
      <c r="PJ64" s="210">
        <f t="shared" si="194"/>
        <v>0</v>
      </c>
      <c r="PK64" s="210">
        <f t="shared" si="194"/>
        <v>0</v>
      </c>
      <c r="PL64" s="210">
        <f t="shared" si="194"/>
        <v>0</v>
      </c>
      <c r="PO64" s="172"/>
      <c r="PP64" s="172"/>
      <c r="PQ64" s="172"/>
    </row>
    <row r="65" spans="1:433" ht="16" x14ac:dyDescent="0.2">
      <c r="A65" s="19"/>
      <c r="B65" s="237"/>
      <c r="C65" s="138"/>
      <c r="D65" s="20"/>
      <c r="E65" s="20"/>
      <c r="F65" s="20"/>
      <c r="G65" s="20"/>
      <c r="H65" s="137"/>
      <c r="I65" s="137"/>
      <c r="J65" s="20"/>
      <c r="K65" s="20"/>
      <c r="L65" s="137"/>
      <c r="M65" s="137"/>
      <c r="N65" s="20"/>
      <c r="O65" s="20"/>
      <c r="P65" s="137"/>
      <c r="Q65" s="137"/>
      <c r="R65" s="20"/>
      <c r="S65" s="20"/>
      <c r="T65" s="137"/>
      <c r="U65" s="137"/>
      <c r="V65" s="20"/>
      <c r="W65" s="20"/>
      <c r="X65" s="137"/>
      <c r="Y65" s="137"/>
      <c r="Z65" s="43"/>
      <c r="AA65" s="65"/>
      <c r="AB65" s="17"/>
      <c r="AC65" s="18"/>
      <c r="AD65" s="18"/>
      <c r="AE65" s="40"/>
      <c r="AF65" s="20"/>
      <c r="AG65" s="20"/>
      <c r="AH65" s="32"/>
      <c r="AI65" s="20"/>
      <c r="AJ65" s="20"/>
      <c r="AK65" s="20"/>
      <c r="AL65" s="31"/>
      <c r="AM65" s="31"/>
      <c r="AN65" s="139"/>
      <c r="BB65" s="17"/>
      <c r="BE65" s="17"/>
      <c r="BF65" s="17"/>
      <c r="BG65" s="17"/>
      <c r="BH65" s="17"/>
      <c r="BI65" s="17"/>
      <c r="BJ65" s="17"/>
      <c r="BK65" s="17"/>
      <c r="BN65" s="142"/>
      <c r="BP65" s="139"/>
      <c r="BQ65" s="139"/>
      <c r="BR65" s="139"/>
      <c r="BS65" s="139"/>
      <c r="BT65" s="139"/>
      <c r="BU65" s="139"/>
      <c r="BV65" s="139"/>
      <c r="BW65" s="139"/>
      <c r="BX65" s="139"/>
      <c r="BY65" s="139"/>
      <c r="BZ65" s="139"/>
      <c r="CB65" s="139"/>
      <c r="CD65" s="17"/>
      <c r="CE65" s="17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48"/>
      <c r="DV65" s="139"/>
      <c r="DW65" s="139"/>
      <c r="DX65" s="139"/>
      <c r="DY65" s="139"/>
      <c r="DZ65" s="139"/>
      <c r="EA65" s="139"/>
      <c r="EB65" s="139"/>
      <c r="EG65" s="57"/>
      <c r="EH65" s="5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X65" s="80"/>
      <c r="FY65" s="17"/>
      <c r="FZ65" s="17"/>
      <c r="GA65" s="17"/>
      <c r="GB65" s="17"/>
      <c r="GC65" s="17"/>
      <c r="GD65" s="17"/>
      <c r="GE65" s="17"/>
      <c r="GF65" s="67"/>
      <c r="GG65" s="17"/>
      <c r="GH65" s="17"/>
      <c r="GI65" s="67"/>
      <c r="GJ65" s="62"/>
      <c r="GK65" s="62"/>
      <c r="GO65" s="17"/>
      <c r="GP65" s="17"/>
      <c r="GQ65" s="17"/>
      <c r="GR65" s="17"/>
      <c r="GS65" s="17"/>
      <c r="GT65" s="17"/>
      <c r="GU65" s="101"/>
      <c r="GV65" s="17"/>
      <c r="GW65" s="17"/>
      <c r="GX65" s="66"/>
      <c r="GY65" s="66"/>
      <c r="GZ65" s="102"/>
      <c r="HA65" s="83"/>
      <c r="HB65" s="83"/>
      <c r="HC65" s="17"/>
      <c r="HD65" s="17"/>
      <c r="HE65" s="17"/>
      <c r="HF65" s="17"/>
      <c r="HG65" s="17"/>
      <c r="HH65" s="101"/>
      <c r="HI65" s="101"/>
      <c r="HJ65" s="27"/>
      <c r="HK65" s="101"/>
      <c r="HL65" s="83"/>
      <c r="HM65" s="83"/>
      <c r="HN65" s="83"/>
      <c r="HO65" s="83"/>
      <c r="HP65" s="102"/>
      <c r="HQ65" s="66"/>
      <c r="HR65" s="66"/>
      <c r="HS65" s="102"/>
      <c r="HT65" s="66"/>
      <c r="HU65" s="66"/>
      <c r="HV65" s="102"/>
      <c r="HW65" s="66"/>
      <c r="HX65" s="66"/>
      <c r="HY65" s="102"/>
      <c r="HZ65" s="66"/>
      <c r="IA65" s="66"/>
      <c r="IB65" s="102"/>
      <c r="IC65" s="66"/>
      <c r="ID65" s="66"/>
      <c r="IE65" s="102"/>
      <c r="IF65" s="66"/>
      <c r="IG65" s="66"/>
      <c r="IH65" s="102"/>
      <c r="II65" s="66"/>
      <c r="IJ65" s="66"/>
      <c r="IK65" s="102"/>
      <c r="IL65" s="66"/>
      <c r="IM65" s="66"/>
      <c r="IN65" s="83"/>
      <c r="IO65" s="102"/>
      <c r="IP65" s="66"/>
      <c r="IQ65" s="66"/>
      <c r="IR65" s="83"/>
      <c r="IS65" s="102"/>
      <c r="IT65" s="66"/>
      <c r="IU65" s="66"/>
      <c r="IV65" s="83"/>
      <c r="IW65" s="102"/>
      <c r="IX65" s="66"/>
      <c r="IY65" s="66"/>
      <c r="IZ65" s="83"/>
      <c r="JA65" s="102"/>
      <c r="JB65" s="66"/>
      <c r="JC65" s="66"/>
      <c r="JD65" s="83"/>
      <c r="JE65" s="102"/>
      <c r="JF65" s="66"/>
      <c r="JG65" s="66"/>
      <c r="JH65" s="83"/>
      <c r="JI65" s="102"/>
      <c r="JJ65" s="66"/>
      <c r="JK65" s="66"/>
      <c r="JM65" s="102"/>
      <c r="JO65" s="29"/>
      <c r="JP65" s="122"/>
      <c r="JQ65" s="122"/>
      <c r="JR65" s="122"/>
      <c r="JS65" s="122"/>
      <c r="JT65" s="122"/>
      <c r="JU65" s="122"/>
      <c r="JV65" s="122"/>
      <c r="JW65" s="122"/>
      <c r="JX65" s="122"/>
      <c r="JY65" s="122"/>
      <c r="JZ65" s="122"/>
      <c r="KA65" s="122"/>
      <c r="KB65" s="122"/>
      <c r="KD65" s="122"/>
      <c r="KE65" s="122"/>
      <c r="KF65" s="122"/>
      <c r="KG65" s="122"/>
      <c r="KH65" s="122"/>
      <c r="KI65" s="122"/>
      <c r="KJ65" s="122"/>
      <c r="KK65" s="122"/>
      <c r="KL65" s="122"/>
      <c r="KM65" s="122"/>
      <c r="KN65" s="123"/>
      <c r="KO65" s="123"/>
      <c r="KP65" s="123"/>
      <c r="KQ65" s="123"/>
      <c r="KR65" s="123"/>
      <c r="KU65" s="123"/>
      <c r="KV65" s="123"/>
      <c r="KW65" s="123"/>
      <c r="KX65" s="123"/>
      <c r="KY65" s="123"/>
      <c r="KZ65" s="123"/>
      <c r="LA65" s="123"/>
      <c r="LB65" s="123"/>
      <c r="LC65" s="123"/>
      <c r="LD65" s="123"/>
      <c r="LE65" s="123"/>
      <c r="LF65" s="123"/>
      <c r="LG65" s="123"/>
      <c r="LH65" s="123"/>
      <c r="LI65" s="123"/>
      <c r="LJ65" s="123"/>
      <c r="LK65" s="123"/>
      <c r="LL65" s="123"/>
      <c r="LM65" s="123"/>
      <c r="LN65" s="123"/>
      <c r="LO65" s="123"/>
      <c r="LP65" s="123"/>
      <c r="LQ65" s="123"/>
      <c r="LR65" s="123"/>
      <c r="LS65" s="123"/>
      <c r="LT65" s="123"/>
      <c r="LU65" s="123"/>
      <c r="LV65" s="123"/>
      <c r="LW65" s="123"/>
      <c r="LX65" s="123"/>
      <c r="LY65" s="123"/>
      <c r="LZ65" s="123"/>
      <c r="MA65" s="123"/>
      <c r="MB65" s="123"/>
      <c r="MC65" s="123"/>
      <c r="MD65" s="123"/>
      <c r="ME65" s="123"/>
      <c r="MF65" s="123"/>
      <c r="MG65" s="123"/>
      <c r="MH65" s="123"/>
      <c r="MI65" s="123"/>
      <c r="MJ65" s="123"/>
      <c r="MK65" s="123"/>
      <c r="ML65" s="123"/>
      <c r="MM65" s="123"/>
      <c r="MN65" s="123"/>
      <c r="MO65" s="123"/>
      <c r="MP65" s="123"/>
      <c r="MQ65" s="123"/>
      <c r="MR65" s="123"/>
      <c r="MS65" s="123"/>
      <c r="MT65" s="123"/>
      <c r="MU65" s="123"/>
      <c r="MV65" s="123"/>
      <c r="MW65" s="123"/>
      <c r="MX65" s="123"/>
      <c r="MY65" s="123"/>
      <c r="MZ65" s="123"/>
      <c r="NA65" s="123"/>
      <c r="NB65" s="123"/>
      <c r="NC65" s="123"/>
      <c r="ND65" s="123"/>
      <c r="NE65" s="123"/>
      <c r="NF65" s="123"/>
      <c r="NG65" s="123"/>
      <c r="NH65" s="123"/>
      <c r="NI65" s="123"/>
      <c r="NJ65" s="123"/>
      <c r="NK65" s="123"/>
      <c r="NU65" s="29"/>
      <c r="NY65" s="29"/>
      <c r="NZ65" s="152"/>
      <c r="OE65" s="155"/>
      <c r="OF65" s="155"/>
      <c r="OG65" s="155"/>
      <c r="OH65" s="155"/>
      <c r="OI65" s="155"/>
      <c r="OJ65" s="67"/>
      <c r="OK65" s="67"/>
      <c r="OL65" s="67"/>
      <c r="OM65" s="67"/>
      <c r="OO65" s="155"/>
      <c r="OP65" s="155"/>
      <c r="OQ65" s="155"/>
      <c r="OR65" s="155"/>
      <c r="OS65" s="155"/>
      <c r="OT65" s="67"/>
      <c r="OU65" s="67"/>
      <c r="OV65" s="67"/>
      <c r="OW65" s="67"/>
      <c r="PA65" s="166"/>
      <c r="PB65" s="166"/>
      <c r="PC65" s="166"/>
      <c r="PD65" s="210">
        <f t="shared" si="115"/>
        <v>0</v>
      </c>
      <c r="PE65" s="210"/>
      <c r="PF65" s="210">
        <f t="shared" si="116"/>
        <v>0</v>
      </c>
      <c r="PG65" s="210">
        <f t="shared" si="194"/>
        <v>0</v>
      </c>
      <c r="PH65" s="210">
        <f t="shared" si="194"/>
        <v>0</v>
      </c>
      <c r="PI65" s="210">
        <f t="shared" si="194"/>
        <v>0</v>
      </c>
      <c r="PJ65" s="210">
        <f t="shared" si="194"/>
        <v>0</v>
      </c>
      <c r="PK65" s="210">
        <f t="shared" si="194"/>
        <v>0</v>
      </c>
      <c r="PL65" s="210">
        <f t="shared" si="194"/>
        <v>0</v>
      </c>
      <c r="PO65" s="172"/>
      <c r="PP65" s="172"/>
      <c r="PQ65" s="172"/>
    </row>
    <row r="66" spans="1:433" s="195" customFormat="1" ht="16" x14ac:dyDescent="0.2">
      <c r="A66" s="213"/>
      <c r="B66" s="237"/>
      <c r="C66" s="186"/>
      <c r="D66" s="188"/>
      <c r="E66" s="188"/>
      <c r="F66" s="188"/>
      <c r="G66" s="188"/>
      <c r="H66" s="214"/>
      <c r="I66" s="214"/>
      <c r="J66" s="188"/>
      <c r="K66" s="188"/>
      <c r="L66" s="214"/>
      <c r="M66" s="214"/>
      <c r="N66" s="188"/>
      <c r="O66" s="188"/>
      <c r="P66" s="214"/>
      <c r="Q66" s="214"/>
      <c r="R66" s="188"/>
      <c r="S66" s="188"/>
      <c r="T66" s="214"/>
      <c r="U66" s="214"/>
      <c r="V66" s="188"/>
      <c r="W66" s="188"/>
      <c r="X66" s="214"/>
      <c r="Y66" s="214"/>
      <c r="Z66" s="299"/>
      <c r="AA66" s="300"/>
      <c r="AB66" s="189"/>
      <c r="AC66" s="250"/>
      <c r="AD66" s="250"/>
      <c r="AE66" s="301"/>
      <c r="AF66" s="188"/>
      <c r="AG66" s="188"/>
      <c r="AH66" s="302"/>
      <c r="AI66" s="188"/>
      <c r="AJ66" s="188"/>
      <c r="AK66" s="188"/>
      <c r="AL66" s="187"/>
      <c r="AM66" s="187"/>
      <c r="AN66" s="217"/>
      <c r="BB66" s="189"/>
      <c r="BE66" s="189"/>
      <c r="BF66" s="189"/>
      <c r="BG66" s="189"/>
      <c r="BH66" s="189"/>
      <c r="BI66" s="189"/>
      <c r="BJ66" s="189"/>
      <c r="BK66" s="189"/>
      <c r="BN66" s="303"/>
      <c r="BP66" s="217"/>
      <c r="BQ66" s="217"/>
      <c r="BR66" s="217"/>
      <c r="BS66" s="217"/>
      <c r="BT66" s="217"/>
      <c r="BU66" s="217"/>
      <c r="BV66" s="217"/>
      <c r="BW66" s="217"/>
      <c r="BX66" s="217"/>
      <c r="BY66" s="217"/>
      <c r="BZ66" s="217"/>
      <c r="CB66" s="217"/>
      <c r="CD66" s="189"/>
      <c r="CE66" s="189"/>
      <c r="CF66" s="217"/>
      <c r="CG66" s="217"/>
      <c r="CH66" s="217"/>
      <c r="CI66" s="217"/>
      <c r="CJ66" s="217"/>
      <c r="CK66" s="217"/>
      <c r="CL66" s="217"/>
      <c r="CM66" s="217"/>
      <c r="CN66" s="217"/>
      <c r="CO66" s="217"/>
      <c r="CP66" s="217"/>
      <c r="CQ66" s="304"/>
      <c r="DV66" s="217"/>
      <c r="DW66" s="217"/>
      <c r="DX66" s="217"/>
      <c r="DY66" s="217"/>
      <c r="DZ66" s="217"/>
      <c r="EA66" s="217"/>
      <c r="EB66" s="217"/>
      <c r="EG66" s="252"/>
      <c r="EH66" s="252"/>
      <c r="EI66" s="189"/>
      <c r="EJ66" s="189"/>
      <c r="EK66" s="189"/>
      <c r="EL66" s="189"/>
      <c r="EM66" s="189"/>
      <c r="EN66" s="189"/>
      <c r="EO66" s="189"/>
      <c r="EP66" s="189"/>
      <c r="EQ66" s="189"/>
      <c r="ER66" s="189"/>
      <c r="ES66" s="189"/>
      <c r="ET66" s="189"/>
      <c r="EU66" s="189"/>
      <c r="EV66" s="189"/>
      <c r="EW66" s="189"/>
      <c r="EX66" s="189"/>
      <c r="EY66" s="189"/>
      <c r="EZ66" s="189"/>
      <c r="FA66" s="189"/>
      <c r="FB66" s="189"/>
      <c r="FC66" s="189"/>
      <c r="FD66" s="189"/>
      <c r="FE66" s="189"/>
      <c r="FF66" s="189"/>
      <c r="FH66" s="189"/>
      <c r="FI66" s="189"/>
      <c r="FJ66" s="189"/>
      <c r="FK66" s="189"/>
      <c r="FL66" s="189"/>
      <c r="FM66" s="189"/>
      <c r="FN66" s="189"/>
      <c r="FO66" s="189"/>
      <c r="FP66" s="189"/>
      <c r="FQ66" s="189"/>
      <c r="FR66" s="189"/>
      <c r="FS66" s="189"/>
      <c r="FT66" s="189"/>
      <c r="FU66" s="189"/>
      <c r="FV66" s="189"/>
      <c r="FX66" s="305"/>
      <c r="FY66" s="189"/>
      <c r="FZ66" s="189"/>
      <c r="GA66" s="189"/>
      <c r="GB66" s="189"/>
      <c r="GC66" s="189"/>
      <c r="GD66" s="189"/>
      <c r="GE66" s="189"/>
      <c r="GF66" s="199"/>
      <c r="GG66" s="189"/>
      <c r="GH66" s="189"/>
      <c r="GI66" s="199"/>
      <c r="GJ66" s="200"/>
      <c r="GK66" s="200"/>
      <c r="GO66" s="189"/>
      <c r="GP66" s="189"/>
      <c r="GQ66" s="189"/>
      <c r="GR66" s="189"/>
      <c r="GS66" s="189"/>
      <c r="GT66" s="189"/>
      <c r="GU66" s="201"/>
      <c r="GV66" s="189"/>
      <c r="GW66" s="189"/>
      <c r="GX66" s="202"/>
      <c r="GY66" s="202"/>
      <c r="GZ66" s="203"/>
      <c r="HA66" s="204"/>
      <c r="HB66" s="204"/>
      <c r="HC66" s="189"/>
      <c r="HD66" s="189"/>
      <c r="HE66" s="189"/>
      <c r="HF66" s="189"/>
      <c r="HG66" s="189"/>
      <c r="HH66" s="201"/>
      <c r="HI66" s="201"/>
      <c r="HJ66" s="205"/>
      <c r="HK66" s="201"/>
      <c r="HL66" s="204"/>
      <c r="HM66" s="204"/>
      <c r="HN66" s="204"/>
      <c r="HO66" s="204"/>
      <c r="HP66" s="203"/>
      <c r="HQ66" s="202"/>
      <c r="HR66" s="202"/>
      <c r="HS66" s="203"/>
      <c r="HT66" s="202"/>
      <c r="HU66" s="202"/>
      <c r="HV66" s="203"/>
      <c r="HW66" s="202"/>
      <c r="HX66" s="202"/>
      <c r="HY66" s="203"/>
      <c r="HZ66" s="202"/>
      <c r="IA66" s="202"/>
      <c r="IB66" s="203"/>
      <c r="IC66" s="202"/>
      <c r="ID66" s="202"/>
      <c r="IE66" s="203"/>
      <c r="IF66" s="202"/>
      <c r="IG66" s="202"/>
      <c r="IH66" s="203"/>
      <c r="II66" s="202"/>
      <c r="IJ66" s="202"/>
      <c r="IK66" s="203"/>
      <c r="IL66" s="202"/>
      <c r="IM66" s="202"/>
      <c r="IN66" s="204"/>
      <c r="IO66" s="203"/>
      <c r="IP66" s="202"/>
      <c r="IQ66" s="202"/>
      <c r="IR66" s="204"/>
      <c r="IS66" s="203"/>
      <c r="IT66" s="202"/>
      <c r="IU66" s="202"/>
      <c r="IV66" s="204"/>
      <c r="IW66" s="203"/>
      <c r="IX66" s="202"/>
      <c r="IY66" s="202"/>
      <c r="IZ66" s="204"/>
      <c r="JA66" s="203"/>
      <c r="JB66" s="202"/>
      <c r="JC66" s="202"/>
      <c r="JD66" s="204"/>
      <c r="JE66" s="203"/>
      <c r="JF66" s="202"/>
      <c r="JG66" s="202"/>
      <c r="JH66" s="204"/>
      <c r="JI66" s="203"/>
      <c r="JJ66" s="202"/>
      <c r="JK66" s="202"/>
      <c r="JM66" s="203"/>
      <c r="JO66" s="196"/>
      <c r="JP66" s="206"/>
      <c r="JQ66" s="206"/>
      <c r="JR66" s="206"/>
      <c r="JS66" s="206"/>
      <c r="JT66" s="206"/>
      <c r="JU66" s="206"/>
      <c r="JV66" s="206"/>
      <c r="JW66" s="206"/>
      <c r="JX66" s="206"/>
      <c r="JY66" s="206"/>
      <c r="JZ66" s="206"/>
      <c r="KA66" s="206"/>
      <c r="KB66" s="206"/>
      <c r="KD66" s="206"/>
      <c r="KE66" s="206"/>
      <c r="KF66" s="206"/>
      <c r="KG66" s="206"/>
      <c r="KH66" s="206"/>
      <c r="KI66" s="206"/>
      <c r="KJ66" s="206"/>
      <c r="KK66" s="206"/>
      <c r="KL66" s="206"/>
      <c r="KM66" s="206"/>
      <c r="KN66" s="221"/>
      <c r="KO66" s="221"/>
      <c r="KP66" s="221"/>
      <c r="KQ66" s="221"/>
      <c r="KR66" s="221"/>
      <c r="KU66" s="221"/>
      <c r="KV66" s="221"/>
      <c r="KW66" s="221"/>
      <c r="KX66" s="221"/>
      <c r="KY66" s="221"/>
      <c r="KZ66" s="221"/>
      <c r="LA66" s="221"/>
      <c r="LB66" s="221"/>
      <c r="LC66" s="221"/>
      <c r="LD66" s="221"/>
      <c r="LE66" s="221"/>
      <c r="LF66" s="221"/>
      <c r="LG66" s="221"/>
      <c r="LH66" s="221"/>
      <c r="LI66" s="221"/>
      <c r="LJ66" s="221"/>
      <c r="LK66" s="221"/>
      <c r="LL66" s="221"/>
      <c r="LM66" s="221"/>
      <c r="LN66" s="221"/>
      <c r="LO66" s="221"/>
      <c r="LP66" s="221"/>
      <c r="LQ66" s="221"/>
      <c r="LR66" s="221"/>
      <c r="LS66" s="221"/>
      <c r="LT66" s="221"/>
      <c r="LU66" s="221"/>
      <c r="LV66" s="221"/>
      <c r="LW66" s="221"/>
      <c r="LX66" s="221"/>
      <c r="LY66" s="221"/>
      <c r="LZ66" s="221"/>
      <c r="MA66" s="221"/>
      <c r="MB66" s="221"/>
      <c r="MC66" s="221"/>
      <c r="MD66" s="221"/>
      <c r="ME66" s="221"/>
      <c r="MF66" s="221"/>
      <c r="MG66" s="221"/>
      <c r="MH66" s="221"/>
      <c r="MI66" s="221"/>
      <c r="MJ66" s="221"/>
      <c r="MK66" s="221"/>
      <c r="ML66" s="221"/>
      <c r="MM66" s="221"/>
      <c r="MN66" s="221"/>
      <c r="MO66" s="221"/>
      <c r="MP66" s="221"/>
      <c r="MQ66" s="221"/>
      <c r="MR66" s="221"/>
      <c r="MS66" s="221"/>
      <c r="MT66" s="221"/>
      <c r="MU66" s="221"/>
      <c r="MV66" s="221"/>
      <c r="MW66" s="221"/>
      <c r="MX66" s="221"/>
      <c r="MY66" s="221"/>
      <c r="MZ66" s="221"/>
      <c r="NA66" s="221"/>
      <c r="NB66" s="221"/>
      <c r="NC66" s="221"/>
      <c r="ND66" s="221"/>
      <c r="NE66" s="221"/>
      <c r="NF66" s="221"/>
      <c r="NG66" s="221"/>
      <c r="NH66" s="221"/>
      <c r="NI66" s="221"/>
      <c r="NJ66" s="221"/>
      <c r="NK66" s="221"/>
      <c r="NU66" s="196"/>
      <c r="NY66" s="196"/>
      <c r="NZ66" s="222"/>
      <c r="OE66" s="207"/>
      <c r="OF66" s="207"/>
      <c r="OG66" s="207"/>
      <c r="OH66" s="207"/>
      <c r="OI66" s="207"/>
      <c r="OJ66" s="199"/>
      <c r="OK66" s="199"/>
      <c r="OL66" s="199"/>
      <c r="OM66" s="199"/>
      <c r="OO66" s="207"/>
      <c r="OP66" s="207"/>
      <c r="OQ66" s="207"/>
      <c r="OR66" s="207"/>
      <c r="OS66" s="207"/>
      <c r="OT66" s="199"/>
      <c r="OU66" s="199"/>
      <c r="OV66" s="199"/>
      <c r="OW66" s="199"/>
      <c r="PA66" s="209"/>
      <c r="PB66" s="209"/>
      <c r="PC66" s="209"/>
      <c r="PD66" s="210">
        <f t="shared" si="115"/>
        <v>0</v>
      </c>
      <c r="PE66" s="210"/>
      <c r="PF66" s="210">
        <f t="shared" si="116"/>
        <v>0</v>
      </c>
      <c r="PG66" s="210">
        <f t="shared" si="194"/>
        <v>0</v>
      </c>
      <c r="PH66" s="210">
        <f t="shared" si="194"/>
        <v>0</v>
      </c>
      <c r="PI66" s="210">
        <f t="shared" si="194"/>
        <v>0</v>
      </c>
      <c r="PJ66" s="210">
        <f t="shared" si="194"/>
        <v>0</v>
      </c>
      <c r="PK66" s="210">
        <f t="shared" si="194"/>
        <v>0</v>
      </c>
      <c r="PL66" s="210">
        <f t="shared" si="194"/>
        <v>0</v>
      </c>
      <c r="PO66" s="212"/>
      <c r="PP66" s="212"/>
      <c r="PQ66" s="212"/>
    </row>
    <row r="67" spans="1:433" ht="16" x14ac:dyDescent="0.2">
      <c r="A67" s="21"/>
      <c r="B67" s="22" t="s">
        <v>18</v>
      </c>
      <c r="C67" s="22"/>
      <c r="D67" s="23">
        <f>SUM(D9:D66)</f>
        <v>53</v>
      </c>
      <c r="E67" s="23">
        <f>SUM(E9:E66)</f>
        <v>10938</v>
      </c>
      <c r="F67" s="23">
        <f>SUM(F9:F66)</f>
        <v>53</v>
      </c>
      <c r="G67" s="23">
        <f>SUM(G9:G66)</f>
        <v>10938</v>
      </c>
      <c r="H67" s="24">
        <f t="shared" ref="H67" si="680">F67/$D67</f>
        <v>1</v>
      </c>
      <c r="I67" s="24">
        <f t="shared" ref="I67" si="681">G67/$E67</f>
        <v>1</v>
      </c>
      <c r="J67" s="23">
        <f>SUM(J9:J66)</f>
        <v>53</v>
      </c>
      <c r="K67" s="23">
        <f>SUM(K9:K66)</f>
        <v>10938</v>
      </c>
      <c r="L67" s="24">
        <f t="shared" si="6"/>
        <v>1</v>
      </c>
      <c r="M67" s="24">
        <f t="shared" si="7"/>
        <v>1</v>
      </c>
      <c r="N67" s="23">
        <f>SUM(N9:N66)</f>
        <v>53</v>
      </c>
      <c r="O67" s="23">
        <f>SUM(O9:O66)</f>
        <v>10938</v>
      </c>
      <c r="P67" s="24">
        <f t="shared" si="9"/>
        <v>1</v>
      </c>
      <c r="Q67" s="24">
        <f t="shared" si="10"/>
        <v>1</v>
      </c>
      <c r="R67" s="23">
        <f>SUM(R9:R66)</f>
        <v>44</v>
      </c>
      <c r="S67" s="23">
        <f>SUM(S9:S66)</f>
        <v>5806</v>
      </c>
      <c r="T67" s="24">
        <f t="shared" ref="T67" si="682">R67/$D67</f>
        <v>0.83018867924528306</v>
      </c>
      <c r="U67" s="24">
        <f t="shared" ref="U67" si="683">S67/$E67</f>
        <v>0.5308100201133662</v>
      </c>
      <c r="V67" s="23">
        <f>SUM(V9:V66)</f>
        <v>40</v>
      </c>
      <c r="W67" s="23">
        <f>SUM(W9:W66)</f>
        <v>4897</v>
      </c>
      <c r="X67" s="24">
        <f t="shared" ref="X67" si="684">V67/$D67</f>
        <v>0.75471698113207553</v>
      </c>
      <c r="Y67" s="24">
        <f t="shared" ref="Y67" si="685">W67/$E67</f>
        <v>0.4477052477601024</v>
      </c>
      <c r="Z67" s="39">
        <f>SUM(Z9:Z66)</f>
        <v>56.763761499999994</v>
      </c>
      <c r="AA67" s="23">
        <f>SUM(AA9:AA66)</f>
        <v>4</v>
      </c>
      <c r="AB67" s="23">
        <f>SUM(AB9:AB66)</f>
        <v>909</v>
      </c>
      <c r="AC67" s="24">
        <f t="shared" ref="AC67" si="686">AA67/$D67</f>
        <v>7.5471698113207544E-2</v>
      </c>
      <c r="AD67" s="24">
        <f t="shared" ref="AD67" si="687">AB67/$E67</f>
        <v>8.3104772353263856E-2</v>
      </c>
      <c r="AE67" s="39">
        <f>SUM(AE9:AE66)</f>
        <v>8.9304609999999993</v>
      </c>
      <c r="AF67" s="23">
        <f>SUM(AF9:AF66)</f>
        <v>4</v>
      </c>
      <c r="AG67" s="23"/>
      <c r="AH67" s="23"/>
      <c r="AI67" s="23">
        <f>SUM(AI9:AI66)</f>
        <v>0</v>
      </c>
      <c r="AJ67" s="23">
        <f>SUM(AJ9:AJ66)</f>
        <v>0</v>
      </c>
      <c r="AK67" s="23"/>
      <c r="AL67" s="23">
        <f>SUM(AL9:AL66)</f>
        <v>0</v>
      </c>
      <c r="AM67" s="23">
        <f>SUM(AM9:AM66)</f>
        <v>0</v>
      </c>
      <c r="AN67" s="23">
        <f>SUM(AN9:AN66)</f>
        <v>9</v>
      </c>
      <c r="BB67" s="23">
        <f>SUM(BB9:BB66)</f>
        <v>5132</v>
      </c>
      <c r="BE67" s="23">
        <f t="shared" ref="BE67:BK67" si="688">SUM(BE9:BE66)</f>
        <v>909</v>
      </c>
      <c r="BF67" s="23">
        <f t="shared" si="688"/>
        <v>0</v>
      </c>
      <c r="BG67" s="23">
        <f t="shared" si="688"/>
        <v>0</v>
      </c>
      <c r="BH67" s="23">
        <f t="shared" si="688"/>
        <v>909</v>
      </c>
      <c r="BI67" s="23">
        <f t="shared" si="688"/>
        <v>0</v>
      </c>
      <c r="BJ67" s="23">
        <f t="shared" si="688"/>
        <v>0</v>
      </c>
      <c r="BK67" s="23">
        <f t="shared" si="688"/>
        <v>909</v>
      </c>
      <c r="BN67" s="23">
        <f t="shared" ref="BN67:BZ67" si="689">SUM(BN9:BN66)</f>
        <v>504</v>
      </c>
      <c r="BO67" s="23">
        <f t="shared" si="689"/>
        <v>15</v>
      </c>
      <c r="BP67" s="23">
        <f t="shared" si="689"/>
        <v>0</v>
      </c>
      <c r="BQ67" s="23">
        <f t="shared" si="689"/>
        <v>0</v>
      </c>
      <c r="BR67" s="23">
        <f t="shared" si="689"/>
        <v>0</v>
      </c>
      <c r="BS67" s="23">
        <f t="shared" si="689"/>
        <v>0</v>
      </c>
      <c r="BT67" s="23">
        <f t="shared" si="689"/>
        <v>0</v>
      </c>
      <c r="BU67" s="23">
        <f t="shared" si="689"/>
        <v>0</v>
      </c>
      <c r="BV67" s="23">
        <f t="shared" si="689"/>
        <v>0</v>
      </c>
      <c r="BW67" s="23">
        <f t="shared" si="689"/>
        <v>0</v>
      </c>
      <c r="BX67" s="23">
        <f t="shared" si="689"/>
        <v>0</v>
      </c>
      <c r="BY67" s="23">
        <f t="shared" si="689"/>
        <v>0</v>
      </c>
      <c r="BZ67" s="23">
        <f t="shared" si="689"/>
        <v>0</v>
      </c>
      <c r="CB67" s="23">
        <f>SUM(CB9:CB66)</f>
        <v>0</v>
      </c>
      <c r="CD67" s="23">
        <f t="shared" ref="CD67:CP67" si="690">SUM(CD9:CD66)</f>
        <v>504</v>
      </c>
      <c r="CE67" s="23">
        <f t="shared" si="690"/>
        <v>504</v>
      </c>
      <c r="CF67" s="23">
        <f t="shared" si="690"/>
        <v>0</v>
      </c>
      <c r="CG67" s="23">
        <f t="shared" si="690"/>
        <v>0</v>
      </c>
      <c r="CH67" s="23">
        <f t="shared" si="690"/>
        <v>0</v>
      </c>
      <c r="CI67" s="23">
        <f t="shared" si="690"/>
        <v>0</v>
      </c>
      <c r="CJ67" s="23">
        <f t="shared" si="690"/>
        <v>0</v>
      </c>
      <c r="CK67" s="23">
        <f t="shared" si="690"/>
        <v>0</v>
      </c>
      <c r="CL67" s="23">
        <f t="shared" si="690"/>
        <v>0</v>
      </c>
      <c r="CM67" s="23">
        <f t="shared" si="690"/>
        <v>0</v>
      </c>
      <c r="CN67" s="23">
        <f t="shared" si="690"/>
        <v>0</v>
      </c>
      <c r="CO67" s="23">
        <f t="shared" si="690"/>
        <v>0</v>
      </c>
      <c r="CP67" s="23">
        <f t="shared" si="690"/>
        <v>0</v>
      </c>
      <c r="CQ67" s="148">
        <f t="shared" si="27"/>
        <v>0</v>
      </c>
      <c r="DV67" s="23">
        <f t="shared" ref="DV67:EB67" si="691">SUM(DV9:DV66)</f>
        <v>0</v>
      </c>
      <c r="DW67" s="23">
        <f t="shared" si="691"/>
        <v>0</v>
      </c>
      <c r="DX67" s="23">
        <f t="shared" si="691"/>
        <v>0</v>
      </c>
      <c r="DY67" s="23">
        <f t="shared" si="691"/>
        <v>0</v>
      </c>
      <c r="DZ67" s="23">
        <f t="shared" si="691"/>
        <v>0</v>
      </c>
      <c r="EA67" s="23">
        <f t="shared" si="691"/>
        <v>0</v>
      </c>
      <c r="EB67" s="23">
        <f t="shared" si="691"/>
        <v>0</v>
      </c>
      <c r="EG67" s="58">
        <f>COUNTIF(EG9:EG66,"&gt;&lt;0")</f>
        <v>4</v>
      </c>
      <c r="EH67" s="58">
        <f>COUNTIF(EH9:EH66,"&gt;&lt;0")</f>
        <v>0</v>
      </c>
      <c r="EI67" s="23">
        <f t="shared" ref="EI67:FF67" si="692">SUM(EI9:EI66)</f>
        <v>4</v>
      </c>
      <c r="EJ67" s="23">
        <f t="shared" si="692"/>
        <v>4</v>
      </c>
      <c r="EK67" s="23">
        <f t="shared" si="692"/>
        <v>0</v>
      </c>
      <c r="EL67" s="23">
        <f t="shared" si="692"/>
        <v>0</v>
      </c>
      <c r="EM67" s="23">
        <f t="shared" si="692"/>
        <v>0</v>
      </c>
      <c r="EN67" s="23">
        <f t="shared" si="692"/>
        <v>0</v>
      </c>
      <c r="EO67" s="23">
        <f t="shared" si="692"/>
        <v>0</v>
      </c>
      <c r="EP67" s="23">
        <f t="shared" si="692"/>
        <v>0</v>
      </c>
      <c r="EQ67" s="23">
        <f t="shared" si="692"/>
        <v>4</v>
      </c>
      <c r="ER67" s="23">
        <f t="shared" si="692"/>
        <v>4</v>
      </c>
      <c r="ES67" s="23">
        <f t="shared" si="692"/>
        <v>4</v>
      </c>
      <c r="ET67" s="23">
        <f t="shared" si="692"/>
        <v>0</v>
      </c>
      <c r="EU67" s="23">
        <f t="shared" si="692"/>
        <v>0</v>
      </c>
      <c r="EV67" s="23">
        <f t="shared" si="692"/>
        <v>4</v>
      </c>
      <c r="EW67" s="23">
        <f t="shared" si="692"/>
        <v>0</v>
      </c>
      <c r="EX67" s="23">
        <f t="shared" si="692"/>
        <v>0</v>
      </c>
      <c r="EY67" s="23">
        <f t="shared" si="692"/>
        <v>0</v>
      </c>
      <c r="EZ67" s="23">
        <f t="shared" si="692"/>
        <v>4</v>
      </c>
      <c r="FA67" s="23">
        <f t="shared" si="692"/>
        <v>4</v>
      </c>
      <c r="FB67" s="23">
        <f t="shared" si="692"/>
        <v>4</v>
      </c>
      <c r="FC67" s="23">
        <f t="shared" si="692"/>
        <v>0</v>
      </c>
      <c r="FD67" s="23">
        <f t="shared" si="692"/>
        <v>0</v>
      </c>
      <c r="FE67" s="23">
        <f t="shared" si="692"/>
        <v>4</v>
      </c>
      <c r="FF67" s="23">
        <f t="shared" si="692"/>
        <v>4</v>
      </c>
      <c r="FH67" s="23">
        <f t="shared" ref="FH67:FV67" si="693">SUM(FH9:FH66)</f>
        <v>0</v>
      </c>
      <c r="FI67" s="23">
        <f t="shared" si="693"/>
        <v>0</v>
      </c>
      <c r="FJ67" s="23">
        <f t="shared" si="693"/>
        <v>0</v>
      </c>
      <c r="FK67" s="23">
        <f t="shared" si="693"/>
        <v>0</v>
      </c>
      <c r="FL67" s="23">
        <f t="shared" si="693"/>
        <v>0</v>
      </c>
      <c r="FM67" s="23">
        <f t="shared" si="693"/>
        <v>0</v>
      </c>
      <c r="FN67" s="23">
        <f t="shared" si="693"/>
        <v>0</v>
      </c>
      <c r="FO67" s="23">
        <f t="shared" si="693"/>
        <v>0</v>
      </c>
      <c r="FP67" s="23">
        <f t="shared" si="693"/>
        <v>0</v>
      </c>
      <c r="FQ67" s="23">
        <f t="shared" si="693"/>
        <v>0</v>
      </c>
      <c r="FR67" s="23">
        <f t="shared" si="693"/>
        <v>0</v>
      </c>
      <c r="FS67" s="23">
        <f t="shared" si="693"/>
        <v>0</v>
      </c>
      <c r="FT67" s="23">
        <f t="shared" si="693"/>
        <v>0</v>
      </c>
      <c r="FU67" s="23">
        <f t="shared" si="693"/>
        <v>0</v>
      </c>
      <c r="FV67" s="23">
        <f t="shared" si="693"/>
        <v>0</v>
      </c>
      <c r="FX67" s="23">
        <f t="shared" ref="FX67:GE67" si="694">SUM(FX9:FX66)</f>
        <v>15</v>
      </c>
      <c r="FY67" s="23">
        <f t="shared" si="694"/>
        <v>504</v>
      </c>
      <c r="FZ67" s="23">
        <f t="shared" si="694"/>
        <v>504</v>
      </c>
      <c r="GA67" s="23">
        <f t="shared" si="694"/>
        <v>0</v>
      </c>
      <c r="GB67" s="23">
        <f t="shared" si="694"/>
        <v>0</v>
      </c>
      <c r="GC67" s="23">
        <f t="shared" si="694"/>
        <v>0</v>
      </c>
      <c r="GD67" s="23">
        <f t="shared" si="694"/>
        <v>0</v>
      </c>
      <c r="GE67" s="23">
        <f t="shared" si="694"/>
        <v>0</v>
      </c>
      <c r="GG67" s="23">
        <f>SUM(GG9:GG66)</f>
        <v>0</v>
      </c>
      <c r="GH67" s="23">
        <f>SUM(GH9:GH66)</f>
        <v>0</v>
      </c>
      <c r="GJ67" s="39">
        <f>SUM(GJ9:GJ66)</f>
        <v>0</v>
      </c>
      <c r="GK67" s="39">
        <f>SUM(GK9:GK66)</f>
        <v>0</v>
      </c>
      <c r="GO67" s="103">
        <f t="shared" ref="GO67:GT67" si="695">SUM(GO9:GO66)</f>
        <v>0</v>
      </c>
      <c r="GP67" s="103">
        <f t="shared" si="695"/>
        <v>0</v>
      </c>
      <c r="GQ67" s="103">
        <f t="shared" si="695"/>
        <v>0</v>
      </c>
      <c r="GR67" s="103">
        <f t="shared" si="695"/>
        <v>9</v>
      </c>
      <c r="GS67" s="103">
        <f t="shared" si="695"/>
        <v>13</v>
      </c>
      <c r="GT67" s="103">
        <f t="shared" si="695"/>
        <v>40</v>
      </c>
      <c r="GU67" s="103">
        <f>COUNTA(GU9:GU66)</f>
        <v>53</v>
      </c>
      <c r="GV67" s="103">
        <f>COUNTA(GV9:GV66)</f>
        <v>53</v>
      </c>
      <c r="GW67" s="103">
        <f>SUM(GW9:GW66)</f>
        <v>13</v>
      </c>
      <c r="GX67" s="103">
        <f>COUNTA(GX9:GX66)</f>
        <v>53</v>
      </c>
      <c r="GY67" s="103"/>
      <c r="GZ67" s="103">
        <f>COUNTA(GZ9:GZ66)</f>
        <v>53</v>
      </c>
      <c r="HA67" s="83"/>
      <c r="HB67" s="83"/>
      <c r="HC67" s="103">
        <f>SUM(HC9:HC66)</f>
        <v>4</v>
      </c>
      <c r="HD67" s="103">
        <f>SUM(HD9:HD66)</f>
        <v>0</v>
      </c>
      <c r="HE67" s="103">
        <f>SUM(HE9:HE66)</f>
        <v>4</v>
      </c>
      <c r="HF67" s="103">
        <f>SUM(HF9:HF66)</f>
        <v>0</v>
      </c>
      <c r="HG67" s="103">
        <f>SUM(HG9:HG66)</f>
        <v>4</v>
      </c>
      <c r="HH67" s="103">
        <f>COUNTA(HH9:HH66)</f>
        <v>53</v>
      </c>
      <c r="HI67" s="103">
        <f>COUNTA(HI9:HI66)</f>
        <v>53</v>
      </c>
      <c r="HJ67" s="83"/>
      <c r="HK67" s="103">
        <f>COUNTA(HK9:HK66)</f>
        <v>53</v>
      </c>
      <c r="HL67" s="83"/>
      <c r="HM67" s="83"/>
      <c r="HN67" s="83"/>
      <c r="HO67" s="83"/>
      <c r="HP67" s="104">
        <f>HP69</f>
        <v>43257</v>
      </c>
      <c r="HQ67" s="103">
        <f>SUM(HQ9:HQ66)</f>
        <v>0</v>
      </c>
      <c r="HR67" s="103">
        <f>SUM(HR9:HR66)</f>
        <v>0</v>
      </c>
      <c r="HS67" s="104">
        <f>HS69</f>
        <v>43288</v>
      </c>
      <c r="HT67" s="103">
        <f>SUM(HT9:HT66)</f>
        <v>4</v>
      </c>
      <c r="HU67" s="103">
        <f>SUM(HU9:HU66)</f>
        <v>909</v>
      </c>
      <c r="HV67" s="104">
        <f>HV69</f>
        <v>43267</v>
      </c>
      <c r="HW67" s="103">
        <f>SUM(HW9:HW66)</f>
        <v>0</v>
      </c>
      <c r="HX67" s="103">
        <f>SUM(HX9:HX66)</f>
        <v>0</v>
      </c>
      <c r="HY67" s="104">
        <f>HY69</f>
        <v>43312</v>
      </c>
      <c r="HZ67" s="103">
        <f>SUM(HZ9:HZ66)</f>
        <v>0</v>
      </c>
      <c r="IA67" s="103">
        <f>SUM(IA9:IA66)</f>
        <v>0</v>
      </c>
      <c r="IB67" s="104">
        <f>IB69</f>
        <v>43277</v>
      </c>
      <c r="IC67" s="103">
        <f>SUM(IC9:IC66)</f>
        <v>0</v>
      </c>
      <c r="ID67" s="103">
        <f>SUM(ID9:ID66)</f>
        <v>0</v>
      </c>
      <c r="IE67" s="104">
        <f>IE69</f>
        <v>43322</v>
      </c>
      <c r="IF67" s="103">
        <f>SUM(IF9:IF66)</f>
        <v>0</v>
      </c>
      <c r="IG67" s="103">
        <f>SUM(IG9:IG66)</f>
        <v>0</v>
      </c>
      <c r="IH67" s="104">
        <f>IH69</f>
        <v>43297</v>
      </c>
      <c r="II67" s="103">
        <f>SUM(II9:II66)</f>
        <v>0</v>
      </c>
      <c r="IJ67" s="103">
        <f>SUM(IJ9:IJ66)</f>
        <v>0</v>
      </c>
      <c r="IK67" s="104">
        <f>IK69</f>
        <v>43342</v>
      </c>
      <c r="IL67" s="103">
        <f>SUM(IL9:IL66)</f>
        <v>0</v>
      </c>
      <c r="IM67" s="103">
        <f>SUM(IM9:IM66)</f>
        <v>0</v>
      </c>
      <c r="IN67" s="83"/>
      <c r="IO67" s="104">
        <f>IO69</f>
        <v>43288</v>
      </c>
      <c r="IP67" s="103">
        <f>SUM(IP9:IP66)</f>
        <v>0</v>
      </c>
      <c r="IQ67" s="103">
        <f>SUM(IQ9:IQ66)</f>
        <v>0</v>
      </c>
      <c r="IR67" s="83"/>
      <c r="IS67" s="104">
        <f>$D$3</f>
        <v>44201</v>
      </c>
      <c r="IT67" s="103">
        <f>SUM(IT9:IT66)</f>
        <v>40</v>
      </c>
      <c r="IU67" s="103">
        <f>SUM(IU9:IU66)</f>
        <v>4897</v>
      </c>
      <c r="IV67" s="83"/>
      <c r="IW67" s="104">
        <f>$D$3</f>
        <v>44201</v>
      </c>
      <c r="IX67" s="103">
        <f>SUM(IX9:IX66)</f>
        <v>4</v>
      </c>
      <c r="IY67" s="103">
        <f>SUM(IY9:IY66)</f>
        <v>909</v>
      </c>
      <c r="IZ67" s="83"/>
      <c r="JA67" s="103"/>
      <c r="JB67" s="103">
        <f>SUM(JB9:JB66)</f>
        <v>9</v>
      </c>
      <c r="JC67" s="103">
        <f>SUM(JC9:JC66)</f>
        <v>5132</v>
      </c>
      <c r="JD67" s="83"/>
      <c r="JE67" s="103"/>
      <c r="JF67" s="103">
        <f>SUM(JF9:JF66)</f>
        <v>57</v>
      </c>
      <c r="JG67" s="103">
        <f>SUM(JG9:JG66)</f>
        <v>11847</v>
      </c>
      <c r="JH67" s="83"/>
      <c r="JI67" s="103"/>
      <c r="JJ67" s="103">
        <f>SUM(JJ9:JJ66)</f>
        <v>4</v>
      </c>
      <c r="JK67" s="103">
        <f>SUM(JK9:JK66)</f>
        <v>909</v>
      </c>
      <c r="JM67" s="104">
        <f>MAX(JM9:JM66)</f>
        <v>43288</v>
      </c>
      <c r="JO67" s="29">
        <f>MAX(JO9:JO66)</f>
        <v>1</v>
      </c>
      <c r="JP67" s="125">
        <f t="shared" ref="JP67:KB67" si="696">SUM(JP9:JP66)</f>
        <v>504</v>
      </c>
      <c r="JQ67" s="125">
        <f t="shared" si="696"/>
        <v>15</v>
      </c>
      <c r="JR67" s="125">
        <f t="shared" si="696"/>
        <v>0</v>
      </c>
      <c r="JS67" s="125">
        <f t="shared" si="696"/>
        <v>0</v>
      </c>
      <c r="JT67" s="125">
        <f t="shared" si="696"/>
        <v>0</v>
      </c>
      <c r="JU67" s="125">
        <f t="shared" si="696"/>
        <v>0</v>
      </c>
      <c r="JV67" s="125">
        <f t="shared" si="696"/>
        <v>0</v>
      </c>
      <c r="JW67" s="125">
        <f t="shared" si="696"/>
        <v>0</v>
      </c>
      <c r="JX67" s="125">
        <f t="shared" si="696"/>
        <v>0</v>
      </c>
      <c r="JY67" s="125">
        <f t="shared" si="696"/>
        <v>0</v>
      </c>
      <c r="JZ67" s="125">
        <f t="shared" si="696"/>
        <v>0</v>
      </c>
      <c r="KA67" s="125">
        <f t="shared" si="696"/>
        <v>0</v>
      </c>
      <c r="KB67" s="125">
        <f t="shared" si="696"/>
        <v>0</v>
      </c>
      <c r="KD67" s="125">
        <f t="shared" ref="KD67:KR67" si="697">SUM(KD9:KD66)</f>
        <v>0</v>
      </c>
      <c r="KE67" s="125">
        <f t="shared" si="697"/>
        <v>0</v>
      </c>
      <c r="KF67" s="125">
        <f t="shared" si="697"/>
        <v>504</v>
      </c>
      <c r="KG67" s="125">
        <f t="shared" si="697"/>
        <v>504</v>
      </c>
      <c r="KH67" s="125">
        <f t="shared" si="697"/>
        <v>0</v>
      </c>
      <c r="KI67" s="125">
        <f t="shared" si="697"/>
        <v>0</v>
      </c>
      <c r="KJ67" s="125">
        <f t="shared" si="697"/>
        <v>0</v>
      </c>
      <c r="KK67" s="125">
        <f t="shared" si="697"/>
        <v>0</v>
      </c>
      <c r="KL67" s="125">
        <f t="shared" si="697"/>
        <v>0</v>
      </c>
      <c r="KM67" s="125">
        <f t="shared" si="697"/>
        <v>0</v>
      </c>
      <c r="KN67" s="125">
        <f t="shared" si="697"/>
        <v>0</v>
      </c>
      <c r="KO67" s="125">
        <f t="shared" si="697"/>
        <v>0</v>
      </c>
      <c r="KP67" s="125">
        <f t="shared" si="697"/>
        <v>0</v>
      </c>
      <c r="KQ67" s="125">
        <f t="shared" si="697"/>
        <v>0</v>
      </c>
      <c r="KR67" s="125">
        <f t="shared" si="697"/>
        <v>0</v>
      </c>
      <c r="KT67" s="125">
        <f t="shared" ref="KT67:LY67" si="698">SUM(KT9:KT66)</f>
        <v>9</v>
      </c>
      <c r="KU67" s="125">
        <f t="shared" si="698"/>
        <v>0</v>
      </c>
      <c r="KV67" s="125">
        <f t="shared" si="698"/>
        <v>0</v>
      </c>
      <c r="KW67" s="125">
        <f t="shared" si="698"/>
        <v>0</v>
      </c>
      <c r="KX67" s="125">
        <f t="shared" si="698"/>
        <v>0</v>
      </c>
      <c r="KY67" s="125">
        <f t="shared" si="698"/>
        <v>0</v>
      </c>
      <c r="KZ67" s="125">
        <f t="shared" si="698"/>
        <v>0</v>
      </c>
      <c r="LA67" s="125">
        <f t="shared" si="698"/>
        <v>0</v>
      </c>
      <c r="LB67" s="125">
        <f t="shared" si="698"/>
        <v>0</v>
      </c>
      <c r="LC67" s="125">
        <f t="shared" si="698"/>
        <v>0</v>
      </c>
      <c r="LD67" s="125">
        <f t="shared" si="698"/>
        <v>0</v>
      </c>
      <c r="LE67" s="125">
        <f t="shared" si="698"/>
        <v>0</v>
      </c>
      <c r="LF67" s="125">
        <f t="shared" si="698"/>
        <v>0</v>
      </c>
      <c r="LG67" s="125">
        <f t="shared" si="698"/>
        <v>0</v>
      </c>
      <c r="LH67" s="125">
        <f t="shared" si="698"/>
        <v>0</v>
      </c>
      <c r="LI67" s="125">
        <f t="shared" si="698"/>
        <v>0</v>
      </c>
      <c r="LJ67" s="125">
        <f t="shared" si="698"/>
        <v>0</v>
      </c>
      <c r="LK67" s="125">
        <f t="shared" si="698"/>
        <v>0</v>
      </c>
      <c r="LL67" s="125">
        <f t="shared" si="698"/>
        <v>0</v>
      </c>
      <c r="LM67" s="125">
        <f t="shared" si="698"/>
        <v>7</v>
      </c>
      <c r="LN67" s="125">
        <f t="shared" si="698"/>
        <v>7</v>
      </c>
      <c r="LO67" s="125">
        <f t="shared" si="698"/>
        <v>0</v>
      </c>
      <c r="LP67" s="125">
        <f t="shared" si="698"/>
        <v>0</v>
      </c>
      <c r="LQ67" s="125">
        <f t="shared" si="698"/>
        <v>0</v>
      </c>
      <c r="LR67" s="125">
        <f t="shared" si="698"/>
        <v>0</v>
      </c>
      <c r="LS67" s="125">
        <f t="shared" si="698"/>
        <v>0</v>
      </c>
      <c r="LT67" s="125">
        <f t="shared" si="698"/>
        <v>0</v>
      </c>
      <c r="LU67" s="125">
        <f t="shared" si="698"/>
        <v>0</v>
      </c>
      <c r="LV67" s="125">
        <f t="shared" si="698"/>
        <v>0</v>
      </c>
      <c r="LW67" s="125">
        <f t="shared" si="698"/>
        <v>0</v>
      </c>
      <c r="LX67" s="125">
        <f t="shared" si="698"/>
        <v>0</v>
      </c>
      <c r="LY67" s="125">
        <f t="shared" si="698"/>
        <v>0</v>
      </c>
      <c r="LZ67" s="125">
        <f t="shared" ref="LZ67:MX67" si="699">SUM(LZ9:LZ66)</f>
        <v>0</v>
      </c>
      <c r="MA67" s="125">
        <f t="shared" si="699"/>
        <v>0</v>
      </c>
      <c r="MB67" s="125">
        <f t="shared" si="699"/>
        <v>0</v>
      </c>
      <c r="MC67" s="125">
        <f t="shared" si="699"/>
        <v>0</v>
      </c>
      <c r="MD67" s="125">
        <f t="shared" si="699"/>
        <v>0</v>
      </c>
      <c r="ME67" s="125">
        <f t="shared" si="699"/>
        <v>0</v>
      </c>
      <c r="MF67" s="125">
        <f t="shared" si="699"/>
        <v>0</v>
      </c>
      <c r="MG67" s="125">
        <f t="shared" si="699"/>
        <v>0</v>
      </c>
      <c r="MH67" s="125">
        <f t="shared" si="699"/>
        <v>0</v>
      </c>
      <c r="MI67" s="125">
        <f t="shared" si="699"/>
        <v>0</v>
      </c>
      <c r="MJ67" s="125">
        <f t="shared" si="699"/>
        <v>0</v>
      </c>
      <c r="MK67" s="125">
        <f t="shared" si="699"/>
        <v>0</v>
      </c>
      <c r="ML67" s="125">
        <f t="shared" si="699"/>
        <v>0</v>
      </c>
      <c r="MM67" s="125">
        <f t="shared" si="699"/>
        <v>0</v>
      </c>
      <c r="MN67" s="125">
        <f t="shared" si="699"/>
        <v>0</v>
      </c>
      <c r="MO67" s="125">
        <f t="shared" si="699"/>
        <v>0</v>
      </c>
      <c r="MP67" s="125">
        <f t="shared" si="699"/>
        <v>0</v>
      </c>
      <c r="MQ67" s="125">
        <f t="shared" si="699"/>
        <v>0</v>
      </c>
      <c r="MR67" s="125">
        <f t="shared" si="699"/>
        <v>0</v>
      </c>
      <c r="MS67" s="125">
        <f t="shared" si="699"/>
        <v>0</v>
      </c>
      <c r="MT67" s="125">
        <f t="shared" si="699"/>
        <v>0</v>
      </c>
      <c r="MU67" s="125">
        <f t="shared" si="699"/>
        <v>0</v>
      </c>
      <c r="MV67" s="125">
        <f t="shared" si="699"/>
        <v>0</v>
      </c>
      <c r="MW67" s="125">
        <f t="shared" si="699"/>
        <v>0</v>
      </c>
      <c r="MX67" s="125">
        <f t="shared" si="699"/>
        <v>0</v>
      </c>
      <c r="MY67" s="125"/>
      <c r="MZ67" s="125"/>
      <c r="NA67" s="125"/>
      <c r="NB67" s="125">
        <f t="shared" ref="NB67:NK67" si="700">SUM(NB9:NB66)</f>
        <v>0</v>
      </c>
      <c r="NC67" s="125">
        <f t="shared" si="700"/>
        <v>0</v>
      </c>
      <c r="ND67" s="125">
        <f t="shared" si="700"/>
        <v>0</v>
      </c>
      <c r="NE67" s="125">
        <f t="shared" si="700"/>
        <v>0</v>
      </c>
      <c r="NF67" s="125">
        <f t="shared" si="700"/>
        <v>0</v>
      </c>
      <c r="NG67" s="125">
        <f t="shared" si="700"/>
        <v>0</v>
      </c>
      <c r="NH67" s="125">
        <f t="shared" si="700"/>
        <v>0</v>
      </c>
      <c r="NI67" s="125">
        <f t="shared" si="700"/>
        <v>0</v>
      </c>
      <c r="NJ67" s="125">
        <f t="shared" si="700"/>
        <v>0</v>
      </c>
      <c r="NK67" s="125">
        <f t="shared" si="700"/>
        <v>0</v>
      </c>
      <c r="NM67" s="125">
        <f t="shared" ref="NM67:NU67" si="701">SUM(NM9:NM66)</f>
        <v>2</v>
      </c>
      <c r="NN67" s="125">
        <f t="shared" si="701"/>
        <v>6</v>
      </c>
      <c r="NO67" s="125">
        <f t="shared" si="701"/>
        <v>0</v>
      </c>
      <c r="NP67" s="125">
        <f t="shared" si="701"/>
        <v>0</v>
      </c>
      <c r="NQ67" s="125">
        <f t="shared" si="701"/>
        <v>0</v>
      </c>
      <c r="NR67" s="125">
        <f t="shared" si="701"/>
        <v>0</v>
      </c>
      <c r="NS67" s="125">
        <f t="shared" si="701"/>
        <v>1</v>
      </c>
      <c r="NT67" s="125">
        <f t="shared" si="701"/>
        <v>9</v>
      </c>
      <c r="NU67" s="125">
        <f t="shared" si="701"/>
        <v>0</v>
      </c>
      <c r="NZ67" s="153">
        <f>MAX(NZ9:NZ66)</f>
        <v>8036000</v>
      </c>
      <c r="OA67" s="153">
        <f>MIN(NZ9:NZ66)</f>
        <v>7835100</v>
      </c>
      <c r="OB67" s="153">
        <f>AVERAGE(NZ9:NZ66)</f>
        <v>8021855.9090909092</v>
      </c>
      <c r="OE67" s="125">
        <f t="shared" ref="OE67:OM67" si="702">SUM(OE9:OE66)</f>
        <v>0</v>
      </c>
      <c r="OF67" s="125">
        <f t="shared" si="702"/>
        <v>0</v>
      </c>
      <c r="OG67" s="125">
        <f t="shared" si="702"/>
        <v>3</v>
      </c>
      <c r="OH67" s="125">
        <f t="shared" si="702"/>
        <v>4</v>
      </c>
      <c r="OI67" s="125">
        <f t="shared" si="702"/>
        <v>3</v>
      </c>
      <c r="OJ67" s="125">
        <f t="shared" si="702"/>
        <v>0</v>
      </c>
      <c r="OK67" s="125">
        <f t="shared" si="702"/>
        <v>0</v>
      </c>
      <c r="OL67" s="125">
        <f t="shared" si="702"/>
        <v>0</v>
      </c>
      <c r="OM67" s="125">
        <f t="shared" si="702"/>
        <v>0</v>
      </c>
      <c r="OO67" s="125">
        <f t="shared" ref="OO67:OW67" si="703">SUM(OO9:OO66)</f>
        <v>0</v>
      </c>
      <c r="OP67" s="125">
        <f t="shared" si="703"/>
        <v>0</v>
      </c>
      <c r="OQ67" s="125">
        <f t="shared" si="703"/>
        <v>3</v>
      </c>
      <c r="OR67" s="125">
        <f t="shared" si="703"/>
        <v>4</v>
      </c>
      <c r="OS67" s="125">
        <f t="shared" si="703"/>
        <v>3</v>
      </c>
      <c r="OT67" s="125">
        <f t="shared" si="703"/>
        <v>0</v>
      </c>
      <c r="OU67" s="125">
        <f t="shared" si="703"/>
        <v>0</v>
      </c>
      <c r="OV67" s="125">
        <f t="shared" si="703"/>
        <v>0</v>
      </c>
      <c r="OW67" s="125">
        <f t="shared" si="703"/>
        <v>0</v>
      </c>
      <c r="PA67" s="125">
        <f t="shared" ref="PA67:PL67" si="704">SUM(PA9:PA66)</f>
        <v>2</v>
      </c>
      <c r="PB67" s="125">
        <f t="shared" si="704"/>
        <v>7</v>
      </c>
      <c r="PC67" s="125">
        <f t="shared" si="704"/>
        <v>7</v>
      </c>
      <c r="PD67" s="125">
        <f t="shared" si="704"/>
        <v>0</v>
      </c>
      <c r="PE67" s="125">
        <f t="shared" si="704"/>
        <v>0</v>
      </c>
      <c r="PF67" s="125">
        <f t="shared" si="704"/>
        <v>0</v>
      </c>
      <c r="PG67" s="125">
        <f t="shared" si="704"/>
        <v>971</v>
      </c>
      <c r="PH67" s="125">
        <f t="shared" si="704"/>
        <v>4161</v>
      </c>
      <c r="PI67" s="125">
        <f t="shared" si="704"/>
        <v>4161</v>
      </c>
      <c r="PJ67" s="125">
        <f t="shared" si="704"/>
        <v>0</v>
      </c>
      <c r="PK67" s="125">
        <f t="shared" si="704"/>
        <v>0</v>
      </c>
      <c r="PL67" s="125">
        <f t="shared" si="704"/>
        <v>0</v>
      </c>
      <c r="PO67" s="125">
        <f>SUM(PO9:PO66)</f>
        <v>0</v>
      </c>
      <c r="PP67" s="125">
        <f>SUM(PP9:PP66)</f>
        <v>909</v>
      </c>
      <c r="PQ67" s="125">
        <f>SUM(PQ9:PQ66)</f>
        <v>0</v>
      </c>
    </row>
    <row r="68" spans="1:433" ht="16" x14ac:dyDescent="0.2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6"/>
      <c r="AG68" s="27"/>
      <c r="GO68" s="83"/>
      <c r="GP68" s="83"/>
      <c r="GQ68" s="83"/>
      <c r="GR68" s="83"/>
      <c r="GS68" s="83"/>
      <c r="GT68" s="83"/>
      <c r="GU68" s="83"/>
      <c r="GV68" s="83"/>
      <c r="GW68" s="83"/>
      <c r="GX68" s="83"/>
      <c r="GY68" s="83"/>
      <c r="GZ68" s="83"/>
      <c r="HA68" s="83"/>
      <c r="HB68" s="83"/>
      <c r="HC68" s="83"/>
      <c r="HD68" s="83"/>
      <c r="HE68" s="83"/>
      <c r="HF68" s="83"/>
      <c r="HG68" s="83"/>
      <c r="HH68" s="83"/>
      <c r="HI68" s="83"/>
      <c r="HJ68" s="83"/>
      <c r="HK68" s="83"/>
      <c r="HL68" s="83"/>
      <c r="HM68" s="83"/>
      <c r="HN68" s="83"/>
      <c r="HO68" s="83"/>
      <c r="HP68" s="83"/>
      <c r="HQ68" s="83"/>
      <c r="HR68" s="83"/>
      <c r="HS68" s="83"/>
      <c r="HT68" s="83"/>
      <c r="HU68" s="83"/>
      <c r="HV68" s="83"/>
      <c r="HW68" s="83"/>
      <c r="HX68" s="83"/>
      <c r="HY68" s="105"/>
      <c r="HZ68" s="83"/>
      <c r="IA68" s="83"/>
      <c r="IB68" s="83"/>
      <c r="IC68" s="83"/>
      <c r="ID68" s="83"/>
      <c r="IE68" s="83"/>
      <c r="IF68" s="83"/>
      <c r="IG68" s="83"/>
      <c r="IH68" s="83"/>
      <c r="II68" s="83"/>
      <c r="IJ68" s="83"/>
      <c r="IK68" s="83"/>
      <c r="IL68" s="83"/>
      <c r="IM68" s="83"/>
      <c r="IN68" s="83"/>
      <c r="IO68" s="83"/>
      <c r="IP68" s="83"/>
      <c r="IQ68" s="83"/>
      <c r="IR68" s="83"/>
      <c r="IS68" s="83"/>
      <c r="IT68" s="83"/>
      <c r="IU68" s="83"/>
      <c r="IV68" s="83"/>
      <c r="IW68" s="83"/>
      <c r="IX68" s="83"/>
      <c r="IY68" s="83"/>
      <c r="IZ68" s="83"/>
      <c r="JA68" s="83"/>
      <c r="JB68" s="83"/>
      <c r="JC68" s="83"/>
      <c r="JD68" s="83"/>
      <c r="JE68" s="83"/>
      <c r="JF68" s="83"/>
      <c r="JG68" s="83"/>
      <c r="JH68" s="83"/>
      <c r="JI68" s="83"/>
      <c r="JJ68" s="83"/>
      <c r="JK68" s="83"/>
      <c r="JP68" s="124">
        <f>SUM(JQ67:KB67)</f>
        <v>15</v>
      </c>
      <c r="KF68" s="124">
        <f>SUM(KG67:KR67)</f>
        <v>504</v>
      </c>
      <c r="NZ68" t="s">
        <v>593</v>
      </c>
      <c r="OA68" t="s">
        <v>594</v>
      </c>
      <c r="OB68" t="s">
        <v>595</v>
      </c>
    </row>
    <row r="69" spans="1:433" ht="16" x14ac:dyDescent="0.2">
      <c r="Y69" t="s">
        <v>18</v>
      </c>
      <c r="Z69" t="s">
        <v>294</v>
      </c>
      <c r="AG69" s="29">
        <f>COUNTIF(AG9:AG66,"A")</f>
        <v>0</v>
      </c>
      <c r="BW69" t="s">
        <v>344</v>
      </c>
      <c r="CC69" s="29">
        <f>COUNTIF(CC9:CC66,"A")</f>
        <v>0</v>
      </c>
      <c r="GO69" s="106">
        <f>GO67</f>
        <v>0</v>
      </c>
      <c r="GP69" s="106">
        <f>GP67-GO67</f>
        <v>0</v>
      </c>
      <c r="GQ69" s="106">
        <f>GQ67-GP67</f>
        <v>0</v>
      </c>
      <c r="GR69" s="106">
        <f>GR67-GQ67</f>
        <v>9</v>
      </c>
      <c r="GS69" s="106">
        <f>GS67-GR67</f>
        <v>4</v>
      </c>
      <c r="GT69" s="106">
        <f>GT67</f>
        <v>40</v>
      </c>
      <c r="GU69" s="83"/>
      <c r="GV69" s="83"/>
      <c r="GW69" s="83"/>
      <c r="GX69" s="83"/>
      <c r="GY69" s="107" t="s">
        <v>464</v>
      </c>
      <c r="GZ69" s="105">
        <f>MAX(GZ9:GZ66)</f>
        <v>43267</v>
      </c>
      <c r="HA69" s="83"/>
      <c r="HB69" s="83"/>
      <c r="HC69" s="83"/>
      <c r="HD69" s="83"/>
      <c r="HE69" s="83"/>
      <c r="HF69" s="83"/>
      <c r="HG69" s="83"/>
      <c r="HH69" s="105">
        <f>MAX(HH9:HH66)</f>
        <v>43288</v>
      </c>
      <c r="HI69" s="83"/>
      <c r="HJ69" s="83"/>
      <c r="HK69" s="83"/>
      <c r="HL69" s="83"/>
      <c r="HM69" s="83"/>
      <c r="HN69" s="83"/>
      <c r="HO69" s="83"/>
      <c r="HP69" s="102">
        <f>+$GU$3+$GY$8</f>
        <v>43257</v>
      </c>
      <c r="HQ69" s="106">
        <f>HQ67</f>
        <v>0</v>
      </c>
      <c r="HR69" s="106">
        <f>HR67</f>
        <v>0</v>
      </c>
      <c r="HS69" s="102">
        <f>+$GU$3+$HH$8</f>
        <v>43288</v>
      </c>
      <c r="HT69" s="106">
        <f>HT67</f>
        <v>4</v>
      </c>
      <c r="HU69" s="106">
        <f>HU67</f>
        <v>909</v>
      </c>
      <c r="HV69" s="102">
        <f>+$GU$3+SUM($GY$7:$GY$8)</f>
        <v>43267</v>
      </c>
      <c r="HW69" s="106">
        <f>HW67</f>
        <v>0</v>
      </c>
      <c r="HX69" s="106">
        <f>HX67</f>
        <v>0</v>
      </c>
      <c r="HY69" s="102">
        <f>+$GU$3+SUM($GY$7:$GY$8)+$HI$8</f>
        <v>43312</v>
      </c>
      <c r="HZ69" s="106">
        <f>HZ67</f>
        <v>0</v>
      </c>
      <c r="IA69" s="106">
        <f>IA67</f>
        <v>0</v>
      </c>
      <c r="IB69" s="102">
        <f>+$GU$3+SUM($GY$6:$GY$8)</f>
        <v>43277</v>
      </c>
      <c r="IC69" s="106">
        <f>IC67</f>
        <v>0</v>
      </c>
      <c r="ID69" s="106">
        <f>ID67</f>
        <v>0</v>
      </c>
      <c r="IE69" s="102">
        <f>+$GU$3+SUM($GY$6:$GY$8)+$HI$8</f>
        <v>43322</v>
      </c>
      <c r="IF69" s="106">
        <f>IF67</f>
        <v>0</v>
      </c>
      <c r="IG69" s="106">
        <f>IG67</f>
        <v>0</v>
      </c>
      <c r="IH69" s="102">
        <f>+$GU$3+SUM($GY$5:$GY$8)</f>
        <v>43297</v>
      </c>
      <c r="II69" s="106">
        <f>II67</f>
        <v>0</v>
      </c>
      <c r="IJ69" s="106">
        <f>IJ67</f>
        <v>0</v>
      </c>
      <c r="IK69" s="102">
        <f>+$GU$3+SUM($GY$5:$GY$8)+$HI$8</f>
        <v>43342</v>
      </c>
      <c r="IL69" s="106">
        <f>IL67</f>
        <v>0</v>
      </c>
      <c r="IM69" s="106">
        <f>IM67</f>
        <v>0</v>
      </c>
      <c r="IN69" s="83"/>
      <c r="IO69" s="102">
        <f>+$GU$3+$HH$8</f>
        <v>43288</v>
      </c>
      <c r="IP69" s="106">
        <f>IP67</f>
        <v>0</v>
      </c>
      <c r="IQ69" s="106">
        <f>IQ67</f>
        <v>0</v>
      </c>
      <c r="IR69" s="83"/>
      <c r="IS69" s="102"/>
      <c r="IT69" s="106">
        <f>IT67</f>
        <v>40</v>
      </c>
      <c r="IU69" s="106">
        <f>IU67</f>
        <v>4897</v>
      </c>
      <c r="IV69" s="83"/>
      <c r="IW69" s="102"/>
      <c r="IX69" s="106">
        <f>IX67</f>
        <v>4</v>
      </c>
      <c r="IY69" s="106">
        <f>IY67</f>
        <v>909</v>
      </c>
      <c r="IZ69" s="83"/>
      <c r="JA69" s="102"/>
      <c r="JB69" s="106">
        <f>JB67</f>
        <v>9</v>
      </c>
      <c r="JC69" s="106">
        <f>JC67</f>
        <v>5132</v>
      </c>
      <c r="JD69" s="83"/>
      <c r="JE69" s="102"/>
      <c r="JF69" s="106">
        <f>JF67</f>
        <v>57</v>
      </c>
      <c r="JG69" s="106">
        <f>JG67</f>
        <v>11847</v>
      </c>
      <c r="JH69" s="83"/>
      <c r="JI69" s="102"/>
      <c r="JJ69" s="66">
        <f>JJ67</f>
        <v>4</v>
      </c>
      <c r="JK69" s="66">
        <f>JK67</f>
        <v>909</v>
      </c>
    </row>
    <row r="70" spans="1:433" x14ac:dyDescent="0.2">
      <c r="D70" s="29"/>
      <c r="E70" s="29"/>
      <c r="F70" s="29"/>
      <c r="G70" s="29"/>
      <c r="J70" s="29"/>
      <c r="K70" s="29"/>
      <c r="L70" s="29"/>
      <c r="M70" s="29"/>
      <c r="R70" s="29"/>
      <c r="S70" s="29"/>
      <c r="T70" s="29"/>
      <c r="U70" s="29"/>
      <c r="V70" s="29"/>
      <c r="W70" s="29"/>
      <c r="X70" s="29"/>
      <c r="Y70" t="s">
        <v>18</v>
      </c>
      <c r="Z70" t="s">
        <v>295</v>
      </c>
      <c r="AG70" s="29">
        <f>COUNTIF(AG9:AG66,"b")</f>
        <v>0</v>
      </c>
      <c r="BW70" t="s">
        <v>345</v>
      </c>
      <c r="CC70" s="29">
        <f>COUNTIF(CC9:CC66,"b")</f>
        <v>0</v>
      </c>
      <c r="GO70" s="83"/>
      <c r="GP70" s="83"/>
      <c r="GQ70" s="83"/>
      <c r="GR70" s="83"/>
      <c r="GS70" s="83"/>
      <c r="GT70" s="106">
        <f>SUM(GO69:GT69)</f>
        <v>53</v>
      </c>
      <c r="GU70" s="83"/>
      <c r="GV70" s="83"/>
      <c r="GW70" s="83"/>
      <c r="GX70" s="83"/>
      <c r="GY70" s="107" t="s">
        <v>465</v>
      </c>
      <c r="GZ70" s="105">
        <f>MIN(GZ9:GZ66)</f>
        <v>43257</v>
      </c>
      <c r="HA70" s="83"/>
      <c r="HB70" s="83"/>
      <c r="HC70" s="83"/>
      <c r="HD70" s="83"/>
      <c r="HE70" s="83"/>
      <c r="HF70" s="83"/>
      <c r="HG70" s="83"/>
      <c r="HH70" s="105">
        <f>MIN(HH9:HH66)</f>
        <v>43288</v>
      </c>
      <c r="HI70" s="83"/>
      <c r="HJ70" s="83"/>
      <c r="HK70" s="83"/>
      <c r="HL70" s="83"/>
      <c r="HM70" s="83"/>
      <c r="HN70" s="83"/>
      <c r="HO70" s="83"/>
      <c r="HP70" s="83"/>
      <c r="HQ70" s="83"/>
      <c r="HR70" s="83"/>
      <c r="HS70" s="83"/>
      <c r="HT70" s="83"/>
      <c r="HU70" s="83"/>
      <c r="HV70" s="83"/>
      <c r="HW70" s="83"/>
      <c r="HX70" s="83"/>
      <c r="HY70" s="83"/>
      <c r="HZ70" s="83"/>
      <c r="IA70" s="83"/>
      <c r="IB70" s="83"/>
      <c r="IC70" s="83"/>
      <c r="ID70" s="83"/>
      <c r="IE70" s="83"/>
      <c r="IF70" s="83"/>
      <c r="IG70" s="83"/>
      <c r="IH70" s="83"/>
      <c r="II70" s="83"/>
      <c r="IJ70" s="83"/>
      <c r="IK70" s="83"/>
      <c r="IL70" s="83"/>
      <c r="IM70" s="83"/>
      <c r="IN70" s="83"/>
      <c r="IO70" s="83"/>
      <c r="IP70" s="83"/>
      <c r="IQ70" s="83"/>
      <c r="IR70" s="83"/>
      <c r="IS70" s="83"/>
      <c r="IT70" s="83"/>
      <c r="IU70" s="83"/>
      <c r="IV70" s="83"/>
      <c r="IW70" s="83"/>
      <c r="IX70" s="83"/>
      <c r="IY70" s="83"/>
      <c r="IZ70" s="83"/>
      <c r="JA70" s="83"/>
      <c r="JB70" s="83"/>
      <c r="JC70" s="83"/>
      <c r="JD70" s="83"/>
      <c r="JE70" s="83"/>
      <c r="JF70" s="83"/>
      <c r="JG70" s="83"/>
      <c r="JH70" s="83"/>
      <c r="JI70" s="83"/>
      <c r="JJ70" s="83"/>
      <c r="JK70" s="83"/>
    </row>
    <row r="71" spans="1:433" ht="15" customHeight="1" x14ac:dyDescent="0.2">
      <c r="Y71" t="s">
        <v>18</v>
      </c>
      <c r="Z71" t="s">
        <v>296</v>
      </c>
      <c r="AG71" s="29">
        <f>COUNTIF(AG9:AG66,"c")</f>
        <v>4</v>
      </c>
      <c r="BW71" t="s">
        <v>346</v>
      </c>
      <c r="CC71" s="29">
        <f>COUNTIF(CC9:CC66,"c")</f>
        <v>0</v>
      </c>
      <c r="GO71" s="83"/>
      <c r="GP71" s="83"/>
      <c r="GQ71" s="83"/>
      <c r="GR71" s="83"/>
      <c r="GS71" s="83"/>
      <c r="GT71" s="83"/>
      <c r="GU71" s="83"/>
      <c r="GV71" s="83"/>
      <c r="GW71" s="83"/>
      <c r="GX71" s="83"/>
      <c r="GY71" s="83"/>
      <c r="GZ71" s="83"/>
      <c r="HA71" s="83"/>
      <c r="HB71" s="83"/>
      <c r="HC71" s="83"/>
      <c r="HD71" s="83"/>
      <c r="HE71" s="83"/>
      <c r="HF71" s="83"/>
      <c r="HG71" s="83"/>
      <c r="HH71" s="83"/>
      <c r="HI71" s="83"/>
      <c r="HJ71" s="83"/>
      <c r="HK71" s="83"/>
      <c r="HL71" s="83"/>
      <c r="HM71" s="83"/>
      <c r="HN71" s="83"/>
      <c r="HO71" s="83"/>
      <c r="HP71" s="83"/>
      <c r="HQ71" s="83"/>
      <c r="HR71" s="83"/>
      <c r="HS71" s="83"/>
      <c r="HT71" s="83"/>
      <c r="HU71" s="83"/>
      <c r="HV71" s="83"/>
      <c r="HW71" s="83"/>
      <c r="HX71" s="83"/>
      <c r="HY71" s="83"/>
      <c r="HZ71" s="83"/>
      <c r="IA71" s="83"/>
      <c r="IB71" s="83"/>
      <c r="IC71" s="83"/>
      <c r="ID71" s="83"/>
      <c r="IE71" s="83"/>
      <c r="IF71" s="83"/>
      <c r="IG71" s="83"/>
      <c r="IH71" s="83"/>
      <c r="II71" s="83"/>
      <c r="IJ71" s="83"/>
      <c r="IK71" s="83"/>
      <c r="IL71" s="83"/>
      <c r="IM71" s="83"/>
      <c r="IN71" s="83"/>
      <c r="IO71" s="83"/>
      <c r="IP71" s="83"/>
      <c r="IQ71" s="83"/>
      <c r="IR71" s="83"/>
      <c r="IS71" s="83"/>
      <c r="IT71" s="83"/>
      <c r="IU71" s="83"/>
      <c r="IV71" s="83"/>
      <c r="IW71" s="83"/>
      <c r="IX71" s="83"/>
      <c r="IY71" s="83"/>
      <c r="IZ71" s="83"/>
      <c r="JA71" s="83"/>
      <c r="JB71" s="83"/>
      <c r="JC71" s="83"/>
      <c r="JD71" s="83"/>
      <c r="JE71" s="83"/>
      <c r="JF71" s="83"/>
      <c r="JG71" s="83"/>
      <c r="JH71" s="83"/>
      <c r="JI71" s="83"/>
      <c r="JJ71" s="83"/>
      <c r="JK71" s="83"/>
    </row>
    <row r="72" spans="1:433" x14ac:dyDescent="0.2">
      <c r="Y72" t="s">
        <v>18</v>
      </c>
      <c r="Z72" t="s">
        <v>297</v>
      </c>
      <c r="AG72" s="29">
        <f>COUNTIF(AG9:AG66,"D")</f>
        <v>0</v>
      </c>
      <c r="BW72" t="s">
        <v>347</v>
      </c>
      <c r="CC72" s="29">
        <f>COUNTIF(CC9:CC66,"D")</f>
        <v>0</v>
      </c>
      <c r="GO72" s="83"/>
      <c r="GP72" s="83"/>
      <c r="GQ72" s="83"/>
      <c r="GR72" s="83"/>
      <c r="GS72" s="83"/>
      <c r="GT72" s="83"/>
      <c r="GU72" s="83"/>
      <c r="GV72" s="83"/>
      <c r="GW72" s="83"/>
      <c r="GX72" s="107" t="s">
        <v>434</v>
      </c>
      <c r="GY72" s="105">
        <f>$GU$3+SUM($GY$4:$GY$8)</f>
        <v>43317</v>
      </c>
      <c r="GZ72" s="83">
        <f t="shared" ref="GZ72:GZ77" si="705">COUNTIF($GZ$9:$GZ$66,GY72)</f>
        <v>0</v>
      </c>
      <c r="HA72" s="83"/>
      <c r="HB72" s="83"/>
      <c r="HC72" s="83"/>
      <c r="HD72" s="83"/>
      <c r="HE72" s="83"/>
      <c r="HF72" s="107"/>
      <c r="HG72" s="105"/>
      <c r="HH72" s="83"/>
      <c r="HI72" s="83">
        <f t="shared" ref="HI72:HI77" si="706">COUNTIF($HI$9:$HI$66,HK72)</f>
        <v>0</v>
      </c>
      <c r="HJ72" s="83"/>
      <c r="HK72" s="105">
        <f>GY72+$HI$8</f>
        <v>43362</v>
      </c>
      <c r="HL72" s="83"/>
      <c r="HM72" s="83"/>
      <c r="HN72" s="83"/>
      <c r="HO72" s="83"/>
      <c r="HP72" s="83"/>
      <c r="HQ72" s="83"/>
      <c r="HR72" s="83"/>
      <c r="HS72" s="83"/>
      <c r="HT72" s="83"/>
      <c r="HU72" s="83"/>
      <c r="HV72" s="83"/>
      <c r="HW72" s="83"/>
      <c r="HX72" s="83"/>
      <c r="HY72" s="83"/>
      <c r="HZ72" s="83"/>
      <c r="IA72" s="83"/>
      <c r="IB72" s="83"/>
      <c r="IC72" s="83"/>
      <c r="ID72" s="83"/>
      <c r="IE72" s="83"/>
      <c r="IF72" s="83"/>
      <c r="IG72" s="83"/>
      <c r="IH72" s="83"/>
      <c r="II72" s="83"/>
      <c r="IJ72" s="83"/>
      <c r="IK72" s="83"/>
      <c r="IL72" s="83"/>
      <c r="IM72" s="83"/>
      <c r="IN72" s="83"/>
      <c r="IO72" s="83"/>
      <c r="IP72" s="83"/>
      <c r="IQ72" s="83"/>
      <c r="IR72" s="83"/>
      <c r="IS72" s="83"/>
      <c r="IT72" s="83"/>
      <c r="IU72" s="83"/>
      <c r="IV72" s="83"/>
      <c r="IW72" s="83"/>
      <c r="IX72" s="83"/>
      <c r="IY72" s="83"/>
      <c r="IZ72" s="83"/>
      <c r="JA72" s="83"/>
      <c r="JB72" s="83"/>
      <c r="JC72" s="83"/>
      <c r="JD72" s="83"/>
      <c r="JE72" s="83"/>
      <c r="JF72" s="83"/>
      <c r="JG72" s="83"/>
      <c r="JH72" s="83"/>
      <c r="JI72" s="83"/>
      <c r="JJ72" s="83"/>
      <c r="JK72" s="83"/>
    </row>
    <row r="73" spans="1:433" x14ac:dyDescent="0.2">
      <c r="AG73" s="29"/>
      <c r="BW73" t="s">
        <v>348</v>
      </c>
      <c r="CC73" s="29">
        <f>COUNTIF(CC9:CC66,"E")</f>
        <v>0</v>
      </c>
      <c r="GO73" s="83"/>
      <c r="GP73" s="83"/>
      <c r="GQ73" s="83"/>
      <c r="GR73" s="83"/>
      <c r="GS73" s="83"/>
      <c r="GT73" s="83"/>
      <c r="GU73" s="83"/>
      <c r="GV73" s="83"/>
      <c r="GW73" s="83"/>
      <c r="GX73" s="83" t="s">
        <v>440</v>
      </c>
      <c r="GY73" s="105">
        <f>+$GU$3+SUM($GY$5:$GY$8)</f>
        <v>43297</v>
      </c>
      <c r="GZ73" s="83">
        <f t="shared" si="705"/>
        <v>0</v>
      </c>
      <c r="HA73" s="83"/>
      <c r="HB73" s="83"/>
      <c r="HC73" s="83"/>
      <c r="HD73" s="83"/>
      <c r="HE73" s="83"/>
      <c r="HF73" s="83"/>
      <c r="HG73" s="105"/>
      <c r="HH73" s="83"/>
      <c r="HI73" s="83">
        <f t="shared" si="706"/>
        <v>0</v>
      </c>
      <c r="HJ73" s="83"/>
      <c r="HK73" s="105">
        <f t="shared" ref="HK73:HK76" si="707">GY73+$HI$8</f>
        <v>43342</v>
      </c>
      <c r="HL73" s="83"/>
      <c r="HM73" s="83"/>
      <c r="HN73" s="83"/>
      <c r="HO73" s="83"/>
      <c r="HP73" s="83"/>
      <c r="HQ73" s="83"/>
      <c r="HR73" s="83"/>
      <c r="HS73" s="83"/>
      <c r="HT73" s="83"/>
      <c r="HU73" s="83"/>
      <c r="HV73" s="83"/>
      <c r="HW73" s="83"/>
      <c r="HX73" s="83"/>
      <c r="HY73" s="83"/>
      <c r="HZ73" s="83"/>
      <c r="IA73" s="83"/>
      <c r="IB73" s="83"/>
      <c r="IC73" s="83"/>
      <c r="ID73" s="83"/>
      <c r="IE73" s="83"/>
      <c r="IF73" s="83"/>
      <c r="IG73" s="83"/>
      <c r="IH73" s="83"/>
      <c r="II73" s="83"/>
      <c r="IJ73" s="83"/>
      <c r="IK73" s="83"/>
      <c r="IL73" s="83"/>
      <c r="IM73" s="83"/>
      <c r="IN73" s="83"/>
      <c r="IO73" s="83"/>
      <c r="IP73" s="83"/>
      <c r="IQ73" s="83"/>
      <c r="IR73" s="83"/>
      <c r="IS73" s="83"/>
      <c r="IT73" s="83"/>
      <c r="IU73" s="83"/>
      <c r="IV73" s="83"/>
      <c r="IW73" s="83"/>
      <c r="IX73" s="83"/>
      <c r="IY73" s="83"/>
      <c r="IZ73" s="83"/>
      <c r="JA73" s="83"/>
      <c r="JB73" s="83"/>
      <c r="JC73" s="83"/>
      <c r="JD73" s="83"/>
      <c r="JE73" s="83"/>
      <c r="JF73" s="83"/>
      <c r="JG73" s="83"/>
      <c r="JH73" s="83"/>
      <c r="JI73" s="83"/>
      <c r="JJ73" s="83"/>
      <c r="JK73" s="83"/>
    </row>
    <row r="74" spans="1:433" x14ac:dyDescent="0.2">
      <c r="Y74" t="s">
        <v>18</v>
      </c>
      <c r="Z74" t="s">
        <v>299</v>
      </c>
      <c r="AG74" s="29">
        <f>SUM(AG69:AG73)</f>
        <v>4</v>
      </c>
      <c r="BW74" t="s">
        <v>299</v>
      </c>
      <c r="CC74" s="29">
        <f>SUM(CC69:CC73)</f>
        <v>0</v>
      </c>
      <c r="GO74" s="83"/>
      <c r="GP74" s="83"/>
      <c r="GQ74" s="83"/>
      <c r="GR74" s="83"/>
      <c r="GS74" s="83"/>
      <c r="GT74" s="83"/>
      <c r="GU74" s="83"/>
      <c r="GV74" s="83"/>
      <c r="GW74" s="83"/>
      <c r="GX74" s="83" t="s">
        <v>7</v>
      </c>
      <c r="GY74" s="105">
        <f>$GU$3+SUM($GY$6:$GY$8)</f>
        <v>43277</v>
      </c>
      <c r="GZ74" s="83">
        <f t="shared" si="705"/>
        <v>0</v>
      </c>
      <c r="HA74" s="83"/>
      <c r="HB74" s="83"/>
      <c r="HC74" s="83"/>
      <c r="HD74" s="83"/>
      <c r="HE74" s="83"/>
      <c r="HF74" s="83"/>
      <c r="HG74" s="105"/>
      <c r="HH74" s="83"/>
      <c r="HI74" s="83">
        <f t="shared" si="706"/>
        <v>0</v>
      </c>
      <c r="HJ74" s="83"/>
      <c r="HK74" s="105">
        <f t="shared" si="707"/>
        <v>43322</v>
      </c>
      <c r="HL74" s="83"/>
      <c r="HM74" s="83"/>
      <c r="HN74" s="83"/>
      <c r="HO74" s="83"/>
      <c r="HP74" s="83"/>
      <c r="HQ74" s="83"/>
      <c r="HR74" s="83"/>
      <c r="HS74" s="83"/>
      <c r="HT74" s="83"/>
      <c r="HU74" s="83"/>
      <c r="HV74" s="83"/>
      <c r="HW74" s="83"/>
      <c r="HX74" s="83"/>
      <c r="HY74" s="83"/>
      <c r="HZ74" s="83"/>
      <c r="IA74" s="83"/>
      <c r="IB74" s="83"/>
      <c r="IC74" s="83"/>
      <c r="ID74" s="83"/>
      <c r="IE74" s="83"/>
      <c r="IF74" s="83"/>
      <c r="IG74" s="83"/>
      <c r="IH74" s="83"/>
      <c r="II74" s="83"/>
      <c r="IJ74" s="83"/>
      <c r="IK74" s="83"/>
      <c r="IL74" s="83"/>
      <c r="IM74" s="83"/>
      <c r="IN74" s="83"/>
      <c r="IO74" s="83"/>
      <c r="IP74" s="83"/>
      <c r="IQ74" s="83"/>
      <c r="IR74" s="83"/>
      <c r="IS74" s="83"/>
      <c r="IT74" s="83"/>
      <c r="IU74" s="83"/>
      <c r="IV74" s="83"/>
      <c r="IW74" s="83"/>
      <c r="IX74" s="83"/>
      <c r="IY74" s="83"/>
      <c r="IZ74" s="83"/>
      <c r="JA74" s="83"/>
      <c r="JB74" s="83"/>
      <c r="JC74" s="83"/>
      <c r="JD74" s="83"/>
      <c r="JE74" s="83"/>
      <c r="JF74" s="83"/>
      <c r="JG74" s="83"/>
      <c r="JH74" s="83"/>
      <c r="JI74" s="83"/>
      <c r="JJ74" s="83"/>
      <c r="JK74" s="83"/>
    </row>
    <row r="75" spans="1:433" x14ac:dyDescent="0.2">
      <c r="GO75" s="83"/>
      <c r="GP75" s="83"/>
      <c r="GQ75" s="83"/>
      <c r="GR75" s="83"/>
      <c r="GS75" s="83"/>
      <c r="GT75" s="83"/>
      <c r="GU75" s="83"/>
      <c r="GV75" s="83"/>
      <c r="GW75" s="83"/>
      <c r="GX75" s="83" t="s">
        <v>265</v>
      </c>
      <c r="GY75" s="105">
        <f>$GU$3+SUM($GY$7:$GY$8)</f>
        <v>43267</v>
      </c>
      <c r="GZ75" s="83">
        <f t="shared" si="705"/>
        <v>9</v>
      </c>
      <c r="HA75" s="83"/>
      <c r="HB75" s="83"/>
      <c r="HC75" s="83"/>
      <c r="HD75" s="83"/>
      <c r="HE75" s="83"/>
      <c r="HF75" s="83"/>
      <c r="HG75" s="105"/>
      <c r="HH75" s="83"/>
      <c r="HI75" s="83">
        <f t="shared" si="706"/>
        <v>9</v>
      </c>
      <c r="HJ75" s="83"/>
      <c r="HK75" s="105">
        <f t="shared" si="707"/>
        <v>43312</v>
      </c>
      <c r="HL75" s="83"/>
      <c r="HM75" s="83"/>
      <c r="HN75" s="83"/>
      <c r="HO75" s="83"/>
      <c r="HP75" s="83"/>
      <c r="HQ75" s="83"/>
      <c r="HR75" s="83"/>
      <c r="HS75" s="83"/>
      <c r="HT75" s="83"/>
      <c r="HU75" s="83"/>
      <c r="HV75" s="83"/>
      <c r="HW75" s="83"/>
      <c r="HX75" s="83"/>
      <c r="HY75" s="83"/>
      <c r="HZ75" s="83"/>
      <c r="IA75" s="83"/>
      <c r="IB75" s="83"/>
      <c r="IC75" s="83"/>
      <c r="ID75" s="83"/>
      <c r="IE75" s="83"/>
      <c r="IF75" s="83"/>
      <c r="IG75" s="83"/>
      <c r="IH75" s="83"/>
      <c r="II75" s="83"/>
      <c r="IJ75" s="83"/>
      <c r="IK75" s="83"/>
      <c r="IL75" s="83"/>
      <c r="IM75" s="83"/>
      <c r="IN75" s="83"/>
      <c r="IO75" s="83"/>
      <c r="IP75" s="83"/>
      <c r="IQ75" s="83"/>
      <c r="IR75" s="83"/>
      <c r="IS75" s="83"/>
      <c r="IT75" s="83"/>
      <c r="IU75" s="83"/>
      <c r="IV75" s="83"/>
      <c r="IW75" s="83"/>
      <c r="IX75" s="83"/>
      <c r="IY75" s="83"/>
      <c r="IZ75" s="83"/>
      <c r="JA75" s="83"/>
      <c r="JB75" s="83"/>
      <c r="JC75" s="83"/>
      <c r="JD75" s="83"/>
      <c r="JE75" s="83"/>
      <c r="JF75" s="83"/>
      <c r="JG75" s="83"/>
      <c r="JH75" s="83"/>
      <c r="JI75" s="83"/>
      <c r="JJ75" s="83"/>
      <c r="JK75" s="83"/>
    </row>
    <row r="76" spans="1:433" x14ac:dyDescent="0.2">
      <c r="GO76" s="83"/>
      <c r="GP76" s="83"/>
      <c r="GQ76" s="83"/>
      <c r="GR76" s="83"/>
      <c r="GS76" s="83"/>
      <c r="GT76" s="83"/>
      <c r="GU76" s="83"/>
      <c r="GV76" s="83"/>
      <c r="GW76" s="83"/>
      <c r="GX76" s="83" t="s">
        <v>447</v>
      </c>
      <c r="GY76" s="105">
        <f>$GU$3+$GY$8</f>
        <v>43257</v>
      </c>
      <c r="GZ76" s="83">
        <f t="shared" si="705"/>
        <v>4</v>
      </c>
      <c r="HA76" s="83"/>
      <c r="HB76" s="83"/>
      <c r="HC76" s="83"/>
      <c r="HD76" s="105">
        <f>$GU$3+$HH$8</f>
        <v>43288</v>
      </c>
      <c r="HE76" s="83"/>
      <c r="HF76" s="83"/>
      <c r="HG76" s="83"/>
      <c r="HH76" s="83">
        <f>COUNTIF($HH$9:$HH$66,HD76)</f>
        <v>4</v>
      </c>
      <c r="HI76" s="83">
        <f t="shared" si="706"/>
        <v>4</v>
      </c>
      <c r="HJ76" s="83"/>
      <c r="HK76" s="105">
        <f t="shared" si="707"/>
        <v>43302</v>
      </c>
      <c r="HL76" s="83"/>
      <c r="HM76" s="83"/>
      <c r="HN76" s="83"/>
      <c r="HO76" s="83"/>
      <c r="HP76" s="83"/>
      <c r="HQ76" s="83"/>
      <c r="HR76" s="83"/>
      <c r="HS76" s="83"/>
      <c r="HT76" s="83"/>
      <c r="HU76" s="83"/>
      <c r="HV76" s="83"/>
      <c r="HW76" s="83"/>
      <c r="HX76" s="83"/>
      <c r="HY76" s="83"/>
      <c r="HZ76" s="83"/>
      <c r="IA76" s="83"/>
      <c r="IB76" s="83"/>
      <c r="IC76" s="83"/>
      <c r="ID76" s="83"/>
      <c r="IE76" s="83"/>
      <c r="IF76" s="83"/>
      <c r="IG76" s="83"/>
      <c r="IH76" s="83"/>
      <c r="II76" s="83"/>
      <c r="IJ76" s="83"/>
      <c r="IK76" s="83"/>
      <c r="IL76" s="83"/>
      <c r="IM76" s="83"/>
      <c r="IN76" s="83"/>
      <c r="IO76" s="83"/>
      <c r="IP76" s="83"/>
      <c r="IQ76" s="83"/>
      <c r="IR76" s="83"/>
      <c r="IS76" s="83"/>
      <c r="IT76" s="83"/>
      <c r="IU76" s="83"/>
      <c r="IV76" s="83"/>
      <c r="IW76" s="83"/>
      <c r="IX76" s="83"/>
      <c r="IY76" s="83"/>
      <c r="IZ76" s="83"/>
      <c r="JA76" s="83"/>
      <c r="JB76" s="83"/>
      <c r="JC76" s="83"/>
      <c r="JD76" s="83"/>
      <c r="JE76" s="83"/>
      <c r="JF76" s="83"/>
      <c r="JG76" s="83"/>
      <c r="JH76" s="83"/>
      <c r="JI76" s="83"/>
      <c r="JJ76" s="83"/>
      <c r="JK76" s="83"/>
    </row>
    <row r="77" spans="1:433" x14ac:dyDescent="0.2">
      <c r="GO77" s="83"/>
      <c r="GP77" s="83"/>
      <c r="GQ77" s="83"/>
      <c r="GR77" s="83"/>
      <c r="GS77" s="83"/>
      <c r="GT77" s="83"/>
      <c r="GU77" s="83"/>
      <c r="GV77" s="83"/>
      <c r="GW77" s="83"/>
      <c r="GX77" s="107" t="s">
        <v>448</v>
      </c>
      <c r="GY77" s="107" t="s">
        <v>448</v>
      </c>
      <c r="GZ77" s="83">
        <f t="shared" si="705"/>
        <v>40</v>
      </c>
      <c r="HA77" s="83"/>
      <c r="HB77" s="83"/>
      <c r="HC77" s="83"/>
      <c r="HD77" s="107" t="s">
        <v>466</v>
      </c>
      <c r="HE77" s="83"/>
      <c r="HF77" s="83"/>
      <c r="HG77" s="83"/>
      <c r="HH77" s="83">
        <f>COUNTIF($HH$9:$HH$66,HD77)</f>
        <v>49</v>
      </c>
      <c r="HI77" s="83">
        <f t="shared" si="706"/>
        <v>40</v>
      </c>
      <c r="HJ77" s="83"/>
      <c r="HK77" s="108" t="s">
        <v>448</v>
      </c>
      <c r="HL77" s="83"/>
      <c r="HM77" s="83"/>
      <c r="HN77" s="83"/>
      <c r="HO77" s="83"/>
      <c r="HP77" s="83"/>
      <c r="HQ77" s="83"/>
      <c r="HR77" s="83"/>
      <c r="HS77" s="83"/>
      <c r="HT77" s="83"/>
      <c r="HU77" s="83"/>
      <c r="HV77" s="83"/>
      <c r="HW77" s="83"/>
      <c r="HX77" s="83"/>
      <c r="HY77" s="83"/>
      <c r="HZ77" s="83"/>
      <c r="IA77" s="83"/>
      <c r="IB77" s="83"/>
      <c r="IC77" s="83"/>
      <c r="ID77" s="83"/>
      <c r="IE77" s="83"/>
      <c r="IF77" s="83"/>
      <c r="IG77" s="83"/>
      <c r="IH77" s="83"/>
      <c r="II77" s="83"/>
      <c r="IJ77" s="83"/>
      <c r="IK77" s="83"/>
      <c r="IL77" s="83"/>
      <c r="IM77" s="83"/>
      <c r="IN77" s="83"/>
      <c r="IO77" s="83"/>
      <c r="IP77" s="83"/>
      <c r="IQ77" s="83"/>
      <c r="IR77" s="83"/>
      <c r="IS77" s="83"/>
      <c r="IT77" s="83"/>
      <c r="IU77" s="83"/>
      <c r="IV77" s="83"/>
      <c r="IW77" s="83"/>
      <c r="IX77" s="83"/>
      <c r="IY77" s="83"/>
      <c r="IZ77" s="83"/>
      <c r="JA77" s="83"/>
      <c r="JB77" s="83"/>
      <c r="JC77" s="83"/>
      <c r="JD77" s="83"/>
      <c r="JE77" s="83"/>
      <c r="JF77" s="83"/>
      <c r="JG77" s="83"/>
      <c r="JH77" s="83"/>
      <c r="JI77" s="83"/>
      <c r="JJ77" s="83"/>
      <c r="JK77" s="83"/>
    </row>
    <row r="78" spans="1:433" x14ac:dyDescent="0.2">
      <c r="GO78" s="83"/>
      <c r="GP78" s="83"/>
      <c r="GQ78" s="83"/>
      <c r="GR78" s="83"/>
      <c r="GS78" s="83"/>
      <c r="GT78" s="83"/>
      <c r="GU78" s="83"/>
      <c r="GV78" s="83"/>
      <c r="GW78" s="83"/>
      <c r="GX78" s="83"/>
      <c r="GY78" s="83"/>
      <c r="GZ78" s="83">
        <f>SUM(GZ72:GZ77)</f>
        <v>53</v>
      </c>
      <c r="HA78" s="83"/>
      <c r="HB78" s="83"/>
      <c r="HC78" s="83"/>
      <c r="HD78" s="83"/>
      <c r="HE78" s="83"/>
      <c r="HF78" s="83"/>
      <c r="HG78" s="83"/>
      <c r="HH78" s="83">
        <f>SUM(HH72:HH77)</f>
        <v>53</v>
      </c>
      <c r="HI78" s="83">
        <f>SUM(HI72:HI77)</f>
        <v>53</v>
      </c>
      <c r="HJ78" s="83"/>
      <c r="HK78" s="105"/>
      <c r="HL78" s="83"/>
      <c r="HM78" s="83"/>
      <c r="HN78" s="83"/>
      <c r="HO78" s="83"/>
      <c r="HP78" s="83"/>
      <c r="HQ78" s="83"/>
      <c r="HR78" s="83"/>
      <c r="HS78" s="83"/>
      <c r="HT78" s="83"/>
      <c r="HU78" s="83"/>
      <c r="HV78" s="83"/>
      <c r="HW78" s="83"/>
      <c r="HX78" s="83"/>
      <c r="HY78" s="83"/>
      <c r="HZ78" s="83"/>
      <c r="IA78" s="83"/>
      <c r="IB78" s="83"/>
      <c r="IC78" s="83"/>
      <c r="ID78" s="83"/>
      <c r="IE78" s="83"/>
      <c r="IF78" s="83"/>
      <c r="IG78" s="83"/>
      <c r="IH78" s="83"/>
      <c r="II78" s="83"/>
      <c r="IJ78" s="83"/>
      <c r="IK78" s="83"/>
      <c r="IL78" s="83"/>
      <c r="IM78" s="83"/>
      <c r="IN78" s="83"/>
      <c r="IO78" s="83"/>
      <c r="IP78" s="83"/>
      <c r="IQ78" s="83"/>
      <c r="IR78" s="83"/>
      <c r="IS78" s="83"/>
      <c r="IT78" s="83"/>
      <c r="IU78" s="83"/>
      <c r="IV78" s="83"/>
      <c r="IW78" s="83"/>
      <c r="IX78" s="83"/>
      <c r="IY78" s="83"/>
      <c r="IZ78" s="83"/>
      <c r="JA78" s="83"/>
      <c r="JB78" s="83"/>
      <c r="JC78" s="83"/>
      <c r="JD78" s="83"/>
      <c r="JE78" s="83"/>
      <c r="JF78" s="83"/>
      <c r="JG78" s="83"/>
      <c r="JH78" s="83"/>
      <c r="JI78" s="83"/>
      <c r="JJ78" s="83"/>
      <c r="JK78" s="83"/>
    </row>
  </sheetData>
  <sortState xmlns:xlrd2="http://schemas.microsoft.com/office/spreadsheetml/2017/richdata2" ref="B9:AG54">
    <sortCondition ref="C9:C54"/>
  </sortState>
  <mergeCells count="323">
    <mergeCell ref="PL7:PL8"/>
    <mergeCell ref="PO1:PQ1"/>
    <mergeCell ref="PO2:PO7"/>
    <mergeCell ref="PP2:PP7"/>
    <mergeCell ref="PQ2:PQ7"/>
    <mergeCell ref="MC6:MC8"/>
    <mergeCell ref="MD6:MD8"/>
    <mergeCell ref="ME6:ME8"/>
    <mergeCell ref="MF6:MF8"/>
    <mergeCell ref="MG6:MG8"/>
    <mergeCell ref="MH6:MH8"/>
    <mergeCell ref="MI6:MI8"/>
    <mergeCell ref="MO6:MO8"/>
    <mergeCell ref="MP6:MP8"/>
    <mergeCell ref="MQ6:MQ8"/>
    <mergeCell ref="MP5:MW5"/>
    <mergeCell ref="MX5:NB5"/>
    <mergeCell ref="NC5:NE6"/>
    <mergeCell ref="NF5:NI6"/>
    <mergeCell ref="MK5:MO5"/>
    <mergeCell ref="MT6:MT8"/>
    <mergeCell ref="MU6:MU8"/>
    <mergeCell ref="MV6:MV8"/>
    <mergeCell ref="MW6:MW8"/>
    <mergeCell ref="MX6:MX8"/>
    <mergeCell ref="KU5:KU7"/>
    <mergeCell ref="KV5:KV7"/>
    <mergeCell ref="KW5:KW8"/>
    <mergeCell ref="KX5:KX8"/>
    <mergeCell ref="KY5:KY8"/>
    <mergeCell ref="KZ5:LA7"/>
    <mergeCell ref="LB5:LC7"/>
    <mergeCell ref="LD5:LE7"/>
    <mergeCell ref="LF5:LL5"/>
    <mergeCell ref="LF6:LF8"/>
    <mergeCell ref="LG6:LG8"/>
    <mergeCell ref="LH6:LH8"/>
    <mergeCell ref="LI6:LI8"/>
    <mergeCell ref="LJ6:LJ8"/>
    <mergeCell ref="LK6:LK8"/>
    <mergeCell ref="LL6:LL8"/>
    <mergeCell ref="LM6:LM8"/>
    <mergeCell ref="LN6:LN8"/>
    <mergeCell ref="MJ6:MJ8"/>
    <mergeCell ref="MK6:MK8"/>
    <mergeCell ref="ML6:ML8"/>
    <mergeCell ref="MM6:MM8"/>
    <mergeCell ref="MN6:MN8"/>
    <mergeCell ref="JU7:JV7"/>
    <mergeCell ref="JW7:JW8"/>
    <mergeCell ref="KP7:KP8"/>
    <mergeCell ref="KQ7:KQ8"/>
    <mergeCell ref="KR7:KR8"/>
    <mergeCell ref="JX7:JX8"/>
    <mergeCell ref="JZ7:JZ8"/>
    <mergeCell ref="KA7:KA8"/>
    <mergeCell ref="KB7:KB8"/>
    <mergeCell ref="KH7:KH8"/>
    <mergeCell ref="KI7:KJ7"/>
    <mergeCell ref="KK7:KL7"/>
    <mergeCell ref="KM7:KM8"/>
    <mergeCell ref="KN7:KN8"/>
    <mergeCell ref="KD4:KD8"/>
    <mergeCell ref="KE4:KE8"/>
    <mergeCell ref="IW6:IY7"/>
    <mergeCell ref="JA6:JC7"/>
    <mergeCell ref="JQ3:KB3"/>
    <mergeCell ref="KG3:KR3"/>
    <mergeCell ref="JP4:JP8"/>
    <mergeCell ref="JQ4:JQ8"/>
    <mergeCell ref="JR4:KB4"/>
    <mergeCell ref="KF4:KF8"/>
    <mergeCell ref="KG4:KG8"/>
    <mergeCell ref="KH4:KR4"/>
    <mergeCell ref="JR5:JX5"/>
    <mergeCell ref="JY5:KB5"/>
    <mergeCell ref="KH5:KN5"/>
    <mergeCell ref="KO5:KR5"/>
    <mergeCell ref="JR6:JV6"/>
    <mergeCell ref="JW6:JX6"/>
    <mergeCell ref="JY6:JY8"/>
    <mergeCell ref="JZ6:KB6"/>
    <mergeCell ref="KH6:KL6"/>
    <mergeCell ref="KM6:KN6"/>
    <mergeCell ref="KO6:KO8"/>
    <mergeCell ref="KP6:KR6"/>
    <mergeCell ref="JR7:JR8"/>
    <mergeCell ref="JS7:JT7"/>
    <mergeCell ref="IH7:IJ7"/>
    <mergeCell ref="IK7:IM7"/>
    <mergeCell ref="HP6:HR7"/>
    <mergeCell ref="HS6:HU7"/>
    <mergeCell ref="HV6:IA6"/>
    <mergeCell ref="IB6:IG6"/>
    <mergeCell ref="IH6:IM6"/>
    <mergeCell ref="IO6:IQ7"/>
    <mergeCell ref="IS6:IU7"/>
    <mergeCell ref="D3:E3"/>
    <mergeCell ref="GX3:GY3"/>
    <mergeCell ref="GO4:GT5"/>
    <mergeCell ref="GV4:GW6"/>
    <mergeCell ref="GZ4:GZ8"/>
    <mergeCell ref="HC4:HI4"/>
    <mergeCell ref="HK4:HK8"/>
    <mergeCell ref="HC5:HC8"/>
    <mergeCell ref="HD5:HD8"/>
    <mergeCell ref="HE5:HE8"/>
    <mergeCell ref="HF5:HF8"/>
    <mergeCell ref="HG5:HG8"/>
    <mergeCell ref="HH5:HH7"/>
    <mergeCell ref="HI5:HI7"/>
    <mergeCell ref="GO6:GO8"/>
    <mergeCell ref="GP6:GP8"/>
    <mergeCell ref="GQ6:GQ8"/>
    <mergeCell ref="GR6:GR8"/>
    <mergeCell ref="GS6:GS8"/>
    <mergeCell ref="GT6:GT8"/>
    <mergeCell ref="GA4:GA8"/>
    <mergeCell ref="GB4:GB8"/>
    <mergeCell ref="GC4:GC8"/>
    <mergeCell ref="GK4:GK8"/>
    <mergeCell ref="BO3:BZ3"/>
    <mergeCell ref="CE3:CP3"/>
    <mergeCell ref="BN4:BN8"/>
    <mergeCell ref="BO4:BO8"/>
    <mergeCell ref="BP4:BZ4"/>
    <mergeCell ref="CB4:CB8"/>
    <mergeCell ref="CD4:CD8"/>
    <mergeCell ref="CE4:CE8"/>
    <mergeCell ref="CF4:CP4"/>
    <mergeCell ref="BP5:BV5"/>
    <mergeCell ref="BW5:BZ5"/>
    <mergeCell ref="CF5:CL5"/>
    <mergeCell ref="CM5:CP5"/>
    <mergeCell ref="BP6:BT6"/>
    <mergeCell ref="BU6:BV6"/>
    <mergeCell ref="CK7:CK8"/>
    <mergeCell ref="CL7:CL8"/>
    <mergeCell ref="CN7:CN8"/>
    <mergeCell ref="CO7:CO8"/>
    <mergeCell ref="CP7:CP8"/>
    <mergeCell ref="CN6:CP6"/>
    <mergeCell ref="BX7:BX8"/>
    <mergeCell ref="BY7:BY8"/>
    <mergeCell ref="BZ7:BZ8"/>
    <mergeCell ref="F5:I7"/>
    <mergeCell ref="J5:Q5"/>
    <mergeCell ref="R5:U7"/>
    <mergeCell ref="V5:Z7"/>
    <mergeCell ref="F4:AE4"/>
    <mergeCell ref="AA5:AE7"/>
    <mergeCell ref="D7:E7"/>
    <mergeCell ref="BE4:BK5"/>
    <mergeCell ref="BE6:BE8"/>
    <mergeCell ref="BF6:BF8"/>
    <mergeCell ref="BG6:BG8"/>
    <mergeCell ref="BH6:BH8"/>
    <mergeCell ref="BI6:BI8"/>
    <mergeCell ref="BJ6:BJ8"/>
    <mergeCell ref="BK6:BK8"/>
    <mergeCell ref="CF7:CF8"/>
    <mergeCell ref="CG7:CH7"/>
    <mergeCell ref="CI7:CJ7"/>
    <mergeCell ref="A4:A8"/>
    <mergeCell ref="B4:B8"/>
    <mergeCell ref="C4:C8"/>
    <mergeCell ref="D4:E6"/>
    <mergeCell ref="AN4:AN8"/>
    <mergeCell ref="AI4:AK4"/>
    <mergeCell ref="AI5:AK7"/>
    <mergeCell ref="AF6:AF8"/>
    <mergeCell ref="BB4:BB8"/>
    <mergeCell ref="AG6:AG8"/>
    <mergeCell ref="AF4:AH5"/>
    <mergeCell ref="AH6:AH8"/>
    <mergeCell ref="AL4:AM5"/>
    <mergeCell ref="AL6:AL8"/>
    <mergeCell ref="AM6:AM8"/>
    <mergeCell ref="N6:Q7"/>
    <mergeCell ref="J6:M7"/>
    <mergeCell ref="BP7:BP8"/>
    <mergeCell ref="BQ7:BR7"/>
    <mergeCell ref="BS7:BT7"/>
    <mergeCell ref="BU7:BU8"/>
    <mergeCell ref="BV7:BV8"/>
    <mergeCell ref="BX6:BZ6"/>
    <mergeCell ref="CF6:CJ6"/>
    <mergeCell ref="CK6:CL6"/>
    <mergeCell ref="CM6:CM8"/>
    <mergeCell ref="BW6:BW8"/>
    <mergeCell ref="EI2:EI7"/>
    <mergeCell ref="FL2:FL7"/>
    <mergeCell ref="FM2:FM7"/>
    <mergeCell ref="FK2:FK7"/>
    <mergeCell ref="EJ2:EJ7"/>
    <mergeCell ref="EK2:EP2"/>
    <mergeCell ref="EQ2:EQ7"/>
    <mergeCell ref="ER2:ER7"/>
    <mergeCell ref="ES2:ES7"/>
    <mergeCell ref="ET2:ET7"/>
    <mergeCell ref="EU2:EU7"/>
    <mergeCell ref="EV2:EV7"/>
    <mergeCell ref="EW2:EY2"/>
    <mergeCell ref="EZ2:EZ7"/>
    <mergeCell ref="FA2:FA7"/>
    <mergeCell ref="FB2:FB7"/>
    <mergeCell ref="FD2:FD7"/>
    <mergeCell ref="FE2:FE7"/>
    <mergeCell ref="EK3:EK7"/>
    <mergeCell ref="EL3:EL7"/>
    <mergeCell ref="EM3:EM7"/>
    <mergeCell ref="DV4:EB5"/>
    <mergeCell ref="DV6:DV8"/>
    <mergeCell ref="DW6:DW8"/>
    <mergeCell ref="DX6:DX8"/>
    <mergeCell ref="DY6:DY8"/>
    <mergeCell ref="DZ6:DZ8"/>
    <mergeCell ref="EA6:EA8"/>
    <mergeCell ref="EB6:EB8"/>
    <mergeCell ref="EH2:EH8"/>
    <mergeCell ref="EG2:EG8"/>
    <mergeCell ref="GG4:GG8"/>
    <mergeCell ref="LM5:LS5"/>
    <mergeCell ref="LT5:LZ5"/>
    <mergeCell ref="MA5:MJ5"/>
    <mergeCell ref="GH4:GH8"/>
    <mergeCell ref="GJ4:GJ8"/>
    <mergeCell ref="FT2:FT7"/>
    <mergeCell ref="FU2:FU7"/>
    <mergeCell ref="FO2:FO7"/>
    <mergeCell ref="FP2:FP7"/>
    <mergeCell ref="FQ2:FQ7"/>
    <mergeCell ref="FR2:FR7"/>
    <mergeCell ref="FS2:FS7"/>
    <mergeCell ref="FY4:FY8"/>
    <mergeCell ref="FZ4:FZ8"/>
    <mergeCell ref="FV2:FV7"/>
    <mergeCell ref="JE6:JG7"/>
    <mergeCell ref="JI6:JK7"/>
    <mergeCell ref="GV7:GV8"/>
    <mergeCell ref="GW7:GW8"/>
    <mergeCell ref="HV7:HX7"/>
    <mergeCell ref="HY7:IA7"/>
    <mergeCell ref="IB7:ID7"/>
    <mergeCell ref="IE7:IG7"/>
    <mergeCell ref="EN3:EN7"/>
    <mergeCell ref="EO3:EO7"/>
    <mergeCell ref="EP3:EP7"/>
    <mergeCell ref="EW3:EW7"/>
    <mergeCell ref="EX3:EX7"/>
    <mergeCell ref="EY3:EY7"/>
    <mergeCell ref="FN2:FN7"/>
    <mergeCell ref="GD4:GD8"/>
    <mergeCell ref="GE4:GE8"/>
    <mergeCell ref="FH2:FH7"/>
    <mergeCell ref="FI2:FI7"/>
    <mergeCell ref="FJ2:FJ7"/>
    <mergeCell ref="FC2:FC7"/>
    <mergeCell ref="FX4:FX8"/>
    <mergeCell ref="FF2:FF7"/>
    <mergeCell ref="MR6:MR8"/>
    <mergeCell ref="MS6:MS8"/>
    <mergeCell ref="LO6:LO8"/>
    <mergeCell ref="LP6:LP8"/>
    <mergeCell ref="LQ6:LQ8"/>
    <mergeCell ref="LR6:LR8"/>
    <mergeCell ref="LS6:LS8"/>
    <mergeCell ref="LT6:LT8"/>
    <mergeCell ref="LU6:LU8"/>
    <mergeCell ref="LV6:LV8"/>
    <mergeCell ref="LW6:LW8"/>
    <mergeCell ref="LX6:LX8"/>
    <mergeCell ref="LY6:LY8"/>
    <mergeCell ref="LZ6:LZ8"/>
    <mergeCell ref="MA6:MA8"/>
    <mergeCell ref="MB6:MB8"/>
    <mergeCell ref="NB6:NB8"/>
    <mergeCell ref="NC7:NC8"/>
    <mergeCell ref="MY6:MY8"/>
    <mergeCell ref="MZ6:MZ8"/>
    <mergeCell ref="NA6:NA8"/>
    <mergeCell ref="OI5:OI8"/>
    <mergeCell ref="OJ5:OJ8"/>
    <mergeCell ref="OK5:OK8"/>
    <mergeCell ref="OL5:OL8"/>
    <mergeCell ref="NM7:NT7"/>
    <mergeCell ref="ND7:ND8"/>
    <mergeCell ref="NE7:NE8"/>
    <mergeCell ref="NF7:NF8"/>
    <mergeCell ref="NG7:NG8"/>
    <mergeCell ref="OE5:OE8"/>
    <mergeCell ref="OF5:OF8"/>
    <mergeCell ref="OG5:OG8"/>
    <mergeCell ref="OH5:OH8"/>
    <mergeCell ref="NH7:NH8"/>
    <mergeCell ref="NI7:NI8"/>
    <mergeCell ref="NK5:NK8"/>
    <mergeCell ref="NZ4:NZ8"/>
    <mergeCell ref="NJ5:NJ8"/>
    <mergeCell ref="OM5:OM8"/>
    <mergeCell ref="PA7:PA8"/>
    <mergeCell ref="PB7:PB8"/>
    <mergeCell ref="PC7:PC8"/>
    <mergeCell ref="PG7:PG8"/>
    <mergeCell ref="PH7:PH8"/>
    <mergeCell ref="PI7:PI8"/>
    <mergeCell ref="OV5:OV8"/>
    <mergeCell ref="OW5:OW8"/>
    <mergeCell ref="OO5:OO8"/>
    <mergeCell ref="OP5:OP8"/>
    <mergeCell ref="OQ5:OQ8"/>
    <mergeCell ref="OR5:OR8"/>
    <mergeCell ref="OS5:OS8"/>
    <mergeCell ref="OT5:OT8"/>
    <mergeCell ref="OU5:OU8"/>
    <mergeCell ref="PA5:PL5"/>
    <mergeCell ref="PA6:PF6"/>
    <mergeCell ref="PG6:PL6"/>
    <mergeCell ref="PD7:PD8"/>
    <mergeCell ref="PE7:PE8"/>
    <mergeCell ref="PF7:PF8"/>
    <mergeCell ref="PJ7:PJ8"/>
    <mergeCell ref="PK7:PK8"/>
  </mergeCells>
  <conditionalFormatting sqref="FY9:GE51 FY53:GE61 FY63:GE66">
    <cfRule type="cellIs" dxfId="49" priority="36" operator="greaterThan">
      <formula>0</formula>
    </cfRule>
  </conditionalFormatting>
  <conditionalFormatting sqref="JJ9:JK51 JJ53:JK61 JJ63:JK66">
    <cfRule type="cellIs" dxfId="48" priority="32" operator="notEqual">
      <formula>0</formula>
    </cfRule>
  </conditionalFormatting>
  <conditionalFormatting sqref="JJ69:JK69">
    <cfRule type="cellIs" dxfId="47" priority="31" operator="notEqual">
      <formula>0</formula>
    </cfRule>
  </conditionalFormatting>
  <conditionalFormatting sqref="KT9:KT51 KT53:KT61 KT63:KT66">
    <cfRule type="cellIs" dxfId="46" priority="30" operator="notEqual">
      <formula>0</formula>
    </cfRule>
  </conditionalFormatting>
  <conditionalFormatting sqref="PA9:PC51 PA53:PC61 PA63:PC66">
    <cfRule type="cellIs" dxfId="45" priority="29" operator="equal">
      <formula>0</formula>
    </cfRule>
  </conditionalFormatting>
  <conditionalFormatting sqref="PA9:PC51 PA53:PC61 PA63:PC66">
    <cfRule type="cellIs" dxfId="44" priority="28" operator="equal">
      <formula>0</formula>
    </cfRule>
  </conditionalFormatting>
  <conditionalFormatting sqref="PA9:PC51 PA53:PC61 PA63:PC66">
    <cfRule type="cellIs" dxfId="43" priority="27" operator="equal">
      <formula>0</formula>
    </cfRule>
  </conditionalFormatting>
  <conditionalFormatting sqref="PC9:PC51 PC53:PC61 PC63:PC66">
    <cfRule type="cellIs" dxfId="42" priority="26" operator="equal">
      <formula>0</formula>
    </cfRule>
  </conditionalFormatting>
  <conditionalFormatting sqref="FY52:GE52">
    <cfRule type="cellIs" dxfId="41" priority="18" operator="greaterThan">
      <formula>0</formula>
    </cfRule>
  </conditionalFormatting>
  <conditionalFormatting sqref="JJ52:JK52">
    <cfRule type="cellIs" dxfId="40" priority="17" operator="notEqual">
      <formula>0</formula>
    </cfRule>
  </conditionalFormatting>
  <conditionalFormatting sqref="KT52">
    <cfRule type="cellIs" dxfId="39" priority="16" operator="notEqual">
      <formula>0</formula>
    </cfRule>
  </conditionalFormatting>
  <conditionalFormatting sqref="PA52:PC52">
    <cfRule type="cellIs" dxfId="38" priority="15" operator="equal">
      <formula>0</formula>
    </cfRule>
  </conditionalFormatting>
  <conditionalFormatting sqref="PA52:PC52">
    <cfRule type="cellIs" dxfId="37" priority="14" operator="equal">
      <formula>0</formula>
    </cfRule>
  </conditionalFormatting>
  <conditionalFormatting sqref="PA52:PC52">
    <cfRule type="cellIs" dxfId="36" priority="13" operator="equal">
      <formula>0</formula>
    </cfRule>
  </conditionalFormatting>
  <conditionalFormatting sqref="PC52">
    <cfRule type="cellIs" dxfId="35" priority="12" operator="equal">
      <formula>0</formula>
    </cfRule>
  </conditionalFormatting>
  <conditionalFormatting sqref="FY62:GE62">
    <cfRule type="cellIs" dxfId="34" priority="11" operator="greaterThan">
      <formula>0</formula>
    </cfRule>
  </conditionalFormatting>
  <conditionalFormatting sqref="JJ62:JK62">
    <cfRule type="cellIs" dxfId="33" priority="10" operator="notEqual">
      <formula>0</formula>
    </cfRule>
  </conditionalFormatting>
  <conditionalFormatting sqref="KT62">
    <cfRule type="cellIs" dxfId="32" priority="9" operator="notEqual">
      <formula>0</formula>
    </cfRule>
  </conditionalFormatting>
  <conditionalFormatting sqref="PA62:PC62">
    <cfRule type="cellIs" dxfId="31" priority="8" operator="equal">
      <formula>0</formula>
    </cfRule>
  </conditionalFormatting>
  <conditionalFormatting sqref="PA62:PC62">
    <cfRule type="cellIs" dxfId="30" priority="7" operator="equal">
      <formula>0</formula>
    </cfRule>
  </conditionalFormatting>
  <conditionalFormatting sqref="PA62:PC62">
    <cfRule type="cellIs" dxfId="29" priority="6" operator="equal">
      <formula>0</formula>
    </cfRule>
  </conditionalFormatting>
  <conditionalFormatting sqref="PC62">
    <cfRule type="cellIs" dxfId="28" priority="5" operator="equal">
      <formula>0</formula>
    </cfRule>
  </conditionalFormatting>
  <conditionalFormatting sqref="PD9:PF66">
    <cfRule type="cellIs" dxfId="27" priority="4" operator="equal">
      <formula>0</formula>
    </cfRule>
  </conditionalFormatting>
  <conditionalFormatting sqref="PD9:PF66">
    <cfRule type="cellIs" dxfId="26" priority="3" operator="equal">
      <formula>0</formula>
    </cfRule>
  </conditionalFormatting>
  <conditionalFormatting sqref="PD9:PF66">
    <cfRule type="cellIs" dxfId="25" priority="2" operator="equal">
      <formula>0</formula>
    </cfRule>
  </conditionalFormatting>
  <conditionalFormatting sqref="PD9:PF66">
    <cfRule type="cellIs" dxfId="24" priority="1" operator="equal">
      <formula>0</formula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  <pageSetUpPr fitToPage="1"/>
  </sheetPr>
  <dimension ref="A1:PQ111"/>
  <sheetViews>
    <sheetView showGridLines="0" tabSelected="1" zoomScale="110" zoomScaleNormal="70" workbookViewId="0">
      <pane xSplit="5" ySplit="8" topLeftCell="OX12" activePane="bottomRight" state="frozen"/>
      <selection activeCell="PF72" sqref="PF72"/>
      <selection pane="topRight" activeCell="PF72" sqref="PF72"/>
      <selection pane="bottomLeft" activeCell="PF72" sqref="PF72"/>
      <selection pane="bottomRight" activeCell="PF72" sqref="PF72"/>
    </sheetView>
  </sheetViews>
  <sheetFormatPr baseColWidth="10" defaultColWidth="8.5" defaultRowHeight="15" x14ac:dyDescent="0.2"/>
  <cols>
    <col min="1" max="1" width="9.5" customWidth="1"/>
    <col min="2" max="2" width="39.5" bestFit="1" customWidth="1"/>
    <col min="3" max="3" width="10.5" bestFit="1" customWidth="1"/>
    <col min="4" max="4" width="7.5" customWidth="1"/>
    <col min="5" max="5" width="10" customWidth="1"/>
    <col min="6" max="6" width="7.5" bestFit="1" customWidth="1"/>
    <col min="7" max="7" width="8.5" bestFit="1" customWidth="1"/>
    <col min="8" max="8" width="10.5" bestFit="1" customWidth="1"/>
    <col min="9" max="9" width="8.5" bestFit="1" customWidth="1"/>
    <col min="10" max="10" width="7.5" bestFit="1" customWidth="1"/>
    <col min="11" max="11" width="8.5" bestFit="1" customWidth="1"/>
    <col min="12" max="12" width="10.5" bestFit="1" customWidth="1"/>
    <col min="13" max="13" width="8.5" bestFit="1" customWidth="1"/>
    <col min="14" max="14" width="7.5" bestFit="1" customWidth="1"/>
    <col min="15" max="15" width="8.5" bestFit="1" customWidth="1"/>
    <col min="16" max="16" width="10.5" bestFit="1" customWidth="1"/>
    <col min="17" max="17" width="8.5" bestFit="1" customWidth="1"/>
    <col min="18" max="18" width="7.5" bestFit="1" customWidth="1"/>
    <col min="19" max="19" width="8.5" bestFit="1" customWidth="1"/>
    <col min="20" max="20" width="10.5" bestFit="1" customWidth="1"/>
    <col min="21" max="21" width="8.5" bestFit="1" customWidth="1"/>
    <col min="22" max="23" width="7.5" bestFit="1" customWidth="1"/>
    <col min="24" max="24" width="10.5" bestFit="1" customWidth="1"/>
    <col min="25" max="25" width="8.5" bestFit="1" customWidth="1"/>
    <col min="26" max="26" width="8.5" customWidth="1"/>
    <col min="27" max="31" width="9.5" customWidth="1"/>
    <col min="32" max="32" width="17.5" customWidth="1"/>
    <col min="33" max="33" width="9.5" customWidth="1"/>
    <col min="34" max="34" width="25.5" bestFit="1" customWidth="1"/>
    <col min="37" max="37" width="21.5" bestFit="1" customWidth="1"/>
    <col min="38" max="38" width="13.5" bestFit="1" customWidth="1"/>
    <col min="39" max="39" width="18.5" customWidth="1"/>
    <col min="40" max="40" width="23.5" customWidth="1"/>
    <col min="66" max="66" width="13" customWidth="1"/>
    <col min="67" max="68" width="10.5" customWidth="1"/>
    <col min="69" max="70" width="16.5" customWidth="1"/>
    <col min="71" max="78" width="10.5" customWidth="1"/>
    <col min="80" max="80" width="32.5" bestFit="1" customWidth="1"/>
    <col min="135" max="135" width="82.5" bestFit="1" customWidth="1"/>
    <col min="137" max="138" width="12.5" customWidth="1"/>
    <col min="139" max="177" width="15.5" customWidth="1"/>
    <col min="224" max="224" width="9.5" bestFit="1" customWidth="1"/>
    <col min="227" max="227" width="9.5" customWidth="1"/>
    <col min="230" max="230" width="9.5" customWidth="1"/>
    <col min="233" max="233" width="10.5" customWidth="1"/>
    <col min="236" max="236" width="9.5" customWidth="1"/>
    <col min="239" max="239" width="9" customWidth="1"/>
    <col min="242" max="242" width="9.5" customWidth="1"/>
    <col min="245" max="245" width="9.5" customWidth="1"/>
    <col min="249" max="249" width="9.5" customWidth="1"/>
    <col min="253" max="253" width="9.5" bestFit="1" customWidth="1"/>
    <col min="257" max="257" width="9.5" bestFit="1" customWidth="1"/>
    <col min="273" max="273" width="12.5" bestFit="1" customWidth="1"/>
    <col min="305" max="305" width="5.5" customWidth="1"/>
    <col min="306" max="306" width="19.5" bestFit="1" customWidth="1"/>
    <col min="390" max="390" width="11.1640625" customWidth="1"/>
    <col min="391" max="392" width="11.1640625" bestFit="1" customWidth="1"/>
  </cols>
  <sheetData>
    <row r="1" spans="1:433" ht="24" x14ac:dyDescent="0.2">
      <c r="A1" s="1" t="s">
        <v>0</v>
      </c>
      <c r="B1" s="2"/>
      <c r="C1" s="2"/>
      <c r="D1" s="2"/>
      <c r="E1" s="2"/>
      <c r="F1" s="2"/>
      <c r="G1" s="3"/>
      <c r="H1" s="3"/>
      <c r="I1" s="4"/>
      <c r="J1" s="4"/>
      <c r="K1" s="4"/>
      <c r="L1" s="4"/>
      <c r="M1" s="4"/>
      <c r="N1" s="4"/>
      <c r="O1" s="4"/>
      <c r="P1" s="4"/>
      <c r="Q1" s="4"/>
      <c r="R1" s="2"/>
      <c r="S1" s="2"/>
      <c r="T1" s="2"/>
      <c r="U1" s="2"/>
      <c r="V1" s="5"/>
      <c r="W1" s="5"/>
      <c r="X1" s="5"/>
      <c r="Y1" s="5"/>
      <c r="Z1" s="2"/>
      <c r="AA1" s="7"/>
      <c r="AB1" s="7"/>
      <c r="AC1" s="7"/>
      <c r="AD1" s="7"/>
      <c r="AE1" s="7"/>
      <c r="AF1" s="34" t="s">
        <v>294</v>
      </c>
      <c r="AG1" s="34" t="s">
        <v>296</v>
      </c>
      <c r="BF1" s="34" t="s">
        <v>294</v>
      </c>
      <c r="BG1" s="34"/>
      <c r="BH1" s="34" t="s">
        <v>296</v>
      </c>
      <c r="EI1" s="47">
        <v>1</v>
      </c>
      <c r="EJ1" s="47">
        <f>EI1+1</f>
        <v>2</v>
      </c>
      <c r="EK1" s="47">
        <f t="shared" ref="EK1:FF1" si="0">EJ1+1</f>
        <v>3</v>
      </c>
      <c r="EL1" s="47">
        <f t="shared" si="0"/>
        <v>4</v>
      </c>
      <c r="EM1" s="47">
        <f t="shared" si="0"/>
        <v>5</v>
      </c>
      <c r="EN1" s="47">
        <f t="shared" si="0"/>
        <v>6</v>
      </c>
      <c r="EO1" s="47">
        <f t="shared" si="0"/>
        <v>7</v>
      </c>
      <c r="EP1" s="47">
        <f t="shared" si="0"/>
        <v>8</v>
      </c>
      <c r="EQ1" s="47">
        <f t="shared" si="0"/>
        <v>9</v>
      </c>
      <c r="ER1" s="47">
        <f t="shared" si="0"/>
        <v>10</v>
      </c>
      <c r="ES1" s="47">
        <f t="shared" si="0"/>
        <v>11</v>
      </c>
      <c r="ET1" s="47">
        <f t="shared" si="0"/>
        <v>12</v>
      </c>
      <c r="EU1" s="47">
        <f t="shared" si="0"/>
        <v>13</v>
      </c>
      <c r="EV1" s="47">
        <f t="shared" si="0"/>
        <v>14</v>
      </c>
      <c r="EW1" s="47">
        <f t="shared" si="0"/>
        <v>15</v>
      </c>
      <c r="EX1" s="47">
        <f t="shared" si="0"/>
        <v>16</v>
      </c>
      <c r="EY1" s="47">
        <f t="shared" si="0"/>
        <v>17</v>
      </c>
      <c r="EZ1" s="47">
        <f t="shared" si="0"/>
        <v>18</v>
      </c>
      <c r="FA1" s="47">
        <f t="shared" si="0"/>
        <v>19</v>
      </c>
      <c r="FB1" s="47">
        <f t="shared" si="0"/>
        <v>20</v>
      </c>
      <c r="FC1" s="47">
        <f t="shared" si="0"/>
        <v>21</v>
      </c>
      <c r="FD1" s="47">
        <f t="shared" si="0"/>
        <v>22</v>
      </c>
      <c r="FE1" s="47">
        <f t="shared" si="0"/>
        <v>23</v>
      </c>
      <c r="FF1" s="47">
        <f t="shared" si="0"/>
        <v>24</v>
      </c>
      <c r="FH1" s="47">
        <f t="shared" ref="FH1:FV1" si="1">FG1+1</f>
        <v>1</v>
      </c>
      <c r="FI1" s="47">
        <f t="shared" si="1"/>
        <v>2</v>
      </c>
      <c r="FJ1" s="47">
        <f t="shared" si="1"/>
        <v>3</v>
      </c>
      <c r="FK1" s="47">
        <f t="shared" si="1"/>
        <v>4</v>
      </c>
      <c r="FL1" s="47">
        <f t="shared" si="1"/>
        <v>5</v>
      </c>
      <c r="FM1" s="47">
        <f t="shared" si="1"/>
        <v>6</v>
      </c>
      <c r="FN1" s="47">
        <f t="shared" si="1"/>
        <v>7</v>
      </c>
      <c r="FO1" s="47">
        <f t="shared" si="1"/>
        <v>8</v>
      </c>
      <c r="FP1" s="47">
        <f t="shared" si="1"/>
        <v>9</v>
      </c>
      <c r="FQ1" s="47">
        <f t="shared" si="1"/>
        <v>10</v>
      </c>
      <c r="FR1" s="47">
        <f t="shared" si="1"/>
        <v>11</v>
      </c>
      <c r="FS1" s="47">
        <f t="shared" si="1"/>
        <v>12</v>
      </c>
      <c r="FT1" s="47">
        <f t="shared" si="1"/>
        <v>13</v>
      </c>
      <c r="FU1" s="47">
        <f t="shared" si="1"/>
        <v>14</v>
      </c>
      <c r="FV1" s="47">
        <f t="shared" si="1"/>
        <v>15</v>
      </c>
      <c r="GO1" s="83"/>
      <c r="GP1" s="83"/>
      <c r="GQ1" s="83"/>
      <c r="GR1" s="83"/>
      <c r="GS1" s="83"/>
      <c r="GT1" s="83"/>
      <c r="GU1" s="83"/>
      <c r="GV1" s="83"/>
      <c r="GW1" s="83"/>
      <c r="GX1" s="83"/>
      <c r="GY1" s="83"/>
      <c r="GZ1" s="83"/>
      <c r="HA1" s="83"/>
      <c r="HB1" s="83"/>
      <c r="HC1" s="83"/>
      <c r="HD1" s="83"/>
      <c r="HE1" s="83"/>
      <c r="HF1" s="83"/>
      <c r="HG1" s="83"/>
      <c r="HH1" s="83"/>
      <c r="HI1" s="83"/>
      <c r="HJ1" s="83"/>
      <c r="HK1" s="83"/>
      <c r="HL1" s="83"/>
      <c r="HM1" s="83"/>
      <c r="HN1" s="83"/>
      <c r="HO1" s="83"/>
      <c r="HP1" s="84"/>
      <c r="HQ1" s="84"/>
      <c r="HR1" s="84"/>
      <c r="HS1" s="84" t="s">
        <v>425</v>
      </c>
      <c r="HT1" s="84"/>
      <c r="HU1" s="84"/>
      <c r="HV1" s="84"/>
      <c r="HW1" s="84"/>
      <c r="HX1" s="84"/>
      <c r="HY1" s="84"/>
      <c r="HZ1" s="84"/>
      <c r="IA1" s="84"/>
      <c r="IB1" s="84"/>
      <c r="IC1" s="84"/>
      <c r="ID1" s="84"/>
      <c r="IE1" s="84"/>
      <c r="IF1" s="84"/>
      <c r="IG1" s="84"/>
      <c r="IH1" s="84"/>
      <c r="II1" s="84"/>
      <c r="IJ1" s="84"/>
      <c r="IK1" s="84"/>
      <c r="IL1" s="84"/>
      <c r="IM1" s="83"/>
      <c r="IN1" s="83"/>
      <c r="IO1" s="83"/>
      <c r="IP1" s="83"/>
      <c r="IQ1" s="83"/>
      <c r="IR1" s="83"/>
      <c r="IS1" s="83"/>
      <c r="IT1" s="83"/>
      <c r="IU1" s="83"/>
      <c r="IV1" s="83"/>
      <c r="IW1" s="83"/>
      <c r="IX1" s="83"/>
      <c r="IY1" s="83"/>
      <c r="IZ1" s="83"/>
      <c r="JA1" s="83"/>
      <c r="JB1" s="83"/>
      <c r="JC1" s="83"/>
      <c r="JD1" s="83"/>
      <c r="JE1" s="83"/>
      <c r="JF1" s="83"/>
      <c r="JG1" s="83"/>
      <c r="JH1" s="83"/>
      <c r="JI1" s="83"/>
      <c r="JJ1" s="83"/>
      <c r="JK1" s="83"/>
      <c r="KS1">
        <v>1</v>
      </c>
      <c r="KT1" t="s">
        <v>580</v>
      </c>
      <c r="PO1" s="557" t="s">
        <v>630</v>
      </c>
      <c r="PP1" s="558"/>
      <c r="PQ1" s="559"/>
    </row>
    <row r="2" spans="1:433" ht="23.75" customHeight="1" x14ac:dyDescent="0.2">
      <c r="A2" s="6" t="s">
        <v>28</v>
      </c>
      <c r="B2" s="7"/>
      <c r="C2" s="7"/>
      <c r="D2" s="7"/>
      <c r="E2" s="7"/>
      <c r="F2" s="7"/>
      <c r="G2" s="8"/>
      <c r="H2" s="8"/>
      <c r="I2" s="9"/>
      <c r="J2" s="9"/>
      <c r="K2" s="9"/>
      <c r="L2" s="9"/>
      <c r="M2" s="9"/>
      <c r="N2" s="9"/>
      <c r="O2" s="9"/>
      <c r="P2" s="9"/>
      <c r="Q2" s="9"/>
      <c r="R2" s="7"/>
      <c r="S2" s="7"/>
      <c r="T2" s="7"/>
      <c r="U2" s="7"/>
      <c r="V2" s="10"/>
      <c r="W2" s="10"/>
      <c r="X2" s="10"/>
      <c r="Y2" s="10"/>
      <c r="Z2" s="7"/>
      <c r="AA2" s="7"/>
      <c r="AB2" s="7"/>
      <c r="AC2" s="7"/>
      <c r="AD2" s="7"/>
      <c r="AE2" s="7"/>
      <c r="AF2" s="34" t="s">
        <v>295</v>
      </c>
      <c r="AG2" s="35" t="s">
        <v>297</v>
      </c>
      <c r="BF2" s="34" t="s">
        <v>295</v>
      </c>
      <c r="BG2" s="34"/>
      <c r="BH2" s="35" t="s">
        <v>297</v>
      </c>
      <c r="BN2" s="30" t="s">
        <v>338</v>
      </c>
      <c r="CD2" s="30" t="s">
        <v>338</v>
      </c>
      <c r="ED2" s="48"/>
      <c r="EE2" s="49"/>
      <c r="EG2" s="533" t="s">
        <v>388</v>
      </c>
      <c r="EH2" s="533" t="s">
        <v>352</v>
      </c>
      <c r="EI2" s="429" t="s">
        <v>387</v>
      </c>
      <c r="EJ2" s="429" t="s">
        <v>482</v>
      </c>
      <c r="EK2" s="507" t="s">
        <v>483</v>
      </c>
      <c r="EL2" s="508"/>
      <c r="EM2" s="508"/>
      <c r="EN2" s="508"/>
      <c r="EO2" s="508"/>
      <c r="EP2" s="509"/>
      <c r="EQ2" s="429" t="s">
        <v>353</v>
      </c>
      <c r="ER2" s="429" t="s">
        <v>484</v>
      </c>
      <c r="ES2" s="429" t="s">
        <v>354</v>
      </c>
      <c r="ET2" s="429" t="s">
        <v>397</v>
      </c>
      <c r="EU2" s="429" t="s">
        <v>485</v>
      </c>
      <c r="EV2" s="429" t="s">
        <v>355</v>
      </c>
      <c r="EW2" s="507" t="s">
        <v>486</v>
      </c>
      <c r="EX2" s="508"/>
      <c r="EY2" s="509"/>
      <c r="EZ2" s="429" t="s">
        <v>356</v>
      </c>
      <c r="FA2" s="429" t="s">
        <v>357</v>
      </c>
      <c r="FB2" s="429" t="s">
        <v>358</v>
      </c>
      <c r="FC2" s="429" t="s">
        <v>623</v>
      </c>
      <c r="FD2" s="429" t="s">
        <v>359</v>
      </c>
      <c r="FE2" s="429" t="s">
        <v>360</v>
      </c>
      <c r="FF2" s="429" t="s">
        <v>629</v>
      </c>
      <c r="FH2" s="429" t="s">
        <v>11</v>
      </c>
      <c r="FI2" s="429" t="s">
        <v>487</v>
      </c>
      <c r="FJ2" s="429" t="s">
        <v>488</v>
      </c>
      <c r="FK2" s="429" t="s">
        <v>489</v>
      </c>
      <c r="FL2" s="429" t="s">
        <v>490</v>
      </c>
      <c r="FM2" s="429" t="s">
        <v>491</v>
      </c>
      <c r="FN2" s="429" t="s">
        <v>492</v>
      </c>
      <c r="FO2" s="429" t="s">
        <v>493</v>
      </c>
      <c r="FP2" s="429" t="s">
        <v>494</v>
      </c>
      <c r="FQ2" s="429" t="s">
        <v>495</v>
      </c>
      <c r="FR2" s="429" t="s">
        <v>496</v>
      </c>
      <c r="FS2" s="429" t="s">
        <v>497</v>
      </c>
      <c r="FT2" s="429" t="s">
        <v>498</v>
      </c>
      <c r="FU2" s="429" t="s">
        <v>499</v>
      </c>
      <c r="FV2" s="429" t="s">
        <v>500</v>
      </c>
      <c r="GO2" s="83"/>
      <c r="GP2" s="83"/>
      <c r="GQ2" s="83"/>
      <c r="GR2" s="83"/>
      <c r="GS2" s="83"/>
      <c r="GT2" s="83"/>
      <c r="GU2" s="83" t="s">
        <v>467</v>
      </c>
      <c r="GV2" s="83"/>
      <c r="GW2" s="83"/>
      <c r="GX2" s="83"/>
      <c r="GY2" s="83"/>
      <c r="GZ2" s="83"/>
      <c r="HA2" s="83"/>
      <c r="HB2" s="83"/>
      <c r="HC2" s="83"/>
      <c r="HD2" s="83"/>
      <c r="HE2" s="83"/>
      <c r="HF2" s="83"/>
      <c r="HG2" s="83"/>
      <c r="HH2" s="83"/>
      <c r="HI2" s="83"/>
      <c r="HJ2" s="83"/>
      <c r="HK2" s="83"/>
      <c r="HL2" s="83"/>
      <c r="HM2" s="83"/>
      <c r="HN2" s="83"/>
      <c r="HO2" s="83"/>
      <c r="HP2" s="82"/>
      <c r="HQ2" s="82"/>
      <c r="HR2" s="82"/>
      <c r="HS2" t="s">
        <v>426</v>
      </c>
      <c r="HT2" s="82"/>
      <c r="HU2" s="82"/>
      <c r="HV2" s="82"/>
      <c r="HW2" s="82"/>
      <c r="HX2" s="82"/>
      <c r="HY2" s="82"/>
      <c r="HZ2" s="82"/>
      <c r="IA2" s="82"/>
      <c r="IB2" s="82"/>
      <c r="IC2" s="82"/>
      <c r="ID2" s="82"/>
      <c r="IE2" s="82"/>
      <c r="IF2" s="82"/>
      <c r="IG2" s="82"/>
      <c r="IH2" s="82"/>
      <c r="II2" s="82"/>
      <c r="IJ2" s="82"/>
      <c r="IK2" s="82"/>
      <c r="IL2" s="82"/>
      <c r="IM2" s="83"/>
      <c r="IN2" s="83"/>
      <c r="IO2" s="83"/>
      <c r="IP2" s="83"/>
      <c r="IQ2" s="83"/>
      <c r="IR2" s="83"/>
      <c r="IS2" s="83"/>
      <c r="IT2" s="83"/>
      <c r="IU2" s="83"/>
      <c r="IV2" s="83"/>
      <c r="IW2" s="83"/>
      <c r="IX2" s="83"/>
      <c r="IY2" s="83"/>
      <c r="IZ2" s="83"/>
      <c r="JA2" s="83"/>
      <c r="JB2" s="83"/>
      <c r="JC2" s="83"/>
      <c r="JD2" s="83"/>
      <c r="JE2" s="83"/>
      <c r="JF2" s="83"/>
      <c r="JG2" s="83"/>
      <c r="JH2" s="83"/>
      <c r="JI2" s="83"/>
      <c r="JJ2" s="83"/>
      <c r="JK2" s="83"/>
      <c r="JP2" s="30" t="s">
        <v>338</v>
      </c>
      <c r="KB2" s="121" t="s">
        <v>477</v>
      </c>
      <c r="KF2" s="30" t="s">
        <v>338</v>
      </c>
      <c r="KR2" s="121" t="s">
        <v>477</v>
      </c>
      <c r="KS2">
        <v>2</v>
      </c>
      <c r="KT2" t="s">
        <v>581</v>
      </c>
      <c r="PO2" s="560" t="s">
        <v>623</v>
      </c>
      <c r="PP2" s="563" t="s">
        <v>629</v>
      </c>
      <c r="PQ2" s="563" t="s">
        <v>631</v>
      </c>
    </row>
    <row r="3" spans="1:433" ht="24" x14ac:dyDescent="0.2">
      <c r="A3" s="6" t="s">
        <v>424</v>
      </c>
      <c r="B3" s="82"/>
      <c r="C3" s="6"/>
      <c r="D3" s="584">
        <f>Jaticempaka!D3</f>
        <v>44201</v>
      </c>
      <c r="E3" s="585"/>
      <c r="F3" s="7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7"/>
      <c r="S3" s="7"/>
      <c r="T3" s="7"/>
      <c r="U3" s="7"/>
      <c r="V3" s="10"/>
      <c r="W3" s="10"/>
      <c r="X3" s="10"/>
      <c r="Y3" s="10"/>
      <c r="Z3" s="7"/>
      <c r="AA3" s="7"/>
      <c r="AB3" s="7"/>
      <c r="AC3" s="7"/>
      <c r="AD3" s="7"/>
      <c r="AE3" s="7"/>
      <c r="AF3" s="33"/>
      <c r="AG3" s="33"/>
      <c r="BF3" s="33"/>
      <c r="BG3" s="36"/>
      <c r="BH3" s="36"/>
      <c r="BN3" s="46" t="s">
        <v>336</v>
      </c>
      <c r="BO3" s="529" t="s">
        <v>337</v>
      </c>
      <c r="BP3" s="529"/>
      <c r="BQ3" s="529"/>
      <c r="BR3" s="529"/>
      <c r="BS3" s="529"/>
      <c r="BT3" s="529"/>
      <c r="BU3" s="529"/>
      <c r="BV3" s="529"/>
      <c r="BW3" s="529"/>
      <c r="BX3" s="529"/>
      <c r="BY3" s="529"/>
      <c r="BZ3" s="529"/>
      <c r="CB3" s="30" t="s">
        <v>340</v>
      </c>
      <c r="CD3" s="46"/>
      <c r="CE3" s="529"/>
      <c r="CF3" s="529"/>
      <c r="CG3" s="529"/>
      <c r="CH3" s="529"/>
      <c r="CI3" s="529"/>
      <c r="CJ3" s="529"/>
      <c r="CK3" s="529"/>
      <c r="CL3" s="529"/>
      <c r="CM3" s="529"/>
      <c r="CN3" s="529"/>
      <c r="CO3" s="529"/>
      <c r="CP3" s="529"/>
      <c r="ED3" s="50"/>
      <c r="EE3" s="51"/>
      <c r="EG3" s="533"/>
      <c r="EH3" s="533"/>
      <c r="EI3" s="429"/>
      <c r="EJ3" s="429"/>
      <c r="EK3" s="510" t="s">
        <v>308</v>
      </c>
      <c r="EL3" s="510" t="s">
        <v>501</v>
      </c>
      <c r="EM3" s="510" t="s">
        <v>502</v>
      </c>
      <c r="EN3" s="510" t="s">
        <v>503</v>
      </c>
      <c r="EO3" s="510"/>
      <c r="EP3" s="510"/>
      <c r="EQ3" s="429"/>
      <c r="ER3" s="429"/>
      <c r="ES3" s="429"/>
      <c r="ET3" s="429"/>
      <c r="EU3" s="429"/>
      <c r="EV3" s="429"/>
      <c r="EW3" s="510" t="s">
        <v>504</v>
      </c>
      <c r="EX3" s="510" t="s">
        <v>309</v>
      </c>
      <c r="EY3" s="510" t="s">
        <v>505</v>
      </c>
      <c r="EZ3" s="429"/>
      <c r="FA3" s="429"/>
      <c r="FB3" s="429"/>
      <c r="FC3" s="429"/>
      <c r="FD3" s="429"/>
      <c r="FE3" s="429"/>
      <c r="FF3" s="429"/>
      <c r="FH3" s="429"/>
      <c r="FI3" s="429"/>
      <c r="FJ3" s="429"/>
      <c r="FK3" s="429"/>
      <c r="FL3" s="429"/>
      <c r="FM3" s="429"/>
      <c r="FN3" s="429"/>
      <c r="FO3" s="429"/>
      <c r="FP3" s="429"/>
      <c r="FQ3" s="429"/>
      <c r="FR3" s="429"/>
      <c r="FS3" s="429"/>
      <c r="FT3" s="429"/>
      <c r="FU3" s="429"/>
      <c r="FV3" s="429"/>
      <c r="GU3" s="85">
        <v>43243</v>
      </c>
      <c r="GX3" s="519" t="s">
        <v>427</v>
      </c>
      <c r="GY3" s="520"/>
      <c r="GZ3" s="86"/>
      <c r="HA3" s="83"/>
      <c r="HB3" s="83"/>
      <c r="HC3" s="86"/>
      <c r="HD3" s="86"/>
      <c r="HE3" s="86"/>
      <c r="HF3" s="82"/>
      <c r="HG3" s="82"/>
      <c r="HH3" s="82" t="s">
        <v>428</v>
      </c>
      <c r="HI3" s="82"/>
      <c r="HJ3" s="86"/>
      <c r="HK3" s="82"/>
      <c r="HL3" s="83"/>
      <c r="HM3" s="83"/>
      <c r="HN3" s="83"/>
      <c r="HO3" s="83"/>
      <c r="HP3" s="86"/>
      <c r="HQ3" s="86"/>
      <c r="HR3" s="86"/>
      <c r="HS3" t="s">
        <v>429</v>
      </c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 t="s">
        <v>430</v>
      </c>
      <c r="II3" s="86"/>
      <c r="IJ3" s="86"/>
      <c r="IK3" s="86"/>
      <c r="IL3" s="86"/>
      <c r="IM3" s="83"/>
      <c r="IN3" s="83"/>
      <c r="IO3" s="83"/>
      <c r="IP3" s="83"/>
      <c r="IQ3" s="83"/>
      <c r="IR3" s="83"/>
      <c r="IS3" s="83"/>
      <c r="IT3" s="83"/>
      <c r="IU3" s="83"/>
      <c r="IV3" s="83"/>
      <c r="IW3" s="83"/>
      <c r="IX3" s="83"/>
      <c r="IY3" s="83"/>
      <c r="IZ3" s="83"/>
      <c r="JA3" s="83"/>
      <c r="JB3" s="83"/>
      <c r="JC3" s="83"/>
      <c r="JD3" s="83"/>
      <c r="JE3" s="83"/>
      <c r="JF3" s="83"/>
      <c r="JG3" s="83"/>
      <c r="JH3" s="83"/>
      <c r="JI3" s="83"/>
      <c r="JJ3" s="83"/>
      <c r="JK3" s="83"/>
      <c r="JP3" s="46" t="s">
        <v>336</v>
      </c>
      <c r="JQ3" s="529" t="s">
        <v>337</v>
      </c>
      <c r="JR3" s="529"/>
      <c r="JS3" s="529"/>
      <c r="JT3" s="529"/>
      <c r="JU3" s="529"/>
      <c r="JV3" s="529"/>
      <c r="JW3" s="529"/>
      <c r="JX3" s="529"/>
      <c r="JY3" s="529"/>
      <c r="JZ3" s="529"/>
      <c r="KA3" s="529"/>
      <c r="KB3" s="529"/>
      <c r="KF3" s="46"/>
      <c r="KG3" s="529"/>
      <c r="KH3" s="529"/>
      <c r="KI3" s="529"/>
      <c r="KJ3" s="529"/>
      <c r="KK3" s="529"/>
      <c r="KL3" s="529"/>
      <c r="KM3" s="529"/>
      <c r="KN3" s="529"/>
      <c r="KO3" s="529"/>
      <c r="KP3" s="529"/>
      <c r="KQ3" s="529"/>
      <c r="KR3" s="529"/>
      <c r="KS3">
        <v>3</v>
      </c>
      <c r="KT3" t="s">
        <v>582</v>
      </c>
      <c r="KU3" s="30" t="s">
        <v>508</v>
      </c>
      <c r="PO3" s="561"/>
      <c r="PP3" s="563"/>
      <c r="PQ3" s="563"/>
    </row>
    <row r="4" spans="1:433" ht="18" customHeight="1" thickBot="1" x14ac:dyDescent="0.25">
      <c r="A4" s="479" t="s">
        <v>1</v>
      </c>
      <c r="B4" s="479" t="s">
        <v>2</v>
      </c>
      <c r="C4" s="479" t="s">
        <v>3</v>
      </c>
      <c r="D4" s="482" t="s">
        <v>4</v>
      </c>
      <c r="E4" s="483"/>
      <c r="F4" s="499" t="s">
        <v>5</v>
      </c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0"/>
      <c r="AA4" s="500"/>
      <c r="AB4" s="500"/>
      <c r="AC4" s="500"/>
      <c r="AD4" s="500"/>
      <c r="AE4" s="501"/>
      <c r="AF4" s="431" t="s">
        <v>298</v>
      </c>
      <c r="AG4" s="432"/>
      <c r="AH4" s="433"/>
      <c r="AI4" s="496" t="s">
        <v>261</v>
      </c>
      <c r="AJ4" s="497"/>
      <c r="AK4" s="498"/>
      <c r="AL4" s="573" t="s">
        <v>292</v>
      </c>
      <c r="AM4" s="574"/>
      <c r="AN4" s="566" t="s">
        <v>312</v>
      </c>
      <c r="BB4" s="570" t="s">
        <v>349</v>
      </c>
      <c r="BE4" s="431" t="s">
        <v>298</v>
      </c>
      <c r="BF4" s="432"/>
      <c r="BG4" s="432"/>
      <c r="BH4" s="432"/>
      <c r="BI4" s="432"/>
      <c r="BJ4" s="432"/>
      <c r="BK4" s="433"/>
      <c r="BN4" s="400" t="s">
        <v>319</v>
      </c>
      <c r="BO4" s="397" t="s">
        <v>320</v>
      </c>
      <c r="BP4" s="468" t="s">
        <v>321</v>
      </c>
      <c r="BQ4" s="468"/>
      <c r="BR4" s="468"/>
      <c r="BS4" s="468"/>
      <c r="BT4" s="468"/>
      <c r="BU4" s="468"/>
      <c r="BV4" s="468"/>
      <c r="BW4" s="468"/>
      <c r="BX4" s="468"/>
      <c r="BY4" s="468"/>
      <c r="BZ4" s="468"/>
      <c r="CB4" s="469" t="s">
        <v>339</v>
      </c>
      <c r="CD4" s="400" t="s">
        <v>319</v>
      </c>
      <c r="CE4" s="397" t="s">
        <v>320</v>
      </c>
      <c r="CF4" s="468" t="s">
        <v>321</v>
      </c>
      <c r="CG4" s="468"/>
      <c r="CH4" s="468"/>
      <c r="CI4" s="468"/>
      <c r="CJ4" s="468"/>
      <c r="CK4" s="468"/>
      <c r="CL4" s="468"/>
      <c r="CM4" s="468"/>
      <c r="CN4" s="468"/>
      <c r="CO4" s="468"/>
      <c r="CP4" s="468"/>
      <c r="DV4" s="513" t="s">
        <v>350</v>
      </c>
      <c r="DW4" s="514"/>
      <c r="DX4" s="514"/>
      <c r="DY4" s="514"/>
      <c r="DZ4" s="514"/>
      <c r="EA4" s="514"/>
      <c r="EB4" s="515"/>
      <c r="ED4" s="50"/>
      <c r="EE4" s="51"/>
      <c r="EG4" s="533"/>
      <c r="EH4" s="533"/>
      <c r="EI4" s="429"/>
      <c r="EJ4" s="429"/>
      <c r="EK4" s="511"/>
      <c r="EL4" s="511"/>
      <c r="EM4" s="511"/>
      <c r="EN4" s="511"/>
      <c r="EO4" s="511"/>
      <c r="EP4" s="511"/>
      <c r="EQ4" s="429"/>
      <c r="ER4" s="429"/>
      <c r="ES4" s="429"/>
      <c r="ET4" s="429"/>
      <c r="EU4" s="429"/>
      <c r="EV4" s="429"/>
      <c r="EW4" s="511"/>
      <c r="EX4" s="511"/>
      <c r="EY4" s="511"/>
      <c r="EZ4" s="429"/>
      <c r="FA4" s="429"/>
      <c r="FB4" s="429"/>
      <c r="FC4" s="429"/>
      <c r="FD4" s="429"/>
      <c r="FE4" s="429"/>
      <c r="FF4" s="429"/>
      <c r="FH4" s="429"/>
      <c r="FI4" s="429"/>
      <c r="FJ4" s="429"/>
      <c r="FK4" s="429"/>
      <c r="FL4" s="429"/>
      <c r="FM4" s="429"/>
      <c r="FN4" s="429"/>
      <c r="FO4" s="429"/>
      <c r="FP4" s="429"/>
      <c r="FQ4" s="429"/>
      <c r="FR4" s="429"/>
      <c r="FS4" s="429"/>
      <c r="FT4" s="429"/>
      <c r="FU4" s="429"/>
      <c r="FV4" s="429"/>
      <c r="FY4" s="412" t="s">
        <v>319</v>
      </c>
      <c r="FZ4" s="397" t="s">
        <v>320</v>
      </c>
      <c r="GA4" s="397" t="s">
        <v>378</v>
      </c>
      <c r="GB4" s="397" t="s">
        <v>379</v>
      </c>
      <c r="GC4" s="397" t="s">
        <v>380</v>
      </c>
      <c r="GD4" s="397" t="s">
        <v>381</v>
      </c>
      <c r="GE4" s="397" t="s">
        <v>382</v>
      </c>
      <c r="GF4" s="27"/>
      <c r="GG4" s="397" t="s">
        <v>383</v>
      </c>
      <c r="GH4" s="397" t="s">
        <v>384</v>
      </c>
      <c r="GI4" s="27"/>
      <c r="GJ4" s="397" t="s">
        <v>385</v>
      </c>
      <c r="GK4" s="397" t="s">
        <v>386</v>
      </c>
      <c r="GO4" s="521" t="s">
        <v>431</v>
      </c>
      <c r="GP4" s="522"/>
      <c r="GQ4" s="522"/>
      <c r="GR4" s="522"/>
      <c r="GS4" s="522"/>
      <c r="GT4" s="523"/>
      <c r="GU4" s="87" t="s">
        <v>432</v>
      </c>
      <c r="GV4" s="521" t="s">
        <v>433</v>
      </c>
      <c r="GW4" s="523"/>
      <c r="GX4" s="88" t="s">
        <v>434</v>
      </c>
      <c r="GY4" s="89">
        <f>Jaticempaka!GY4</f>
        <v>20</v>
      </c>
      <c r="GZ4" s="423"/>
      <c r="HA4" s="83"/>
      <c r="HB4" s="83"/>
      <c r="HC4" s="426" t="s">
        <v>436</v>
      </c>
      <c r="HD4" s="427"/>
      <c r="HE4" s="427"/>
      <c r="HF4" s="427"/>
      <c r="HG4" s="427"/>
      <c r="HH4" s="427"/>
      <c r="HI4" s="428"/>
      <c r="HJ4" s="90"/>
      <c r="HK4" s="398" t="s">
        <v>437</v>
      </c>
      <c r="HL4" s="83"/>
      <c r="HM4" s="83"/>
      <c r="HN4" s="83"/>
      <c r="HO4" s="83"/>
      <c r="HS4" t="s">
        <v>438</v>
      </c>
      <c r="IM4" s="83"/>
      <c r="IN4" s="83"/>
      <c r="IO4" s="83"/>
      <c r="IP4" s="83"/>
      <c r="IQ4" s="83"/>
      <c r="IR4" s="83"/>
      <c r="IS4" s="83"/>
      <c r="IT4" s="83"/>
      <c r="IU4" s="83"/>
      <c r="IV4" s="83"/>
      <c r="IW4" s="83"/>
      <c r="IX4" s="83"/>
      <c r="IY4" s="83"/>
      <c r="IZ4" s="83"/>
      <c r="JA4" s="83"/>
      <c r="JB4" s="83"/>
      <c r="JC4" s="83"/>
      <c r="JD4" s="83"/>
      <c r="JE4" s="83"/>
      <c r="JF4" s="83"/>
      <c r="JG4" s="83"/>
      <c r="JH4" s="83"/>
      <c r="JI4" s="83"/>
      <c r="JJ4" s="83"/>
      <c r="JK4" s="83"/>
      <c r="JP4" s="400" t="s">
        <v>319</v>
      </c>
      <c r="JQ4" s="397" t="s">
        <v>320</v>
      </c>
      <c r="JR4" s="468" t="s">
        <v>321</v>
      </c>
      <c r="JS4" s="468"/>
      <c r="JT4" s="468"/>
      <c r="JU4" s="468"/>
      <c r="JV4" s="468"/>
      <c r="JW4" s="468"/>
      <c r="JX4" s="468"/>
      <c r="JY4" s="468"/>
      <c r="JZ4" s="468"/>
      <c r="KA4" s="468"/>
      <c r="KB4" s="468"/>
      <c r="KD4" s="400" t="s">
        <v>626</v>
      </c>
      <c r="KE4" s="400" t="s">
        <v>627</v>
      </c>
      <c r="KF4" s="400" t="s">
        <v>319</v>
      </c>
      <c r="KG4" s="397" t="s">
        <v>320</v>
      </c>
      <c r="KH4" s="468" t="s">
        <v>321</v>
      </c>
      <c r="KI4" s="468"/>
      <c r="KJ4" s="468"/>
      <c r="KK4" s="468"/>
      <c r="KL4" s="468"/>
      <c r="KM4" s="468"/>
      <c r="KN4" s="468"/>
      <c r="KO4" s="468"/>
      <c r="KP4" s="468"/>
      <c r="KQ4" s="468"/>
      <c r="KR4" s="468"/>
      <c r="KS4">
        <v>4</v>
      </c>
      <c r="KT4" t="s">
        <v>583</v>
      </c>
      <c r="LF4">
        <v>1</v>
      </c>
      <c r="LM4">
        <v>2</v>
      </c>
      <c r="LT4">
        <v>3</v>
      </c>
      <c r="MA4">
        <v>4</v>
      </c>
      <c r="MK4">
        <v>5</v>
      </c>
      <c r="MP4">
        <v>6</v>
      </c>
      <c r="MX4">
        <v>7</v>
      </c>
      <c r="NZ4" s="341" t="s">
        <v>592</v>
      </c>
      <c r="PO4" s="561"/>
      <c r="PP4" s="563"/>
      <c r="PQ4" s="563"/>
    </row>
    <row r="5" spans="1:433" ht="18" customHeight="1" x14ac:dyDescent="0.2">
      <c r="A5" s="480"/>
      <c r="B5" s="480"/>
      <c r="C5" s="480"/>
      <c r="D5" s="484"/>
      <c r="E5" s="485"/>
      <c r="F5" s="493" t="s">
        <v>6</v>
      </c>
      <c r="G5" s="493"/>
      <c r="H5" s="493"/>
      <c r="I5" s="493"/>
      <c r="J5" s="496" t="s">
        <v>283</v>
      </c>
      <c r="K5" s="497" t="s">
        <v>283</v>
      </c>
      <c r="L5" s="497" t="s">
        <v>283</v>
      </c>
      <c r="M5" s="497" t="s">
        <v>283</v>
      </c>
      <c r="N5" s="497" t="s">
        <v>283</v>
      </c>
      <c r="O5" s="497" t="s">
        <v>283</v>
      </c>
      <c r="P5" s="497" t="s">
        <v>283</v>
      </c>
      <c r="Q5" s="498" t="s">
        <v>283</v>
      </c>
      <c r="R5" s="493" t="s">
        <v>8</v>
      </c>
      <c r="S5" s="493"/>
      <c r="T5" s="493"/>
      <c r="U5" s="493"/>
      <c r="V5" s="493" t="s">
        <v>9</v>
      </c>
      <c r="W5" s="493"/>
      <c r="X5" s="493"/>
      <c r="Y5" s="493"/>
      <c r="Z5" s="493"/>
      <c r="AA5" s="502" t="s">
        <v>396</v>
      </c>
      <c r="AB5" s="502"/>
      <c r="AC5" s="502"/>
      <c r="AD5" s="502"/>
      <c r="AE5" s="502"/>
      <c r="AF5" s="434"/>
      <c r="AG5" s="435"/>
      <c r="AH5" s="436"/>
      <c r="AI5" s="489" t="s">
        <v>262</v>
      </c>
      <c r="AJ5" s="482"/>
      <c r="AK5" s="483"/>
      <c r="AL5" s="575"/>
      <c r="AM5" s="576"/>
      <c r="AN5" s="567"/>
      <c r="BB5" s="571"/>
      <c r="BE5" s="434"/>
      <c r="BF5" s="435"/>
      <c r="BG5" s="435"/>
      <c r="BH5" s="435"/>
      <c r="BI5" s="435"/>
      <c r="BJ5" s="435"/>
      <c r="BK5" s="436"/>
      <c r="BN5" s="400"/>
      <c r="BO5" s="397"/>
      <c r="BP5" s="472" t="s">
        <v>315</v>
      </c>
      <c r="BQ5" s="472"/>
      <c r="BR5" s="472"/>
      <c r="BS5" s="472"/>
      <c r="BT5" s="472"/>
      <c r="BU5" s="472"/>
      <c r="BV5" s="472"/>
      <c r="BW5" s="472" t="s">
        <v>330</v>
      </c>
      <c r="BX5" s="472"/>
      <c r="BY5" s="472"/>
      <c r="BZ5" s="472"/>
      <c r="CB5" s="470"/>
      <c r="CD5" s="400"/>
      <c r="CE5" s="397"/>
      <c r="CF5" s="472" t="s">
        <v>315</v>
      </c>
      <c r="CG5" s="472"/>
      <c r="CH5" s="472"/>
      <c r="CI5" s="472"/>
      <c r="CJ5" s="472"/>
      <c r="CK5" s="472"/>
      <c r="CL5" s="472"/>
      <c r="CM5" s="472" t="s">
        <v>330</v>
      </c>
      <c r="CN5" s="472"/>
      <c r="CO5" s="472"/>
      <c r="CP5" s="472"/>
      <c r="DV5" s="516"/>
      <c r="DW5" s="517"/>
      <c r="DX5" s="517"/>
      <c r="DY5" s="517"/>
      <c r="DZ5" s="517"/>
      <c r="EA5" s="517"/>
      <c r="EB5" s="518"/>
      <c r="ED5" s="52" t="s">
        <v>361</v>
      </c>
      <c r="EE5" s="51"/>
      <c r="EG5" s="533"/>
      <c r="EH5" s="533"/>
      <c r="EI5" s="429"/>
      <c r="EJ5" s="429"/>
      <c r="EK5" s="511"/>
      <c r="EL5" s="511"/>
      <c r="EM5" s="511"/>
      <c r="EN5" s="511"/>
      <c r="EO5" s="511"/>
      <c r="EP5" s="511"/>
      <c r="EQ5" s="429"/>
      <c r="ER5" s="429"/>
      <c r="ES5" s="429"/>
      <c r="ET5" s="429"/>
      <c r="EU5" s="429"/>
      <c r="EV5" s="429"/>
      <c r="EW5" s="511"/>
      <c r="EX5" s="511"/>
      <c r="EY5" s="511"/>
      <c r="EZ5" s="429"/>
      <c r="FA5" s="429"/>
      <c r="FB5" s="429"/>
      <c r="FC5" s="429"/>
      <c r="FD5" s="429"/>
      <c r="FE5" s="429"/>
      <c r="FF5" s="429"/>
      <c r="FH5" s="429"/>
      <c r="FI5" s="429"/>
      <c r="FJ5" s="429"/>
      <c r="FK5" s="429"/>
      <c r="FL5" s="429"/>
      <c r="FM5" s="429"/>
      <c r="FN5" s="429"/>
      <c r="FO5" s="429"/>
      <c r="FP5" s="429"/>
      <c r="FQ5" s="429"/>
      <c r="FR5" s="429"/>
      <c r="FS5" s="429"/>
      <c r="FT5" s="429"/>
      <c r="FU5" s="429"/>
      <c r="FV5" s="429"/>
      <c r="FY5" s="413"/>
      <c r="FZ5" s="397"/>
      <c r="GA5" s="397"/>
      <c r="GB5" s="397"/>
      <c r="GC5" s="397"/>
      <c r="GD5" s="397"/>
      <c r="GE5" s="397"/>
      <c r="GF5" s="27"/>
      <c r="GG5" s="397"/>
      <c r="GH5" s="397"/>
      <c r="GI5" s="27"/>
      <c r="GJ5" s="397"/>
      <c r="GK5" s="397"/>
      <c r="GO5" s="524"/>
      <c r="GP5" s="525"/>
      <c r="GQ5" s="525"/>
      <c r="GR5" s="525"/>
      <c r="GS5" s="525"/>
      <c r="GT5" s="526"/>
      <c r="GU5" s="91" t="s">
        <v>439</v>
      </c>
      <c r="GV5" s="524"/>
      <c r="GW5" s="526"/>
      <c r="GX5" s="92" t="s">
        <v>440</v>
      </c>
      <c r="GY5" s="93">
        <f>Jaticempaka!GY5</f>
        <v>20</v>
      </c>
      <c r="GZ5" s="424"/>
      <c r="HA5" s="83"/>
      <c r="HB5" s="83"/>
      <c r="HC5" s="399" t="s">
        <v>441</v>
      </c>
      <c r="HD5" s="399" t="s">
        <v>442</v>
      </c>
      <c r="HE5" s="399" t="s">
        <v>18</v>
      </c>
      <c r="HF5" s="399" t="s">
        <v>443</v>
      </c>
      <c r="HG5" s="399" t="s">
        <v>444</v>
      </c>
      <c r="HH5" s="398" t="s">
        <v>445</v>
      </c>
      <c r="HI5" s="398" t="s">
        <v>446</v>
      </c>
      <c r="HJ5" s="90"/>
      <c r="HK5" s="399"/>
      <c r="HL5" s="83"/>
      <c r="HM5" s="83"/>
      <c r="HN5" s="83"/>
      <c r="HO5" s="83"/>
      <c r="HP5">
        <v>1</v>
      </c>
      <c r="HS5" s="94">
        <v>2</v>
      </c>
      <c r="HV5">
        <v>3</v>
      </c>
      <c r="HY5">
        <v>4</v>
      </c>
      <c r="IB5">
        <v>5</v>
      </c>
      <c r="IE5">
        <v>6</v>
      </c>
      <c r="IH5">
        <v>7</v>
      </c>
      <c r="IK5">
        <v>8</v>
      </c>
      <c r="IM5" s="83"/>
      <c r="IN5" s="83"/>
      <c r="IO5" s="83"/>
      <c r="IP5" s="83"/>
      <c r="IQ5" s="83"/>
      <c r="IR5" s="83"/>
      <c r="IS5" s="83"/>
      <c r="IT5" s="83"/>
      <c r="IU5" s="83"/>
      <c r="IV5" s="83"/>
      <c r="IW5" s="83"/>
      <c r="IX5" s="83"/>
      <c r="IY5" s="83"/>
      <c r="IZ5" s="83"/>
      <c r="JA5" s="83"/>
      <c r="JB5" s="83"/>
      <c r="JC5" s="83"/>
      <c r="JD5" s="83"/>
      <c r="JE5" s="83"/>
      <c r="JF5" s="83"/>
      <c r="JG5" s="83"/>
      <c r="JH5" s="83"/>
      <c r="JI5" s="83"/>
      <c r="JJ5" s="83"/>
      <c r="JK5" s="83"/>
      <c r="JP5" s="400"/>
      <c r="JQ5" s="397"/>
      <c r="JR5" s="472" t="s">
        <v>315</v>
      </c>
      <c r="JS5" s="472"/>
      <c r="JT5" s="472"/>
      <c r="JU5" s="472"/>
      <c r="JV5" s="472"/>
      <c r="JW5" s="472"/>
      <c r="JX5" s="472"/>
      <c r="JY5" s="472" t="s">
        <v>330</v>
      </c>
      <c r="JZ5" s="472"/>
      <c r="KA5" s="472"/>
      <c r="KB5" s="472"/>
      <c r="KD5" s="400"/>
      <c r="KE5" s="400"/>
      <c r="KF5" s="400"/>
      <c r="KG5" s="397"/>
      <c r="KH5" s="472" t="s">
        <v>315</v>
      </c>
      <c r="KI5" s="472"/>
      <c r="KJ5" s="472"/>
      <c r="KK5" s="472"/>
      <c r="KL5" s="472"/>
      <c r="KM5" s="472"/>
      <c r="KN5" s="472"/>
      <c r="KO5" s="472" t="s">
        <v>330</v>
      </c>
      <c r="KP5" s="472"/>
      <c r="KQ5" s="472"/>
      <c r="KR5" s="472"/>
      <c r="KS5">
        <v>5</v>
      </c>
      <c r="KT5" t="s">
        <v>519</v>
      </c>
      <c r="KU5" s="534" t="s">
        <v>509</v>
      </c>
      <c r="KV5" s="534" t="s">
        <v>510</v>
      </c>
      <c r="KW5" s="536" t="s">
        <v>11</v>
      </c>
      <c r="KX5" s="537" t="s">
        <v>511</v>
      </c>
      <c r="KY5" s="537" t="s">
        <v>434</v>
      </c>
      <c r="KZ5" s="540" t="s">
        <v>512</v>
      </c>
      <c r="LA5" s="540"/>
      <c r="LB5" s="540" t="s">
        <v>513</v>
      </c>
      <c r="LC5" s="540"/>
      <c r="LD5" s="541" t="s">
        <v>514</v>
      </c>
      <c r="LE5" s="541"/>
      <c r="LF5" s="544" t="s">
        <v>515</v>
      </c>
      <c r="LG5" s="544"/>
      <c r="LH5" s="544"/>
      <c r="LI5" s="544"/>
      <c r="LJ5" s="544"/>
      <c r="LK5" s="544"/>
      <c r="LL5" s="544"/>
      <c r="LM5" s="547" t="s">
        <v>516</v>
      </c>
      <c r="LN5" s="547"/>
      <c r="LO5" s="547"/>
      <c r="LP5" s="547"/>
      <c r="LQ5" s="547"/>
      <c r="LR5" s="547"/>
      <c r="LS5" s="547"/>
      <c r="LT5" s="548" t="s">
        <v>517</v>
      </c>
      <c r="LU5" s="548"/>
      <c r="LV5" s="548"/>
      <c r="LW5" s="548"/>
      <c r="LX5" s="548"/>
      <c r="LY5" s="548"/>
      <c r="LZ5" s="548"/>
      <c r="MA5" s="549" t="s">
        <v>518</v>
      </c>
      <c r="MB5" s="549"/>
      <c r="MC5" s="549"/>
      <c r="MD5" s="549"/>
      <c r="ME5" s="549"/>
      <c r="MF5" s="549"/>
      <c r="MG5" s="549"/>
      <c r="MH5" s="549"/>
      <c r="MI5" s="549"/>
      <c r="MJ5" s="549"/>
      <c r="MK5" s="550" t="s">
        <v>519</v>
      </c>
      <c r="ML5" s="551"/>
      <c r="MM5" s="551"/>
      <c r="MN5" s="551"/>
      <c r="MO5" s="552"/>
      <c r="MP5" s="372" t="s">
        <v>520</v>
      </c>
      <c r="MQ5" s="373"/>
      <c r="MR5" s="373"/>
      <c r="MS5" s="373"/>
      <c r="MT5" s="373"/>
      <c r="MU5" s="373"/>
      <c r="MV5" s="373"/>
      <c r="MW5" s="374"/>
      <c r="MX5" s="375" t="s">
        <v>575</v>
      </c>
      <c r="MY5" s="376"/>
      <c r="MZ5" s="376"/>
      <c r="NA5" s="376"/>
      <c r="NB5" s="377"/>
      <c r="NC5" s="378" t="s">
        <v>521</v>
      </c>
      <c r="ND5" s="379"/>
      <c r="NE5" s="380"/>
      <c r="NF5" s="384" t="s">
        <v>522</v>
      </c>
      <c r="NG5" s="385"/>
      <c r="NH5" s="385"/>
      <c r="NI5" s="386"/>
      <c r="NJ5" s="350" t="s">
        <v>523</v>
      </c>
      <c r="NK5" s="370" t="s">
        <v>524</v>
      </c>
      <c r="NZ5" s="341"/>
      <c r="OE5" s="340" t="s">
        <v>596</v>
      </c>
      <c r="OF5" s="340" t="s">
        <v>597</v>
      </c>
      <c r="OG5" s="340" t="s">
        <v>457</v>
      </c>
      <c r="OH5" s="340" t="s">
        <v>303</v>
      </c>
      <c r="OI5" s="340" t="s">
        <v>598</v>
      </c>
      <c r="OJ5" s="340" t="s">
        <v>599</v>
      </c>
      <c r="OK5" s="340" t="s">
        <v>600</v>
      </c>
      <c r="OL5" s="340" t="s">
        <v>601</v>
      </c>
      <c r="OM5" s="340" t="s">
        <v>602</v>
      </c>
      <c r="OO5" s="340" t="s">
        <v>596</v>
      </c>
      <c r="OP5" s="340" t="s">
        <v>597</v>
      </c>
      <c r="OQ5" s="340" t="s">
        <v>457</v>
      </c>
      <c r="OR5" s="340" t="s">
        <v>303</v>
      </c>
      <c r="OS5" s="340" t="s">
        <v>598</v>
      </c>
      <c r="OT5" s="340" t="s">
        <v>599</v>
      </c>
      <c r="OU5" s="340" t="s">
        <v>600</v>
      </c>
      <c r="OV5" s="340" t="s">
        <v>601</v>
      </c>
      <c r="OW5" s="340" t="s">
        <v>602</v>
      </c>
      <c r="PA5" s="529" t="s">
        <v>617</v>
      </c>
      <c r="PB5" s="529"/>
      <c r="PC5" s="529"/>
      <c r="PD5" s="529"/>
      <c r="PE5" s="529"/>
      <c r="PF5" s="529"/>
      <c r="PG5" s="529"/>
      <c r="PH5" s="529"/>
      <c r="PI5" s="529"/>
      <c r="PJ5" s="529"/>
      <c r="PK5" s="529"/>
      <c r="PL5" s="529"/>
      <c r="PO5" s="561"/>
      <c r="PP5" s="563"/>
      <c r="PQ5" s="563"/>
    </row>
    <row r="6" spans="1:433" ht="14.75" customHeight="1" x14ac:dyDescent="0.2">
      <c r="A6" s="480"/>
      <c r="B6" s="480"/>
      <c r="C6" s="480"/>
      <c r="D6" s="484"/>
      <c r="E6" s="485"/>
      <c r="F6" s="494"/>
      <c r="G6" s="494"/>
      <c r="H6" s="494"/>
      <c r="I6" s="494"/>
      <c r="J6" s="489" t="s">
        <v>284</v>
      </c>
      <c r="K6" s="482" t="s">
        <v>284</v>
      </c>
      <c r="L6" s="482" t="s">
        <v>284</v>
      </c>
      <c r="M6" s="483" t="s">
        <v>284</v>
      </c>
      <c r="N6" s="489" t="s">
        <v>7</v>
      </c>
      <c r="O6" s="482" t="s">
        <v>285</v>
      </c>
      <c r="P6" s="482" t="s">
        <v>285</v>
      </c>
      <c r="Q6" s="483" t="s">
        <v>285</v>
      </c>
      <c r="R6" s="494"/>
      <c r="S6" s="494"/>
      <c r="T6" s="494"/>
      <c r="U6" s="494"/>
      <c r="V6" s="494"/>
      <c r="W6" s="494"/>
      <c r="X6" s="494"/>
      <c r="Y6" s="494"/>
      <c r="Z6" s="494"/>
      <c r="AA6" s="503"/>
      <c r="AB6" s="503"/>
      <c r="AC6" s="503"/>
      <c r="AD6" s="503"/>
      <c r="AE6" s="503"/>
      <c r="AF6" s="454" t="s">
        <v>11</v>
      </c>
      <c r="AG6" s="457" t="s">
        <v>311</v>
      </c>
      <c r="AH6" s="486" t="s">
        <v>293</v>
      </c>
      <c r="AI6" s="569"/>
      <c r="AJ6" s="484"/>
      <c r="AK6" s="485"/>
      <c r="AL6" s="577" t="s">
        <v>265</v>
      </c>
      <c r="AM6" s="580" t="s">
        <v>9</v>
      </c>
      <c r="AN6" s="567"/>
      <c r="BB6" s="571"/>
      <c r="BE6" s="454" t="s">
        <v>11</v>
      </c>
      <c r="BF6" s="457" t="s">
        <v>306</v>
      </c>
      <c r="BG6" s="457" t="s">
        <v>307</v>
      </c>
      <c r="BH6" s="457" t="s">
        <v>308</v>
      </c>
      <c r="BI6" s="457" t="s">
        <v>309</v>
      </c>
      <c r="BJ6" s="457"/>
      <c r="BK6" s="457" t="s">
        <v>310</v>
      </c>
      <c r="BN6" s="400"/>
      <c r="BO6" s="397"/>
      <c r="BP6" s="472" t="s">
        <v>316</v>
      </c>
      <c r="BQ6" s="472"/>
      <c r="BR6" s="472"/>
      <c r="BS6" s="472"/>
      <c r="BT6" s="472"/>
      <c r="BU6" s="473" t="s">
        <v>325</v>
      </c>
      <c r="BV6" s="474"/>
      <c r="BW6" s="475" t="s">
        <v>331</v>
      </c>
      <c r="BX6" s="472" t="s">
        <v>332</v>
      </c>
      <c r="BY6" s="472"/>
      <c r="BZ6" s="472"/>
      <c r="CB6" s="470"/>
      <c r="CD6" s="400"/>
      <c r="CE6" s="397"/>
      <c r="CF6" s="472" t="s">
        <v>316</v>
      </c>
      <c r="CG6" s="472"/>
      <c r="CH6" s="472"/>
      <c r="CI6" s="472"/>
      <c r="CJ6" s="472"/>
      <c r="CK6" s="473" t="s">
        <v>325</v>
      </c>
      <c r="CL6" s="474"/>
      <c r="CM6" s="475" t="s">
        <v>331</v>
      </c>
      <c r="CN6" s="472" t="s">
        <v>332</v>
      </c>
      <c r="CO6" s="472"/>
      <c r="CP6" s="472"/>
      <c r="DV6" s="530" t="s">
        <v>11</v>
      </c>
      <c r="DW6" s="476" t="s">
        <v>300</v>
      </c>
      <c r="DX6" s="476" t="s">
        <v>301</v>
      </c>
      <c r="DY6" s="476" t="s">
        <v>343</v>
      </c>
      <c r="DZ6" s="476" t="s">
        <v>302</v>
      </c>
      <c r="EA6" s="476" t="s">
        <v>351</v>
      </c>
      <c r="EB6" s="476" t="s">
        <v>18</v>
      </c>
      <c r="ED6" s="50"/>
      <c r="EE6" s="51"/>
      <c r="EG6" s="533"/>
      <c r="EH6" s="533"/>
      <c r="EI6" s="429"/>
      <c r="EJ6" s="429"/>
      <c r="EK6" s="511"/>
      <c r="EL6" s="511"/>
      <c r="EM6" s="511"/>
      <c r="EN6" s="511"/>
      <c r="EO6" s="511"/>
      <c r="EP6" s="511"/>
      <c r="EQ6" s="429"/>
      <c r="ER6" s="429"/>
      <c r="ES6" s="429"/>
      <c r="ET6" s="429"/>
      <c r="EU6" s="429"/>
      <c r="EV6" s="429"/>
      <c r="EW6" s="511"/>
      <c r="EX6" s="511"/>
      <c r="EY6" s="511"/>
      <c r="EZ6" s="429"/>
      <c r="FA6" s="429"/>
      <c r="FB6" s="429"/>
      <c r="FC6" s="429"/>
      <c r="FD6" s="429"/>
      <c r="FE6" s="429"/>
      <c r="FF6" s="429"/>
      <c r="FH6" s="429"/>
      <c r="FI6" s="429"/>
      <c r="FJ6" s="429"/>
      <c r="FK6" s="429"/>
      <c r="FL6" s="429"/>
      <c r="FM6" s="429"/>
      <c r="FN6" s="429"/>
      <c r="FO6" s="429"/>
      <c r="FP6" s="429"/>
      <c r="FQ6" s="429"/>
      <c r="FR6" s="429"/>
      <c r="FS6" s="429"/>
      <c r="FT6" s="429"/>
      <c r="FU6" s="429"/>
      <c r="FV6" s="429"/>
      <c r="FY6" s="413"/>
      <c r="FZ6" s="397"/>
      <c r="GA6" s="397"/>
      <c r="GB6" s="397"/>
      <c r="GC6" s="397"/>
      <c r="GD6" s="397"/>
      <c r="GE6" s="397"/>
      <c r="GF6" s="27"/>
      <c r="GG6" s="397"/>
      <c r="GH6" s="397"/>
      <c r="GI6" s="27"/>
      <c r="GJ6" s="397"/>
      <c r="GK6" s="397"/>
      <c r="GO6" s="423" t="s">
        <v>434</v>
      </c>
      <c r="GP6" s="423" t="s">
        <v>440</v>
      </c>
      <c r="GQ6" s="423" t="s">
        <v>7</v>
      </c>
      <c r="GR6" s="423" t="s">
        <v>265</v>
      </c>
      <c r="GS6" s="423" t="s">
        <v>447</v>
      </c>
      <c r="GT6" s="423" t="s">
        <v>448</v>
      </c>
      <c r="GU6" s="91"/>
      <c r="GV6" s="527"/>
      <c r="GW6" s="528"/>
      <c r="GX6" s="92" t="s">
        <v>7</v>
      </c>
      <c r="GY6" s="93">
        <f>Jaticempaka!GY6</f>
        <v>10</v>
      </c>
      <c r="GZ6" s="424"/>
      <c r="HA6" s="83"/>
      <c r="HB6" s="83"/>
      <c r="HC6" s="399"/>
      <c r="HD6" s="399"/>
      <c r="HE6" s="399"/>
      <c r="HF6" s="399"/>
      <c r="HG6" s="399"/>
      <c r="HH6" s="399"/>
      <c r="HI6" s="399"/>
      <c r="HJ6" s="90"/>
      <c r="HK6" s="399"/>
      <c r="HL6" s="83"/>
      <c r="HM6" s="83"/>
      <c r="HN6" s="83"/>
      <c r="HO6" s="83"/>
      <c r="HP6" s="418" t="s">
        <v>449</v>
      </c>
      <c r="HQ6" s="419"/>
      <c r="HR6" s="420"/>
      <c r="HS6" s="406" t="s">
        <v>450</v>
      </c>
      <c r="HT6" s="407"/>
      <c r="HU6" s="408"/>
      <c r="HV6" s="415" t="s">
        <v>451</v>
      </c>
      <c r="HW6" s="416"/>
      <c r="HX6" s="416"/>
      <c r="HY6" s="416"/>
      <c r="HZ6" s="416"/>
      <c r="IA6" s="417"/>
      <c r="IB6" s="403" t="s">
        <v>452</v>
      </c>
      <c r="IC6" s="404"/>
      <c r="ID6" s="404"/>
      <c r="IE6" s="404"/>
      <c r="IF6" s="404"/>
      <c r="IG6" s="405"/>
      <c r="IH6" s="403" t="s">
        <v>453</v>
      </c>
      <c r="II6" s="404"/>
      <c r="IJ6" s="404"/>
      <c r="IK6" s="404"/>
      <c r="IL6" s="404"/>
      <c r="IM6" s="405"/>
      <c r="IN6" s="83"/>
      <c r="IO6" s="406" t="s">
        <v>454</v>
      </c>
      <c r="IP6" s="407"/>
      <c r="IQ6" s="408"/>
      <c r="IR6" s="83"/>
      <c r="IS6" s="406" t="s">
        <v>455</v>
      </c>
      <c r="IT6" s="407"/>
      <c r="IU6" s="408"/>
      <c r="IV6" s="83"/>
      <c r="IW6" s="406" t="s">
        <v>456</v>
      </c>
      <c r="IX6" s="407"/>
      <c r="IY6" s="408"/>
      <c r="IZ6" s="83"/>
      <c r="JA6" s="406" t="s">
        <v>457</v>
      </c>
      <c r="JB6" s="407"/>
      <c r="JC6" s="408"/>
      <c r="JD6" s="83"/>
      <c r="JE6" s="406" t="s">
        <v>18</v>
      </c>
      <c r="JF6" s="407"/>
      <c r="JG6" s="408"/>
      <c r="JH6" s="83"/>
      <c r="JI6" s="406" t="s">
        <v>458</v>
      </c>
      <c r="JJ6" s="407"/>
      <c r="JK6" s="408"/>
      <c r="JP6" s="400"/>
      <c r="JQ6" s="397"/>
      <c r="JR6" s="472" t="s">
        <v>316</v>
      </c>
      <c r="JS6" s="472"/>
      <c r="JT6" s="472"/>
      <c r="JU6" s="472"/>
      <c r="JV6" s="472"/>
      <c r="JW6" s="473" t="s">
        <v>325</v>
      </c>
      <c r="JX6" s="474"/>
      <c r="JY6" s="475" t="s">
        <v>331</v>
      </c>
      <c r="JZ6" s="472" t="s">
        <v>332</v>
      </c>
      <c r="KA6" s="472"/>
      <c r="KB6" s="472"/>
      <c r="KD6" s="400"/>
      <c r="KE6" s="400"/>
      <c r="KF6" s="400"/>
      <c r="KG6" s="397"/>
      <c r="KH6" s="472" t="s">
        <v>316</v>
      </c>
      <c r="KI6" s="472"/>
      <c r="KJ6" s="472"/>
      <c r="KK6" s="472"/>
      <c r="KL6" s="472"/>
      <c r="KM6" s="473" t="s">
        <v>325</v>
      </c>
      <c r="KN6" s="474"/>
      <c r="KO6" s="475" t="s">
        <v>331</v>
      </c>
      <c r="KP6" s="472" t="s">
        <v>332</v>
      </c>
      <c r="KQ6" s="472"/>
      <c r="KR6" s="472"/>
      <c r="KS6">
        <v>6</v>
      </c>
      <c r="KT6" t="s">
        <v>584</v>
      </c>
      <c r="KU6" s="535"/>
      <c r="KV6" s="535"/>
      <c r="KW6" s="536"/>
      <c r="KX6" s="538"/>
      <c r="KY6" s="538"/>
      <c r="KZ6" s="540"/>
      <c r="LA6" s="540"/>
      <c r="LB6" s="540"/>
      <c r="LC6" s="540"/>
      <c r="LD6" s="542"/>
      <c r="LE6" s="542"/>
      <c r="LF6" s="545" t="s">
        <v>525</v>
      </c>
      <c r="LG6" s="545" t="s">
        <v>526</v>
      </c>
      <c r="LH6" s="546" t="s">
        <v>527</v>
      </c>
      <c r="LI6" s="545" t="s">
        <v>528</v>
      </c>
      <c r="LJ6" s="545" t="s">
        <v>529</v>
      </c>
      <c r="LK6" s="545" t="s">
        <v>530</v>
      </c>
      <c r="LL6" s="545" t="s">
        <v>531</v>
      </c>
      <c r="LM6" s="396" t="s">
        <v>532</v>
      </c>
      <c r="LN6" s="396" t="s">
        <v>533</v>
      </c>
      <c r="LO6" s="553" t="s">
        <v>534</v>
      </c>
      <c r="LP6" s="554" t="s">
        <v>535</v>
      </c>
      <c r="LQ6" s="396" t="s">
        <v>529</v>
      </c>
      <c r="LR6" s="396" t="s">
        <v>536</v>
      </c>
      <c r="LS6" s="396" t="s">
        <v>531</v>
      </c>
      <c r="LT6" s="356" t="s">
        <v>537</v>
      </c>
      <c r="LU6" s="356" t="s">
        <v>538</v>
      </c>
      <c r="LV6" s="356" t="s">
        <v>539</v>
      </c>
      <c r="LW6" s="356" t="s">
        <v>540</v>
      </c>
      <c r="LX6" s="356" t="s">
        <v>541</v>
      </c>
      <c r="LY6" s="356" t="s">
        <v>542</v>
      </c>
      <c r="LZ6" s="356" t="s">
        <v>531</v>
      </c>
      <c r="MA6" s="345" t="s">
        <v>543</v>
      </c>
      <c r="MB6" s="345" t="s">
        <v>544</v>
      </c>
      <c r="MC6" s="345" t="s">
        <v>545</v>
      </c>
      <c r="MD6" s="345" t="s">
        <v>546</v>
      </c>
      <c r="ME6" s="345" t="s">
        <v>547</v>
      </c>
      <c r="MF6" s="345" t="s">
        <v>548</v>
      </c>
      <c r="MG6" s="345" t="s">
        <v>549</v>
      </c>
      <c r="MH6" s="345" t="s">
        <v>550</v>
      </c>
      <c r="MI6" s="345" t="s">
        <v>529</v>
      </c>
      <c r="MJ6" s="345" t="s">
        <v>531</v>
      </c>
      <c r="MK6" s="342" t="s">
        <v>551</v>
      </c>
      <c r="ML6" s="342" t="s">
        <v>552</v>
      </c>
      <c r="MM6" s="342" t="s">
        <v>553</v>
      </c>
      <c r="MN6" s="342" t="s">
        <v>529</v>
      </c>
      <c r="MO6" s="342" t="s">
        <v>531</v>
      </c>
      <c r="MP6" s="362" t="s">
        <v>554</v>
      </c>
      <c r="MQ6" s="362" t="s">
        <v>555</v>
      </c>
      <c r="MR6" s="362" t="s">
        <v>556</v>
      </c>
      <c r="MS6" s="362" t="s">
        <v>557</v>
      </c>
      <c r="MT6" s="362" t="s">
        <v>558</v>
      </c>
      <c r="MU6" s="362" t="s">
        <v>529</v>
      </c>
      <c r="MV6" s="362" t="s">
        <v>559</v>
      </c>
      <c r="MW6" s="362" t="s">
        <v>531</v>
      </c>
      <c r="MX6" s="359" t="s">
        <v>576</v>
      </c>
      <c r="MY6" s="359" t="s">
        <v>577</v>
      </c>
      <c r="MZ6" s="359" t="s">
        <v>578</v>
      </c>
      <c r="NA6" s="359" t="s">
        <v>579</v>
      </c>
      <c r="NB6" s="359" t="s">
        <v>522</v>
      </c>
      <c r="NC6" s="381"/>
      <c r="ND6" s="382"/>
      <c r="NE6" s="383"/>
      <c r="NF6" s="387"/>
      <c r="NG6" s="388"/>
      <c r="NH6" s="388"/>
      <c r="NI6" s="389"/>
      <c r="NJ6" s="351"/>
      <c r="NK6" s="371"/>
      <c r="NZ6" s="341"/>
      <c r="OE6" s="340"/>
      <c r="OF6" s="340"/>
      <c r="OG6" s="340"/>
      <c r="OH6" s="340"/>
      <c r="OI6" s="340"/>
      <c r="OJ6" s="340"/>
      <c r="OK6" s="340"/>
      <c r="OL6" s="340"/>
      <c r="OM6" s="340"/>
      <c r="OO6" s="340"/>
      <c r="OP6" s="340"/>
      <c r="OQ6" s="340"/>
      <c r="OR6" s="340"/>
      <c r="OS6" s="340"/>
      <c r="OT6" s="340"/>
      <c r="OU6" s="340"/>
      <c r="OV6" s="340"/>
      <c r="OW6" s="340"/>
      <c r="PA6" s="415" t="s">
        <v>11</v>
      </c>
      <c r="PB6" s="416"/>
      <c r="PC6" s="416"/>
      <c r="PD6" s="416"/>
      <c r="PE6" s="416"/>
      <c r="PF6" s="417"/>
      <c r="PG6" s="355" t="s">
        <v>13</v>
      </c>
      <c r="PH6" s="355"/>
      <c r="PI6" s="355"/>
      <c r="PJ6" s="355"/>
      <c r="PK6" s="355"/>
      <c r="PL6" s="355"/>
      <c r="PO6" s="561"/>
      <c r="PP6" s="563"/>
      <c r="PQ6" s="563"/>
    </row>
    <row r="7" spans="1:433" ht="15.5" customHeight="1" x14ac:dyDescent="0.2">
      <c r="A7" s="480"/>
      <c r="B7" s="480"/>
      <c r="C7" s="480"/>
      <c r="D7" s="496" t="s">
        <v>10</v>
      </c>
      <c r="E7" s="498"/>
      <c r="F7" s="495"/>
      <c r="G7" s="495"/>
      <c r="H7" s="495"/>
      <c r="I7" s="495"/>
      <c r="J7" s="490" t="s">
        <v>284</v>
      </c>
      <c r="K7" s="491" t="s">
        <v>284</v>
      </c>
      <c r="L7" s="491" t="s">
        <v>284</v>
      </c>
      <c r="M7" s="492" t="s">
        <v>284</v>
      </c>
      <c r="N7" s="490" t="s">
        <v>285</v>
      </c>
      <c r="O7" s="491" t="s">
        <v>285</v>
      </c>
      <c r="P7" s="491" t="s">
        <v>285</v>
      </c>
      <c r="Q7" s="492" t="s">
        <v>285</v>
      </c>
      <c r="R7" s="495"/>
      <c r="S7" s="495"/>
      <c r="T7" s="495"/>
      <c r="U7" s="495"/>
      <c r="V7" s="495"/>
      <c r="W7" s="495"/>
      <c r="X7" s="495"/>
      <c r="Y7" s="495"/>
      <c r="Z7" s="495"/>
      <c r="AA7" s="504"/>
      <c r="AB7" s="504"/>
      <c r="AC7" s="504"/>
      <c r="AD7" s="504"/>
      <c r="AE7" s="504"/>
      <c r="AF7" s="455"/>
      <c r="AG7" s="458"/>
      <c r="AH7" s="487"/>
      <c r="AI7" s="490"/>
      <c r="AJ7" s="491"/>
      <c r="AK7" s="492"/>
      <c r="AL7" s="578"/>
      <c r="AM7" s="581"/>
      <c r="AN7" s="567"/>
      <c r="BB7" s="571"/>
      <c r="BE7" s="455"/>
      <c r="BF7" s="458"/>
      <c r="BG7" s="458"/>
      <c r="BH7" s="458"/>
      <c r="BI7" s="458"/>
      <c r="BJ7" s="458"/>
      <c r="BK7" s="458"/>
      <c r="BN7" s="400"/>
      <c r="BO7" s="397"/>
      <c r="BP7" s="397" t="s">
        <v>317</v>
      </c>
      <c r="BQ7" s="472" t="s">
        <v>318</v>
      </c>
      <c r="BR7" s="472"/>
      <c r="BS7" s="472" t="s">
        <v>322</v>
      </c>
      <c r="BT7" s="472"/>
      <c r="BU7" s="397" t="s">
        <v>327</v>
      </c>
      <c r="BV7" s="401" t="s">
        <v>326</v>
      </c>
      <c r="BW7" s="475"/>
      <c r="BX7" s="401" t="s">
        <v>333</v>
      </c>
      <c r="BY7" s="401" t="s">
        <v>334</v>
      </c>
      <c r="BZ7" s="397" t="s">
        <v>335</v>
      </c>
      <c r="CB7" s="470"/>
      <c r="CD7" s="400"/>
      <c r="CE7" s="397"/>
      <c r="CF7" s="397" t="s">
        <v>317</v>
      </c>
      <c r="CG7" s="472" t="s">
        <v>318</v>
      </c>
      <c r="CH7" s="472"/>
      <c r="CI7" s="472" t="s">
        <v>322</v>
      </c>
      <c r="CJ7" s="472"/>
      <c r="CK7" s="397" t="s">
        <v>327</v>
      </c>
      <c r="CL7" s="401" t="s">
        <v>326</v>
      </c>
      <c r="CM7" s="475"/>
      <c r="CN7" s="401" t="s">
        <v>333</v>
      </c>
      <c r="CO7" s="401" t="s">
        <v>334</v>
      </c>
      <c r="CP7" s="397" t="s">
        <v>335</v>
      </c>
      <c r="DV7" s="531"/>
      <c r="DW7" s="477"/>
      <c r="DX7" s="477"/>
      <c r="DY7" s="477"/>
      <c r="DZ7" s="477"/>
      <c r="EA7" s="477"/>
      <c r="EB7" s="477"/>
      <c r="ED7" s="50"/>
      <c r="EE7" s="51"/>
      <c r="EG7" s="533"/>
      <c r="EH7" s="533"/>
      <c r="EI7" s="429"/>
      <c r="EJ7" s="429"/>
      <c r="EK7" s="512"/>
      <c r="EL7" s="512"/>
      <c r="EM7" s="512"/>
      <c r="EN7" s="512"/>
      <c r="EO7" s="512"/>
      <c r="EP7" s="512"/>
      <c r="EQ7" s="429"/>
      <c r="ER7" s="429"/>
      <c r="ES7" s="429"/>
      <c r="ET7" s="429"/>
      <c r="EU7" s="429"/>
      <c r="EV7" s="429"/>
      <c r="EW7" s="512"/>
      <c r="EX7" s="512"/>
      <c r="EY7" s="512"/>
      <c r="EZ7" s="429"/>
      <c r="FA7" s="429"/>
      <c r="FB7" s="429"/>
      <c r="FC7" s="429"/>
      <c r="FD7" s="429"/>
      <c r="FE7" s="429"/>
      <c r="FF7" s="429"/>
      <c r="FH7" s="429"/>
      <c r="FI7" s="429"/>
      <c r="FJ7" s="429"/>
      <c r="FK7" s="429"/>
      <c r="FL7" s="429"/>
      <c r="FM7" s="429"/>
      <c r="FN7" s="429"/>
      <c r="FO7" s="429"/>
      <c r="FP7" s="429"/>
      <c r="FQ7" s="429"/>
      <c r="FR7" s="429"/>
      <c r="FS7" s="429"/>
      <c r="FT7" s="429"/>
      <c r="FU7" s="429"/>
      <c r="FV7" s="429"/>
      <c r="FY7" s="413"/>
      <c r="FZ7" s="397"/>
      <c r="GA7" s="397"/>
      <c r="GB7" s="397"/>
      <c r="GC7" s="397"/>
      <c r="GD7" s="397"/>
      <c r="GE7" s="397"/>
      <c r="GF7" s="27"/>
      <c r="GG7" s="397"/>
      <c r="GH7" s="397"/>
      <c r="GI7" s="27"/>
      <c r="GJ7" s="397"/>
      <c r="GK7" s="397"/>
      <c r="GO7" s="424"/>
      <c r="GP7" s="424"/>
      <c r="GQ7" s="424"/>
      <c r="GR7" s="424"/>
      <c r="GS7" s="424"/>
      <c r="GT7" s="424"/>
      <c r="GU7" s="91"/>
      <c r="GV7" s="423" t="s">
        <v>459</v>
      </c>
      <c r="GW7" s="423" t="s">
        <v>460</v>
      </c>
      <c r="GX7" s="92" t="s">
        <v>265</v>
      </c>
      <c r="GY7" s="93">
        <f>Jaticempaka!GY7</f>
        <v>10</v>
      </c>
      <c r="GZ7" s="424"/>
      <c r="HA7" s="83"/>
      <c r="HB7" s="83"/>
      <c r="HC7" s="399"/>
      <c r="HD7" s="399"/>
      <c r="HE7" s="399"/>
      <c r="HF7" s="399"/>
      <c r="HG7" s="399"/>
      <c r="HH7" s="399"/>
      <c r="HI7" s="399"/>
      <c r="HJ7" s="90"/>
      <c r="HK7" s="399"/>
      <c r="HL7" s="83"/>
      <c r="HM7" s="83"/>
      <c r="HN7" s="83"/>
      <c r="HO7" s="83"/>
      <c r="HP7" s="421"/>
      <c r="HQ7" s="388"/>
      <c r="HR7" s="422"/>
      <c r="HS7" s="409"/>
      <c r="HT7" s="410"/>
      <c r="HU7" s="411"/>
      <c r="HV7" s="415" t="s">
        <v>461</v>
      </c>
      <c r="HW7" s="416"/>
      <c r="HX7" s="417"/>
      <c r="HY7" s="415" t="s">
        <v>462</v>
      </c>
      <c r="HZ7" s="416"/>
      <c r="IA7" s="417"/>
      <c r="IB7" s="415" t="s">
        <v>461</v>
      </c>
      <c r="IC7" s="416"/>
      <c r="ID7" s="417"/>
      <c r="IE7" s="415" t="s">
        <v>462</v>
      </c>
      <c r="IF7" s="416"/>
      <c r="IG7" s="417"/>
      <c r="IH7" s="415" t="s">
        <v>461</v>
      </c>
      <c r="II7" s="416"/>
      <c r="IJ7" s="417"/>
      <c r="IK7" s="415" t="s">
        <v>462</v>
      </c>
      <c r="IL7" s="416"/>
      <c r="IM7" s="417"/>
      <c r="IN7" s="83"/>
      <c r="IO7" s="409"/>
      <c r="IP7" s="410"/>
      <c r="IQ7" s="411"/>
      <c r="IR7" s="83"/>
      <c r="IS7" s="409"/>
      <c r="IT7" s="410"/>
      <c r="IU7" s="411"/>
      <c r="IV7" s="83"/>
      <c r="IW7" s="409"/>
      <c r="IX7" s="410"/>
      <c r="IY7" s="411"/>
      <c r="IZ7" s="83"/>
      <c r="JA7" s="409"/>
      <c r="JB7" s="410"/>
      <c r="JC7" s="411"/>
      <c r="JD7" s="83"/>
      <c r="JE7" s="409"/>
      <c r="JF7" s="410"/>
      <c r="JG7" s="411"/>
      <c r="JH7" s="83"/>
      <c r="JI7" s="409"/>
      <c r="JJ7" s="410"/>
      <c r="JK7" s="411"/>
      <c r="JP7" s="400"/>
      <c r="JQ7" s="397"/>
      <c r="JR7" s="397" t="s">
        <v>317</v>
      </c>
      <c r="JS7" s="472" t="s">
        <v>318</v>
      </c>
      <c r="JT7" s="472"/>
      <c r="JU7" s="472" t="s">
        <v>322</v>
      </c>
      <c r="JV7" s="472"/>
      <c r="JW7" s="397" t="s">
        <v>327</v>
      </c>
      <c r="JX7" s="401" t="s">
        <v>478</v>
      </c>
      <c r="JY7" s="475"/>
      <c r="JZ7" s="401" t="s">
        <v>333</v>
      </c>
      <c r="KA7" s="401" t="s">
        <v>334</v>
      </c>
      <c r="KB7" s="397" t="s">
        <v>335</v>
      </c>
      <c r="KD7" s="400"/>
      <c r="KE7" s="400"/>
      <c r="KF7" s="400"/>
      <c r="KG7" s="397"/>
      <c r="KH7" s="397" t="s">
        <v>317</v>
      </c>
      <c r="KI7" s="472" t="s">
        <v>318</v>
      </c>
      <c r="KJ7" s="472"/>
      <c r="KK7" s="472" t="s">
        <v>322</v>
      </c>
      <c r="KL7" s="472"/>
      <c r="KM7" s="397" t="s">
        <v>327</v>
      </c>
      <c r="KN7" s="401" t="s">
        <v>478</v>
      </c>
      <c r="KO7" s="475"/>
      <c r="KP7" s="401" t="s">
        <v>333</v>
      </c>
      <c r="KQ7" s="401" t="s">
        <v>334</v>
      </c>
      <c r="KR7" s="397" t="s">
        <v>335</v>
      </c>
      <c r="KS7">
        <v>7</v>
      </c>
      <c r="KT7" t="s">
        <v>585</v>
      </c>
      <c r="KU7" s="535"/>
      <c r="KV7" s="535"/>
      <c r="KW7" s="536"/>
      <c r="KX7" s="538"/>
      <c r="KY7" s="538"/>
      <c r="KZ7" s="540"/>
      <c r="LA7" s="540"/>
      <c r="LB7" s="540"/>
      <c r="LC7" s="540"/>
      <c r="LD7" s="543"/>
      <c r="LE7" s="543"/>
      <c r="LF7" s="545"/>
      <c r="LG7" s="545"/>
      <c r="LH7" s="546"/>
      <c r="LI7" s="545"/>
      <c r="LJ7" s="545"/>
      <c r="LK7" s="545"/>
      <c r="LL7" s="545"/>
      <c r="LM7" s="396"/>
      <c r="LN7" s="396"/>
      <c r="LO7" s="553"/>
      <c r="LP7" s="554"/>
      <c r="LQ7" s="396"/>
      <c r="LR7" s="396"/>
      <c r="LS7" s="396"/>
      <c r="LT7" s="357"/>
      <c r="LU7" s="357"/>
      <c r="LV7" s="357"/>
      <c r="LW7" s="357"/>
      <c r="LX7" s="357"/>
      <c r="LY7" s="357"/>
      <c r="LZ7" s="357"/>
      <c r="MA7" s="346"/>
      <c r="MB7" s="346"/>
      <c r="MC7" s="346"/>
      <c r="MD7" s="346"/>
      <c r="ME7" s="346"/>
      <c r="MF7" s="346"/>
      <c r="MG7" s="346"/>
      <c r="MH7" s="346"/>
      <c r="MI7" s="346"/>
      <c r="MJ7" s="346"/>
      <c r="MK7" s="343"/>
      <c r="ML7" s="343"/>
      <c r="MM7" s="343"/>
      <c r="MN7" s="343"/>
      <c r="MO7" s="343"/>
      <c r="MP7" s="363"/>
      <c r="MQ7" s="363"/>
      <c r="MR7" s="363"/>
      <c r="MS7" s="363"/>
      <c r="MT7" s="363"/>
      <c r="MU7" s="363"/>
      <c r="MV7" s="363"/>
      <c r="MW7" s="363"/>
      <c r="MX7" s="360"/>
      <c r="MY7" s="360"/>
      <c r="MZ7" s="360"/>
      <c r="NA7" s="360"/>
      <c r="NB7" s="360"/>
      <c r="NC7" s="348" t="s">
        <v>542</v>
      </c>
      <c r="ND7" s="555" t="s">
        <v>560</v>
      </c>
      <c r="NE7" s="390" t="s">
        <v>531</v>
      </c>
      <c r="NF7" s="392" t="s">
        <v>561</v>
      </c>
      <c r="NG7" s="394" t="s">
        <v>562</v>
      </c>
      <c r="NH7" s="394" t="s">
        <v>563</v>
      </c>
      <c r="NI7" s="353" t="s">
        <v>564</v>
      </c>
      <c r="NJ7" s="351"/>
      <c r="NK7" s="371"/>
      <c r="NM7" s="355" t="s">
        <v>586</v>
      </c>
      <c r="NN7" s="355"/>
      <c r="NO7" s="355"/>
      <c r="NP7" s="355"/>
      <c r="NQ7" s="355"/>
      <c r="NR7" s="355"/>
      <c r="NS7" s="355"/>
      <c r="NT7" s="355"/>
      <c r="NU7" t="s">
        <v>588</v>
      </c>
      <c r="NZ7" s="341"/>
      <c r="OE7" s="340"/>
      <c r="OF7" s="340"/>
      <c r="OG7" s="340"/>
      <c r="OH7" s="340"/>
      <c r="OI7" s="340"/>
      <c r="OJ7" s="340"/>
      <c r="OK7" s="340"/>
      <c r="OL7" s="340"/>
      <c r="OM7" s="340"/>
      <c r="OO7" s="340"/>
      <c r="OP7" s="340"/>
      <c r="OQ7" s="340"/>
      <c r="OR7" s="340"/>
      <c r="OS7" s="340"/>
      <c r="OT7" s="340"/>
      <c r="OU7" s="340"/>
      <c r="OV7" s="340"/>
      <c r="OW7" s="340"/>
      <c r="PA7" s="368" t="s">
        <v>618</v>
      </c>
      <c r="PB7" s="368" t="s">
        <v>619</v>
      </c>
      <c r="PC7" s="368" t="s">
        <v>620</v>
      </c>
      <c r="PD7" s="368" t="s">
        <v>698</v>
      </c>
      <c r="PE7" s="368" t="s">
        <v>699</v>
      </c>
      <c r="PF7" s="368" t="s">
        <v>700</v>
      </c>
      <c r="PG7" s="368" t="s">
        <v>618</v>
      </c>
      <c r="PH7" s="368" t="s">
        <v>619</v>
      </c>
      <c r="PI7" s="368" t="s">
        <v>620</v>
      </c>
      <c r="PJ7" s="368" t="s">
        <v>698</v>
      </c>
      <c r="PK7" s="368" t="s">
        <v>699</v>
      </c>
      <c r="PL7" s="368" t="s">
        <v>700</v>
      </c>
      <c r="PO7" s="562"/>
      <c r="PP7" s="563"/>
      <c r="PQ7" s="563"/>
    </row>
    <row r="8" spans="1:433" ht="49" thickBot="1" x14ac:dyDescent="0.25">
      <c r="A8" s="481"/>
      <c r="B8" s="481"/>
      <c r="C8" s="481"/>
      <c r="D8" s="11" t="s">
        <v>11</v>
      </c>
      <c r="E8" s="11" t="s">
        <v>12</v>
      </c>
      <c r="F8" s="11" t="s">
        <v>11</v>
      </c>
      <c r="G8" s="12" t="s">
        <v>13</v>
      </c>
      <c r="H8" s="12" t="s">
        <v>14</v>
      </c>
      <c r="I8" s="13" t="s">
        <v>15</v>
      </c>
      <c r="J8" s="11" t="s">
        <v>11</v>
      </c>
      <c r="K8" s="12" t="s">
        <v>13</v>
      </c>
      <c r="L8" s="12" t="s">
        <v>14</v>
      </c>
      <c r="M8" s="12" t="s">
        <v>16</v>
      </c>
      <c r="N8" s="11" t="s">
        <v>11</v>
      </c>
      <c r="O8" s="12" t="s">
        <v>13</v>
      </c>
      <c r="P8" s="12" t="s">
        <v>14</v>
      </c>
      <c r="Q8" s="12" t="s">
        <v>16</v>
      </c>
      <c r="R8" s="11" t="s">
        <v>11</v>
      </c>
      <c r="S8" s="12" t="s">
        <v>13</v>
      </c>
      <c r="T8" s="12" t="s">
        <v>14</v>
      </c>
      <c r="U8" s="12" t="s">
        <v>16</v>
      </c>
      <c r="V8" s="11" t="s">
        <v>11</v>
      </c>
      <c r="W8" s="12" t="s">
        <v>13</v>
      </c>
      <c r="X8" s="12" t="s">
        <v>14</v>
      </c>
      <c r="Y8" s="12" t="s">
        <v>16</v>
      </c>
      <c r="Z8" s="12" t="s">
        <v>17</v>
      </c>
      <c r="AA8" s="63" t="s">
        <v>11</v>
      </c>
      <c r="AB8" s="64" t="s">
        <v>13</v>
      </c>
      <c r="AC8" s="64" t="s">
        <v>14</v>
      </c>
      <c r="AD8" s="64" t="s">
        <v>16</v>
      </c>
      <c r="AE8" s="64" t="s">
        <v>17</v>
      </c>
      <c r="AF8" s="456"/>
      <c r="AG8" s="459"/>
      <c r="AH8" s="488"/>
      <c r="AI8" s="11" t="s">
        <v>11</v>
      </c>
      <c r="AJ8" s="12" t="s">
        <v>13</v>
      </c>
      <c r="AK8" s="12" t="s">
        <v>263</v>
      </c>
      <c r="AL8" s="579"/>
      <c r="AM8" s="582"/>
      <c r="AN8" s="568"/>
      <c r="BB8" s="572"/>
      <c r="BE8" s="456"/>
      <c r="BF8" s="459"/>
      <c r="BG8" s="459"/>
      <c r="BH8" s="459"/>
      <c r="BI8" s="459"/>
      <c r="BJ8" s="459"/>
      <c r="BK8" s="459"/>
      <c r="BN8" s="400"/>
      <c r="BO8" s="397"/>
      <c r="BP8" s="397"/>
      <c r="BQ8" s="44" t="s">
        <v>328</v>
      </c>
      <c r="BR8" s="45" t="s">
        <v>329</v>
      </c>
      <c r="BS8" s="44" t="s">
        <v>323</v>
      </c>
      <c r="BT8" s="45" t="s">
        <v>324</v>
      </c>
      <c r="BU8" s="397"/>
      <c r="BV8" s="401"/>
      <c r="BW8" s="475"/>
      <c r="BX8" s="401"/>
      <c r="BY8" s="401"/>
      <c r="BZ8" s="397"/>
      <c r="CB8" s="471"/>
      <c r="CD8" s="400"/>
      <c r="CE8" s="397"/>
      <c r="CF8" s="397"/>
      <c r="CG8" s="44" t="s">
        <v>328</v>
      </c>
      <c r="CH8" s="45" t="s">
        <v>329</v>
      </c>
      <c r="CI8" s="44" t="s">
        <v>323</v>
      </c>
      <c r="CJ8" s="45" t="s">
        <v>324</v>
      </c>
      <c r="CK8" s="397"/>
      <c r="CL8" s="401"/>
      <c r="CM8" s="475"/>
      <c r="CN8" s="401"/>
      <c r="CO8" s="401"/>
      <c r="CP8" s="397"/>
      <c r="DV8" s="532"/>
      <c r="DW8" s="478"/>
      <c r="DX8" s="478"/>
      <c r="DY8" s="478"/>
      <c r="DZ8" s="478"/>
      <c r="EA8" s="478"/>
      <c r="EB8" s="478"/>
      <c r="ED8" s="53"/>
      <c r="EE8" s="54"/>
      <c r="EG8" s="533"/>
      <c r="EH8" s="533"/>
      <c r="EI8" s="47" t="s">
        <v>363</v>
      </c>
      <c r="EJ8" s="47" t="s">
        <v>506</v>
      </c>
      <c r="EK8" s="47"/>
      <c r="EL8" s="47"/>
      <c r="EM8" s="47"/>
      <c r="EN8" s="47"/>
      <c r="EO8" s="47"/>
      <c r="EP8" s="47"/>
      <c r="EQ8" s="47" t="s">
        <v>362</v>
      </c>
      <c r="ER8" s="47" t="s">
        <v>507</v>
      </c>
      <c r="ES8" s="47" t="s">
        <v>364</v>
      </c>
      <c r="ET8" s="47" t="s">
        <v>363</v>
      </c>
      <c r="EU8" s="47" t="s">
        <v>364</v>
      </c>
      <c r="EV8" s="47" t="s">
        <v>364</v>
      </c>
      <c r="EW8" s="47" t="s">
        <v>364</v>
      </c>
      <c r="EX8" s="47" t="s">
        <v>364</v>
      </c>
      <c r="EY8" s="47" t="s">
        <v>364</v>
      </c>
      <c r="EZ8" s="47" t="s">
        <v>365</v>
      </c>
      <c r="FA8" s="47" t="s">
        <v>364</v>
      </c>
      <c r="FB8" s="47" t="s">
        <v>362</v>
      </c>
      <c r="FC8" s="47" t="s">
        <v>364</v>
      </c>
      <c r="FD8" s="47" t="s">
        <v>363</v>
      </c>
      <c r="FE8" s="47" t="s">
        <v>364</v>
      </c>
      <c r="FF8" s="47" t="s">
        <v>364</v>
      </c>
      <c r="FH8" s="47"/>
      <c r="FI8" s="47"/>
      <c r="FJ8" s="47"/>
      <c r="FK8" s="47"/>
      <c r="FL8" s="47"/>
      <c r="FM8" s="47"/>
      <c r="FN8" s="47"/>
      <c r="FO8" s="47"/>
      <c r="FP8" s="47"/>
      <c r="FQ8" s="47"/>
      <c r="FR8" s="47"/>
      <c r="FS8" s="47"/>
      <c r="FT8" s="47"/>
      <c r="FU8" s="47"/>
      <c r="FV8" s="47"/>
      <c r="FY8" s="414"/>
      <c r="FZ8" s="397"/>
      <c r="GA8" s="397"/>
      <c r="GB8" s="397"/>
      <c r="GC8" s="397"/>
      <c r="GD8" s="397"/>
      <c r="GE8" s="397"/>
      <c r="GF8" s="27"/>
      <c r="GG8" s="397"/>
      <c r="GH8" s="397"/>
      <c r="GI8" s="27"/>
      <c r="GJ8" s="397"/>
      <c r="GK8" s="397"/>
      <c r="GO8" s="425"/>
      <c r="GP8" s="425"/>
      <c r="GQ8" s="425"/>
      <c r="GR8" s="425"/>
      <c r="GS8" s="425"/>
      <c r="GT8" s="425"/>
      <c r="GU8" s="95"/>
      <c r="GV8" s="425"/>
      <c r="GW8" s="425"/>
      <c r="GX8" s="96" t="s">
        <v>447</v>
      </c>
      <c r="GY8" s="97">
        <f>Jaticempaka!GY8</f>
        <v>14</v>
      </c>
      <c r="GZ8" s="425"/>
      <c r="HA8" s="83"/>
      <c r="HB8" s="83"/>
      <c r="HC8" s="402"/>
      <c r="HD8" s="402"/>
      <c r="HE8" s="402"/>
      <c r="HF8" s="402"/>
      <c r="HG8" s="402"/>
      <c r="HH8" s="98">
        <f>Jaticempaka!HH8</f>
        <v>45</v>
      </c>
      <c r="HI8" s="98">
        <f>Jaticempaka!HI8</f>
        <v>45</v>
      </c>
      <c r="HJ8" s="90"/>
      <c r="HK8" s="402"/>
      <c r="HL8" s="83"/>
      <c r="HM8" s="83"/>
      <c r="HN8" s="83"/>
      <c r="HO8" s="83"/>
      <c r="HP8" s="99" t="s">
        <v>463</v>
      </c>
      <c r="HQ8" s="99" t="s">
        <v>11</v>
      </c>
      <c r="HR8" s="100" t="s">
        <v>13</v>
      </c>
      <c r="HS8" s="99" t="s">
        <v>463</v>
      </c>
      <c r="HT8" s="99" t="s">
        <v>11</v>
      </c>
      <c r="HU8" s="100" t="s">
        <v>13</v>
      </c>
      <c r="HV8" s="99" t="s">
        <v>463</v>
      </c>
      <c r="HW8" s="99" t="s">
        <v>11</v>
      </c>
      <c r="HX8" s="100" t="s">
        <v>13</v>
      </c>
      <c r="HY8" s="99" t="s">
        <v>463</v>
      </c>
      <c r="HZ8" s="99" t="s">
        <v>11</v>
      </c>
      <c r="IA8" s="100" t="s">
        <v>13</v>
      </c>
      <c r="IB8" s="99" t="s">
        <v>463</v>
      </c>
      <c r="IC8" s="99" t="s">
        <v>11</v>
      </c>
      <c r="ID8" s="100" t="s">
        <v>13</v>
      </c>
      <c r="IE8" s="99" t="s">
        <v>463</v>
      </c>
      <c r="IF8" s="99" t="s">
        <v>11</v>
      </c>
      <c r="IG8" s="100" t="s">
        <v>13</v>
      </c>
      <c r="IH8" s="99" t="s">
        <v>463</v>
      </c>
      <c r="II8" s="99" t="s">
        <v>11</v>
      </c>
      <c r="IJ8" s="100" t="s">
        <v>13</v>
      </c>
      <c r="IK8" s="99" t="s">
        <v>463</v>
      </c>
      <c r="IL8" s="99" t="s">
        <v>11</v>
      </c>
      <c r="IM8" s="100" t="s">
        <v>13</v>
      </c>
      <c r="IN8" s="83"/>
      <c r="IO8" s="99" t="s">
        <v>463</v>
      </c>
      <c r="IP8" s="99" t="s">
        <v>11</v>
      </c>
      <c r="IQ8" s="100" t="s">
        <v>13</v>
      </c>
      <c r="IR8" s="83"/>
      <c r="IS8" s="99" t="s">
        <v>463</v>
      </c>
      <c r="IT8" s="99" t="s">
        <v>11</v>
      </c>
      <c r="IU8" s="100" t="s">
        <v>13</v>
      </c>
      <c r="IV8" s="83"/>
      <c r="IW8" s="99" t="s">
        <v>463</v>
      </c>
      <c r="IX8" s="99" t="s">
        <v>11</v>
      </c>
      <c r="IY8" s="100" t="s">
        <v>13</v>
      </c>
      <c r="IZ8" s="83"/>
      <c r="JA8" s="99" t="s">
        <v>463</v>
      </c>
      <c r="JB8" s="99" t="s">
        <v>11</v>
      </c>
      <c r="JC8" s="100" t="s">
        <v>13</v>
      </c>
      <c r="JD8" s="83"/>
      <c r="JE8" s="99" t="s">
        <v>463</v>
      </c>
      <c r="JF8" s="99" t="s">
        <v>11</v>
      </c>
      <c r="JG8" s="100" t="s">
        <v>13</v>
      </c>
      <c r="JH8" s="83"/>
      <c r="JI8" s="99" t="s">
        <v>463</v>
      </c>
      <c r="JJ8" s="99" t="s">
        <v>11</v>
      </c>
      <c r="JK8" s="100" t="s">
        <v>13</v>
      </c>
      <c r="JM8" t="s">
        <v>468</v>
      </c>
      <c r="JP8" s="400"/>
      <c r="JQ8" s="397"/>
      <c r="JR8" s="397"/>
      <c r="JS8" s="44" t="s">
        <v>328</v>
      </c>
      <c r="JT8" s="45" t="s">
        <v>479</v>
      </c>
      <c r="JU8" s="44" t="s">
        <v>323</v>
      </c>
      <c r="JV8" s="45" t="s">
        <v>324</v>
      </c>
      <c r="JW8" s="397"/>
      <c r="JX8" s="401"/>
      <c r="JY8" s="475"/>
      <c r="JZ8" s="401"/>
      <c r="KA8" s="401"/>
      <c r="KB8" s="397"/>
      <c r="KD8" s="400"/>
      <c r="KE8" s="400"/>
      <c r="KF8" s="400"/>
      <c r="KG8" s="397"/>
      <c r="KH8" s="397"/>
      <c r="KI8" s="44" t="s">
        <v>328</v>
      </c>
      <c r="KJ8" s="45" t="s">
        <v>479</v>
      </c>
      <c r="KK8" s="44" t="s">
        <v>323</v>
      </c>
      <c r="KL8" s="45" t="s">
        <v>324</v>
      </c>
      <c r="KM8" s="397"/>
      <c r="KN8" s="401"/>
      <c r="KO8" s="475"/>
      <c r="KP8" s="401"/>
      <c r="KQ8" s="401"/>
      <c r="KR8" s="397"/>
      <c r="KU8" s="130" t="s">
        <v>565</v>
      </c>
      <c r="KV8" s="130" t="s">
        <v>565</v>
      </c>
      <c r="KW8" s="536"/>
      <c r="KX8" s="539"/>
      <c r="KY8" s="539"/>
      <c r="KZ8" s="129" t="s">
        <v>12</v>
      </c>
      <c r="LA8" s="131" t="s">
        <v>566</v>
      </c>
      <c r="LB8" s="129" t="s">
        <v>12</v>
      </c>
      <c r="LC8" s="131" t="s">
        <v>566</v>
      </c>
      <c r="LD8" s="132" t="s">
        <v>567</v>
      </c>
      <c r="LE8" s="133" t="s">
        <v>568</v>
      </c>
      <c r="LF8" s="545"/>
      <c r="LG8" s="545"/>
      <c r="LH8" s="546"/>
      <c r="LI8" s="545"/>
      <c r="LJ8" s="545"/>
      <c r="LK8" s="545"/>
      <c r="LL8" s="545"/>
      <c r="LM8" s="396"/>
      <c r="LN8" s="396"/>
      <c r="LO8" s="553"/>
      <c r="LP8" s="554"/>
      <c r="LQ8" s="396"/>
      <c r="LR8" s="396"/>
      <c r="LS8" s="396"/>
      <c r="LT8" s="358"/>
      <c r="LU8" s="358"/>
      <c r="LV8" s="358"/>
      <c r="LW8" s="358"/>
      <c r="LX8" s="358"/>
      <c r="LY8" s="358"/>
      <c r="LZ8" s="358"/>
      <c r="MA8" s="347"/>
      <c r="MB8" s="347"/>
      <c r="MC8" s="347"/>
      <c r="MD8" s="347"/>
      <c r="ME8" s="347"/>
      <c r="MF8" s="347"/>
      <c r="MG8" s="347"/>
      <c r="MH8" s="347"/>
      <c r="MI8" s="347"/>
      <c r="MJ8" s="347"/>
      <c r="MK8" s="344"/>
      <c r="ML8" s="344"/>
      <c r="MM8" s="344"/>
      <c r="MN8" s="344"/>
      <c r="MO8" s="344"/>
      <c r="MP8" s="364"/>
      <c r="MQ8" s="364"/>
      <c r="MR8" s="364"/>
      <c r="MS8" s="364"/>
      <c r="MT8" s="364"/>
      <c r="MU8" s="364"/>
      <c r="MV8" s="364"/>
      <c r="MW8" s="364"/>
      <c r="MX8" s="361"/>
      <c r="MY8" s="361"/>
      <c r="MZ8" s="361"/>
      <c r="NA8" s="361"/>
      <c r="NB8" s="361"/>
      <c r="NC8" s="349"/>
      <c r="ND8" s="556"/>
      <c r="NE8" s="391"/>
      <c r="NF8" s="393"/>
      <c r="NG8" s="395"/>
      <c r="NH8" s="395"/>
      <c r="NI8" s="354"/>
      <c r="NJ8" s="352"/>
      <c r="NK8" s="371"/>
      <c r="NM8" s="80">
        <v>1</v>
      </c>
      <c r="NN8" s="80">
        <v>2</v>
      </c>
      <c r="NO8" s="80">
        <v>3</v>
      </c>
      <c r="NP8" s="80">
        <v>4</v>
      </c>
      <c r="NQ8" s="80">
        <v>5</v>
      </c>
      <c r="NR8" s="80">
        <v>6</v>
      </c>
      <c r="NS8" s="80">
        <v>7</v>
      </c>
      <c r="NT8" s="80" t="s">
        <v>587</v>
      </c>
      <c r="NU8" t="s">
        <v>589</v>
      </c>
      <c r="NZ8" s="341"/>
      <c r="OE8" s="340"/>
      <c r="OF8" s="340"/>
      <c r="OG8" s="340"/>
      <c r="OH8" s="340"/>
      <c r="OI8" s="340"/>
      <c r="OJ8" s="340"/>
      <c r="OK8" s="340"/>
      <c r="OL8" s="340"/>
      <c r="OM8" s="340"/>
      <c r="OO8" s="340"/>
      <c r="OP8" s="340"/>
      <c r="OQ8" s="340"/>
      <c r="OR8" s="340"/>
      <c r="OS8" s="340"/>
      <c r="OT8" s="340"/>
      <c r="OU8" s="340"/>
      <c r="OV8" s="340"/>
      <c r="OW8" s="340"/>
      <c r="PA8" s="369"/>
      <c r="PB8" s="369"/>
      <c r="PC8" s="369"/>
      <c r="PD8" s="369"/>
      <c r="PE8" s="369"/>
      <c r="PF8" s="369"/>
      <c r="PG8" s="369"/>
      <c r="PH8" s="369"/>
      <c r="PI8" s="369"/>
      <c r="PJ8" s="369"/>
      <c r="PK8" s="369"/>
      <c r="PL8" s="369"/>
      <c r="PO8" s="47" t="s">
        <v>364</v>
      </c>
      <c r="PP8" s="47" t="s">
        <v>364</v>
      </c>
      <c r="PQ8" s="47" t="s">
        <v>364</v>
      </c>
    </row>
    <row r="9" spans="1:433" ht="16" x14ac:dyDescent="0.2">
      <c r="A9" s="14">
        <v>1</v>
      </c>
      <c r="B9" s="306" t="s">
        <v>678</v>
      </c>
      <c r="C9" s="307">
        <v>3</v>
      </c>
      <c r="D9" s="168">
        <v>1</v>
      </c>
      <c r="E9" s="168">
        <v>1130</v>
      </c>
      <c r="F9" s="189">
        <v>1</v>
      </c>
      <c r="G9" s="189">
        <f t="shared" ref="G9:G40" si="2">E9</f>
        <v>1130</v>
      </c>
      <c r="H9" s="250">
        <f t="shared" ref="H9:H40" si="3">F9/$D9</f>
        <v>1</v>
      </c>
      <c r="I9" s="250">
        <f t="shared" ref="I9:I40" si="4">G9/$E9</f>
        <v>1</v>
      </c>
      <c r="J9" s="165">
        <v>1</v>
      </c>
      <c r="K9" s="189">
        <f t="shared" ref="K9:K40" si="5">IF(J9=D9,E9,0)</f>
        <v>1130</v>
      </c>
      <c r="L9" s="250">
        <f t="shared" ref="L9:L40" si="6">J9/$D9</f>
        <v>1</v>
      </c>
      <c r="M9" s="250">
        <f t="shared" ref="M9:M40" si="7">K9/$E9</f>
        <v>1</v>
      </c>
      <c r="N9" s="165">
        <v>1</v>
      </c>
      <c r="O9" s="189">
        <f t="shared" ref="O9:O40" si="8">IF(N9=D9,E9,0)</f>
        <v>1130</v>
      </c>
      <c r="P9" s="250">
        <f t="shared" ref="P9:P40" si="9">N9/$D9</f>
        <v>1</v>
      </c>
      <c r="Q9" s="250">
        <f t="shared" ref="Q9:Q40" si="10">O9/$E9</f>
        <v>1</v>
      </c>
      <c r="R9" s="189">
        <v>0</v>
      </c>
      <c r="S9" s="189">
        <f t="shared" ref="S9:S40" si="11">IF(R9=D9,E9,0)</f>
        <v>0</v>
      </c>
      <c r="T9" s="250">
        <f t="shared" ref="T9:T40" si="12">R9/$D9</f>
        <v>0</v>
      </c>
      <c r="U9" s="250">
        <f t="shared" ref="U9:U40" si="13">S9/$E9</f>
        <v>0</v>
      </c>
      <c r="V9" s="189">
        <v>0</v>
      </c>
      <c r="W9" s="189">
        <f t="shared" ref="W9:W40" si="14">IF(V9=D9,E9,0)</f>
        <v>0</v>
      </c>
      <c r="X9" s="250">
        <f t="shared" ref="X9:X40" si="15">V9/$D9</f>
        <v>0</v>
      </c>
      <c r="Y9" s="250">
        <f t="shared" ref="Y9:Y40" si="16">W9/$E9</f>
        <v>0</v>
      </c>
      <c r="Z9" s="276">
        <v>0</v>
      </c>
      <c r="AA9" s="188">
        <v>0</v>
      </c>
      <c r="AB9" s="189">
        <f>IF(AA9=D9,E9,0)</f>
        <v>0</v>
      </c>
      <c r="AC9" s="250">
        <f t="shared" ref="AC9" si="17">AA9/$D9</f>
        <v>0</v>
      </c>
      <c r="AD9" s="250">
        <f t="shared" ref="AD9" si="18">AB9/$E9</f>
        <v>0</v>
      </c>
      <c r="AE9" s="200"/>
      <c r="AF9" s="189">
        <v>0</v>
      </c>
      <c r="AG9" s="189"/>
      <c r="AH9" s="188"/>
      <c r="AI9" s="189">
        <v>0</v>
      </c>
      <c r="AJ9" s="189">
        <f>IF(AI9=D9,E9,0)</f>
        <v>0</v>
      </c>
      <c r="AK9" s="189"/>
      <c r="AL9" s="189">
        <v>0</v>
      </c>
      <c r="AM9" s="189">
        <v>0</v>
      </c>
      <c r="AN9" s="194">
        <v>1</v>
      </c>
      <c r="AO9" s="195"/>
      <c r="AP9" s="195"/>
      <c r="AQ9" s="195"/>
      <c r="AR9" s="195"/>
      <c r="AS9" s="195"/>
      <c r="AT9" s="195"/>
      <c r="BB9" s="17">
        <f>IF(AN9=1,G9,0)</f>
        <v>1130</v>
      </c>
      <c r="BE9" s="17">
        <f t="shared" ref="BE9:BE40" si="19">IF(AF9=1,S9,0)</f>
        <v>0</v>
      </c>
      <c r="BF9" s="17">
        <f t="shared" ref="BF9:BF40" si="20">IF(AG9="A",S9,0)</f>
        <v>0</v>
      </c>
      <c r="BG9" s="17">
        <f t="shared" ref="BG9:BG40" si="21">IF(AG9="B",S9,0)</f>
        <v>0</v>
      </c>
      <c r="BH9" s="17">
        <f t="shared" ref="BH9:BH40" si="22">IF(AG9="C",S9,0)</f>
        <v>0</v>
      </c>
      <c r="BI9" s="17">
        <f t="shared" ref="BI9:BI40" si="23">IF(AG9="D",S9,0)</f>
        <v>0</v>
      </c>
      <c r="BJ9" s="17">
        <f t="shared" ref="BJ9:BJ40" si="24">IF(AG9="E",S9,0)</f>
        <v>0</v>
      </c>
      <c r="BK9" s="17">
        <f t="shared" ref="BK9" si="25">SUM(BF9:BJ9)</f>
        <v>0</v>
      </c>
      <c r="BN9" s="145"/>
      <c r="BO9" s="284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B9" s="17"/>
      <c r="CD9" s="17">
        <f>BN9</f>
        <v>0</v>
      </c>
      <c r="CE9" s="17">
        <f>IF(BO9=1,$CD9,0)</f>
        <v>0</v>
      </c>
      <c r="CF9" s="17">
        <f t="shared" ref="CF9:CP10" si="26">IF(BP9=1,$CD9,0)</f>
        <v>0</v>
      </c>
      <c r="CG9" s="17">
        <f t="shared" si="26"/>
        <v>0</v>
      </c>
      <c r="CH9" s="17">
        <f t="shared" si="26"/>
        <v>0</v>
      </c>
      <c r="CI9" s="17">
        <f t="shared" si="26"/>
        <v>0</v>
      </c>
      <c r="CJ9" s="17">
        <f t="shared" si="26"/>
        <v>0</v>
      </c>
      <c r="CK9" s="17">
        <f t="shared" si="26"/>
        <v>0</v>
      </c>
      <c r="CL9" s="17">
        <f t="shared" si="26"/>
        <v>0</v>
      </c>
      <c r="CM9" s="17">
        <f t="shared" si="26"/>
        <v>0</v>
      </c>
      <c r="CN9" s="17">
        <f t="shared" si="26"/>
        <v>0</v>
      </c>
      <c r="CO9" s="17">
        <f t="shared" si="26"/>
        <v>0</v>
      </c>
      <c r="CP9" s="17">
        <f t="shared" si="26"/>
        <v>0</v>
      </c>
      <c r="DV9" s="17">
        <f t="shared" ref="DV9:DV40" si="27">IF(CB9=1,G9,0)</f>
        <v>0</v>
      </c>
      <c r="DW9" s="17">
        <f t="shared" ref="DW9:DW40" si="28">IF(CC9="A",G9,0)</f>
        <v>0</v>
      </c>
      <c r="DX9" s="17">
        <f t="shared" ref="DX9:DX40" si="29">IF(CC9="B",G9,0)</f>
        <v>0</v>
      </c>
      <c r="DY9" s="17">
        <f t="shared" ref="DY9:DY40" si="30">IF(CC9="C",G9,0)</f>
        <v>0</v>
      </c>
      <c r="DZ9" s="17">
        <f t="shared" ref="DZ9:DZ40" si="31">IF(CC9="D",G9,0)</f>
        <v>0</v>
      </c>
      <c r="EA9" s="17">
        <f t="shared" ref="EA9:EA40" si="32">IF(CC9="E",G9,0)</f>
        <v>0</v>
      </c>
      <c r="EB9" s="17">
        <f t="shared" ref="EB9" si="33">SUM(DW9:EA9)</f>
        <v>0</v>
      </c>
      <c r="ED9" s="46" t="s">
        <v>366</v>
      </c>
      <c r="EE9" s="46" t="s">
        <v>367</v>
      </c>
      <c r="EG9" s="57">
        <f>IF(AG9="C","C",IF(AG9="D","D",0))</f>
        <v>0</v>
      </c>
      <c r="EH9" s="57">
        <f>CC9</f>
        <v>0</v>
      </c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X9" s="169" t="s">
        <v>625</v>
      </c>
      <c r="FY9" s="17">
        <f>SUM(FZ9:GE9)</f>
        <v>0</v>
      </c>
      <c r="FZ9" s="17">
        <f t="shared" ref="FZ9:FZ40" si="34">DI9+CE9</f>
        <v>0</v>
      </c>
      <c r="GA9" s="17">
        <f t="shared" ref="GA9:GA40" si="35">DJ9+CF9</f>
        <v>0</v>
      </c>
      <c r="GB9" s="17">
        <f t="shared" ref="GB9:GB40" si="36">DK9+CG9</f>
        <v>0</v>
      </c>
      <c r="GC9" s="17">
        <f t="shared" ref="GC9:GC40" si="37">DM9+CI9</f>
        <v>0</v>
      </c>
      <c r="GD9" s="17">
        <f t="shared" ref="GD9:GD40" si="38">DO9+CK9</f>
        <v>0</v>
      </c>
      <c r="GE9" s="17">
        <f t="shared" ref="GE9:GE40" si="39">DT9+CP9</f>
        <v>0</v>
      </c>
      <c r="GF9" s="67"/>
      <c r="GG9" s="17">
        <v>0</v>
      </c>
      <c r="GH9" s="17">
        <v>0</v>
      </c>
      <c r="GI9" s="67"/>
      <c r="GJ9" s="62">
        <f>FY9*GG9/1000000000</f>
        <v>0</v>
      </c>
      <c r="GK9" s="62">
        <f>FY9*GH9/1000000000</f>
        <v>0</v>
      </c>
      <c r="GO9" s="17">
        <f t="shared" ref="GO9:GO40" si="40">D9-F9</f>
        <v>0</v>
      </c>
      <c r="GP9" s="17">
        <f t="shared" ref="GP9:GP40" si="41">D9-J9</f>
        <v>0</v>
      </c>
      <c r="GQ9" s="17">
        <f t="shared" ref="GQ9:GQ40" si="42">D9-N9</f>
        <v>0</v>
      </c>
      <c r="GR9" s="17">
        <f t="shared" ref="GR9:GR40" si="43">D9-R9</f>
        <v>1</v>
      </c>
      <c r="GS9" s="17">
        <f t="shared" ref="GS9:GS40" si="44">D9-V9</f>
        <v>1</v>
      </c>
      <c r="GT9" s="17">
        <f>IF(SUM(GO9:GS9)=0,1,0)</f>
        <v>0</v>
      </c>
      <c r="GU9" s="101">
        <f>$GU$3</f>
        <v>43243</v>
      </c>
      <c r="GV9" s="17" t="str">
        <f>IF(GO9&gt;0,$GO$6,IF(GP9&gt;0,$GP$6,IF(GQ9&gt;0,$GQ$6,IF(GR9&gt;0,$GR$6,IF(GS9&gt;0,$GS$6,IF(GT9&gt;0,$GT$6,0))))))</f>
        <v>Musyawarah</v>
      </c>
      <c r="GW9" s="17">
        <f>IF(GV9=$GO$6,GO9,IF(GV9=$GP$6,GP9,IF(GV9=$GQ$6,GQ9,IF(GV9=$GR$6,GR9,IF(GV9=$GS$6,GS9,0)))))</f>
        <v>1</v>
      </c>
      <c r="GX9" s="66" t="str">
        <f>GV9</f>
        <v>Musyawarah</v>
      </c>
      <c r="GY9" s="66">
        <f>IF(GX9="DNP",SUM($GY$4:$GY$8),IF(GX9="Survey KJPP",SUM($GY$5:$GY$8),IF(GX9="Hasil Valuasi",SUM($GY$6:$GY$8),IF(GX9="Musyawarah",SUM($GY$7:$GY$8),IF(GX9="UGR",$GY$8,0)))))</f>
        <v>24</v>
      </c>
      <c r="GZ9" s="102">
        <f>IF(GW9=0,"SELESAI",GU9+GY9)</f>
        <v>43267</v>
      </c>
      <c r="HA9" s="83"/>
      <c r="HB9" s="83"/>
      <c r="HC9" s="17">
        <f t="shared" ref="HC9:HC40" si="45">IF(BH9&gt;0,1,IF(BI9&gt;0,1,0))</f>
        <v>0</v>
      </c>
      <c r="HD9" s="17">
        <f t="shared" ref="HD9:HD40" si="46">IF(CB9&gt;0,1,0)</f>
        <v>0</v>
      </c>
      <c r="HE9" s="17">
        <f>HC9+HD9</f>
        <v>0</v>
      </c>
      <c r="HF9" s="17">
        <f>FQ9</f>
        <v>0</v>
      </c>
      <c r="HG9" s="17">
        <f>HE9-HF9</f>
        <v>0</v>
      </c>
      <c r="HH9" s="101" t="str">
        <f t="shared" ref="HH9:HH58" si="47">IF(HG9=1,GU9+$HH$8,"TIDAK KONSINYASI")</f>
        <v>TIDAK KONSINYASI</v>
      </c>
      <c r="HI9" s="101">
        <f>IF(GW9=0,"SELESAI",GZ9+$HI$8)</f>
        <v>43312</v>
      </c>
      <c r="HJ9" s="27"/>
      <c r="HK9" s="101">
        <f t="shared" ref="HK9:HK58" si="48">MAX(GZ9,HH9,HI9)</f>
        <v>43312</v>
      </c>
      <c r="HL9" s="83"/>
      <c r="HM9" s="83"/>
      <c r="HN9" s="83"/>
      <c r="HO9" s="83"/>
      <c r="HP9" s="102">
        <f>IF(HQ9=1,GZ9,0)</f>
        <v>0</v>
      </c>
      <c r="HQ9" s="66">
        <f>IF(IX9=0,IF(HT9=0,IF(IP9=0,IF(GV9="UGR",GS9,0),0),0),0)</f>
        <v>0</v>
      </c>
      <c r="HR9" s="66">
        <f t="shared" ref="HR9:HR40" si="49">IF(HQ9=1,E9,0)</f>
        <v>0</v>
      </c>
      <c r="HS9" s="102">
        <f>IF(HT9=1,HH9,0)</f>
        <v>0</v>
      </c>
      <c r="HT9" s="66">
        <f>HG9</f>
        <v>0</v>
      </c>
      <c r="HU9" s="66">
        <f t="shared" ref="HU9:HU40" si="50">IF(HT9=1,E9,0)</f>
        <v>0</v>
      </c>
      <c r="HV9" s="102">
        <f>IF(HW9=1,GZ9,0)</f>
        <v>0</v>
      </c>
      <c r="HW9" s="66">
        <f t="shared" ref="HW9:HW58" si="51">IF(JB9=0,IF(IX9=0,IF(HT9=0,IF(GV9="MUSYAWARAH",GR9,0),0),0),0)</f>
        <v>0</v>
      </c>
      <c r="HX9" s="66">
        <f t="shared" ref="HX9:HX40" si="52">IF(HW9=1,E9,0)</f>
        <v>0</v>
      </c>
      <c r="HY9" s="102">
        <f t="shared" ref="HY9:HY58" si="53">IF(HZ9=1,HV9+$HI$8,0)</f>
        <v>0</v>
      </c>
      <c r="HZ9" s="66">
        <f>HW9</f>
        <v>0</v>
      </c>
      <c r="IA9" s="66">
        <f t="shared" ref="IA9:IA40" si="54">IF(HZ9=1,E9,0)</f>
        <v>0</v>
      </c>
      <c r="IB9" s="102">
        <f>IF(IC9=1,$GU$3+SUM($GY$6:$GY$8),0)</f>
        <v>0</v>
      </c>
      <c r="IC9" s="66">
        <f t="shared" ref="IC9:IC58" si="55">IF(GV9="Hasil Valuasi",GQ9,0)</f>
        <v>0</v>
      </c>
      <c r="ID9" s="66">
        <f t="shared" ref="ID9:ID40" si="56">IF(IC9=1,E9,0)</f>
        <v>0</v>
      </c>
      <c r="IE9" s="102">
        <f t="shared" ref="IE9:IE58" si="57">IF(IF9=1,IB9+$HI$8,0)</f>
        <v>0</v>
      </c>
      <c r="IF9" s="66">
        <f t="shared" ref="IF9:IF58" si="58">IC9</f>
        <v>0</v>
      </c>
      <c r="IG9" s="66">
        <f t="shared" ref="IG9:IG40" si="59">IF(IF9=1,E9,0)</f>
        <v>0</v>
      </c>
      <c r="IH9" s="102">
        <f>IF(II9=1,$GU$3+SUM($GY$5:$GY$8),0)</f>
        <v>0</v>
      </c>
      <c r="II9" s="66">
        <f>IF(GV9="Survey KJPP",GP9,0)</f>
        <v>0</v>
      </c>
      <c r="IJ9" s="66">
        <f t="shared" ref="IJ9:IJ40" si="60">IF(II9=1,E9,0)</f>
        <v>0</v>
      </c>
      <c r="IK9" s="102">
        <f t="shared" ref="IK9:IK58" si="61">IF(IL9=1,IH9+$HI$8,0)</f>
        <v>0</v>
      </c>
      <c r="IL9" s="66">
        <f t="shared" ref="IL9:IL58" si="62">II9</f>
        <v>0</v>
      </c>
      <c r="IM9" s="66">
        <f t="shared" ref="IM9:IM40" si="63">IF(IL9=1,E9,0)</f>
        <v>0</v>
      </c>
      <c r="IN9" s="83"/>
      <c r="IO9" s="102">
        <f t="shared" ref="IO9:IO58" si="64">IF(IP9=1,+$GU$3+$HH$8,0)</f>
        <v>0</v>
      </c>
      <c r="IP9" s="66">
        <f t="shared" ref="IP9:IP40" si="65">IF(BG9&gt;0,1,0)</f>
        <v>0</v>
      </c>
      <c r="IQ9" s="66">
        <f t="shared" ref="IQ9:IQ40" si="66">IF(IP9=1,E9,0)</f>
        <v>0</v>
      </c>
      <c r="IR9" s="83"/>
      <c r="IS9" s="102"/>
      <c r="IT9" s="66">
        <f t="shared" ref="IT9:IT40" si="67">V9</f>
        <v>0</v>
      </c>
      <c r="IU9" s="66">
        <f t="shared" ref="IU9:IU40" si="68">W9</f>
        <v>0</v>
      </c>
      <c r="IV9" s="83"/>
      <c r="IW9" s="102"/>
      <c r="IX9" s="66">
        <f t="shared" ref="IX9:IX40" si="69">AA9</f>
        <v>0</v>
      </c>
      <c r="IY9" s="66">
        <f t="shared" ref="IY9:IY40" si="70">AB9</f>
        <v>0</v>
      </c>
      <c r="IZ9" s="83"/>
      <c r="JA9" s="102"/>
      <c r="JB9" s="66">
        <f t="shared" ref="JB9:JB40" si="71">AN9</f>
        <v>1</v>
      </c>
      <c r="JC9" s="66">
        <f t="shared" ref="JC9:JC40" si="72">BB9</f>
        <v>1130</v>
      </c>
      <c r="JD9" s="83"/>
      <c r="JE9" s="102"/>
      <c r="JF9" s="66">
        <f>IT9+HQ9+HT9+HZ9+IF9+IL9+IP9+IX9+JB9</f>
        <v>1</v>
      </c>
      <c r="JG9" s="66">
        <f t="shared" ref="JG9:JG58" si="73">IU9+HR9+HU9+IA9+IG9+IM9+IQ9+IY9+JC9</f>
        <v>1130</v>
      </c>
      <c r="JH9" s="83"/>
      <c r="JI9" s="102"/>
      <c r="JJ9" s="66">
        <f t="shared" ref="JJ9:JJ40" si="74">JF9-D9</f>
        <v>0</v>
      </c>
      <c r="JK9" s="66">
        <f t="shared" ref="JK9:JK40" si="75">JG9-E9</f>
        <v>0</v>
      </c>
      <c r="JM9" s="102">
        <f>MAX(IW9,IS9,IO9,IK9,IE9,HY9,HS9,HP9)</f>
        <v>0</v>
      </c>
      <c r="JO9" s="29">
        <f t="shared" ref="JO9:JO58" si="76">SUM(JQ9:KB9)</f>
        <v>0</v>
      </c>
      <c r="JP9" s="122">
        <f t="shared" ref="JP9:JP40" si="77">BN9+CR9</f>
        <v>0</v>
      </c>
      <c r="JQ9" s="122">
        <f t="shared" ref="JQ9:JQ40" si="78">IF(BO9+CS9=2,1,IF(BO9+CS9=1,1,0))</f>
        <v>0</v>
      </c>
      <c r="JR9" s="122">
        <f t="shared" ref="JR9:JR40" si="79">IF(BP9+CT9=2,1,IF(BP9+CT9=1,1,0))</f>
        <v>0</v>
      </c>
      <c r="JS9" s="122">
        <f t="shared" ref="JS9:JS40" si="80">IF(BQ9+CU9=2,1,IF(BQ9+CU9=1,1,0))</f>
        <v>0</v>
      </c>
      <c r="JT9" s="122">
        <f t="shared" ref="JT9:JT40" si="81">IF(BR9+CV9=2,1,IF(BR9+CV9=1,1,0))</f>
        <v>0</v>
      </c>
      <c r="JU9" s="122">
        <f t="shared" ref="JU9:JU40" si="82">IF(BS9+CW9=2,1,IF(BS9+CW9=1,1,0))</f>
        <v>0</v>
      </c>
      <c r="JV9" s="122">
        <f t="shared" ref="JV9:JV40" si="83">IF(BT9+CX9=2,1,IF(BT9+CX9=1,1,0))</f>
        <v>0</v>
      </c>
      <c r="JW9" s="122">
        <f t="shared" ref="JW9:JW40" si="84">IF(BU9+CY9=2,1,IF(BU9+CY9=1,1,0))</f>
        <v>0</v>
      </c>
      <c r="JX9" s="122">
        <f t="shared" ref="JX9:JX40" si="85">IF(BV9+CZ9=2,1,IF(BV9+CZ9=1,1,0))</f>
        <v>0</v>
      </c>
      <c r="JY9" s="122">
        <f t="shared" ref="JY9:JY40" si="86">IF(BW9+DA9=2,1,IF(BW9+DA9=1,1,0))</f>
        <v>0</v>
      </c>
      <c r="JZ9" s="122">
        <f t="shared" ref="JZ9:JZ40" si="87">IF(BX9+DB9=2,1,IF(BX9+DB9=1,1,0))</f>
        <v>0</v>
      </c>
      <c r="KA9" s="122">
        <f t="shared" ref="KA9:KA40" si="88">IF(BY9+DC9=2,1,IF(BY9+DC9=1,1,0))</f>
        <v>0</v>
      </c>
      <c r="KB9" s="122">
        <f t="shared" ref="KB9:KB40" si="89">IF(BZ9+DD9=2,1,IF(BZ9+DD9=1,1,0))</f>
        <v>0</v>
      </c>
      <c r="KD9" s="122">
        <f t="shared" ref="KD9" si="90">IF(IF(SUM(GA9:GE9)&gt;100,1,0)+IF(FX9=1,1,0)=2,1,0)</f>
        <v>0</v>
      </c>
      <c r="KE9" s="122">
        <f t="shared" ref="KE9:KE69" si="91">IF(KD9=1,KF9,0)</f>
        <v>0</v>
      </c>
      <c r="KF9" s="122">
        <f t="shared" ref="KF9:KF40" si="92">CD9+DH9</f>
        <v>0</v>
      </c>
      <c r="KG9" s="122">
        <f t="shared" ref="KG9:KG40" si="93">CE9+DI9</f>
        <v>0</v>
      </c>
      <c r="KH9" s="122">
        <f t="shared" ref="KH9:KH40" si="94">CF9+DJ9</f>
        <v>0</v>
      </c>
      <c r="KI9" s="122">
        <f t="shared" ref="KI9:KI40" si="95">CG9+DK9</f>
        <v>0</v>
      </c>
      <c r="KJ9" s="122">
        <f t="shared" ref="KJ9:KJ40" si="96">CH9+DL9</f>
        <v>0</v>
      </c>
      <c r="KK9" s="122">
        <f t="shared" ref="KK9:KK40" si="97">CI9+DM9</f>
        <v>0</v>
      </c>
      <c r="KL9" s="122">
        <f t="shared" ref="KL9:KL40" si="98">CJ9+DN9</f>
        <v>0</v>
      </c>
      <c r="KM9" s="122">
        <f t="shared" ref="KM9:KM40" si="99">CK9+DO9</f>
        <v>0</v>
      </c>
      <c r="KN9" s="122">
        <f t="shared" ref="KN9:KN40" si="100">CL9+DP9</f>
        <v>0</v>
      </c>
      <c r="KO9" s="122">
        <f t="shared" ref="KO9:KO40" si="101">CM9+DQ9</f>
        <v>0</v>
      </c>
      <c r="KP9" s="122">
        <f t="shared" ref="KP9:KP40" si="102">CN9+DR9</f>
        <v>0</v>
      </c>
      <c r="KQ9" s="122">
        <f t="shared" ref="KQ9:KQ40" si="103">CO9+DS9</f>
        <v>0</v>
      </c>
      <c r="KR9" s="122">
        <f t="shared" ref="KR9:KR40" si="104">CP9+DT9</f>
        <v>0</v>
      </c>
      <c r="KS9">
        <v>7</v>
      </c>
      <c r="KT9">
        <f t="shared" ref="KT9:KT40" si="105">AN9</f>
        <v>1</v>
      </c>
      <c r="KU9" s="122"/>
      <c r="KV9" s="122"/>
      <c r="KW9" s="122"/>
      <c r="KX9" s="122"/>
      <c r="KY9" s="122"/>
      <c r="KZ9" s="122"/>
      <c r="LA9" s="122"/>
      <c r="LB9" s="122"/>
      <c r="LC9" s="122"/>
      <c r="LD9" s="122"/>
      <c r="LE9" s="122"/>
      <c r="LF9" s="122"/>
      <c r="LG9" s="122"/>
      <c r="LH9" s="122"/>
      <c r="LI9" s="122"/>
      <c r="LJ9" s="122"/>
      <c r="LK9" s="122"/>
      <c r="LL9" s="122"/>
      <c r="LM9" s="122"/>
      <c r="LN9" s="122"/>
      <c r="LO9" s="122"/>
      <c r="LP9" s="122"/>
      <c r="LQ9" s="122"/>
      <c r="LR9" s="122"/>
      <c r="LS9" s="122"/>
      <c r="LT9" s="122"/>
      <c r="LU9" s="122"/>
      <c r="LV9" s="122"/>
      <c r="LW9" s="122"/>
      <c r="LX9" s="122"/>
      <c r="LY9" s="122"/>
      <c r="LZ9" s="122"/>
      <c r="MA9" s="122"/>
      <c r="MB9" s="122"/>
      <c r="MC9" s="122"/>
      <c r="MD9" s="122"/>
      <c r="ME9" s="122"/>
      <c r="MF9" s="122"/>
      <c r="MG9" s="122"/>
      <c r="MH9" s="122"/>
      <c r="MI9" s="122"/>
      <c r="MJ9" s="122"/>
      <c r="MK9" s="122"/>
      <c r="ML9" s="122"/>
      <c r="MM9" s="122"/>
      <c r="MN9" s="122"/>
      <c r="MO9" s="122"/>
      <c r="MP9" s="122"/>
      <c r="MQ9" s="122"/>
      <c r="MR9" s="122"/>
      <c r="MS9" s="122"/>
      <c r="MT9" s="122"/>
      <c r="MU9" s="122"/>
      <c r="MV9" s="122"/>
      <c r="MW9" s="122"/>
      <c r="MX9" s="122"/>
      <c r="MY9" s="122"/>
      <c r="MZ9" s="122"/>
      <c r="NA9" s="122"/>
      <c r="NB9" s="122"/>
      <c r="NC9" s="122"/>
      <c r="ND9" s="122"/>
      <c r="NE9" s="122"/>
      <c r="NF9" s="122"/>
      <c r="NG9" s="122"/>
      <c r="NH9" s="122"/>
      <c r="NI9" s="122"/>
      <c r="NJ9" s="122"/>
      <c r="NK9" s="122"/>
      <c r="NM9">
        <f>IF(KS9=1,1,0)</f>
        <v>0</v>
      </c>
      <c r="NN9">
        <f>IF(KS9=2,1,0)</f>
        <v>0</v>
      </c>
      <c r="NO9">
        <f>IF(KS9=3,1,0)</f>
        <v>0</v>
      </c>
      <c r="NP9">
        <f>IF(KS9=4,1,0)</f>
        <v>0</v>
      </c>
      <c r="NQ9">
        <f>IF(KS9=5,1,0)</f>
        <v>0</v>
      </c>
      <c r="NR9">
        <f>IF(KS9=6,1,0)</f>
        <v>0</v>
      </c>
      <c r="NS9">
        <f>IF(KS9=7,1,0)</f>
        <v>1</v>
      </c>
      <c r="NT9">
        <f>SUM(NM9:NS9)</f>
        <v>1</v>
      </c>
      <c r="NU9" s="29">
        <f t="shared" ref="NU9" si="106">NT9-KT9</f>
        <v>0</v>
      </c>
      <c r="NY9" s="29">
        <f t="shared" ref="NY9:NY55" si="107">V9</f>
        <v>0</v>
      </c>
      <c r="NZ9" s="152"/>
      <c r="OE9" s="155">
        <f t="shared" ref="OE9:OE40" si="108">D9-J9</f>
        <v>0</v>
      </c>
      <c r="OF9" s="155">
        <f t="shared" ref="OF9:OF40" si="109">D9-N9</f>
        <v>0</v>
      </c>
      <c r="OG9" s="155">
        <f t="shared" ref="OG9:OG40" si="110">AN9</f>
        <v>1</v>
      </c>
      <c r="OH9" s="155">
        <f>HE9</f>
        <v>0</v>
      </c>
      <c r="OI9" s="155">
        <f t="shared" ref="OI9:OI40" si="111">D9-R9</f>
        <v>1</v>
      </c>
      <c r="OJ9" s="67">
        <f>IF(OG9=1,OF9,0)</f>
        <v>0</v>
      </c>
      <c r="OK9" s="67">
        <f>IF(OH9=1,OF9,0)</f>
        <v>0</v>
      </c>
      <c r="OL9" s="67">
        <f>IF((OG9+OH9)=0,OF9,0)</f>
        <v>0</v>
      </c>
      <c r="OM9" s="67">
        <f>SUM(OJ9:OL9)</f>
        <v>0</v>
      </c>
      <c r="OO9" s="155">
        <f t="shared" ref="OO9:OO40" si="112">E9-K9</f>
        <v>0</v>
      </c>
      <c r="OP9" s="155">
        <f t="shared" ref="OP9:OP40" si="113">E9-O9</f>
        <v>0</v>
      </c>
      <c r="OQ9" s="155">
        <f>OG9</f>
        <v>1</v>
      </c>
      <c r="OR9" s="155">
        <f>OH9</f>
        <v>0</v>
      </c>
      <c r="OS9" s="155">
        <f>OI9</f>
        <v>1</v>
      </c>
      <c r="OT9" s="67">
        <f>IF(OQ9=1,OP9,0)</f>
        <v>0</v>
      </c>
      <c r="OU9" s="67">
        <f>IF(OR9=1,OP9,0)</f>
        <v>0</v>
      </c>
      <c r="OV9" s="67">
        <f>IF((OQ9+OR9)=0,OP9,0)</f>
        <v>0</v>
      </c>
      <c r="OW9" s="67">
        <f>SUM(OT9:OV9)</f>
        <v>0</v>
      </c>
      <c r="OZ9" s="163">
        <f t="shared" ref="OZ9:OZ40" si="114">AN9</f>
        <v>1</v>
      </c>
      <c r="PA9" s="166"/>
      <c r="PB9" s="166">
        <v>1</v>
      </c>
      <c r="PC9" s="166">
        <v>1</v>
      </c>
      <c r="PD9" s="210">
        <f t="shared" ref="PD9:PD69" si="115">PB9-PC9</f>
        <v>0</v>
      </c>
      <c r="PE9" s="210"/>
      <c r="PF9" s="210">
        <f t="shared" ref="PF9:PF69" si="116">PD9-PE9</f>
        <v>0</v>
      </c>
      <c r="PG9" s="210">
        <f t="shared" ref="PG9:PL51" si="117">IF(PA9=1,$BB9,0)</f>
        <v>0</v>
      </c>
      <c r="PH9" s="210">
        <f t="shared" si="117"/>
        <v>1130</v>
      </c>
      <c r="PI9" s="210">
        <f t="shared" si="117"/>
        <v>1130</v>
      </c>
      <c r="PJ9" s="210">
        <f t="shared" si="117"/>
        <v>0</v>
      </c>
      <c r="PK9" s="210">
        <f t="shared" si="117"/>
        <v>0</v>
      </c>
      <c r="PL9" s="210">
        <f t="shared" si="117"/>
        <v>0</v>
      </c>
      <c r="PO9" s="172">
        <f>IF(FC9=1,AB9,0)</f>
        <v>0</v>
      </c>
      <c r="PP9" s="172">
        <f>IF(FF9=1,AB9,0)</f>
        <v>0</v>
      </c>
      <c r="PQ9" s="172">
        <f>AB9-(PO9+PP9)</f>
        <v>0</v>
      </c>
    </row>
    <row r="10" spans="1:433" ht="16" x14ac:dyDescent="0.2">
      <c r="A10" s="19">
        <f>A9+1</f>
        <v>2</v>
      </c>
      <c r="B10" s="186" t="s">
        <v>175</v>
      </c>
      <c r="C10" s="186">
        <v>2</v>
      </c>
      <c r="D10" s="188">
        <v>1</v>
      </c>
      <c r="E10" s="188">
        <v>135</v>
      </c>
      <c r="F10" s="188">
        <v>1</v>
      </c>
      <c r="G10" s="188">
        <f t="shared" si="2"/>
        <v>135</v>
      </c>
      <c r="H10" s="214">
        <f t="shared" si="3"/>
        <v>1</v>
      </c>
      <c r="I10" s="214">
        <f t="shared" si="4"/>
        <v>1</v>
      </c>
      <c r="J10" s="188">
        <v>1</v>
      </c>
      <c r="K10" s="188">
        <f t="shared" si="5"/>
        <v>135</v>
      </c>
      <c r="L10" s="214">
        <f t="shared" si="6"/>
        <v>1</v>
      </c>
      <c r="M10" s="214">
        <f t="shared" si="7"/>
        <v>1</v>
      </c>
      <c r="N10" s="188">
        <v>1</v>
      </c>
      <c r="O10" s="188">
        <f t="shared" si="8"/>
        <v>135</v>
      </c>
      <c r="P10" s="214">
        <f t="shared" si="9"/>
        <v>1</v>
      </c>
      <c r="Q10" s="214">
        <f t="shared" si="10"/>
        <v>1</v>
      </c>
      <c r="R10" s="188">
        <v>1</v>
      </c>
      <c r="S10" s="188">
        <f t="shared" si="11"/>
        <v>135</v>
      </c>
      <c r="T10" s="214">
        <f t="shared" si="12"/>
        <v>1</v>
      </c>
      <c r="U10" s="214">
        <f t="shared" si="13"/>
        <v>1</v>
      </c>
      <c r="V10" s="188">
        <v>1</v>
      </c>
      <c r="W10" s="188">
        <f t="shared" si="14"/>
        <v>135</v>
      </c>
      <c r="X10" s="214">
        <f t="shared" si="15"/>
        <v>1</v>
      </c>
      <c r="Y10" s="214">
        <f t="shared" si="16"/>
        <v>1</v>
      </c>
      <c r="Z10" s="216">
        <f>1043090000/1000000000</f>
        <v>1.0430900000000001</v>
      </c>
      <c r="AA10" s="188">
        <v>0</v>
      </c>
      <c r="AB10" s="189">
        <f t="shared" ref="AB10:AB58" si="118">IF(AA10=D10,E10,0)</f>
        <v>0</v>
      </c>
      <c r="AC10" s="250">
        <f t="shared" ref="AC10:AC58" si="119">AA10/$D10</f>
        <v>0</v>
      </c>
      <c r="AD10" s="250">
        <f t="shared" ref="AD10:AD58" si="120">AB10/$E10</f>
        <v>0</v>
      </c>
      <c r="AE10" s="188"/>
      <c r="AF10" s="188">
        <f t="shared" ref="AF10:AF58" si="121">R10-V10</f>
        <v>0</v>
      </c>
      <c r="AG10" s="188"/>
      <c r="AH10" s="188"/>
      <c r="AI10" s="188">
        <v>0</v>
      </c>
      <c r="AJ10" s="188">
        <f t="shared" ref="AJ10" si="122">IF(AI10=D10,E10,0)</f>
        <v>0</v>
      </c>
      <c r="AK10" s="188"/>
      <c r="AL10" s="188">
        <v>0</v>
      </c>
      <c r="AM10" s="188">
        <v>0</v>
      </c>
      <c r="AN10" s="217"/>
      <c r="AO10" s="195"/>
      <c r="AP10" s="195"/>
      <c r="AQ10" s="195"/>
      <c r="AR10" s="195"/>
      <c r="AS10" s="195"/>
      <c r="AT10" s="195"/>
      <c r="BB10" s="17">
        <f t="shared" ref="BB10:BB58" si="123">IF(AN10=1,G10,0)</f>
        <v>0</v>
      </c>
      <c r="BE10" s="17">
        <f t="shared" si="19"/>
        <v>0</v>
      </c>
      <c r="BF10" s="17">
        <f t="shared" si="20"/>
        <v>0</v>
      </c>
      <c r="BG10" s="17">
        <f t="shared" si="21"/>
        <v>0</v>
      </c>
      <c r="BH10" s="17">
        <f t="shared" si="22"/>
        <v>0</v>
      </c>
      <c r="BI10" s="17">
        <f t="shared" si="23"/>
        <v>0</v>
      </c>
      <c r="BJ10" s="17">
        <f t="shared" si="24"/>
        <v>0</v>
      </c>
      <c r="BK10" s="17">
        <f t="shared" ref="BK10:BK58" si="124">SUM(BF10:BJ10)</f>
        <v>0</v>
      </c>
      <c r="BM10" s="128"/>
      <c r="BN10" s="146">
        <v>56</v>
      </c>
      <c r="BO10">
        <v>1</v>
      </c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B10" s="20"/>
      <c r="CD10" s="17">
        <f t="shared" ref="CD10:CD58" si="125">BN10</f>
        <v>56</v>
      </c>
      <c r="CE10" s="17">
        <f t="shared" ref="CE10:CE58" si="126">IF(BO10=1,$CD10,0)</f>
        <v>56</v>
      </c>
      <c r="CF10" s="17">
        <f t="shared" si="26"/>
        <v>0</v>
      </c>
      <c r="CG10" s="17">
        <f t="shared" si="26"/>
        <v>0</v>
      </c>
      <c r="CH10" s="17">
        <f t="shared" si="26"/>
        <v>0</v>
      </c>
      <c r="CI10" s="17">
        <f t="shared" si="26"/>
        <v>0</v>
      </c>
      <c r="CJ10" s="17">
        <f t="shared" si="26"/>
        <v>0</v>
      </c>
      <c r="CK10" s="17">
        <f t="shared" si="26"/>
        <v>0</v>
      </c>
      <c r="CL10" s="20">
        <f t="shared" si="26"/>
        <v>0</v>
      </c>
      <c r="CM10" s="20">
        <f t="shared" si="26"/>
        <v>0</v>
      </c>
      <c r="CN10" s="20">
        <f t="shared" si="26"/>
        <v>0</v>
      </c>
      <c r="CO10" s="20">
        <f t="shared" si="26"/>
        <v>0</v>
      </c>
      <c r="CP10" s="20">
        <f t="shared" si="26"/>
        <v>0</v>
      </c>
      <c r="DV10" s="20">
        <f t="shared" si="27"/>
        <v>0</v>
      </c>
      <c r="DW10" s="20">
        <f t="shared" si="28"/>
        <v>0</v>
      </c>
      <c r="DX10" s="20">
        <f t="shared" si="29"/>
        <v>0</v>
      </c>
      <c r="DY10" s="20">
        <f t="shared" si="30"/>
        <v>0</v>
      </c>
      <c r="DZ10" s="20">
        <f t="shared" si="31"/>
        <v>0</v>
      </c>
      <c r="EA10" s="20">
        <f t="shared" si="32"/>
        <v>0</v>
      </c>
      <c r="EB10" s="20">
        <f t="shared" ref="EB10:EB58" si="127">SUM(DW10:EA10)</f>
        <v>0</v>
      </c>
      <c r="ED10" s="46" t="s">
        <v>368</v>
      </c>
      <c r="EE10" s="46" t="s">
        <v>369</v>
      </c>
      <c r="EG10" s="57">
        <f t="shared" ref="EG10:EG58" si="128">IF(AG10="C","C",IF(AG10="D","D",0))</f>
        <v>0</v>
      </c>
      <c r="EH10" s="57">
        <f t="shared" ref="EH10:EH58" si="129">CC10</f>
        <v>0</v>
      </c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X10" s="169">
        <v>1</v>
      </c>
      <c r="FY10" s="17">
        <f t="shared" ref="FY10:FY58" si="130">SUM(FZ10:GE10)</f>
        <v>56</v>
      </c>
      <c r="FZ10" s="17">
        <f t="shared" si="34"/>
        <v>56</v>
      </c>
      <c r="GA10" s="17">
        <f t="shared" si="35"/>
        <v>0</v>
      </c>
      <c r="GB10" s="17">
        <f t="shared" si="36"/>
        <v>0</v>
      </c>
      <c r="GC10" s="17">
        <f t="shared" si="37"/>
        <v>0</v>
      </c>
      <c r="GD10" s="17">
        <f t="shared" si="38"/>
        <v>0</v>
      </c>
      <c r="GE10" s="17">
        <f t="shared" si="39"/>
        <v>0</v>
      </c>
      <c r="GF10" s="67"/>
      <c r="GG10" s="17">
        <v>0</v>
      </c>
      <c r="GH10" s="17">
        <v>0</v>
      </c>
      <c r="GI10" s="67"/>
      <c r="GJ10" s="62">
        <f t="shared" ref="GJ10:GJ58" si="131">FY10*GG10/1000000000</f>
        <v>0</v>
      </c>
      <c r="GK10" s="62">
        <f t="shared" ref="GK10:GK58" si="132">FY10*GH10/1000000000</f>
        <v>0</v>
      </c>
      <c r="GO10" s="17">
        <f t="shared" si="40"/>
        <v>0</v>
      </c>
      <c r="GP10" s="17">
        <f t="shared" si="41"/>
        <v>0</v>
      </c>
      <c r="GQ10" s="17">
        <f t="shared" si="42"/>
        <v>0</v>
      </c>
      <c r="GR10" s="17">
        <f t="shared" si="43"/>
        <v>0</v>
      </c>
      <c r="GS10" s="17">
        <f t="shared" si="44"/>
        <v>0</v>
      </c>
      <c r="GT10" s="17">
        <f t="shared" ref="GT10:GT58" si="133">IF(SUM(GO10:GS10)=0,1,0)</f>
        <v>1</v>
      </c>
      <c r="GU10" s="101">
        <f t="shared" ref="GU10:GU69" si="134">$GU$3</f>
        <v>43243</v>
      </c>
      <c r="GV10" s="17" t="str">
        <f t="shared" ref="GV10:GV58" si="135">IF(GO10&gt;0,$GO$6,IF(GP10&gt;0,$GP$6,IF(GQ10&gt;0,$GQ$6,IF(GR10&gt;0,$GR$6,IF(GS10&gt;0,$GS$6,IF(GT10&gt;0,$GT$6,0))))))</f>
        <v>SELESAI</v>
      </c>
      <c r="GW10" s="17">
        <f t="shared" ref="GW10:GW58" si="136">IF(GV10=$GO$6,GO10,IF(GV10=$GP$6,GP10,IF(GV10=$GQ$6,GQ10,IF(GV10=$GR$6,GR10,IF(GV10=$GS$6,GS10,0)))))</f>
        <v>0</v>
      </c>
      <c r="GX10" s="66" t="str">
        <f t="shared" ref="GX10:GX58" si="137">GV10</f>
        <v>SELESAI</v>
      </c>
      <c r="GY10" s="66">
        <f t="shared" ref="GY10:GY58" si="138">IF(GX10="DNP",SUM($GY$4:$GY$8),IF(GX10="Survey KJPP",SUM($GY$5:$GY$8),IF(GX10="Hasil Valuasi",SUM($GY$6:$GY$8),IF(GX10="Musyawarah",SUM($GY$7:$GY$8),IF(GX10="UGR",$GY$8,0)))))</f>
        <v>0</v>
      </c>
      <c r="GZ10" s="102" t="str">
        <f t="shared" ref="GZ10:GZ58" si="139">IF(GW10=0,"SELESAI",GU10+GY10)</f>
        <v>SELESAI</v>
      </c>
      <c r="HA10" s="83"/>
      <c r="HB10" s="83"/>
      <c r="HC10" s="17">
        <f t="shared" si="45"/>
        <v>0</v>
      </c>
      <c r="HD10" s="17">
        <f t="shared" si="46"/>
        <v>0</v>
      </c>
      <c r="HE10" s="17">
        <f t="shared" ref="HE10:HE58" si="140">HC10+HD10</f>
        <v>0</v>
      </c>
      <c r="HF10" s="17">
        <f t="shared" ref="HF10:HF58" si="141">FQ10</f>
        <v>0</v>
      </c>
      <c r="HG10" s="17">
        <f t="shared" ref="HG10:HG58" si="142">HE10-HF10</f>
        <v>0</v>
      </c>
      <c r="HH10" s="101" t="str">
        <f t="shared" si="47"/>
        <v>TIDAK KONSINYASI</v>
      </c>
      <c r="HI10" s="101" t="str">
        <f t="shared" ref="HI10:HI58" si="143">IF(GW10=0,"SELESAI",GZ10+$HI$8)</f>
        <v>SELESAI</v>
      </c>
      <c r="HJ10" s="27"/>
      <c r="HK10" s="101">
        <f t="shared" si="48"/>
        <v>0</v>
      </c>
      <c r="HL10" s="83"/>
      <c r="HM10" s="83"/>
      <c r="HN10" s="83"/>
      <c r="HO10" s="83"/>
      <c r="HP10" s="102">
        <f t="shared" ref="HP10:HP58" si="144">IF(HQ10=1,GZ10,0)</f>
        <v>0</v>
      </c>
      <c r="HQ10" s="66">
        <f t="shared" ref="HQ10:HQ58" si="145">IF(IX10=0,IF(HT10=0,IF(IP10=0,IF(GV10="UGR",GS10,0),0),0),0)</f>
        <v>0</v>
      </c>
      <c r="HR10" s="66">
        <f t="shared" si="49"/>
        <v>0</v>
      </c>
      <c r="HS10" s="102">
        <f t="shared" ref="HS10:HS58" si="146">IF(HT10=1,HH10,0)</f>
        <v>0</v>
      </c>
      <c r="HT10" s="66">
        <f t="shared" ref="HT10:HT58" si="147">HG10</f>
        <v>0</v>
      </c>
      <c r="HU10" s="66">
        <f t="shared" si="50"/>
        <v>0</v>
      </c>
      <c r="HV10" s="102">
        <f t="shared" ref="HV10:HV58" si="148">IF(HW10=1,GZ10,0)</f>
        <v>0</v>
      </c>
      <c r="HW10" s="66">
        <f t="shared" si="51"/>
        <v>0</v>
      </c>
      <c r="HX10" s="66">
        <f t="shared" si="52"/>
        <v>0</v>
      </c>
      <c r="HY10" s="102">
        <f t="shared" si="53"/>
        <v>0</v>
      </c>
      <c r="HZ10" s="66">
        <f t="shared" ref="HZ10:HZ58" si="149">HW10</f>
        <v>0</v>
      </c>
      <c r="IA10" s="66">
        <f t="shared" si="54"/>
        <v>0</v>
      </c>
      <c r="IB10" s="102">
        <f t="shared" ref="IB10:IB58" si="150">IF(IC10=1,$GU$3+SUM($GY$6:$GY$8),0)</f>
        <v>0</v>
      </c>
      <c r="IC10" s="66">
        <f t="shared" si="55"/>
        <v>0</v>
      </c>
      <c r="ID10" s="66">
        <f t="shared" si="56"/>
        <v>0</v>
      </c>
      <c r="IE10" s="102">
        <f t="shared" si="57"/>
        <v>0</v>
      </c>
      <c r="IF10" s="66">
        <f t="shared" si="58"/>
        <v>0</v>
      </c>
      <c r="IG10" s="66">
        <f t="shared" si="59"/>
        <v>0</v>
      </c>
      <c r="IH10" s="102">
        <f t="shared" ref="IH10:IH58" si="151">IF(II10=1,$GU$3+SUM($GY$5:$GY$8),0)</f>
        <v>0</v>
      </c>
      <c r="II10" s="66">
        <f t="shared" ref="II10:II58" si="152">IF(GV10="Survey KJPP",GP10,0)</f>
        <v>0</v>
      </c>
      <c r="IJ10" s="66">
        <f t="shared" si="60"/>
        <v>0</v>
      </c>
      <c r="IK10" s="102">
        <f t="shared" si="61"/>
        <v>0</v>
      </c>
      <c r="IL10" s="66">
        <f t="shared" si="62"/>
        <v>0</v>
      </c>
      <c r="IM10" s="66">
        <f t="shared" si="63"/>
        <v>0</v>
      </c>
      <c r="IN10" s="83"/>
      <c r="IO10" s="102">
        <f t="shared" si="64"/>
        <v>0</v>
      </c>
      <c r="IP10" s="66">
        <f t="shared" si="65"/>
        <v>0</v>
      </c>
      <c r="IQ10" s="66">
        <f t="shared" si="66"/>
        <v>0</v>
      </c>
      <c r="IR10" s="83"/>
      <c r="IS10" s="102"/>
      <c r="IT10" s="66">
        <f t="shared" si="67"/>
        <v>1</v>
      </c>
      <c r="IU10" s="66">
        <f t="shared" si="68"/>
        <v>135</v>
      </c>
      <c r="IV10" s="83"/>
      <c r="IW10" s="102"/>
      <c r="IX10" s="66">
        <f t="shared" si="69"/>
        <v>0</v>
      </c>
      <c r="IY10" s="66">
        <f t="shared" si="70"/>
        <v>0</v>
      </c>
      <c r="IZ10" s="83"/>
      <c r="JA10" s="102"/>
      <c r="JB10" s="66">
        <f t="shared" si="71"/>
        <v>0</v>
      </c>
      <c r="JC10" s="66">
        <f t="shared" si="72"/>
        <v>0</v>
      </c>
      <c r="JD10" s="83"/>
      <c r="JE10" s="102"/>
      <c r="JF10" s="66">
        <f t="shared" ref="JF10:JF58" si="153">IT10+HQ10+HT10+HZ10+IF10+IL10+IP10+IX10+JB10</f>
        <v>1</v>
      </c>
      <c r="JG10" s="66">
        <f t="shared" si="73"/>
        <v>135</v>
      </c>
      <c r="JH10" s="83"/>
      <c r="JI10" s="102"/>
      <c r="JJ10" s="66">
        <f t="shared" si="74"/>
        <v>0</v>
      </c>
      <c r="JK10" s="66">
        <f t="shared" si="75"/>
        <v>0</v>
      </c>
      <c r="JM10" s="102">
        <f t="shared" ref="JM10:JM58" si="154">MAX(IW10,IS10,IO10,IK10,IE10,HY10,HS10,HP10)</f>
        <v>0</v>
      </c>
      <c r="JO10" s="29">
        <f t="shared" si="76"/>
        <v>1</v>
      </c>
      <c r="JP10" s="122">
        <f t="shared" si="77"/>
        <v>56</v>
      </c>
      <c r="JQ10" s="122">
        <f t="shared" si="78"/>
        <v>1</v>
      </c>
      <c r="JR10" s="122">
        <f t="shared" si="79"/>
        <v>0</v>
      </c>
      <c r="JS10" s="122">
        <f t="shared" si="80"/>
        <v>0</v>
      </c>
      <c r="JT10" s="122">
        <f t="shared" si="81"/>
        <v>0</v>
      </c>
      <c r="JU10" s="122">
        <f t="shared" si="82"/>
        <v>0</v>
      </c>
      <c r="JV10" s="122">
        <f t="shared" si="83"/>
        <v>0</v>
      </c>
      <c r="JW10" s="122">
        <f t="shared" si="84"/>
        <v>0</v>
      </c>
      <c r="JX10" s="122">
        <f t="shared" si="85"/>
        <v>0</v>
      </c>
      <c r="JY10" s="122">
        <f t="shared" si="86"/>
        <v>0</v>
      </c>
      <c r="JZ10" s="122">
        <f t="shared" si="87"/>
        <v>0</v>
      </c>
      <c r="KA10" s="122">
        <f t="shared" si="88"/>
        <v>0</v>
      </c>
      <c r="KB10" s="122">
        <f t="shared" si="89"/>
        <v>0</v>
      </c>
      <c r="KD10" s="122">
        <f t="shared" ref="KD10:KD69" si="155">IF(IF(SUM(GA10:GE10)&gt;100,1,0)+IF(FX10=1,1,0)=2,1,0)</f>
        <v>0</v>
      </c>
      <c r="KE10" s="122">
        <f t="shared" si="91"/>
        <v>0</v>
      </c>
      <c r="KF10" s="122">
        <f t="shared" si="92"/>
        <v>56</v>
      </c>
      <c r="KG10" s="122">
        <f t="shared" si="93"/>
        <v>56</v>
      </c>
      <c r="KH10" s="122">
        <f t="shared" si="94"/>
        <v>0</v>
      </c>
      <c r="KI10" s="122">
        <f t="shared" si="95"/>
        <v>0</v>
      </c>
      <c r="KJ10" s="122">
        <f t="shared" si="96"/>
        <v>0</v>
      </c>
      <c r="KK10" s="122">
        <f t="shared" si="97"/>
        <v>0</v>
      </c>
      <c r="KL10" s="122">
        <f t="shared" si="98"/>
        <v>0</v>
      </c>
      <c r="KM10" s="122">
        <f t="shared" si="99"/>
        <v>0</v>
      </c>
      <c r="KN10" s="123">
        <f t="shared" si="100"/>
        <v>0</v>
      </c>
      <c r="KO10" s="123">
        <f t="shared" si="101"/>
        <v>0</v>
      </c>
      <c r="KP10" s="123">
        <f t="shared" si="102"/>
        <v>0</v>
      </c>
      <c r="KQ10" s="123">
        <f t="shared" si="103"/>
        <v>0</v>
      </c>
      <c r="KR10" s="123">
        <f t="shared" si="104"/>
        <v>0</v>
      </c>
      <c r="KT10">
        <f t="shared" si="105"/>
        <v>0</v>
      </c>
      <c r="KU10" s="123"/>
      <c r="KV10" s="123"/>
      <c r="KW10" s="123"/>
      <c r="KX10" s="123"/>
      <c r="KY10" s="123"/>
      <c r="KZ10" s="123"/>
      <c r="LA10" s="123"/>
      <c r="LB10" s="123"/>
      <c r="LC10" s="123"/>
      <c r="LD10" s="123"/>
      <c r="LE10" s="123"/>
      <c r="LF10" s="123"/>
      <c r="LG10" s="123"/>
      <c r="LH10" s="123"/>
      <c r="LI10" s="123"/>
      <c r="LJ10" s="123"/>
      <c r="LK10" s="123"/>
      <c r="LL10" s="123"/>
      <c r="LM10" s="123"/>
      <c r="LN10" s="123"/>
      <c r="LO10" s="123"/>
      <c r="LP10" s="123"/>
      <c r="LQ10" s="123"/>
      <c r="LR10" s="123"/>
      <c r="LS10" s="123"/>
      <c r="LT10" s="123"/>
      <c r="LU10" s="123"/>
      <c r="LV10" s="123"/>
      <c r="LW10" s="123"/>
      <c r="LX10" s="123"/>
      <c r="LY10" s="123"/>
      <c r="LZ10" s="123"/>
      <c r="MA10" s="123"/>
      <c r="MB10" s="123"/>
      <c r="MC10" s="123"/>
      <c r="MD10" s="123"/>
      <c r="ME10" s="123"/>
      <c r="MF10" s="123"/>
      <c r="MG10" s="123"/>
      <c r="MH10" s="123"/>
      <c r="MI10" s="123"/>
      <c r="MJ10" s="123"/>
      <c r="MK10" s="123"/>
      <c r="ML10" s="123"/>
      <c r="MM10" s="123"/>
      <c r="MN10" s="123"/>
      <c r="MO10" s="123"/>
      <c r="MP10" s="123"/>
      <c r="MQ10" s="123"/>
      <c r="MR10" s="123"/>
      <c r="MS10" s="123"/>
      <c r="MT10" s="123"/>
      <c r="MU10" s="123"/>
      <c r="MV10" s="123"/>
      <c r="MW10" s="123"/>
      <c r="MX10" s="123"/>
      <c r="MY10" s="123"/>
      <c r="MZ10" s="123"/>
      <c r="NA10" s="123"/>
      <c r="NB10" s="123"/>
      <c r="NC10" s="123"/>
      <c r="ND10" s="123"/>
      <c r="NE10" s="123"/>
      <c r="NF10" s="123"/>
      <c r="NG10" s="123"/>
      <c r="NH10" s="123"/>
      <c r="NI10" s="123"/>
      <c r="NJ10" s="123"/>
      <c r="NK10" s="123"/>
      <c r="NM10">
        <f t="shared" ref="NM10:NM58" si="156">IF(KS10=1,1,0)</f>
        <v>0</v>
      </c>
      <c r="NN10">
        <f t="shared" ref="NN10:NN58" si="157">IF(KS10=2,1,0)</f>
        <v>0</v>
      </c>
      <c r="NO10">
        <f t="shared" ref="NO10:NO58" si="158">IF(KS10=3,1,0)</f>
        <v>0</v>
      </c>
      <c r="NP10">
        <f t="shared" ref="NP10:NP58" si="159">IF(KS10=4,1,0)</f>
        <v>0</v>
      </c>
      <c r="NQ10">
        <f t="shared" ref="NQ10:NQ58" si="160">IF(KS10=5,1,0)</f>
        <v>0</v>
      </c>
      <c r="NR10">
        <f t="shared" ref="NR10:NR58" si="161">IF(KS10=6,1,0)</f>
        <v>0</v>
      </c>
      <c r="NS10">
        <f t="shared" ref="NS10:NS58" si="162">IF(KS10=7,1,0)</f>
        <v>0</v>
      </c>
      <c r="NT10">
        <f t="shared" ref="NT10:NT58" si="163">SUM(NM10:NS10)</f>
        <v>0</v>
      </c>
      <c r="NU10" s="29">
        <f t="shared" ref="NU10:NU58" si="164">NT10-KT10</f>
        <v>0</v>
      </c>
      <c r="NY10" s="29">
        <f t="shared" si="107"/>
        <v>1</v>
      </c>
      <c r="NZ10" s="152">
        <v>7350000</v>
      </c>
      <c r="OE10" s="155">
        <f t="shared" si="108"/>
        <v>0</v>
      </c>
      <c r="OF10" s="155">
        <f t="shared" si="109"/>
        <v>0</v>
      </c>
      <c r="OG10" s="155">
        <f t="shared" si="110"/>
        <v>0</v>
      </c>
      <c r="OH10" s="155">
        <f t="shared" ref="OH10:OH59" si="165">HE10</f>
        <v>0</v>
      </c>
      <c r="OI10" s="155">
        <f t="shared" si="111"/>
        <v>0</v>
      </c>
      <c r="OJ10" s="67">
        <f t="shared" ref="OJ10:OJ59" si="166">IF(OG10=1,OF10,0)</f>
        <v>0</v>
      </c>
      <c r="OK10" s="67">
        <f t="shared" ref="OK10:OK59" si="167">IF(OH10=1,OF10,0)</f>
        <v>0</v>
      </c>
      <c r="OL10" s="67">
        <f t="shared" ref="OL10:OL59" si="168">IF((OG10+OH10)=0,OF10,0)</f>
        <v>0</v>
      </c>
      <c r="OM10" s="67">
        <f t="shared" ref="OM10:OM59" si="169">SUM(OJ10:OL10)</f>
        <v>0</v>
      </c>
      <c r="OO10" s="155">
        <f t="shared" si="112"/>
        <v>0</v>
      </c>
      <c r="OP10" s="155">
        <f t="shared" si="113"/>
        <v>0</v>
      </c>
      <c r="OQ10" s="155">
        <f t="shared" ref="OQ10:OQ59" si="170">OG10</f>
        <v>0</v>
      </c>
      <c r="OR10" s="155">
        <f t="shared" ref="OR10:OR59" si="171">OH10</f>
        <v>0</v>
      </c>
      <c r="OS10" s="155">
        <f t="shared" ref="OS10:OS59" si="172">OI10</f>
        <v>0</v>
      </c>
      <c r="OT10" s="67">
        <f t="shared" ref="OT10:OT59" si="173">IF(OQ10=1,OP10,0)</f>
        <v>0</v>
      </c>
      <c r="OU10" s="67">
        <f t="shared" ref="OU10:OU59" si="174">IF(OR10=1,OP10,0)</f>
        <v>0</v>
      </c>
      <c r="OV10" s="67">
        <f t="shared" ref="OV10:OV59" si="175">IF((OQ10+OR10)=0,OP10,0)</f>
        <v>0</v>
      </c>
      <c r="OW10" s="67">
        <f t="shared" ref="OW10:OW59" si="176">SUM(OT10:OV10)</f>
        <v>0</v>
      </c>
      <c r="OZ10" s="163">
        <f t="shared" si="114"/>
        <v>0</v>
      </c>
      <c r="PA10" s="166"/>
      <c r="PB10" s="166"/>
      <c r="PC10" s="166"/>
      <c r="PD10" s="210">
        <f t="shared" si="115"/>
        <v>0</v>
      </c>
      <c r="PE10" s="210"/>
      <c r="PF10" s="210">
        <f t="shared" si="116"/>
        <v>0</v>
      </c>
      <c r="PG10" s="210">
        <f t="shared" si="117"/>
        <v>0</v>
      </c>
      <c r="PH10" s="210">
        <f t="shared" si="117"/>
        <v>0</v>
      </c>
      <c r="PI10" s="210">
        <f t="shared" si="117"/>
        <v>0</v>
      </c>
      <c r="PJ10" s="210">
        <f t="shared" si="117"/>
        <v>0</v>
      </c>
      <c r="PK10" s="210">
        <f t="shared" si="117"/>
        <v>0</v>
      </c>
      <c r="PL10" s="210">
        <f t="shared" si="117"/>
        <v>0</v>
      </c>
      <c r="PO10" s="172">
        <f t="shared" ref="PO10:PO69" si="177">IF(FC10=1,AB10,0)</f>
        <v>0</v>
      </c>
      <c r="PP10" s="172">
        <f t="shared" ref="PP10:PP69" si="178">IF(FF10=1,AB10,0)</f>
        <v>0</v>
      </c>
      <c r="PQ10" s="172">
        <f t="shared" ref="PQ10:PQ69" si="179">AB10-(PO10+PP10)</f>
        <v>0</v>
      </c>
    </row>
    <row r="11" spans="1:433" ht="16" x14ac:dyDescent="0.2">
      <c r="A11" s="19">
        <f t="shared" ref="A11:A58" si="180">A10+1</f>
        <v>3</v>
      </c>
      <c r="B11" s="186" t="s">
        <v>175</v>
      </c>
      <c r="C11" s="186">
        <v>3</v>
      </c>
      <c r="D11" s="188">
        <v>1</v>
      </c>
      <c r="E11" s="188">
        <v>90</v>
      </c>
      <c r="F11" s="188">
        <v>1</v>
      </c>
      <c r="G11" s="188">
        <f t="shared" si="2"/>
        <v>90</v>
      </c>
      <c r="H11" s="214">
        <f t="shared" si="3"/>
        <v>1</v>
      </c>
      <c r="I11" s="214">
        <f t="shared" si="4"/>
        <v>1</v>
      </c>
      <c r="J11" s="188">
        <v>1</v>
      </c>
      <c r="K11" s="188">
        <f t="shared" si="5"/>
        <v>90</v>
      </c>
      <c r="L11" s="214">
        <f t="shared" si="6"/>
        <v>1</v>
      </c>
      <c r="M11" s="214">
        <f t="shared" si="7"/>
        <v>1</v>
      </c>
      <c r="N11" s="188">
        <v>1</v>
      </c>
      <c r="O11" s="188">
        <f t="shared" si="8"/>
        <v>90</v>
      </c>
      <c r="P11" s="214">
        <f t="shared" si="9"/>
        <v>1</v>
      </c>
      <c r="Q11" s="214">
        <f t="shared" si="10"/>
        <v>1</v>
      </c>
      <c r="R11" s="188">
        <v>1</v>
      </c>
      <c r="S11" s="188">
        <f t="shared" si="11"/>
        <v>90</v>
      </c>
      <c r="T11" s="214">
        <f t="shared" si="12"/>
        <v>1</v>
      </c>
      <c r="U11" s="214">
        <f t="shared" si="13"/>
        <v>1</v>
      </c>
      <c r="V11" s="188">
        <v>1</v>
      </c>
      <c r="W11" s="188">
        <f t="shared" si="14"/>
        <v>90</v>
      </c>
      <c r="X11" s="214">
        <f t="shared" si="15"/>
        <v>1</v>
      </c>
      <c r="Y11" s="214">
        <f t="shared" si="16"/>
        <v>1</v>
      </c>
      <c r="Z11" s="216">
        <f>695180000/1000000000</f>
        <v>0.69518000000000002</v>
      </c>
      <c r="AA11" s="188">
        <v>0</v>
      </c>
      <c r="AB11" s="189">
        <f t="shared" si="118"/>
        <v>0</v>
      </c>
      <c r="AC11" s="250">
        <f t="shared" si="119"/>
        <v>0</v>
      </c>
      <c r="AD11" s="250">
        <f t="shared" si="120"/>
        <v>0</v>
      </c>
      <c r="AE11" s="188"/>
      <c r="AF11" s="188">
        <f t="shared" si="121"/>
        <v>0</v>
      </c>
      <c r="AG11" s="188"/>
      <c r="AH11" s="188"/>
      <c r="AI11" s="188">
        <v>0</v>
      </c>
      <c r="AJ11" s="188">
        <f t="shared" ref="AJ11:AJ58" si="181">IF(AI11=D11,E11,0)</f>
        <v>0</v>
      </c>
      <c r="AK11" s="188"/>
      <c r="AL11" s="188">
        <v>0</v>
      </c>
      <c r="AM11" s="188">
        <v>0</v>
      </c>
      <c r="AN11" s="217"/>
      <c r="AO11" s="195"/>
      <c r="AP11" s="195"/>
      <c r="AQ11" s="195"/>
      <c r="AR11" s="195"/>
      <c r="AS11" s="195"/>
      <c r="AT11" s="195"/>
      <c r="BB11" s="17">
        <f t="shared" si="123"/>
        <v>0</v>
      </c>
      <c r="BE11" s="17">
        <f t="shared" si="19"/>
        <v>0</v>
      </c>
      <c r="BF11" s="17">
        <f t="shared" si="20"/>
        <v>0</v>
      </c>
      <c r="BG11" s="17">
        <f t="shared" si="21"/>
        <v>0</v>
      </c>
      <c r="BH11" s="17">
        <f t="shared" si="22"/>
        <v>0</v>
      </c>
      <c r="BI11" s="17">
        <f t="shared" si="23"/>
        <v>0</v>
      </c>
      <c r="BJ11" s="17">
        <f t="shared" si="24"/>
        <v>0</v>
      </c>
      <c r="BK11" s="17">
        <f t="shared" si="124"/>
        <v>0</v>
      </c>
      <c r="BM11" s="128"/>
      <c r="BN11" s="146">
        <v>38</v>
      </c>
      <c r="BO11" s="80">
        <v>1</v>
      </c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B11" s="20"/>
      <c r="CD11" s="17">
        <f t="shared" si="125"/>
        <v>38</v>
      </c>
      <c r="CE11" s="17">
        <f t="shared" si="126"/>
        <v>38</v>
      </c>
      <c r="CF11" s="20">
        <f t="shared" ref="CF11:CF58" si="182">IF(BP11=1,$CD11,0)</f>
        <v>0</v>
      </c>
      <c r="CG11" s="20">
        <f t="shared" ref="CG11:CG58" si="183">IF(BQ11=1,$CD11,0)</f>
        <v>0</v>
      </c>
      <c r="CH11" s="20">
        <f t="shared" ref="CH11:CH58" si="184">IF(BR11=1,$CD11,0)</f>
        <v>0</v>
      </c>
      <c r="CI11" s="20">
        <f t="shared" ref="CI11:CI58" si="185">IF(BS11=1,$CD11,0)</f>
        <v>0</v>
      </c>
      <c r="CJ11" s="20">
        <f t="shared" ref="CJ11:CJ58" si="186">IF(BT11=1,$CD11,0)</f>
        <v>0</v>
      </c>
      <c r="CK11" s="20">
        <f t="shared" ref="CK11:CK58" si="187">IF(BU11=1,$CD11,0)</f>
        <v>0</v>
      </c>
      <c r="CL11" s="20">
        <f t="shared" ref="CL11:CL58" si="188">IF(BV11=1,$CD11,0)</f>
        <v>0</v>
      </c>
      <c r="CM11" s="20">
        <f t="shared" ref="CM11:CM58" si="189">IF(BW11=1,$CD11,0)</f>
        <v>0</v>
      </c>
      <c r="CN11" s="20">
        <f t="shared" ref="CN11:CN58" si="190">IF(BX11=1,$CD11,0)</f>
        <v>0</v>
      </c>
      <c r="CO11" s="20">
        <f t="shared" ref="CO11:CO58" si="191">IF(BY11=1,$CD11,0)</f>
        <v>0</v>
      </c>
      <c r="CP11" s="20">
        <f t="shared" ref="CP11:CP58" si="192">IF(BZ11=1,$CD11,0)</f>
        <v>0</v>
      </c>
      <c r="DV11" s="20">
        <f t="shared" si="27"/>
        <v>0</v>
      </c>
      <c r="DW11" s="20">
        <f t="shared" si="28"/>
        <v>0</v>
      </c>
      <c r="DX11" s="20">
        <f t="shared" si="29"/>
        <v>0</v>
      </c>
      <c r="DY11" s="20">
        <f t="shared" si="30"/>
        <v>0</v>
      </c>
      <c r="DZ11" s="20">
        <f t="shared" si="31"/>
        <v>0</v>
      </c>
      <c r="EA11" s="20">
        <f t="shared" si="32"/>
        <v>0</v>
      </c>
      <c r="EB11" s="20">
        <f t="shared" si="127"/>
        <v>0</v>
      </c>
      <c r="ED11" s="46" t="s">
        <v>368</v>
      </c>
      <c r="EE11" s="46" t="s">
        <v>370</v>
      </c>
      <c r="EF11" s="56"/>
      <c r="EG11" s="57">
        <f t="shared" si="128"/>
        <v>0</v>
      </c>
      <c r="EH11" s="57">
        <f t="shared" si="129"/>
        <v>0</v>
      </c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X11" s="169">
        <v>1</v>
      </c>
      <c r="FY11" s="17">
        <f t="shared" si="130"/>
        <v>38</v>
      </c>
      <c r="FZ11" s="17">
        <f t="shared" si="34"/>
        <v>38</v>
      </c>
      <c r="GA11" s="17">
        <f t="shared" si="35"/>
        <v>0</v>
      </c>
      <c r="GB11" s="17">
        <f t="shared" si="36"/>
        <v>0</v>
      </c>
      <c r="GC11" s="17">
        <f t="shared" si="37"/>
        <v>0</v>
      </c>
      <c r="GD11" s="17">
        <f t="shared" si="38"/>
        <v>0</v>
      </c>
      <c r="GE11" s="17">
        <f t="shared" si="39"/>
        <v>0</v>
      </c>
      <c r="GF11" s="67"/>
      <c r="GG11" s="17">
        <v>0</v>
      </c>
      <c r="GH11" s="17">
        <v>0</v>
      </c>
      <c r="GI11" s="67"/>
      <c r="GJ11" s="62">
        <f t="shared" si="131"/>
        <v>0</v>
      </c>
      <c r="GK11" s="62">
        <f t="shared" si="132"/>
        <v>0</v>
      </c>
      <c r="GO11" s="17">
        <f t="shared" si="40"/>
        <v>0</v>
      </c>
      <c r="GP11" s="17">
        <f t="shared" si="41"/>
        <v>0</v>
      </c>
      <c r="GQ11" s="17">
        <f t="shared" si="42"/>
        <v>0</v>
      </c>
      <c r="GR11" s="17">
        <f t="shared" si="43"/>
        <v>0</v>
      </c>
      <c r="GS11" s="17">
        <f t="shared" si="44"/>
        <v>0</v>
      </c>
      <c r="GT11" s="17">
        <f t="shared" si="133"/>
        <v>1</v>
      </c>
      <c r="GU11" s="101">
        <f t="shared" si="134"/>
        <v>43243</v>
      </c>
      <c r="GV11" s="17" t="str">
        <f t="shared" si="135"/>
        <v>SELESAI</v>
      </c>
      <c r="GW11" s="17">
        <f t="shared" si="136"/>
        <v>0</v>
      </c>
      <c r="GX11" s="66" t="str">
        <f t="shared" si="137"/>
        <v>SELESAI</v>
      </c>
      <c r="GY11" s="66">
        <f t="shared" si="138"/>
        <v>0</v>
      </c>
      <c r="GZ11" s="102" t="str">
        <f t="shared" si="139"/>
        <v>SELESAI</v>
      </c>
      <c r="HA11" s="83"/>
      <c r="HB11" s="83"/>
      <c r="HC11" s="17">
        <f t="shared" si="45"/>
        <v>0</v>
      </c>
      <c r="HD11" s="17">
        <f t="shared" si="46"/>
        <v>0</v>
      </c>
      <c r="HE11" s="17">
        <f t="shared" si="140"/>
        <v>0</v>
      </c>
      <c r="HF11" s="17">
        <f t="shared" si="141"/>
        <v>0</v>
      </c>
      <c r="HG11" s="17">
        <f t="shared" si="142"/>
        <v>0</v>
      </c>
      <c r="HH11" s="101" t="str">
        <f t="shared" si="47"/>
        <v>TIDAK KONSINYASI</v>
      </c>
      <c r="HI11" s="101" t="str">
        <f t="shared" si="143"/>
        <v>SELESAI</v>
      </c>
      <c r="HJ11" s="27"/>
      <c r="HK11" s="101">
        <f t="shared" si="48"/>
        <v>0</v>
      </c>
      <c r="HL11" s="83"/>
      <c r="HM11" s="83"/>
      <c r="HN11" s="83"/>
      <c r="HO11" s="83"/>
      <c r="HP11" s="102">
        <f t="shared" si="144"/>
        <v>0</v>
      </c>
      <c r="HQ11" s="66">
        <f t="shared" si="145"/>
        <v>0</v>
      </c>
      <c r="HR11" s="66">
        <f t="shared" si="49"/>
        <v>0</v>
      </c>
      <c r="HS11" s="102">
        <f t="shared" si="146"/>
        <v>0</v>
      </c>
      <c r="HT11" s="66">
        <f t="shared" si="147"/>
        <v>0</v>
      </c>
      <c r="HU11" s="66">
        <f t="shared" si="50"/>
        <v>0</v>
      </c>
      <c r="HV11" s="102">
        <f t="shared" si="148"/>
        <v>0</v>
      </c>
      <c r="HW11" s="66">
        <f t="shared" si="51"/>
        <v>0</v>
      </c>
      <c r="HX11" s="66">
        <f t="shared" si="52"/>
        <v>0</v>
      </c>
      <c r="HY11" s="102">
        <f t="shared" si="53"/>
        <v>0</v>
      </c>
      <c r="HZ11" s="66">
        <f t="shared" si="149"/>
        <v>0</v>
      </c>
      <c r="IA11" s="66">
        <f t="shared" si="54"/>
        <v>0</v>
      </c>
      <c r="IB11" s="102">
        <f t="shared" si="150"/>
        <v>0</v>
      </c>
      <c r="IC11" s="66">
        <f t="shared" si="55"/>
        <v>0</v>
      </c>
      <c r="ID11" s="66">
        <f t="shared" si="56"/>
        <v>0</v>
      </c>
      <c r="IE11" s="102">
        <f t="shared" si="57"/>
        <v>0</v>
      </c>
      <c r="IF11" s="66">
        <f t="shared" si="58"/>
        <v>0</v>
      </c>
      <c r="IG11" s="66">
        <f t="shared" si="59"/>
        <v>0</v>
      </c>
      <c r="IH11" s="102">
        <f t="shared" si="151"/>
        <v>0</v>
      </c>
      <c r="II11" s="66">
        <f t="shared" si="152"/>
        <v>0</v>
      </c>
      <c r="IJ11" s="66">
        <f t="shared" si="60"/>
        <v>0</v>
      </c>
      <c r="IK11" s="102">
        <f t="shared" si="61"/>
        <v>0</v>
      </c>
      <c r="IL11" s="66">
        <f t="shared" si="62"/>
        <v>0</v>
      </c>
      <c r="IM11" s="66">
        <f t="shared" si="63"/>
        <v>0</v>
      </c>
      <c r="IN11" s="83"/>
      <c r="IO11" s="102">
        <f t="shared" si="64"/>
        <v>0</v>
      </c>
      <c r="IP11" s="66">
        <f t="shared" si="65"/>
        <v>0</v>
      </c>
      <c r="IQ11" s="66">
        <f t="shared" si="66"/>
        <v>0</v>
      </c>
      <c r="IR11" s="83"/>
      <c r="IS11" s="102"/>
      <c r="IT11" s="66">
        <f t="shared" si="67"/>
        <v>1</v>
      </c>
      <c r="IU11" s="66">
        <f t="shared" si="68"/>
        <v>90</v>
      </c>
      <c r="IV11" s="83"/>
      <c r="IW11" s="102"/>
      <c r="IX11" s="66">
        <f t="shared" si="69"/>
        <v>0</v>
      </c>
      <c r="IY11" s="66">
        <f t="shared" si="70"/>
        <v>0</v>
      </c>
      <c r="IZ11" s="83"/>
      <c r="JA11" s="102"/>
      <c r="JB11" s="66">
        <f t="shared" si="71"/>
        <v>0</v>
      </c>
      <c r="JC11" s="66">
        <f t="shared" si="72"/>
        <v>0</v>
      </c>
      <c r="JD11" s="83"/>
      <c r="JE11" s="102"/>
      <c r="JF11" s="66">
        <f t="shared" si="153"/>
        <v>1</v>
      </c>
      <c r="JG11" s="66">
        <f t="shared" si="73"/>
        <v>90</v>
      </c>
      <c r="JH11" s="83"/>
      <c r="JI11" s="102"/>
      <c r="JJ11" s="66">
        <f t="shared" si="74"/>
        <v>0</v>
      </c>
      <c r="JK11" s="66">
        <f t="shared" si="75"/>
        <v>0</v>
      </c>
      <c r="JM11" s="102">
        <f t="shared" si="154"/>
        <v>0</v>
      </c>
      <c r="JO11" s="29">
        <f t="shared" si="76"/>
        <v>1</v>
      </c>
      <c r="JP11" s="122">
        <f t="shared" si="77"/>
        <v>38</v>
      </c>
      <c r="JQ11" s="122">
        <f t="shared" si="78"/>
        <v>1</v>
      </c>
      <c r="JR11" s="122">
        <f t="shared" si="79"/>
        <v>0</v>
      </c>
      <c r="JS11" s="122">
        <f t="shared" si="80"/>
        <v>0</v>
      </c>
      <c r="JT11" s="122">
        <f t="shared" si="81"/>
        <v>0</v>
      </c>
      <c r="JU11" s="122">
        <f t="shared" si="82"/>
        <v>0</v>
      </c>
      <c r="JV11" s="122">
        <f t="shared" si="83"/>
        <v>0</v>
      </c>
      <c r="JW11" s="122">
        <f t="shared" si="84"/>
        <v>0</v>
      </c>
      <c r="JX11" s="122">
        <f t="shared" si="85"/>
        <v>0</v>
      </c>
      <c r="JY11" s="122">
        <f t="shared" si="86"/>
        <v>0</v>
      </c>
      <c r="JZ11" s="122">
        <f t="shared" si="87"/>
        <v>0</v>
      </c>
      <c r="KA11" s="122">
        <f t="shared" si="88"/>
        <v>0</v>
      </c>
      <c r="KB11" s="122">
        <f t="shared" si="89"/>
        <v>0</v>
      </c>
      <c r="KD11" s="122">
        <f t="shared" si="155"/>
        <v>0</v>
      </c>
      <c r="KE11" s="122">
        <f t="shared" si="91"/>
        <v>0</v>
      </c>
      <c r="KF11" s="122">
        <f t="shared" si="92"/>
        <v>38</v>
      </c>
      <c r="KG11" s="122">
        <f t="shared" si="93"/>
        <v>38</v>
      </c>
      <c r="KH11" s="122">
        <f t="shared" si="94"/>
        <v>0</v>
      </c>
      <c r="KI11" s="122">
        <f t="shared" si="95"/>
        <v>0</v>
      </c>
      <c r="KJ11" s="122">
        <f t="shared" si="96"/>
        <v>0</v>
      </c>
      <c r="KK11" s="122">
        <f t="shared" si="97"/>
        <v>0</v>
      </c>
      <c r="KL11" s="122">
        <f t="shared" si="98"/>
        <v>0</v>
      </c>
      <c r="KM11" s="122">
        <f t="shared" si="99"/>
        <v>0</v>
      </c>
      <c r="KN11" s="123">
        <f t="shared" si="100"/>
        <v>0</v>
      </c>
      <c r="KO11" s="123">
        <f t="shared" si="101"/>
        <v>0</v>
      </c>
      <c r="KP11" s="123">
        <f t="shared" si="102"/>
        <v>0</v>
      </c>
      <c r="KQ11" s="123">
        <f t="shared" si="103"/>
        <v>0</v>
      </c>
      <c r="KR11" s="123">
        <f t="shared" si="104"/>
        <v>0</v>
      </c>
      <c r="KT11">
        <f t="shared" si="105"/>
        <v>0</v>
      </c>
      <c r="KU11" s="123"/>
      <c r="KV11" s="123"/>
      <c r="KW11" s="123"/>
      <c r="KX11" s="123"/>
      <c r="KY11" s="123"/>
      <c r="KZ11" s="123"/>
      <c r="LA11" s="123"/>
      <c r="LB11" s="123"/>
      <c r="LC11" s="123"/>
      <c r="LD11" s="123"/>
      <c r="LE11" s="123"/>
      <c r="LF11" s="123"/>
      <c r="LG11" s="123"/>
      <c r="LH11" s="123"/>
      <c r="LI11" s="123"/>
      <c r="LJ11" s="123"/>
      <c r="LK11" s="123"/>
      <c r="LL11" s="123"/>
      <c r="LM11" s="123"/>
      <c r="LN11" s="123"/>
      <c r="LO11" s="123"/>
      <c r="LP11" s="123"/>
      <c r="LQ11" s="123"/>
      <c r="LR11" s="123"/>
      <c r="LS11" s="123"/>
      <c r="LT11" s="123"/>
      <c r="LU11" s="123"/>
      <c r="LV11" s="123"/>
      <c r="LW11" s="123"/>
      <c r="LX11" s="123"/>
      <c r="LY11" s="123"/>
      <c r="LZ11" s="123"/>
      <c r="MA11" s="123"/>
      <c r="MB11" s="123"/>
      <c r="MC11" s="123"/>
      <c r="MD11" s="123"/>
      <c r="ME11" s="123"/>
      <c r="MF11" s="123"/>
      <c r="MG11" s="123"/>
      <c r="MH11" s="123"/>
      <c r="MI11" s="123"/>
      <c r="MJ11" s="123"/>
      <c r="MK11" s="123"/>
      <c r="ML11" s="123"/>
      <c r="MM11" s="123"/>
      <c r="MN11" s="123"/>
      <c r="MO11" s="123"/>
      <c r="MP11" s="123"/>
      <c r="MQ11" s="123"/>
      <c r="MR11" s="123"/>
      <c r="MS11" s="123"/>
      <c r="MT11" s="123"/>
      <c r="MU11" s="123"/>
      <c r="MV11" s="123"/>
      <c r="MW11" s="123"/>
      <c r="MX11" s="123"/>
      <c r="MY11" s="123"/>
      <c r="MZ11" s="123"/>
      <c r="NA11" s="123"/>
      <c r="NB11" s="123"/>
      <c r="NC11" s="123"/>
      <c r="ND11" s="123"/>
      <c r="NE11" s="123"/>
      <c r="NF11" s="123"/>
      <c r="NG11" s="123"/>
      <c r="NH11" s="123"/>
      <c r="NI11" s="123"/>
      <c r="NJ11" s="123"/>
      <c r="NK11" s="123"/>
      <c r="NM11">
        <f t="shared" si="156"/>
        <v>0</v>
      </c>
      <c r="NN11">
        <f t="shared" si="157"/>
        <v>0</v>
      </c>
      <c r="NO11">
        <f t="shared" si="158"/>
        <v>0</v>
      </c>
      <c r="NP11">
        <f t="shared" si="159"/>
        <v>0</v>
      </c>
      <c r="NQ11">
        <f t="shared" si="160"/>
        <v>0</v>
      </c>
      <c r="NR11">
        <f t="shared" si="161"/>
        <v>0</v>
      </c>
      <c r="NS11">
        <f t="shared" si="162"/>
        <v>0</v>
      </c>
      <c r="NT11">
        <f t="shared" si="163"/>
        <v>0</v>
      </c>
      <c r="NU11" s="29">
        <f t="shared" si="164"/>
        <v>0</v>
      </c>
      <c r="NY11" s="29">
        <f t="shared" si="107"/>
        <v>1</v>
      </c>
      <c r="NZ11" s="152">
        <v>7350000</v>
      </c>
      <c r="OE11" s="155">
        <f t="shared" si="108"/>
        <v>0</v>
      </c>
      <c r="OF11" s="155">
        <f t="shared" si="109"/>
        <v>0</v>
      </c>
      <c r="OG11" s="155">
        <f t="shared" si="110"/>
        <v>0</v>
      </c>
      <c r="OH11" s="155">
        <f t="shared" si="165"/>
        <v>0</v>
      </c>
      <c r="OI11" s="155">
        <f t="shared" si="111"/>
        <v>0</v>
      </c>
      <c r="OJ11" s="67">
        <f t="shared" si="166"/>
        <v>0</v>
      </c>
      <c r="OK11" s="67">
        <f t="shared" si="167"/>
        <v>0</v>
      </c>
      <c r="OL11" s="67">
        <f t="shared" si="168"/>
        <v>0</v>
      </c>
      <c r="OM11" s="67">
        <f t="shared" si="169"/>
        <v>0</v>
      </c>
      <c r="OO11" s="155">
        <f t="shared" si="112"/>
        <v>0</v>
      </c>
      <c r="OP11" s="155">
        <f t="shared" si="113"/>
        <v>0</v>
      </c>
      <c r="OQ11" s="155">
        <f t="shared" si="170"/>
        <v>0</v>
      </c>
      <c r="OR11" s="155">
        <f t="shared" si="171"/>
        <v>0</v>
      </c>
      <c r="OS11" s="155">
        <f t="shared" si="172"/>
        <v>0</v>
      </c>
      <c r="OT11" s="67">
        <f t="shared" si="173"/>
        <v>0</v>
      </c>
      <c r="OU11" s="67">
        <f t="shared" si="174"/>
        <v>0</v>
      </c>
      <c r="OV11" s="67">
        <f t="shared" si="175"/>
        <v>0</v>
      </c>
      <c r="OW11" s="67">
        <f t="shared" si="176"/>
        <v>0</v>
      </c>
      <c r="OZ11" s="163">
        <f t="shared" si="114"/>
        <v>0</v>
      </c>
      <c r="PA11" s="166"/>
      <c r="PB11" s="166"/>
      <c r="PC11" s="166"/>
      <c r="PD11" s="210">
        <f t="shared" si="115"/>
        <v>0</v>
      </c>
      <c r="PE11" s="210"/>
      <c r="PF11" s="210">
        <f t="shared" si="116"/>
        <v>0</v>
      </c>
      <c r="PG11" s="210">
        <f t="shared" si="117"/>
        <v>0</v>
      </c>
      <c r="PH11" s="210">
        <f t="shared" si="117"/>
        <v>0</v>
      </c>
      <c r="PI11" s="210">
        <f t="shared" si="117"/>
        <v>0</v>
      </c>
      <c r="PJ11" s="210">
        <f t="shared" si="117"/>
        <v>0</v>
      </c>
      <c r="PK11" s="210">
        <f t="shared" si="117"/>
        <v>0</v>
      </c>
      <c r="PL11" s="210">
        <f t="shared" si="117"/>
        <v>0</v>
      </c>
      <c r="PO11" s="172">
        <f t="shared" si="177"/>
        <v>0</v>
      </c>
      <c r="PP11" s="172">
        <f t="shared" si="178"/>
        <v>0</v>
      </c>
      <c r="PQ11" s="172">
        <f t="shared" si="179"/>
        <v>0</v>
      </c>
    </row>
    <row r="12" spans="1:433" ht="16" x14ac:dyDescent="0.2">
      <c r="A12" s="19">
        <f t="shared" si="180"/>
        <v>4</v>
      </c>
      <c r="B12" s="186" t="s">
        <v>175</v>
      </c>
      <c r="C12" s="186">
        <v>4</v>
      </c>
      <c r="D12" s="188">
        <v>1</v>
      </c>
      <c r="E12" s="188">
        <v>90</v>
      </c>
      <c r="F12" s="188">
        <v>1</v>
      </c>
      <c r="G12" s="188">
        <f t="shared" si="2"/>
        <v>90</v>
      </c>
      <c r="H12" s="214">
        <f t="shared" si="3"/>
        <v>1</v>
      </c>
      <c r="I12" s="214">
        <f t="shared" si="4"/>
        <v>1</v>
      </c>
      <c r="J12" s="188">
        <v>1</v>
      </c>
      <c r="K12" s="188">
        <f t="shared" si="5"/>
        <v>90</v>
      </c>
      <c r="L12" s="214">
        <f t="shared" si="6"/>
        <v>1</v>
      </c>
      <c r="M12" s="214">
        <f t="shared" si="7"/>
        <v>1</v>
      </c>
      <c r="N12" s="188">
        <v>1</v>
      </c>
      <c r="O12" s="188">
        <f t="shared" si="8"/>
        <v>90</v>
      </c>
      <c r="P12" s="214">
        <f t="shared" si="9"/>
        <v>1</v>
      </c>
      <c r="Q12" s="214">
        <f t="shared" si="10"/>
        <v>1</v>
      </c>
      <c r="R12" s="188">
        <v>1</v>
      </c>
      <c r="S12" s="188">
        <f t="shared" si="11"/>
        <v>90</v>
      </c>
      <c r="T12" s="214">
        <f t="shared" si="12"/>
        <v>1</v>
      </c>
      <c r="U12" s="214">
        <f t="shared" si="13"/>
        <v>1</v>
      </c>
      <c r="V12" s="188">
        <v>1</v>
      </c>
      <c r="W12" s="188">
        <f t="shared" si="14"/>
        <v>90</v>
      </c>
      <c r="X12" s="214">
        <f t="shared" si="15"/>
        <v>1</v>
      </c>
      <c r="Y12" s="214">
        <f t="shared" si="16"/>
        <v>1</v>
      </c>
      <c r="Z12" s="216">
        <f>696376000/1000000000</f>
        <v>0.696376</v>
      </c>
      <c r="AA12" s="188">
        <v>0</v>
      </c>
      <c r="AB12" s="189">
        <f t="shared" si="118"/>
        <v>0</v>
      </c>
      <c r="AC12" s="250">
        <f t="shared" si="119"/>
        <v>0</v>
      </c>
      <c r="AD12" s="250">
        <f t="shared" si="120"/>
        <v>0</v>
      </c>
      <c r="AE12" s="188"/>
      <c r="AF12" s="188">
        <f t="shared" si="121"/>
        <v>0</v>
      </c>
      <c r="AG12" s="188"/>
      <c r="AH12" s="188"/>
      <c r="AI12" s="188">
        <v>0</v>
      </c>
      <c r="AJ12" s="188">
        <f t="shared" si="181"/>
        <v>0</v>
      </c>
      <c r="AK12" s="188"/>
      <c r="AL12" s="188">
        <v>0</v>
      </c>
      <c r="AM12" s="188">
        <v>0</v>
      </c>
      <c r="AN12" s="217"/>
      <c r="AO12" s="195"/>
      <c r="AP12" s="195"/>
      <c r="AQ12" s="195"/>
      <c r="AR12" s="195"/>
      <c r="AS12" s="195"/>
      <c r="AT12" s="195"/>
      <c r="BB12" s="17">
        <f t="shared" si="123"/>
        <v>0</v>
      </c>
      <c r="BE12" s="17">
        <f t="shared" si="19"/>
        <v>0</v>
      </c>
      <c r="BF12" s="17">
        <f t="shared" si="20"/>
        <v>0</v>
      </c>
      <c r="BG12" s="17">
        <f t="shared" si="21"/>
        <v>0</v>
      </c>
      <c r="BH12" s="17">
        <f t="shared" si="22"/>
        <v>0</v>
      </c>
      <c r="BI12" s="17">
        <f t="shared" si="23"/>
        <v>0</v>
      </c>
      <c r="BJ12" s="17">
        <f t="shared" si="24"/>
        <v>0</v>
      </c>
      <c r="BK12" s="17">
        <f t="shared" si="124"/>
        <v>0</v>
      </c>
      <c r="BM12" s="128"/>
      <c r="BN12" s="286">
        <v>38</v>
      </c>
      <c r="BO12" s="80">
        <v>1</v>
      </c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B12" s="20"/>
      <c r="CD12" s="17">
        <f t="shared" si="125"/>
        <v>38</v>
      </c>
      <c r="CE12" s="17">
        <f t="shared" si="126"/>
        <v>38</v>
      </c>
      <c r="CF12" s="20">
        <f t="shared" si="182"/>
        <v>0</v>
      </c>
      <c r="CG12" s="20">
        <f t="shared" si="183"/>
        <v>0</v>
      </c>
      <c r="CH12" s="20">
        <f t="shared" si="184"/>
        <v>0</v>
      </c>
      <c r="CI12" s="20">
        <f t="shared" si="185"/>
        <v>0</v>
      </c>
      <c r="CJ12" s="20">
        <f t="shared" si="186"/>
        <v>0</v>
      </c>
      <c r="CK12" s="20">
        <f t="shared" si="187"/>
        <v>0</v>
      </c>
      <c r="CL12" s="20">
        <f t="shared" si="188"/>
        <v>0</v>
      </c>
      <c r="CM12" s="20">
        <f t="shared" si="189"/>
        <v>0</v>
      </c>
      <c r="CN12" s="20">
        <f t="shared" si="190"/>
        <v>0</v>
      </c>
      <c r="CO12" s="20">
        <f t="shared" si="191"/>
        <v>0</v>
      </c>
      <c r="CP12" s="20">
        <f t="shared" si="192"/>
        <v>0</v>
      </c>
      <c r="DV12" s="20">
        <f t="shared" si="27"/>
        <v>0</v>
      </c>
      <c r="DW12" s="20">
        <f t="shared" si="28"/>
        <v>0</v>
      </c>
      <c r="DX12" s="20">
        <f t="shared" si="29"/>
        <v>0</v>
      </c>
      <c r="DY12" s="20">
        <f t="shared" si="30"/>
        <v>0</v>
      </c>
      <c r="DZ12" s="20">
        <f t="shared" si="31"/>
        <v>0</v>
      </c>
      <c r="EA12" s="20">
        <f t="shared" si="32"/>
        <v>0</v>
      </c>
      <c r="EB12" s="20">
        <f t="shared" si="127"/>
        <v>0</v>
      </c>
      <c r="ED12" s="46" t="s">
        <v>371</v>
      </c>
      <c r="EE12" s="46" t="s">
        <v>372</v>
      </c>
      <c r="EF12" s="56"/>
      <c r="EG12" s="57">
        <f t="shared" si="128"/>
        <v>0</v>
      </c>
      <c r="EH12" s="57">
        <f t="shared" si="129"/>
        <v>0</v>
      </c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X12" s="169">
        <v>1</v>
      </c>
      <c r="FY12" s="17">
        <f t="shared" si="130"/>
        <v>38</v>
      </c>
      <c r="FZ12" s="17">
        <f t="shared" si="34"/>
        <v>38</v>
      </c>
      <c r="GA12" s="17">
        <f t="shared" si="35"/>
        <v>0</v>
      </c>
      <c r="GB12" s="17">
        <f t="shared" si="36"/>
        <v>0</v>
      </c>
      <c r="GC12" s="17">
        <f t="shared" si="37"/>
        <v>0</v>
      </c>
      <c r="GD12" s="17">
        <f t="shared" si="38"/>
        <v>0</v>
      </c>
      <c r="GE12" s="17">
        <f t="shared" si="39"/>
        <v>0</v>
      </c>
      <c r="GF12" s="67"/>
      <c r="GG12" s="17">
        <v>0</v>
      </c>
      <c r="GH12" s="17">
        <v>0</v>
      </c>
      <c r="GI12" s="67"/>
      <c r="GJ12" s="62">
        <f t="shared" si="131"/>
        <v>0</v>
      </c>
      <c r="GK12" s="62">
        <f t="shared" si="132"/>
        <v>0</v>
      </c>
      <c r="GO12" s="17">
        <f t="shared" si="40"/>
        <v>0</v>
      </c>
      <c r="GP12" s="17">
        <f t="shared" si="41"/>
        <v>0</v>
      </c>
      <c r="GQ12" s="17">
        <f t="shared" si="42"/>
        <v>0</v>
      </c>
      <c r="GR12" s="17">
        <f t="shared" si="43"/>
        <v>0</v>
      </c>
      <c r="GS12" s="17">
        <f t="shared" si="44"/>
        <v>0</v>
      </c>
      <c r="GT12" s="17">
        <f t="shared" si="133"/>
        <v>1</v>
      </c>
      <c r="GU12" s="101">
        <f t="shared" si="134"/>
        <v>43243</v>
      </c>
      <c r="GV12" s="17" t="str">
        <f t="shared" si="135"/>
        <v>SELESAI</v>
      </c>
      <c r="GW12" s="17">
        <f t="shared" si="136"/>
        <v>0</v>
      </c>
      <c r="GX12" s="66" t="str">
        <f t="shared" si="137"/>
        <v>SELESAI</v>
      </c>
      <c r="GY12" s="66">
        <f t="shared" si="138"/>
        <v>0</v>
      </c>
      <c r="GZ12" s="102" t="str">
        <f t="shared" si="139"/>
        <v>SELESAI</v>
      </c>
      <c r="HA12" s="83"/>
      <c r="HB12" s="83"/>
      <c r="HC12" s="17">
        <f t="shared" si="45"/>
        <v>0</v>
      </c>
      <c r="HD12" s="17">
        <f t="shared" si="46"/>
        <v>0</v>
      </c>
      <c r="HE12" s="17">
        <f t="shared" si="140"/>
        <v>0</v>
      </c>
      <c r="HF12" s="17">
        <f t="shared" si="141"/>
        <v>0</v>
      </c>
      <c r="HG12" s="17">
        <f t="shared" si="142"/>
        <v>0</v>
      </c>
      <c r="HH12" s="101" t="str">
        <f t="shared" si="47"/>
        <v>TIDAK KONSINYASI</v>
      </c>
      <c r="HI12" s="101" t="str">
        <f t="shared" si="143"/>
        <v>SELESAI</v>
      </c>
      <c r="HJ12" s="27"/>
      <c r="HK12" s="101">
        <f t="shared" si="48"/>
        <v>0</v>
      </c>
      <c r="HL12" s="83"/>
      <c r="HM12" s="83"/>
      <c r="HN12" s="83"/>
      <c r="HO12" s="83"/>
      <c r="HP12" s="102">
        <f t="shared" si="144"/>
        <v>0</v>
      </c>
      <c r="HQ12" s="66">
        <f t="shared" si="145"/>
        <v>0</v>
      </c>
      <c r="HR12" s="66">
        <f t="shared" si="49"/>
        <v>0</v>
      </c>
      <c r="HS12" s="102">
        <f t="shared" si="146"/>
        <v>0</v>
      </c>
      <c r="HT12" s="66">
        <f t="shared" si="147"/>
        <v>0</v>
      </c>
      <c r="HU12" s="66">
        <f t="shared" si="50"/>
        <v>0</v>
      </c>
      <c r="HV12" s="102">
        <f t="shared" si="148"/>
        <v>0</v>
      </c>
      <c r="HW12" s="66">
        <f t="shared" si="51"/>
        <v>0</v>
      </c>
      <c r="HX12" s="66">
        <f t="shared" si="52"/>
        <v>0</v>
      </c>
      <c r="HY12" s="102">
        <f t="shared" si="53"/>
        <v>0</v>
      </c>
      <c r="HZ12" s="66">
        <f t="shared" si="149"/>
        <v>0</v>
      </c>
      <c r="IA12" s="66">
        <f t="shared" si="54"/>
        <v>0</v>
      </c>
      <c r="IB12" s="102">
        <f t="shared" si="150"/>
        <v>0</v>
      </c>
      <c r="IC12" s="66">
        <f t="shared" si="55"/>
        <v>0</v>
      </c>
      <c r="ID12" s="66">
        <f t="shared" si="56"/>
        <v>0</v>
      </c>
      <c r="IE12" s="102">
        <f t="shared" si="57"/>
        <v>0</v>
      </c>
      <c r="IF12" s="66">
        <f t="shared" si="58"/>
        <v>0</v>
      </c>
      <c r="IG12" s="66">
        <f t="shared" si="59"/>
        <v>0</v>
      </c>
      <c r="IH12" s="102">
        <f t="shared" si="151"/>
        <v>0</v>
      </c>
      <c r="II12" s="66">
        <f t="shared" si="152"/>
        <v>0</v>
      </c>
      <c r="IJ12" s="66">
        <f t="shared" si="60"/>
        <v>0</v>
      </c>
      <c r="IK12" s="102">
        <f t="shared" si="61"/>
        <v>0</v>
      </c>
      <c r="IL12" s="66">
        <f t="shared" si="62"/>
        <v>0</v>
      </c>
      <c r="IM12" s="66">
        <f t="shared" si="63"/>
        <v>0</v>
      </c>
      <c r="IN12" s="83"/>
      <c r="IO12" s="102">
        <f t="shared" si="64"/>
        <v>0</v>
      </c>
      <c r="IP12" s="66">
        <f t="shared" si="65"/>
        <v>0</v>
      </c>
      <c r="IQ12" s="66">
        <f t="shared" si="66"/>
        <v>0</v>
      </c>
      <c r="IR12" s="83"/>
      <c r="IS12" s="102"/>
      <c r="IT12" s="66">
        <f t="shared" si="67"/>
        <v>1</v>
      </c>
      <c r="IU12" s="66">
        <f t="shared" si="68"/>
        <v>90</v>
      </c>
      <c r="IV12" s="83"/>
      <c r="IW12" s="102"/>
      <c r="IX12" s="66">
        <f t="shared" si="69"/>
        <v>0</v>
      </c>
      <c r="IY12" s="66">
        <f t="shared" si="70"/>
        <v>0</v>
      </c>
      <c r="IZ12" s="83"/>
      <c r="JA12" s="102"/>
      <c r="JB12" s="66">
        <f t="shared" si="71"/>
        <v>0</v>
      </c>
      <c r="JC12" s="66">
        <f t="shared" si="72"/>
        <v>0</v>
      </c>
      <c r="JD12" s="83"/>
      <c r="JE12" s="102"/>
      <c r="JF12" s="66">
        <f t="shared" si="153"/>
        <v>1</v>
      </c>
      <c r="JG12" s="66">
        <f t="shared" si="73"/>
        <v>90</v>
      </c>
      <c r="JH12" s="83"/>
      <c r="JI12" s="102"/>
      <c r="JJ12" s="66">
        <f t="shared" si="74"/>
        <v>0</v>
      </c>
      <c r="JK12" s="66">
        <f t="shared" si="75"/>
        <v>0</v>
      </c>
      <c r="JM12" s="102">
        <f t="shared" si="154"/>
        <v>0</v>
      </c>
      <c r="JO12" s="29">
        <f t="shared" si="76"/>
        <v>1</v>
      </c>
      <c r="JP12" s="122">
        <f t="shared" si="77"/>
        <v>38</v>
      </c>
      <c r="JQ12" s="122">
        <f t="shared" si="78"/>
        <v>1</v>
      </c>
      <c r="JR12" s="122">
        <f t="shared" si="79"/>
        <v>0</v>
      </c>
      <c r="JS12" s="122">
        <f t="shared" si="80"/>
        <v>0</v>
      </c>
      <c r="JT12" s="122">
        <f t="shared" si="81"/>
        <v>0</v>
      </c>
      <c r="JU12" s="122">
        <f t="shared" si="82"/>
        <v>0</v>
      </c>
      <c r="JV12" s="122">
        <f t="shared" si="83"/>
        <v>0</v>
      </c>
      <c r="JW12" s="122">
        <f t="shared" si="84"/>
        <v>0</v>
      </c>
      <c r="JX12" s="122">
        <f t="shared" si="85"/>
        <v>0</v>
      </c>
      <c r="JY12" s="122">
        <f t="shared" si="86"/>
        <v>0</v>
      </c>
      <c r="JZ12" s="122">
        <f t="shared" si="87"/>
        <v>0</v>
      </c>
      <c r="KA12" s="122">
        <f t="shared" si="88"/>
        <v>0</v>
      </c>
      <c r="KB12" s="122">
        <f t="shared" si="89"/>
        <v>0</v>
      </c>
      <c r="KD12" s="122">
        <f t="shared" si="155"/>
        <v>0</v>
      </c>
      <c r="KE12" s="122">
        <f t="shared" si="91"/>
        <v>0</v>
      </c>
      <c r="KF12" s="122">
        <f t="shared" si="92"/>
        <v>38</v>
      </c>
      <c r="KG12" s="122">
        <f t="shared" si="93"/>
        <v>38</v>
      </c>
      <c r="KH12" s="122">
        <f t="shared" si="94"/>
        <v>0</v>
      </c>
      <c r="KI12" s="122">
        <f t="shared" si="95"/>
        <v>0</v>
      </c>
      <c r="KJ12" s="122">
        <f t="shared" si="96"/>
        <v>0</v>
      </c>
      <c r="KK12" s="122">
        <f t="shared" si="97"/>
        <v>0</v>
      </c>
      <c r="KL12" s="122">
        <f t="shared" si="98"/>
        <v>0</v>
      </c>
      <c r="KM12" s="122">
        <f t="shared" si="99"/>
        <v>0</v>
      </c>
      <c r="KN12" s="123">
        <f t="shared" si="100"/>
        <v>0</v>
      </c>
      <c r="KO12" s="123">
        <f t="shared" si="101"/>
        <v>0</v>
      </c>
      <c r="KP12" s="123">
        <f t="shared" si="102"/>
        <v>0</v>
      </c>
      <c r="KQ12" s="123">
        <f t="shared" si="103"/>
        <v>0</v>
      </c>
      <c r="KR12" s="123">
        <f t="shared" si="104"/>
        <v>0</v>
      </c>
      <c r="KT12">
        <f t="shared" si="105"/>
        <v>0</v>
      </c>
      <c r="KU12" s="123"/>
      <c r="KV12" s="123"/>
      <c r="KW12" s="123"/>
      <c r="KX12" s="123"/>
      <c r="KY12" s="123"/>
      <c r="KZ12" s="123"/>
      <c r="LA12" s="123"/>
      <c r="LB12" s="123"/>
      <c r="LC12" s="123"/>
      <c r="LD12" s="123"/>
      <c r="LE12" s="123"/>
      <c r="LF12" s="123"/>
      <c r="LG12" s="123"/>
      <c r="LH12" s="123"/>
      <c r="LI12" s="123"/>
      <c r="LJ12" s="123"/>
      <c r="LK12" s="123"/>
      <c r="LL12" s="123"/>
      <c r="LM12" s="123"/>
      <c r="LN12" s="123"/>
      <c r="LO12" s="123"/>
      <c r="LP12" s="123"/>
      <c r="LQ12" s="123"/>
      <c r="LR12" s="123"/>
      <c r="LS12" s="123"/>
      <c r="LT12" s="123"/>
      <c r="LU12" s="123"/>
      <c r="LV12" s="123"/>
      <c r="LW12" s="123"/>
      <c r="LX12" s="123"/>
      <c r="LY12" s="123"/>
      <c r="LZ12" s="123"/>
      <c r="MA12" s="123"/>
      <c r="MB12" s="123"/>
      <c r="MC12" s="123"/>
      <c r="MD12" s="123"/>
      <c r="ME12" s="123"/>
      <c r="MF12" s="123"/>
      <c r="MG12" s="123"/>
      <c r="MH12" s="123"/>
      <c r="MI12" s="123"/>
      <c r="MJ12" s="123"/>
      <c r="MK12" s="123"/>
      <c r="ML12" s="123"/>
      <c r="MM12" s="123"/>
      <c r="MN12" s="123"/>
      <c r="MO12" s="123"/>
      <c r="MP12" s="123"/>
      <c r="MQ12" s="123"/>
      <c r="MR12" s="123"/>
      <c r="MS12" s="123"/>
      <c r="MT12" s="123"/>
      <c r="MU12" s="123"/>
      <c r="MV12" s="123"/>
      <c r="MW12" s="123"/>
      <c r="MX12" s="123"/>
      <c r="MY12" s="123"/>
      <c r="MZ12" s="123"/>
      <c r="NA12" s="123"/>
      <c r="NB12" s="123"/>
      <c r="NC12" s="123"/>
      <c r="ND12" s="123"/>
      <c r="NE12" s="123"/>
      <c r="NF12" s="123"/>
      <c r="NG12" s="123"/>
      <c r="NH12" s="123"/>
      <c r="NI12" s="123"/>
      <c r="NJ12" s="123"/>
      <c r="NK12" s="123"/>
      <c r="NM12">
        <f t="shared" si="156"/>
        <v>0</v>
      </c>
      <c r="NN12">
        <f t="shared" si="157"/>
        <v>0</v>
      </c>
      <c r="NO12">
        <f t="shared" si="158"/>
        <v>0</v>
      </c>
      <c r="NP12">
        <f t="shared" si="159"/>
        <v>0</v>
      </c>
      <c r="NQ12">
        <f t="shared" si="160"/>
        <v>0</v>
      </c>
      <c r="NR12">
        <f t="shared" si="161"/>
        <v>0</v>
      </c>
      <c r="NS12">
        <f t="shared" si="162"/>
        <v>0</v>
      </c>
      <c r="NT12">
        <f t="shared" si="163"/>
        <v>0</v>
      </c>
      <c r="NU12" s="29">
        <f t="shared" si="164"/>
        <v>0</v>
      </c>
      <c r="NY12" s="29">
        <f t="shared" si="107"/>
        <v>1</v>
      </c>
      <c r="NZ12" s="152">
        <v>7350000</v>
      </c>
      <c r="OE12" s="155">
        <f t="shared" si="108"/>
        <v>0</v>
      </c>
      <c r="OF12" s="155">
        <f t="shared" si="109"/>
        <v>0</v>
      </c>
      <c r="OG12" s="155">
        <f t="shared" si="110"/>
        <v>0</v>
      </c>
      <c r="OH12" s="155">
        <f t="shared" si="165"/>
        <v>0</v>
      </c>
      <c r="OI12" s="155">
        <f t="shared" si="111"/>
        <v>0</v>
      </c>
      <c r="OJ12" s="67">
        <f t="shared" si="166"/>
        <v>0</v>
      </c>
      <c r="OK12" s="67">
        <f t="shared" si="167"/>
        <v>0</v>
      </c>
      <c r="OL12" s="67">
        <f t="shared" si="168"/>
        <v>0</v>
      </c>
      <c r="OM12" s="67">
        <f t="shared" si="169"/>
        <v>0</v>
      </c>
      <c r="OO12" s="155">
        <f t="shared" si="112"/>
        <v>0</v>
      </c>
      <c r="OP12" s="155">
        <f t="shared" si="113"/>
        <v>0</v>
      </c>
      <c r="OQ12" s="155">
        <f t="shared" si="170"/>
        <v>0</v>
      </c>
      <c r="OR12" s="155">
        <f t="shared" si="171"/>
        <v>0</v>
      </c>
      <c r="OS12" s="155">
        <f t="shared" si="172"/>
        <v>0</v>
      </c>
      <c r="OT12" s="67">
        <f t="shared" si="173"/>
        <v>0</v>
      </c>
      <c r="OU12" s="67">
        <f t="shared" si="174"/>
        <v>0</v>
      </c>
      <c r="OV12" s="67">
        <f t="shared" si="175"/>
        <v>0</v>
      </c>
      <c r="OW12" s="67">
        <f t="shared" si="176"/>
        <v>0</v>
      </c>
      <c r="OZ12" s="163">
        <f t="shared" si="114"/>
        <v>0</v>
      </c>
      <c r="PA12" s="166"/>
      <c r="PB12" s="166"/>
      <c r="PC12" s="166"/>
      <c r="PD12" s="210">
        <f t="shared" si="115"/>
        <v>0</v>
      </c>
      <c r="PE12" s="210"/>
      <c r="PF12" s="210">
        <f t="shared" si="116"/>
        <v>0</v>
      </c>
      <c r="PG12" s="210">
        <f t="shared" si="117"/>
        <v>0</v>
      </c>
      <c r="PH12" s="210">
        <f t="shared" si="117"/>
        <v>0</v>
      </c>
      <c r="PI12" s="210">
        <f t="shared" si="117"/>
        <v>0</v>
      </c>
      <c r="PJ12" s="210">
        <f t="shared" si="117"/>
        <v>0</v>
      </c>
      <c r="PK12" s="210">
        <f t="shared" si="117"/>
        <v>0</v>
      </c>
      <c r="PL12" s="210">
        <f t="shared" si="117"/>
        <v>0</v>
      </c>
      <c r="PO12" s="172">
        <f t="shared" si="177"/>
        <v>0</v>
      </c>
      <c r="PP12" s="172">
        <f t="shared" si="178"/>
        <v>0</v>
      </c>
      <c r="PQ12" s="172">
        <f t="shared" si="179"/>
        <v>0</v>
      </c>
    </row>
    <row r="13" spans="1:433" ht="16" x14ac:dyDescent="0.2">
      <c r="A13" s="19">
        <f t="shared" si="180"/>
        <v>5</v>
      </c>
      <c r="B13" s="186" t="s">
        <v>175</v>
      </c>
      <c r="C13" s="186">
        <v>5</v>
      </c>
      <c r="D13" s="188">
        <v>1</v>
      </c>
      <c r="E13" s="188">
        <v>90</v>
      </c>
      <c r="F13" s="188">
        <v>1</v>
      </c>
      <c r="G13" s="188">
        <f t="shared" si="2"/>
        <v>90</v>
      </c>
      <c r="H13" s="214">
        <f t="shared" si="3"/>
        <v>1</v>
      </c>
      <c r="I13" s="214">
        <f t="shared" si="4"/>
        <v>1</v>
      </c>
      <c r="J13" s="188">
        <v>1</v>
      </c>
      <c r="K13" s="188">
        <f t="shared" si="5"/>
        <v>90</v>
      </c>
      <c r="L13" s="214">
        <f t="shared" si="6"/>
        <v>1</v>
      </c>
      <c r="M13" s="214">
        <f t="shared" si="7"/>
        <v>1</v>
      </c>
      <c r="N13" s="188">
        <v>1</v>
      </c>
      <c r="O13" s="188">
        <f t="shared" si="8"/>
        <v>90</v>
      </c>
      <c r="P13" s="214">
        <f t="shared" si="9"/>
        <v>1</v>
      </c>
      <c r="Q13" s="214">
        <f t="shared" si="10"/>
        <v>1</v>
      </c>
      <c r="R13" s="188">
        <v>1</v>
      </c>
      <c r="S13" s="188">
        <f t="shared" si="11"/>
        <v>90</v>
      </c>
      <c r="T13" s="214">
        <f t="shared" si="12"/>
        <v>1</v>
      </c>
      <c r="U13" s="214">
        <f t="shared" si="13"/>
        <v>1</v>
      </c>
      <c r="V13" s="188">
        <v>1</v>
      </c>
      <c r="W13" s="188">
        <f t="shared" si="14"/>
        <v>90</v>
      </c>
      <c r="X13" s="214">
        <f t="shared" si="15"/>
        <v>1</v>
      </c>
      <c r="Y13" s="214">
        <f t="shared" si="16"/>
        <v>1</v>
      </c>
      <c r="Z13" s="216">
        <f>694196000/1000000000</f>
        <v>0.69419600000000004</v>
      </c>
      <c r="AA13" s="188">
        <v>0</v>
      </c>
      <c r="AB13" s="189">
        <f t="shared" si="118"/>
        <v>0</v>
      </c>
      <c r="AC13" s="250">
        <f t="shared" si="119"/>
        <v>0</v>
      </c>
      <c r="AD13" s="250">
        <f t="shared" si="120"/>
        <v>0</v>
      </c>
      <c r="AE13" s="188"/>
      <c r="AF13" s="188">
        <f t="shared" si="121"/>
        <v>0</v>
      </c>
      <c r="AG13" s="188"/>
      <c r="AH13" s="188"/>
      <c r="AI13" s="188">
        <v>0</v>
      </c>
      <c r="AJ13" s="188">
        <f t="shared" si="181"/>
        <v>0</v>
      </c>
      <c r="AK13" s="188"/>
      <c r="AL13" s="188">
        <v>0</v>
      </c>
      <c r="AM13" s="188">
        <v>0</v>
      </c>
      <c r="AN13" s="217"/>
      <c r="AO13" s="195"/>
      <c r="AP13" s="195"/>
      <c r="AQ13" s="195"/>
      <c r="AR13" s="195"/>
      <c r="AS13" s="195"/>
      <c r="AT13" s="195"/>
      <c r="BB13" s="17">
        <f t="shared" si="123"/>
        <v>0</v>
      </c>
      <c r="BE13" s="17">
        <f t="shared" si="19"/>
        <v>0</v>
      </c>
      <c r="BF13" s="17">
        <f t="shared" si="20"/>
        <v>0</v>
      </c>
      <c r="BG13" s="17">
        <f t="shared" si="21"/>
        <v>0</v>
      </c>
      <c r="BH13" s="17">
        <f t="shared" si="22"/>
        <v>0</v>
      </c>
      <c r="BI13" s="17">
        <f t="shared" si="23"/>
        <v>0</v>
      </c>
      <c r="BJ13" s="17">
        <f t="shared" si="24"/>
        <v>0</v>
      </c>
      <c r="BK13" s="17">
        <f t="shared" si="124"/>
        <v>0</v>
      </c>
      <c r="BM13" s="128"/>
      <c r="BN13" s="286">
        <v>38</v>
      </c>
      <c r="BO13" s="80">
        <v>1</v>
      </c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B13" s="20"/>
      <c r="CD13" s="17">
        <f t="shared" si="125"/>
        <v>38</v>
      </c>
      <c r="CE13" s="17">
        <f t="shared" si="126"/>
        <v>38</v>
      </c>
      <c r="CF13" s="20">
        <f t="shared" si="182"/>
        <v>0</v>
      </c>
      <c r="CG13" s="20">
        <f t="shared" si="183"/>
        <v>0</v>
      </c>
      <c r="CH13" s="20">
        <f t="shared" si="184"/>
        <v>0</v>
      </c>
      <c r="CI13" s="20">
        <f t="shared" si="185"/>
        <v>0</v>
      </c>
      <c r="CJ13" s="20">
        <f t="shared" si="186"/>
        <v>0</v>
      </c>
      <c r="CK13" s="20">
        <f t="shared" si="187"/>
        <v>0</v>
      </c>
      <c r="CL13" s="20">
        <f t="shared" si="188"/>
        <v>0</v>
      </c>
      <c r="CM13" s="20">
        <f t="shared" si="189"/>
        <v>0</v>
      </c>
      <c r="CN13" s="20">
        <f t="shared" si="190"/>
        <v>0</v>
      </c>
      <c r="CO13" s="20">
        <f t="shared" si="191"/>
        <v>0</v>
      </c>
      <c r="CP13" s="20">
        <f t="shared" si="192"/>
        <v>0</v>
      </c>
      <c r="DV13" s="20">
        <f t="shared" si="27"/>
        <v>0</v>
      </c>
      <c r="DW13" s="20">
        <f t="shared" si="28"/>
        <v>0</v>
      </c>
      <c r="DX13" s="20">
        <f t="shared" si="29"/>
        <v>0</v>
      </c>
      <c r="DY13" s="20">
        <f t="shared" si="30"/>
        <v>0</v>
      </c>
      <c r="DZ13" s="20">
        <f t="shared" si="31"/>
        <v>0</v>
      </c>
      <c r="EA13" s="20">
        <f t="shared" si="32"/>
        <v>0</v>
      </c>
      <c r="EB13" s="20">
        <f t="shared" si="127"/>
        <v>0</v>
      </c>
      <c r="ED13" s="46" t="s">
        <v>300</v>
      </c>
      <c r="EE13" s="46" t="s">
        <v>373</v>
      </c>
      <c r="EF13" s="56"/>
      <c r="EG13" s="57">
        <f t="shared" si="128"/>
        <v>0</v>
      </c>
      <c r="EH13" s="57">
        <f t="shared" si="129"/>
        <v>0</v>
      </c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X13" s="169">
        <v>1</v>
      </c>
      <c r="FY13" s="17">
        <f t="shared" si="130"/>
        <v>38</v>
      </c>
      <c r="FZ13" s="17">
        <f t="shared" si="34"/>
        <v>38</v>
      </c>
      <c r="GA13" s="17">
        <f t="shared" si="35"/>
        <v>0</v>
      </c>
      <c r="GB13" s="17">
        <f t="shared" si="36"/>
        <v>0</v>
      </c>
      <c r="GC13" s="17">
        <f t="shared" si="37"/>
        <v>0</v>
      </c>
      <c r="GD13" s="17">
        <f t="shared" si="38"/>
        <v>0</v>
      </c>
      <c r="GE13" s="17">
        <f t="shared" si="39"/>
        <v>0</v>
      </c>
      <c r="GF13" s="67"/>
      <c r="GG13" s="17">
        <v>0</v>
      </c>
      <c r="GH13" s="17">
        <v>0</v>
      </c>
      <c r="GI13" s="67"/>
      <c r="GJ13" s="62">
        <f t="shared" si="131"/>
        <v>0</v>
      </c>
      <c r="GK13" s="62">
        <f t="shared" si="132"/>
        <v>0</v>
      </c>
      <c r="GO13" s="17">
        <f t="shared" si="40"/>
        <v>0</v>
      </c>
      <c r="GP13" s="17">
        <f t="shared" si="41"/>
        <v>0</v>
      </c>
      <c r="GQ13" s="17">
        <f t="shared" si="42"/>
        <v>0</v>
      </c>
      <c r="GR13" s="17">
        <f t="shared" si="43"/>
        <v>0</v>
      </c>
      <c r="GS13" s="17">
        <f t="shared" si="44"/>
        <v>0</v>
      </c>
      <c r="GT13" s="17">
        <f t="shared" si="133"/>
        <v>1</v>
      </c>
      <c r="GU13" s="101">
        <f t="shared" si="134"/>
        <v>43243</v>
      </c>
      <c r="GV13" s="17" t="str">
        <f t="shared" si="135"/>
        <v>SELESAI</v>
      </c>
      <c r="GW13" s="17">
        <f t="shared" si="136"/>
        <v>0</v>
      </c>
      <c r="GX13" s="66" t="str">
        <f t="shared" si="137"/>
        <v>SELESAI</v>
      </c>
      <c r="GY13" s="66">
        <f t="shared" si="138"/>
        <v>0</v>
      </c>
      <c r="GZ13" s="102" t="str">
        <f t="shared" si="139"/>
        <v>SELESAI</v>
      </c>
      <c r="HA13" s="83"/>
      <c r="HB13" s="83"/>
      <c r="HC13" s="17">
        <f t="shared" si="45"/>
        <v>0</v>
      </c>
      <c r="HD13" s="17">
        <f t="shared" si="46"/>
        <v>0</v>
      </c>
      <c r="HE13" s="17">
        <f t="shared" si="140"/>
        <v>0</v>
      </c>
      <c r="HF13" s="17">
        <f t="shared" si="141"/>
        <v>0</v>
      </c>
      <c r="HG13" s="17">
        <f t="shared" si="142"/>
        <v>0</v>
      </c>
      <c r="HH13" s="101" t="str">
        <f t="shared" si="47"/>
        <v>TIDAK KONSINYASI</v>
      </c>
      <c r="HI13" s="101" t="str">
        <f t="shared" si="143"/>
        <v>SELESAI</v>
      </c>
      <c r="HJ13" s="27"/>
      <c r="HK13" s="101">
        <f t="shared" si="48"/>
        <v>0</v>
      </c>
      <c r="HL13" s="83"/>
      <c r="HM13" s="83"/>
      <c r="HN13" s="83"/>
      <c r="HO13" s="83"/>
      <c r="HP13" s="102">
        <f t="shared" si="144"/>
        <v>0</v>
      </c>
      <c r="HQ13" s="66">
        <f t="shared" si="145"/>
        <v>0</v>
      </c>
      <c r="HR13" s="66">
        <f t="shared" si="49"/>
        <v>0</v>
      </c>
      <c r="HS13" s="102">
        <f t="shared" si="146"/>
        <v>0</v>
      </c>
      <c r="HT13" s="66">
        <f t="shared" si="147"/>
        <v>0</v>
      </c>
      <c r="HU13" s="66">
        <f t="shared" si="50"/>
        <v>0</v>
      </c>
      <c r="HV13" s="102">
        <f t="shared" si="148"/>
        <v>0</v>
      </c>
      <c r="HW13" s="66">
        <f t="shared" si="51"/>
        <v>0</v>
      </c>
      <c r="HX13" s="66">
        <f t="shared" si="52"/>
        <v>0</v>
      </c>
      <c r="HY13" s="102">
        <f t="shared" si="53"/>
        <v>0</v>
      </c>
      <c r="HZ13" s="66">
        <f t="shared" si="149"/>
        <v>0</v>
      </c>
      <c r="IA13" s="66">
        <f t="shared" si="54"/>
        <v>0</v>
      </c>
      <c r="IB13" s="102">
        <f t="shared" si="150"/>
        <v>0</v>
      </c>
      <c r="IC13" s="66">
        <f t="shared" si="55"/>
        <v>0</v>
      </c>
      <c r="ID13" s="66">
        <f t="shared" si="56"/>
        <v>0</v>
      </c>
      <c r="IE13" s="102">
        <f t="shared" si="57"/>
        <v>0</v>
      </c>
      <c r="IF13" s="66">
        <f t="shared" si="58"/>
        <v>0</v>
      </c>
      <c r="IG13" s="66">
        <f t="shared" si="59"/>
        <v>0</v>
      </c>
      <c r="IH13" s="102">
        <f t="shared" si="151"/>
        <v>0</v>
      </c>
      <c r="II13" s="66">
        <f t="shared" si="152"/>
        <v>0</v>
      </c>
      <c r="IJ13" s="66">
        <f t="shared" si="60"/>
        <v>0</v>
      </c>
      <c r="IK13" s="102">
        <f t="shared" si="61"/>
        <v>0</v>
      </c>
      <c r="IL13" s="66">
        <f t="shared" si="62"/>
        <v>0</v>
      </c>
      <c r="IM13" s="66">
        <f t="shared" si="63"/>
        <v>0</v>
      </c>
      <c r="IN13" s="83"/>
      <c r="IO13" s="102">
        <f t="shared" si="64"/>
        <v>0</v>
      </c>
      <c r="IP13" s="66">
        <f t="shared" si="65"/>
        <v>0</v>
      </c>
      <c r="IQ13" s="66">
        <f t="shared" si="66"/>
        <v>0</v>
      </c>
      <c r="IR13" s="83"/>
      <c r="IS13" s="102"/>
      <c r="IT13" s="66">
        <f t="shared" si="67"/>
        <v>1</v>
      </c>
      <c r="IU13" s="66">
        <f t="shared" si="68"/>
        <v>90</v>
      </c>
      <c r="IV13" s="83"/>
      <c r="IW13" s="102"/>
      <c r="IX13" s="66">
        <f t="shared" si="69"/>
        <v>0</v>
      </c>
      <c r="IY13" s="66">
        <f t="shared" si="70"/>
        <v>0</v>
      </c>
      <c r="IZ13" s="83"/>
      <c r="JA13" s="102"/>
      <c r="JB13" s="66">
        <f t="shared" si="71"/>
        <v>0</v>
      </c>
      <c r="JC13" s="66">
        <f t="shared" si="72"/>
        <v>0</v>
      </c>
      <c r="JD13" s="83"/>
      <c r="JE13" s="102"/>
      <c r="JF13" s="66">
        <f t="shared" si="153"/>
        <v>1</v>
      </c>
      <c r="JG13" s="66">
        <f t="shared" si="73"/>
        <v>90</v>
      </c>
      <c r="JH13" s="83"/>
      <c r="JI13" s="102"/>
      <c r="JJ13" s="66">
        <f t="shared" si="74"/>
        <v>0</v>
      </c>
      <c r="JK13" s="66">
        <f t="shared" si="75"/>
        <v>0</v>
      </c>
      <c r="JM13" s="102">
        <f t="shared" si="154"/>
        <v>0</v>
      </c>
      <c r="JO13" s="29">
        <f t="shared" si="76"/>
        <v>1</v>
      </c>
      <c r="JP13" s="122">
        <f t="shared" si="77"/>
        <v>38</v>
      </c>
      <c r="JQ13" s="122">
        <f t="shared" si="78"/>
        <v>1</v>
      </c>
      <c r="JR13" s="122">
        <f t="shared" si="79"/>
        <v>0</v>
      </c>
      <c r="JS13" s="122">
        <f t="shared" si="80"/>
        <v>0</v>
      </c>
      <c r="JT13" s="122">
        <f t="shared" si="81"/>
        <v>0</v>
      </c>
      <c r="JU13" s="122">
        <f t="shared" si="82"/>
        <v>0</v>
      </c>
      <c r="JV13" s="122">
        <f t="shared" si="83"/>
        <v>0</v>
      </c>
      <c r="JW13" s="122">
        <f t="shared" si="84"/>
        <v>0</v>
      </c>
      <c r="JX13" s="122">
        <f t="shared" si="85"/>
        <v>0</v>
      </c>
      <c r="JY13" s="122">
        <f t="shared" si="86"/>
        <v>0</v>
      </c>
      <c r="JZ13" s="122">
        <f t="shared" si="87"/>
        <v>0</v>
      </c>
      <c r="KA13" s="122">
        <f t="shared" si="88"/>
        <v>0</v>
      </c>
      <c r="KB13" s="122">
        <f t="shared" si="89"/>
        <v>0</v>
      </c>
      <c r="KD13" s="122">
        <f t="shared" si="155"/>
        <v>0</v>
      </c>
      <c r="KE13" s="122">
        <f t="shared" si="91"/>
        <v>0</v>
      </c>
      <c r="KF13" s="122">
        <f t="shared" si="92"/>
        <v>38</v>
      </c>
      <c r="KG13" s="122">
        <f t="shared" si="93"/>
        <v>38</v>
      </c>
      <c r="KH13" s="122">
        <f t="shared" si="94"/>
        <v>0</v>
      </c>
      <c r="KI13" s="122">
        <f t="shared" si="95"/>
        <v>0</v>
      </c>
      <c r="KJ13" s="122">
        <f t="shared" si="96"/>
        <v>0</v>
      </c>
      <c r="KK13" s="122">
        <f t="shared" si="97"/>
        <v>0</v>
      </c>
      <c r="KL13" s="122">
        <f t="shared" si="98"/>
        <v>0</v>
      </c>
      <c r="KM13" s="122">
        <f t="shared" si="99"/>
        <v>0</v>
      </c>
      <c r="KN13" s="123">
        <f t="shared" si="100"/>
        <v>0</v>
      </c>
      <c r="KO13" s="123">
        <f t="shared" si="101"/>
        <v>0</v>
      </c>
      <c r="KP13" s="123">
        <f t="shared" si="102"/>
        <v>0</v>
      </c>
      <c r="KQ13" s="123">
        <f t="shared" si="103"/>
        <v>0</v>
      </c>
      <c r="KR13" s="123">
        <f t="shared" si="104"/>
        <v>0</v>
      </c>
      <c r="KT13">
        <f t="shared" si="105"/>
        <v>0</v>
      </c>
      <c r="KU13" s="123"/>
      <c r="KV13" s="123"/>
      <c r="KW13" s="123"/>
      <c r="KX13" s="123"/>
      <c r="KY13" s="123"/>
      <c r="KZ13" s="123"/>
      <c r="LA13" s="123"/>
      <c r="LB13" s="123"/>
      <c r="LC13" s="123"/>
      <c r="LD13" s="123"/>
      <c r="LE13" s="123"/>
      <c r="LF13" s="123"/>
      <c r="LG13" s="123"/>
      <c r="LH13" s="123"/>
      <c r="LI13" s="123"/>
      <c r="LJ13" s="123"/>
      <c r="LK13" s="123"/>
      <c r="LL13" s="123"/>
      <c r="LM13" s="123"/>
      <c r="LN13" s="123"/>
      <c r="LO13" s="123"/>
      <c r="LP13" s="123"/>
      <c r="LQ13" s="123"/>
      <c r="LR13" s="123"/>
      <c r="LS13" s="123"/>
      <c r="LT13" s="123"/>
      <c r="LU13" s="123"/>
      <c r="LV13" s="123"/>
      <c r="LW13" s="123"/>
      <c r="LX13" s="123"/>
      <c r="LY13" s="123"/>
      <c r="LZ13" s="123"/>
      <c r="MA13" s="123"/>
      <c r="MB13" s="123"/>
      <c r="MC13" s="123"/>
      <c r="MD13" s="123"/>
      <c r="ME13" s="123"/>
      <c r="MF13" s="123"/>
      <c r="MG13" s="123"/>
      <c r="MH13" s="123"/>
      <c r="MI13" s="123"/>
      <c r="MJ13" s="123"/>
      <c r="MK13" s="123"/>
      <c r="ML13" s="123"/>
      <c r="MM13" s="123"/>
      <c r="MN13" s="123"/>
      <c r="MO13" s="123"/>
      <c r="MP13" s="123"/>
      <c r="MQ13" s="123"/>
      <c r="MR13" s="123"/>
      <c r="MS13" s="123"/>
      <c r="MT13" s="123"/>
      <c r="MU13" s="123"/>
      <c r="MV13" s="123"/>
      <c r="MW13" s="123"/>
      <c r="MX13" s="123"/>
      <c r="MY13" s="123"/>
      <c r="MZ13" s="123"/>
      <c r="NA13" s="123"/>
      <c r="NB13" s="123"/>
      <c r="NC13" s="123"/>
      <c r="ND13" s="123"/>
      <c r="NE13" s="123"/>
      <c r="NF13" s="123"/>
      <c r="NG13" s="123"/>
      <c r="NH13" s="123"/>
      <c r="NI13" s="123"/>
      <c r="NJ13" s="123"/>
      <c r="NK13" s="123"/>
      <c r="NM13">
        <f t="shared" si="156"/>
        <v>0</v>
      </c>
      <c r="NN13">
        <f t="shared" si="157"/>
        <v>0</v>
      </c>
      <c r="NO13">
        <f t="shared" si="158"/>
        <v>0</v>
      </c>
      <c r="NP13">
        <f t="shared" si="159"/>
        <v>0</v>
      </c>
      <c r="NQ13">
        <f t="shared" si="160"/>
        <v>0</v>
      </c>
      <c r="NR13">
        <f t="shared" si="161"/>
        <v>0</v>
      </c>
      <c r="NS13">
        <f t="shared" si="162"/>
        <v>0</v>
      </c>
      <c r="NT13">
        <f t="shared" si="163"/>
        <v>0</v>
      </c>
      <c r="NU13" s="29">
        <f t="shared" si="164"/>
        <v>0</v>
      </c>
      <c r="NY13" s="29">
        <f t="shared" si="107"/>
        <v>1</v>
      </c>
      <c r="NZ13" s="152">
        <v>7350000</v>
      </c>
      <c r="OE13" s="155">
        <f t="shared" si="108"/>
        <v>0</v>
      </c>
      <c r="OF13" s="155">
        <f t="shared" si="109"/>
        <v>0</v>
      </c>
      <c r="OG13" s="155">
        <f t="shared" si="110"/>
        <v>0</v>
      </c>
      <c r="OH13" s="155">
        <f t="shared" si="165"/>
        <v>0</v>
      </c>
      <c r="OI13" s="155">
        <f t="shared" si="111"/>
        <v>0</v>
      </c>
      <c r="OJ13" s="67">
        <f t="shared" si="166"/>
        <v>0</v>
      </c>
      <c r="OK13" s="67">
        <f t="shared" si="167"/>
        <v>0</v>
      </c>
      <c r="OL13" s="67">
        <f t="shared" si="168"/>
        <v>0</v>
      </c>
      <c r="OM13" s="67">
        <f t="shared" si="169"/>
        <v>0</v>
      </c>
      <c r="OO13" s="155">
        <f t="shared" si="112"/>
        <v>0</v>
      </c>
      <c r="OP13" s="155">
        <f t="shared" si="113"/>
        <v>0</v>
      </c>
      <c r="OQ13" s="155">
        <f t="shared" si="170"/>
        <v>0</v>
      </c>
      <c r="OR13" s="155">
        <f t="shared" si="171"/>
        <v>0</v>
      </c>
      <c r="OS13" s="155">
        <f t="shared" si="172"/>
        <v>0</v>
      </c>
      <c r="OT13" s="67">
        <f t="shared" si="173"/>
        <v>0</v>
      </c>
      <c r="OU13" s="67">
        <f t="shared" si="174"/>
        <v>0</v>
      </c>
      <c r="OV13" s="67">
        <f t="shared" si="175"/>
        <v>0</v>
      </c>
      <c r="OW13" s="67">
        <f t="shared" si="176"/>
        <v>0</v>
      </c>
      <c r="OZ13" s="163">
        <f t="shared" si="114"/>
        <v>0</v>
      </c>
      <c r="PA13" s="166"/>
      <c r="PB13" s="166"/>
      <c r="PC13" s="166"/>
      <c r="PD13" s="210">
        <f t="shared" si="115"/>
        <v>0</v>
      </c>
      <c r="PE13" s="210"/>
      <c r="PF13" s="210">
        <f t="shared" si="116"/>
        <v>0</v>
      </c>
      <c r="PG13" s="210">
        <f t="shared" si="117"/>
        <v>0</v>
      </c>
      <c r="PH13" s="210">
        <f t="shared" si="117"/>
        <v>0</v>
      </c>
      <c r="PI13" s="210">
        <f t="shared" si="117"/>
        <v>0</v>
      </c>
      <c r="PJ13" s="210">
        <f t="shared" si="117"/>
        <v>0</v>
      </c>
      <c r="PK13" s="210">
        <f t="shared" si="117"/>
        <v>0</v>
      </c>
      <c r="PL13" s="210">
        <f t="shared" si="117"/>
        <v>0</v>
      </c>
      <c r="PO13" s="172">
        <f t="shared" si="177"/>
        <v>0</v>
      </c>
      <c r="PP13" s="172">
        <f t="shared" si="178"/>
        <v>0</v>
      </c>
      <c r="PQ13" s="172">
        <f t="shared" si="179"/>
        <v>0</v>
      </c>
    </row>
    <row r="14" spans="1:433" ht="16" x14ac:dyDescent="0.2">
      <c r="A14" s="19">
        <f t="shared" si="180"/>
        <v>6</v>
      </c>
      <c r="B14" s="186" t="s">
        <v>175</v>
      </c>
      <c r="C14" s="186">
        <v>6</v>
      </c>
      <c r="D14" s="188">
        <v>1</v>
      </c>
      <c r="E14" s="188">
        <v>90</v>
      </c>
      <c r="F14" s="188">
        <v>1</v>
      </c>
      <c r="G14" s="188">
        <f t="shared" si="2"/>
        <v>90</v>
      </c>
      <c r="H14" s="214">
        <f t="shared" si="3"/>
        <v>1</v>
      </c>
      <c r="I14" s="214">
        <f t="shared" si="4"/>
        <v>1</v>
      </c>
      <c r="J14" s="188">
        <v>1</v>
      </c>
      <c r="K14" s="188">
        <f t="shared" si="5"/>
        <v>90</v>
      </c>
      <c r="L14" s="214">
        <f t="shared" si="6"/>
        <v>1</v>
      </c>
      <c r="M14" s="214">
        <f t="shared" si="7"/>
        <v>1</v>
      </c>
      <c r="N14" s="188">
        <v>1</v>
      </c>
      <c r="O14" s="188">
        <f t="shared" si="8"/>
        <v>90</v>
      </c>
      <c r="P14" s="214">
        <f t="shared" si="9"/>
        <v>1</v>
      </c>
      <c r="Q14" s="214">
        <f t="shared" si="10"/>
        <v>1</v>
      </c>
      <c r="R14" s="188">
        <v>1</v>
      </c>
      <c r="S14" s="188">
        <f t="shared" si="11"/>
        <v>90</v>
      </c>
      <c r="T14" s="214">
        <f t="shared" si="12"/>
        <v>1</v>
      </c>
      <c r="U14" s="214">
        <f t="shared" si="13"/>
        <v>1</v>
      </c>
      <c r="V14" s="188">
        <v>1</v>
      </c>
      <c r="W14" s="188">
        <f t="shared" si="14"/>
        <v>90</v>
      </c>
      <c r="X14" s="214">
        <f t="shared" si="15"/>
        <v>1</v>
      </c>
      <c r="Y14" s="214">
        <f t="shared" si="16"/>
        <v>1</v>
      </c>
      <c r="Z14" s="216">
        <f>694196000/1000000000</f>
        <v>0.69419600000000004</v>
      </c>
      <c r="AA14" s="188">
        <v>0</v>
      </c>
      <c r="AB14" s="189">
        <f t="shared" si="118"/>
        <v>0</v>
      </c>
      <c r="AC14" s="250">
        <f t="shared" si="119"/>
        <v>0</v>
      </c>
      <c r="AD14" s="250">
        <f t="shared" si="120"/>
        <v>0</v>
      </c>
      <c r="AE14" s="188"/>
      <c r="AF14" s="188">
        <f t="shared" si="121"/>
        <v>0</v>
      </c>
      <c r="AG14" s="188"/>
      <c r="AH14" s="188"/>
      <c r="AI14" s="188">
        <v>0</v>
      </c>
      <c r="AJ14" s="188">
        <f t="shared" si="181"/>
        <v>0</v>
      </c>
      <c r="AK14" s="188"/>
      <c r="AL14" s="188">
        <v>0</v>
      </c>
      <c r="AM14" s="188">
        <v>0</v>
      </c>
      <c r="AN14" s="217"/>
      <c r="AO14" s="195"/>
      <c r="AP14" s="195"/>
      <c r="AQ14" s="195"/>
      <c r="AR14" s="195"/>
      <c r="AS14" s="195"/>
      <c r="AT14" s="195"/>
      <c r="BB14" s="17">
        <f t="shared" si="123"/>
        <v>0</v>
      </c>
      <c r="BE14" s="17">
        <f t="shared" si="19"/>
        <v>0</v>
      </c>
      <c r="BF14" s="17">
        <f t="shared" si="20"/>
        <v>0</v>
      </c>
      <c r="BG14" s="17">
        <f t="shared" si="21"/>
        <v>0</v>
      </c>
      <c r="BH14" s="17">
        <f t="shared" si="22"/>
        <v>0</v>
      </c>
      <c r="BI14" s="17">
        <f t="shared" si="23"/>
        <v>0</v>
      </c>
      <c r="BJ14" s="17">
        <f t="shared" si="24"/>
        <v>0</v>
      </c>
      <c r="BK14" s="17">
        <f t="shared" si="124"/>
        <v>0</v>
      </c>
      <c r="BM14" s="128"/>
      <c r="BN14" s="286">
        <v>38</v>
      </c>
      <c r="BO14" s="80">
        <v>1</v>
      </c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B14" s="20"/>
      <c r="CD14" s="17">
        <f t="shared" si="125"/>
        <v>38</v>
      </c>
      <c r="CE14" s="17">
        <f t="shared" si="126"/>
        <v>38</v>
      </c>
      <c r="CF14" s="20">
        <f t="shared" si="182"/>
        <v>0</v>
      </c>
      <c r="CG14" s="20">
        <f t="shared" si="183"/>
        <v>0</v>
      </c>
      <c r="CH14" s="20">
        <f t="shared" si="184"/>
        <v>0</v>
      </c>
      <c r="CI14" s="20">
        <f t="shared" si="185"/>
        <v>0</v>
      </c>
      <c r="CJ14" s="20">
        <f t="shared" si="186"/>
        <v>0</v>
      </c>
      <c r="CK14" s="20">
        <f t="shared" si="187"/>
        <v>0</v>
      </c>
      <c r="CL14" s="20">
        <f t="shared" si="188"/>
        <v>0</v>
      </c>
      <c r="CM14" s="20">
        <f t="shared" si="189"/>
        <v>0</v>
      </c>
      <c r="CN14" s="20">
        <f t="shared" si="190"/>
        <v>0</v>
      </c>
      <c r="CO14" s="20">
        <f t="shared" si="191"/>
        <v>0</v>
      </c>
      <c r="CP14" s="20">
        <f t="shared" si="192"/>
        <v>0</v>
      </c>
      <c r="DV14" s="20">
        <f t="shared" si="27"/>
        <v>0</v>
      </c>
      <c r="DW14" s="20">
        <f t="shared" si="28"/>
        <v>0</v>
      </c>
      <c r="DX14" s="20">
        <f t="shared" si="29"/>
        <v>0</v>
      </c>
      <c r="DY14" s="20">
        <f t="shared" si="30"/>
        <v>0</v>
      </c>
      <c r="DZ14" s="20">
        <f t="shared" si="31"/>
        <v>0</v>
      </c>
      <c r="EA14" s="20">
        <f t="shared" si="32"/>
        <v>0</v>
      </c>
      <c r="EB14" s="20">
        <f t="shared" si="127"/>
        <v>0</v>
      </c>
      <c r="ED14" s="46" t="s">
        <v>301</v>
      </c>
      <c r="EE14" s="46" t="s">
        <v>374</v>
      </c>
      <c r="EF14" s="56"/>
      <c r="EG14" s="57">
        <f t="shared" si="128"/>
        <v>0</v>
      </c>
      <c r="EH14" s="57">
        <f t="shared" si="129"/>
        <v>0</v>
      </c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X14" s="169">
        <v>1</v>
      </c>
      <c r="FY14" s="17">
        <f t="shared" si="130"/>
        <v>38</v>
      </c>
      <c r="FZ14" s="17">
        <f t="shared" si="34"/>
        <v>38</v>
      </c>
      <c r="GA14" s="17">
        <f t="shared" si="35"/>
        <v>0</v>
      </c>
      <c r="GB14" s="17">
        <f t="shared" si="36"/>
        <v>0</v>
      </c>
      <c r="GC14" s="17">
        <f t="shared" si="37"/>
        <v>0</v>
      </c>
      <c r="GD14" s="17">
        <f t="shared" si="38"/>
        <v>0</v>
      </c>
      <c r="GE14" s="17">
        <f t="shared" si="39"/>
        <v>0</v>
      </c>
      <c r="GF14" s="67"/>
      <c r="GG14" s="17">
        <v>0</v>
      </c>
      <c r="GH14" s="17">
        <v>0</v>
      </c>
      <c r="GI14" s="67"/>
      <c r="GJ14" s="62">
        <f t="shared" si="131"/>
        <v>0</v>
      </c>
      <c r="GK14" s="62">
        <f t="shared" si="132"/>
        <v>0</v>
      </c>
      <c r="GO14" s="17">
        <f t="shared" si="40"/>
        <v>0</v>
      </c>
      <c r="GP14" s="17">
        <f t="shared" si="41"/>
        <v>0</v>
      </c>
      <c r="GQ14" s="17">
        <f t="shared" si="42"/>
        <v>0</v>
      </c>
      <c r="GR14" s="17">
        <f t="shared" si="43"/>
        <v>0</v>
      </c>
      <c r="GS14" s="17">
        <f t="shared" si="44"/>
        <v>0</v>
      </c>
      <c r="GT14" s="17">
        <f t="shared" si="133"/>
        <v>1</v>
      </c>
      <c r="GU14" s="101">
        <f t="shared" si="134"/>
        <v>43243</v>
      </c>
      <c r="GV14" s="17" t="str">
        <f t="shared" si="135"/>
        <v>SELESAI</v>
      </c>
      <c r="GW14" s="17">
        <f t="shared" si="136"/>
        <v>0</v>
      </c>
      <c r="GX14" s="66" t="str">
        <f t="shared" si="137"/>
        <v>SELESAI</v>
      </c>
      <c r="GY14" s="66">
        <f t="shared" si="138"/>
        <v>0</v>
      </c>
      <c r="GZ14" s="102" t="str">
        <f t="shared" si="139"/>
        <v>SELESAI</v>
      </c>
      <c r="HA14" s="83"/>
      <c r="HB14" s="83"/>
      <c r="HC14" s="17">
        <f t="shared" si="45"/>
        <v>0</v>
      </c>
      <c r="HD14" s="17">
        <f t="shared" si="46"/>
        <v>0</v>
      </c>
      <c r="HE14" s="17">
        <f t="shared" si="140"/>
        <v>0</v>
      </c>
      <c r="HF14" s="17">
        <f t="shared" si="141"/>
        <v>0</v>
      </c>
      <c r="HG14" s="17">
        <f t="shared" si="142"/>
        <v>0</v>
      </c>
      <c r="HH14" s="101" t="str">
        <f t="shared" si="47"/>
        <v>TIDAK KONSINYASI</v>
      </c>
      <c r="HI14" s="101" t="str">
        <f t="shared" si="143"/>
        <v>SELESAI</v>
      </c>
      <c r="HJ14" s="27"/>
      <c r="HK14" s="101">
        <f t="shared" si="48"/>
        <v>0</v>
      </c>
      <c r="HL14" s="83"/>
      <c r="HM14" s="83"/>
      <c r="HN14" s="83"/>
      <c r="HO14" s="83"/>
      <c r="HP14" s="102">
        <f t="shared" si="144"/>
        <v>0</v>
      </c>
      <c r="HQ14" s="66">
        <f t="shared" si="145"/>
        <v>0</v>
      </c>
      <c r="HR14" s="66">
        <f t="shared" si="49"/>
        <v>0</v>
      </c>
      <c r="HS14" s="102">
        <f t="shared" si="146"/>
        <v>0</v>
      </c>
      <c r="HT14" s="66">
        <f t="shared" si="147"/>
        <v>0</v>
      </c>
      <c r="HU14" s="66">
        <f t="shared" si="50"/>
        <v>0</v>
      </c>
      <c r="HV14" s="102">
        <f t="shared" si="148"/>
        <v>0</v>
      </c>
      <c r="HW14" s="66">
        <f t="shared" si="51"/>
        <v>0</v>
      </c>
      <c r="HX14" s="66">
        <f t="shared" si="52"/>
        <v>0</v>
      </c>
      <c r="HY14" s="102">
        <f t="shared" si="53"/>
        <v>0</v>
      </c>
      <c r="HZ14" s="66">
        <f t="shared" si="149"/>
        <v>0</v>
      </c>
      <c r="IA14" s="66">
        <f t="shared" si="54"/>
        <v>0</v>
      </c>
      <c r="IB14" s="102">
        <f t="shared" si="150"/>
        <v>0</v>
      </c>
      <c r="IC14" s="66">
        <f t="shared" si="55"/>
        <v>0</v>
      </c>
      <c r="ID14" s="66">
        <f t="shared" si="56"/>
        <v>0</v>
      </c>
      <c r="IE14" s="102">
        <f t="shared" si="57"/>
        <v>0</v>
      </c>
      <c r="IF14" s="66">
        <f t="shared" si="58"/>
        <v>0</v>
      </c>
      <c r="IG14" s="66">
        <f t="shared" si="59"/>
        <v>0</v>
      </c>
      <c r="IH14" s="102">
        <f t="shared" si="151"/>
        <v>0</v>
      </c>
      <c r="II14" s="66">
        <f t="shared" si="152"/>
        <v>0</v>
      </c>
      <c r="IJ14" s="66">
        <f t="shared" si="60"/>
        <v>0</v>
      </c>
      <c r="IK14" s="102">
        <f t="shared" si="61"/>
        <v>0</v>
      </c>
      <c r="IL14" s="66">
        <f t="shared" si="62"/>
        <v>0</v>
      </c>
      <c r="IM14" s="66">
        <f t="shared" si="63"/>
        <v>0</v>
      </c>
      <c r="IN14" s="83"/>
      <c r="IO14" s="102">
        <f t="shared" si="64"/>
        <v>0</v>
      </c>
      <c r="IP14" s="66">
        <f t="shared" si="65"/>
        <v>0</v>
      </c>
      <c r="IQ14" s="66">
        <f t="shared" si="66"/>
        <v>0</v>
      </c>
      <c r="IR14" s="83"/>
      <c r="IS14" s="102"/>
      <c r="IT14" s="66">
        <f t="shared" si="67"/>
        <v>1</v>
      </c>
      <c r="IU14" s="66">
        <f t="shared" si="68"/>
        <v>90</v>
      </c>
      <c r="IV14" s="83"/>
      <c r="IW14" s="102"/>
      <c r="IX14" s="66">
        <f t="shared" si="69"/>
        <v>0</v>
      </c>
      <c r="IY14" s="66">
        <f t="shared" si="70"/>
        <v>0</v>
      </c>
      <c r="IZ14" s="83"/>
      <c r="JA14" s="102"/>
      <c r="JB14" s="66">
        <f t="shared" si="71"/>
        <v>0</v>
      </c>
      <c r="JC14" s="66">
        <f t="shared" si="72"/>
        <v>0</v>
      </c>
      <c r="JD14" s="83"/>
      <c r="JE14" s="102"/>
      <c r="JF14" s="66">
        <f t="shared" si="153"/>
        <v>1</v>
      </c>
      <c r="JG14" s="66">
        <f t="shared" si="73"/>
        <v>90</v>
      </c>
      <c r="JH14" s="83"/>
      <c r="JI14" s="102"/>
      <c r="JJ14" s="66">
        <f t="shared" si="74"/>
        <v>0</v>
      </c>
      <c r="JK14" s="66">
        <f t="shared" si="75"/>
        <v>0</v>
      </c>
      <c r="JM14" s="102">
        <f t="shared" si="154"/>
        <v>0</v>
      </c>
      <c r="JO14" s="29">
        <f t="shared" si="76"/>
        <v>1</v>
      </c>
      <c r="JP14" s="122">
        <f t="shared" si="77"/>
        <v>38</v>
      </c>
      <c r="JQ14" s="122">
        <f t="shared" si="78"/>
        <v>1</v>
      </c>
      <c r="JR14" s="122">
        <f t="shared" si="79"/>
        <v>0</v>
      </c>
      <c r="JS14" s="122">
        <f t="shared" si="80"/>
        <v>0</v>
      </c>
      <c r="JT14" s="122">
        <f t="shared" si="81"/>
        <v>0</v>
      </c>
      <c r="JU14" s="122">
        <f t="shared" si="82"/>
        <v>0</v>
      </c>
      <c r="JV14" s="122">
        <f t="shared" si="83"/>
        <v>0</v>
      </c>
      <c r="JW14" s="122">
        <f t="shared" si="84"/>
        <v>0</v>
      </c>
      <c r="JX14" s="122">
        <f t="shared" si="85"/>
        <v>0</v>
      </c>
      <c r="JY14" s="122">
        <f t="shared" si="86"/>
        <v>0</v>
      </c>
      <c r="JZ14" s="122">
        <f t="shared" si="87"/>
        <v>0</v>
      </c>
      <c r="KA14" s="122">
        <f t="shared" si="88"/>
        <v>0</v>
      </c>
      <c r="KB14" s="122">
        <f t="shared" si="89"/>
        <v>0</v>
      </c>
      <c r="KD14" s="122">
        <f t="shared" si="155"/>
        <v>0</v>
      </c>
      <c r="KE14" s="122">
        <f t="shared" si="91"/>
        <v>0</v>
      </c>
      <c r="KF14" s="122">
        <f t="shared" si="92"/>
        <v>38</v>
      </c>
      <c r="KG14" s="122">
        <f t="shared" si="93"/>
        <v>38</v>
      </c>
      <c r="KH14" s="122">
        <f t="shared" si="94"/>
        <v>0</v>
      </c>
      <c r="KI14" s="122">
        <f t="shared" si="95"/>
        <v>0</v>
      </c>
      <c r="KJ14" s="122">
        <f t="shared" si="96"/>
        <v>0</v>
      </c>
      <c r="KK14" s="122">
        <f t="shared" si="97"/>
        <v>0</v>
      </c>
      <c r="KL14" s="122">
        <f t="shared" si="98"/>
        <v>0</v>
      </c>
      <c r="KM14" s="122">
        <f t="shared" si="99"/>
        <v>0</v>
      </c>
      <c r="KN14" s="123">
        <f t="shared" si="100"/>
        <v>0</v>
      </c>
      <c r="KO14" s="123">
        <f t="shared" si="101"/>
        <v>0</v>
      </c>
      <c r="KP14" s="123">
        <f t="shared" si="102"/>
        <v>0</v>
      </c>
      <c r="KQ14" s="123">
        <f t="shared" si="103"/>
        <v>0</v>
      </c>
      <c r="KR14" s="123">
        <f t="shared" si="104"/>
        <v>0</v>
      </c>
      <c r="KT14">
        <f t="shared" si="105"/>
        <v>0</v>
      </c>
      <c r="KU14" s="123"/>
      <c r="KV14" s="123"/>
      <c r="KW14" s="123"/>
      <c r="KX14" s="123"/>
      <c r="KY14" s="123"/>
      <c r="KZ14" s="123"/>
      <c r="LA14" s="123"/>
      <c r="LB14" s="123"/>
      <c r="LC14" s="123"/>
      <c r="LD14" s="123"/>
      <c r="LE14" s="123"/>
      <c r="LF14" s="123"/>
      <c r="LG14" s="123"/>
      <c r="LH14" s="123"/>
      <c r="LI14" s="123"/>
      <c r="LJ14" s="123"/>
      <c r="LK14" s="123"/>
      <c r="LL14" s="123"/>
      <c r="LM14" s="123"/>
      <c r="LN14" s="123"/>
      <c r="LO14" s="123"/>
      <c r="LP14" s="123"/>
      <c r="LQ14" s="123"/>
      <c r="LR14" s="123"/>
      <c r="LS14" s="123"/>
      <c r="LT14" s="123"/>
      <c r="LU14" s="123"/>
      <c r="LV14" s="123"/>
      <c r="LW14" s="123"/>
      <c r="LX14" s="123"/>
      <c r="LY14" s="123"/>
      <c r="LZ14" s="123"/>
      <c r="MA14" s="123"/>
      <c r="MB14" s="123"/>
      <c r="MC14" s="123"/>
      <c r="MD14" s="123"/>
      <c r="ME14" s="123"/>
      <c r="MF14" s="123"/>
      <c r="MG14" s="123"/>
      <c r="MH14" s="123"/>
      <c r="MI14" s="123"/>
      <c r="MJ14" s="123"/>
      <c r="MK14" s="123"/>
      <c r="ML14" s="123"/>
      <c r="MM14" s="123"/>
      <c r="MN14" s="123"/>
      <c r="MO14" s="123"/>
      <c r="MP14" s="123"/>
      <c r="MQ14" s="123"/>
      <c r="MR14" s="123"/>
      <c r="MS14" s="123"/>
      <c r="MT14" s="123"/>
      <c r="MU14" s="123"/>
      <c r="MV14" s="123"/>
      <c r="MW14" s="123"/>
      <c r="MX14" s="123"/>
      <c r="MY14" s="123"/>
      <c r="MZ14" s="123"/>
      <c r="NA14" s="123"/>
      <c r="NB14" s="123"/>
      <c r="NC14" s="123"/>
      <c r="ND14" s="123"/>
      <c r="NE14" s="123"/>
      <c r="NF14" s="123"/>
      <c r="NG14" s="123"/>
      <c r="NH14" s="123"/>
      <c r="NI14" s="123"/>
      <c r="NJ14" s="123"/>
      <c r="NK14" s="123"/>
      <c r="NM14">
        <f t="shared" si="156"/>
        <v>0</v>
      </c>
      <c r="NN14">
        <f t="shared" si="157"/>
        <v>0</v>
      </c>
      <c r="NO14">
        <f t="shared" si="158"/>
        <v>0</v>
      </c>
      <c r="NP14">
        <f t="shared" si="159"/>
        <v>0</v>
      </c>
      <c r="NQ14">
        <f t="shared" si="160"/>
        <v>0</v>
      </c>
      <c r="NR14">
        <f t="shared" si="161"/>
        <v>0</v>
      </c>
      <c r="NS14">
        <f t="shared" si="162"/>
        <v>0</v>
      </c>
      <c r="NT14">
        <f t="shared" si="163"/>
        <v>0</v>
      </c>
      <c r="NU14" s="29">
        <f t="shared" si="164"/>
        <v>0</v>
      </c>
      <c r="NY14" s="29">
        <f t="shared" si="107"/>
        <v>1</v>
      </c>
      <c r="NZ14" s="152">
        <v>7350000</v>
      </c>
      <c r="OE14" s="155">
        <f t="shared" si="108"/>
        <v>0</v>
      </c>
      <c r="OF14" s="155">
        <f t="shared" si="109"/>
        <v>0</v>
      </c>
      <c r="OG14" s="155">
        <f t="shared" si="110"/>
        <v>0</v>
      </c>
      <c r="OH14" s="155">
        <f t="shared" si="165"/>
        <v>0</v>
      </c>
      <c r="OI14" s="155">
        <f t="shared" si="111"/>
        <v>0</v>
      </c>
      <c r="OJ14" s="67">
        <f t="shared" si="166"/>
        <v>0</v>
      </c>
      <c r="OK14" s="67">
        <f t="shared" si="167"/>
        <v>0</v>
      </c>
      <c r="OL14" s="67">
        <f t="shared" si="168"/>
        <v>0</v>
      </c>
      <c r="OM14" s="67">
        <f t="shared" si="169"/>
        <v>0</v>
      </c>
      <c r="OO14" s="155">
        <f t="shared" si="112"/>
        <v>0</v>
      </c>
      <c r="OP14" s="155">
        <f t="shared" si="113"/>
        <v>0</v>
      </c>
      <c r="OQ14" s="155">
        <f t="shared" si="170"/>
        <v>0</v>
      </c>
      <c r="OR14" s="155">
        <f t="shared" si="171"/>
        <v>0</v>
      </c>
      <c r="OS14" s="155">
        <f t="shared" si="172"/>
        <v>0</v>
      </c>
      <c r="OT14" s="67">
        <f t="shared" si="173"/>
        <v>0</v>
      </c>
      <c r="OU14" s="67">
        <f t="shared" si="174"/>
        <v>0</v>
      </c>
      <c r="OV14" s="67">
        <f t="shared" si="175"/>
        <v>0</v>
      </c>
      <c r="OW14" s="67">
        <f t="shared" si="176"/>
        <v>0</v>
      </c>
      <c r="OZ14" s="163">
        <f t="shared" si="114"/>
        <v>0</v>
      </c>
      <c r="PA14" s="166"/>
      <c r="PB14" s="166"/>
      <c r="PC14" s="166"/>
      <c r="PD14" s="210">
        <f t="shared" si="115"/>
        <v>0</v>
      </c>
      <c r="PE14" s="210"/>
      <c r="PF14" s="210">
        <f t="shared" si="116"/>
        <v>0</v>
      </c>
      <c r="PG14" s="210">
        <f t="shared" si="117"/>
        <v>0</v>
      </c>
      <c r="PH14" s="210">
        <f t="shared" si="117"/>
        <v>0</v>
      </c>
      <c r="PI14" s="210">
        <f t="shared" si="117"/>
        <v>0</v>
      </c>
      <c r="PJ14" s="210">
        <f t="shared" si="117"/>
        <v>0</v>
      </c>
      <c r="PK14" s="210">
        <f t="shared" si="117"/>
        <v>0</v>
      </c>
      <c r="PL14" s="210">
        <f t="shared" si="117"/>
        <v>0</v>
      </c>
      <c r="PO14" s="172">
        <f t="shared" si="177"/>
        <v>0</v>
      </c>
      <c r="PP14" s="172">
        <f t="shared" si="178"/>
        <v>0</v>
      </c>
      <c r="PQ14" s="172">
        <f t="shared" si="179"/>
        <v>0</v>
      </c>
    </row>
    <row r="15" spans="1:433" ht="16" x14ac:dyDescent="0.2">
      <c r="A15" s="19">
        <f t="shared" si="180"/>
        <v>7</v>
      </c>
      <c r="B15" s="186" t="s">
        <v>175</v>
      </c>
      <c r="C15" s="186">
        <v>7</v>
      </c>
      <c r="D15" s="188">
        <v>1</v>
      </c>
      <c r="E15" s="188">
        <v>90</v>
      </c>
      <c r="F15" s="188">
        <v>1</v>
      </c>
      <c r="G15" s="188">
        <f t="shared" si="2"/>
        <v>90</v>
      </c>
      <c r="H15" s="214">
        <f t="shared" si="3"/>
        <v>1</v>
      </c>
      <c r="I15" s="214">
        <f t="shared" si="4"/>
        <v>1</v>
      </c>
      <c r="J15" s="188">
        <v>1</v>
      </c>
      <c r="K15" s="188">
        <f t="shared" si="5"/>
        <v>90</v>
      </c>
      <c r="L15" s="214">
        <f t="shared" si="6"/>
        <v>1</v>
      </c>
      <c r="M15" s="214">
        <f t="shared" si="7"/>
        <v>1</v>
      </c>
      <c r="N15" s="188">
        <v>1</v>
      </c>
      <c r="O15" s="188">
        <f t="shared" si="8"/>
        <v>90</v>
      </c>
      <c r="P15" s="214">
        <f t="shared" si="9"/>
        <v>1</v>
      </c>
      <c r="Q15" s="214">
        <f t="shared" si="10"/>
        <v>1</v>
      </c>
      <c r="R15" s="188">
        <v>1</v>
      </c>
      <c r="S15" s="188">
        <f t="shared" si="11"/>
        <v>90</v>
      </c>
      <c r="T15" s="214">
        <f t="shared" si="12"/>
        <v>1</v>
      </c>
      <c r="U15" s="214">
        <f t="shared" si="13"/>
        <v>1</v>
      </c>
      <c r="V15" s="188">
        <v>1</v>
      </c>
      <c r="W15" s="188">
        <f t="shared" si="14"/>
        <v>90</v>
      </c>
      <c r="X15" s="214">
        <f t="shared" si="15"/>
        <v>1</v>
      </c>
      <c r="Y15" s="214">
        <f t="shared" si="16"/>
        <v>1</v>
      </c>
      <c r="Z15" s="216">
        <f t="shared" ref="Z15:Z18" si="193">694196000/1000000000</f>
        <v>0.69419600000000004</v>
      </c>
      <c r="AA15" s="188">
        <v>0</v>
      </c>
      <c r="AB15" s="189">
        <f t="shared" si="118"/>
        <v>0</v>
      </c>
      <c r="AC15" s="250">
        <f t="shared" si="119"/>
        <v>0</v>
      </c>
      <c r="AD15" s="250">
        <f t="shared" si="120"/>
        <v>0</v>
      </c>
      <c r="AE15" s="188"/>
      <c r="AF15" s="188">
        <f t="shared" si="121"/>
        <v>0</v>
      </c>
      <c r="AG15" s="188"/>
      <c r="AH15" s="188"/>
      <c r="AI15" s="188">
        <v>0</v>
      </c>
      <c r="AJ15" s="188">
        <f t="shared" si="181"/>
        <v>0</v>
      </c>
      <c r="AK15" s="188"/>
      <c r="AL15" s="188">
        <v>0</v>
      </c>
      <c r="AM15" s="188">
        <v>0</v>
      </c>
      <c r="AN15" s="217"/>
      <c r="AO15" s="195"/>
      <c r="AP15" s="195"/>
      <c r="AQ15" s="195"/>
      <c r="AR15" s="195"/>
      <c r="AS15" s="195"/>
      <c r="AT15" s="195"/>
      <c r="BB15" s="17">
        <f t="shared" si="123"/>
        <v>0</v>
      </c>
      <c r="BE15" s="17">
        <f t="shared" si="19"/>
        <v>0</v>
      </c>
      <c r="BF15" s="17">
        <f t="shared" si="20"/>
        <v>0</v>
      </c>
      <c r="BG15" s="17">
        <f t="shared" si="21"/>
        <v>0</v>
      </c>
      <c r="BH15" s="17">
        <f t="shared" si="22"/>
        <v>0</v>
      </c>
      <c r="BI15" s="17">
        <f t="shared" si="23"/>
        <v>0</v>
      </c>
      <c r="BJ15" s="17">
        <f t="shared" si="24"/>
        <v>0</v>
      </c>
      <c r="BK15" s="17">
        <f t="shared" si="124"/>
        <v>0</v>
      </c>
      <c r="BM15" s="128"/>
      <c r="BN15" s="286">
        <v>38</v>
      </c>
      <c r="BO15" s="80">
        <v>1</v>
      </c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B15" s="20"/>
      <c r="CD15" s="17">
        <f t="shared" si="125"/>
        <v>38</v>
      </c>
      <c r="CE15" s="17">
        <f t="shared" si="126"/>
        <v>38</v>
      </c>
      <c r="CF15" s="20">
        <f t="shared" si="182"/>
        <v>0</v>
      </c>
      <c r="CG15" s="20">
        <f t="shared" si="183"/>
        <v>0</v>
      </c>
      <c r="CH15" s="20">
        <f t="shared" si="184"/>
        <v>0</v>
      </c>
      <c r="CI15" s="20">
        <f t="shared" si="185"/>
        <v>0</v>
      </c>
      <c r="CJ15" s="20">
        <f t="shared" si="186"/>
        <v>0</v>
      </c>
      <c r="CK15" s="20">
        <f t="shared" si="187"/>
        <v>0</v>
      </c>
      <c r="CL15" s="20">
        <f t="shared" si="188"/>
        <v>0</v>
      </c>
      <c r="CM15" s="20">
        <f t="shared" si="189"/>
        <v>0</v>
      </c>
      <c r="CN15" s="20">
        <f t="shared" si="190"/>
        <v>0</v>
      </c>
      <c r="CO15" s="20">
        <f t="shared" si="191"/>
        <v>0</v>
      </c>
      <c r="CP15" s="20">
        <f t="shared" si="192"/>
        <v>0</v>
      </c>
      <c r="DV15" s="20">
        <f t="shared" si="27"/>
        <v>0</v>
      </c>
      <c r="DW15" s="20">
        <f t="shared" si="28"/>
        <v>0</v>
      </c>
      <c r="DX15" s="20">
        <f t="shared" si="29"/>
        <v>0</v>
      </c>
      <c r="DY15" s="20">
        <f t="shared" si="30"/>
        <v>0</v>
      </c>
      <c r="DZ15" s="20">
        <f t="shared" si="31"/>
        <v>0</v>
      </c>
      <c r="EA15" s="20">
        <f t="shared" si="32"/>
        <v>0</v>
      </c>
      <c r="EB15" s="20">
        <f t="shared" si="127"/>
        <v>0</v>
      </c>
      <c r="ED15" s="46" t="s">
        <v>343</v>
      </c>
      <c r="EE15" s="46" t="s">
        <v>375</v>
      </c>
      <c r="EF15" s="56"/>
      <c r="EG15" s="57">
        <f t="shared" si="128"/>
        <v>0</v>
      </c>
      <c r="EH15" s="57">
        <f t="shared" si="129"/>
        <v>0</v>
      </c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X15" s="169">
        <v>1</v>
      </c>
      <c r="FY15" s="17">
        <f t="shared" si="130"/>
        <v>38</v>
      </c>
      <c r="FZ15" s="17">
        <f t="shared" si="34"/>
        <v>38</v>
      </c>
      <c r="GA15" s="17">
        <f t="shared" si="35"/>
        <v>0</v>
      </c>
      <c r="GB15" s="17">
        <f t="shared" si="36"/>
        <v>0</v>
      </c>
      <c r="GC15" s="17">
        <f t="shared" si="37"/>
        <v>0</v>
      </c>
      <c r="GD15" s="17">
        <f t="shared" si="38"/>
        <v>0</v>
      </c>
      <c r="GE15" s="17">
        <f t="shared" si="39"/>
        <v>0</v>
      </c>
      <c r="GF15" s="67"/>
      <c r="GG15" s="17">
        <v>0</v>
      </c>
      <c r="GH15" s="17">
        <v>0</v>
      </c>
      <c r="GI15" s="67"/>
      <c r="GJ15" s="62">
        <f t="shared" si="131"/>
        <v>0</v>
      </c>
      <c r="GK15" s="62">
        <f t="shared" si="132"/>
        <v>0</v>
      </c>
      <c r="GO15" s="17">
        <f t="shared" si="40"/>
        <v>0</v>
      </c>
      <c r="GP15" s="17">
        <f t="shared" si="41"/>
        <v>0</v>
      </c>
      <c r="GQ15" s="17">
        <f t="shared" si="42"/>
        <v>0</v>
      </c>
      <c r="GR15" s="17">
        <f t="shared" si="43"/>
        <v>0</v>
      </c>
      <c r="GS15" s="17">
        <f t="shared" si="44"/>
        <v>0</v>
      </c>
      <c r="GT15" s="17">
        <f t="shared" si="133"/>
        <v>1</v>
      </c>
      <c r="GU15" s="101">
        <f t="shared" si="134"/>
        <v>43243</v>
      </c>
      <c r="GV15" s="17" t="str">
        <f t="shared" si="135"/>
        <v>SELESAI</v>
      </c>
      <c r="GW15" s="17">
        <f t="shared" si="136"/>
        <v>0</v>
      </c>
      <c r="GX15" s="66" t="str">
        <f t="shared" si="137"/>
        <v>SELESAI</v>
      </c>
      <c r="GY15" s="66">
        <f t="shared" si="138"/>
        <v>0</v>
      </c>
      <c r="GZ15" s="102" t="str">
        <f t="shared" si="139"/>
        <v>SELESAI</v>
      </c>
      <c r="HA15" s="83"/>
      <c r="HB15" s="83"/>
      <c r="HC15" s="17">
        <f t="shared" si="45"/>
        <v>0</v>
      </c>
      <c r="HD15" s="17">
        <f t="shared" si="46"/>
        <v>0</v>
      </c>
      <c r="HE15" s="17">
        <f t="shared" si="140"/>
        <v>0</v>
      </c>
      <c r="HF15" s="17">
        <f t="shared" si="141"/>
        <v>0</v>
      </c>
      <c r="HG15" s="17">
        <f t="shared" si="142"/>
        <v>0</v>
      </c>
      <c r="HH15" s="101" t="str">
        <f t="shared" si="47"/>
        <v>TIDAK KONSINYASI</v>
      </c>
      <c r="HI15" s="101" t="str">
        <f t="shared" si="143"/>
        <v>SELESAI</v>
      </c>
      <c r="HJ15" s="27"/>
      <c r="HK15" s="101">
        <f t="shared" si="48"/>
        <v>0</v>
      </c>
      <c r="HL15" s="83"/>
      <c r="HM15" s="83"/>
      <c r="HN15" s="83"/>
      <c r="HO15" s="83"/>
      <c r="HP15" s="102">
        <f t="shared" si="144"/>
        <v>0</v>
      </c>
      <c r="HQ15" s="66">
        <f t="shared" si="145"/>
        <v>0</v>
      </c>
      <c r="HR15" s="66">
        <f t="shared" si="49"/>
        <v>0</v>
      </c>
      <c r="HS15" s="102">
        <f t="shared" si="146"/>
        <v>0</v>
      </c>
      <c r="HT15" s="66">
        <f t="shared" si="147"/>
        <v>0</v>
      </c>
      <c r="HU15" s="66">
        <f t="shared" si="50"/>
        <v>0</v>
      </c>
      <c r="HV15" s="102">
        <f t="shared" si="148"/>
        <v>0</v>
      </c>
      <c r="HW15" s="66">
        <f t="shared" si="51"/>
        <v>0</v>
      </c>
      <c r="HX15" s="66">
        <f t="shared" si="52"/>
        <v>0</v>
      </c>
      <c r="HY15" s="102">
        <f t="shared" si="53"/>
        <v>0</v>
      </c>
      <c r="HZ15" s="66">
        <f t="shared" si="149"/>
        <v>0</v>
      </c>
      <c r="IA15" s="66">
        <f t="shared" si="54"/>
        <v>0</v>
      </c>
      <c r="IB15" s="102">
        <f t="shared" si="150"/>
        <v>0</v>
      </c>
      <c r="IC15" s="66">
        <f t="shared" si="55"/>
        <v>0</v>
      </c>
      <c r="ID15" s="66">
        <f t="shared" si="56"/>
        <v>0</v>
      </c>
      <c r="IE15" s="102">
        <f t="shared" si="57"/>
        <v>0</v>
      </c>
      <c r="IF15" s="66">
        <f t="shared" si="58"/>
        <v>0</v>
      </c>
      <c r="IG15" s="66">
        <f t="shared" si="59"/>
        <v>0</v>
      </c>
      <c r="IH15" s="102">
        <f t="shared" si="151"/>
        <v>0</v>
      </c>
      <c r="II15" s="66">
        <f t="shared" si="152"/>
        <v>0</v>
      </c>
      <c r="IJ15" s="66">
        <f t="shared" si="60"/>
        <v>0</v>
      </c>
      <c r="IK15" s="102">
        <f t="shared" si="61"/>
        <v>0</v>
      </c>
      <c r="IL15" s="66">
        <f t="shared" si="62"/>
        <v>0</v>
      </c>
      <c r="IM15" s="66">
        <f t="shared" si="63"/>
        <v>0</v>
      </c>
      <c r="IN15" s="83"/>
      <c r="IO15" s="102">
        <f t="shared" si="64"/>
        <v>0</v>
      </c>
      <c r="IP15" s="66">
        <f t="shared" si="65"/>
        <v>0</v>
      </c>
      <c r="IQ15" s="66">
        <f t="shared" si="66"/>
        <v>0</v>
      </c>
      <c r="IR15" s="83"/>
      <c r="IS15" s="102"/>
      <c r="IT15" s="66">
        <f t="shared" si="67"/>
        <v>1</v>
      </c>
      <c r="IU15" s="66">
        <f t="shared" si="68"/>
        <v>90</v>
      </c>
      <c r="IV15" s="83"/>
      <c r="IW15" s="102"/>
      <c r="IX15" s="66">
        <f t="shared" si="69"/>
        <v>0</v>
      </c>
      <c r="IY15" s="66">
        <f t="shared" si="70"/>
        <v>0</v>
      </c>
      <c r="IZ15" s="83"/>
      <c r="JA15" s="102"/>
      <c r="JB15" s="66">
        <f t="shared" si="71"/>
        <v>0</v>
      </c>
      <c r="JC15" s="66">
        <f t="shared" si="72"/>
        <v>0</v>
      </c>
      <c r="JD15" s="83"/>
      <c r="JE15" s="102"/>
      <c r="JF15" s="66">
        <f t="shared" si="153"/>
        <v>1</v>
      </c>
      <c r="JG15" s="66">
        <f t="shared" si="73"/>
        <v>90</v>
      </c>
      <c r="JH15" s="83"/>
      <c r="JI15" s="102"/>
      <c r="JJ15" s="66">
        <f t="shared" si="74"/>
        <v>0</v>
      </c>
      <c r="JK15" s="66">
        <f t="shared" si="75"/>
        <v>0</v>
      </c>
      <c r="JM15" s="102">
        <f t="shared" si="154"/>
        <v>0</v>
      </c>
      <c r="JO15" s="29">
        <f t="shared" si="76"/>
        <v>1</v>
      </c>
      <c r="JP15" s="122">
        <f t="shared" si="77"/>
        <v>38</v>
      </c>
      <c r="JQ15" s="122">
        <f t="shared" si="78"/>
        <v>1</v>
      </c>
      <c r="JR15" s="122">
        <f t="shared" si="79"/>
        <v>0</v>
      </c>
      <c r="JS15" s="122">
        <f t="shared" si="80"/>
        <v>0</v>
      </c>
      <c r="JT15" s="122">
        <f t="shared" si="81"/>
        <v>0</v>
      </c>
      <c r="JU15" s="122">
        <f t="shared" si="82"/>
        <v>0</v>
      </c>
      <c r="JV15" s="122">
        <f t="shared" si="83"/>
        <v>0</v>
      </c>
      <c r="JW15" s="122">
        <f t="shared" si="84"/>
        <v>0</v>
      </c>
      <c r="JX15" s="122">
        <f t="shared" si="85"/>
        <v>0</v>
      </c>
      <c r="JY15" s="122">
        <f t="shared" si="86"/>
        <v>0</v>
      </c>
      <c r="JZ15" s="122">
        <f t="shared" si="87"/>
        <v>0</v>
      </c>
      <c r="KA15" s="122">
        <f t="shared" si="88"/>
        <v>0</v>
      </c>
      <c r="KB15" s="122">
        <f t="shared" si="89"/>
        <v>0</v>
      </c>
      <c r="KD15" s="122">
        <f t="shared" si="155"/>
        <v>0</v>
      </c>
      <c r="KE15" s="122">
        <f t="shared" si="91"/>
        <v>0</v>
      </c>
      <c r="KF15" s="122">
        <f t="shared" si="92"/>
        <v>38</v>
      </c>
      <c r="KG15" s="122">
        <f t="shared" si="93"/>
        <v>38</v>
      </c>
      <c r="KH15" s="122">
        <f t="shared" si="94"/>
        <v>0</v>
      </c>
      <c r="KI15" s="122">
        <f t="shared" si="95"/>
        <v>0</v>
      </c>
      <c r="KJ15" s="122">
        <f t="shared" si="96"/>
        <v>0</v>
      </c>
      <c r="KK15" s="122">
        <f t="shared" si="97"/>
        <v>0</v>
      </c>
      <c r="KL15" s="122">
        <f t="shared" si="98"/>
        <v>0</v>
      </c>
      <c r="KM15" s="122">
        <f t="shared" si="99"/>
        <v>0</v>
      </c>
      <c r="KN15" s="123">
        <f t="shared" si="100"/>
        <v>0</v>
      </c>
      <c r="KO15" s="123">
        <f t="shared" si="101"/>
        <v>0</v>
      </c>
      <c r="KP15" s="123">
        <f t="shared" si="102"/>
        <v>0</v>
      </c>
      <c r="KQ15" s="123">
        <f t="shared" si="103"/>
        <v>0</v>
      </c>
      <c r="KR15" s="123">
        <f t="shared" si="104"/>
        <v>0</v>
      </c>
      <c r="KT15">
        <f t="shared" si="105"/>
        <v>0</v>
      </c>
      <c r="KU15" s="123"/>
      <c r="KV15" s="123"/>
      <c r="KW15" s="123"/>
      <c r="KX15" s="123"/>
      <c r="KY15" s="123"/>
      <c r="KZ15" s="123"/>
      <c r="LA15" s="123"/>
      <c r="LB15" s="123"/>
      <c r="LC15" s="123"/>
      <c r="LD15" s="123"/>
      <c r="LE15" s="123"/>
      <c r="LF15" s="123"/>
      <c r="LG15" s="123"/>
      <c r="LH15" s="123"/>
      <c r="LI15" s="123"/>
      <c r="LJ15" s="123"/>
      <c r="LK15" s="123"/>
      <c r="LL15" s="123"/>
      <c r="LM15" s="123"/>
      <c r="LN15" s="123"/>
      <c r="LO15" s="123"/>
      <c r="LP15" s="123"/>
      <c r="LQ15" s="123"/>
      <c r="LR15" s="123"/>
      <c r="LS15" s="123"/>
      <c r="LT15" s="123"/>
      <c r="LU15" s="123"/>
      <c r="LV15" s="123"/>
      <c r="LW15" s="123"/>
      <c r="LX15" s="123"/>
      <c r="LY15" s="123"/>
      <c r="LZ15" s="123"/>
      <c r="MA15" s="123"/>
      <c r="MB15" s="123"/>
      <c r="MC15" s="123"/>
      <c r="MD15" s="123"/>
      <c r="ME15" s="123"/>
      <c r="MF15" s="123"/>
      <c r="MG15" s="123"/>
      <c r="MH15" s="123"/>
      <c r="MI15" s="123"/>
      <c r="MJ15" s="123"/>
      <c r="MK15" s="123"/>
      <c r="ML15" s="123"/>
      <c r="MM15" s="123"/>
      <c r="MN15" s="123"/>
      <c r="MO15" s="123"/>
      <c r="MP15" s="123"/>
      <c r="MQ15" s="123"/>
      <c r="MR15" s="123"/>
      <c r="MS15" s="123"/>
      <c r="MT15" s="123"/>
      <c r="MU15" s="123"/>
      <c r="MV15" s="123"/>
      <c r="MW15" s="123"/>
      <c r="MX15" s="123"/>
      <c r="MY15" s="123"/>
      <c r="MZ15" s="123"/>
      <c r="NA15" s="123"/>
      <c r="NB15" s="123"/>
      <c r="NC15" s="123"/>
      <c r="ND15" s="123"/>
      <c r="NE15" s="123"/>
      <c r="NF15" s="123"/>
      <c r="NG15" s="123"/>
      <c r="NH15" s="123"/>
      <c r="NI15" s="123"/>
      <c r="NJ15" s="123"/>
      <c r="NK15" s="123"/>
      <c r="NM15">
        <f t="shared" si="156"/>
        <v>0</v>
      </c>
      <c r="NN15">
        <f t="shared" si="157"/>
        <v>0</v>
      </c>
      <c r="NO15">
        <f t="shared" si="158"/>
        <v>0</v>
      </c>
      <c r="NP15">
        <f t="shared" si="159"/>
        <v>0</v>
      </c>
      <c r="NQ15">
        <f t="shared" si="160"/>
        <v>0</v>
      </c>
      <c r="NR15">
        <f t="shared" si="161"/>
        <v>0</v>
      </c>
      <c r="NS15">
        <f t="shared" si="162"/>
        <v>0</v>
      </c>
      <c r="NT15">
        <f t="shared" si="163"/>
        <v>0</v>
      </c>
      <c r="NU15" s="29">
        <f t="shared" si="164"/>
        <v>0</v>
      </c>
      <c r="NY15" s="29">
        <f t="shared" si="107"/>
        <v>1</v>
      </c>
      <c r="NZ15" s="152">
        <v>7350000</v>
      </c>
      <c r="OE15" s="155">
        <f t="shared" si="108"/>
        <v>0</v>
      </c>
      <c r="OF15" s="155">
        <f t="shared" si="109"/>
        <v>0</v>
      </c>
      <c r="OG15" s="155">
        <f t="shared" si="110"/>
        <v>0</v>
      </c>
      <c r="OH15" s="155">
        <f t="shared" si="165"/>
        <v>0</v>
      </c>
      <c r="OI15" s="155">
        <f t="shared" si="111"/>
        <v>0</v>
      </c>
      <c r="OJ15" s="67">
        <f t="shared" si="166"/>
        <v>0</v>
      </c>
      <c r="OK15" s="67">
        <f t="shared" si="167"/>
        <v>0</v>
      </c>
      <c r="OL15" s="67">
        <f t="shared" si="168"/>
        <v>0</v>
      </c>
      <c r="OM15" s="67">
        <f t="shared" si="169"/>
        <v>0</v>
      </c>
      <c r="OO15" s="155">
        <f t="shared" si="112"/>
        <v>0</v>
      </c>
      <c r="OP15" s="155">
        <f t="shared" si="113"/>
        <v>0</v>
      </c>
      <c r="OQ15" s="155">
        <f t="shared" si="170"/>
        <v>0</v>
      </c>
      <c r="OR15" s="155">
        <f t="shared" si="171"/>
        <v>0</v>
      </c>
      <c r="OS15" s="155">
        <f t="shared" si="172"/>
        <v>0</v>
      </c>
      <c r="OT15" s="67">
        <f t="shared" si="173"/>
        <v>0</v>
      </c>
      <c r="OU15" s="67">
        <f t="shared" si="174"/>
        <v>0</v>
      </c>
      <c r="OV15" s="67">
        <f t="shared" si="175"/>
        <v>0</v>
      </c>
      <c r="OW15" s="67">
        <f t="shared" si="176"/>
        <v>0</v>
      </c>
      <c r="OZ15" s="163">
        <f t="shared" si="114"/>
        <v>0</v>
      </c>
      <c r="PA15" s="166"/>
      <c r="PB15" s="166"/>
      <c r="PC15" s="166"/>
      <c r="PD15" s="210">
        <f t="shared" si="115"/>
        <v>0</v>
      </c>
      <c r="PE15" s="210"/>
      <c r="PF15" s="210">
        <f t="shared" si="116"/>
        <v>0</v>
      </c>
      <c r="PG15" s="210">
        <f t="shared" si="117"/>
        <v>0</v>
      </c>
      <c r="PH15" s="210">
        <f t="shared" si="117"/>
        <v>0</v>
      </c>
      <c r="PI15" s="210">
        <f t="shared" si="117"/>
        <v>0</v>
      </c>
      <c r="PJ15" s="210">
        <f t="shared" si="117"/>
        <v>0</v>
      </c>
      <c r="PK15" s="210">
        <f t="shared" si="117"/>
        <v>0</v>
      </c>
      <c r="PL15" s="210">
        <f t="shared" si="117"/>
        <v>0</v>
      </c>
      <c r="PO15" s="172">
        <f t="shared" si="177"/>
        <v>0</v>
      </c>
      <c r="PP15" s="172">
        <f t="shared" si="178"/>
        <v>0</v>
      </c>
      <c r="PQ15" s="172">
        <f t="shared" si="179"/>
        <v>0</v>
      </c>
    </row>
    <row r="16" spans="1:433" ht="16" x14ac:dyDescent="0.2">
      <c r="A16" s="19">
        <f t="shared" si="180"/>
        <v>8</v>
      </c>
      <c r="B16" s="186" t="s">
        <v>175</v>
      </c>
      <c r="C16" s="186">
        <v>8</v>
      </c>
      <c r="D16" s="188">
        <v>1</v>
      </c>
      <c r="E16" s="188">
        <v>90</v>
      </c>
      <c r="F16" s="188">
        <v>1</v>
      </c>
      <c r="G16" s="188">
        <f t="shared" si="2"/>
        <v>90</v>
      </c>
      <c r="H16" s="214">
        <f t="shared" si="3"/>
        <v>1</v>
      </c>
      <c r="I16" s="214">
        <f t="shared" si="4"/>
        <v>1</v>
      </c>
      <c r="J16" s="188">
        <v>1</v>
      </c>
      <c r="K16" s="188">
        <f t="shared" si="5"/>
        <v>90</v>
      </c>
      <c r="L16" s="214">
        <f t="shared" si="6"/>
        <v>1</v>
      </c>
      <c r="M16" s="214">
        <f t="shared" si="7"/>
        <v>1</v>
      </c>
      <c r="N16" s="188">
        <v>1</v>
      </c>
      <c r="O16" s="188">
        <f t="shared" si="8"/>
        <v>90</v>
      </c>
      <c r="P16" s="214">
        <f t="shared" si="9"/>
        <v>1</v>
      </c>
      <c r="Q16" s="214">
        <f t="shared" si="10"/>
        <v>1</v>
      </c>
      <c r="R16" s="188">
        <v>1</v>
      </c>
      <c r="S16" s="188">
        <f t="shared" si="11"/>
        <v>90</v>
      </c>
      <c r="T16" s="214">
        <f t="shared" si="12"/>
        <v>1</v>
      </c>
      <c r="U16" s="214">
        <f t="shared" si="13"/>
        <v>1</v>
      </c>
      <c r="V16" s="188">
        <v>1</v>
      </c>
      <c r="W16" s="188">
        <f t="shared" si="14"/>
        <v>90</v>
      </c>
      <c r="X16" s="214">
        <f t="shared" si="15"/>
        <v>1</v>
      </c>
      <c r="Y16" s="214">
        <f t="shared" si="16"/>
        <v>1</v>
      </c>
      <c r="Z16" s="216">
        <f t="shared" si="193"/>
        <v>0.69419600000000004</v>
      </c>
      <c r="AA16" s="188">
        <v>0</v>
      </c>
      <c r="AB16" s="189">
        <f t="shared" si="118"/>
        <v>0</v>
      </c>
      <c r="AC16" s="250">
        <f t="shared" si="119"/>
        <v>0</v>
      </c>
      <c r="AD16" s="250">
        <f t="shared" si="120"/>
        <v>0</v>
      </c>
      <c r="AE16" s="188"/>
      <c r="AF16" s="188">
        <f t="shared" si="121"/>
        <v>0</v>
      </c>
      <c r="AG16" s="188"/>
      <c r="AH16" s="188"/>
      <c r="AI16" s="188">
        <v>0</v>
      </c>
      <c r="AJ16" s="188">
        <f t="shared" si="181"/>
        <v>0</v>
      </c>
      <c r="AK16" s="188"/>
      <c r="AL16" s="188">
        <v>0</v>
      </c>
      <c r="AM16" s="188">
        <v>0</v>
      </c>
      <c r="AN16" s="217"/>
      <c r="AO16" s="195"/>
      <c r="AP16" s="195"/>
      <c r="AQ16" s="195"/>
      <c r="AR16" s="195"/>
      <c r="AS16" s="195"/>
      <c r="AT16" s="195"/>
      <c r="BB16" s="17">
        <f t="shared" si="123"/>
        <v>0</v>
      </c>
      <c r="BE16" s="17">
        <f t="shared" si="19"/>
        <v>0</v>
      </c>
      <c r="BF16" s="17">
        <f t="shared" si="20"/>
        <v>0</v>
      </c>
      <c r="BG16" s="17">
        <f t="shared" si="21"/>
        <v>0</v>
      </c>
      <c r="BH16" s="17">
        <f t="shared" si="22"/>
        <v>0</v>
      </c>
      <c r="BI16" s="17">
        <f t="shared" si="23"/>
        <v>0</v>
      </c>
      <c r="BJ16" s="17">
        <f t="shared" si="24"/>
        <v>0</v>
      </c>
      <c r="BK16" s="17">
        <f t="shared" si="124"/>
        <v>0</v>
      </c>
      <c r="BM16" s="128"/>
      <c r="BN16" s="286">
        <v>38</v>
      </c>
      <c r="BO16" s="80">
        <v>1</v>
      </c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B16" s="20"/>
      <c r="CD16" s="17">
        <f t="shared" si="125"/>
        <v>38</v>
      </c>
      <c r="CE16" s="17">
        <f t="shared" si="126"/>
        <v>38</v>
      </c>
      <c r="CF16" s="20">
        <f t="shared" si="182"/>
        <v>0</v>
      </c>
      <c r="CG16" s="20">
        <f t="shared" si="183"/>
        <v>0</v>
      </c>
      <c r="CH16" s="20">
        <f t="shared" si="184"/>
        <v>0</v>
      </c>
      <c r="CI16" s="20">
        <f t="shared" si="185"/>
        <v>0</v>
      </c>
      <c r="CJ16" s="20">
        <f t="shared" si="186"/>
        <v>0</v>
      </c>
      <c r="CK16" s="20">
        <f t="shared" si="187"/>
        <v>0</v>
      </c>
      <c r="CL16" s="20">
        <f t="shared" si="188"/>
        <v>0</v>
      </c>
      <c r="CM16" s="20">
        <f t="shared" si="189"/>
        <v>0</v>
      </c>
      <c r="CN16" s="20">
        <f t="shared" si="190"/>
        <v>0</v>
      </c>
      <c r="CO16" s="20">
        <f t="shared" si="191"/>
        <v>0</v>
      </c>
      <c r="CP16" s="20">
        <f t="shared" si="192"/>
        <v>0</v>
      </c>
      <c r="DV16" s="20">
        <f t="shared" si="27"/>
        <v>0</v>
      </c>
      <c r="DW16" s="20">
        <f t="shared" si="28"/>
        <v>0</v>
      </c>
      <c r="DX16" s="20">
        <f t="shared" si="29"/>
        <v>0</v>
      </c>
      <c r="DY16" s="20">
        <f t="shared" si="30"/>
        <v>0</v>
      </c>
      <c r="DZ16" s="20">
        <f t="shared" si="31"/>
        <v>0</v>
      </c>
      <c r="EA16" s="20">
        <f t="shared" si="32"/>
        <v>0</v>
      </c>
      <c r="EB16" s="20">
        <f t="shared" si="127"/>
        <v>0</v>
      </c>
      <c r="ED16" s="46" t="s">
        <v>302</v>
      </c>
      <c r="EE16" s="46" t="s">
        <v>376</v>
      </c>
      <c r="EF16" s="56"/>
      <c r="EG16" s="57">
        <f t="shared" si="128"/>
        <v>0</v>
      </c>
      <c r="EH16" s="57">
        <f t="shared" si="129"/>
        <v>0</v>
      </c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X16" s="169">
        <v>1</v>
      </c>
      <c r="FY16" s="17">
        <f t="shared" si="130"/>
        <v>38</v>
      </c>
      <c r="FZ16" s="17">
        <f t="shared" si="34"/>
        <v>38</v>
      </c>
      <c r="GA16" s="17">
        <f t="shared" si="35"/>
        <v>0</v>
      </c>
      <c r="GB16" s="17">
        <f t="shared" si="36"/>
        <v>0</v>
      </c>
      <c r="GC16" s="17">
        <f t="shared" si="37"/>
        <v>0</v>
      </c>
      <c r="GD16" s="17">
        <f t="shared" si="38"/>
        <v>0</v>
      </c>
      <c r="GE16" s="17">
        <f t="shared" si="39"/>
        <v>0</v>
      </c>
      <c r="GF16" s="67"/>
      <c r="GG16" s="17">
        <v>0</v>
      </c>
      <c r="GH16" s="17">
        <v>0</v>
      </c>
      <c r="GI16" s="67"/>
      <c r="GJ16" s="62">
        <f t="shared" si="131"/>
        <v>0</v>
      </c>
      <c r="GK16" s="62">
        <f t="shared" si="132"/>
        <v>0</v>
      </c>
      <c r="GO16" s="17">
        <f t="shared" si="40"/>
        <v>0</v>
      </c>
      <c r="GP16" s="17">
        <f t="shared" si="41"/>
        <v>0</v>
      </c>
      <c r="GQ16" s="17">
        <f t="shared" si="42"/>
        <v>0</v>
      </c>
      <c r="GR16" s="17">
        <f t="shared" si="43"/>
        <v>0</v>
      </c>
      <c r="GS16" s="17">
        <f t="shared" si="44"/>
        <v>0</v>
      </c>
      <c r="GT16" s="17">
        <f t="shared" si="133"/>
        <v>1</v>
      </c>
      <c r="GU16" s="101">
        <f t="shared" si="134"/>
        <v>43243</v>
      </c>
      <c r="GV16" s="17" t="str">
        <f t="shared" si="135"/>
        <v>SELESAI</v>
      </c>
      <c r="GW16" s="17">
        <f t="shared" si="136"/>
        <v>0</v>
      </c>
      <c r="GX16" s="66" t="str">
        <f t="shared" si="137"/>
        <v>SELESAI</v>
      </c>
      <c r="GY16" s="66">
        <f t="shared" si="138"/>
        <v>0</v>
      </c>
      <c r="GZ16" s="102" t="str">
        <f t="shared" si="139"/>
        <v>SELESAI</v>
      </c>
      <c r="HA16" s="83"/>
      <c r="HB16" s="83"/>
      <c r="HC16" s="17">
        <f t="shared" si="45"/>
        <v>0</v>
      </c>
      <c r="HD16" s="17">
        <f t="shared" si="46"/>
        <v>0</v>
      </c>
      <c r="HE16" s="17">
        <f t="shared" si="140"/>
        <v>0</v>
      </c>
      <c r="HF16" s="17">
        <f t="shared" si="141"/>
        <v>0</v>
      </c>
      <c r="HG16" s="17">
        <f t="shared" si="142"/>
        <v>0</v>
      </c>
      <c r="HH16" s="101" t="str">
        <f t="shared" si="47"/>
        <v>TIDAK KONSINYASI</v>
      </c>
      <c r="HI16" s="101" t="str">
        <f t="shared" si="143"/>
        <v>SELESAI</v>
      </c>
      <c r="HJ16" s="27"/>
      <c r="HK16" s="101">
        <f t="shared" si="48"/>
        <v>0</v>
      </c>
      <c r="HL16" s="83"/>
      <c r="HM16" s="83"/>
      <c r="HN16" s="83"/>
      <c r="HO16" s="83"/>
      <c r="HP16" s="102">
        <f t="shared" si="144"/>
        <v>0</v>
      </c>
      <c r="HQ16" s="66">
        <f t="shared" si="145"/>
        <v>0</v>
      </c>
      <c r="HR16" s="66">
        <f t="shared" si="49"/>
        <v>0</v>
      </c>
      <c r="HS16" s="102">
        <f t="shared" si="146"/>
        <v>0</v>
      </c>
      <c r="HT16" s="66">
        <f t="shared" si="147"/>
        <v>0</v>
      </c>
      <c r="HU16" s="66">
        <f t="shared" si="50"/>
        <v>0</v>
      </c>
      <c r="HV16" s="102">
        <f t="shared" si="148"/>
        <v>0</v>
      </c>
      <c r="HW16" s="66">
        <f t="shared" si="51"/>
        <v>0</v>
      </c>
      <c r="HX16" s="66">
        <f t="shared" si="52"/>
        <v>0</v>
      </c>
      <c r="HY16" s="102">
        <f t="shared" si="53"/>
        <v>0</v>
      </c>
      <c r="HZ16" s="66">
        <f t="shared" si="149"/>
        <v>0</v>
      </c>
      <c r="IA16" s="66">
        <f t="shared" si="54"/>
        <v>0</v>
      </c>
      <c r="IB16" s="102">
        <f t="shared" si="150"/>
        <v>0</v>
      </c>
      <c r="IC16" s="66">
        <f t="shared" si="55"/>
        <v>0</v>
      </c>
      <c r="ID16" s="66">
        <f t="shared" si="56"/>
        <v>0</v>
      </c>
      <c r="IE16" s="102">
        <f t="shared" si="57"/>
        <v>0</v>
      </c>
      <c r="IF16" s="66">
        <f t="shared" si="58"/>
        <v>0</v>
      </c>
      <c r="IG16" s="66">
        <f t="shared" si="59"/>
        <v>0</v>
      </c>
      <c r="IH16" s="102">
        <f t="shared" si="151"/>
        <v>0</v>
      </c>
      <c r="II16" s="66">
        <f t="shared" si="152"/>
        <v>0</v>
      </c>
      <c r="IJ16" s="66">
        <f t="shared" si="60"/>
        <v>0</v>
      </c>
      <c r="IK16" s="102">
        <f t="shared" si="61"/>
        <v>0</v>
      </c>
      <c r="IL16" s="66">
        <f t="shared" si="62"/>
        <v>0</v>
      </c>
      <c r="IM16" s="66">
        <f t="shared" si="63"/>
        <v>0</v>
      </c>
      <c r="IN16" s="83"/>
      <c r="IO16" s="102">
        <f t="shared" si="64"/>
        <v>0</v>
      </c>
      <c r="IP16" s="66">
        <f t="shared" si="65"/>
        <v>0</v>
      </c>
      <c r="IQ16" s="66">
        <f t="shared" si="66"/>
        <v>0</v>
      </c>
      <c r="IR16" s="83"/>
      <c r="IS16" s="102"/>
      <c r="IT16" s="66">
        <f t="shared" si="67"/>
        <v>1</v>
      </c>
      <c r="IU16" s="66">
        <f t="shared" si="68"/>
        <v>90</v>
      </c>
      <c r="IV16" s="83"/>
      <c r="IW16" s="102"/>
      <c r="IX16" s="66">
        <f t="shared" si="69"/>
        <v>0</v>
      </c>
      <c r="IY16" s="66">
        <f t="shared" si="70"/>
        <v>0</v>
      </c>
      <c r="IZ16" s="83"/>
      <c r="JA16" s="102"/>
      <c r="JB16" s="66">
        <f t="shared" si="71"/>
        <v>0</v>
      </c>
      <c r="JC16" s="66">
        <f t="shared" si="72"/>
        <v>0</v>
      </c>
      <c r="JD16" s="83"/>
      <c r="JE16" s="102"/>
      <c r="JF16" s="66">
        <f t="shared" si="153"/>
        <v>1</v>
      </c>
      <c r="JG16" s="66">
        <f t="shared" si="73"/>
        <v>90</v>
      </c>
      <c r="JH16" s="83"/>
      <c r="JI16" s="102"/>
      <c r="JJ16" s="66">
        <f t="shared" si="74"/>
        <v>0</v>
      </c>
      <c r="JK16" s="66">
        <f t="shared" si="75"/>
        <v>0</v>
      </c>
      <c r="JM16" s="102">
        <f t="shared" si="154"/>
        <v>0</v>
      </c>
      <c r="JO16" s="29">
        <f t="shared" si="76"/>
        <v>1</v>
      </c>
      <c r="JP16" s="122">
        <f t="shared" si="77"/>
        <v>38</v>
      </c>
      <c r="JQ16" s="122">
        <f t="shared" si="78"/>
        <v>1</v>
      </c>
      <c r="JR16" s="122">
        <f t="shared" si="79"/>
        <v>0</v>
      </c>
      <c r="JS16" s="122">
        <f t="shared" si="80"/>
        <v>0</v>
      </c>
      <c r="JT16" s="122">
        <f t="shared" si="81"/>
        <v>0</v>
      </c>
      <c r="JU16" s="122">
        <f t="shared" si="82"/>
        <v>0</v>
      </c>
      <c r="JV16" s="122">
        <f t="shared" si="83"/>
        <v>0</v>
      </c>
      <c r="JW16" s="122">
        <f t="shared" si="84"/>
        <v>0</v>
      </c>
      <c r="JX16" s="122">
        <f t="shared" si="85"/>
        <v>0</v>
      </c>
      <c r="JY16" s="122">
        <f t="shared" si="86"/>
        <v>0</v>
      </c>
      <c r="JZ16" s="122">
        <f t="shared" si="87"/>
        <v>0</v>
      </c>
      <c r="KA16" s="122">
        <f t="shared" si="88"/>
        <v>0</v>
      </c>
      <c r="KB16" s="122">
        <f t="shared" si="89"/>
        <v>0</v>
      </c>
      <c r="KD16" s="122">
        <f t="shared" si="155"/>
        <v>0</v>
      </c>
      <c r="KE16" s="122">
        <f t="shared" si="91"/>
        <v>0</v>
      </c>
      <c r="KF16" s="122">
        <f t="shared" si="92"/>
        <v>38</v>
      </c>
      <c r="KG16" s="122">
        <f t="shared" si="93"/>
        <v>38</v>
      </c>
      <c r="KH16" s="122">
        <f t="shared" si="94"/>
        <v>0</v>
      </c>
      <c r="KI16" s="122">
        <f t="shared" si="95"/>
        <v>0</v>
      </c>
      <c r="KJ16" s="122">
        <f t="shared" si="96"/>
        <v>0</v>
      </c>
      <c r="KK16" s="122">
        <f t="shared" si="97"/>
        <v>0</v>
      </c>
      <c r="KL16" s="122">
        <f t="shared" si="98"/>
        <v>0</v>
      </c>
      <c r="KM16" s="122">
        <f t="shared" si="99"/>
        <v>0</v>
      </c>
      <c r="KN16" s="123">
        <f t="shared" si="100"/>
        <v>0</v>
      </c>
      <c r="KO16" s="123">
        <f t="shared" si="101"/>
        <v>0</v>
      </c>
      <c r="KP16" s="123">
        <f t="shared" si="102"/>
        <v>0</v>
      </c>
      <c r="KQ16" s="123">
        <f t="shared" si="103"/>
        <v>0</v>
      </c>
      <c r="KR16" s="123">
        <f t="shared" si="104"/>
        <v>0</v>
      </c>
      <c r="KT16">
        <f t="shared" si="105"/>
        <v>0</v>
      </c>
      <c r="KU16" s="123"/>
      <c r="KV16" s="123"/>
      <c r="KW16" s="123"/>
      <c r="KX16" s="123"/>
      <c r="KY16" s="123"/>
      <c r="KZ16" s="123"/>
      <c r="LA16" s="123"/>
      <c r="LB16" s="123"/>
      <c r="LC16" s="123"/>
      <c r="LD16" s="123"/>
      <c r="LE16" s="123"/>
      <c r="LF16" s="123"/>
      <c r="LG16" s="123"/>
      <c r="LH16" s="123"/>
      <c r="LI16" s="123"/>
      <c r="LJ16" s="123"/>
      <c r="LK16" s="123"/>
      <c r="LL16" s="123"/>
      <c r="LM16" s="123"/>
      <c r="LN16" s="123"/>
      <c r="LO16" s="123"/>
      <c r="LP16" s="123"/>
      <c r="LQ16" s="123"/>
      <c r="LR16" s="123"/>
      <c r="LS16" s="123"/>
      <c r="LT16" s="123"/>
      <c r="LU16" s="123"/>
      <c r="LV16" s="123"/>
      <c r="LW16" s="123"/>
      <c r="LX16" s="123"/>
      <c r="LY16" s="123"/>
      <c r="LZ16" s="123"/>
      <c r="MA16" s="123"/>
      <c r="MB16" s="123"/>
      <c r="MC16" s="123"/>
      <c r="MD16" s="123"/>
      <c r="ME16" s="123"/>
      <c r="MF16" s="123"/>
      <c r="MG16" s="123"/>
      <c r="MH16" s="123"/>
      <c r="MI16" s="123"/>
      <c r="MJ16" s="123"/>
      <c r="MK16" s="123"/>
      <c r="ML16" s="123"/>
      <c r="MM16" s="123"/>
      <c r="MN16" s="123"/>
      <c r="MO16" s="123"/>
      <c r="MP16" s="123"/>
      <c r="MQ16" s="123"/>
      <c r="MR16" s="123"/>
      <c r="MS16" s="123"/>
      <c r="MT16" s="123"/>
      <c r="MU16" s="123"/>
      <c r="MV16" s="123"/>
      <c r="MW16" s="123"/>
      <c r="MX16" s="123"/>
      <c r="MY16" s="123"/>
      <c r="MZ16" s="123"/>
      <c r="NA16" s="123"/>
      <c r="NB16" s="123"/>
      <c r="NC16" s="123"/>
      <c r="ND16" s="123"/>
      <c r="NE16" s="123"/>
      <c r="NF16" s="123"/>
      <c r="NG16" s="123"/>
      <c r="NH16" s="123"/>
      <c r="NI16" s="123"/>
      <c r="NJ16" s="123"/>
      <c r="NK16" s="123"/>
      <c r="NM16">
        <f t="shared" si="156"/>
        <v>0</v>
      </c>
      <c r="NN16">
        <f t="shared" si="157"/>
        <v>0</v>
      </c>
      <c r="NO16">
        <f t="shared" si="158"/>
        <v>0</v>
      </c>
      <c r="NP16">
        <f t="shared" si="159"/>
        <v>0</v>
      </c>
      <c r="NQ16">
        <f t="shared" si="160"/>
        <v>0</v>
      </c>
      <c r="NR16">
        <f t="shared" si="161"/>
        <v>0</v>
      </c>
      <c r="NS16">
        <f t="shared" si="162"/>
        <v>0</v>
      </c>
      <c r="NT16">
        <f t="shared" si="163"/>
        <v>0</v>
      </c>
      <c r="NU16" s="29">
        <f t="shared" si="164"/>
        <v>0</v>
      </c>
      <c r="NY16" s="29">
        <f t="shared" si="107"/>
        <v>1</v>
      </c>
      <c r="NZ16" s="152">
        <v>7350000</v>
      </c>
      <c r="OE16" s="155">
        <f t="shared" si="108"/>
        <v>0</v>
      </c>
      <c r="OF16" s="155">
        <f t="shared" si="109"/>
        <v>0</v>
      </c>
      <c r="OG16" s="155">
        <f t="shared" si="110"/>
        <v>0</v>
      </c>
      <c r="OH16" s="155">
        <f t="shared" si="165"/>
        <v>0</v>
      </c>
      <c r="OI16" s="155">
        <f t="shared" si="111"/>
        <v>0</v>
      </c>
      <c r="OJ16" s="67">
        <f t="shared" si="166"/>
        <v>0</v>
      </c>
      <c r="OK16" s="67">
        <f t="shared" si="167"/>
        <v>0</v>
      </c>
      <c r="OL16" s="67">
        <f t="shared" si="168"/>
        <v>0</v>
      </c>
      <c r="OM16" s="67">
        <f t="shared" si="169"/>
        <v>0</v>
      </c>
      <c r="OO16" s="155">
        <f t="shared" si="112"/>
        <v>0</v>
      </c>
      <c r="OP16" s="155">
        <f t="shared" si="113"/>
        <v>0</v>
      </c>
      <c r="OQ16" s="155">
        <f t="shared" si="170"/>
        <v>0</v>
      </c>
      <c r="OR16" s="155">
        <f t="shared" si="171"/>
        <v>0</v>
      </c>
      <c r="OS16" s="155">
        <f t="shared" si="172"/>
        <v>0</v>
      </c>
      <c r="OT16" s="67">
        <f t="shared" si="173"/>
        <v>0</v>
      </c>
      <c r="OU16" s="67">
        <f t="shared" si="174"/>
        <v>0</v>
      </c>
      <c r="OV16" s="67">
        <f t="shared" si="175"/>
        <v>0</v>
      </c>
      <c r="OW16" s="67">
        <f t="shared" si="176"/>
        <v>0</v>
      </c>
      <c r="OZ16" s="163">
        <f t="shared" si="114"/>
        <v>0</v>
      </c>
      <c r="PA16" s="166"/>
      <c r="PB16" s="166"/>
      <c r="PC16" s="166"/>
      <c r="PD16" s="210">
        <f t="shared" si="115"/>
        <v>0</v>
      </c>
      <c r="PE16" s="210"/>
      <c r="PF16" s="210">
        <f t="shared" si="116"/>
        <v>0</v>
      </c>
      <c r="PG16" s="210">
        <f t="shared" si="117"/>
        <v>0</v>
      </c>
      <c r="PH16" s="210">
        <f t="shared" si="117"/>
        <v>0</v>
      </c>
      <c r="PI16" s="210">
        <f t="shared" si="117"/>
        <v>0</v>
      </c>
      <c r="PJ16" s="210">
        <f t="shared" si="117"/>
        <v>0</v>
      </c>
      <c r="PK16" s="210">
        <f t="shared" si="117"/>
        <v>0</v>
      </c>
      <c r="PL16" s="210">
        <f t="shared" si="117"/>
        <v>0</v>
      </c>
      <c r="PO16" s="172">
        <f t="shared" si="177"/>
        <v>0</v>
      </c>
      <c r="PP16" s="172">
        <f t="shared" si="178"/>
        <v>0</v>
      </c>
      <c r="PQ16" s="172">
        <f t="shared" si="179"/>
        <v>0</v>
      </c>
    </row>
    <row r="17" spans="1:433" ht="16" x14ac:dyDescent="0.2">
      <c r="A17" s="19">
        <f t="shared" si="180"/>
        <v>9</v>
      </c>
      <c r="B17" s="186" t="s">
        <v>175</v>
      </c>
      <c r="C17" s="186">
        <v>9</v>
      </c>
      <c r="D17" s="188">
        <v>1</v>
      </c>
      <c r="E17" s="188">
        <v>90</v>
      </c>
      <c r="F17" s="188">
        <v>1</v>
      </c>
      <c r="G17" s="188">
        <f t="shared" si="2"/>
        <v>90</v>
      </c>
      <c r="H17" s="214">
        <f t="shared" si="3"/>
        <v>1</v>
      </c>
      <c r="I17" s="214">
        <f t="shared" si="4"/>
        <v>1</v>
      </c>
      <c r="J17" s="188">
        <v>1</v>
      </c>
      <c r="K17" s="188">
        <f t="shared" si="5"/>
        <v>90</v>
      </c>
      <c r="L17" s="214">
        <f t="shared" si="6"/>
        <v>1</v>
      </c>
      <c r="M17" s="214">
        <f t="shared" si="7"/>
        <v>1</v>
      </c>
      <c r="N17" s="188">
        <v>1</v>
      </c>
      <c r="O17" s="188">
        <f t="shared" si="8"/>
        <v>90</v>
      </c>
      <c r="P17" s="214">
        <f t="shared" si="9"/>
        <v>1</v>
      </c>
      <c r="Q17" s="214">
        <f t="shared" si="10"/>
        <v>1</v>
      </c>
      <c r="R17" s="188">
        <v>1</v>
      </c>
      <c r="S17" s="188">
        <f t="shared" si="11"/>
        <v>90</v>
      </c>
      <c r="T17" s="214">
        <f t="shared" si="12"/>
        <v>1</v>
      </c>
      <c r="U17" s="214">
        <f t="shared" si="13"/>
        <v>1</v>
      </c>
      <c r="V17" s="188">
        <v>1</v>
      </c>
      <c r="W17" s="188">
        <f t="shared" si="14"/>
        <v>90</v>
      </c>
      <c r="X17" s="214">
        <f t="shared" si="15"/>
        <v>1</v>
      </c>
      <c r="Y17" s="214">
        <f t="shared" si="16"/>
        <v>1</v>
      </c>
      <c r="Z17" s="216">
        <f t="shared" si="193"/>
        <v>0.69419600000000004</v>
      </c>
      <c r="AA17" s="188">
        <v>0</v>
      </c>
      <c r="AB17" s="189">
        <f t="shared" si="118"/>
        <v>0</v>
      </c>
      <c r="AC17" s="250">
        <f t="shared" si="119"/>
        <v>0</v>
      </c>
      <c r="AD17" s="250">
        <f t="shared" si="120"/>
        <v>0</v>
      </c>
      <c r="AE17" s="188"/>
      <c r="AF17" s="188">
        <f t="shared" si="121"/>
        <v>0</v>
      </c>
      <c r="AG17" s="188"/>
      <c r="AH17" s="188"/>
      <c r="AI17" s="188">
        <v>0</v>
      </c>
      <c r="AJ17" s="188">
        <f t="shared" si="181"/>
        <v>0</v>
      </c>
      <c r="AK17" s="188"/>
      <c r="AL17" s="188">
        <v>0</v>
      </c>
      <c r="AM17" s="188">
        <v>0</v>
      </c>
      <c r="AN17" s="217"/>
      <c r="AO17" s="195"/>
      <c r="AP17" s="195"/>
      <c r="AQ17" s="195"/>
      <c r="AR17" s="195"/>
      <c r="AS17" s="195"/>
      <c r="AT17" s="195"/>
      <c r="BB17" s="17">
        <f t="shared" si="123"/>
        <v>0</v>
      </c>
      <c r="BE17" s="17">
        <f t="shared" si="19"/>
        <v>0</v>
      </c>
      <c r="BF17" s="17">
        <f t="shared" si="20"/>
        <v>0</v>
      </c>
      <c r="BG17" s="17">
        <f t="shared" si="21"/>
        <v>0</v>
      </c>
      <c r="BH17" s="17">
        <f t="shared" si="22"/>
        <v>0</v>
      </c>
      <c r="BI17" s="17">
        <f t="shared" si="23"/>
        <v>0</v>
      </c>
      <c r="BJ17" s="17">
        <f t="shared" si="24"/>
        <v>0</v>
      </c>
      <c r="BK17" s="17">
        <f t="shared" si="124"/>
        <v>0</v>
      </c>
      <c r="BM17" s="128"/>
      <c r="BN17" s="286">
        <v>38</v>
      </c>
      <c r="BO17" s="80">
        <v>1</v>
      </c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B17" s="20"/>
      <c r="CD17" s="17">
        <f t="shared" si="125"/>
        <v>38</v>
      </c>
      <c r="CE17" s="17">
        <f t="shared" si="126"/>
        <v>38</v>
      </c>
      <c r="CF17" s="20">
        <f t="shared" si="182"/>
        <v>0</v>
      </c>
      <c r="CG17" s="20">
        <f t="shared" si="183"/>
        <v>0</v>
      </c>
      <c r="CH17" s="20">
        <f t="shared" si="184"/>
        <v>0</v>
      </c>
      <c r="CI17" s="20">
        <f t="shared" si="185"/>
        <v>0</v>
      </c>
      <c r="CJ17" s="20">
        <f t="shared" si="186"/>
        <v>0</v>
      </c>
      <c r="CK17" s="20">
        <f t="shared" si="187"/>
        <v>0</v>
      </c>
      <c r="CL17" s="20">
        <f t="shared" si="188"/>
        <v>0</v>
      </c>
      <c r="CM17" s="20">
        <f t="shared" si="189"/>
        <v>0</v>
      </c>
      <c r="CN17" s="20">
        <f t="shared" si="190"/>
        <v>0</v>
      </c>
      <c r="CO17" s="20">
        <f t="shared" si="191"/>
        <v>0</v>
      </c>
      <c r="CP17" s="20">
        <f t="shared" si="192"/>
        <v>0</v>
      </c>
      <c r="DV17" s="20">
        <f t="shared" si="27"/>
        <v>0</v>
      </c>
      <c r="DW17" s="20">
        <f t="shared" si="28"/>
        <v>0</v>
      </c>
      <c r="DX17" s="20">
        <f t="shared" si="29"/>
        <v>0</v>
      </c>
      <c r="DY17" s="20">
        <f t="shared" si="30"/>
        <v>0</v>
      </c>
      <c r="DZ17" s="20">
        <f t="shared" si="31"/>
        <v>0</v>
      </c>
      <c r="EA17" s="20">
        <f t="shared" si="32"/>
        <v>0</v>
      </c>
      <c r="EB17" s="20">
        <f t="shared" si="127"/>
        <v>0</v>
      </c>
      <c r="ED17" s="46" t="s">
        <v>351</v>
      </c>
      <c r="EE17" s="46" t="s">
        <v>377</v>
      </c>
      <c r="EF17" s="56"/>
      <c r="EG17" s="57">
        <f t="shared" si="128"/>
        <v>0</v>
      </c>
      <c r="EH17" s="57">
        <f t="shared" si="129"/>
        <v>0</v>
      </c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X17" s="169">
        <v>1</v>
      </c>
      <c r="FY17" s="17">
        <f t="shared" si="130"/>
        <v>38</v>
      </c>
      <c r="FZ17" s="17">
        <f t="shared" si="34"/>
        <v>38</v>
      </c>
      <c r="GA17" s="17">
        <f t="shared" si="35"/>
        <v>0</v>
      </c>
      <c r="GB17" s="17">
        <f t="shared" si="36"/>
        <v>0</v>
      </c>
      <c r="GC17" s="17">
        <f t="shared" si="37"/>
        <v>0</v>
      </c>
      <c r="GD17" s="17">
        <f t="shared" si="38"/>
        <v>0</v>
      </c>
      <c r="GE17" s="17">
        <f t="shared" si="39"/>
        <v>0</v>
      </c>
      <c r="GF17" s="67"/>
      <c r="GG17" s="17">
        <v>0</v>
      </c>
      <c r="GH17" s="17">
        <v>0</v>
      </c>
      <c r="GI17" s="67"/>
      <c r="GJ17" s="62">
        <f t="shared" si="131"/>
        <v>0</v>
      </c>
      <c r="GK17" s="62">
        <f t="shared" si="132"/>
        <v>0</v>
      </c>
      <c r="GO17" s="17">
        <f t="shared" si="40"/>
        <v>0</v>
      </c>
      <c r="GP17" s="17">
        <f t="shared" si="41"/>
        <v>0</v>
      </c>
      <c r="GQ17" s="17">
        <f t="shared" si="42"/>
        <v>0</v>
      </c>
      <c r="GR17" s="17">
        <f t="shared" si="43"/>
        <v>0</v>
      </c>
      <c r="GS17" s="17">
        <f t="shared" si="44"/>
        <v>0</v>
      </c>
      <c r="GT17" s="17">
        <f t="shared" si="133"/>
        <v>1</v>
      </c>
      <c r="GU17" s="101">
        <f t="shared" si="134"/>
        <v>43243</v>
      </c>
      <c r="GV17" s="17" t="str">
        <f t="shared" si="135"/>
        <v>SELESAI</v>
      </c>
      <c r="GW17" s="17">
        <f t="shared" si="136"/>
        <v>0</v>
      </c>
      <c r="GX17" s="66" t="str">
        <f t="shared" si="137"/>
        <v>SELESAI</v>
      </c>
      <c r="GY17" s="66">
        <f t="shared" si="138"/>
        <v>0</v>
      </c>
      <c r="GZ17" s="102" t="str">
        <f t="shared" si="139"/>
        <v>SELESAI</v>
      </c>
      <c r="HA17" s="83"/>
      <c r="HB17" s="83"/>
      <c r="HC17" s="17">
        <f t="shared" si="45"/>
        <v>0</v>
      </c>
      <c r="HD17" s="17">
        <f t="shared" si="46"/>
        <v>0</v>
      </c>
      <c r="HE17" s="17">
        <f t="shared" si="140"/>
        <v>0</v>
      </c>
      <c r="HF17" s="17">
        <f t="shared" si="141"/>
        <v>0</v>
      </c>
      <c r="HG17" s="17">
        <f t="shared" si="142"/>
        <v>0</v>
      </c>
      <c r="HH17" s="101" t="str">
        <f t="shared" si="47"/>
        <v>TIDAK KONSINYASI</v>
      </c>
      <c r="HI17" s="101" t="str">
        <f t="shared" si="143"/>
        <v>SELESAI</v>
      </c>
      <c r="HJ17" s="27"/>
      <c r="HK17" s="101">
        <f t="shared" si="48"/>
        <v>0</v>
      </c>
      <c r="HL17" s="83"/>
      <c r="HM17" s="83"/>
      <c r="HN17" s="83"/>
      <c r="HO17" s="83"/>
      <c r="HP17" s="102">
        <f t="shared" si="144"/>
        <v>0</v>
      </c>
      <c r="HQ17" s="66">
        <f t="shared" si="145"/>
        <v>0</v>
      </c>
      <c r="HR17" s="66">
        <f t="shared" si="49"/>
        <v>0</v>
      </c>
      <c r="HS17" s="102">
        <f t="shared" si="146"/>
        <v>0</v>
      </c>
      <c r="HT17" s="66">
        <f t="shared" si="147"/>
        <v>0</v>
      </c>
      <c r="HU17" s="66">
        <f t="shared" si="50"/>
        <v>0</v>
      </c>
      <c r="HV17" s="102">
        <f t="shared" si="148"/>
        <v>0</v>
      </c>
      <c r="HW17" s="66">
        <f t="shared" si="51"/>
        <v>0</v>
      </c>
      <c r="HX17" s="66">
        <f t="shared" si="52"/>
        <v>0</v>
      </c>
      <c r="HY17" s="102">
        <f t="shared" si="53"/>
        <v>0</v>
      </c>
      <c r="HZ17" s="66">
        <f t="shared" si="149"/>
        <v>0</v>
      </c>
      <c r="IA17" s="66">
        <f t="shared" si="54"/>
        <v>0</v>
      </c>
      <c r="IB17" s="102">
        <f t="shared" si="150"/>
        <v>0</v>
      </c>
      <c r="IC17" s="66">
        <f t="shared" si="55"/>
        <v>0</v>
      </c>
      <c r="ID17" s="66">
        <f t="shared" si="56"/>
        <v>0</v>
      </c>
      <c r="IE17" s="102">
        <f t="shared" si="57"/>
        <v>0</v>
      </c>
      <c r="IF17" s="66">
        <f t="shared" si="58"/>
        <v>0</v>
      </c>
      <c r="IG17" s="66">
        <f t="shared" si="59"/>
        <v>0</v>
      </c>
      <c r="IH17" s="102">
        <f t="shared" si="151"/>
        <v>0</v>
      </c>
      <c r="II17" s="66">
        <f t="shared" si="152"/>
        <v>0</v>
      </c>
      <c r="IJ17" s="66">
        <f t="shared" si="60"/>
        <v>0</v>
      </c>
      <c r="IK17" s="102">
        <f t="shared" si="61"/>
        <v>0</v>
      </c>
      <c r="IL17" s="66">
        <f t="shared" si="62"/>
        <v>0</v>
      </c>
      <c r="IM17" s="66">
        <f t="shared" si="63"/>
        <v>0</v>
      </c>
      <c r="IN17" s="83"/>
      <c r="IO17" s="102">
        <f t="shared" si="64"/>
        <v>0</v>
      </c>
      <c r="IP17" s="66">
        <f t="shared" si="65"/>
        <v>0</v>
      </c>
      <c r="IQ17" s="66">
        <f t="shared" si="66"/>
        <v>0</v>
      </c>
      <c r="IR17" s="83"/>
      <c r="IS17" s="102"/>
      <c r="IT17" s="66">
        <f t="shared" si="67"/>
        <v>1</v>
      </c>
      <c r="IU17" s="66">
        <f t="shared" si="68"/>
        <v>90</v>
      </c>
      <c r="IV17" s="83"/>
      <c r="IW17" s="102"/>
      <c r="IX17" s="66">
        <f t="shared" si="69"/>
        <v>0</v>
      </c>
      <c r="IY17" s="66">
        <f t="shared" si="70"/>
        <v>0</v>
      </c>
      <c r="IZ17" s="83"/>
      <c r="JA17" s="102"/>
      <c r="JB17" s="66">
        <f t="shared" si="71"/>
        <v>0</v>
      </c>
      <c r="JC17" s="66">
        <f t="shared" si="72"/>
        <v>0</v>
      </c>
      <c r="JD17" s="83"/>
      <c r="JE17" s="102"/>
      <c r="JF17" s="66">
        <f t="shared" si="153"/>
        <v>1</v>
      </c>
      <c r="JG17" s="66">
        <f t="shared" si="73"/>
        <v>90</v>
      </c>
      <c r="JH17" s="83"/>
      <c r="JI17" s="102"/>
      <c r="JJ17" s="66">
        <f t="shared" si="74"/>
        <v>0</v>
      </c>
      <c r="JK17" s="66">
        <f t="shared" si="75"/>
        <v>0</v>
      </c>
      <c r="JM17" s="102">
        <f t="shared" si="154"/>
        <v>0</v>
      </c>
      <c r="JO17" s="29">
        <f t="shared" si="76"/>
        <v>1</v>
      </c>
      <c r="JP17" s="122">
        <f t="shared" si="77"/>
        <v>38</v>
      </c>
      <c r="JQ17" s="122">
        <f t="shared" si="78"/>
        <v>1</v>
      </c>
      <c r="JR17" s="122">
        <f t="shared" si="79"/>
        <v>0</v>
      </c>
      <c r="JS17" s="122">
        <f t="shared" si="80"/>
        <v>0</v>
      </c>
      <c r="JT17" s="122">
        <f t="shared" si="81"/>
        <v>0</v>
      </c>
      <c r="JU17" s="122">
        <f t="shared" si="82"/>
        <v>0</v>
      </c>
      <c r="JV17" s="122">
        <f t="shared" si="83"/>
        <v>0</v>
      </c>
      <c r="JW17" s="122">
        <f t="shared" si="84"/>
        <v>0</v>
      </c>
      <c r="JX17" s="122">
        <f t="shared" si="85"/>
        <v>0</v>
      </c>
      <c r="JY17" s="122">
        <f t="shared" si="86"/>
        <v>0</v>
      </c>
      <c r="JZ17" s="122">
        <f t="shared" si="87"/>
        <v>0</v>
      </c>
      <c r="KA17" s="122">
        <f t="shared" si="88"/>
        <v>0</v>
      </c>
      <c r="KB17" s="122">
        <f t="shared" si="89"/>
        <v>0</v>
      </c>
      <c r="KD17" s="122">
        <f t="shared" si="155"/>
        <v>0</v>
      </c>
      <c r="KE17" s="122">
        <f t="shared" si="91"/>
        <v>0</v>
      </c>
      <c r="KF17" s="122">
        <f t="shared" si="92"/>
        <v>38</v>
      </c>
      <c r="KG17" s="122">
        <f t="shared" si="93"/>
        <v>38</v>
      </c>
      <c r="KH17" s="122">
        <f t="shared" si="94"/>
        <v>0</v>
      </c>
      <c r="KI17" s="122">
        <f t="shared" si="95"/>
        <v>0</v>
      </c>
      <c r="KJ17" s="122">
        <f t="shared" si="96"/>
        <v>0</v>
      </c>
      <c r="KK17" s="122">
        <f t="shared" si="97"/>
        <v>0</v>
      </c>
      <c r="KL17" s="122">
        <f t="shared" si="98"/>
        <v>0</v>
      </c>
      <c r="KM17" s="122">
        <f t="shared" si="99"/>
        <v>0</v>
      </c>
      <c r="KN17" s="123">
        <f t="shared" si="100"/>
        <v>0</v>
      </c>
      <c r="KO17" s="123">
        <f t="shared" si="101"/>
        <v>0</v>
      </c>
      <c r="KP17" s="123">
        <f t="shared" si="102"/>
        <v>0</v>
      </c>
      <c r="KQ17" s="123">
        <f t="shared" si="103"/>
        <v>0</v>
      </c>
      <c r="KR17" s="123">
        <f t="shared" si="104"/>
        <v>0</v>
      </c>
      <c r="KT17">
        <f t="shared" si="105"/>
        <v>0</v>
      </c>
      <c r="KU17" s="123"/>
      <c r="KV17" s="123"/>
      <c r="KW17" s="123"/>
      <c r="KX17" s="123"/>
      <c r="KY17" s="123"/>
      <c r="KZ17" s="123"/>
      <c r="LA17" s="123"/>
      <c r="LB17" s="123"/>
      <c r="LC17" s="123"/>
      <c r="LD17" s="123"/>
      <c r="LE17" s="123"/>
      <c r="LF17" s="123"/>
      <c r="LG17" s="123"/>
      <c r="LH17" s="123"/>
      <c r="LI17" s="123"/>
      <c r="LJ17" s="123"/>
      <c r="LK17" s="123"/>
      <c r="LL17" s="123"/>
      <c r="LM17" s="123"/>
      <c r="LN17" s="123"/>
      <c r="LO17" s="123"/>
      <c r="LP17" s="123"/>
      <c r="LQ17" s="123"/>
      <c r="LR17" s="123"/>
      <c r="LS17" s="123"/>
      <c r="LT17" s="123"/>
      <c r="LU17" s="123"/>
      <c r="LV17" s="123"/>
      <c r="LW17" s="123"/>
      <c r="LX17" s="123"/>
      <c r="LY17" s="123"/>
      <c r="LZ17" s="123"/>
      <c r="MA17" s="123"/>
      <c r="MB17" s="123"/>
      <c r="MC17" s="123"/>
      <c r="MD17" s="123"/>
      <c r="ME17" s="123"/>
      <c r="MF17" s="123"/>
      <c r="MG17" s="123"/>
      <c r="MH17" s="123"/>
      <c r="MI17" s="123"/>
      <c r="MJ17" s="123"/>
      <c r="MK17" s="123"/>
      <c r="ML17" s="123"/>
      <c r="MM17" s="123"/>
      <c r="MN17" s="123"/>
      <c r="MO17" s="123"/>
      <c r="MP17" s="123"/>
      <c r="MQ17" s="123"/>
      <c r="MR17" s="123"/>
      <c r="MS17" s="123"/>
      <c r="MT17" s="123"/>
      <c r="MU17" s="123"/>
      <c r="MV17" s="123"/>
      <c r="MW17" s="123"/>
      <c r="MX17" s="123"/>
      <c r="MY17" s="123"/>
      <c r="MZ17" s="123"/>
      <c r="NA17" s="123"/>
      <c r="NB17" s="123"/>
      <c r="NC17" s="123"/>
      <c r="ND17" s="123"/>
      <c r="NE17" s="123"/>
      <c r="NF17" s="123"/>
      <c r="NG17" s="123"/>
      <c r="NH17" s="123"/>
      <c r="NI17" s="123"/>
      <c r="NJ17" s="123"/>
      <c r="NK17" s="123"/>
      <c r="NM17">
        <f t="shared" si="156"/>
        <v>0</v>
      </c>
      <c r="NN17">
        <f t="shared" si="157"/>
        <v>0</v>
      </c>
      <c r="NO17">
        <f t="shared" si="158"/>
        <v>0</v>
      </c>
      <c r="NP17">
        <f t="shared" si="159"/>
        <v>0</v>
      </c>
      <c r="NQ17">
        <f t="shared" si="160"/>
        <v>0</v>
      </c>
      <c r="NR17">
        <f t="shared" si="161"/>
        <v>0</v>
      </c>
      <c r="NS17">
        <f t="shared" si="162"/>
        <v>0</v>
      </c>
      <c r="NT17">
        <f t="shared" si="163"/>
        <v>0</v>
      </c>
      <c r="NU17" s="29">
        <f t="shared" si="164"/>
        <v>0</v>
      </c>
      <c r="NY17" s="29">
        <f t="shared" si="107"/>
        <v>1</v>
      </c>
      <c r="NZ17" s="152">
        <v>7350000</v>
      </c>
      <c r="OE17" s="155">
        <f t="shared" si="108"/>
        <v>0</v>
      </c>
      <c r="OF17" s="155">
        <f t="shared" si="109"/>
        <v>0</v>
      </c>
      <c r="OG17" s="155">
        <f t="shared" si="110"/>
        <v>0</v>
      </c>
      <c r="OH17" s="155">
        <f t="shared" si="165"/>
        <v>0</v>
      </c>
      <c r="OI17" s="155">
        <f t="shared" si="111"/>
        <v>0</v>
      </c>
      <c r="OJ17" s="67">
        <f t="shared" si="166"/>
        <v>0</v>
      </c>
      <c r="OK17" s="67">
        <f t="shared" si="167"/>
        <v>0</v>
      </c>
      <c r="OL17" s="67">
        <f t="shared" si="168"/>
        <v>0</v>
      </c>
      <c r="OM17" s="67">
        <f t="shared" si="169"/>
        <v>0</v>
      </c>
      <c r="OO17" s="155">
        <f t="shared" si="112"/>
        <v>0</v>
      </c>
      <c r="OP17" s="155">
        <f t="shared" si="113"/>
        <v>0</v>
      </c>
      <c r="OQ17" s="155">
        <f t="shared" si="170"/>
        <v>0</v>
      </c>
      <c r="OR17" s="155">
        <f t="shared" si="171"/>
        <v>0</v>
      </c>
      <c r="OS17" s="155">
        <f t="shared" si="172"/>
        <v>0</v>
      </c>
      <c r="OT17" s="67">
        <f t="shared" si="173"/>
        <v>0</v>
      </c>
      <c r="OU17" s="67">
        <f t="shared" si="174"/>
        <v>0</v>
      </c>
      <c r="OV17" s="67">
        <f t="shared" si="175"/>
        <v>0</v>
      </c>
      <c r="OW17" s="67">
        <f t="shared" si="176"/>
        <v>0</v>
      </c>
      <c r="OZ17" s="163">
        <f t="shared" si="114"/>
        <v>0</v>
      </c>
      <c r="PA17" s="166"/>
      <c r="PB17" s="166"/>
      <c r="PC17" s="166"/>
      <c r="PD17" s="210">
        <f t="shared" si="115"/>
        <v>0</v>
      </c>
      <c r="PE17" s="210"/>
      <c r="PF17" s="210">
        <f t="shared" si="116"/>
        <v>0</v>
      </c>
      <c r="PG17" s="210">
        <f t="shared" si="117"/>
        <v>0</v>
      </c>
      <c r="PH17" s="210">
        <f t="shared" si="117"/>
        <v>0</v>
      </c>
      <c r="PI17" s="210">
        <f t="shared" si="117"/>
        <v>0</v>
      </c>
      <c r="PJ17" s="210">
        <f t="shared" si="117"/>
        <v>0</v>
      </c>
      <c r="PK17" s="210">
        <f t="shared" si="117"/>
        <v>0</v>
      </c>
      <c r="PL17" s="210">
        <f t="shared" si="117"/>
        <v>0</v>
      </c>
      <c r="PO17" s="172">
        <f t="shared" si="177"/>
        <v>0</v>
      </c>
      <c r="PP17" s="172">
        <f t="shared" si="178"/>
        <v>0</v>
      </c>
      <c r="PQ17" s="172">
        <f t="shared" si="179"/>
        <v>0</v>
      </c>
    </row>
    <row r="18" spans="1:433" ht="16" x14ac:dyDescent="0.2">
      <c r="A18" s="19">
        <f t="shared" si="180"/>
        <v>10</v>
      </c>
      <c r="B18" s="186" t="s">
        <v>175</v>
      </c>
      <c r="C18" s="186">
        <v>10</v>
      </c>
      <c r="D18" s="188">
        <v>1</v>
      </c>
      <c r="E18" s="188">
        <v>90</v>
      </c>
      <c r="F18" s="188">
        <v>1</v>
      </c>
      <c r="G18" s="188">
        <f t="shared" si="2"/>
        <v>90</v>
      </c>
      <c r="H18" s="214">
        <f t="shared" si="3"/>
        <v>1</v>
      </c>
      <c r="I18" s="214">
        <f t="shared" si="4"/>
        <v>1</v>
      </c>
      <c r="J18" s="188">
        <v>1</v>
      </c>
      <c r="K18" s="188">
        <f t="shared" si="5"/>
        <v>90</v>
      </c>
      <c r="L18" s="214">
        <f t="shared" si="6"/>
        <v>1</v>
      </c>
      <c r="M18" s="214">
        <f t="shared" si="7"/>
        <v>1</v>
      </c>
      <c r="N18" s="188">
        <v>1</v>
      </c>
      <c r="O18" s="188">
        <f t="shared" si="8"/>
        <v>90</v>
      </c>
      <c r="P18" s="214">
        <f t="shared" si="9"/>
        <v>1</v>
      </c>
      <c r="Q18" s="214">
        <f t="shared" si="10"/>
        <v>1</v>
      </c>
      <c r="R18" s="188">
        <v>1</v>
      </c>
      <c r="S18" s="188">
        <f t="shared" si="11"/>
        <v>90</v>
      </c>
      <c r="T18" s="214">
        <f t="shared" si="12"/>
        <v>1</v>
      </c>
      <c r="U18" s="214">
        <f t="shared" si="13"/>
        <v>1</v>
      </c>
      <c r="V18" s="188">
        <v>1</v>
      </c>
      <c r="W18" s="188">
        <f t="shared" si="14"/>
        <v>90</v>
      </c>
      <c r="X18" s="214">
        <f t="shared" si="15"/>
        <v>1</v>
      </c>
      <c r="Y18" s="214">
        <f t="shared" si="16"/>
        <v>1</v>
      </c>
      <c r="Z18" s="216">
        <f t="shared" si="193"/>
        <v>0.69419600000000004</v>
      </c>
      <c r="AA18" s="188">
        <v>0</v>
      </c>
      <c r="AB18" s="189">
        <f t="shared" si="118"/>
        <v>0</v>
      </c>
      <c r="AC18" s="250">
        <f t="shared" si="119"/>
        <v>0</v>
      </c>
      <c r="AD18" s="250">
        <f t="shared" si="120"/>
        <v>0</v>
      </c>
      <c r="AE18" s="188"/>
      <c r="AF18" s="188">
        <f t="shared" si="121"/>
        <v>0</v>
      </c>
      <c r="AG18" s="188"/>
      <c r="AH18" s="188"/>
      <c r="AI18" s="188">
        <v>0</v>
      </c>
      <c r="AJ18" s="188">
        <f t="shared" si="181"/>
        <v>0</v>
      </c>
      <c r="AK18" s="188"/>
      <c r="AL18" s="188">
        <v>0</v>
      </c>
      <c r="AM18" s="188">
        <v>0</v>
      </c>
      <c r="AN18" s="217"/>
      <c r="AO18" s="195"/>
      <c r="AP18" s="195"/>
      <c r="AQ18" s="195"/>
      <c r="AR18" s="195"/>
      <c r="AS18" s="195"/>
      <c r="AT18" s="195"/>
      <c r="BB18" s="17">
        <f t="shared" si="123"/>
        <v>0</v>
      </c>
      <c r="BE18" s="17">
        <f t="shared" si="19"/>
        <v>0</v>
      </c>
      <c r="BF18" s="17">
        <f t="shared" si="20"/>
        <v>0</v>
      </c>
      <c r="BG18" s="17">
        <f t="shared" si="21"/>
        <v>0</v>
      </c>
      <c r="BH18" s="17">
        <f t="shared" si="22"/>
        <v>0</v>
      </c>
      <c r="BI18" s="17">
        <f t="shared" si="23"/>
        <v>0</v>
      </c>
      <c r="BJ18" s="17">
        <f t="shared" si="24"/>
        <v>0</v>
      </c>
      <c r="BK18" s="17">
        <f t="shared" si="124"/>
        <v>0</v>
      </c>
      <c r="BM18" s="128"/>
      <c r="BN18" s="286">
        <v>38</v>
      </c>
      <c r="BO18" s="80">
        <v>1</v>
      </c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B18" s="20"/>
      <c r="CD18" s="17">
        <f t="shared" si="125"/>
        <v>38</v>
      </c>
      <c r="CE18" s="17">
        <f t="shared" si="126"/>
        <v>38</v>
      </c>
      <c r="CF18" s="20">
        <f t="shared" si="182"/>
        <v>0</v>
      </c>
      <c r="CG18" s="20">
        <f t="shared" si="183"/>
        <v>0</v>
      </c>
      <c r="CH18" s="20">
        <f t="shared" si="184"/>
        <v>0</v>
      </c>
      <c r="CI18" s="20">
        <f t="shared" si="185"/>
        <v>0</v>
      </c>
      <c r="CJ18" s="20">
        <f t="shared" si="186"/>
        <v>0</v>
      </c>
      <c r="CK18" s="20">
        <f t="shared" si="187"/>
        <v>0</v>
      </c>
      <c r="CL18" s="20">
        <f t="shared" si="188"/>
        <v>0</v>
      </c>
      <c r="CM18" s="20">
        <f t="shared" si="189"/>
        <v>0</v>
      </c>
      <c r="CN18" s="20">
        <f t="shared" si="190"/>
        <v>0</v>
      </c>
      <c r="CO18" s="20">
        <f t="shared" si="191"/>
        <v>0</v>
      </c>
      <c r="CP18" s="20">
        <f t="shared" si="192"/>
        <v>0</v>
      </c>
      <c r="DV18" s="20">
        <f t="shared" si="27"/>
        <v>0</v>
      </c>
      <c r="DW18" s="20">
        <f t="shared" si="28"/>
        <v>0</v>
      </c>
      <c r="DX18" s="20">
        <f t="shared" si="29"/>
        <v>0</v>
      </c>
      <c r="DY18" s="20">
        <f t="shared" si="30"/>
        <v>0</v>
      </c>
      <c r="DZ18" s="20">
        <f t="shared" si="31"/>
        <v>0</v>
      </c>
      <c r="EA18" s="20">
        <f t="shared" si="32"/>
        <v>0</v>
      </c>
      <c r="EB18" s="20">
        <f t="shared" si="127"/>
        <v>0</v>
      </c>
      <c r="EG18" s="57">
        <f t="shared" si="128"/>
        <v>0</v>
      </c>
      <c r="EH18" s="57">
        <f t="shared" si="129"/>
        <v>0</v>
      </c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X18" s="169">
        <v>1</v>
      </c>
      <c r="FY18" s="17">
        <f t="shared" si="130"/>
        <v>38</v>
      </c>
      <c r="FZ18" s="17">
        <f t="shared" si="34"/>
        <v>38</v>
      </c>
      <c r="GA18" s="17">
        <f t="shared" si="35"/>
        <v>0</v>
      </c>
      <c r="GB18" s="17">
        <f t="shared" si="36"/>
        <v>0</v>
      </c>
      <c r="GC18" s="17">
        <f t="shared" si="37"/>
        <v>0</v>
      </c>
      <c r="GD18" s="17">
        <f t="shared" si="38"/>
        <v>0</v>
      </c>
      <c r="GE18" s="17">
        <f t="shared" si="39"/>
        <v>0</v>
      </c>
      <c r="GF18" s="67"/>
      <c r="GG18" s="17">
        <v>0</v>
      </c>
      <c r="GH18" s="17">
        <v>0</v>
      </c>
      <c r="GI18" s="67"/>
      <c r="GJ18" s="62">
        <f t="shared" si="131"/>
        <v>0</v>
      </c>
      <c r="GK18" s="62">
        <f t="shared" si="132"/>
        <v>0</v>
      </c>
      <c r="GO18" s="17">
        <f t="shared" si="40"/>
        <v>0</v>
      </c>
      <c r="GP18" s="17">
        <f t="shared" si="41"/>
        <v>0</v>
      </c>
      <c r="GQ18" s="17">
        <f t="shared" si="42"/>
        <v>0</v>
      </c>
      <c r="GR18" s="17">
        <f t="shared" si="43"/>
        <v>0</v>
      </c>
      <c r="GS18" s="17">
        <f t="shared" si="44"/>
        <v>0</v>
      </c>
      <c r="GT18" s="17">
        <f t="shared" si="133"/>
        <v>1</v>
      </c>
      <c r="GU18" s="101">
        <f t="shared" si="134"/>
        <v>43243</v>
      </c>
      <c r="GV18" s="17" t="str">
        <f t="shared" si="135"/>
        <v>SELESAI</v>
      </c>
      <c r="GW18" s="17">
        <f t="shared" si="136"/>
        <v>0</v>
      </c>
      <c r="GX18" s="66" t="str">
        <f t="shared" si="137"/>
        <v>SELESAI</v>
      </c>
      <c r="GY18" s="66">
        <f t="shared" si="138"/>
        <v>0</v>
      </c>
      <c r="GZ18" s="102" t="str">
        <f t="shared" si="139"/>
        <v>SELESAI</v>
      </c>
      <c r="HA18" s="83"/>
      <c r="HB18" s="83"/>
      <c r="HC18" s="17">
        <f t="shared" si="45"/>
        <v>0</v>
      </c>
      <c r="HD18" s="17">
        <f t="shared" si="46"/>
        <v>0</v>
      </c>
      <c r="HE18" s="17">
        <f t="shared" si="140"/>
        <v>0</v>
      </c>
      <c r="HF18" s="17">
        <f t="shared" si="141"/>
        <v>0</v>
      </c>
      <c r="HG18" s="17">
        <f t="shared" si="142"/>
        <v>0</v>
      </c>
      <c r="HH18" s="101" t="str">
        <f t="shared" si="47"/>
        <v>TIDAK KONSINYASI</v>
      </c>
      <c r="HI18" s="101" t="str">
        <f t="shared" si="143"/>
        <v>SELESAI</v>
      </c>
      <c r="HJ18" s="27"/>
      <c r="HK18" s="101">
        <f t="shared" si="48"/>
        <v>0</v>
      </c>
      <c r="HL18" s="83"/>
      <c r="HM18" s="83"/>
      <c r="HN18" s="83"/>
      <c r="HO18" s="83"/>
      <c r="HP18" s="102">
        <f t="shared" si="144"/>
        <v>0</v>
      </c>
      <c r="HQ18" s="66">
        <f t="shared" si="145"/>
        <v>0</v>
      </c>
      <c r="HR18" s="66">
        <f t="shared" si="49"/>
        <v>0</v>
      </c>
      <c r="HS18" s="102">
        <f t="shared" si="146"/>
        <v>0</v>
      </c>
      <c r="HT18" s="66">
        <f t="shared" si="147"/>
        <v>0</v>
      </c>
      <c r="HU18" s="66">
        <f t="shared" si="50"/>
        <v>0</v>
      </c>
      <c r="HV18" s="102">
        <f t="shared" si="148"/>
        <v>0</v>
      </c>
      <c r="HW18" s="66">
        <f t="shared" si="51"/>
        <v>0</v>
      </c>
      <c r="HX18" s="66">
        <f t="shared" si="52"/>
        <v>0</v>
      </c>
      <c r="HY18" s="102">
        <f t="shared" si="53"/>
        <v>0</v>
      </c>
      <c r="HZ18" s="66">
        <f t="shared" si="149"/>
        <v>0</v>
      </c>
      <c r="IA18" s="66">
        <f t="shared" si="54"/>
        <v>0</v>
      </c>
      <c r="IB18" s="102">
        <f t="shared" si="150"/>
        <v>0</v>
      </c>
      <c r="IC18" s="66">
        <f t="shared" si="55"/>
        <v>0</v>
      </c>
      <c r="ID18" s="66">
        <f t="shared" si="56"/>
        <v>0</v>
      </c>
      <c r="IE18" s="102">
        <f t="shared" si="57"/>
        <v>0</v>
      </c>
      <c r="IF18" s="66">
        <f t="shared" si="58"/>
        <v>0</v>
      </c>
      <c r="IG18" s="66">
        <f t="shared" si="59"/>
        <v>0</v>
      </c>
      <c r="IH18" s="102">
        <f t="shared" si="151"/>
        <v>0</v>
      </c>
      <c r="II18" s="66">
        <f t="shared" si="152"/>
        <v>0</v>
      </c>
      <c r="IJ18" s="66">
        <f t="shared" si="60"/>
        <v>0</v>
      </c>
      <c r="IK18" s="102">
        <f t="shared" si="61"/>
        <v>0</v>
      </c>
      <c r="IL18" s="66">
        <f t="shared" si="62"/>
        <v>0</v>
      </c>
      <c r="IM18" s="66">
        <f t="shared" si="63"/>
        <v>0</v>
      </c>
      <c r="IN18" s="83"/>
      <c r="IO18" s="102">
        <f t="shared" si="64"/>
        <v>0</v>
      </c>
      <c r="IP18" s="66">
        <f t="shared" si="65"/>
        <v>0</v>
      </c>
      <c r="IQ18" s="66">
        <f t="shared" si="66"/>
        <v>0</v>
      </c>
      <c r="IR18" s="83"/>
      <c r="IS18" s="102"/>
      <c r="IT18" s="66">
        <f t="shared" si="67"/>
        <v>1</v>
      </c>
      <c r="IU18" s="66">
        <f t="shared" si="68"/>
        <v>90</v>
      </c>
      <c r="IV18" s="83"/>
      <c r="IW18" s="102"/>
      <c r="IX18" s="66">
        <f t="shared" si="69"/>
        <v>0</v>
      </c>
      <c r="IY18" s="66">
        <f t="shared" si="70"/>
        <v>0</v>
      </c>
      <c r="IZ18" s="83"/>
      <c r="JA18" s="102"/>
      <c r="JB18" s="66">
        <f t="shared" si="71"/>
        <v>0</v>
      </c>
      <c r="JC18" s="66">
        <f t="shared" si="72"/>
        <v>0</v>
      </c>
      <c r="JD18" s="83"/>
      <c r="JE18" s="102"/>
      <c r="JF18" s="66">
        <f t="shared" si="153"/>
        <v>1</v>
      </c>
      <c r="JG18" s="66">
        <f t="shared" si="73"/>
        <v>90</v>
      </c>
      <c r="JH18" s="83"/>
      <c r="JI18" s="102"/>
      <c r="JJ18" s="66">
        <f t="shared" si="74"/>
        <v>0</v>
      </c>
      <c r="JK18" s="66">
        <f t="shared" si="75"/>
        <v>0</v>
      </c>
      <c r="JM18" s="102">
        <f t="shared" si="154"/>
        <v>0</v>
      </c>
      <c r="JO18" s="29">
        <f t="shared" si="76"/>
        <v>1</v>
      </c>
      <c r="JP18" s="122">
        <f t="shared" si="77"/>
        <v>38</v>
      </c>
      <c r="JQ18" s="122">
        <f t="shared" si="78"/>
        <v>1</v>
      </c>
      <c r="JR18" s="122">
        <f t="shared" si="79"/>
        <v>0</v>
      </c>
      <c r="JS18" s="122">
        <f t="shared" si="80"/>
        <v>0</v>
      </c>
      <c r="JT18" s="122">
        <f t="shared" si="81"/>
        <v>0</v>
      </c>
      <c r="JU18" s="122">
        <f t="shared" si="82"/>
        <v>0</v>
      </c>
      <c r="JV18" s="122">
        <f t="shared" si="83"/>
        <v>0</v>
      </c>
      <c r="JW18" s="122">
        <f t="shared" si="84"/>
        <v>0</v>
      </c>
      <c r="JX18" s="122">
        <f t="shared" si="85"/>
        <v>0</v>
      </c>
      <c r="JY18" s="122">
        <f t="shared" si="86"/>
        <v>0</v>
      </c>
      <c r="JZ18" s="122">
        <f t="shared" si="87"/>
        <v>0</v>
      </c>
      <c r="KA18" s="122">
        <f t="shared" si="88"/>
        <v>0</v>
      </c>
      <c r="KB18" s="122">
        <f t="shared" si="89"/>
        <v>0</v>
      </c>
      <c r="KD18" s="122">
        <f t="shared" si="155"/>
        <v>0</v>
      </c>
      <c r="KE18" s="122">
        <f t="shared" si="91"/>
        <v>0</v>
      </c>
      <c r="KF18" s="122">
        <f t="shared" si="92"/>
        <v>38</v>
      </c>
      <c r="KG18" s="122">
        <f t="shared" si="93"/>
        <v>38</v>
      </c>
      <c r="KH18" s="122">
        <f t="shared" si="94"/>
        <v>0</v>
      </c>
      <c r="KI18" s="122">
        <f t="shared" si="95"/>
        <v>0</v>
      </c>
      <c r="KJ18" s="122">
        <f t="shared" si="96"/>
        <v>0</v>
      </c>
      <c r="KK18" s="122">
        <f t="shared" si="97"/>
        <v>0</v>
      </c>
      <c r="KL18" s="122">
        <f t="shared" si="98"/>
        <v>0</v>
      </c>
      <c r="KM18" s="122">
        <f t="shared" si="99"/>
        <v>0</v>
      </c>
      <c r="KN18" s="123">
        <f t="shared" si="100"/>
        <v>0</v>
      </c>
      <c r="KO18" s="123">
        <f t="shared" si="101"/>
        <v>0</v>
      </c>
      <c r="KP18" s="123">
        <f t="shared" si="102"/>
        <v>0</v>
      </c>
      <c r="KQ18" s="123">
        <f t="shared" si="103"/>
        <v>0</v>
      </c>
      <c r="KR18" s="123">
        <f t="shared" si="104"/>
        <v>0</v>
      </c>
      <c r="KT18">
        <f t="shared" si="105"/>
        <v>0</v>
      </c>
      <c r="KU18" s="123"/>
      <c r="KV18" s="123"/>
      <c r="KW18" s="123"/>
      <c r="KX18" s="123"/>
      <c r="KY18" s="123"/>
      <c r="KZ18" s="123"/>
      <c r="LA18" s="123"/>
      <c r="LB18" s="123"/>
      <c r="LC18" s="123"/>
      <c r="LD18" s="123"/>
      <c r="LE18" s="123"/>
      <c r="LF18" s="123"/>
      <c r="LG18" s="123"/>
      <c r="LH18" s="123"/>
      <c r="LI18" s="123"/>
      <c r="LJ18" s="123"/>
      <c r="LK18" s="123"/>
      <c r="LL18" s="123"/>
      <c r="LM18" s="123"/>
      <c r="LN18" s="123"/>
      <c r="LO18" s="123"/>
      <c r="LP18" s="123"/>
      <c r="LQ18" s="123"/>
      <c r="LR18" s="123"/>
      <c r="LS18" s="123"/>
      <c r="LT18" s="123"/>
      <c r="LU18" s="123"/>
      <c r="LV18" s="123"/>
      <c r="LW18" s="123"/>
      <c r="LX18" s="123"/>
      <c r="LY18" s="123"/>
      <c r="LZ18" s="123"/>
      <c r="MA18" s="123"/>
      <c r="MB18" s="123"/>
      <c r="MC18" s="123"/>
      <c r="MD18" s="123"/>
      <c r="ME18" s="123"/>
      <c r="MF18" s="123"/>
      <c r="MG18" s="123"/>
      <c r="MH18" s="123"/>
      <c r="MI18" s="123"/>
      <c r="MJ18" s="123"/>
      <c r="MK18" s="123"/>
      <c r="ML18" s="123"/>
      <c r="MM18" s="123"/>
      <c r="MN18" s="123"/>
      <c r="MO18" s="123"/>
      <c r="MP18" s="123"/>
      <c r="MQ18" s="123"/>
      <c r="MR18" s="123"/>
      <c r="MS18" s="123"/>
      <c r="MT18" s="123"/>
      <c r="MU18" s="123"/>
      <c r="MV18" s="123"/>
      <c r="MW18" s="123"/>
      <c r="MX18" s="123"/>
      <c r="MY18" s="123"/>
      <c r="MZ18" s="123"/>
      <c r="NA18" s="123"/>
      <c r="NB18" s="123"/>
      <c r="NC18" s="123"/>
      <c r="ND18" s="123"/>
      <c r="NE18" s="123"/>
      <c r="NF18" s="123"/>
      <c r="NG18" s="123"/>
      <c r="NH18" s="123"/>
      <c r="NI18" s="123"/>
      <c r="NJ18" s="123"/>
      <c r="NK18" s="123"/>
      <c r="NM18">
        <f t="shared" si="156"/>
        <v>0</v>
      </c>
      <c r="NN18">
        <f t="shared" si="157"/>
        <v>0</v>
      </c>
      <c r="NO18">
        <f t="shared" si="158"/>
        <v>0</v>
      </c>
      <c r="NP18">
        <f t="shared" si="159"/>
        <v>0</v>
      </c>
      <c r="NQ18">
        <f t="shared" si="160"/>
        <v>0</v>
      </c>
      <c r="NR18">
        <f t="shared" si="161"/>
        <v>0</v>
      </c>
      <c r="NS18">
        <f t="shared" si="162"/>
        <v>0</v>
      </c>
      <c r="NT18">
        <f t="shared" si="163"/>
        <v>0</v>
      </c>
      <c r="NU18" s="29">
        <f t="shared" si="164"/>
        <v>0</v>
      </c>
      <c r="NY18" s="29">
        <f t="shared" si="107"/>
        <v>1</v>
      </c>
      <c r="NZ18" s="152">
        <v>7350000</v>
      </c>
      <c r="OE18" s="155">
        <f t="shared" si="108"/>
        <v>0</v>
      </c>
      <c r="OF18" s="155">
        <f t="shared" si="109"/>
        <v>0</v>
      </c>
      <c r="OG18" s="155">
        <f t="shared" si="110"/>
        <v>0</v>
      </c>
      <c r="OH18" s="155">
        <f t="shared" si="165"/>
        <v>0</v>
      </c>
      <c r="OI18" s="155">
        <f t="shared" si="111"/>
        <v>0</v>
      </c>
      <c r="OJ18" s="67">
        <f t="shared" si="166"/>
        <v>0</v>
      </c>
      <c r="OK18" s="67">
        <f t="shared" si="167"/>
        <v>0</v>
      </c>
      <c r="OL18" s="67">
        <f t="shared" si="168"/>
        <v>0</v>
      </c>
      <c r="OM18" s="67">
        <f t="shared" si="169"/>
        <v>0</v>
      </c>
      <c r="OO18" s="155">
        <f t="shared" si="112"/>
        <v>0</v>
      </c>
      <c r="OP18" s="155">
        <f t="shared" si="113"/>
        <v>0</v>
      </c>
      <c r="OQ18" s="155">
        <f t="shared" si="170"/>
        <v>0</v>
      </c>
      <c r="OR18" s="155">
        <f t="shared" si="171"/>
        <v>0</v>
      </c>
      <c r="OS18" s="155">
        <f t="shared" si="172"/>
        <v>0</v>
      </c>
      <c r="OT18" s="67">
        <f t="shared" si="173"/>
        <v>0</v>
      </c>
      <c r="OU18" s="67">
        <f t="shared" si="174"/>
        <v>0</v>
      </c>
      <c r="OV18" s="67">
        <f t="shared" si="175"/>
        <v>0</v>
      </c>
      <c r="OW18" s="67">
        <f t="shared" si="176"/>
        <v>0</v>
      </c>
      <c r="OZ18" s="163">
        <f t="shared" si="114"/>
        <v>0</v>
      </c>
      <c r="PA18" s="166"/>
      <c r="PB18" s="166"/>
      <c r="PC18" s="166"/>
      <c r="PD18" s="210">
        <f t="shared" si="115"/>
        <v>0</v>
      </c>
      <c r="PE18" s="210"/>
      <c r="PF18" s="210">
        <f t="shared" si="116"/>
        <v>0</v>
      </c>
      <c r="PG18" s="210">
        <f t="shared" si="117"/>
        <v>0</v>
      </c>
      <c r="PH18" s="210">
        <f t="shared" si="117"/>
        <v>0</v>
      </c>
      <c r="PI18" s="210">
        <f t="shared" si="117"/>
        <v>0</v>
      </c>
      <c r="PJ18" s="210">
        <f t="shared" si="117"/>
        <v>0</v>
      </c>
      <c r="PK18" s="210">
        <f t="shared" si="117"/>
        <v>0</v>
      </c>
      <c r="PL18" s="210">
        <f t="shared" si="117"/>
        <v>0</v>
      </c>
      <c r="PO18" s="172">
        <f t="shared" si="177"/>
        <v>0</v>
      </c>
      <c r="PP18" s="172">
        <f t="shared" si="178"/>
        <v>0</v>
      </c>
      <c r="PQ18" s="172">
        <f t="shared" si="179"/>
        <v>0</v>
      </c>
    </row>
    <row r="19" spans="1:433" ht="16" x14ac:dyDescent="0.2">
      <c r="A19" s="19">
        <f t="shared" si="180"/>
        <v>11</v>
      </c>
      <c r="B19" s="186" t="s">
        <v>175</v>
      </c>
      <c r="C19" s="186">
        <v>11</v>
      </c>
      <c r="D19" s="188">
        <v>1</v>
      </c>
      <c r="E19" s="188">
        <v>135</v>
      </c>
      <c r="F19" s="188">
        <v>1</v>
      </c>
      <c r="G19" s="188">
        <f t="shared" si="2"/>
        <v>135</v>
      </c>
      <c r="H19" s="214">
        <f t="shared" si="3"/>
        <v>1</v>
      </c>
      <c r="I19" s="214">
        <f t="shared" si="4"/>
        <v>1</v>
      </c>
      <c r="J19" s="188">
        <v>1</v>
      </c>
      <c r="K19" s="188">
        <f t="shared" si="5"/>
        <v>135</v>
      </c>
      <c r="L19" s="214">
        <f t="shared" si="6"/>
        <v>1</v>
      </c>
      <c r="M19" s="214">
        <f t="shared" si="7"/>
        <v>1</v>
      </c>
      <c r="N19" s="188">
        <v>1</v>
      </c>
      <c r="O19" s="188">
        <f t="shared" si="8"/>
        <v>135</v>
      </c>
      <c r="P19" s="214">
        <f t="shared" si="9"/>
        <v>1</v>
      </c>
      <c r="Q19" s="214">
        <f t="shared" si="10"/>
        <v>1</v>
      </c>
      <c r="R19" s="188">
        <v>1</v>
      </c>
      <c r="S19" s="188">
        <f t="shared" si="11"/>
        <v>135</v>
      </c>
      <c r="T19" s="214">
        <f t="shared" si="12"/>
        <v>1</v>
      </c>
      <c r="U19" s="214">
        <f t="shared" si="13"/>
        <v>1</v>
      </c>
      <c r="V19" s="188">
        <v>1</v>
      </c>
      <c r="W19" s="188">
        <f t="shared" si="14"/>
        <v>135</v>
      </c>
      <c r="X19" s="214">
        <f t="shared" si="15"/>
        <v>1</v>
      </c>
      <c r="Y19" s="214">
        <f t="shared" si="16"/>
        <v>1</v>
      </c>
      <c r="Z19" s="216">
        <f>1394175000/1000000000</f>
        <v>1.3941749999999999</v>
      </c>
      <c r="AA19" s="188">
        <v>0</v>
      </c>
      <c r="AB19" s="189">
        <f t="shared" si="118"/>
        <v>0</v>
      </c>
      <c r="AC19" s="250">
        <f t="shared" si="119"/>
        <v>0</v>
      </c>
      <c r="AD19" s="250">
        <f t="shared" si="120"/>
        <v>0</v>
      </c>
      <c r="AE19" s="188"/>
      <c r="AF19" s="188">
        <f t="shared" si="121"/>
        <v>0</v>
      </c>
      <c r="AG19" s="188"/>
      <c r="AH19" s="188"/>
      <c r="AI19" s="188">
        <v>0</v>
      </c>
      <c r="AJ19" s="188">
        <f t="shared" si="181"/>
        <v>0</v>
      </c>
      <c r="AK19" s="188"/>
      <c r="AL19" s="188">
        <v>0</v>
      </c>
      <c r="AM19" s="188">
        <v>0</v>
      </c>
      <c r="AN19" s="217"/>
      <c r="AO19" s="195"/>
      <c r="AP19" s="195"/>
      <c r="AQ19" s="195"/>
      <c r="AR19" s="195"/>
      <c r="AS19" s="195"/>
      <c r="AT19" s="195"/>
      <c r="BB19" s="17">
        <f t="shared" si="123"/>
        <v>0</v>
      </c>
      <c r="BE19" s="17">
        <f t="shared" si="19"/>
        <v>0</v>
      </c>
      <c r="BF19" s="17">
        <f t="shared" si="20"/>
        <v>0</v>
      </c>
      <c r="BG19" s="17">
        <f t="shared" si="21"/>
        <v>0</v>
      </c>
      <c r="BH19" s="17">
        <f t="shared" si="22"/>
        <v>0</v>
      </c>
      <c r="BI19" s="17">
        <f t="shared" si="23"/>
        <v>0</v>
      </c>
      <c r="BJ19" s="17">
        <f t="shared" si="24"/>
        <v>0</v>
      </c>
      <c r="BK19" s="17">
        <f t="shared" si="124"/>
        <v>0</v>
      </c>
      <c r="BM19" s="128"/>
      <c r="BN19" s="286">
        <v>57</v>
      </c>
      <c r="BO19" s="80">
        <v>1</v>
      </c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B19" s="20"/>
      <c r="CD19" s="17">
        <f t="shared" si="125"/>
        <v>57</v>
      </c>
      <c r="CE19" s="17">
        <f t="shared" si="126"/>
        <v>57</v>
      </c>
      <c r="CF19" s="20">
        <f t="shared" si="182"/>
        <v>0</v>
      </c>
      <c r="CG19" s="20">
        <f t="shared" si="183"/>
        <v>0</v>
      </c>
      <c r="CH19" s="20">
        <f t="shared" si="184"/>
        <v>0</v>
      </c>
      <c r="CI19" s="20">
        <f t="shared" si="185"/>
        <v>0</v>
      </c>
      <c r="CJ19" s="20">
        <f t="shared" si="186"/>
        <v>0</v>
      </c>
      <c r="CK19" s="20">
        <f t="shared" si="187"/>
        <v>0</v>
      </c>
      <c r="CL19" s="20">
        <f t="shared" si="188"/>
        <v>0</v>
      </c>
      <c r="CM19" s="20">
        <f t="shared" si="189"/>
        <v>0</v>
      </c>
      <c r="CN19" s="20">
        <f t="shared" si="190"/>
        <v>0</v>
      </c>
      <c r="CO19" s="20">
        <f t="shared" si="191"/>
        <v>0</v>
      </c>
      <c r="CP19" s="20">
        <f t="shared" si="192"/>
        <v>0</v>
      </c>
      <c r="DV19" s="20">
        <f t="shared" si="27"/>
        <v>0</v>
      </c>
      <c r="DW19" s="20">
        <f t="shared" si="28"/>
        <v>0</v>
      </c>
      <c r="DX19" s="20">
        <f t="shared" si="29"/>
        <v>0</v>
      </c>
      <c r="DY19" s="20">
        <f t="shared" si="30"/>
        <v>0</v>
      </c>
      <c r="DZ19" s="20">
        <f t="shared" si="31"/>
        <v>0</v>
      </c>
      <c r="EA19" s="20">
        <f t="shared" si="32"/>
        <v>0</v>
      </c>
      <c r="EB19" s="20">
        <f t="shared" si="127"/>
        <v>0</v>
      </c>
      <c r="EG19" s="57">
        <f t="shared" si="128"/>
        <v>0</v>
      </c>
      <c r="EH19" s="57">
        <f t="shared" si="129"/>
        <v>0</v>
      </c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X19" s="169">
        <v>1</v>
      </c>
      <c r="FY19" s="17">
        <f t="shared" si="130"/>
        <v>57</v>
      </c>
      <c r="FZ19" s="17">
        <f t="shared" si="34"/>
        <v>57</v>
      </c>
      <c r="GA19" s="17">
        <f t="shared" si="35"/>
        <v>0</v>
      </c>
      <c r="GB19" s="17">
        <f t="shared" si="36"/>
        <v>0</v>
      </c>
      <c r="GC19" s="17">
        <f t="shared" si="37"/>
        <v>0</v>
      </c>
      <c r="GD19" s="17">
        <f t="shared" si="38"/>
        <v>0</v>
      </c>
      <c r="GE19" s="17">
        <f t="shared" si="39"/>
        <v>0</v>
      </c>
      <c r="GF19" s="67"/>
      <c r="GG19" s="17">
        <v>0</v>
      </c>
      <c r="GH19" s="17">
        <v>0</v>
      </c>
      <c r="GI19" s="67"/>
      <c r="GJ19" s="62">
        <f t="shared" si="131"/>
        <v>0</v>
      </c>
      <c r="GK19" s="62">
        <f t="shared" si="132"/>
        <v>0</v>
      </c>
      <c r="GO19" s="17">
        <f t="shared" si="40"/>
        <v>0</v>
      </c>
      <c r="GP19" s="17">
        <f t="shared" si="41"/>
        <v>0</v>
      </c>
      <c r="GQ19" s="17">
        <f t="shared" si="42"/>
        <v>0</v>
      </c>
      <c r="GR19" s="17">
        <f t="shared" si="43"/>
        <v>0</v>
      </c>
      <c r="GS19" s="17">
        <f t="shared" si="44"/>
        <v>0</v>
      </c>
      <c r="GT19" s="17">
        <f t="shared" si="133"/>
        <v>1</v>
      </c>
      <c r="GU19" s="101">
        <f t="shared" si="134"/>
        <v>43243</v>
      </c>
      <c r="GV19" s="17" t="str">
        <f t="shared" si="135"/>
        <v>SELESAI</v>
      </c>
      <c r="GW19" s="17">
        <f t="shared" si="136"/>
        <v>0</v>
      </c>
      <c r="GX19" s="66" t="str">
        <f t="shared" si="137"/>
        <v>SELESAI</v>
      </c>
      <c r="GY19" s="66">
        <f t="shared" si="138"/>
        <v>0</v>
      </c>
      <c r="GZ19" s="102" t="str">
        <f t="shared" si="139"/>
        <v>SELESAI</v>
      </c>
      <c r="HA19" s="83"/>
      <c r="HB19" s="83"/>
      <c r="HC19" s="17">
        <f t="shared" si="45"/>
        <v>0</v>
      </c>
      <c r="HD19" s="17">
        <f t="shared" si="46"/>
        <v>0</v>
      </c>
      <c r="HE19" s="17">
        <f t="shared" si="140"/>
        <v>0</v>
      </c>
      <c r="HF19" s="17">
        <f t="shared" si="141"/>
        <v>0</v>
      </c>
      <c r="HG19" s="17">
        <f t="shared" si="142"/>
        <v>0</v>
      </c>
      <c r="HH19" s="101" t="str">
        <f t="shared" si="47"/>
        <v>TIDAK KONSINYASI</v>
      </c>
      <c r="HI19" s="101" t="str">
        <f t="shared" si="143"/>
        <v>SELESAI</v>
      </c>
      <c r="HJ19" s="27"/>
      <c r="HK19" s="101">
        <f t="shared" si="48"/>
        <v>0</v>
      </c>
      <c r="HL19" s="83"/>
      <c r="HM19" s="83"/>
      <c r="HN19" s="83"/>
      <c r="HO19" s="83"/>
      <c r="HP19" s="102">
        <f t="shared" si="144"/>
        <v>0</v>
      </c>
      <c r="HQ19" s="66">
        <f t="shared" si="145"/>
        <v>0</v>
      </c>
      <c r="HR19" s="66">
        <f t="shared" si="49"/>
        <v>0</v>
      </c>
      <c r="HS19" s="102">
        <f t="shared" si="146"/>
        <v>0</v>
      </c>
      <c r="HT19" s="66">
        <f t="shared" si="147"/>
        <v>0</v>
      </c>
      <c r="HU19" s="66">
        <f t="shared" si="50"/>
        <v>0</v>
      </c>
      <c r="HV19" s="102">
        <f t="shared" si="148"/>
        <v>0</v>
      </c>
      <c r="HW19" s="66">
        <f t="shared" si="51"/>
        <v>0</v>
      </c>
      <c r="HX19" s="66">
        <f t="shared" si="52"/>
        <v>0</v>
      </c>
      <c r="HY19" s="102">
        <f t="shared" si="53"/>
        <v>0</v>
      </c>
      <c r="HZ19" s="66">
        <f t="shared" si="149"/>
        <v>0</v>
      </c>
      <c r="IA19" s="66">
        <f t="shared" si="54"/>
        <v>0</v>
      </c>
      <c r="IB19" s="102">
        <f t="shared" si="150"/>
        <v>0</v>
      </c>
      <c r="IC19" s="66">
        <f t="shared" si="55"/>
        <v>0</v>
      </c>
      <c r="ID19" s="66">
        <f t="shared" si="56"/>
        <v>0</v>
      </c>
      <c r="IE19" s="102">
        <f t="shared" si="57"/>
        <v>0</v>
      </c>
      <c r="IF19" s="66">
        <f t="shared" si="58"/>
        <v>0</v>
      </c>
      <c r="IG19" s="66">
        <f t="shared" si="59"/>
        <v>0</v>
      </c>
      <c r="IH19" s="102">
        <f t="shared" si="151"/>
        <v>0</v>
      </c>
      <c r="II19" s="66">
        <f t="shared" si="152"/>
        <v>0</v>
      </c>
      <c r="IJ19" s="66">
        <f t="shared" si="60"/>
        <v>0</v>
      </c>
      <c r="IK19" s="102">
        <f t="shared" si="61"/>
        <v>0</v>
      </c>
      <c r="IL19" s="66">
        <f t="shared" si="62"/>
        <v>0</v>
      </c>
      <c r="IM19" s="66">
        <f t="shared" si="63"/>
        <v>0</v>
      </c>
      <c r="IN19" s="83"/>
      <c r="IO19" s="102">
        <f t="shared" si="64"/>
        <v>0</v>
      </c>
      <c r="IP19" s="66">
        <f t="shared" si="65"/>
        <v>0</v>
      </c>
      <c r="IQ19" s="66">
        <f t="shared" si="66"/>
        <v>0</v>
      </c>
      <c r="IR19" s="83"/>
      <c r="IS19" s="102"/>
      <c r="IT19" s="66">
        <f t="shared" si="67"/>
        <v>1</v>
      </c>
      <c r="IU19" s="66">
        <f t="shared" si="68"/>
        <v>135</v>
      </c>
      <c r="IV19" s="83"/>
      <c r="IW19" s="102"/>
      <c r="IX19" s="66">
        <f t="shared" si="69"/>
        <v>0</v>
      </c>
      <c r="IY19" s="66">
        <f t="shared" si="70"/>
        <v>0</v>
      </c>
      <c r="IZ19" s="83"/>
      <c r="JA19" s="102"/>
      <c r="JB19" s="66">
        <f t="shared" si="71"/>
        <v>0</v>
      </c>
      <c r="JC19" s="66">
        <f t="shared" si="72"/>
        <v>0</v>
      </c>
      <c r="JD19" s="83"/>
      <c r="JE19" s="102"/>
      <c r="JF19" s="66">
        <f t="shared" si="153"/>
        <v>1</v>
      </c>
      <c r="JG19" s="66">
        <f t="shared" si="73"/>
        <v>135</v>
      </c>
      <c r="JH19" s="83"/>
      <c r="JI19" s="102"/>
      <c r="JJ19" s="66">
        <f t="shared" si="74"/>
        <v>0</v>
      </c>
      <c r="JK19" s="66">
        <f t="shared" si="75"/>
        <v>0</v>
      </c>
      <c r="JM19" s="102">
        <f t="shared" si="154"/>
        <v>0</v>
      </c>
      <c r="JO19" s="29">
        <f t="shared" si="76"/>
        <v>1</v>
      </c>
      <c r="JP19" s="122">
        <f t="shared" si="77"/>
        <v>57</v>
      </c>
      <c r="JQ19" s="122">
        <f t="shared" si="78"/>
        <v>1</v>
      </c>
      <c r="JR19" s="122">
        <f t="shared" si="79"/>
        <v>0</v>
      </c>
      <c r="JS19" s="122">
        <f t="shared" si="80"/>
        <v>0</v>
      </c>
      <c r="JT19" s="122">
        <f t="shared" si="81"/>
        <v>0</v>
      </c>
      <c r="JU19" s="122">
        <f t="shared" si="82"/>
        <v>0</v>
      </c>
      <c r="JV19" s="122">
        <f t="shared" si="83"/>
        <v>0</v>
      </c>
      <c r="JW19" s="122">
        <f t="shared" si="84"/>
        <v>0</v>
      </c>
      <c r="JX19" s="122">
        <f t="shared" si="85"/>
        <v>0</v>
      </c>
      <c r="JY19" s="122">
        <f t="shared" si="86"/>
        <v>0</v>
      </c>
      <c r="JZ19" s="122">
        <f t="shared" si="87"/>
        <v>0</v>
      </c>
      <c r="KA19" s="122">
        <f t="shared" si="88"/>
        <v>0</v>
      </c>
      <c r="KB19" s="122">
        <f t="shared" si="89"/>
        <v>0</v>
      </c>
      <c r="KD19" s="122">
        <f t="shared" si="155"/>
        <v>0</v>
      </c>
      <c r="KE19" s="122">
        <f t="shared" si="91"/>
        <v>0</v>
      </c>
      <c r="KF19" s="122">
        <f t="shared" si="92"/>
        <v>57</v>
      </c>
      <c r="KG19" s="122">
        <f t="shared" si="93"/>
        <v>57</v>
      </c>
      <c r="KH19" s="122">
        <f t="shared" si="94"/>
        <v>0</v>
      </c>
      <c r="KI19" s="122">
        <f t="shared" si="95"/>
        <v>0</v>
      </c>
      <c r="KJ19" s="122">
        <f t="shared" si="96"/>
        <v>0</v>
      </c>
      <c r="KK19" s="122">
        <f t="shared" si="97"/>
        <v>0</v>
      </c>
      <c r="KL19" s="122">
        <f t="shared" si="98"/>
        <v>0</v>
      </c>
      <c r="KM19" s="122">
        <f t="shared" si="99"/>
        <v>0</v>
      </c>
      <c r="KN19" s="123">
        <f t="shared" si="100"/>
        <v>0</v>
      </c>
      <c r="KO19" s="123">
        <f t="shared" si="101"/>
        <v>0</v>
      </c>
      <c r="KP19" s="123">
        <f t="shared" si="102"/>
        <v>0</v>
      </c>
      <c r="KQ19" s="123">
        <f t="shared" si="103"/>
        <v>0</v>
      </c>
      <c r="KR19" s="123">
        <f t="shared" si="104"/>
        <v>0</v>
      </c>
      <c r="KT19">
        <f t="shared" si="105"/>
        <v>0</v>
      </c>
      <c r="KU19" s="123"/>
      <c r="KV19" s="123"/>
      <c r="KW19" s="123"/>
      <c r="KX19" s="123"/>
      <c r="KY19" s="123"/>
      <c r="KZ19" s="123"/>
      <c r="LA19" s="123"/>
      <c r="LB19" s="123"/>
      <c r="LC19" s="123"/>
      <c r="LD19" s="123"/>
      <c r="LE19" s="123"/>
      <c r="LF19" s="123"/>
      <c r="LG19" s="123"/>
      <c r="LH19" s="123"/>
      <c r="LI19" s="123"/>
      <c r="LJ19" s="123"/>
      <c r="LK19" s="123"/>
      <c r="LL19" s="123"/>
      <c r="LM19" s="123"/>
      <c r="LN19" s="123"/>
      <c r="LO19" s="123"/>
      <c r="LP19" s="123"/>
      <c r="LQ19" s="123"/>
      <c r="LR19" s="123"/>
      <c r="LS19" s="123"/>
      <c r="LT19" s="123"/>
      <c r="LU19" s="123"/>
      <c r="LV19" s="123"/>
      <c r="LW19" s="123"/>
      <c r="LX19" s="123"/>
      <c r="LY19" s="123"/>
      <c r="LZ19" s="123"/>
      <c r="MA19" s="123"/>
      <c r="MB19" s="123"/>
      <c r="MC19" s="123"/>
      <c r="MD19" s="123"/>
      <c r="ME19" s="123"/>
      <c r="MF19" s="123"/>
      <c r="MG19" s="123"/>
      <c r="MH19" s="123"/>
      <c r="MI19" s="123"/>
      <c r="MJ19" s="123"/>
      <c r="MK19" s="123"/>
      <c r="ML19" s="123"/>
      <c r="MM19" s="123"/>
      <c r="MN19" s="123"/>
      <c r="MO19" s="123"/>
      <c r="MP19" s="123"/>
      <c r="MQ19" s="123"/>
      <c r="MR19" s="123"/>
      <c r="MS19" s="123"/>
      <c r="MT19" s="123"/>
      <c r="MU19" s="123"/>
      <c r="MV19" s="123"/>
      <c r="MW19" s="123"/>
      <c r="MX19" s="123"/>
      <c r="MY19" s="123"/>
      <c r="MZ19" s="123"/>
      <c r="NA19" s="123"/>
      <c r="NB19" s="123"/>
      <c r="NC19" s="123"/>
      <c r="ND19" s="123"/>
      <c r="NE19" s="123"/>
      <c r="NF19" s="123"/>
      <c r="NG19" s="123"/>
      <c r="NH19" s="123"/>
      <c r="NI19" s="123"/>
      <c r="NJ19" s="123"/>
      <c r="NK19" s="123"/>
      <c r="NM19">
        <f t="shared" si="156"/>
        <v>0</v>
      </c>
      <c r="NN19">
        <f t="shared" si="157"/>
        <v>0</v>
      </c>
      <c r="NO19">
        <f t="shared" si="158"/>
        <v>0</v>
      </c>
      <c r="NP19">
        <f t="shared" si="159"/>
        <v>0</v>
      </c>
      <c r="NQ19">
        <f t="shared" si="160"/>
        <v>0</v>
      </c>
      <c r="NR19">
        <f t="shared" si="161"/>
        <v>0</v>
      </c>
      <c r="NS19">
        <f t="shared" si="162"/>
        <v>0</v>
      </c>
      <c r="NT19">
        <f t="shared" si="163"/>
        <v>0</v>
      </c>
      <c r="NU19" s="29">
        <f t="shared" si="164"/>
        <v>0</v>
      </c>
      <c r="NY19" s="29">
        <f t="shared" si="107"/>
        <v>1</v>
      </c>
      <c r="NZ19" s="152">
        <v>7350000</v>
      </c>
      <c r="OE19" s="155">
        <f t="shared" si="108"/>
        <v>0</v>
      </c>
      <c r="OF19" s="155">
        <f t="shared" si="109"/>
        <v>0</v>
      </c>
      <c r="OG19" s="155">
        <f t="shared" si="110"/>
        <v>0</v>
      </c>
      <c r="OH19" s="155">
        <f t="shared" si="165"/>
        <v>0</v>
      </c>
      <c r="OI19" s="155">
        <f t="shared" si="111"/>
        <v>0</v>
      </c>
      <c r="OJ19" s="67">
        <f t="shared" si="166"/>
        <v>0</v>
      </c>
      <c r="OK19" s="67">
        <f t="shared" si="167"/>
        <v>0</v>
      </c>
      <c r="OL19" s="67">
        <f t="shared" si="168"/>
        <v>0</v>
      </c>
      <c r="OM19" s="67">
        <f t="shared" si="169"/>
        <v>0</v>
      </c>
      <c r="OO19" s="155">
        <f t="shared" si="112"/>
        <v>0</v>
      </c>
      <c r="OP19" s="155">
        <f t="shared" si="113"/>
        <v>0</v>
      </c>
      <c r="OQ19" s="155">
        <f t="shared" si="170"/>
        <v>0</v>
      </c>
      <c r="OR19" s="155">
        <f t="shared" si="171"/>
        <v>0</v>
      </c>
      <c r="OS19" s="155">
        <f t="shared" si="172"/>
        <v>0</v>
      </c>
      <c r="OT19" s="67">
        <f t="shared" si="173"/>
        <v>0</v>
      </c>
      <c r="OU19" s="67">
        <f t="shared" si="174"/>
        <v>0</v>
      </c>
      <c r="OV19" s="67">
        <f t="shared" si="175"/>
        <v>0</v>
      </c>
      <c r="OW19" s="67">
        <f t="shared" si="176"/>
        <v>0</v>
      </c>
      <c r="OZ19" s="163">
        <f t="shared" si="114"/>
        <v>0</v>
      </c>
      <c r="PA19" s="166"/>
      <c r="PB19" s="166"/>
      <c r="PC19" s="166"/>
      <c r="PD19" s="210">
        <f t="shared" si="115"/>
        <v>0</v>
      </c>
      <c r="PE19" s="210"/>
      <c r="PF19" s="210">
        <f t="shared" si="116"/>
        <v>0</v>
      </c>
      <c r="PG19" s="210">
        <f t="shared" si="117"/>
        <v>0</v>
      </c>
      <c r="PH19" s="210">
        <f t="shared" si="117"/>
        <v>0</v>
      </c>
      <c r="PI19" s="210">
        <f t="shared" si="117"/>
        <v>0</v>
      </c>
      <c r="PJ19" s="210">
        <f t="shared" si="117"/>
        <v>0</v>
      </c>
      <c r="PK19" s="210">
        <f t="shared" si="117"/>
        <v>0</v>
      </c>
      <c r="PL19" s="210">
        <f t="shared" si="117"/>
        <v>0</v>
      </c>
      <c r="PO19" s="172">
        <f t="shared" si="177"/>
        <v>0</v>
      </c>
      <c r="PP19" s="172">
        <f t="shared" si="178"/>
        <v>0</v>
      </c>
      <c r="PQ19" s="172">
        <f t="shared" si="179"/>
        <v>0</v>
      </c>
    </row>
    <row r="20" spans="1:433" ht="16" x14ac:dyDescent="0.2">
      <c r="A20" s="19">
        <f t="shared" si="180"/>
        <v>12</v>
      </c>
      <c r="B20" s="186" t="s">
        <v>176</v>
      </c>
      <c r="C20" s="186">
        <v>12</v>
      </c>
      <c r="D20" s="188">
        <v>1</v>
      </c>
      <c r="E20" s="188">
        <v>142</v>
      </c>
      <c r="F20" s="188">
        <v>1</v>
      </c>
      <c r="G20" s="188">
        <f t="shared" si="2"/>
        <v>142</v>
      </c>
      <c r="H20" s="214">
        <f t="shared" si="3"/>
        <v>1</v>
      </c>
      <c r="I20" s="214">
        <f t="shared" si="4"/>
        <v>1</v>
      </c>
      <c r="J20" s="188">
        <v>1</v>
      </c>
      <c r="K20" s="188">
        <f t="shared" si="5"/>
        <v>142</v>
      </c>
      <c r="L20" s="214">
        <f t="shared" si="6"/>
        <v>1</v>
      </c>
      <c r="M20" s="214">
        <f t="shared" si="7"/>
        <v>1</v>
      </c>
      <c r="N20" s="188">
        <v>1</v>
      </c>
      <c r="O20" s="188">
        <f t="shared" si="8"/>
        <v>142</v>
      </c>
      <c r="P20" s="214">
        <f t="shared" si="9"/>
        <v>1</v>
      </c>
      <c r="Q20" s="214">
        <f t="shared" si="10"/>
        <v>1</v>
      </c>
      <c r="R20" s="188">
        <v>1</v>
      </c>
      <c r="S20" s="188">
        <f t="shared" si="11"/>
        <v>142</v>
      </c>
      <c r="T20" s="214">
        <f t="shared" si="12"/>
        <v>1</v>
      </c>
      <c r="U20" s="214">
        <f t="shared" si="13"/>
        <v>1</v>
      </c>
      <c r="V20" s="188">
        <v>1</v>
      </c>
      <c r="W20" s="188">
        <f t="shared" si="14"/>
        <v>142</v>
      </c>
      <c r="X20" s="214">
        <f t="shared" si="15"/>
        <v>1</v>
      </c>
      <c r="Y20" s="214">
        <f t="shared" si="16"/>
        <v>1</v>
      </c>
      <c r="Z20" s="216">
        <f>1782396000/1000000000</f>
        <v>1.7823960000000001</v>
      </c>
      <c r="AA20" s="188">
        <v>0</v>
      </c>
      <c r="AB20" s="189">
        <f t="shared" si="118"/>
        <v>0</v>
      </c>
      <c r="AC20" s="250">
        <f t="shared" si="119"/>
        <v>0</v>
      </c>
      <c r="AD20" s="250">
        <f t="shared" si="120"/>
        <v>0</v>
      </c>
      <c r="AE20" s="188"/>
      <c r="AF20" s="188">
        <f t="shared" si="121"/>
        <v>0</v>
      </c>
      <c r="AG20" s="188"/>
      <c r="AH20" s="188"/>
      <c r="AI20" s="188">
        <v>0</v>
      </c>
      <c r="AJ20" s="188">
        <f t="shared" si="181"/>
        <v>0</v>
      </c>
      <c r="AK20" s="188"/>
      <c r="AL20" s="188">
        <v>0</v>
      </c>
      <c r="AM20" s="188">
        <v>0</v>
      </c>
      <c r="AN20" s="217"/>
      <c r="AO20" s="195"/>
      <c r="AP20" s="195"/>
      <c r="AQ20" s="195"/>
      <c r="AR20" s="195"/>
      <c r="AS20" s="195"/>
      <c r="AT20" s="195"/>
      <c r="BB20" s="17">
        <f t="shared" si="123"/>
        <v>0</v>
      </c>
      <c r="BE20" s="17">
        <f t="shared" si="19"/>
        <v>0</v>
      </c>
      <c r="BF20" s="17">
        <f t="shared" si="20"/>
        <v>0</v>
      </c>
      <c r="BG20" s="17">
        <f t="shared" si="21"/>
        <v>0</v>
      </c>
      <c r="BH20" s="17">
        <f t="shared" si="22"/>
        <v>0</v>
      </c>
      <c r="BI20" s="17">
        <f t="shared" si="23"/>
        <v>0</v>
      </c>
      <c r="BJ20" s="17">
        <f t="shared" si="24"/>
        <v>0</v>
      </c>
      <c r="BK20" s="17">
        <f t="shared" si="124"/>
        <v>0</v>
      </c>
      <c r="BM20" s="128"/>
      <c r="BN20" s="286">
        <v>18</v>
      </c>
      <c r="BO20" s="80">
        <v>1</v>
      </c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B20" s="20"/>
      <c r="CD20" s="17">
        <f t="shared" si="125"/>
        <v>18</v>
      </c>
      <c r="CE20" s="17">
        <f t="shared" si="126"/>
        <v>18</v>
      </c>
      <c r="CF20" s="20">
        <f t="shared" si="182"/>
        <v>0</v>
      </c>
      <c r="CG20" s="20">
        <f t="shared" si="183"/>
        <v>0</v>
      </c>
      <c r="CH20" s="20">
        <f t="shared" si="184"/>
        <v>0</v>
      </c>
      <c r="CI20" s="20">
        <f t="shared" si="185"/>
        <v>0</v>
      </c>
      <c r="CJ20" s="20">
        <f t="shared" si="186"/>
        <v>0</v>
      </c>
      <c r="CK20" s="20">
        <f t="shared" si="187"/>
        <v>0</v>
      </c>
      <c r="CL20" s="20">
        <f t="shared" si="188"/>
        <v>0</v>
      </c>
      <c r="CM20" s="20">
        <f t="shared" si="189"/>
        <v>0</v>
      </c>
      <c r="CN20" s="20">
        <f t="shared" si="190"/>
        <v>0</v>
      </c>
      <c r="CO20" s="20">
        <f t="shared" si="191"/>
        <v>0</v>
      </c>
      <c r="CP20" s="20">
        <f t="shared" si="192"/>
        <v>0</v>
      </c>
      <c r="DV20" s="20">
        <f t="shared" si="27"/>
        <v>0</v>
      </c>
      <c r="DW20" s="20">
        <f t="shared" si="28"/>
        <v>0</v>
      </c>
      <c r="DX20" s="20">
        <f t="shared" si="29"/>
        <v>0</v>
      </c>
      <c r="DY20" s="20">
        <f t="shared" si="30"/>
        <v>0</v>
      </c>
      <c r="DZ20" s="20">
        <f t="shared" si="31"/>
        <v>0</v>
      </c>
      <c r="EA20" s="20">
        <f t="shared" si="32"/>
        <v>0</v>
      </c>
      <c r="EB20" s="20">
        <f t="shared" si="127"/>
        <v>0</v>
      </c>
      <c r="EG20" s="57">
        <f t="shared" si="128"/>
        <v>0</v>
      </c>
      <c r="EH20" s="57">
        <f t="shared" si="129"/>
        <v>0</v>
      </c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X20" s="169">
        <v>1</v>
      </c>
      <c r="FY20" s="17">
        <f t="shared" si="130"/>
        <v>18</v>
      </c>
      <c r="FZ20" s="17">
        <f t="shared" si="34"/>
        <v>18</v>
      </c>
      <c r="GA20" s="17">
        <f t="shared" si="35"/>
        <v>0</v>
      </c>
      <c r="GB20" s="17">
        <f t="shared" si="36"/>
        <v>0</v>
      </c>
      <c r="GC20" s="17">
        <f t="shared" si="37"/>
        <v>0</v>
      </c>
      <c r="GD20" s="17">
        <f t="shared" si="38"/>
        <v>0</v>
      </c>
      <c r="GE20" s="17">
        <f t="shared" si="39"/>
        <v>0</v>
      </c>
      <c r="GF20" s="67"/>
      <c r="GG20" s="17">
        <v>0</v>
      </c>
      <c r="GH20" s="17">
        <v>0</v>
      </c>
      <c r="GI20" s="67"/>
      <c r="GJ20" s="62">
        <f t="shared" si="131"/>
        <v>0</v>
      </c>
      <c r="GK20" s="62">
        <f t="shared" si="132"/>
        <v>0</v>
      </c>
      <c r="GO20" s="17">
        <f t="shared" si="40"/>
        <v>0</v>
      </c>
      <c r="GP20" s="17">
        <f t="shared" si="41"/>
        <v>0</v>
      </c>
      <c r="GQ20" s="17">
        <f t="shared" si="42"/>
        <v>0</v>
      </c>
      <c r="GR20" s="17">
        <f t="shared" si="43"/>
        <v>0</v>
      </c>
      <c r="GS20" s="17">
        <f t="shared" si="44"/>
        <v>0</v>
      </c>
      <c r="GT20" s="17">
        <f t="shared" si="133"/>
        <v>1</v>
      </c>
      <c r="GU20" s="101">
        <f t="shared" si="134"/>
        <v>43243</v>
      </c>
      <c r="GV20" s="17" t="str">
        <f t="shared" si="135"/>
        <v>SELESAI</v>
      </c>
      <c r="GW20" s="17">
        <f t="shared" si="136"/>
        <v>0</v>
      </c>
      <c r="GX20" s="66" t="str">
        <f t="shared" si="137"/>
        <v>SELESAI</v>
      </c>
      <c r="GY20" s="66">
        <f t="shared" si="138"/>
        <v>0</v>
      </c>
      <c r="GZ20" s="102" t="str">
        <f t="shared" si="139"/>
        <v>SELESAI</v>
      </c>
      <c r="HA20" s="83"/>
      <c r="HB20" s="83"/>
      <c r="HC20" s="17">
        <f t="shared" si="45"/>
        <v>0</v>
      </c>
      <c r="HD20" s="17">
        <f t="shared" si="46"/>
        <v>0</v>
      </c>
      <c r="HE20" s="17">
        <f t="shared" si="140"/>
        <v>0</v>
      </c>
      <c r="HF20" s="17">
        <f t="shared" si="141"/>
        <v>0</v>
      </c>
      <c r="HG20" s="17">
        <f t="shared" si="142"/>
        <v>0</v>
      </c>
      <c r="HH20" s="101" t="str">
        <f t="shared" si="47"/>
        <v>TIDAK KONSINYASI</v>
      </c>
      <c r="HI20" s="101" t="str">
        <f t="shared" si="143"/>
        <v>SELESAI</v>
      </c>
      <c r="HJ20" s="27"/>
      <c r="HK20" s="101">
        <f t="shared" si="48"/>
        <v>0</v>
      </c>
      <c r="HL20" s="83"/>
      <c r="HM20" s="83"/>
      <c r="HN20" s="83"/>
      <c r="HO20" s="83"/>
      <c r="HP20" s="102">
        <f t="shared" si="144"/>
        <v>0</v>
      </c>
      <c r="HQ20" s="66">
        <f t="shared" si="145"/>
        <v>0</v>
      </c>
      <c r="HR20" s="66">
        <f t="shared" si="49"/>
        <v>0</v>
      </c>
      <c r="HS20" s="102">
        <f t="shared" si="146"/>
        <v>0</v>
      </c>
      <c r="HT20" s="66">
        <f t="shared" si="147"/>
        <v>0</v>
      </c>
      <c r="HU20" s="66">
        <f t="shared" si="50"/>
        <v>0</v>
      </c>
      <c r="HV20" s="102">
        <f t="shared" si="148"/>
        <v>0</v>
      </c>
      <c r="HW20" s="66">
        <f t="shared" si="51"/>
        <v>0</v>
      </c>
      <c r="HX20" s="66">
        <f t="shared" si="52"/>
        <v>0</v>
      </c>
      <c r="HY20" s="102">
        <f t="shared" si="53"/>
        <v>0</v>
      </c>
      <c r="HZ20" s="66">
        <f t="shared" si="149"/>
        <v>0</v>
      </c>
      <c r="IA20" s="66">
        <f t="shared" si="54"/>
        <v>0</v>
      </c>
      <c r="IB20" s="102">
        <f t="shared" si="150"/>
        <v>0</v>
      </c>
      <c r="IC20" s="66">
        <f t="shared" si="55"/>
        <v>0</v>
      </c>
      <c r="ID20" s="66">
        <f t="shared" si="56"/>
        <v>0</v>
      </c>
      <c r="IE20" s="102">
        <f t="shared" si="57"/>
        <v>0</v>
      </c>
      <c r="IF20" s="66">
        <f t="shared" si="58"/>
        <v>0</v>
      </c>
      <c r="IG20" s="66">
        <f t="shared" si="59"/>
        <v>0</v>
      </c>
      <c r="IH20" s="102">
        <f t="shared" si="151"/>
        <v>0</v>
      </c>
      <c r="II20" s="66">
        <f t="shared" si="152"/>
        <v>0</v>
      </c>
      <c r="IJ20" s="66">
        <f t="shared" si="60"/>
        <v>0</v>
      </c>
      <c r="IK20" s="102">
        <f t="shared" si="61"/>
        <v>0</v>
      </c>
      <c r="IL20" s="66">
        <f t="shared" si="62"/>
        <v>0</v>
      </c>
      <c r="IM20" s="66">
        <f t="shared" si="63"/>
        <v>0</v>
      </c>
      <c r="IN20" s="83"/>
      <c r="IO20" s="102">
        <f t="shared" si="64"/>
        <v>0</v>
      </c>
      <c r="IP20" s="66">
        <f t="shared" si="65"/>
        <v>0</v>
      </c>
      <c r="IQ20" s="66">
        <f t="shared" si="66"/>
        <v>0</v>
      </c>
      <c r="IR20" s="83"/>
      <c r="IS20" s="102"/>
      <c r="IT20" s="66">
        <f t="shared" si="67"/>
        <v>1</v>
      </c>
      <c r="IU20" s="66">
        <f t="shared" si="68"/>
        <v>142</v>
      </c>
      <c r="IV20" s="83"/>
      <c r="IW20" s="102"/>
      <c r="IX20" s="66">
        <f t="shared" si="69"/>
        <v>0</v>
      </c>
      <c r="IY20" s="66">
        <f t="shared" si="70"/>
        <v>0</v>
      </c>
      <c r="IZ20" s="83"/>
      <c r="JA20" s="102"/>
      <c r="JB20" s="66">
        <f t="shared" si="71"/>
        <v>0</v>
      </c>
      <c r="JC20" s="66">
        <f t="shared" si="72"/>
        <v>0</v>
      </c>
      <c r="JD20" s="83"/>
      <c r="JE20" s="102"/>
      <c r="JF20" s="66">
        <f t="shared" si="153"/>
        <v>1</v>
      </c>
      <c r="JG20" s="66">
        <f t="shared" si="73"/>
        <v>142</v>
      </c>
      <c r="JH20" s="83"/>
      <c r="JI20" s="102"/>
      <c r="JJ20" s="66">
        <f t="shared" si="74"/>
        <v>0</v>
      </c>
      <c r="JK20" s="66">
        <f t="shared" si="75"/>
        <v>0</v>
      </c>
      <c r="JM20" s="102">
        <f t="shared" si="154"/>
        <v>0</v>
      </c>
      <c r="JO20" s="29">
        <f t="shared" si="76"/>
        <v>1</v>
      </c>
      <c r="JP20" s="122">
        <f t="shared" si="77"/>
        <v>18</v>
      </c>
      <c r="JQ20" s="122">
        <f t="shared" si="78"/>
        <v>1</v>
      </c>
      <c r="JR20" s="122">
        <f t="shared" si="79"/>
        <v>0</v>
      </c>
      <c r="JS20" s="122">
        <f t="shared" si="80"/>
        <v>0</v>
      </c>
      <c r="JT20" s="122">
        <f t="shared" si="81"/>
        <v>0</v>
      </c>
      <c r="JU20" s="122">
        <f t="shared" si="82"/>
        <v>0</v>
      </c>
      <c r="JV20" s="122">
        <f t="shared" si="83"/>
        <v>0</v>
      </c>
      <c r="JW20" s="122">
        <f t="shared" si="84"/>
        <v>0</v>
      </c>
      <c r="JX20" s="122">
        <f t="shared" si="85"/>
        <v>0</v>
      </c>
      <c r="JY20" s="122">
        <f t="shared" si="86"/>
        <v>0</v>
      </c>
      <c r="JZ20" s="122">
        <f t="shared" si="87"/>
        <v>0</v>
      </c>
      <c r="KA20" s="122">
        <f t="shared" si="88"/>
        <v>0</v>
      </c>
      <c r="KB20" s="122">
        <f t="shared" si="89"/>
        <v>0</v>
      </c>
      <c r="KD20" s="122">
        <f t="shared" si="155"/>
        <v>0</v>
      </c>
      <c r="KE20" s="122">
        <f t="shared" si="91"/>
        <v>0</v>
      </c>
      <c r="KF20" s="122">
        <f t="shared" si="92"/>
        <v>18</v>
      </c>
      <c r="KG20" s="122">
        <f t="shared" si="93"/>
        <v>18</v>
      </c>
      <c r="KH20" s="122">
        <f t="shared" si="94"/>
        <v>0</v>
      </c>
      <c r="KI20" s="122">
        <f t="shared" si="95"/>
        <v>0</v>
      </c>
      <c r="KJ20" s="122">
        <f t="shared" si="96"/>
        <v>0</v>
      </c>
      <c r="KK20" s="122">
        <f t="shared" si="97"/>
        <v>0</v>
      </c>
      <c r="KL20" s="122">
        <f t="shared" si="98"/>
        <v>0</v>
      </c>
      <c r="KM20" s="122">
        <f t="shared" si="99"/>
        <v>0</v>
      </c>
      <c r="KN20" s="123">
        <f t="shared" si="100"/>
        <v>0</v>
      </c>
      <c r="KO20" s="123">
        <f t="shared" si="101"/>
        <v>0</v>
      </c>
      <c r="KP20" s="123">
        <f t="shared" si="102"/>
        <v>0</v>
      </c>
      <c r="KQ20" s="123">
        <f t="shared" si="103"/>
        <v>0</v>
      </c>
      <c r="KR20" s="123">
        <f t="shared" si="104"/>
        <v>0</v>
      </c>
      <c r="KT20">
        <f t="shared" si="105"/>
        <v>0</v>
      </c>
      <c r="KU20" s="123"/>
      <c r="KV20" s="123"/>
      <c r="KW20" s="123"/>
      <c r="KX20" s="123"/>
      <c r="KY20" s="123"/>
      <c r="KZ20" s="123"/>
      <c r="LA20" s="123"/>
      <c r="LB20" s="123"/>
      <c r="LC20" s="123"/>
      <c r="LD20" s="123"/>
      <c r="LE20" s="123"/>
      <c r="LF20" s="123"/>
      <c r="LG20" s="123"/>
      <c r="LH20" s="123"/>
      <c r="LI20" s="123"/>
      <c r="LJ20" s="123"/>
      <c r="LK20" s="123"/>
      <c r="LL20" s="123"/>
      <c r="LM20" s="123"/>
      <c r="LN20" s="123"/>
      <c r="LO20" s="123"/>
      <c r="LP20" s="123"/>
      <c r="LQ20" s="123"/>
      <c r="LR20" s="123"/>
      <c r="LS20" s="123"/>
      <c r="LT20" s="123"/>
      <c r="LU20" s="123"/>
      <c r="LV20" s="123"/>
      <c r="LW20" s="123"/>
      <c r="LX20" s="123"/>
      <c r="LY20" s="123"/>
      <c r="LZ20" s="123"/>
      <c r="MA20" s="123"/>
      <c r="MB20" s="123"/>
      <c r="MC20" s="123"/>
      <c r="MD20" s="123"/>
      <c r="ME20" s="123"/>
      <c r="MF20" s="123"/>
      <c r="MG20" s="123"/>
      <c r="MH20" s="123"/>
      <c r="MI20" s="123"/>
      <c r="MJ20" s="123"/>
      <c r="MK20" s="123"/>
      <c r="ML20" s="123"/>
      <c r="MM20" s="123"/>
      <c r="MN20" s="123"/>
      <c r="MO20" s="123"/>
      <c r="MP20" s="123"/>
      <c r="MQ20" s="123"/>
      <c r="MR20" s="123"/>
      <c r="MS20" s="123"/>
      <c r="MT20" s="123"/>
      <c r="MU20" s="123"/>
      <c r="MV20" s="123"/>
      <c r="MW20" s="123"/>
      <c r="MX20" s="123"/>
      <c r="MY20" s="123"/>
      <c r="MZ20" s="123"/>
      <c r="NA20" s="123"/>
      <c r="NB20" s="123"/>
      <c r="NC20" s="123"/>
      <c r="ND20" s="123"/>
      <c r="NE20" s="123"/>
      <c r="NF20" s="123"/>
      <c r="NG20" s="123"/>
      <c r="NH20" s="123"/>
      <c r="NI20" s="123"/>
      <c r="NJ20" s="123"/>
      <c r="NK20" s="123"/>
      <c r="NM20">
        <f t="shared" si="156"/>
        <v>0</v>
      </c>
      <c r="NN20">
        <f t="shared" si="157"/>
        <v>0</v>
      </c>
      <c r="NO20">
        <f t="shared" si="158"/>
        <v>0</v>
      </c>
      <c r="NP20">
        <f t="shared" si="159"/>
        <v>0</v>
      </c>
      <c r="NQ20">
        <f t="shared" si="160"/>
        <v>0</v>
      </c>
      <c r="NR20">
        <f t="shared" si="161"/>
        <v>0</v>
      </c>
      <c r="NS20">
        <f t="shared" si="162"/>
        <v>0</v>
      </c>
      <c r="NT20">
        <f t="shared" si="163"/>
        <v>0</v>
      </c>
      <c r="NU20" s="29">
        <f t="shared" si="164"/>
        <v>0</v>
      </c>
      <c r="NY20" s="29">
        <f t="shared" si="107"/>
        <v>1</v>
      </c>
      <c r="NZ20" s="152">
        <v>7500000</v>
      </c>
      <c r="OE20" s="155">
        <f t="shared" si="108"/>
        <v>0</v>
      </c>
      <c r="OF20" s="155">
        <f t="shared" si="109"/>
        <v>0</v>
      </c>
      <c r="OG20" s="155">
        <f t="shared" si="110"/>
        <v>0</v>
      </c>
      <c r="OH20" s="155">
        <f t="shared" si="165"/>
        <v>0</v>
      </c>
      <c r="OI20" s="155">
        <f t="shared" si="111"/>
        <v>0</v>
      </c>
      <c r="OJ20" s="67">
        <f t="shared" si="166"/>
        <v>0</v>
      </c>
      <c r="OK20" s="67">
        <f t="shared" si="167"/>
        <v>0</v>
      </c>
      <c r="OL20" s="67">
        <f t="shared" si="168"/>
        <v>0</v>
      </c>
      <c r="OM20" s="67">
        <f t="shared" si="169"/>
        <v>0</v>
      </c>
      <c r="OO20" s="155">
        <f t="shared" si="112"/>
        <v>0</v>
      </c>
      <c r="OP20" s="155">
        <f t="shared" si="113"/>
        <v>0</v>
      </c>
      <c r="OQ20" s="155">
        <f t="shared" si="170"/>
        <v>0</v>
      </c>
      <c r="OR20" s="155">
        <f t="shared" si="171"/>
        <v>0</v>
      </c>
      <c r="OS20" s="155">
        <f t="shared" si="172"/>
        <v>0</v>
      </c>
      <c r="OT20" s="67">
        <f t="shared" si="173"/>
        <v>0</v>
      </c>
      <c r="OU20" s="67">
        <f t="shared" si="174"/>
        <v>0</v>
      </c>
      <c r="OV20" s="67">
        <f t="shared" si="175"/>
        <v>0</v>
      </c>
      <c r="OW20" s="67">
        <f t="shared" si="176"/>
        <v>0</v>
      </c>
      <c r="OZ20" s="163">
        <f t="shared" si="114"/>
        <v>0</v>
      </c>
      <c r="PA20" s="166"/>
      <c r="PB20" s="166"/>
      <c r="PC20" s="166"/>
      <c r="PD20" s="210">
        <f t="shared" si="115"/>
        <v>0</v>
      </c>
      <c r="PE20" s="210"/>
      <c r="PF20" s="210">
        <f t="shared" si="116"/>
        <v>0</v>
      </c>
      <c r="PG20" s="210">
        <f t="shared" si="117"/>
        <v>0</v>
      </c>
      <c r="PH20" s="210">
        <f t="shared" si="117"/>
        <v>0</v>
      </c>
      <c r="PI20" s="210">
        <f t="shared" si="117"/>
        <v>0</v>
      </c>
      <c r="PJ20" s="210">
        <f t="shared" si="117"/>
        <v>0</v>
      </c>
      <c r="PK20" s="210">
        <f t="shared" si="117"/>
        <v>0</v>
      </c>
      <c r="PL20" s="210">
        <f t="shared" si="117"/>
        <v>0</v>
      </c>
      <c r="PO20" s="172">
        <f t="shared" si="177"/>
        <v>0</v>
      </c>
      <c r="PP20" s="172">
        <f t="shared" si="178"/>
        <v>0</v>
      </c>
      <c r="PQ20" s="172">
        <f t="shared" si="179"/>
        <v>0</v>
      </c>
    </row>
    <row r="21" spans="1:433" ht="16" x14ac:dyDescent="0.2">
      <c r="A21" s="19">
        <f t="shared" si="180"/>
        <v>13</v>
      </c>
      <c r="B21" s="186" t="s">
        <v>638</v>
      </c>
      <c r="C21" s="186">
        <v>13</v>
      </c>
      <c r="D21" s="188">
        <v>1</v>
      </c>
      <c r="E21" s="188">
        <v>35</v>
      </c>
      <c r="F21" s="188">
        <v>1</v>
      </c>
      <c r="G21" s="188">
        <f t="shared" si="2"/>
        <v>35</v>
      </c>
      <c r="H21" s="214">
        <f t="shared" si="3"/>
        <v>1</v>
      </c>
      <c r="I21" s="214">
        <f t="shared" si="4"/>
        <v>1</v>
      </c>
      <c r="J21" s="188">
        <v>1</v>
      </c>
      <c r="K21" s="188">
        <f t="shared" si="5"/>
        <v>35</v>
      </c>
      <c r="L21" s="214">
        <f t="shared" si="6"/>
        <v>1</v>
      </c>
      <c r="M21" s="214">
        <f t="shared" si="7"/>
        <v>1</v>
      </c>
      <c r="N21" s="188">
        <v>1</v>
      </c>
      <c r="O21" s="188">
        <f t="shared" si="8"/>
        <v>35</v>
      </c>
      <c r="P21" s="214">
        <f t="shared" si="9"/>
        <v>1</v>
      </c>
      <c r="Q21" s="214">
        <f t="shared" si="10"/>
        <v>1</v>
      </c>
      <c r="R21" s="188">
        <v>1</v>
      </c>
      <c r="S21" s="188">
        <f t="shared" si="11"/>
        <v>35</v>
      </c>
      <c r="T21" s="214">
        <f t="shared" si="12"/>
        <v>1</v>
      </c>
      <c r="U21" s="214">
        <f t="shared" si="13"/>
        <v>1</v>
      </c>
      <c r="V21" s="188"/>
      <c r="W21" s="188">
        <f t="shared" si="14"/>
        <v>0</v>
      </c>
      <c r="X21" s="214">
        <f t="shared" si="15"/>
        <v>0</v>
      </c>
      <c r="Y21" s="214">
        <f t="shared" si="16"/>
        <v>0</v>
      </c>
      <c r="Z21" s="215">
        <v>0</v>
      </c>
      <c r="AA21" s="188">
        <v>1</v>
      </c>
      <c r="AB21" s="189">
        <f t="shared" si="118"/>
        <v>35</v>
      </c>
      <c r="AC21" s="250">
        <f t="shared" si="119"/>
        <v>1</v>
      </c>
      <c r="AD21" s="250">
        <f t="shared" si="120"/>
        <v>1</v>
      </c>
      <c r="AE21" s="224">
        <f>(231557000+46289000)/1000000000</f>
        <v>0.27784599999999998</v>
      </c>
      <c r="AF21" s="188">
        <f t="shared" si="121"/>
        <v>1</v>
      </c>
      <c r="AG21" s="189" t="s">
        <v>343</v>
      </c>
      <c r="AH21" s="188" t="s">
        <v>303</v>
      </c>
      <c r="AI21" s="188">
        <v>0</v>
      </c>
      <c r="AJ21" s="188">
        <f t="shared" si="181"/>
        <v>0</v>
      </c>
      <c r="AK21" s="188"/>
      <c r="AL21" s="188">
        <v>0</v>
      </c>
      <c r="AM21" s="188">
        <v>0</v>
      </c>
      <c r="AN21" s="217"/>
      <c r="AO21" s="195"/>
      <c r="AP21" s="195"/>
      <c r="AQ21" s="195"/>
      <c r="AR21" s="195"/>
      <c r="AS21" s="195"/>
      <c r="AT21" s="195"/>
      <c r="BB21" s="17">
        <f t="shared" si="123"/>
        <v>0</v>
      </c>
      <c r="BE21" s="17">
        <f t="shared" si="19"/>
        <v>35</v>
      </c>
      <c r="BF21" s="17">
        <f t="shared" si="20"/>
        <v>0</v>
      </c>
      <c r="BG21" s="17">
        <f t="shared" si="21"/>
        <v>0</v>
      </c>
      <c r="BH21" s="17">
        <f t="shared" si="22"/>
        <v>35</v>
      </c>
      <c r="BI21" s="17">
        <f t="shared" si="23"/>
        <v>0</v>
      </c>
      <c r="BJ21" s="17">
        <f t="shared" si="24"/>
        <v>0</v>
      </c>
      <c r="BK21" s="17">
        <f t="shared" si="124"/>
        <v>35</v>
      </c>
      <c r="BM21" s="128"/>
      <c r="BN21" s="147">
        <v>6</v>
      </c>
      <c r="BO21" s="284">
        <v>1</v>
      </c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B21" s="20"/>
      <c r="CD21" s="17">
        <f t="shared" si="125"/>
        <v>6</v>
      </c>
      <c r="CE21" s="17">
        <f t="shared" si="126"/>
        <v>6</v>
      </c>
      <c r="CF21" s="20">
        <f t="shared" si="182"/>
        <v>0</v>
      </c>
      <c r="CG21" s="20">
        <f t="shared" si="183"/>
        <v>0</v>
      </c>
      <c r="CH21" s="20">
        <f t="shared" si="184"/>
        <v>0</v>
      </c>
      <c r="CI21" s="20">
        <f t="shared" si="185"/>
        <v>0</v>
      </c>
      <c r="CJ21" s="20">
        <f t="shared" si="186"/>
        <v>0</v>
      </c>
      <c r="CK21" s="20">
        <f t="shared" si="187"/>
        <v>0</v>
      </c>
      <c r="CL21" s="20">
        <f t="shared" si="188"/>
        <v>0</v>
      </c>
      <c r="CM21" s="20">
        <f t="shared" si="189"/>
        <v>0</v>
      </c>
      <c r="CN21" s="20">
        <f t="shared" si="190"/>
        <v>0</v>
      </c>
      <c r="CO21" s="20">
        <f t="shared" si="191"/>
        <v>0</v>
      </c>
      <c r="CP21" s="20">
        <f t="shared" si="192"/>
        <v>0</v>
      </c>
      <c r="DV21" s="20">
        <f t="shared" si="27"/>
        <v>0</v>
      </c>
      <c r="DW21" s="20">
        <f t="shared" si="28"/>
        <v>0</v>
      </c>
      <c r="DX21" s="20">
        <f t="shared" si="29"/>
        <v>0</v>
      </c>
      <c r="DY21" s="20">
        <f t="shared" si="30"/>
        <v>0</v>
      </c>
      <c r="DZ21" s="20">
        <f t="shared" si="31"/>
        <v>0</v>
      </c>
      <c r="EA21" s="20">
        <f t="shared" si="32"/>
        <v>0</v>
      </c>
      <c r="EB21" s="20">
        <f t="shared" si="127"/>
        <v>0</v>
      </c>
      <c r="EG21" s="57" t="str">
        <f t="shared" si="128"/>
        <v>C</v>
      </c>
      <c r="EH21" s="57">
        <f t="shared" si="129"/>
        <v>0</v>
      </c>
      <c r="EI21" s="17">
        <v>1</v>
      </c>
      <c r="EJ21" s="17">
        <v>1</v>
      </c>
      <c r="EK21" s="17"/>
      <c r="EL21" s="17"/>
      <c r="EM21" s="17"/>
      <c r="EN21" s="17"/>
      <c r="EO21" s="17"/>
      <c r="EP21" s="17"/>
      <c r="EQ21" s="17">
        <v>1</v>
      </c>
      <c r="ER21" s="17">
        <v>1</v>
      </c>
      <c r="ES21" s="17">
        <v>1</v>
      </c>
      <c r="ET21" s="17"/>
      <c r="EU21" s="17"/>
      <c r="EV21" s="17">
        <v>1</v>
      </c>
      <c r="EW21" s="17"/>
      <c r="EX21" s="17"/>
      <c r="EY21" s="17"/>
      <c r="EZ21" s="17">
        <v>1</v>
      </c>
      <c r="FA21" s="17">
        <v>1</v>
      </c>
      <c r="FB21" s="17"/>
      <c r="FC21" s="168">
        <v>1</v>
      </c>
      <c r="FD21" s="17"/>
      <c r="FE21" s="17"/>
      <c r="FF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X21" s="169">
        <v>1</v>
      </c>
      <c r="FY21" s="17">
        <f t="shared" si="130"/>
        <v>6</v>
      </c>
      <c r="FZ21" s="17">
        <f t="shared" si="34"/>
        <v>6</v>
      </c>
      <c r="GA21" s="17">
        <f t="shared" si="35"/>
        <v>0</v>
      </c>
      <c r="GB21" s="17">
        <f t="shared" si="36"/>
        <v>0</v>
      </c>
      <c r="GC21" s="17">
        <f t="shared" si="37"/>
        <v>0</v>
      </c>
      <c r="GD21" s="17">
        <f t="shared" si="38"/>
        <v>0</v>
      </c>
      <c r="GE21" s="17">
        <f t="shared" si="39"/>
        <v>0</v>
      </c>
      <c r="GF21" s="67"/>
      <c r="GG21" s="17">
        <v>0</v>
      </c>
      <c r="GH21" s="17">
        <v>0</v>
      </c>
      <c r="GI21" s="67"/>
      <c r="GJ21" s="62">
        <f t="shared" si="131"/>
        <v>0</v>
      </c>
      <c r="GK21" s="62">
        <f t="shared" si="132"/>
        <v>0</v>
      </c>
      <c r="GO21" s="17">
        <f t="shared" si="40"/>
        <v>0</v>
      </c>
      <c r="GP21" s="17">
        <f t="shared" si="41"/>
        <v>0</v>
      </c>
      <c r="GQ21" s="17">
        <f t="shared" si="42"/>
        <v>0</v>
      </c>
      <c r="GR21" s="17">
        <f t="shared" si="43"/>
        <v>0</v>
      </c>
      <c r="GS21" s="17">
        <f t="shared" si="44"/>
        <v>1</v>
      </c>
      <c r="GT21" s="17">
        <f t="shared" si="133"/>
        <v>0</v>
      </c>
      <c r="GU21" s="101">
        <f t="shared" si="134"/>
        <v>43243</v>
      </c>
      <c r="GV21" s="17" t="str">
        <f t="shared" si="135"/>
        <v>UGR</v>
      </c>
      <c r="GW21" s="17">
        <f t="shared" si="136"/>
        <v>1</v>
      </c>
      <c r="GX21" s="66" t="str">
        <f t="shared" si="137"/>
        <v>UGR</v>
      </c>
      <c r="GY21" s="66">
        <f t="shared" si="138"/>
        <v>14</v>
      </c>
      <c r="GZ21" s="102">
        <f t="shared" si="139"/>
        <v>43257</v>
      </c>
      <c r="HA21" s="83"/>
      <c r="HB21" s="83"/>
      <c r="HC21" s="17">
        <f t="shared" si="45"/>
        <v>1</v>
      </c>
      <c r="HD21" s="17">
        <f t="shared" si="46"/>
        <v>0</v>
      </c>
      <c r="HE21" s="17">
        <f t="shared" si="140"/>
        <v>1</v>
      </c>
      <c r="HF21" s="17">
        <f t="shared" si="141"/>
        <v>0</v>
      </c>
      <c r="HG21" s="17">
        <f t="shared" si="142"/>
        <v>1</v>
      </c>
      <c r="HH21" s="101">
        <f t="shared" si="47"/>
        <v>43288</v>
      </c>
      <c r="HI21" s="101">
        <f t="shared" si="143"/>
        <v>43302</v>
      </c>
      <c r="HJ21" s="27"/>
      <c r="HK21" s="101">
        <f t="shared" si="48"/>
        <v>43302</v>
      </c>
      <c r="HL21" s="83"/>
      <c r="HM21" s="83"/>
      <c r="HN21" s="83"/>
      <c r="HO21" s="83"/>
      <c r="HP21" s="102">
        <f t="shared" si="144"/>
        <v>0</v>
      </c>
      <c r="HQ21" s="66">
        <f t="shared" si="145"/>
        <v>0</v>
      </c>
      <c r="HR21" s="66">
        <f t="shared" si="49"/>
        <v>0</v>
      </c>
      <c r="HS21" s="102">
        <f t="shared" si="146"/>
        <v>43288</v>
      </c>
      <c r="HT21" s="66">
        <f t="shared" si="147"/>
        <v>1</v>
      </c>
      <c r="HU21" s="66">
        <f t="shared" si="50"/>
        <v>35</v>
      </c>
      <c r="HV21" s="102">
        <f t="shared" si="148"/>
        <v>0</v>
      </c>
      <c r="HW21" s="66">
        <f t="shared" si="51"/>
        <v>0</v>
      </c>
      <c r="HX21" s="66">
        <f t="shared" si="52"/>
        <v>0</v>
      </c>
      <c r="HY21" s="102">
        <f t="shared" si="53"/>
        <v>0</v>
      </c>
      <c r="HZ21" s="66">
        <f t="shared" si="149"/>
        <v>0</v>
      </c>
      <c r="IA21" s="66">
        <f t="shared" si="54"/>
        <v>0</v>
      </c>
      <c r="IB21" s="102">
        <f t="shared" si="150"/>
        <v>0</v>
      </c>
      <c r="IC21" s="66">
        <f t="shared" si="55"/>
        <v>0</v>
      </c>
      <c r="ID21" s="66">
        <f t="shared" si="56"/>
        <v>0</v>
      </c>
      <c r="IE21" s="102">
        <f t="shared" si="57"/>
        <v>0</v>
      </c>
      <c r="IF21" s="66">
        <f t="shared" si="58"/>
        <v>0</v>
      </c>
      <c r="IG21" s="66">
        <f t="shared" si="59"/>
        <v>0</v>
      </c>
      <c r="IH21" s="102">
        <f t="shared" si="151"/>
        <v>0</v>
      </c>
      <c r="II21" s="66">
        <f t="shared" si="152"/>
        <v>0</v>
      </c>
      <c r="IJ21" s="66">
        <f t="shared" si="60"/>
        <v>0</v>
      </c>
      <c r="IK21" s="102">
        <f t="shared" si="61"/>
        <v>0</v>
      </c>
      <c r="IL21" s="66">
        <f t="shared" si="62"/>
        <v>0</v>
      </c>
      <c r="IM21" s="66">
        <f t="shared" si="63"/>
        <v>0</v>
      </c>
      <c r="IN21" s="83"/>
      <c r="IO21" s="102">
        <f t="shared" si="64"/>
        <v>0</v>
      </c>
      <c r="IP21" s="66">
        <f t="shared" si="65"/>
        <v>0</v>
      </c>
      <c r="IQ21" s="66">
        <f t="shared" si="66"/>
        <v>0</v>
      </c>
      <c r="IR21" s="83"/>
      <c r="IS21" s="102"/>
      <c r="IT21" s="66">
        <f t="shared" si="67"/>
        <v>0</v>
      </c>
      <c r="IU21" s="66">
        <f t="shared" si="68"/>
        <v>0</v>
      </c>
      <c r="IV21" s="83"/>
      <c r="IW21" s="102"/>
      <c r="IX21" s="66">
        <f t="shared" si="69"/>
        <v>1</v>
      </c>
      <c r="IY21" s="66">
        <f t="shared" si="70"/>
        <v>35</v>
      </c>
      <c r="IZ21" s="83"/>
      <c r="JA21" s="102"/>
      <c r="JB21" s="66">
        <f t="shared" si="71"/>
        <v>0</v>
      </c>
      <c r="JC21" s="66">
        <f t="shared" si="72"/>
        <v>0</v>
      </c>
      <c r="JD21" s="83"/>
      <c r="JE21" s="102"/>
      <c r="JF21" s="66">
        <f t="shared" si="153"/>
        <v>2</v>
      </c>
      <c r="JG21" s="66">
        <f t="shared" si="73"/>
        <v>70</v>
      </c>
      <c r="JH21" s="83"/>
      <c r="JI21" s="102"/>
      <c r="JJ21" s="66">
        <f t="shared" si="74"/>
        <v>1</v>
      </c>
      <c r="JK21" s="66">
        <f t="shared" si="75"/>
        <v>35</v>
      </c>
      <c r="JM21" s="102">
        <f t="shared" si="154"/>
        <v>43288</v>
      </c>
      <c r="JO21" s="29">
        <f t="shared" si="76"/>
        <v>1</v>
      </c>
      <c r="JP21" s="122">
        <f t="shared" si="77"/>
        <v>6</v>
      </c>
      <c r="JQ21" s="122">
        <f t="shared" si="78"/>
        <v>1</v>
      </c>
      <c r="JR21" s="122">
        <f t="shared" si="79"/>
        <v>0</v>
      </c>
      <c r="JS21" s="122">
        <f t="shared" si="80"/>
        <v>0</v>
      </c>
      <c r="JT21" s="122">
        <f t="shared" si="81"/>
        <v>0</v>
      </c>
      <c r="JU21" s="122">
        <f t="shared" si="82"/>
        <v>0</v>
      </c>
      <c r="JV21" s="122">
        <f t="shared" si="83"/>
        <v>0</v>
      </c>
      <c r="JW21" s="122">
        <f t="shared" si="84"/>
        <v>0</v>
      </c>
      <c r="JX21" s="122">
        <f t="shared" si="85"/>
        <v>0</v>
      </c>
      <c r="JY21" s="122">
        <f t="shared" si="86"/>
        <v>0</v>
      </c>
      <c r="JZ21" s="122">
        <f t="shared" si="87"/>
        <v>0</v>
      </c>
      <c r="KA21" s="122">
        <f t="shared" si="88"/>
        <v>0</v>
      </c>
      <c r="KB21" s="122">
        <f t="shared" si="89"/>
        <v>0</v>
      </c>
      <c r="KD21" s="122">
        <f t="shared" si="155"/>
        <v>0</v>
      </c>
      <c r="KE21" s="122">
        <f t="shared" si="91"/>
        <v>0</v>
      </c>
      <c r="KF21" s="122">
        <f t="shared" si="92"/>
        <v>6</v>
      </c>
      <c r="KG21" s="122">
        <f t="shared" si="93"/>
        <v>6</v>
      </c>
      <c r="KH21" s="122">
        <f t="shared" si="94"/>
        <v>0</v>
      </c>
      <c r="KI21" s="122">
        <f t="shared" si="95"/>
        <v>0</v>
      </c>
      <c r="KJ21" s="122">
        <f t="shared" si="96"/>
        <v>0</v>
      </c>
      <c r="KK21" s="122">
        <f t="shared" si="97"/>
        <v>0</v>
      </c>
      <c r="KL21" s="122">
        <f t="shared" si="98"/>
        <v>0</v>
      </c>
      <c r="KM21" s="122">
        <f t="shared" si="99"/>
        <v>0</v>
      </c>
      <c r="KN21" s="123">
        <f t="shared" si="100"/>
        <v>0</v>
      </c>
      <c r="KO21" s="123">
        <f t="shared" si="101"/>
        <v>0</v>
      </c>
      <c r="KP21" s="123">
        <f t="shared" si="102"/>
        <v>0</v>
      </c>
      <c r="KQ21" s="123">
        <f t="shared" si="103"/>
        <v>0</v>
      </c>
      <c r="KR21" s="123">
        <f t="shared" si="104"/>
        <v>0</v>
      </c>
      <c r="KT21">
        <f t="shared" si="105"/>
        <v>0</v>
      </c>
      <c r="KU21" s="123"/>
      <c r="KV21" s="123"/>
      <c r="KW21" s="123"/>
      <c r="KX21" s="123"/>
      <c r="KY21" s="123"/>
      <c r="KZ21" s="123"/>
      <c r="LA21" s="123"/>
      <c r="LB21" s="123"/>
      <c r="LC21" s="123"/>
      <c r="LD21" s="123"/>
      <c r="LE21" s="123"/>
      <c r="LF21" s="123"/>
      <c r="LG21" s="123"/>
      <c r="LH21" s="123"/>
      <c r="LI21" s="123"/>
      <c r="LJ21" s="123"/>
      <c r="LK21" s="123"/>
      <c r="LL21" s="123"/>
      <c r="LM21" s="123"/>
      <c r="LN21" s="123"/>
      <c r="LO21" s="123"/>
      <c r="LP21" s="123"/>
      <c r="LQ21" s="123"/>
      <c r="LR21" s="123"/>
      <c r="LS21" s="123"/>
      <c r="LT21" s="123"/>
      <c r="LU21" s="123"/>
      <c r="LV21" s="123"/>
      <c r="LW21" s="123"/>
      <c r="LX21" s="123"/>
      <c r="LY21" s="123"/>
      <c r="LZ21" s="123"/>
      <c r="MA21" s="123"/>
      <c r="MB21" s="123"/>
      <c r="MC21" s="123"/>
      <c r="MD21" s="123"/>
      <c r="ME21" s="123"/>
      <c r="MF21" s="123"/>
      <c r="MG21" s="123"/>
      <c r="MH21" s="123"/>
      <c r="MI21" s="123"/>
      <c r="MJ21" s="123"/>
      <c r="MK21" s="123"/>
      <c r="ML21" s="123"/>
      <c r="MM21" s="123"/>
      <c r="MN21" s="123"/>
      <c r="MO21" s="123"/>
      <c r="MP21" s="123"/>
      <c r="MQ21" s="123"/>
      <c r="MR21" s="123"/>
      <c r="MS21" s="123"/>
      <c r="MT21" s="123"/>
      <c r="MU21" s="123"/>
      <c r="MV21" s="123"/>
      <c r="MW21" s="123"/>
      <c r="MX21" s="123"/>
      <c r="MY21" s="123"/>
      <c r="MZ21" s="123"/>
      <c r="NA21" s="123"/>
      <c r="NB21" s="123"/>
      <c r="NC21" s="123"/>
      <c r="ND21" s="123"/>
      <c r="NE21" s="123"/>
      <c r="NF21" s="123"/>
      <c r="NG21" s="123"/>
      <c r="NH21" s="123"/>
      <c r="NI21" s="123"/>
      <c r="NJ21" s="123"/>
      <c r="NK21" s="123"/>
      <c r="NM21">
        <f t="shared" si="156"/>
        <v>0</v>
      </c>
      <c r="NN21">
        <f t="shared" si="157"/>
        <v>0</v>
      </c>
      <c r="NO21">
        <f t="shared" si="158"/>
        <v>0</v>
      </c>
      <c r="NP21">
        <f t="shared" si="159"/>
        <v>0</v>
      </c>
      <c r="NQ21">
        <f t="shared" si="160"/>
        <v>0</v>
      </c>
      <c r="NR21">
        <f t="shared" si="161"/>
        <v>0</v>
      </c>
      <c r="NS21">
        <f t="shared" si="162"/>
        <v>0</v>
      </c>
      <c r="NT21">
        <f t="shared" si="163"/>
        <v>0</v>
      </c>
      <c r="NU21" s="29">
        <f t="shared" si="164"/>
        <v>0</v>
      </c>
      <c r="NY21" s="29">
        <f t="shared" si="107"/>
        <v>0</v>
      </c>
      <c r="NZ21" s="152">
        <v>7500000</v>
      </c>
      <c r="OE21" s="155">
        <f t="shared" si="108"/>
        <v>0</v>
      </c>
      <c r="OF21" s="155">
        <f t="shared" si="109"/>
        <v>0</v>
      </c>
      <c r="OG21" s="155">
        <f t="shared" si="110"/>
        <v>0</v>
      </c>
      <c r="OH21" s="155">
        <f t="shared" si="165"/>
        <v>1</v>
      </c>
      <c r="OI21" s="155">
        <f t="shared" si="111"/>
        <v>0</v>
      </c>
      <c r="OJ21" s="67">
        <f t="shared" si="166"/>
        <v>0</v>
      </c>
      <c r="OK21" s="67">
        <f t="shared" si="167"/>
        <v>0</v>
      </c>
      <c r="OL21" s="67">
        <f t="shared" si="168"/>
        <v>0</v>
      </c>
      <c r="OM21" s="67">
        <f t="shared" si="169"/>
        <v>0</v>
      </c>
      <c r="OO21" s="155">
        <f t="shared" si="112"/>
        <v>0</v>
      </c>
      <c r="OP21" s="155">
        <f t="shared" si="113"/>
        <v>0</v>
      </c>
      <c r="OQ21" s="155">
        <f t="shared" si="170"/>
        <v>0</v>
      </c>
      <c r="OR21" s="155">
        <f t="shared" si="171"/>
        <v>1</v>
      </c>
      <c r="OS21" s="155">
        <f t="shared" si="172"/>
        <v>0</v>
      </c>
      <c r="OT21" s="67">
        <f t="shared" si="173"/>
        <v>0</v>
      </c>
      <c r="OU21" s="67">
        <f t="shared" si="174"/>
        <v>0</v>
      </c>
      <c r="OV21" s="67">
        <f t="shared" si="175"/>
        <v>0</v>
      </c>
      <c r="OW21" s="67">
        <f t="shared" si="176"/>
        <v>0</v>
      </c>
      <c r="OZ21" s="163">
        <f t="shared" si="114"/>
        <v>0</v>
      </c>
      <c r="PA21" s="166"/>
      <c r="PB21" s="166"/>
      <c r="PC21" s="166"/>
      <c r="PD21" s="210">
        <f t="shared" si="115"/>
        <v>0</v>
      </c>
      <c r="PE21" s="210"/>
      <c r="PF21" s="210">
        <f t="shared" si="116"/>
        <v>0</v>
      </c>
      <c r="PG21" s="210">
        <f t="shared" si="117"/>
        <v>0</v>
      </c>
      <c r="PH21" s="210">
        <f t="shared" si="117"/>
        <v>0</v>
      </c>
      <c r="PI21" s="210">
        <f t="shared" si="117"/>
        <v>0</v>
      </c>
      <c r="PJ21" s="210">
        <f t="shared" si="117"/>
        <v>0</v>
      </c>
      <c r="PK21" s="210">
        <f t="shared" si="117"/>
        <v>0</v>
      </c>
      <c r="PL21" s="210">
        <f t="shared" si="117"/>
        <v>0</v>
      </c>
      <c r="PO21" s="172">
        <f t="shared" si="177"/>
        <v>35</v>
      </c>
      <c r="PP21" s="172">
        <f t="shared" si="178"/>
        <v>0</v>
      </c>
      <c r="PQ21" s="172">
        <f t="shared" si="179"/>
        <v>0</v>
      </c>
    </row>
    <row r="22" spans="1:433" ht="16" x14ac:dyDescent="0.2">
      <c r="A22" s="19">
        <f t="shared" si="180"/>
        <v>14</v>
      </c>
      <c r="B22" s="186" t="s">
        <v>177</v>
      </c>
      <c r="C22" s="186">
        <v>14</v>
      </c>
      <c r="D22" s="188">
        <v>1</v>
      </c>
      <c r="E22" s="188">
        <v>108</v>
      </c>
      <c r="F22" s="188">
        <v>1</v>
      </c>
      <c r="G22" s="188">
        <f t="shared" si="2"/>
        <v>108</v>
      </c>
      <c r="H22" s="214">
        <f t="shared" si="3"/>
        <v>1</v>
      </c>
      <c r="I22" s="214">
        <f t="shared" si="4"/>
        <v>1</v>
      </c>
      <c r="J22" s="188">
        <v>1</v>
      </c>
      <c r="K22" s="188">
        <f t="shared" si="5"/>
        <v>108</v>
      </c>
      <c r="L22" s="214">
        <f t="shared" si="6"/>
        <v>1</v>
      </c>
      <c r="M22" s="214">
        <f t="shared" si="7"/>
        <v>1</v>
      </c>
      <c r="N22" s="188">
        <v>1</v>
      </c>
      <c r="O22" s="188">
        <f t="shared" si="8"/>
        <v>108</v>
      </c>
      <c r="P22" s="214">
        <f t="shared" si="9"/>
        <v>1</v>
      </c>
      <c r="Q22" s="214">
        <f t="shared" si="10"/>
        <v>1</v>
      </c>
      <c r="R22" s="188">
        <v>1</v>
      </c>
      <c r="S22" s="188">
        <f t="shared" si="11"/>
        <v>108</v>
      </c>
      <c r="T22" s="214">
        <f t="shared" si="12"/>
        <v>1</v>
      </c>
      <c r="U22" s="214">
        <f t="shared" si="13"/>
        <v>1</v>
      </c>
      <c r="V22" s="188"/>
      <c r="W22" s="188">
        <f t="shared" si="14"/>
        <v>0</v>
      </c>
      <c r="X22" s="214">
        <f t="shared" si="15"/>
        <v>0</v>
      </c>
      <c r="Y22" s="214">
        <f t="shared" si="16"/>
        <v>0</v>
      </c>
      <c r="Z22" s="215">
        <v>0</v>
      </c>
      <c r="AA22" s="188">
        <v>1</v>
      </c>
      <c r="AB22" s="189">
        <f t="shared" si="118"/>
        <v>108</v>
      </c>
      <c r="AC22" s="250">
        <f t="shared" si="119"/>
        <v>1</v>
      </c>
      <c r="AD22" s="250">
        <f t="shared" si="120"/>
        <v>1</v>
      </c>
      <c r="AE22" s="224">
        <f>(1129905000+128527000)/1000000000</f>
        <v>1.258432</v>
      </c>
      <c r="AF22" s="188">
        <f t="shared" si="121"/>
        <v>1</v>
      </c>
      <c r="AG22" s="189" t="s">
        <v>343</v>
      </c>
      <c r="AH22" s="188" t="s">
        <v>303</v>
      </c>
      <c r="AI22" s="188">
        <v>0</v>
      </c>
      <c r="AJ22" s="188">
        <f t="shared" si="181"/>
        <v>0</v>
      </c>
      <c r="AK22" s="188"/>
      <c r="AL22" s="188">
        <v>0</v>
      </c>
      <c r="AM22" s="188">
        <v>0</v>
      </c>
      <c r="AN22" s="217"/>
      <c r="AO22" s="195"/>
      <c r="AP22" s="195"/>
      <c r="AQ22" s="195"/>
      <c r="AR22" s="195"/>
      <c r="AS22" s="195"/>
      <c r="AT22" s="195"/>
      <c r="BB22" s="17">
        <f t="shared" si="123"/>
        <v>0</v>
      </c>
      <c r="BE22" s="17">
        <f t="shared" si="19"/>
        <v>108</v>
      </c>
      <c r="BF22" s="17">
        <f t="shared" si="20"/>
        <v>0</v>
      </c>
      <c r="BG22" s="17">
        <f t="shared" si="21"/>
        <v>0</v>
      </c>
      <c r="BH22" s="17">
        <f t="shared" si="22"/>
        <v>108</v>
      </c>
      <c r="BI22" s="17">
        <f t="shared" si="23"/>
        <v>0</v>
      </c>
      <c r="BJ22" s="17">
        <f t="shared" si="24"/>
        <v>0</v>
      </c>
      <c r="BK22" s="17">
        <f t="shared" si="124"/>
        <v>108</v>
      </c>
      <c r="BM22" s="128"/>
      <c r="BN22" s="147">
        <v>17</v>
      </c>
      <c r="BO22" s="284">
        <v>1</v>
      </c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B22" s="20"/>
      <c r="CD22" s="17">
        <f t="shared" si="125"/>
        <v>17</v>
      </c>
      <c r="CE22" s="17">
        <f t="shared" si="126"/>
        <v>17</v>
      </c>
      <c r="CF22" s="20">
        <f t="shared" si="182"/>
        <v>0</v>
      </c>
      <c r="CG22" s="20">
        <f t="shared" si="183"/>
        <v>0</v>
      </c>
      <c r="CH22" s="20">
        <f t="shared" si="184"/>
        <v>0</v>
      </c>
      <c r="CI22" s="20">
        <f t="shared" si="185"/>
        <v>0</v>
      </c>
      <c r="CJ22" s="20">
        <f t="shared" si="186"/>
        <v>0</v>
      </c>
      <c r="CK22" s="20">
        <f t="shared" si="187"/>
        <v>0</v>
      </c>
      <c r="CL22" s="20">
        <f t="shared" si="188"/>
        <v>0</v>
      </c>
      <c r="CM22" s="20">
        <f t="shared" si="189"/>
        <v>0</v>
      </c>
      <c r="CN22" s="20">
        <f t="shared" si="190"/>
        <v>0</v>
      </c>
      <c r="CO22" s="20">
        <f t="shared" si="191"/>
        <v>0</v>
      </c>
      <c r="CP22" s="20">
        <f t="shared" si="192"/>
        <v>0</v>
      </c>
      <c r="DV22" s="20">
        <f t="shared" si="27"/>
        <v>0</v>
      </c>
      <c r="DW22" s="20">
        <f t="shared" si="28"/>
        <v>0</v>
      </c>
      <c r="DX22" s="20">
        <f t="shared" si="29"/>
        <v>0</v>
      </c>
      <c r="DY22" s="20">
        <f t="shared" si="30"/>
        <v>0</v>
      </c>
      <c r="DZ22" s="20">
        <f t="shared" si="31"/>
        <v>0</v>
      </c>
      <c r="EA22" s="20">
        <f t="shared" si="32"/>
        <v>0</v>
      </c>
      <c r="EB22" s="20">
        <f t="shared" si="127"/>
        <v>0</v>
      </c>
      <c r="EG22" s="57" t="str">
        <f t="shared" si="128"/>
        <v>C</v>
      </c>
      <c r="EH22" s="57">
        <f t="shared" si="129"/>
        <v>0</v>
      </c>
      <c r="EI22" s="17">
        <v>1</v>
      </c>
      <c r="EJ22" s="17">
        <v>1</v>
      </c>
      <c r="EK22" s="17"/>
      <c r="EL22" s="17"/>
      <c r="EM22" s="17"/>
      <c r="EN22" s="17"/>
      <c r="EO22" s="17"/>
      <c r="EP22" s="17"/>
      <c r="EQ22" s="17">
        <v>1</v>
      </c>
      <c r="ER22" s="17">
        <v>1</v>
      </c>
      <c r="ES22" s="17">
        <v>1</v>
      </c>
      <c r="ET22" s="17"/>
      <c r="EU22" s="17"/>
      <c r="EV22" s="17">
        <v>1</v>
      </c>
      <c r="EW22" s="17"/>
      <c r="EX22" s="17"/>
      <c r="EY22" s="17"/>
      <c r="EZ22" s="17">
        <v>1</v>
      </c>
      <c r="FA22" s="17">
        <v>1</v>
      </c>
      <c r="FB22" s="17"/>
      <c r="FC22" s="189">
        <v>1</v>
      </c>
      <c r="FD22" s="17"/>
      <c r="FE22" s="17"/>
      <c r="FF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X22" s="169">
        <v>1</v>
      </c>
      <c r="FY22" s="17">
        <f t="shared" si="130"/>
        <v>17</v>
      </c>
      <c r="FZ22" s="17">
        <f t="shared" si="34"/>
        <v>17</v>
      </c>
      <c r="GA22" s="17">
        <f t="shared" si="35"/>
        <v>0</v>
      </c>
      <c r="GB22" s="17">
        <f t="shared" si="36"/>
        <v>0</v>
      </c>
      <c r="GC22" s="17">
        <f t="shared" si="37"/>
        <v>0</v>
      </c>
      <c r="GD22" s="17">
        <f t="shared" si="38"/>
        <v>0</v>
      </c>
      <c r="GE22" s="17">
        <f t="shared" si="39"/>
        <v>0</v>
      </c>
      <c r="GF22" s="67"/>
      <c r="GG22" s="17">
        <v>0</v>
      </c>
      <c r="GH22" s="17">
        <v>0</v>
      </c>
      <c r="GI22" s="67"/>
      <c r="GJ22" s="62">
        <f t="shared" si="131"/>
        <v>0</v>
      </c>
      <c r="GK22" s="62">
        <f t="shared" si="132"/>
        <v>0</v>
      </c>
      <c r="GO22" s="17">
        <f t="shared" si="40"/>
        <v>0</v>
      </c>
      <c r="GP22" s="17">
        <f t="shared" si="41"/>
        <v>0</v>
      </c>
      <c r="GQ22" s="17">
        <f t="shared" si="42"/>
        <v>0</v>
      </c>
      <c r="GR22" s="17">
        <f t="shared" si="43"/>
        <v>0</v>
      </c>
      <c r="GS22" s="17">
        <f t="shared" si="44"/>
        <v>1</v>
      </c>
      <c r="GT22" s="17">
        <f t="shared" si="133"/>
        <v>0</v>
      </c>
      <c r="GU22" s="101">
        <f t="shared" si="134"/>
        <v>43243</v>
      </c>
      <c r="GV22" s="17" t="str">
        <f t="shared" si="135"/>
        <v>UGR</v>
      </c>
      <c r="GW22" s="17">
        <f t="shared" si="136"/>
        <v>1</v>
      </c>
      <c r="GX22" s="66" t="str">
        <f t="shared" si="137"/>
        <v>UGR</v>
      </c>
      <c r="GY22" s="66">
        <f t="shared" si="138"/>
        <v>14</v>
      </c>
      <c r="GZ22" s="102">
        <f t="shared" si="139"/>
        <v>43257</v>
      </c>
      <c r="HA22" s="83"/>
      <c r="HB22" s="83"/>
      <c r="HC22" s="17">
        <f t="shared" si="45"/>
        <v>1</v>
      </c>
      <c r="HD22" s="17">
        <f t="shared" si="46"/>
        <v>0</v>
      </c>
      <c r="HE22" s="17">
        <f t="shared" si="140"/>
        <v>1</v>
      </c>
      <c r="HF22" s="17">
        <f t="shared" si="141"/>
        <v>0</v>
      </c>
      <c r="HG22" s="17">
        <f t="shared" si="142"/>
        <v>1</v>
      </c>
      <c r="HH22" s="101">
        <f t="shared" si="47"/>
        <v>43288</v>
      </c>
      <c r="HI22" s="101">
        <f t="shared" si="143"/>
        <v>43302</v>
      </c>
      <c r="HJ22" s="27"/>
      <c r="HK22" s="101">
        <f t="shared" si="48"/>
        <v>43302</v>
      </c>
      <c r="HL22" s="83"/>
      <c r="HM22" s="83"/>
      <c r="HN22" s="83"/>
      <c r="HO22" s="83"/>
      <c r="HP22" s="102">
        <f t="shared" si="144"/>
        <v>0</v>
      </c>
      <c r="HQ22" s="66">
        <f t="shared" si="145"/>
        <v>0</v>
      </c>
      <c r="HR22" s="66">
        <f t="shared" si="49"/>
        <v>0</v>
      </c>
      <c r="HS22" s="102">
        <f t="shared" si="146"/>
        <v>43288</v>
      </c>
      <c r="HT22" s="66">
        <f t="shared" si="147"/>
        <v>1</v>
      </c>
      <c r="HU22" s="66">
        <f t="shared" si="50"/>
        <v>108</v>
      </c>
      <c r="HV22" s="102">
        <f t="shared" si="148"/>
        <v>0</v>
      </c>
      <c r="HW22" s="66">
        <f t="shared" si="51"/>
        <v>0</v>
      </c>
      <c r="HX22" s="66">
        <f t="shared" si="52"/>
        <v>0</v>
      </c>
      <c r="HY22" s="102">
        <f t="shared" si="53"/>
        <v>0</v>
      </c>
      <c r="HZ22" s="66">
        <f t="shared" si="149"/>
        <v>0</v>
      </c>
      <c r="IA22" s="66">
        <f t="shared" si="54"/>
        <v>0</v>
      </c>
      <c r="IB22" s="102">
        <f t="shared" si="150"/>
        <v>0</v>
      </c>
      <c r="IC22" s="66">
        <f t="shared" si="55"/>
        <v>0</v>
      </c>
      <c r="ID22" s="66">
        <f t="shared" si="56"/>
        <v>0</v>
      </c>
      <c r="IE22" s="102">
        <f t="shared" si="57"/>
        <v>0</v>
      </c>
      <c r="IF22" s="66">
        <f t="shared" si="58"/>
        <v>0</v>
      </c>
      <c r="IG22" s="66">
        <f t="shared" si="59"/>
        <v>0</v>
      </c>
      <c r="IH22" s="102">
        <f t="shared" si="151"/>
        <v>0</v>
      </c>
      <c r="II22" s="66">
        <f t="shared" si="152"/>
        <v>0</v>
      </c>
      <c r="IJ22" s="66">
        <f t="shared" si="60"/>
        <v>0</v>
      </c>
      <c r="IK22" s="102">
        <f t="shared" si="61"/>
        <v>0</v>
      </c>
      <c r="IL22" s="66">
        <f t="shared" si="62"/>
        <v>0</v>
      </c>
      <c r="IM22" s="66">
        <f t="shared" si="63"/>
        <v>0</v>
      </c>
      <c r="IN22" s="83"/>
      <c r="IO22" s="102">
        <f t="shared" si="64"/>
        <v>0</v>
      </c>
      <c r="IP22" s="66">
        <f t="shared" si="65"/>
        <v>0</v>
      </c>
      <c r="IQ22" s="66">
        <f t="shared" si="66"/>
        <v>0</v>
      </c>
      <c r="IR22" s="83"/>
      <c r="IS22" s="102"/>
      <c r="IT22" s="66">
        <f t="shared" si="67"/>
        <v>0</v>
      </c>
      <c r="IU22" s="66">
        <f t="shared" si="68"/>
        <v>0</v>
      </c>
      <c r="IV22" s="83"/>
      <c r="IW22" s="102"/>
      <c r="IX22" s="66">
        <f t="shared" si="69"/>
        <v>1</v>
      </c>
      <c r="IY22" s="66">
        <f t="shared" si="70"/>
        <v>108</v>
      </c>
      <c r="IZ22" s="83"/>
      <c r="JA22" s="102"/>
      <c r="JB22" s="66">
        <f t="shared" si="71"/>
        <v>0</v>
      </c>
      <c r="JC22" s="66">
        <f t="shared" si="72"/>
        <v>0</v>
      </c>
      <c r="JD22" s="83"/>
      <c r="JE22" s="102"/>
      <c r="JF22" s="66">
        <f t="shared" si="153"/>
        <v>2</v>
      </c>
      <c r="JG22" s="66">
        <f t="shared" si="73"/>
        <v>216</v>
      </c>
      <c r="JH22" s="83"/>
      <c r="JI22" s="102"/>
      <c r="JJ22" s="66">
        <f t="shared" si="74"/>
        <v>1</v>
      </c>
      <c r="JK22" s="66">
        <f t="shared" si="75"/>
        <v>108</v>
      </c>
      <c r="JM22" s="102">
        <f t="shared" si="154"/>
        <v>43288</v>
      </c>
      <c r="JO22" s="29">
        <f t="shared" si="76"/>
        <v>1</v>
      </c>
      <c r="JP22" s="122">
        <f t="shared" si="77"/>
        <v>17</v>
      </c>
      <c r="JQ22" s="122">
        <f t="shared" si="78"/>
        <v>1</v>
      </c>
      <c r="JR22" s="122">
        <f t="shared" si="79"/>
        <v>0</v>
      </c>
      <c r="JS22" s="122">
        <f t="shared" si="80"/>
        <v>0</v>
      </c>
      <c r="JT22" s="122">
        <f t="shared" si="81"/>
        <v>0</v>
      </c>
      <c r="JU22" s="122">
        <f t="shared" si="82"/>
        <v>0</v>
      </c>
      <c r="JV22" s="122">
        <f t="shared" si="83"/>
        <v>0</v>
      </c>
      <c r="JW22" s="122">
        <f t="shared" si="84"/>
        <v>0</v>
      </c>
      <c r="JX22" s="122">
        <f t="shared" si="85"/>
        <v>0</v>
      </c>
      <c r="JY22" s="122">
        <f t="shared" si="86"/>
        <v>0</v>
      </c>
      <c r="JZ22" s="122">
        <f t="shared" si="87"/>
        <v>0</v>
      </c>
      <c r="KA22" s="122">
        <f t="shared" si="88"/>
        <v>0</v>
      </c>
      <c r="KB22" s="122">
        <f t="shared" si="89"/>
        <v>0</v>
      </c>
      <c r="KD22" s="122">
        <f t="shared" si="155"/>
        <v>0</v>
      </c>
      <c r="KE22" s="122">
        <f t="shared" si="91"/>
        <v>0</v>
      </c>
      <c r="KF22" s="122">
        <f t="shared" si="92"/>
        <v>17</v>
      </c>
      <c r="KG22" s="122">
        <f t="shared" si="93"/>
        <v>17</v>
      </c>
      <c r="KH22" s="122">
        <f t="shared" si="94"/>
        <v>0</v>
      </c>
      <c r="KI22" s="122">
        <f t="shared" si="95"/>
        <v>0</v>
      </c>
      <c r="KJ22" s="122">
        <f t="shared" si="96"/>
        <v>0</v>
      </c>
      <c r="KK22" s="122">
        <f t="shared" si="97"/>
        <v>0</v>
      </c>
      <c r="KL22" s="122">
        <f t="shared" si="98"/>
        <v>0</v>
      </c>
      <c r="KM22" s="122">
        <f t="shared" si="99"/>
        <v>0</v>
      </c>
      <c r="KN22" s="123">
        <f t="shared" si="100"/>
        <v>0</v>
      </c>
      <c r="KO22" s="123">
        <f t="shared" si="101"/>
        <v>0</v>
      </c>
      <c r="KP22" s="123">
        <f t="shared" si="102"/>
        <v>0</v>
      </c>
      <c r="KQ22" s="123">
        <f t="shared" si="103"/>
        <v>0</v>
      </c>
      <c r="KR22" s="123">
        <f t="shared" si="104"/>
        <v>0</v>
      </c>
      <c r="KT22">
        <f t="shared" si="105"/>
        <v>0</v>
      </c>
      <c r="KU22" s="123"/>
      <c r="KV22" s="123"/>
      <c r="KW22" s="123"/>
      <c r="KX22" s="123"/>
      <c r="KY22" s="123"/>
      <c r="KZ22" s="123"/>
      <c r="LA22" s="123"/>
      <c r="LB22" s="123"/>
      <c r="LC22" s="123"/>
      <c r="LD22" s="123"/>
      <c r="LE22" s="123"/>
      <c r="LF22" s="123"/>
      <c r="LG22" s="123"/>
      <c r="LH22" s="123"/>
      <c r="LI22" s="123"/>
      <c r="LJ22" s="123"/>
      <c r="LK22" s="123"/>
      <c r="LL22" s="123"/>
      <c r="LM22" s="123"/>
      <c r="LN22" s="123"/>
      <c r="LO22" s="123"/>
      <c r="LP22" s="123"/>
      <c r="LQ22" s="123"/>
      <c r="LR22" s="123"/>
      <c r="LS22" s="123"/>
      <c r="LT22" s="123"/>
      <c r="LU22" s="123"/>
      <c r="LV22" s="123"/>
      <c r="LW22" s="123"/>
      <c r="LX22" s="123"/>
      <c r="LY22" s="123"/>
      <c r="LZ22" s="123"/>
      <c r="MA22" s="123"/>
      <c r="MB22" s="123"/>
      <c r="MC22" s="123"/>
      <c r="MD22" s="123"/>
      <c r="ME22" s="123"/>
      <c r="MF22" s="123"/>
      <c r="MG22" s="123"/>
      <c r="MH22" s="123"/>
      <c r="MI22" s="123"/>
      <c r="MJ22" s="123"/>
      <c r="MK22" s="123"/>
      <c r="ML22" s="123"/>
      <c r="MM22" s="123"/>
      <c r="MN22" s="123"/>
      <c r="MO22" s="123"/>
      <c r="MP22" s="123"/>
      <c r="MQ22" s="123"/>
      <c r="MR22" s="123"/>
      <c r="MS22" s="123"/>
      <c r="MT22" s="123"/>
      <c r="MU22" s="123"/>
      <c r="MV22" s="123"/>
      <c r="MW22" s="123"/>
      <c r="MX22" s="123"/>
      <c r="MY22" s="123"/>
      <c r="MZ22" s="123"/>
      <c r="NA22" s="123"/>
      <c r="NB22" s="123"/>
      <c r="NC22" s="123"/>
      <c r="ND22" s="123"/>
      <c r="NE22" s="123"/>
      <c r="NF22" s="123"/>
      <c r="NG22" s="123"/>
      <c r="NH22" s="123"/>
      <c r="NI22" s="123"/>
      <c r="NJ22" s="123"/>
      <c r="NK22" s="123"/>
      <c r="NM22">
        <f t="shared" si="156"/>
        <v>0</v>
      </c>
      <c r="NN22">
        <f t="shared" si="157"/>
        <v>0</v>
      </c>
      <c r="NO22">
        <f t="shared" si="158"/>
        <v>0</v>
      </c>
      <c r="NP22">
        <f t="shared" si="159"/>
        <v>0</v>
      </c>
      <c r="NQ22">
        <f t="shared" si="160"/>
        <v>0</v>
      </c>
      <c r="NR22">
        <f t="shared" si="161"/>
        <v>0</v>
      </c>
      <c r="NS22">
        <f t="shared" si="162"/>
        <v>0</v>
      </c>
      <c r="NT22">
        <f t="shared" si="163"/>
        <v>0</v>
      </c>
      <c r="NU22" s="29">
        <f t="shared" si="164"/>
        <v>0</v>
      </c>
      <c r="NY22" s="29">
        <f t="shared" si="107"/>
        <v>0</v>
      </c>
      <c r="NZ22" s="152">
        <v>7350000</v>
      </c>
      <c r="OE22" s="155">
        <f t="shared" si="108"/>
        <v>0</v>
      </c>
      <c r="OF22" s="155">
        <f t="shared" si="109"/>
        <v>0</v>
      </c>
      <c r="OG22" s="155">
        <f t="shared" si="110"/>
        <v>0</v>
      </c>
      <c r="OH22" s="155">
        <f t="shared" si="165"/>
        <v>1</v>
      </c>
      <c r="OI22" s="155">
        <f t="shared" si="111"/>
        <v>0</v>
      </c>
      <c r="OJ22" s="67">
        <f t="shared" si="166"/>
        <v>0</v>
      </c>
      <c r="OK22" s="67">
        <f t="shared" si="167"/>
        <v>0</v>
      </c>
      <c r="OL22" s="67">
        <f t="shared" si="168"/>
        <v>0</v>
      </c>
      <c r="OM22" s="67">
        <f t="shared" si="169"/>
        <v>0</v>
      </c>
      <c r="OO22" s="155">
        <f t="shared" si="112"/>
        <v>0</v>
      </c>
      <c r="OP22" s="155">
        <f t="shared" si="113"/>
        <v>0</v>
      </c>
      <c r="OQ22" s="155">
        <f t="shared" si="170"/>
        <v>0</v>
      </c>
      <c r="OR22" s="155">
        <f t="shared" si="171"/>
        <v>1</v>
      </c>
      <c r="OS22" s="155">
        <f t="shared" si="172"/>
        <v>0</v>
      </c>
      <c r="OT22" s="67">
        <f t="shared" si="173"/>
        <v>0</v>
      </c>
      <c r="OU22" s="67">
        <f t="shared" si="174"/>
        <v>0</v>
      </c>
      <c r="OV22" s="67">
        <f t="shared" si="175"/>
        <v>0</v>
      </c>
      <c r="OW22" s="67">
        <f t="shared" si="176"/>
        <v>0</v>
      </c>
      <c r="OZ22" s="163">
        <f t="shared" si="114"/>
        <v>0</v>
      </c>
      <c r="PA22" s="166"/>
      <c r="PB22" s="166"/>
      <c r="PC22" s="166"/>
      <c r="PD22" s="210">
        <f t="shared" si="115"/>
        <v>0</v>
      </c>
      <c r="PE22" s="210"/>
      <c r="PF22" s="210">
        <f t="shared" si="116"/>
        <v>0</v>
      </c>
      <c r="PG22" s="210">
        <f t="shared" si="117"/>
        <v>0</v>
      </c>
      <c r="PH22" s="210">
        <f t="shared" si="117"/>
        <v>0</v>
      </c>
      <c r="PI22" s="210">
        <f t="shared" si="117"/>
        <v>0</v>
      </c>
      <c r="PJ22" s="210">
        <f t="shared" si="117"/>
        <v>0</v>
      </c>
      <c r="PK22" s="210">
        <f t="shared" si="117"/>
        <v>0</v>
      </c>
      <c r="PL22" s="210">
        <f t="shared" si="117"/>
        <v>0</v>
      </c>
      <c r="PO22" s="172">
        <f t="shared" si="177"/>
        <v>108</v>
      </c>
      <c r="PP22" s="172">
        <f t="shared" si="178"/>
        <v>0</v>
      </c>
      <c r="PQ22" s="172">
        <f t="shared" si="179"/>
        <v>0</v>
      </c>
    </row>
    <row r="23" spans="1:433" ht="16" x14ac:dyDescent="0.2">
      <c r="A23" s="19">
        <f t="shared" si="180"/>
        <v>15</v>
      </c>
      <c r="B23" s="186" t="s">
        <v>177</v>
      </c>
      <c r="C23" s="186">
        <v>15</v>
      </c>
      <c r="D23" s="188">
        <v>1</v>
      </c>
      <c r="E23" s="188">
        <v>22</v>
      </c>
      <c r="F23" s="188">
        <v>1</v>
      </c>
      <c r="G23" s="188">
        <f t="shared" si="2"/>
        <v>22</v>
      </c>
      <c r="H23" s="214">
        <f t="shared" si="3"/>
        <v>1</v>
      </c>
      <c r="I23" s="214">
        <f t="shared" si="4"/>
        <v>1</v>
      </c>
      <c r="J23" s="188">
        <v>1</v>
      </c>
      <c r="K23" s="188">
        <f t="shared" si="5"/>
        <v>22</v>
      </c>
      <c r="L23" s="214">
        <f t="shared" si="6"/>
        <v>1</v>
      </c>
      <c r="M23" s="214">
        <f t="shared" si="7"/>
        <v>1</v>
      </c>
      <c r="N23" s="188">
        <v>1</v>
      </c>
      <c r="O23" s="188">
        <f t="shared" si="8"/>
        <v>22</v>
      </c>
      <c r="P23" s="214">
        <f t="shared" si="9"/>
        <v>1</v>
      </c>
      <c r="Q23" s="214">
        <f t="shared" si="10"/>
        <v>1</v>
      </c>
      <c r="R23" s="188">
        <v>1</v>
      </c>
      <c r="S23" s="188">
        <f t="shared" si="11"/>
        <v>22</v>
      </c>
      <c r="T23" s="214">
        <f t="shared" si="12"/>
        <v>1</v>
      </c>
      <c r="U23" s="214">
        <f t="shared" si="13"/>
        <v>1</v>
      </c>
      <c r="V23" s="188">
        <v>0</v>
      </c>
      <c r="W23" s="188">
        <f t="shared" si="14"/>
        <v>0</v>
      </c>
      <c r="X23" s="214">
        <f t="shared" si="15"/>
        <v>0</v>
      </c>
      <c r="Y23" s="214">
        <f t="shared" si="16"/>
        <v>0</v>
      </c>
      <c r="Z23" s="215">
        <v>0</v>
      </c>
      <c r="AA23" s="188">
        <v>1</v>
      </c>
      <c r="AB23" s="189">
        <f t="shared" si="118"/>
        <v>22</v>
      </c>
      <c r="AC23" s="250">
        <f t="shared" si="119"/>
        <v>1</v>
      </c>
      <c r="AD23" s="250">
        <f t="shared" si="120"/>
        <v>1</v>
      </c>
      <c r="AE23" s="224">
        <f>175664000/1000000000</f>
        <v>0.17566399999999999</v>
      </c>
      <c r="AF23" s="188">
        <f t="shared" si="121"/>
        <v>1</v>
      </c>
      <c r="AG23" s="189" t="s">
        <v>343</v>
      </c>
      <c r="AH23" s="188" t="s">
        <v>303</v>
      </c>
      <c r="AI23" s="188">
        <v>0</v>
      </c>
      <c r="AJ23" s="188">
        <f t="shared" si="181"/>
        <v>0</v>
      </c>
      <c r="AK23" s="188"/>
      <c r="AL23" s="188">
        <v>0</v>
      </c>
      <c r="AM23" s="188">
        <v>0</v>
      </c>
      <c r="AN23" s="217"/>
      <c r="AO23" s="195"/>
      <c r="AP23" s="195"/>
      <c r="AQ23" s="195"/>
      <c r="AR23" s="195"/>
      <c r="AS23" s="195"/>
      <c r="AT23" s="195"/>
      <c r="BB23" s="17">
        <f t="shared" si="123"/>
        <v>0</v>
      </c>
      <c r="BE23" s="17">
        <f t="shared" si="19"/>
        <v>22</v>
      </c>
      <c r="BF23" s="17">
        <f t="shared" si="20"/>
        <v>0</v>
      </c>
      <c r="BG23" s="17">
        <f t="shared" si="21"/>
        <v>0</v>
      </c>
      <c r="BH23" s="17">
        <f t="shared" si="22"/>
        <v>22</v>
      </c>
      <c r="BI23" s="17">
        <f t="shared" si="23"/>
        <v>0</v>
      </c>
      <c r="BJ23" s="17">
        <f t="shared" si="24"/>
        <v>0</v>
      </c>
      <c r="BK23" s="17">
        <f t="shared" si="124"/>
        <v>22</v>
      </c>
      <c r="BM23" s="128"/>
      <c r="BN23" s="147"/>
      <c r="BO23" s="284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B23" s="20"/>
      <c r="CD23" s="17">
        <f t="shared" si="125"/>
        <v>0</v>
      </c>
      <c r="CE23" s="17">
        <f t="shared" si="126"/>
        <v>0</v>
      </c>
      <c r="CF23" s="20">
        <f t="shared" si="182"/>
        <v>0</v>
      </c>
      <c r="CG23" s="20">
        <f t="shared" si="183"/>
        <v>0</v>
      </c>
      <c r="CH23" s="20">
        <f t="shared" si="184"/>
        <v>0</v>
      </c>
      <c r="CI23" s="20">
        <f t="shared" si="185"/>
        <v>0</v>
      </c>
      <c r="CJ23" s="20">
        <f t="shared" si="186"/>
        <v>0</v>
      </c>
      <c r="CK23" s="20">
        <f t="shared" si="187"/>
        <v>0</v>
      </c>
      <c r="CL23" s="20">
        <f t="shared" si="188"/>
        <v>0</v>
      </c>
      <c r="CM23" s="20">
        <f t="shared" si="189"/>
        <v>0</v>
      </c>
      <c r="CN23" s="20">
        <f t="shared" si="190"/>
        <v>0</v>
      </c>
      <c r="CO23" s="20">
        <f t="shared" si="191"/>
        <v>0</v>
      </c>
      <c r="CP23" s="20">
        <f t="shared" si="192"/>
        <v>0</v>
      </c>
      <c r="DV23" s="20">
        <f t="shared" si="27"/>
        <v>0</v>
      </c>
      <c r="DW23" s="20">
        <f t="shared" si="28"/>
        <v>0</v>
      </c>
      <c r="DX23" s="20">
        <f t="shared" si="29"/>
        <v>0</v>
      </c>
      <c r="DY23" s="20">
        <f t="shared" si="30"/>
        <v>0</v>
      </c>
      <c r="DZ23" s="20">
        <f t="shared" si="31"/>
        <v>0</v>
      </c>
      <c r="EA23" s="20">
        <f t="shared" si="32"/>
        <v>0</v>
      </c>
      <c r="EB23" s="20">
        <f t="shared" si="127"/>
        <v>0</v>
      </c>
      <c r="EG23" s="57" t="str">
        <f t="shared" si="128"/>
        <v>C</v>
      </c>
      <c r="EH23" s="57">
        <f t="shared" si="129"/>
        <v>0</v>
      </c>
      <c r="EI23" s="17">
        <v>1</v>
      </c>
      <c r="EJ23" s="17">
        <v>1</v>
      </c>
      <c r="EK23" s="17"/>
      <c r="EL23" s="17"/>
      <c r="EM23" s="17"/>
      <c r="EN23" s="17"/>
      <c r="EO23" s="17"/>
      <c r="EP23" s="17"/>
      <c r="EQ23" s="17">
        <v>1</v>
      </c>
      <c r="ER23" s="17">
        <v>1</v>
      </c>
      <c r="ES23" s="17">
        <v>1</v>
      </c>
      <c r="ET23" s="17"/>
      <c r="EU23" s="17"/>
      <c r="EV23" s="17">
        <v>1</v>
      </c>
      <c r="EW23" s="17"/>
      <c r="EX23" s="17"/>
      <c r="EY23" s="17"/>
      <c r="EZ23" s="17">
        <v>1</v>
      </c>
      <c r="FA23" s="17">
        <v>1</v>
      </c>
      <c r="FB23" s="17"/>
      <c r="FC23" s="189">
        <v>1</v>
      </c>
      <c r="FD23" s="17"/>
      <c r="FE23" s="17"/>
      <c r="FF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X23" s="169"/>
      <c r="FY23" s="17">
        <f t="shared" si="130"/>
        <v>0</v>
      </c>
      <c r="FZ23" s="17">
        <f t="shared" si="34"/>
        <v>0</v>
      </c>
      <c r="GA23" s="17">
        <f t="shared" si="35"/>
        <v>0</v>
      </c>
      <c r="GB23" s="17">
        <f t="shared" si="36"/>
        <v>0</v>
      </c>
      <c r="GC23" s="17">
        <f t="shared" si="37"/>
        <v>0</v>
      </c>
      <c r="GD23" s="17">
        <f t="shared" si="38"/>
        <v>0</v>
      </c>
      <c r="GE23" s="17">
        <f t="shared" si="39"/>
        <v>0</v>
      </c>
      <c r="GF23" s="67"/>
      <c r="GG23" s="17">
        <v>0</v>
      </c>
      <c r="GH23" s="17">
        <v>0</v>
      </c>
      <c r="GI23" s="67"/>
      <c r="GJ23" s="62">
        <f t="shared" si="131"/>
        <v>0</v>
      </c>
      <c r="GK23" s="62">
        <f t="shared" si="132"/>
        <v>0</v>
      </c>
      <c r="GO23" s="17">
        <f t="shared" si="40"/>
        <v>0</v>
      </c>
      <c r="GP23" s="17">
        <f t="shared" si="41"/>
        <v>0</v>
      </c>
      <c r="GQ23" s="17">
        <f t="shared" si="42"/>
        <v>0</v>
      </c>
      <c r="GR23" s="17">
        <f t="shared" si="43"/>
        <v>0</v>
      </c>
      <c r="GS23" s="17">
        <f t="shared" si="44"/>
        <v>1</v>
      </c>
      <c r="GT23" s="17">
        <f t="shared" si="133"/>
        <v>0</v>
      </c>
      <c r="GU23" s="101">
        <f t="shared" si="134"/>
        <v>43243</v>
      </c>
      <c r="GV23" s="17" t="str">
        <f t="shared" si="135"/>
        <v>UGR</v>
      </c>
      <c r="GW23" s="17">
        <f t="shared" si="136"/>
        <v>1</v>
      </c>
      <c r="GX23" s="66" t="str">
        <f t="shared" si="137"/>
        <v>UGR</v>
      </c>
      <c r="GY23" s="66">
        <f t="shared" si="138"/>
        <v>14</v>
      </c>
      <c r="GZ23" s="102">
        <f t="shared" si="139"/>
        <v>43257</v>
      </c>
      <c r="HA23" s="83"/>
      <c r="HB23" s="83"/>
      <c r="HC23" s="17">
        <f t="shared" si="45"/>
        <v>1</v>
      </c>
      <c r="HD23" s="17">
        <f t="shared" si="46"/>
        <v>0</v>
      </c>
      <c r="HE23" s="17">
        <f t="shared" si="140"/>
        <v>1</v>
      </c>
      <c r="HF23" s="17">
        <f t="shared" si="141"/>
        <v>0</v>
      </c>
      <c r="HG23" s="17">
        <f t="shared" si="142"/>
        <v>1</v>
      </c>
      <c r="HH23" s="101">
        <f t="shared" si="47"/>
        <v>43288</v>
      </c>
      <c r="HI23" s="101">
        <f t="shared" si="143"/>
        <v>43302</v>
      </c>
      <c r="HJ23" s="27"/>
      <c r="HK23" s="101">
        <f t="shared" si="48"/>
        <v>43302</v>
      </c>
      <c r="HL23" s="83"/>
      <c r="HM23" s="83"/>
      <c r="HN23" s="83"/>
      <c r="HO23" s="83"/>
      <c r="HP23" s="102">
        <f t="shared" si="144"/>
        <v>0</v>
      </c>
      <c r="HQ23" s="66">
        <f t="shared" si="145"/>
        <v>0</v>
      </c>
      <c r="HR23" s="66">
        <f t="shared" si="49"/>
        <v>0</v>
      </c>
      <c r="HS23" s="102">
        <f t="shared" si="146"/>
        <v>43288</v>
      </c>
      <c r="HT23" s="66">
        <f t="shared" si="147"/>
        <v>1</v>
      </c>
      <c r="HU23" s="66">
        <f t="shared" si="50"/>
        <v>22</v>
      </c>
      <c r="HV23" s="102">
        <f t="shared" si="148"/>
        <v>0</v>
      </c>
      <c r="HW23" s="66">
        <f t="shared" si="51"/>
        <v>0</v>
      </c>
      <c r="HX23" s="66">
        <f t="shared" si="52"/>
        <v>0</v>
      </c>
      <c r="HY23" s="102">
        <f t="shared" si="53"/>
        <v>0</v>
      </c>
      <c r="HZ23" s="66">
        <f t="shared" si="149"/>
        <v>0</v>
      </c>
      <c r="IA23" s="66">
        <f t="shared" si="54"/>
        <v>0</v>
      </c>
      <c r="IB23" s="102">
        <f t="shared" si="150"/>
        <v>0</v>
      </c>
      <c r="IC23" s="66">
        <f t="shared" si="55"/>
        <v>0</v>
      </c>
      <c r="ID23" s="66">
        <f t="shared" si="56"/>
        <v>0</v>
      </c>
      <c r="IE23" s="102">
        <f t="shared" si="57"/>
        <v>0</v>
      </c>
      <c r="IF23" s="66">
        <f t="shared" si="58"/>
        <v>0</v>
      </c>
      <c r="IG23" s="66">
        <f t="shared" si="59"/>
        <v>0</v>
      </c>
      <c r="IH23" s="102">
        <f t="shared" si="151"/>
        <v>0</v>
      </c>
      <c r="II23" s="66">
        <f t="shared" si="152"/>
        <v>0</v>
      </c>
      <c r="IJ23" s="66">
        <f t="shared" si="60"/>
        <v>0</v>
      </c>
      <c r="IK23" s="102">
        <f t="shared" si="61"/>
        <v>0</v>
      </c>
      <c r="IL23" s="66">
        <f t="shared" si="62"/>
        <v>0</v>
      </c>
      <c r="IM23" s="66">
        <f t="shared" si="63"/>
        <v>0</v>
      </c>
      <c r="IN23" s="83"/>
      <c r="IO23" s="102">
        <f t="shared" si="64"/>
        <v>0</v>
      </c>
      <c r="IP23" s="66">
        <f t="shared" si="65"/>
        <v>0</v>
      </c>
      <c r="IQ23" s="66">
        <f t="shared" si="66"/>
        <v>0</v>
      </c>
      <c r="IR23" s="83"/>
      <c r="IS23" s="102"/>
      <c r="IT23" s="66">
        <f t="shared" si="67"/>
        <v>0</v>
      </c>
      <c r="IU23" s="66">
        <f t="shared" si="68"/>
        <v>0</v>
      </c>
      <c r="IV23" s="83"/>
      <c r="IW23" s="102"/>
      <c r="IX23" s="66">
        <f t="shared" si="69"/>
        <v>1</v>
      </c>
      <c r="IY23" s="66">
        <f t="shared" si="70"/>
        <v>22</v>
      </c>
      <c r="IZ23" s="83"/>
      <c r="JA23" s="102"/>
      <c r="JB23" s="66">
        <f t="shared" si="71"/>
        <v>0</v>
      </c>
      <c r="JC23" s="66">
        <f t="shared" si="72"/>
        <v>0</v>
      </c>
      <c r="JD23" s="83"/>
      <c r="JE23" s="102"/>
      <c r="JF23" s="66">
        <f t="shared" si="153"/>
        <v>2</v>
      </c>
      <c r="JG23" s="66">
        <f t="shared" si="73"/>
        <v>44</v>
      </c>
      <c r="JH23" s="83"/>
      <c r="JI23" s="102"/>
      <c r="JJ23" s="66">
        <f t="shared" si="74"/>
        <v>1</v>
      </c>
      <c r="JK23" s="66">
        <f t="shared" si="75"/>
        <v>22</v>
      </c>
      <c r="JM23" s="102">
        <f t="shared" si="154"/>
        <v>43288</v>
      </c>
      <c r="JO23" s="29">
        <f t="shared" si="76"/>
        <v>0</v>
      </c>
      <c r="JP23" s="122">
        <f t="shared" si="77"/>
        <v>0</v>
      </c>
      <c r="JQ23" s="122">
        <f t="shared" si="78"/>
        <v>0</v>
      </c>
      <c r="JR23" s="122">
        <f t="shared" si="79"/>
        <v>0</v>
      </c>
      <c r="JS23" s="122">
        <f t="shared" si="80"/>
        <v>0</v>
      </c>
      <c r="JT23" s="122">
        <f t="shared" si="81"/>
        <v>0</v>
      </c>
      <c r="JU23" s="122">
        <f t="shared" si="82"/>
        <v>0</v>
      </c>
      <c r="JV23" s="122">
        <f t="shared" si="83"/>
        <v>0</v>
      </c>
      <c r="JW23" s="122">
        <f t="shared" si="84"/>
        <v>0</v>
      </c>
      <c r="JX23" s="122">
        <f t="shared" si="85"/>
        <v>0</v>
      </c>
      <c r="JY23" s="122">
        <f t="shared" si="86"/>
        <v>0</v>
      </c>
      <c r="JZ23" s="122">
        <f t="shared" si="87"/>
        <v>0</v>
      </c>
      <c r="KA23" s="122">
        <f t="shared" si="88"/>
        <v>0</v>
      </c>
      <c r="KB23" s="122">
        <f t="shared" si="89"/>
        <v>0</v>
      </c>
      <c r="KD23" s="122">
        <f t="shared" si="155"/>
        <v>0</v>
      </c>
      <c r="KE23" s="122">
        <f t="shared" si="91"/>
        <v>0</v>
      </c>
      <c r="KF23" s="122">
        <f t="shared" si="92"/>
        <v>0</v>
      </c>
      <c r="KG23" s="122">
        <f t="shared" si="93"/>
        <v>0</v>
      </c>
      <c r="KH23" s="122">
        <f t="shared" si="94"/>
        <v>0</v>
      </c>
      <c r="KI23" s="122">
        <f t="shared" si="95"/>
        <v>0</v>
      </c>
      <c r="KJ23" s="122">
        <f t="shared" si="96"/>
        <v>0</v>
      </c>
      <c r="KK23" s="122">
        <f t="shared" si="97"/>
        <v>0</v>
      </c>
      <c r="KL23" s="122">
        <f t="shared" si="98"/>
        <v>0</v>
      </c>
      <c r="KM23" s="122">
        <f t="shared" si="99"/>
        <v>0</v>
      </c>
      <c r="KN23" s="123">
        <f t="shared" si="100"/>
        <v>0</v>
      </c>
      <c r="KO23" s="123">
        <f t="shared" si="101"/>
        <v>0</v>
      </c>
      <c r="KP23" s="123">
        <f t="shared" si="102"/>
        <v>0</v>
      </c>
      <c r="KQ23" s="123">
        <f t="shared" si="103"/>
        <v>0</v>
      </c>
      <c r="KR23" s="123">
        <f t="shared" si="104"/>
        <v>0</v>
      </c>
      <c r="KT23">
        <f t="shared" si="105"/>
        <v>0</v>
      </c>
      <c r="KU23" s="123"/>
      <c r="KV23" s="123"/>
      <c r="KW23" s="123"/>
      <c r="KX23" s="123"/>
      <c r="KY23" s="123"/>
      <c r="KZ23" s="123"/>
      <c r="LA23" s="123"/>
      <c r="LB23" s="123"/>
      <c r="LC23" s="123"/>
      <c r="LD23" s="123"/>
      <c r="LE23" s="123"/>
      <c r="LF23" s="123"/>
      <c r="LG23" s="123"/>
      <c r="LH23" s="123"/>
      <c r="LI23" s="123"/>
      <c r="LJ23" s="123"/>
      <c r="LK23" s="123"/>
      <c r="LL23" s="123"/>
      <c r="LM23" s="123"/>
      <c r="LN23" s="123"/>
      <c r="LO23" s="123"/>
      <c r="LP23" s="123"/>
      <c r="LQ23" s="123"/>
      <c r="LR23" s="123"/>
      <c r="LS23" s="123"/>
      <c r="LT23" s="123"/>
      <c r="LU23" s="123"/>
      <c r="LV23" s="123"/>
      <c r="LW23" s="123"/>
      <c r="LX23" s="123"/>
      <c r="LY23" s="123"/>
      <c r="LZ23" s="123"/>
      <c r="MA23" s="123"/>
      <c r="MB23" s="123"/>
      <c r="MC23" s="123"/>
      <c r="MD23" s="123"/>
      <c r="ME23" s="123"/>
      <c r="MF23" s="123"/>
      <c r="MG23" s="123"/>
      <c r="MH23" s="123"/>
      <c r="MI23" s="123"/>
      <c r="MJ23" s="123"/>
      <c r="MK23" s="123"/>
      <c r="ML23" s="123"/>
      <c r="MM23" s="123"/>
      <c r="MN23" s="123"/>
      <c r="MO23" s="123"/>
      <c r="MP23" s="123"/>
      <c r="MQ23" s="123"/>
      <c r="MR23" s="123"/>
      <c r="MS23" s="123"/>
      <c r="MT23" s="123"/>
      <c r="MU23" s="123"/>
      <c r="MV23" s="123"/>
      <c r="MW23" s="123"/>
      <c r="MX23" s="123"/>
      <c r="MY23" s="123"/>
      <c r="MZ23" s="123"/>
      <c r="NA23" s="123"/>
      <c r="NB23" s="123"/>
      <c r="NC23" s="123"/>
      <c r="ND23" s="123"/>
      <c r="NE23" s="123"/>
      <c r="NF23" s="123"/>
      <c r="NG23" s="123"/>
      <c r="NH23" s="123"/>
      <c r="NI23" s="123"/>
      <c r="NJ23" s="123"/>
      <c r="NK23" s="123"/>
      <c r="NM23">
        <f t="shared" si="156"/>
        <v>0</v>
      </c>
      <c r="NN23">
        <f t="shared" si="157"/>
        <v>0</v>
      </c>
      <c r="NO23">
        <f t="shared" si="158"/>
        <v>0</v>
      </c>
      <c r="NP23">
        <f t="shared" si="159"/>
        <v>0</v>
      </c>
      <c r="NQ23">
        <f t="shared" si="160"/>
        <v>0</v>
      </c>
      <c r="NR23">
        <f t="shared" si="161"/>
        <v>0</v>
      </c>
      <c r="NS23">
        <f t="shared" si="162"/>
        <v>0</v>
      </c>
      <c r="NT23">
        <f t="shared" si="163"/>
        <v>0</v>
      </c>
      <c r="NU23" s="29">
        <f t="shared" si="164"/>
        <v>0</v>
      </c>
      <c r="NY23" s="29">
        <f t="shared" si="107"/>
        <v>0</v>
      </c>
      <c r="NZ23" s="152">
        <v>7500000</v>
      </c>
      <c r="OE23" s="155">
        <f t="shared" si="108"/>
        <v>0</v>
      </c>
      <c r="OF23" s="155">
        <f t="shared" si="109"/>
        <v>0</v>
      </c>
      <c r="OG23" s="155">
        <f t="shared" si="110"/>
        <v>0</v>
      </c>
      <c r="OH23" s="155">
        <f t="shared" si="165"/>
        <v>1</v>
      </c>
      <c r="OI23" s="155">
        <f t="shared" si="111"/>
        <v>0</v>
      </c>
      <c r="OJ23" s="67">
        <f t="shared" si="166"/>
        <v>0</v>
      </c>
      <c r="OK23" s="67">
        <f t="shared" si="167"/>
        <v>0</v>
      </c>
      <c r="OL23" s="67">
        <f t="shared" si="168"/>
        <v>0</v>
      </c>
      <c r="OM23" s="67">
        <f t="shared" si="169"/>
        <v>0</v>
      </c>
      <c r="OO23" s="155">
        <f t="shared" si="112"/>
        <v>0</v>
      </c>
      <c r="OP23" s="155">
        <f t="shared" si="113"/>
        <v>0</v>
      </c>
      <c r="OQ23" s="155">
        <f t="shared" si="170"/>
        <v>0</v>
      </c>
      <c r="OR23" s="155">
        <f t="shared" si="171"/>
        <v>1</v>
      </c>
      <c r="OS23" s="155">
        <f t="shared" si="172"/>
        <v>0</v>
      </c>
      <c r="OT23" s="67">
        <f t="shared" si="173"/>
        <v>0</v>
      </c>
      <c r="OU23" s="67">
        <f t="shared" si="174"/>
        <v>0</v>
      </c>
      <c r="OV23" s="67">
        <f t="shared" si="175"/>
        <v>0</v>
      </c>
      <c r="OW23" s="67">
        <f t="shared" si="176"/>
        <v>0</v>
      </c>
      <c r="OZ23" s="163">
        <f t="shared" si="114"/>
        <v>0</v>
      </c>
      <c r="PA23" s="166"/>
      <c r="PB23" s="166"/>
      <c r="PC23" s="166"/>
      <c r="PD23" s="210">
        <f t="shared" si="115"/>
        <v>0</v>
      </c>
      <c r="PE23" s="210"/>
      <c r="PF23" s="210">
        <f t="shared" si="116"/>
        <v>0</v>
      </c>
      <c r="PG23" s="210">
        <f t="shared" si="117"/>
        <v>0</v>
      </c>
      <c r="PH23" s="210">
        <f t="shared" si="117"/>
        <v>0</v>
      </c>
      <c r="PI23" s="210">
        <f t="shared" si="117"/>
        <v>0</v>
      </c>
      <c r="PJ23" s="210">
        <f t="shared" si="117"/>
        <v>0</v>
      </c>
      <c r="PK23" s="210">
        <f t="shared" si="117"/>
        <v>0</v>
      </c>
      <c r="PL23" s="210">
        <f t="shared" si="117"/>
        <v>0</v>
      </c>
      <c r="PO23" s="172">
        <f t="shared" si="177"/>
        <v>22</v>
      </c>
      <c r="PP23" s="172">
        <f t="shared" si="178"/>
        <v>0</v>
      </c>
      <c r="PQ23" s="172">
        <f t="shared" si="179"/>
        <v>0</v>
      </c>
    </row>
    <row r="24" spans="1:433" ht="16" x14ac:dyDescent="0.2">
      <c r="A24" s="19">
        <f t="shared" si="180"/>
        <v>16</v>
      </c>
      <c r="B24" s="186" t="s">
        <v>177</v>
      </c>
      <c r="C24" s="186">
        <v>16</v>
      </c>
      <c r="D24" s="188">
        <v>1</v>
      </c>
      <c r="E24" s="188">
        <v>63</v>
      </c>
      <c r="F24" s="188">
        <v>1</v>
      </c>
      <c r="G24" s="188">
        <f t="shared" si="2"/>
        <v>63</v>
      </c>
      <c r="H24" s="214">
        <f t="shared" si="3"/>
        <v>1</v>
      </c>
      <c r="I24" s="214">
        <f t="shared" si="4"/>
        <v>1</v>
      </c>
      <c r="J24" s="188">
        <v>1</v>
      </c>
      <c r="K24" s="188">
        <f t="shared" si="5"/>
        <v>63</v>
      </c>
      <c r="L24" s="214">
        <f t="shared" si="6"/>
        <v>1</v>
      </c>
      <c r="M24" s="214">
        <f t="shared" si="7"/>
        <v>1</v>
      </c>
      <c r="N24" s="188">
        <v>1</v>
      </c>
      <c r="O24" s="188">
        <f t="shared" si="8"/>
        <v>63</v>
      </c>
      <c r="P24" s="214">
        <f t="shared" si="9"/>
        <v>1</v>
      </c>
      <c r="Q24" s="214">
        <f t="shared" si="10"/>
        <v>1</v>
      </c>
      <c r="R24" s="188">
        <v>1</v>
      </c>
      <c r="S24" s="188">
        <f t="shared" si="11"/>
        <v>63</v>
      </c>
      <c r="T24" s="214">
        <f t="shared" si="12"/>
        <v>1</v>
      </c>
      <c r="U24" s="214">
        <f t="shared" si="13"/>
        <v>1</v>
      </c>
      <c r="V24" s="188">
        <v>0</v>
      </c>
      <c r="W24" s="188">
        <f t="shared" si="14"/>
        <v>0</v>
      </c>
      <c r="X24" s="214">
        <f t="shared" si="15"/>
        <v>0</v>
      </c>
      <c r="Y24" s="214">
        <f t="shared" si="16"/>
        <v>0</v>
      </c>
      <c r="Z24" s="215">
        <v>0</v>
      </c>
      <c r="AA24" s="188">
        <v>1</v>
      </c>
      <c r="AB24" s="189">
        <f t="shared" si="118"/>
        <v>63</v>
      </c>
      <c r="AC24" s="250">
        <f t="shared" si="119"/>
        <v>1</v>
      </c>
      <c r="AD24" s="250">
        <f t="shared" si="120"/>
        <v>1</v>
      </c>
      <c r="AE24" s="224">
        <f>845465000/1000000000</f>
        <v>0.84546500000000002</v>
      </c>
      <c r="AF24" s="188">
        <f t="shared" si="121"/>
        <v>1</v>
      </c>
      <c r="AG24" s="189" t="s">
        <v>343</v>
      </c>
      <c r="AH24" s="188" t="s">
        <v>303</v>
      </c>
      <c r="AI24" s="188">
        <v>0</v>
      </c>
      <c r="AJ24" s="188">
        <f t="shared" si="181"/>
        <v>0</v>
      </c>
      <c r="AK24" s="188"/>
      <c r="AL24" s="188">
        <v>0</v>
      </c>
      <c r="AM24" s="188">
        <v>0</v>
      </c>
      <c r="AN24" s="217"/>
      <c r="AO24" s="195"/>
      <c r="AP24" s="195"/>
      <c r="AQ24" s="195"/>
      <c r="AR24" s="195"/>
      <c r="AS24" s="195"/>
      <c r="AT24" s="195"/>
      <c r="BB24" s="17">
        <f t="shared" si="123"/>
        <v>0</v>
      </c>
      <c r="BE24" s="17">
        <f t="shared" si="19"/>
        <v>63</v>
      </c>
      <c r="BF24" s="17">
        <f t="shared" si="20"/>
        <v>0</v>
      </c>
      <c r="BG24" s="17">
        <f t="shared" si="21"/>
        <v>0</v>
      </c>
      <c r="BH24" s="17">
        <f t="shared" si="22"/>
        <v>63</v>
      </c>
      <c r="BI24" s="17">
        <f t="shared" si="23"/>
        <v>0</v>
      </c>
      <c r="BJ24" s="17">
        <f t="shared" si="24"/>
        <v>0</v>
      </c>
      <c r="BK24" s="17">
        <f t="shared" si="124"/>
        <v>63</v>
      </c>
      <c r="BM24" s="128"/>
      <c r="BN24" s="147"/>
      <c r="BO24" s="284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B24" s="20"/>
      <c r="CD24" s="17">
        <f t="shared" si="125"/>
        <v>0</v>
      </c>
      <c r="CE24" s="17">
        <f t="shared" si="126"/>
        <v>0</v>
      </c>
      <c r="CF24" s="20">
        <f t="shared" si="182"/>
        <v>0</v>
      </c>
      <c r="CG24" s="20">
        <f t="shared" si="183"/>
        <v>0</v>
      </c>
      <c r="CH24" s="20">
        <f t="shared" si="184"/>
        <v>0</v>
      </c>
      <c r="CI24" s="20">
        <f t="shared" si="185"/>
        <v>0</v>
      </c>
      <c r="CJ24" s="20">
        <f t="shared" si="186"/>
        <v>0</v>
      </c>
      <c r="CK24" s="20">
        <f t="shared" si="187"/>
        <v>0</v>
      </c>
      <c r="CL24" s="20">
        <f t="shared" si="188"/>
        <v>0</v>
      </c>
      <c r="CM24" s="20">
        <f t="shared" si="189"/>
        <v>0</v>
      </c>
      <c r="CN24" s="20">
        <f t="shared" si="190"/>
        <v>0</v>
      </c>
      <c r="CO24" s="20">
        <f t="shared" si="191"/>
        <v>0</v>
      </c>
      <c r="CP24" s="20">
        <f t="shared" si="192"/>
        <v>0</v>
      </c>
      <c r="DV24" s="20">
        <f t="shared" si="27"/>
        <v>0</v>
      </c>
      <c r="DW24" s="20">
        <f t="shared" si="28"/>
        <v>0</v>
      </c>
      <c r="DX24" s="20">
        <f t="shared" si="29"/>
        <v>0</v>
      </c>
      <c r="DY24" s="20">
        <f t="shared" si="30"/>
        <v>0</v>
      </c>
      <c r="DZ24" s="20">
        <f t="shared" si="31"/>
        <v>0</v>
      </c>
      <c r="EA24" s="20">
        <f t="shared" si="32"/>
        <v>0</v>
      </c>
      <c r="EB24" s="20">
        <f t="shared" si="127"/>
        <v>0</v>
      </c>
      <c r="EG24" s="57" t="str">
        <f t="shared" si="128"/>
        <v>C</v>
      </c>
      <c r="EH24" s="57">
        <f t="shared" si="129"/>
        <v>0</v>
      </c>
      <c r="EI24" s="17">
        <v>1</v>
      </c>
      <c r="EJ24" s="17">
        <v>1</v>
      </c>
      <c r="EK24" s="17"/>
      <c r="EL24" s="17"/>
      <c r="EM24" s="17"/>
      <c r="EN24" s="17"/>
      <c r="EO24" s="17"/>
      <c r="EP24" s="17"/>
      <c r="EQ24" s="17">
        <v>1</v>
      </c>
      <c r="ER24" s="17">
        <v>1</v>
      </c>
      <c r="ES24" s="17">
        <v>1</v>
      </c>
      <c r="ET24" s="17"/>
      <c r="EU24" s="17"/>
      <c r="EV24" s="17">
        <v>1</v>
      </c>
      <c r="EW24" s="17"/>
      <c r="EX24" s="17"/>
      <c r="EY24" s="17"/>
      <c r="EZ24" s="17">
        <v>1</v>
      </c>
      <c r="FA24" s="17">
        <v>1</v>
      </c>
      <c r="FB24" s="17"/>
      <c r="FC24" s="189">
        <v>1</v>
      </c>
      <c r="FD24" s="17"/>
      <c r="FE24" s="17"/>
      <c r="FF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X24" s="169"/>
      <c r="FY24" s="17">
        <f t="shared" si="130"/>
        <v>0</v>
      </c>
      <c r="FZ24" s="17">
        <f t="shared" si="34"/>
        <v>0</v>
      </c>
      <c r="GA24" s="17">
        <f t="shared" si="35"/>
        <v>0</v>
      </c>
      <c r="GB24" s="17">
        <f t="shared" si="36"/>
        <v>0</v>
      </c>
      <c r="GC24" s="17">
        <f t="shared" si="37"/>
        <v>0</v>
      </c>
      <c r="GD24" s="17">
        <f t="shared" si="38"/>
        <v>0</v>
      </c>
      <c r="GE24" s="17">
        <f t="shared" si="39"/>
        <v>0</v>
      </c>
      <c r="GF24" s="67"/>
      <c r="GG24" s="17">
        <v>0</v>
      </c>
      <c r="GH24" s="17">
        <v>0</v>
      </c>
      <c r="GI24" s="67"/>
      <c r="GJ24" s="62">
        <f t="shared" si="131"/>
        <v>0</v>
      </c>
      <c r="GK24" s="62">
        <f t="shared" si="132"/>
        <v>0</v>
      </c>
      <c r="GO24" s="17">
        <f t="shared" si="40"/>
        <v>0</v>
      </c>
      <c r="GP24" s="17">
        <f t="shared" si="41"/>
        <v>0</v>
      </c>
      <c r="GQ24" s="17">
        <f t="shared" si="42"/>
        <v>0</v>
      </c>
      <c r="GR24" s="17">
        <f t="shared" si="43"/>
        <v>0</v>
      </c>
      <c r="GS24" s="17">
        <f t="shared" si="44"/>
        <v>1</v>
      </c>
      <c r="GT24" s="17">
        <f t="shared" si="133"/>
        <v>0</v>
      </c>
      <c r="GU24" s="101">
        <f t="shared" si="134"/>
        <v>43243</v>
      </c>
      <c r="GV24" s="17" t="str">
        <f t="shared" si="135"/>
        <v>UGR</v>
      </c>
      <c r="GW24" s="17">
        <f t="shared" si="136"/>
        <v>1</v>
      </c>
      <c r="GX24" s="66" t="str">
        <f t="shared" si="137"/>
        <v>UGR</v>
      </c>
      <c r="GY24" s="66">
        <f t="shared" si="138"/>
        <v>14</v>
      </c>
      <c r="GZ24" s="102">
        <f t="shared" si="139"/>
        <v>43257</v>
      </c>
      <c r="HA24" s="83"/>
      <c r="HB24" s="83"/>
      <c r="HC24" s="17">
        <f t="shared" si="45"/>
        <v>1</v>
      </c>
      <c r="HD24" s="17">
        <f t="shared" si="46"/>
        <v>0</v>
      </c>
      <c r="HE24" s="17">
        <f t="shared" si="140"/>
        <v>1</v>
      </c>
      <c r="HF24" s="17">
        <f t="shared" si="141"/>
        <v>0</v>
      </c>
      <c r="HG24" s="17">
        <f t="shared" si="142"/>
        <v>1</v>
      </c>
      <c r="HH24" s="101">
        <f t="shared" si="47"/>
        <v>43288</v>
      </c>
      <c r="HI24" s="101">
        <f t="shared" si="143"/>
        <v>43302</v>
      </c>
      <c r="HJ24" s="27"/>
      <c r="HK24" s="101">
        <f t="shared" si="48"/>
        <v>43302</v>
      </c>
      <c r="HL24" s="83"/>
      <c r="HM24" s="83"/>
      <c r="HN24" s="83"/>
      <c r="HO24" s="83"/>
      <c r="HP24" s="102">
        <f t="shared" si="144"/>
        <v>0</v>
      </c>
      <c r="HQ24" s="66">
        <f t="shared" si="145"/>
        <v>0</v>
      </c>
      <c r="HR24" s="66">
        <f t="shared" si="49"/>
        <v>0</v>
      </c>
      <c r="HS24" s="102">
        <f t="shared" si="146"/>
        <v>43288</v>
      </c>
      <c r="HT24" s="66">
        <f t="shared" si="147"/>
        <v>1</v>
      </c>
      <c r="HU24" s="66">
        <f t="shared" si="50"/>
        <v>63</v>
      </c>
      <c r="HV24" s="102">
        <f t="shared" si="148"/>
        <v>0</v>
      </c>
      <c r="HW24" s="66">
        <f t="shared" si="51"/>
        <v>0</v>
      </c>
      <c r="HX24" s="66">
        <f t="shared" si="52"/>
        <v>0</v>
      </c>
      <c r="HY24" s="102">
        <f t="shared" si="53"/>
        <v>0</v>
      </c>
      <c r="HZ24" s="66">
        <f t="shared" si="149"/>
        <v>0</v>
      </c>
      <c r="IA24" s="66">
        <f t="shared" si="54"/>
        <v>0</v>
      </c>
      <c r="IB24" s="102">
        <f t="shared" si="150"/>
        <v>0</v>
      </c>
      <c r="IC24" s="66">
        <f t="shared" si="55"/>
        <v>0</v>
      </c>
      <c r="ID24" s="66">
        <f t="shared" si="56"/>
        <v>0</v>
      </c>
      <c r="IE24" s="102">
        <f t="shared" si="57"/>
        <v>0</v>
      </c>
      <c r="IF24" s="66">
        <f t="shared" si="58"/>
        <v>0</v>
      </c>
      <c r="IG24" s="66">
        <f t="shared" si="59"/>
        <v>0</v>
      </c>
      <c r="IH24" s="102">
        <f t="shared" si="151"/>
        <v>0</v>
      </c>
      <c r="II24" s="66">
        <f t="shared" si="152"/>
        <v>0</v>
      </c>
      <c r="IJ24" s="66">
        <f t="shared" si="60"/>
        <v>0</v>
      </c>
      <c r="IK24" s="102">
        <f t="shared" si="61"/>
        <v>0</v>
      </c>
      <c r="IL24" s="66">
        <f t="shared" si="62"/>
        <v>0</v>
      </c>
      <c r="IM24" s="66">
        <f t="shared" si="63"/>
        <v>0</v>
      </c>
      <c r="IN24" s="83"/>
      <c r="IO24" s="102">
        <f t="shared" si="64"/>
        <v>0</v>
      </c>
      <c r="IP24" s="66">
        <f t="shared" si="65"/>
        <v>0</v>
      </c>
      <c r="IQ24" s="66">
        <f t="shared" si="66"/>
        <v>0</v>
      </c>
      <c r="IR24" s="83"/>
      <c r="IS24" s="102"/>
      <c r="IT24" s="66">
        <f t="shared" si="67"/>
        <v>0</v>
      </c>
      <c r="IU24" s="66">
        <f t="shared" si="68"/>
        <v>0</v>
      </c>
      <c r="IV24" s="83"/>
      <c r="IW24" s="102"/>
      <c r="IX24" s="66">
        <f t="shared" si="69"/>
        <v>1</v>
      </c>
      <c r="IY24" s="66">
        <f t="shared" si="70"/>
        <v>63</v>
      </c>
      <c r="IZ24" s="83"/>
      <c r="JA24" s="102"/>
      <c r="JB24" s="66">
        <f t="shared" si="71"/>
        <v>0</v>
      </c>
      <c r="JC24" s="66">
        <f t="shared" si="72"/>
        <v>0</v>
      </c>
      <c r="JD24" s="83"/>
      <c r="JE24" s="102"/>
      <c r="JF24" s="66">
        <f t="shared" si="153"/>
        <v>2</v>
      </c>
      <c r="JG24" s="66">
        <f t="shared" si="73"/>
        <v>126</v>
      </c>
      <c r="JH24" s="83"/>
      <c r="JI24" s="102"/>
      <c r="JJ24" s="66">
        <f t="shared" si="74"/>
        <v>1</v>
      </c>
      <c r="JK24" s="66">
        <f t="shared" si="75"/>
        <v>63</v>
      </c>
      <c r="JM24" s="102">
        <f t="shared" si="154"/>
        <v>43288</v>
      </c>
      <c r="JO24" s="29">
        <f t="shared" si="76"/>
        <v>0</v>
      </c>
      <c r="JP24" s="122">
        <f t="shared" si="77"/>
        <v>0</v>
      </c>
      <c r="JQ24" s="122">
        <f t="shared" si="78"/>
        <v>0</v>
      </c>
      <c r="JR24" s="122">
        <f t="shared" si="79"/>
        <v>0</v>
      </c>
      <c r="JS24" s="122">
        <f t="shared" si="80"/>
        <v>0</v>
      </c>
      <c r="JT24" s="122">
        <f t="shared" si="81"/>
        <v>0</v>
      </c>
      <c r="JU24" s="122">
        <f t="shared" si="82"/>
        <v>0</v>
      </c>
      <c r="JV24" s="122">
        <f t="shared" si="83"/>
        <v>0</v>
      </c>
      <c r="JW24" s="122">
        <f t="shared" si="84"/>
        <v>0</v>
      </c>
      <c r="JX24" s="122">
        <f t="shared" si="85"/>
        <v>0</v>
      </c>
      <c r="JY24" s="122">
        <f t="shared" si="86"/>
        <v>0</v>
      </c>
      <c r="JZ24" s="122">
        <f t="shared" si="87"/>
        <v>0</v>
      </c>
      <c r="KA24" s="122">
        <f t="shared" si="88"/>
        <v>0</v>
      </c>
      <c r="KB24" s="122">
        <f t="shared" si="89"/>
        <v>0</v>
      </c>
      <c r="KD24" s="122">
        <f t="shared" si="155"/>
        <v>0</v>
      </c>
      <c r="KE24" s="122">
        <f t="shared" si="91"/>
        <v>0</v>
      </c>
      <c r="KF24" s="122">
        <f t="shared" si="92"/>
        <v>0</v>
      </c>
      <c r="KG24" s="122">
        <f t="shared" si="93"/>
        <v>0</v>
      </c>
      <c r="KH24" s="122">
        <f t="shared" si="94"/>
        <v>0</v>
      </c>
      <c r="KI24" s="122">
        <f t="shared" si="95"/>
        <v>0</v>
      </c>
      <c r="KJ24" s="122">
        <f t="shared" si="96"/>
        <v>0</v>
      </c>
      <c r="KK24" s="122">
        <f t="shared" si="97"/>
        <v>0</v>
      </c>
      <c r="KL24" s="122">
        <f t="shared" si="98"/>
        <v>0</v>
      </c>
      <c r="KM24" s="122">
        <f t="shared" si="99"/>
        <v>0</v>
      </c>
      <c r="KN24" s="123">
        <f t="shared" si="100"/>
        <v>0</v>
      </c>
      <c r="KO24" s="123">
        <f t="shared" si="101"/>
        <v>0</v>
      </c>
      <c r="KP24" s="123">
        <f t="shared" si="102"/>
        <v>0</v>
      </c>
      <c r="KQ24" s="123">
        <f t="shared" si="103"/>
        <v>0</v>
      </c>
      <c r="KR24" s="123">
        <f t="shared" si="104"/>
        <v>0</v>
      </c>
      <c r="KT24">
        <f t="shared" si="105"/>
        <v>0</v>
      </c>
      <c r="KU24" s="123"/>
      <c r="KV24" s="123"/>
      <c r="KW24" s="123"/>
      <c r="KX24" s="123"/>
      <c r="KY24" s="123"/>
      <c r="KZ24" s="123"/>
      <c r="LA24" s="123"/>
      <c r="LB24" s="123"/>
      <c r="LC24" s="123"/>
      <c r="LD24" s="123"/>
      <c r="LE24" s="123"/>
      <c r="LF24" s="123"/>
      <c r="LG24" s="123"/>
      <c r="LH24" s="123"/>
      <c r="LI24" s="123"/>
      <c r="LJ24" s="123"/>
      <c r="LK24" s="123"/>
      <c r="LL24" s="123"/>
      <c r="LM24" s="123"/>
      <c r="LN24" s="123"/>
      <c r="LO24" s="123"/>
      <c r="LP24" s="123"/>
      <c r="LQ24" s="123"/>
      <c r="LR24" s="123"/>
      <c r="LS24" s="123"/>
      <c r="LT24" s="123"/>
      <c r="LU24" s="123"/>
      <c r="LV24" s="123"/>
      <c r="LW24" s="123"/>
      <c r="LX24" s="123"/>
      <c r="LY24" s="123"/>
      <c r="LZ24" s="123"/>
      <c r="MA24" s="123"/>
      <c r="MB24" s="123"/>
      <c r="MC24" s="123"/>
      <c r="MD24" s="123"/>
      <c r="ME24" s="123"/>
      <c r="MF24" s="123"/>
      <c r="MG24" s="123"/>
      <c r="MH24" s="123"/>
      <c r="MI24" s="123"/>
      <c r="MJ24" s="123"/>
      <c r="MK24" s="123"/>
      <c r="ML24" s="123"/>
      <c r="MM24" s="123"/>
      <c r="MN24" s="123"/>
      <c r="MO24" s="123"/>
      <c r="MP24" s="123"/>
      <c r="MQ24" s="123"/>
      <c r="MR24" s="123"/>
      <c r="MS24" s="123"/>
      <c r="MT24" s="123"/>
      <c r="MU24" s="123"/>
      <c r="MV24" s="123"/>
      <c r="MW24" s="123"/>
      <c r="MX24" s="123"/>
      <c r="MY24" s="123"/>
      <c r="MZ24" s="123"/>
      <c r="NA24" s="123"/>
      <c r="NB24" s="123"/>
      <c r="NC24" s="123"/>
      <c r="ND24" s="123"/>
      <c r="NE24" s="123"/>
      <c r="NF24" s="123"/>
      <c r="NG24" s="123"/>
      <c r="NH24" s="123"/>
      <c r="NI24" s="123"/>
      <c r="NJ24" s="123"/>
      <c r="NK24" s="123"/>
      <c r="NM24">
        <f t="shared" si="156"/>
        <v>0</v>
      </c>
      <c r="NN24">
        <f t="shared" si="157"/>
        <v>0</v>
      </c>
      <c r="NO24">
        <f t="shared" si="158"/>
        <v>0</v>
      </c>
      <c r="NP24">
        <f t="shared" si="159"/>
        <v>0</v>
      </c>
      <c r="NQ24">
        <f t="shared" si="160"/>
        <v>0</v>
      </c>
      <c r="NR24">
        <f t="shared" si="161"/>
        <v>0</v>
      </c>
      <c r="NS24">
        <f t="shared" si="162"/>
        <v>0</v>
      </c>
      <c r="NT24">
        <f t="shared" si="163"/>
        <v>0</v>
      </c>
      <c r="NU24" s="29">
        <f t="shared" si="164"/>
        <v>0</v>
      </c>
      <c r="NY24" s="29">
        <f t="shared" si="107"/>
        <v>0</v>
      </c>
      <c r="NZ24" s="152">
        <v>7500000</v>
      </c>
      <c r="OE24" s="155">
        <f t="shared" si="108"/>
        <v>0</v>
      </c>
      <c r="OF24" s="155">
        <f t="shared" si="109"/>
        <v>0</v>
      </c>
      <c r="OG24" s="155">
        <f t="shared" si="110"/>
        <v>0</v>
      </c>
      <c r="OH24" s="155">
        <f t="shared" si="165"/>
        <v>1</v>
      </c>
      <c r="OI24" s="155">
        <f t="shared" si="111"/>
        <v>0</v>
      </c>
      <c r="OJ24" s="67">
        <f t="shared" si="166"/>
        <v>0</v>
      </c>
      <c r="OK24" s="67">
        <f t="shared" si="167"/>
        <v>0</v>
      </c>
      <c r="OL24" s="67">
        <f t="shared" si="168"/>
        <v>0</v>
      </c>
      <c r="OM24" s="67">
        <f t="shared" si="169"/>
        <v>0</v>
      </c>
      <c r="OO24" s="155">
        <f t="shared" si="112"/>
        <v>0</v>
      </c>
      <c r="OP24" s="155">
        <f t="shared" si="113"/>
        <v>0</v>
      </c>
      <c r="OQ24" s="155">
        <f t="shared" si="170"/>
        <v>0</v>
      </c>
      <c r="OR24" s="155">
        <f t="shared" si="171"/>
        <v>1</v>
      </c>
      <c r="OS24" s="155">
        <f t="shared" si="172"/>
        <v>0</v>
      </c>
      <c r="OT24" s="67">
        <f t="shared" si="173"/>
        <v>0</v>
      </c>
      <c r="OU24" s="67">
        <f t="shared" si="174"/>
        <v>0</v>
      </c>
      <c r="OV24" s="67">
        <f t="shared" si="175"/>
        <v>0</v>
      </c>
      <c r="OW24" s="67">
        <f t="shared" si="176"/>
        <v>0</v>
      </c>
      <c r="OZ24" s="163">
        <f t="shared" si="114"/>
        <v>0</v>
      </c>
      <c r="PA24" s="166"/>
      <c r="PB24" s="166"/>
      <c r="PC24" s="166"/>
      <c r="PD24" s="210">
        <f t="shared" si="115"/>
        <v>0</v>
      </c>
      <c r="PE24" s="210"/>
      <c r="PF24" s="210">
        <f t="shared" si="116"/>
        <v>0</v>
      </c>
      <c r="PG24" s="210">
        <f t="shared" si="117"/>
        <v>0</v>
      </c>
      <c r="PH24" s="210">
        <f t="shared" si="117"/>
        <v>0</v>
      </c>
      <c r="PI24" s="210">
        <f t="shared" si="117"/>
        <v>0</v>
      </c>
      <c r="PJ24" s="210">
        <f t="shared" si="117"/>
        <v>0</v>
      </c>
      <c r="PK24" s="210">
        <f t="shared" si="117"/>
        <v>0</v>
      </c>
      <c r="PL24" s="210">
        <f t="shared" si="117"/>
        <v>0</v>
      </c>
      <c r="PO24" s="172">
        <f t="shared" si="177"/>
        <v>63</v>
      </c>
      <c r="PP24" s="172">
        <f t="shared" si="178"/>
        <v>0</v>
      </c>
      <c r="PQ24" s="172">
        <f t="shared" si="179"/>
        <v>0</v>
      </c>
    </row>
    <row r="25" spans="1:433" ht="16" x14ac:dyDescent="0.2">
      <c r="A25" s="19">
        <f t="shared" si="180"/>
        <v>17</v>
      </c>
      <c r="B25" s="186" t="s">
        <v>178</v>
      </c>
      <c r="C25" s="186">
        <v>17</v>
      </c>
      <c r="D25" s="188">
        <v>1</v>
      </c>
      <c r="E25" s="188">
        <v>136</v>
      </c>
      <c r="F25" s="188">
        <v>1</v>
      </c>
      <c r="G25" s="188">
        <f t="shared" si="2"/>
        <v>136</v>
      </c>
      <c r="H25" s="214">
        <f t="shared" si="3"/>
        <v>1</v>
      </c>
      <c r="I25" s="214">
        <f t="shared" si="4"/>
        <v>1</v>
      </c>
      <c r="J25" s="188">
        <v>1</v>
      </c>
      <c r="K25" s="188">
        <f t="shared" si="5"/>
        <v>136</v>
      </c>
      <c r="L25" s="214">
        <f t="shared" si="6"/>
        <v>1</v>
      </c>
      <c r="M25" s="214">
        <f t="shared" si="7"/>
        <v>1</v>
      </c>
      <c r="N25" s="188">
        <v>1</v>
      </c>
      <c r="O25" s="188">
        <f t="shared" si="8"/>
        <v>136</v>
      </c>
      <c r="P25" s="214">
        <f t="shared" si="9"/>
        <v>1</v>
      </c>
      <c r="Q25" s="214">
        <f t="shared" si="10"/>
        <v>1</v>
      </c>
      <c r="R25" s="188">
        <v>1</v>
      </c>
      <c r="S25" s="188">
        <f t="shared" si="11"/>
        <v>136</v>
      </c>
      <c r="T25" s="214">
        <f t="shared" si="12"/>
        <v>1</v>
      </c>
      <c r="U25" s="214">
        <f t="shared" si="13"/>
        <v>1</v>
      </c>
      <c r="V25" s="188">
        <v>1</v>
      </c>
      <c r="W25" s="188">
        <f t="shared" si="14"/>
        <v>136</v>
      </c>
      <c r="X25" s="214">
        <f t="shared" si="15"/>
        <v>1</v>
      </c>
      <c r="Y25" s="214">
        <f t="shared" si="16"/>
        <v>1</v>
      </c>
      <c r="Z25" s="216">
        <f>1034982000/1000000000</f>
        <v>1.0349820000000001</v>
      </c>
      <c r="AA25" s="188">
        <v>0</v>
      </c>
      <c r="AB25" s="189">
        <f t="shared" si="118"/>
        <v>0</v>
      </c>
      <c r="AC25" s="250">
        <f t="shared" si="119"/>
        <v>0</v>
      </c>
      <c r="AD25" s="250">
        <f t="shared" si="120"/>
        <v>0</v>
      </c>
      <c r="AE25" s="188"/>
      <c r="AF25" s="188">
        <f t="shared" si="121"/>
        <v>0</v>
      </c>
      <c r="AG25" s="188"/>
      <c r="AH25" s="188" t="s">
        <v>313</v>
      </c>
      <c r="AI25" s="188">
        <v>0</v>
      </c>
      <c r="AJ25" s="188">
        <f t="shared" si="181"/>
        <v>0</v>
      </c>
      <c r="AK25" s="188"/>
      <c r="AL25" s="188">
        <v>0</v>
      </c>
      <c r="AM25" s="188">
        <v>0</v>
      </c>
      <c r="AN25" s="217"/>
      <c r="AO25" s="195"/>
      <c r="AP25" s="195"/>
      <c r="AQ25" s="195"/>
      <c r="AR25" s="195"/>
      <c r="AS25" s="195"/>
      <c r="AT25" s="195"/>
      <c r="BB25" s="17">
        <f t="shared" si="123"/>
        <v>0</v>
      </c>
      <c r="BE25" s="17">
        <f t="shared" si="19"/>
        <v>0</v>
      </c>
      <c r="BF25" s="17">
        <f t="shared" si="20"/>
        <v>0</v>
      </c>
      <c r="BG25" s="17">
        <f t="shared" si="21"/>
        <v>0</v>
      </c>
      <c r="BH25" s="17">
        <f t="shared" si="22"/>
        <v>0</v>
      </c>
      <c r="BI25" s="17">
        <f t="shared" si="23"/>
        <v>0</v>
      </c>
      <c r="BJ25" s="17">
        <f t="shared" si="24"/>
        <v>0</v>
      </c>
      <c r="BK25" s="17">
        <f t="shared" si="124"/>
        <v>0</v>
      </c>
      <c r="BM25" s="128"/>
      <c r="BN25" s="147"/>
      <c r="BO25" s="287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B25" s="20"/>
      <c r="CD25" s="17">
        <f t="shared" si="125"/>
        <v>0</v>
      </c>
      <c r="CE25" s="17">
        <f t="shared" si="126"/>
        <v>0</v>
      </c>
      <c r="CF25" s="20">
        <f t="shared" si="182"/>
        <v>0</v>
      </c>
      <c r="CG25" s="20">
        <f t="shared" si="183"/>
        <v>0</v>
      </c>
      <c r="CH25" s="20">
        <f t="shared" si="184"/>
        <v>0</v>
      </c>
      <c r="CI25" s="20">
        <f t="shared" si="185"/>
        <v>0</v>
      </c>
      <c r="CJ25" s="20">
        <f t="shared" si="186"/>
        <v>0</v>
      </c>
      <c r="CK25" s="20">
        <f t="shared" si="187"/>
        <v>0</v>
      </c>
      <c r="CL25" s="20">
        <f t="shared" si="188"/>
        <v>0</v>
      </c>
      <c r="CM25" s="20">
        <f t="shared" si="189"/>
        <v>0</v>
      </c>
      <c r="CN25" s="20">
        <f t="shared" si="190"/>
        <v>0</v>
      </c>
      <c r="CO25" s="20">
        <f t="shared" si="191"/>
        <v>0</v>
      </c>
      <c r="CP25" s="20">
        <f t="shared" si="192"/>
        <v>0</v>
      </c>
      <c r="DV25" s="20">
        <f t="shared" si="27"/>
        <v>0</v>
      </c>
      <c r="DW25" s="20">
        <f t="shared" si="28"/>
        <v>0</v>
      </c>
      <c r="DX25" s="20">
        <f t="shared" si="29"/>
        <v>0</v>
      </c>
      <c r="DY25" s="20">
        <f t="shared" si="30"/>
        <v>0</v>
      </c>
      <c r="DZ25" s="20">
        <f t="shared" si="31"/>
        <v>0</v>
      </c>
      <c r="EA25" s="20">
        <f t="shared" si="32"/>
        <v>0</v>
      </c>
      <c r="EB25" s="20">
        <f t="shared" si="127"/>
        <v>0</v>
      </c>
      <c r="EG25" s="57">
        <f t="shared" si="128"/>
        <v>0</v>
      </c>
      <c r="EH25" s="57">
        <f t="shared" si="129"/>
        <v>0</v>
      </c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X25" s="169"/>
      <c r="FY25" s="17">
        <f t="shared" si="130"/>
        <v>0</v>
      </c>
      <c r="FZ25" s="17">
        <f t="shared" si="34"/>
        <v>0</v>
      </c>
      <c r="GA25" s="17">
        <f t="shared" si="35"/>
        <v>0</v>
      </c>
      <c r="GB25" s="17">
        <f t="shared" si="36"/>
        <v>0</v>
      </c>
      <c r="GC25" s="17">
        <f t="shared" si="37"/>
        <v>0</v>
      </c>
      <c r="GD25" s="17">
        <f t="shared" si="38"/>
        <v>0</v>
      </c>
      <c r="GE25" s="17">
        <f t="shared" si="39"/>
        <v>0</v>
      </c>
      <c r="GF25" s="67"/>
      <c r="GG25" s="17">
        <v>0</v>
      </c>
      <c r="GH25" s="17">
        <v>0</v>
      </c>
      <c r="GI25" s="67"/>
      <c r="GJ25" s="62">
        <f t="shared" si="131"/>
        <v>0</v>
      </c>
      <c r="GK25" s="62">
        <f t="shared" si="132"/>
        <v>0</v>
      </c>
      <c r="GO25" s="17">
        <f t="shared" si="40"/>
        <v>0</v>
      </c>
      <c r="GP25" s="17">
        <f t="shared" si="41"/>
        <v>0</v>
      </c>
      <c r="GQ25" s="17">
        <f t="shared" si="42"/>
        <v>0</v>
      </c>
      <c r="GR25" s="17">
        <f t="shared" si="43"/>
        <v>0</v>
      </c>
      <c r="GS25" s="17">
        <f t="shared" si="44"/>
        <v>0</v>
      </c>
      <c r="GT25" s="17">
        <f t="shared" si="133"/>
        <v>1</v>
      </c>
      <c r="GU25" s="101">
        <f t="shared" si="134"/>
        <v>43243</v>
      </c>
      <c r="GV25" s="17" t="str">
        <f t="shared" si="135"/>
        <v>SELESAI</v>
      </c>
      <c r="GW25" s="17">
        <f t="shared" si="136"/>
        <v>0</v>
      </c>
      <c r="GX25" s="66" t="str">
        <f t="shared" si="137"/>
        <v>SELESAI</v>
      </c>
      <c r="GY25" s="66">
        <f t="shared" si="138"/>
        <v>0</v>
      </c>
      <c r="GZ25" s="102" t="str">
        <f t="shared" si="139"/>
        <v>SELESAI</v>
      </c>
      <c r="HA25" s="83"/>
      <c r="HB25" s="83"/>
      <c r="HC25" s="17">
        <f t="shared" si="45"/>
        <v>0</v>
      </c>
      <c r="HD25" s="17">
        <f t="shared" si="46"/>
        <v>0</v>
      </c>
      <c r="HE25" s="17">
        <f t="shared" si="140"/>
        <v>0</v>
      </c>
      <c r="HF25" s="17">
        <f t="shared" si="141"/>
        <v>0</v>
      </c>
      <c r="HG25" s="17">
        <f t="shared" si="142"/>
        <v>0</v>
      </c>
      <c r="HH25" s="101" t="str">
        <f t="shared" si="47"/>
        <v>TIDAK KONSINYASI</v>
      </c>
      <c r="HI25" s="101" t="str">
        <f t="shared" si="143"/>
        <v>SELESAI</v>
      </c>
      <c r="HJ25" s="27"/>
      <c r="HK25" s="101">
        <f t="shared" si="48"/>
        <v>0</v>
      </c>
      <c r="HL25" s="83"/>
      <c r="HM25" s="83"/>
      <c r="HN25" s="83"/>
      <c r="HO25" s="83"/>
      <c r="HP25" s="102">
        <f t="shared" si="144"/>
        <v>0</v>
      </c>
      <c r="HQ25" s="66">
        <f t="shared" si="145"/>
        <v>0</v>
      </c>
      <c r="HR25" s="66">
        <f t="shared" si="49"/>
        <v>0</v>
      </c>
      <c r="HS25" s="102">
        <f t="shared" si="146"/>
        <v>0</v>
      </c>
      <c r="HT25" s="66">
        <f t="shared" si="147"/>
        <v>0</v>
      </c>
      <c r="HU25" s="66">
        <f t="shared" si="50"/>
        <v>0</v>
      </c>
      <c r="HV25" s="102">
        <f t="shared" si="148"/>
        <v>0</v>
      </c>
      <c r="HW25" s="66">
        <f t="shared" si="51"/>
        <v>0</v>
      </c>
      <c r="HX25" s="66">
        <f t="shared" si="52"/>
        <v>0</v>
      </c>
      <c r="HY25" s="102">
        <f t="shared" si="53"/>
        <v>0</v>
      </c>
      <c r="HZ25" s="66">
        <f t="shared" si="149"/>
        <v>0</v>
      </c>
      <c r="IA25" s="66">
        <f t="shared" si="54"/>
        <v>0</v>
      </c>
      <c r="IB25" s="102">
        <f t="shared" si="150"/>
        <v>0</v>
      </c>
      <c r="IC25" s="66">
        <f t="shared" si="55"/>
        <v>0</v>
      </c>
      <c r="ID25" s="66">
        <f t="shared" si="56"/>
        <v>0</v>
      </c>
      <c r="IE25" s="102">
        <f t="shared" si="57"/>
        <v>0</v>
      </c>
      <c r="IF25" s="66">
        <f t="shared" si="58"/>
        <v>0</v>
      </c>
      <c r="IG25" s="66">
        <f t="shared" si="59"/>
        <v>0</v>
      </c>
      <c r="IH25" s="102">
        <f t="shared" si="151"/>
        <v>0</v>
      </c>
      <c r="II25" s="66">
        <f t="shared" si="152"/>
        <v>0</v>
      </c>
      <c r="IJ25" s="66">
        <f t="shared" si="60"/>
        <v>0</v>
      </c>
      <c r="IK25" s="102">
        <f t="shared" si="61"/>
        <v>0</v>
      </c>
      <c r="IL25" s="66">
        <f t="shared" si="62"/>
        <v>0</v>
      </c>
      <c r="IM25" s="66">
        <f t="shared" si="63"/>
        <v>0</v>
      </c>
      <c r="IN25" s="83"/>
      <c r="IO25" s="102">
        <f t="shared" si="64"/>
        <v>0</v>
      </c>
      <c r="IP25" s="66">
        <f t="shared" si="65"/>
        <v>0</v>
      </c>
      <c r="IQ25" s="66">
        <f t="shared" si="66"/>
        <v>0</v>
      </c>
      <c r="IR25" s="83"/>
      <c r="IS25" s="102"/>
      <c r="IT25" s="66">
        <f t="shared" si="67"/>
        <v>1</v>
      </c>
      <c r="IU25" s="66">
        <f t="shared" si="68"/>
        <v>136</v>
      </c>
      <c r="IV25" s="83"/>
      <c r="IW25" s="102"/>
      <c r="IX25" s="66">
        <f t="shared" si="69"/>
        <v>0</v>
      </c>
      <c r="IY25" s="66">
        <f t="shared" si="70"/>
        <v>0</v>
      </c>
      <c r="IZ25" s="83"/>
      <c r="JA25" s="102"/>
      <c r="JB25" s="66">
        <f t="shared" si="71"/>
        <v>0</v>
      </c>
      <c r="JC25" s="66">
        <f t="shared" si="72"/>
        <v>0</v>
      </c>
      <c r="JD25" s="83"/>
      <c r="JE25" s="102"/>
      <c r="JF25" s="66">
        <f t="shared" si="153"/>
        <v>1</v>
      </c>
      <c r="JG25" s="66">
        <f t="shared" si="73"/>
        <v>136</v>
      </c>
      <c r="JH25" s="83"/>
      <c r="JI25" s="102"/>
      <c r="JJ25" s="66">
        <f t="shared" si="74"/>
        <v>0</v>
      </c>
      <c r="JK25" s="66">
        <f t="shared" si="75"/>
        <v>0</v>
      </c>
      <c r="JM25" s="102">
        <f t="shared" si="154"/>
        <v>0</v>
      </c>
      <c r="JO25" s="29">
        <f t="shared" si="76"/>
        <v>0</v>
      </c>
      <c r="JP25" s="122">
        <f t="shared" si="77"/>
        <v>0</v>
      </c>
      <c r="JQ25" s="122">
        <f t="shared" si="78"/>
        <v>0</v>
      </c>
      <c r="JR25" s="122">
        <f t="shared" si="79"/>
        <v>0</v>
      </c>
      <c r="JS25" s="122">
        <f t="shared" si="80"/>
        <v>0</v>
      </c>
      <c r="JT25" s="122">
        <f t="shared" si="81"/>
        <v>0</v>
      </c>
      <c r="JU25" s="122">
        <f t="shared" si="82"/>
        <v>0</v>
      </c>
      <c r="JV25" s="122">
        <f t="shared" si="83"/>
        <v>0</v>
      </c>
      <c r="JW25" s="122">
        <f t="shared" si="84"/>
        <v>0</v>
      </c>
      <c r="JX25" s="122">
        <f t="shared" si="85"/>
        <v>0</v>
      </c>
      <c r="JY25" s="122">
        <f t="shared" si="86"/>
        <v>0</v>
      </c>
      <c r="JZ25" s="122">
        <f t="shared" si="87"/>
        <v>0</v>
      </c>
      <c r="KA25" s="122">
        <f t="shared" si="88"/>
        <v>0</v>
      </c>
      <c r="KB25" s="122">
        <f t="shared" si="89"/>
        <v>0</v>
      </c>
      <c r="KD25" s="122">
        <f t="shared" si="155"/>
        <v>0</v>
      </c>
      <c r="KE25" s="122">
        <f t="shared" si="91"/>
        <v>0</v>
      </c>
      <c r="KF25" s="122">
        <f t="shared" si="92"/>
        <v>0</v>
      </c>
      <c r="KG25" s="122">
        <f t="shared" si="93"/>
        <v>0</v>
      </c>
      <c r="KH25" s="122">
        <f t="shared" si="94"/>
        <v>0</v>
      </c>
      <c r="KI25" s="122">
        <f t="shared" si="95"/>
        <v>0</v>
      </c>
      <c r="KJ25" s="122">
        <f t="shared" si="96"/>
        <v>0</v>
      </c>
      <c r="KK25" s="122">
        <f t="shared" si="97"/>
        <v>0</v>
      </c>
      <c r="KL25" s="122">
        <f t="shared" si="98"/>
        <v>0</v>
      </c>
      <c r="KM25" s="122">
        <f t="shared" si="99"/>
        <v>0</v>
      </c>
      <c r="KN25" s="123">
        <f t="shared" si="100"/>
        <v>0</v>
      </c>
      <c r="KO25" s="123">
        <f t="shared" si="101"/>
        <v>0</v>
      </c>
      <c r="KP25" s="123">
        <f t="shared" si="102"/>
        <v>0</v>
      </c>
      <c r="KQ25" s="123">
        <f t="shared" si="103"/>
        <v>0</v>
      </c>
      <c r="KR25" s="123">
        <f t="shared" si="104"/>
        <v>0</v>
      </c>
      <c r="KT25">
        <f t="shared" si="105"/>
        <v>0</v>
      </c>
      <c r="KU25" s="123"/>
      <c r="KV25" s="123"/>
      <c r="KW25" s="123"/>
      <c r="KX25" s="123"/>
      <c r="KY25" s="123"/>
      <c r="KZ25" s="123"/>
      <c r="LA25" s="123"/>
      <c r="LB25" s="123"/>
      <c r="LC25" s="123"/>
      <c r="LD25" s="123"/>
      <c r="LE25" s="123"/>
      <c r="LF25" s="123"/>
      <c r="LG25" s="123"/>
      <c r="LH25" s="123"/>
      <c r="LI25" s="123"/>
      <c r="LJ25" s="123"/>
      <c r="LK25" s="123"/>
      <c r="LL25" s="123"/>
      <c r="LM25" s="123"/>
      <c r="LN25" s="123"/>
      <c r="LO25" s="123"/>
      <c r="LP25" s="123"/>
      <c r="LQ25" s="123"/>
      <c r="LR25" s="123"/>
      <c r="LS25" s="123"/>
      <c r="LT25" s="123"/>
      <c r="LU25" s="123"/>
      <c r="LV25" s="123"/>
      <c r="LW25" s="123"/>
      <c r="LX25" s="123"/>
      <c r="LY25" s="123"/>
      <c r="LZ25" s="123"/>
      <c r="MA25" s="123"/>
      <c r="MB25" s="123"/>
      <c r="MC25" s="123"/>
      <c r="MD25" s="123"/>
      <c r="ME25" s="123"/>
      <c r="MF25" s="123"/>
      <c r="MG25" s="123"/>
      <c r="MH25" s="123"/>
      <c r="MI25" s="123"/>
      <c r="MJ25" s="123"/>
      <c r="MK25" s="123"/>
      <c r="ML25" s="123"/>
      <c r="MM25" s="123"/>
      <c r="MN25" s="123"/>
      <c r="MO25" s="123"/>
      <c r="MP25" s="123"/>
      <c r="MQ25" s="123"/>
      <c r="MR25" s="123"/>
      <c r="MS25" s="123"/>
      <c r="MT25" s="123"/>
      <c r="MU25" s="123"/>
      <c r="MV25" s="123"/>
      <c r="MW25" s="123"/>
      <c r="MX25" s="123"/>
      <c r="MY25" s="123"/>
      <c r="MZ25" s="123"/>
      <c r="NA25" s="123"/>
      <c r="NB25" s="123"/>
      <c r="NC25" s="123"/>
      <c r="ND25" s="123"/>
      <c r="NE25" s="123"/>
      <c r="NF25" s="123"/>
      <c r="NG25" s="123"/>
      <c r="NH25" s="123"/>
      <c r="NI25" s="123"/>
      <c r="NJ25" s="123"/>
      <c r="NK25" s="123"/>
      <c r="NM25">
        <f t="shared" si="156"/>
        <v>0</v>
      </c>
      <c r="NN25">
        <f t="shared" si="157"/>
        <v>0</v>
      </c>
      <c r="NO25">
        <f t="shared" si="158"/>
        <v>0</v>
      </c>
      <c r="NP25">
        <f t="shared" si="159"/>
        <v>0</v>
      </c>
      <c r="NQ25">
        <f t="shared" si="160"/>
        <v>0</v>
      </c>
      <c r="NR25">
        <f t="shared" si="161"/>
        <v>0</v>
      </c>
      <c r="NS25">
        <f t="shared" si="162"/>
        <v>0</v>
      </c>
      <c r="NT25">
        <f t="shared" si="163"/>
        <v>0</v>
      </c>
      <c r="NU25" s="29">
        <f t="shared" si="164"/>
        <v>0</v>
      </c>
      <c r="NY25" s="29">
        <f t="shared" si="107"/>
        <v>1</v>
      </c>
      <c r="NZ25" s="152">
        <v>7125000</v>
      </c>
      <c r="OE25" s="155">
        <f t="shared" si="108"/>
        <v>0</v>
      </c>
      <c r="OF25" s="155">
        <f t="shared" si="109"/>
        <v>0</v>
      </c>
      <c r="OG25" s="155">
        <f t="shared" si="110"/>
        <v>0</v>
      </c>
      <c r="OH25" s="155">
        <f t="shared" si="165"/>
        <v>0</v>
      </c>
      <c r="OI25" s="155">
        <f t="shared" si="111"/>
        <v>0</v>
      </c>
      <c r="OJ25" s="67">
        <f t="shared" si="166"/>
        <v>0</v>
      </c>
      <c r="OK25" s="67">
        <f t="shared" si="167"/>
        <v>0</v>
      </c>
      <c r="OL25" s="67">
        <f t="shared" si="168"/>
        <v>0</v>
      </c>
      <c r="OM25" s="67">
        <f t="shared" si="169"/>
        <v>0</v>
      </c>
      <c r="OO25" s="155">
        <f t="shared" si="112"/>
        <v>0</v>
      </c>
      <c r="OP25" s="155">
        <f t="shared" si="113"/>
        <v>0</v>
      </c>
      <c r="OQ25" s="155">
        <f t="shared" si="170"/>
        <v>0</v>
      </c>
      <c r="OR25" s="155">
        <f t="shared" si="171"/>
        <v>0</v>
      </c>
      <c r="OS25" s="155">
        <f t="shared" si="172"/>
        <v>0</v>
      </c>
      <c r="OT25" s="67">
        <f t="shared" si="173"/>
        <v>0</v>
      </c>
      <c r="OU25" s="67">
        <f t="shared" si="174"/>
        <v>0</v>
      </c>
      <c r="OV25" s="67">
        <f t="shared" si="175"/>
        <v>0</v>
      </c>
      <c r="OW25" s="67">
        <f t="shared" si="176"/>
        <v>0</v>
      </c>
      <c r="OZ25" s="163">
        <f t="shared" si="114"/>
        <v>0</v>
      </c>
      <c r="PA25" s="166"/>
      <c r="PB25" s="166"/>
      <c r="PC25" s="166"/>
      <c r="PD25" s="210">
        <f t="shared" si="115"/>
        <v>0</v>
      </c>
      <c r="PE25" s="210"/>
      <c r="PF25" s="210">
        <f t="shared" si="116"/>
        <v>0</v>
      </c>
      <c r="PG25" s="210">
        <f t="shared" si="117"/>
        <v>0</v>
      </c>
      <c r="PH25" s="210">
        <f t="shared" si="117"/>
        <v>0</v>
      </c>
      <c r="PI25" s="210">
        <f t="shared" si="117"/>
        <v>0</v>
      </c>
      <c r="PJ25" s="210">
        <f t="shared" si="117"/>
        <v>0</v>
      </c>
      <c r="PK25" s="210">
        <f t="shared" si="117"/>
        <v>0</v>
      </c>
      <c r="PL25" s="210">
        <f t="shared" si="117"/>
        <v>0</v>
      </c>
      <c r="PO25" s="172">
        <f t="shared" si="177"/>
        <v>0</v>
      </c>
      <c r="PP25" s="172">
        <f t="shared" si="178"/>
        <v>0</v>
      </c>
      <c r="PQ25" s="172">
        <f t="shared" si="179"/>
        <v>0</v>
      </c>
    </row>
    <row r="26" spans="1:433" ht="16" x14ac:dyDescent="0.2">
      <c r="A26" s="19">
        <f t="shared" si="180"/>
        <v>18</v>
      </c>
      <c r="B26" s="186" t="s">
        <v>179</v>
      </c>
      <c r="C26" s="186">
        <v>19</v>
      </c>
      <c r="D26" s="188">
        <v>1</v>
      </c>
      <c r="E26" s="165">
        <v>58</v>
      </c>
      <c r="F26" s="188">
        <v>1</v>
      </c>
      <c r="G26" s="188">
        <f t="shared" si="2"/>
        <v>58</v>
      </c>
      <c r="H26" s="214">
        <f t="shared" si="3"/>
        <v>1</v>
      </c>
      <c r="I26" s="214">
        <f t="shared" si="4"/>
        <v>1</v>
      </c>
      <c r="J26" s="165">
        <v>1</v>
      </c>
      <c r="K26" s="188">
        <f t="shared" si="5"/>
        <v>58</v>
      </c>
      <c r="L26" s="214">
        <f t="shared" si="6"/>
        <v>1</v>
      </c>
      <c r="M26" s="214">
        <f t="shared" si="7"/>
        <v>1</v>
      </c>
      <c r="N26" s="165">
        <v>1</v>
      </c>
      <c r="O26" s="188">
        <f t="shared" si="8"/>
        <v>58</v>
      </c>
      <c r="P26" s="214">
        <f t="shared" si="9"/>
        <v>1</v>
      </c>
      <c r="Q26" s="214">
        <f t="shared" si="10"/>
        <v>1</v>
      </c>
      <c r="R26" s="188"/>
      <c r="S26" s="188">
        <f t="shared" si="11"/>
        <v>0</v>
      </c>
      <c r="T26" s="214">
        <f t="shared" si="12"/>
        <v>0</v>
      </c>
      <c r="U26" s="214">
        <f t="shared" si="13"/>
        <v>0</v>
      </c>
      <c r="V26" s="188">
        <v>0</v>
      </c>
      <c r="W26" s="188">
        <f t="shared" si="14"/>
        <v>0</v>
      </c>
      <c r="X26" s="214">
        <f t="shared" si="15"/>
        <v>0</v>
      </c>
      <c r="Y26" s="214">
        <f t="shared" si="16"/>
        <v>0</v>
      </c>
      <c r="Z26" s="215">
        <v>0</v>
      </c>
      <c r="AA26" s="188">
        <v>0</v>
      </c>
      <c r="AB26" s="189">
        <f t="shared" si="118"/>
        <v>0</v>
      </c>
      <c r="AC26" s="250">
        <f t="shared" si="119"/>
        <v>0</v>
      </c>
      <c r="AD26" s="250">
        <f t="shared" si="120"/>
        <v>0</v>
      </c>
      <c r="AE26" s="188"/>
      <c r="AF26" s="188">
        <v>0</v>
      </c>
      <c r="AG26" s="188"/>
      <c r="AH26" s="188"/>
      <c r="AI26" s="188">
        <v>0</v>
      </c>
      <c r="AJ26" s="188">
        <f t="shared" si="181"/>
        <v>0</v>
      </c>
      <c r="AK26" s="188"/>
      <c r="AL26" s="188">
        <v>0</v>
      </c>
      <c r="AM26" s="188">
        <v>0</v>
      </c>
      <c r="AN26" s="217">
        <v>1</v>
      </c>
      <c r="AO26" s="195"/>
      <c r="AP26" s="195"/>
      <c r="AQ26" s="195"/>
      <c r="AR26" s="195"/>
      <c r="AS26" s="195"/>
      <c r="AT26" s="195"/>
      <c r="BB26" s="17">
        <f t="shared" si="123"/>
        <v>58</v>
      </c>
      <c r="BE26" s="17">
        <f t="shared" si="19"/>
        <v>0</v>
      </c>
      <c r="BF26" s="17">
        <f t="shared" si="20"/>
        <v>0</v>
      </c>
      <c r="BG26" s="17">
        <f t="shared" si="21"/>
        <v>0</v>
      </c>
      <c r="BH26" s="17">
        <f t="shared" si="22"/>
        <v>0</v>
      </c>
      <c r="BI26" s="17">
        <f t="shared" si="23"/>
        <v>0</v>
      </c>
      <c r="BJ26" s="17">
        <f t="shared" si="24"/>
        <v>0</v>
      </c>
      <c r="BK26" s="17">
        <f t="shared" si="124"/>
        <v>0</v>
      </c>
      <c r="BM26" s="128"/>
      <c r="BN26" s="147"/>
      <c r="BO26" s="288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B26" s="20"/>
      <c r="CD26" s="17">
        <f t="shared" si="125"/>
        <v>0</v>
      </c>
      <c r="CE26" s="17">
        <f t="shared" si="126"/>
        <v>0</v>
      </c>
      <c r="CF26" s="20">
        <f t="shared" si="182"/>
        <v>0</v>
      </c>
      <c r="CG26" s="20">
        <f t="shared" si="183"/>
        <v>0</v>
      </c>
      <c r="CH26" s="20">
        <f t="shared" si="184"/>
        <v>0</v>
      </c>
      <c r="CI26" s="20">
        <f t="shared" si="185"/>
        <v>0</v>
      </c>
      <c r="CJ26" s="20">
        <f t="shared" si="186"/>
        <v>0</v>
      </c>
      <c r="CK26" s="20">
        <f t="shared" si="187"/>
        <v>0</v>
      </c>
      <c r="CL26" s="20">
        <f t="shared" si="188"/>
        <v>0</v>
      </c>
      <c r="CM26" s="20">
        <f t="shared" si="189"/>
        <v>0</v>
      </c>
      <c r="CN26" s="20">
        <f t="shared" si="190"/>
        <v>0</v>
      </c>
      <c r="CO26" s="20">
        <f t="shared" si="191"/>
        <v>0</v>
      </c>
      <c r="CP26" s="20">
        <f t="shared" si="192"/>
        <v>0</v>
      </c>
      <c r="DV26" s="20">
        <f t="shared" si="27"/>
        <v>0</v>
      </c>
      <c r="DW26" s="20">
        <f t="shared" si="28"/>
        <v>0</v>
      </c>
      <c r="DX26" s="20">
        <f t="shared" si="29"/>
        <v>0</v>
      </c>
      <c r="DY26" s="20">
        <f t="shared" si="30"/>
        <v>0</v>
      </c>
      <c r="DZ26" s="20">
        <f t="shared" si="31"/>
        <v>0</v>
      </c>
      <c r="EA26" s="20">
        <f t="shared" si="32"/>
        <v>0</v>
      </c>
      <c r="EB26" s="20">
        <f t="shared" si="127"/>
        <v>0</v>
      </c>
      <c r="EG26" s="57">
        <f t="shared" si="128"/>
        <v>0</v>
      </c>
      <c r="EH26" s="57">
        <f t="shared" si="129"/>
        <v>0</v>
      </c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X26" s="169"/>
      <c r="FY26" s="17">
        <f t="shared" si="130"/>
        <v>0</v>
      </c>
      <c r="FZ26" s="17">
        <f t="shared" si="34"/>
        <v>0</v>
      </c>
      <c r="GA26" s="17">
        <f t="shared" si="35"/>
        <v>0</v>
      </c>
      <c r="GB26" s="17">
        <f t="shared" si="36"/>
        <v>0</v>
      </c>
      <c r="GC26" s="17">
        <f t="shared" si="37"/>
        <v>0</v>
      </c>
      <c r="GD26" s="17">
        <f t="shared" si="38"/>
        <v>0</v>
      </c>
      <c r="GE26" s="17">
        <f t="shared" si="39"/>
        <v>0</v>
      </c>
      <c r="GF26" s="67"/>
      <c r="GG26" s="17">
        <v>0</v>
      </c>
      <c r="GH26" s="17">
        <v>0</v>
      </c>
      <c r="GI26" s="67"/>
      <c r="GJ26" s="62">
        <f t="shared" si="131"/>
        <v>0</v>
      </c>
      <c r="GK26" s="62">
        <f t="shared" si="132"/>
        <v>0</v>
      </c>
      <c r="GO26" s="17">
        <f t="shared" si="40"/>
        <v>0</v>
      </c>
      <c r="GP26" s="17">
        <f t="shared" si="41"/>
        <v>0</v>
      </c>
      <c r="GQ26" s="17">
        <f t="shared" si="42"/>
        <v>0</v>
      </c>
      <c r="GR26" s="17">
        <f t="shared" si="43"/>
        <v>1</v>
      </c>
      <c r="GS26" s="17">
        <f t="shared" si="44"/>
        <v>1</v>
      </c>
      <c r="GT26" s="17">
        <f t="shared" si="133"/>
        <v>0</v>
      </c>
      <c r="GU26" s="101">
        <f t="shared" si="134"/>
        <v>43243</v>
      </c>
      <c r="GV26" s="17" t="str">
        <f t="shared" si="135"/>
        <v>Musyawarah</v>
      </c>
      <c r="GW26" s="17">
        <f t="shared" si="136"/>
        <v>1</v>
      </c>
      <c r="GX26" s="66" t="str">
        <f t="shared" si="137"/>
        <v>Musyawarah</v>
      </c>
      <c r="GY26" s="66">
        <f t="shared" si="138"/>
        <v>24</v>
      </c>
      <c r="GZ26" s="102">
        <f t="shared" si="139"/>
        <v>43267</v>
      </c>
      <c r="HA26" s="83"/>
      <c r="HB26" s="83"/>
      <c r="HC26" s="17">
        <f t="shared" si="45"/>
        <v>0</v>
      </c>
      <c r="HD26" s="17">
        <f t="shared" si="46"/>
        <v>0</v>
      </c>
      <c r="HE26" s="17">
        <f t="shared" si="140"/>
        <v>0</v>
      </c>
      <c r="HF26" s="17">
        <f t="shared" si="141"/>
        <v>0</v>
      </c>
      <c r="HG26" s="17">
        <f t="shared" si="142"/>
        <v>0</v>
      </c>
      <c r="HH26" s="101" t="str">
        <f t="shared" si="47"/>
        <v>TIDAK KONSINYASI</v>
      </c>
      <c r="HI26" s="101">
        <f t="shared" si="143"/>
        <v>43312</v>
      </c>
      <c r="HJ26" s="27"/>
      <c r="HK26" s="101">
        <f t="shared" si="48"/>
        <v>43312</v>
      </c>
      <c r="HL26" s="83"/>
      <c r="HM26" s="83"/>
      <c r="HN26" s="83"/>
      <c r="HO26" s="83"/>
      <c r="HP26" s="102">
        <f t="shared" si="144"/>
        <v>0</v>
      </c>
      <c r="HQ26" s="66">
        <f t="shared" si="145"/>
        <v>0</v>
      </c>
      <c r="HR26" s="66">
        <f t="shared" si="49"/>
        <v>0</v>
      </c>
      <c r="HS26" s="102">
        <f t="shared" si="146"/>
        <v>0</v>
      </c>
      <c r="HT26" s="66">
        <f t="shared" si="147"/>
        <v>0</v>
      </c>
      <c r="HU26" s="66">
        <f t="shared" si="50"/>
        <v>0</v>
      </c>
      <c r="HV26" s="102">
        <f t="shared" si="148"/>
        <v>0</v>
      </c>
      <c r="HW26" s="66">
        <f t="shared" si="51"/>
        <v>0</v>
      </c>
      <c r="HX26" s="66">
        <f t="shared" si="52"/>
        <v>0</v>
      </c>
      <c r="HY26" s="102">
        <f t="shared" si="53"/>
        <v>0</v>
      </c>
      <c r="HZ26" s="66">
        <f t="shared" si="149"/>
        <v>0</v>
      </c>
      <c r="IA26" s="66">
        <f t="shared" si="54"/>
        <v>0</v>
      </c>
      <c r="IB26" s="102">
        <f t="shared" si="150"/>
        <v>0</v>
      </c>
      <c r="IC26" s="66">
        <f t="shared" si="55"/>
        <v>0</v>
      </c>
      <c r="ID26" s="66">
        <f t="shared" si="56"/>
        <v>0</v>
      </c>
      <c r="IE26" s="102">
        <f t="shared" si="57"/>
        <v>0</v>
      </c>
      <c r="IF26" s="66">
        <f t="shared" si="58"/>
        <v>0</v>
      </c>
      <c r="IG26" s="66">
        <f t="shared" si="59"/>
        <v>0</v>
      </c>
      <c r="IH26" s="102">
        <f t="shared" si="151"/>
        <v>0</v>
      </c>
      <c r="II26" s="66">
        <f t="shared" si="152"/>
        <v>0</v>
      </c>
      <c r="IJ26" s="66">
        <f t="shared" si="60"/>
        <v>0</v>
      </c>
      <c r="IK26" s="102">
        <f t="shared" si="61"/>
        <v>0</v>
      </c>
      <c r="IL26" s="66">
        <f t="shared" si="62"/>
        <v>0</v>
      </c>
      <c r="IM26" s="66">
        <f t="shared" si="63"/>
        <v>0</v>
      </c>
      <c r="IN26" s="83"/>
      <c r="IO26" s="102">
        <f t="shared" si="64"/>
        <v>0</v>
      </c>
      <c r="IP26" s="66">
        <f t="shared" si="65"/>
        <v>0</v>
      </c>
      <c r="IQ26" s="66">
        <f t="shared" si="66"/>
        <v>0</v>
      </c>
      <c r="IR26" s="83"/>
      <c r="IS26" s="102"/>
      <c r="IT26" s="66">
        <f t="shared" si="67"/>
        <v>0</v>
      </c>
      <c r="IU26" s="66">
        <f t="shared" si="68"/>
        <v>0</v>
      </c>
      <c r="IV26" s="83"/>
      <c r="IW26" s="102"/>
      <c r="IX26" s="66">
        <f t="shared" si="69"/>
        <v>0</v>
      </c>
      <c r="IY26" s="66">
        <f t="shared" si="70"/>
        <v>0</v>
      </c>
      <c r="IZ26" s="83"/>
      <c r="JA26" s="102"/>
      <c r="JB26" s="66">
        <f t="shared" si="71"/>
        <v>1</v>
      </c>
      <c r="JC26" s="66">
        <f t="shared" si="72"/>
        <v>58</v>
      </c>
      <c r="JD26" s="83"/>
      <c r="JE26" s="102"/>
      <c r="JF26" s="66">
        <f t="shared" si="153"/>
        <v>1</v>
      </c>
      <c r="JG26" s="66">
        <f t="shared" si="73"/>
        <v>58</v>
      </c>
      <c r="JH26" s="83"/>
      <c r="JI26" s="102"/>
      <c r="JJ26" s="66">
        <f t="shared" si="74"/>
        <v>0</v>
      </c>
      <c r="JK26" s="66">
        <f t="shared" si="75"/>
        <v>0</v>
      </c>
      <c r="JM26" s="102">
        <f t="shared" si="154"/>
        <v>0</v>
      </c>
      <c r="JO26" s="29">
        <f t="shared" si="76"/>
        <v>0</v>
      </c>
      <c r="JP26" s="122">
        <f t="shared" si="77"/>
        <v>0</v>
      </c>
      <c r="JQ26" s="122">
        <f t="shared" si="78"/>
        <v>0</v>
      </c>
      <c r="JR26" s="122">
        <f t="shared" si="79"/>
        <v>0</v>
      </c>
      <c r="JS26" s="122">
        <f t="shared" si="80"/>
        <v>0</v>
      </c>
      <c r="JT26" s="122">
        <f t="shared" si="81"/>
        <v>0</v>
      </c>
      <c r="JU26" s="122">
        <f t="shared" si="82"/>
        <v>0</v>
      </c>
      <c r="JV26" s="122">
        <f t="shared" si="83"/>
        <v>0</v>
      </c>
      <c r="JW26" s="122">
        <f t="shared" si="84"/>
        <v>0</v>
      </c>
      <c r="JX26" s="122">
        <f t="shared" si="85"/>
        <v>0</v>
      </c>
      <c r="JY26" s="122">
        <f t="shared" si="86"/>
        <v>0</v>
      </c>
      <c r="JZ26" s="122">
        <f t="shared" si="87"/>
        <v>0</v>
      </c>
      <c r="KA26" s="122">
        <f t="shared" si="88"/>
        <v>0</v>
      </c>
      <c r="KB26" s="122">
        <f t="shared" si="89"/>
        <v>0</v>
      </c>
      <c r="KD26" s="122">
        <f t="shared" si="155"/>
        <v>0</v>
      </c>
      <c r="KE26" s="122">
        <f t="shared" si="91"/>
        <v>0</v>
      </c>
      <c r="KF26" s="122">
        <f t="shared" si="92"/>
        <v>0</v>
      </c>
      <c r="KG26" s="122">
        <f t="shared" si="93"/>
        <v>0</v>
      </c>
      <c r="KH26" s="122">
        <f t="shared" si="94"/>
        <v>0</v>
      </c>
      <c r="KI26" s="122">
        <f t="shared" si="95"/>
        <v>0</v>
      </c>
      <c r="KJ26" s="122">
        <f t="shared" si="96"/>
        <v>0</v>
      </c>
      <c r="KK26" s="122">
        <f t="shared" si="97"/>
        <v>0</v>
      </c>
      <c r="KL26" s="122">
        <f t="shared" si="98"/>
        <v>0</v>
      </c>
      <c r="KM26" s="122">
        <f t="shared" si="99"/>
        <v>0</v>
      </c>
      <c r="KN26" s="123">
        <f t="shared" si="100"/>
        <v>0</v>
      </c>
      <c r="KO26" s="123">
        <f t="shared" si="101"/>
        <v>0</v>
      </c>
      <c r="KP26" s="123">
        <f t="shared" si="102"/>
        <v>0</v>
      </c>
      <c r="KQ26" s="123">
        <f t="shared" si="103"/>
        <v>0</v>
      </c>
      <c r="KR26" s="123">
        <f t="shared" si="104"/>
        <v>0</v>
      </c>
      <c r="KS26">
        <v>7</v>
      </c>
      <c r="KT26">
        <f t="shared" si="105"/>
        <v>1</v>
      </c>
      <c r="KU26" s="123"/>
      <c r="KV26" s="123"/>
      <c r="KW26" s="123"/>
      <c r="KX26" s="123"/>
      <c r="KY26" s="123"/>
      <c r="KZ26" s="123"/>
      <c r="LA26" s="123"/>
      <c r="LB26" s="123"/>
      <c r="LC26" s="123"/>
      <c r="LD26" s="123"/>
      <c r="LE26" s="123"/>
      <c r="LF26" s="123"/>
      <c r="LG26" s="123"/>
      <c r="LH26" s="123"/>
      <c r="LI26" s="123"/>
      <c r="LJ26" s="123"/>
      <c r="LK26" s="123"/>
      <c r="LL26" s="123"/>
      <c r="LM26" s="123">
        <v>1</v>
      </c>
      <c r="LN26" s="123">
        <v>1</v>
      </c>
      <c r="LO26" s="123"/>
      <c r="LP26" s="123"/>
      <c r="LQ26" s="123"/>
      <c r="LR26" s="123"/>
      <c r="LS26" s="123"/>
      <c r="LT26" s="123"/>
      <c r="LU26" s="123"/>
      <c r="LV26" s="123"/>
      <c r="LW26" s="123"/>
      <c r="LX26" s="123"/>
      <c r="LY26" s="123"/>
      <c r="LZ26" s="123"/>
      <c r="MA26" s="123"/>
      <c r="MB26" s="123"/>
      <c r="MC26" s="123"/>
      <c r="MD26" s="123"/>
      <c r="ME26" s="123"/>
      <c r="MF26" s="123"/>
      <c r="MG26" s="123"/>
      <c r="MH26" s="123"/>
      <c r="MI26" s="123"/>
      <c r="MJ26" s="123"/>
      <c r="MK26" s="123"/>
      <c r="ML26" s="123"/>
      <c r="MM26" s="123"/>
      <c r="MN26" s="123"/>
      <c r="MO26" s="123"/>
      <c r="MP26" s="123"/>
      <c r="MQ26" s="123"/>
      <c r="MR26" s="123"/>
      <c r="MS26" s="123"/>
      <c r="MT26" s="123"/>
      <c r="MU26" s="123"/>
      <c r="MV26" s="123"/>
      <c r="MW26" s="123"/>
      <c r="MX26" s="123">
        <v>1</v>
      </c>
      <c r="MY26" s="123"/>
      <c r="MZ26" s="123"/>
      <c r="NA26" s="123"/>
      <c r="NB26" s="123"/>
      <c r="NC26" s="123"/>
      <c r="ND26" s="123"/>
      <c r="NE26" s="123"/>
      <c r="NF26" s="123"/>
      <c r="NG26" s="123"/>
      <c r="NH26" s="123"/>
      <c r="NI26" s="123"/>
      <c r="NJ26" s="123"/>
      <c r="NK26" s="123"/>
      <c r="NM26">
        <f t="shared" si="156"/>
        <v>0</v>
      </c>
      <c r="NN26">
        <f t="shared" si="157"/>
        <v>0</v>
      </c>
      <c r="NO26">
        <f t="shared" si="158"/>
        <v>0</v>
      </c>
      <c r="NP26">
        <f t="shared" si="159"/>
        <v>0</v>
      </c>
      <c r="NQ26">
        <f t="shared" si="160"/>
        <v>0</v>
      </c>
      <c r="NR26">
        <f t="shared" si="161"/>
        <v>0</v>
      </c>
      <c r="NS26">
        <f t="shared" si="162"/>
        <v>1</v>
      </c>
      <c r="NT26">
        <f t="shared" si="163"/>
        <v>1</v>
      </c>
      <c r="NU26" s="29">
        <f t="shared" si="164"/>
        <v>0</v>
      </c>
      <c r="NY26" s="29">
        <f t="shared" si="107"/>
        <v>0</v>
      </c>
      <c r="NZ26" s="152"/>
      <c r="OE26" s="155">
        <f t="shared" si="108"/>
        <v>0</v>
      </c>
      <c r="OF26" s="155">
        <f t="shared" si="109"/>
        <v>0</v>
      </c>
      <c r="OG26" s="155">
        <f t="shared" si="110"/>
        <v>1</v>
      </c>
      <c r="OH26" s="155">
        <f t="shared" si="165"/>
        <v>0</v>
      </c>
      <c r="OI26" s="155">
        <f t="shared" si="111"/>
        <v>1</v>
      </c>
      <c r="OJ26" s="67">
        <f t="shared" si="166"/>
        <v>0</v>
      </c>
      <c r="OK26" s="67">
        <f t="shared" si="167"/>
        <v>0</v>
      </c>
      <c r="OL26" s="67">
        <f t="shared" si="168"/>
        <v>0</v>
      </c>
      <c r="OM26" s="67">
        <f t="shared" si="169"/>
        <v>0</v>
      </c>
      <c r="OO26" s="155">
        <f t="shared" si="112"/>
        <v>0</v>
      </c>
      <c r="OP26" s="155">
        <f t="shared" si="113"/>
        <v>0</v>
      </c>
      <c r="OQ26" s="155">
        <f t="shared" si="170"/>
        <v>1</v>
      </c>
      <c r="OR26" s="155">
        <f t="shared" si="171"/>
        <v>0</v>
      </c>
      <c r="OS26" s="155">
        <f t="shared" si="172"/>
        <v>1</v>
      </c>
      <c r="OT26" s="67">
        <f t="shared" si="173"/>
        <v>0</v>
      </c>
      <c r="OU26" s="67">
        <f t="shared" si="174"/>
        <v>0</v>
      </c>
      <c r="OV26" s="67">
        <f t="shared" si="175"/>
        <v>0</v>
      </c>
      <c r="OW26" s="67">
        <f t="shared" si="176"/>
        <v>0</v>
      </c>
      <c r="OZ26" s="163">
        <f t="shared" si="114"/>
        <v>1</v>
      </c>
      <c r="PA26" s="166"/>
      <c r="PB26" s="166">
        <v>1</v>
      </c>
      <c r="PC26" s="166">
        <v>1</v>
      </c>
      <c r="PD26" s="210">
        <f t="shared" si="115"/>
        <v>0</v>
      </c>
      <c r="PE26" s="210"/>
      <c r="PF26" s="210">
        <f t="shared" si="116"/>
        <v>0</v>
      </c>
      <c r="PG26" s="210">
        <f t="shared" si="117"/>
        <v>0</v>
      </c>
      <c r="PH26" s="210">
        <f t="shared" si="117"/>
        <v>58</v>
      </c>
      <c r="PI26" s="210">
        <f t="shared" si="117"/>
        <v>58</v>
      </c>
      <c r="PJ26" s="210">
        <f t="shared" si="117"/>
        <v>0</v>
      </c>
      <c r="PK26" s="210">
        <f t="shared" si="117"/>
        <v>0</v>
      </c>
      <c r="PL26" s="210">
        <f t="shared" si="117"/>
        <v>0</v>
      </c>
      <c r="PO26" s="172">
        <f t="shared" si="177"/>
        <v>0</v>
      </c>
      <c r="PP26" s="172">
        <f t="shared" si="178"/>
        <v>0</v>
      </c>
      <c r="PQ26" s="172">
        <f t="shared" si="179"/>
        <v>0</v>
      </c>
    </row>
    <row r="27" spans="1:433" ht="16" x14ac:dyDescent="0.2">
      <c r="A27" s="19">
        <f t="shared" si="180"/>
        <v>19</v>
      </c>
      <c r="B27" s="186" t="s">
        <v>604</v>
      </c>
      <c r="C27" s="186">
        <v>20</v>
      </c>
      <c r="D27" s="188">
        <v>1</v>
      </c>
      <c r="E27" s="188">
        <v>171</v>
      </c>
      <c r="F27" s="188">
        <v>1</v>
      </c>
      <c r="G27" s="188">
        <f t="shared" si="2"/>
        <v>171</v>
      </c>
      <c r="H27" s="214">
        <f t="shared" si="3"/>
        <v>1</v>
      </c>
      <c r="I27" s="214">
        <f t="shared" si="4"/>
        <v>1</v>
      </c>
      <c r="J27" s="188">
        <v>1</v>
      </c>
      <c r="K27" s="188">
        <f t="shared" si="5"/>
        <v>171</v>
      </c>
      <c r="L27" s="214">
        <f t="shared" si="6"/>
        <v>1</v>
      </c>
      <c r="M27" s="214">
        <f t="shared" si="7"/>
        <v>1</v>
      </c>
      <c r="N27" s="188">
        <v>1</v>
      </c>
      <c r="O27" s="188">
        <f t="shared" si="8"/>
        <v>171</v>
      </c>
      <c r="P27" s="214">
        <f t="shared" si="9"/>
        <v>1</v>
      </c>
      <c r="Q27" s="214">
        <f t="shared" si="10"/>
        <v>1</v>
      </c>
      <c r="R27" s="188">
        <v>1</v>
      </c>
      <c r="S27" s="188">
        <f t="shared" si="11"/>
        <v>171</v>
      </c>
      <c r="T27" s="214">
        <f t="shared" si="12"/>
        <v>1</v>
      </c>
      <c r="U27" s="214">
        <f t="shared" si="13"/>
        <v>1</v>
      </c>
      <c r="V27" s="188">
        <v>1</v>
      </c>
      <c r="W27" s="188">
        <f t="shared" si="14"/>
        <v>171</v>
      </c>
      <c r="X27" s="214">
        <f t="shared" si="15"/>
        <v>1</v>
      </c>
      <c r="Y27" s="214">
        <f t="shared" si="16"/>
        <v>1</v>
      </c>
      <c r="Z27" s="216">
        <f>1984766000/1000000000</f>
        <v>1.984766</v>
      </c>
      <c r="AA27" s="188">
        <v>0</v>
      </c>
      <c r="AB27" s="189">
        <f t="shared" si="118"/>
        <v>0</v>
      </c>
      <c r="AC27" s="250">
        <f t="shared" si="119"/>
        <v>0</v>
      </c>
      <c r="AD27" s="250">
        <f t="shared" si="120"/>
        <v>0</v>
      </c>
      <c r="AE27" s="188"/>
      <c r="AF27" s="188">
        <f t="shared" si="121"/>
        <v>0</v>
      </c>
      <c r="AG27" s="188"/>
      <c r="AH27" s="188" t="s">
        <v>313</v>
      </c>
      <c r="AI27" s="188">
        <v>0</v>
      </c>
      <c r="AJ27" s="188">
        <f t="shared" si="181"/>
        <v>0</v>
      </c>
      <c r="AK27" s="188"/>
      <c r="AL27" s="188">
        <v>0</v>
      </c>
      <c r="AM27" s="188">
        <v>0</v>
      </c>
      <c r="AN27" s="217"/>
      <c r="AO27" s="195"/>
      <c r="AP27" s="195"/>
      <c r="AQ27" s="195"/>
      <c r="AR27" s="195"/>
      <c r="AS27" s="195"/>
      <c r="AT27" s="195"/>
      <c r="BB27" s="17">
        <f t="shared" si="123"/>
        <v>0</v>
      </c>
      <c r="BE27" s="17">
        <f t="shared" si="19"/>
        <v>0</v>
      </c>
      <c r="BF27" s="17">
        <f t="shared" si="20"/>
        <v>0</v>
      </c>
      <c r="BG27" s="17">
        <f t="shared" si="21"/>
        <v>0</v>
      </c>
      <c r="BH27" s="17">
        <f t="shared" si="22"/>
        <v>0</v>
      </c>
      <c r="BI27" s="17">
        <f t="shared" si="23"/>
        <v>0</v>
      </c>
      <c r="BJ27" s="17">
        <f t="shared" si="24"/>
        <v>0</v>
      </c>
      <c r="BK27" s="17">
        <f t="shared" si="124"/>
        <v>0</v>
      </c>
      <c r="BM27" s="128"/>
      <c r="BN27" s="147"/>
      <c r="BO27" s="288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B27" s="20"/>
      <c r="CD27" s="17">
        <f t="shared" si="125"/>
        <v>0</v>
      </c>
      <c r="CE27" s="17">
        <f t="shared" si="126"/>
        <v>0</v>
      </c>
      <c r="CF27" s="20">
        <f t="shared" si="182"/>
        <v>0</v>
      </c>
      <c r="CG27" s="20">
        <f t="shared" si="183"/>
        <v>0</v>
      </c>
      <c r="CH27" s="20">
        <f t="shared" si="184"/>
        <v>0</v>
      </c>
      <c r="CI27" s="20">
        <f t="shared" si="185"/>
        <v>0</v>
      </c>
      <c r="CJ27" s="20">
        <f t="shared" si="186"/>
        <v>0</v>
      </c>
      <c r="CK27" s="20">
        <f t="shared" si="187"/>
        <v>0</v>
      </c>
      <c r="CL27" s="20">
        <f t="shared" si="188"/>
        <v>0</v>
      </c>
      <c r="CM27" s="20">
        <f t="shared" si="189"/>
        <v>0</v>
      </c>
      <c r="CN27" s="20">
        <f t="shared" si="190"/>
        <v>0</v>
      </c>
      <c r="CO27" s="20">
        <f t="shared" si="191"/>
        <v>0</v>
      </c>
      <c r="CP27" s="20">
        <f t="shared" si="192"/>
        <v>0</v>
      </c>
      <c r="DV27" s="20">
        <f t="shared" si="27"/>
        <v>0</v>
      </c>
      <c r="DW27" s="20">
        <f t="shared" si="28"/>
        <v>0</v>
      </c>
      <c r="DX27" s="20">
        <f t="shared" si="29"/>
        <v>0</v>
      </c>
      <c r="DY27" s="20">
        <f t="shared" si="30"/>
        <v>0</v>
      </c>
      <c r="DZ27" s="20">
        <f t="shared" si="31"/>
        <v>0</v>
      </c>
      <c r="EA27" s="20">
        <f t="shared" si="32"/>
        <v>0</v>
      </c>
      <c r="EB27" s="20">
        <f t="shared" si="127"/>
        <v>0</v>
      </c>
      <c r="EG27" s="57">
        <f t="shared" si="128"/>
        <v>0</v>
      </c>
      <c r="EH27" s="57">
        <f t="shared" si="129"/>
        <v>0</v>
      </c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X27" s="169"/>
      <c r="FY27" s="17">
        <f t="shared" si="130"/>
        <v>0</v>
      </c>
      <c r="FZ27" s="17">
        <f t="shared" si="34"/>
        <v>0</v>
      </c>
      <c r="GA27" s="17">
        <f t="shared" si="35"/>
        <v>0</v>
      </c>
      <c r="GB27" s="17">
        <f t="shared" si="36"/>
        <v>0</v>
      </c>
      <c r="GC27" s="17">
        <f t="shared" si="37"/>
        <v>0</v>
      </c>
      <c r="GD27" s="17">
        <f t="shared" si="38"/>
        <v>0</v>
      </c>
      <c r="GE27" s="17">
        <f t="shared" si="39"/>
        <v>0</v>
      </c>
      <c r="GF27" s="67"/>
      <c r="GG27" s="17">
        <v>0</v>
      </c>
      <c r="GH27" s="17">
        <v>0</v>
      </c>
      <c r="GI27" s="67"/>
      <c r="GJ27" s="62">
        <f t="shared" si="131"/>
        <v>0</v>
      </c>
      <c r="GK27" s="62">
        <f t="shared" si="132"/>
        <v>0</v>
      </c>
      <c r="GO27" s="17">
        <f t="shared" si="40"/>
        <v>0</v>
      </c>
      <c r="GP27" s="17">
        <f t="shared" si="41"/>
        <v>0</v>
      </c>
      <c r="GQ27" s="17">
        <f t="shared" si="42"/>
        <v>0</v>
      </c>
      <c r="GR27" s="17">
        <f t="shared" si="43"/>
        <v>0</v>
      </c>
      <c r="GS27" s="17">
        <f t="shared" si="44"/>
        <v>0</v>
      </c>
      <c r="GT27" s="17">
        <f t="shared" si="133"/>
        <v>1</v>
      </c>
      <c r="GU27" s="101">
        <f t="shared" si="134"/>
        <v>43243</v>
      </c>
      <c r="GV27" s="17" t="str">
        <f t="shared" si="135"/>
        <v>SELESAI</v>
      </c>
      <c r="GW27" s="17">
        <f t="shared" si="136"/>
        <v>0</v>
      </c>
      <c r="GX27" s="66" t="str">
        <f t="shared" si="137"/>
        <v>SELESAI</v>
      </c>
      <c r="GY27" s="66">
        <f t="shared" si="138"/>
        <v>0</v>
      </c>
      <c r="GZ27" s="102" t="str">
        <f t="shared" si="139"/>
        <v>SELESAI</v>
      </c>
      <c r="HA27" s="83"/>
      <c r="HB27" s="83"/>
      <c r="HC27" s="17">
        <f t="shared" si="45"/>
        <v>0</v>
      </c>
      <c r="HD27" s="17">
        <f t="shared" si="46"/>
        <v>0</v>
      </c>
      <c r="HE27" s="17">
        <f t="shared" si="140"/>
        <v>0</v>
      </c>
      <c r="HF27" s="17">
        <f t="shared" si="141"/>
        <v>0</v>
      </c>
      <c r="HG27" s="17">
        <f t="shared" si="142"/>
        <v>0</v>
      </c>
      <c r="HH27" s="101" t="str">
        <f t="shared" si="47"/>
        <v>TIDAK KONSINYASI</v>
      </c>
      <c r="HI27" s="101" t="str">
        <f t="shared" si="143"/>
        <v>SELESAI</v>
      </c>
      <c r="HJ27" s="27"/>
      <c r="HK27" s="101">
        <f t="shared" si="48"/>
        <v>0</v>
      </c>
      <c r="HL27" s="83"/>
      <c r="HM27" s="83"/>
      <c r="HN27" s="83"/>
      <c r="HO27" s="83"/>
      <c r="HP27" s="102">
        <f t="shared" si="144"/>
        <v>0</v>
      </c>
      <c r="HQ27" s="66">
        <f t="shared" si="145"/>
        <v>0</v>
      </c>
      <c r="HR27" s="66">
        <f t="shared" si="49"/>
        <v>0</v>
      </c>
      <c r="HS27" s="102">
        <f t="shared" si="146"/>
        <v>0</v>
      </c>
      <c r="HT27" s="66">
        <f t="shared" si="147"/>
        <v>0</v>
      </c>
      <c r="HU27" s="66">
        <f t="shared" si="50"/>
        <v>0</v>
      </c>
      <c r="HV27" s="102">
        <f t="shared" si="148"/>
        <v>0</v>
      </c>
      <c r="HW27" s="66">
        <f t="shared" si="51"/>
        <v>0</v>
      </c>
      <c r="HX27" s="66">
        <f t="shared" si="52"/>
        <v>0</v>
      </c>
      <c r="HY27" s="102">
        <f t="shared" si="53"/>
        <v>0</v>
      </c>
      <c r="HZ27" s="66">
        <f t="shared" si="149"/>
        <v>0</v>
      </c>
      <c r="IA27" s="66">
        <f t="shared" si="54"/>
        <v>0</v>
      </c>
      <c r="IB27" s="102">
        <f t="shared" si="150"/>
        <v>0</v>
      </c>
      <c r="IC27" s="66">
        <f t="shared" si="55"/>
        <v>0</v>
      </c>
      <c r="ID27" s="66">
        <f t="shared" si="56"/>
        <v>0</v>
      </c>
      <c r="IE27" s="102">
        <f t="shared" si="57"/>
        <v>0</v>
      </c>
      <c r="IF27" s="66">
        <f t="shared" si="58"/>
        <v>0</v>
      </c>
      <c r="IG27" s="66">
        <f t="shared" si="59"/>
        <v>0</v>
      </c>
      <c r="IH27" s="102">
        <f t="shared" si="151"/>
        <v>0</v>
      </c>
      <c r="II27" s="66">
        <f t="shared" si="152"/>
        <v>0</v>
      </c>
      <c r="IJ27" s="66">
        <f t="shared" si="60"/>
        <v>0</v>
      </c>
      <c r="IK27" s="102">
        <f t="shared" si="61"/>
        <v>0</v>
      </c>
      <c r="IL27" s="66">
        <f t="shared" si="62"/>
        <v>0</v>
      </c>
      <c r="IM27" s="66">
        <f t="shared" si="63"/>
        <v>0</v>
      </c>
      <c r="IN27" s="83"/>
      <c r="IO27" s="102">
        <f t="shared" si="64"/>
        <v>0</v>
      </c>
      <c r="IP27" s="66">
        <f t="shared" si="65"/>
        <v>0</v>
      </c>
      <c r="IQ27" s="66">
        <f t="shared" si="66"/>
        <v>0</v>
      </c>
      <c r="IR27" s="83"/>
      <c r="IS27" s="102"/>
      <c r="IT27" s="66">
        <f t="shared" si="67"/>
        <v>1</v>
      </c>
      <c r="IU27" s="66">
        <f t="shared" si="68"/>
        <v>171</v>
      </c>
      <c r="IV27" s="83"/>
      <c r="IW27" s="102"/>
      <c r="IX27" s="66">
        <f t="shared" si="69"/>
        <v>0</v>
      </c>
      <c r="IY27" s="66">
        <f t="shared" si="70"/>
        <v>0</v>
      </c>
      <c r="IZ27" s="83"/>
      <c r="JA27" s="102"/>
      <c r="JB27" s="66">
        <f t="shared" si="71"/>
        <v>0</v>
      </c>
      <c r="JC27" s="66">
        <f t="shared" si="72"/>
        <v>0</v>
      </c>
      <c r="JD27" s="83"/>
      <c r="JE27" s="102"/>
      <c r="JF27" s="66">
        <f t="shared" si="153"/>
        <v>1</v>
      </c>
      <c r="JG27" s="66">
        <f t="shared" si="73"/>
        <v>171</v>
      </c>
      <c r="JH27" s="83"/>
      <c r="JI27" s="102"/>
      <c r="JJ27" s="66">
        <f t="shared" si="74"/>
        <v>0</v>
      </c>
      <c r="JK27" s="66">
        <f t="shared" si="75"/>
        <v>0</v>
      </c>
      <c r="JM27" s="102">
        <f t="shared" si="154"/>
        <v>0</v>
      </c>
      <c r="JO27" s="29">
        <f t="shared" si="76"/>
        <v>0</v>
      </c>
      <c r="JP27" s="122">
        <f t="shared" si="77"/>
        <v>0</v>
      </c>
      <c r="JQ27" s="122">
        <f t="shared" si="78"/>
        <v>0</v>
      </c>
      <c r="JR27" s="122">
        <f t="shared" si="79"/>
        <v>0</v>
      </c>
      <c r="JS27" s="122">
        <f t="shared" si="80"/>
        <v>0</v>
      </c>
      <c r="JT27" s="122">
        <f t="shared" si="81"/>
        <v>0</v>
      </c>
      <c r="JU27" s="122">
        <f t="shared" si="82"/>
        <v>0</v>
      </c>
      <c r="JV27" s="122">
        <f t="shared" si="83"/>
        <v>0</v>
      </c>
      <c r="JW27" s="122">
        <f t="shared" si="84"/>
        <v>0</v>
      </c>
      <c r="JX27" s="122">
        <f t="shared" si="85"/>
        <v>0</v>
      </c>
      <c r="JY27" s="122">
        <f t="shared" si="86"/>
        <v>0</v>
      </c>
      <c r="JZ27" s="122">
        <f t="shared" si="87"/>
        <v>0</v>
      </c>
      <c r="KA27" s="122">
        <f t="shared" si="88"/>
        <v>0</v>
      </c>
      <c r="KB27" s="122">
        <f t="shared" si="89"/>
        <v>0</v>
      </c>
      <c r="KD27" s="122">
        <f t="shared" si="155"/>
        <v>0</v>
      </c>
      <c r="KE27" s="122">
        <f t="shared" si="91"/>
        <v>0</v>
      </c>
      <c r="KF27" s="122">
        <f t="shared" si="92"/>
        <v>0</v>
      </c>
      <c r="KG27" s="122">
        <f t="shared" si="93"/>
        <v>0</v>
      </c>
      <c r="KH27" s="122">
        <f t="shared" si="94"/>
        <v>0</v>
      </c>
      <c r="KI27" s="122">
        <f t="shared" si="95"/>
        <v>0</v>
      </c>
      <c r="KJ27" s="122">
        <f t="shared" si="96"/>
        <v>0</v>
      </c>
      <c r="KK27" s="122">
        <f t="shared" si="97"/>
        <v>0</v>
      </c>
      <c r="KL27" s="122">
        <f t="shared" si="98"/>
        <v>0</v>
      </c>
      <c r="KM27" s="122">
        <f t="shared" si="99"/>
        <v>0</v>
      </c>
      <c r="KN27" s="123">
        <f t="shared" si="100"/>
        <v>0</v>
      </c>
      <c r="KO27" s="123">
        <f t="shared" si="101"/>
        <v>0</v>
      </c>
      <c r="KP27" s="123">
        <f t="shared" si="102"/>
        <v>0</v>
      </c>
      <c r="KQ27" s="123">
        <f t="shared" si="103"/>
        <v>0</v>
      </c>
      <c r="KR27" s="123">
        <f t="shared" si="104"/>
        <v>0</v>
      </c>
      <c r="KT27">
        <f t="shared" si="105"/>
        <v>0</v>
      </c>
      <c r="KU27" s="123"/>
      <c r="KV27" s="123"/>
      <c r="KW27" s="123"/>
      <c r="KX27" s="123"/>
      <c r="KY27" s="123"/>
      <c r="KZ27" s="123"/>
      <c r="LA27" s="123"/>
      <c r="LB27" s="123"/>
      <c r="LC27" s="123"/>
      <c r="LD27" s="123"/>
      <c r="LE27" s="123"/>
      <c r="LF27" s="123"/>
      <c r="LG27" s="123"/>
      <c r="LH27" s="123"/>
      <c r="LI27" s="123"/>
      <c r="LJ27" s="123"/>
      <c r="LK27" s="123"/>
      <c r="LL27" s="123"/>
      <c r="LM27" s="123"/>
      <c r="LN27" s="123"/>
      <c r="LO27" s="123"/>
      <c r="LP27" s="123"/>
      <c r="LQ27" s="123"/>
      <c r="LR27" s="123"/>
      <c r="LS27" s="123"/>
      <c r="LT27" s="123"/>
      <c r="LU27" s="123"/>
      <c r="LV27" s="123"/>
      <c r="LW27" s="123"/>
      <c r="LX27" s="123"/>
      <c r="LY27" s="123"/>
      <c r="LZ27" s="123"/>
      <c r="MA27" s="123"/>
      <c r="MB27" s="123"/>
      <c r="MC27" s="123"/>
      <c r="MD27" s="123"/>
      <c r="ME27" s="123"/>
      <c r="MF27" s="123"/>
      <c r="MG27" s="123"/>
      <c r="MH27" s="123"/>
      <c r="MI27" s="123"/>
      <c r="MJ27" s="123"/>
      <c r="MK27" s="123"/>
      <c r="ML27" s="123"/>
      <c r="MM27" s="123"/>
      <c r="MN27" s="123"/>
      <c r="MO27" s="123"/>
      <c r="MP27" s="123"/>
      <c r="MQ27" s="123"/>
      <c r="MR27" s="123"/>
      <c r="MS27" s="123"/>
      <c r="MT27" s="123"/>
      <c r="MU27" s="123"/>
      <c r="MV27" s="123"/>
      <c r="MW27" s="123"/>
      <c r="MX27" s="123"/>
      <c r="MY27" s="123"/>
      <c r="MZ27" s="123"/>
      <c r="NA27" s="123"/>
      <c r="NB27" s="123"/>
      <c r="NC27" s="123"/>
      <c r="ND27" s="123"/>
      <c r="NE27" s="123"/>
      <c r="NF27" s="123"/>
      <c r="NG27" s="123"/>
      <c r="NH27" s="123"/>
      <c r="NI27" s="123"/>
      <c r="NJ27" s="123"/>
      <c r="NK27" s="123"/>
      <c r="NM27">
        <f t="shared" si="156"/>
        <v>0</v>
      </c>
      <c r="NN27">
        <f t="shared" si="157"/>
        <v>0</v>
      </c>
      <c r="NO27">
        <f t="shared" si="158"/>
        <v>0</v>
      </c>
      <c r="NP27">
        <f t="shared" si="159"/>
        <v>0</v>
      </c>
      <c r="NQ27">
        <f t="shared" si="160"/>
        <v>0</v>
      </c>
      <c r="NR27">
        <f t="shared" si="161"/>
        <v>0</v>
      </c>
      <c r="NS27">
        <f t="shared" si="162"/>
        <v>0</v>
      </c>
      <c r="NT27">
        <f t="shared" si="163"/>
        <v>0</v>
      </c>
      <c r="NU27" s="29">
        <f t="shared" si="164"/>
        <v>0</v>
      </c>
      <c r="NY27" s="29">
        <f t="shared" si="107"/>
        <v>1</v>
      </c>
      <c r="NZ27" s="152">
        <v>7275000</v>
      </c>
      <c r="OE27" s="155">
        <f t="shared" si="108"/>
        <v>0</v>
      </c>
      <c r="OF27" s="155">
        <f t="shared" si="109"/>
        <v>0</v>
      </c>
      <c r="OG27" s="155">
        <f t="shared" si="110"/>
        <v>0</v>
      </c>
      <c r="OH27" s="155">
        <f t="shared" si="165"/>
        <v>0</v>
      </c>
      <c r="OI27" s="155">
        <f t="shared" si="111"/>
        <v>0</v>
      </c>
      <c r="OJ27" s="67">
        <f t="shared" si="166"/>
        <v>0</v>
      </c>
      <c r="OK27" s="67">
        <f t="shared" si="167"/>
        <v>0</v>
      </c>
      <c r="OL27" s="67">
        <f t="shared" si="168"/>
        <v>0</v>
      </c>
      <c r="OM27" s="67">
        <f t="shared" si="169"/>
        <v>0</v>
      </c>
      <c r="OO27" s="155">
        <f t="shared" si="112"/>
        <v>0</v>
      </c>
      <c r="OP27" s="155">
        <f t="shared" si="113"/>
        <v>0</v>
      </c>
      <c r="OQ27" s="155">
        <f t="shared" si="170"/>
        <v>0</v>
      </c>
      <c r="OR27" s="155">
        <f t="shared" si="171"/>
        <v>0</v>
      </c>
      <c r="OS27" s="155">
        <f t="shared" si="172"/>
        <v>0</v>
      </c>
      <c r="OT27" s="67">
        <f t="shared" si="173"/>
        <v>0</v>
      </c>
      <c r="OU27" s="67">
        <f t="shared" si="174"/>
        <v>0</v>
      </c>
      <c r="OV27" s="67">
        <f t="shared" si="175"/>
        <v>0</v>
      </c>
      <c r="OW27" s="67">
        <f t="shared" si="176"/>
        <v>0</v>
      </c>
      <c r="OZ27" s="163">
        <f t="shared" si="114"/>
        <v>0</v>
      </c>
      <c r="PA27" s="166"/>
      <c r="PB27" s="166"/>
      <c r="PC27" s="166"/>
      <c r="PD27" s="210">
        <f t="shared" si="115"/>
        <v>0</v>
      </c>
      <c r="PE27" s="210"/>
      <c r="PF27" s="210">
        <f t="shared" si="116"/>
        <v>0</v>
      </c>
      <c r="PG27" s="210">
        <f t="shared" si="117"/>
        <v>0</v>
      </c>
      <c r="PH27" s="210">
        <f t="shared" si="117"/>
        <v>0</v>
      </c>
      <c r="PI27" s="210">
        <f t="shared" si="117"/>
        <v>0</v>
      </c>
      <c r="PJ27" s="210">
        <f t="shared" si="117"/>
        <v>0</v>
      </c>
      <c r="PK27" s="210">
        <f t="shared" si="117"/>
        <v>0</v>
      </c>
      <c r="PL27" s="210">
        <f t="shared" si="117"/>
        <v>0</v>
      </c>
      <c r="PO27" s="172">
        <f t="shared" si="177"/>
        <v>0</v>
      </c>
      <c r="PP27" s="172">
        <f t="shared" si="178"/>
        <v>0</v>
      </c>
      <c r="PQ27" s="172">
        <f t="shared" si="179"/>
        <v>0</v>
      </c>
    </row>
    <row r="28" spans="1:433" ht="16" x14ac:dyDescent="0.2">
      <c r="A28" s="19">
        <f t="shared" si="180"/>
        <v>20</v>
      </c>
      <c r="B28" s="186" t="s">
        <v>180</v>
      </c>
      <c r="C28" s="186">
        <v>21</v>
      </c>
      <c r="D28" s="188">
        <v>1</v>
      </c>
      <c r="E28" s="188">
        <v>52</v>
      </c>
      <c r="F28" s="188">
        <v>1</v>
      </c>
      <c r="G28" s="188">
        <f t="shared" si="2"/>
        <v>52</v>
      </c>
      <c r="H28" s="214">
        <f t="shared" si="3"/>
        <v>1</v>
      </c>
      <c r="I28" s="214">
        <f t="shared" si="4"/>
        <v>1</v>
      </c>
      <c r="J28" s="188">
        <v>1</v>
      </c>
      <c r="K28" s="188">
        <f t="shared" si="5"/>
        <v>52</v>
      </c>
      <c r="L28" s="214">
        <f t="shared" si="6"/>
        <v>1</v>
      </c>
      <c r="M28" s="214">
        <f t="shared" si="7"/>
        <v>1</v>
      </c>
      <c r="N28" s="188">
        <v>1</v>
      </c>
      <c r="O28" s="188">
        <f t="shared" si="8"/>
        <v>52</v>
      </c>
      <c r="P28" s="214">
        <f t="shared" si="9"/>
        <v>1</v>
      </c>
      <c r="Q28" s="214">
        <f t="shared" si="10"/>
        <v>1</v>
      </c>
      <c r="R28" s="188">
        <v>1</v>
      </c>
      <c r="S28" s="188">
        <f t="shared" si="11"/>
        <v>52</v>
      </c>
      <c r="T28" s="214">
        <f t="shared" si="12"/>
        <v>1</v>
      </c>
      <c r="U28" s="214">
        <f t="shared" si="13"/>
        <v>1</v>
      </c>
      <c r="V28" s="188">
        <v>1</v>
      </c>
      <c r="W28" s="188">
        <f t="shared" si="14"/>
        <v>52</v>
      </c>
      <c r="X28" s="214">
        <f t="shared" si="15"/>
        <v>1</v>
      </c>
      <c r="Y28" s="214">
        <f t="shared" si="16"/>
        <v>1</v>
      </c>
      <c r="Z28" s="216">
        <f>470902000/1000000000</f>
        <v>0.47090199999999999</v>
      </c>
      <c r="AA28" s="188">
        <v>0</v>
      </c>
      <c r="AB28" s="189">
        <f t="shared" si="118"/>
        <v>0</v>
      </c>
      <c r="AC28" s="250">
        <f t="shared" si="119"/>
        <v>0</v>
      </c>
      <c r="AD28" s="250">
        <f t="shared" si="120"/>
        <v>0</v>
      </c>
      <c r="AE28" s="188"/>
      <c r="AF28" s="188">
        <f t="shared" si="121"/>
        <v>0</v>
      </c>
      <c r="AG28" s="188"/>
      <c r="AH28" s="188" t="s">
        <v>313</v>
      </c>
      <c r="AI28" s="188">
        <v>0</v>
      </c>
      <c r="AJ28" s="188">
        <f t="shared" si="181"/>
        <v>0</v>
      </c>
      <c r="AK28" s="188"/>
      <c r="AL28" s="188">
        <v>0</v>
      </c>
      <c r="AM28" s="188">
        <v>0</v>
      </c>
      <c r="AN28" s="217"/>
      <c r="AO28" s="195"/>
      <c r="AP28" s="195"/>
      <c r="AQ28" s="195"/>
      <c r="AR28" s="195"/>
      <c r="AS28" s="195"/>
      <c r="AT28" s="195"/>
      <c r="BB28" s="17">
        <f t="shared" si="123"/>
        <v>0</v>
      </c>
      <c r="BE28" s="17">
        <f t="shared" si="19"/>
        <v>0</v>
      </c>
      <c r="BF28" s="17">
        <f t="shared" si="20"/>
        <v>0</v>
      </c>
      <c r="BG28" s="17">
        <f t="shared" si="21"/>
        <v>0</v>
      </c>
      <c r="BH28" s="17">
        <f t="shared" si="22"/>
        <v>0</v>
      </c>
      <c r="BI28" s="17">
        <f t="shared" si="23"/>
        <v>0</v>
      </c>
      <c r="BJ28" s="17">
        <f t="shared" si="24"/>
        <v>0</v>
      </c>
      <c r="BK28" s="17">
        <f t="shared" si="124"/>
        <v>0</v>
      </c>
      <c r="BM28" s="128"/>
      <c r="BN28" s="289">
        <v>18</v>
      </c>
      <c r="BO28">
        <v>1</v>
      </c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B28" s="20"/>
      <c r="CD28" s="17">
        <f t="shared" si="125"/>
        <v>18</v>
      </c>
      <c r="CE28" s="17">
        <f t="shared" si="126"/>
        <v>18</v>
      </c>
      <c r="CF28" s="20">
        <f t="shared" si="182"/>
        <v>0</v>
      </c>
      <c r="CG28" s="20">
        <f t="shared" si="183"/>
        <v>0</v>
      </c>
      <c r="CH28" s="20">
        <f t="shared" si="184"/>
        <v>0</v>
      </c>
      <c r="CI28" s="20">
        <f t="shared" si="185"/>
        <v>0</v>
      </c>
      <c r="CJ28" s="20">
        <f t="shared" si="186"/>
        <v>0</v>
      </c>
      <c r="CK28" s="20">
        <f t="shared" si="187"/>
        <v>0</v>
      </c>
      <c r="CL28" s="20">
        <f t="shared" si="188"/>
        <v>0</v>
      </c>
      <c r="CM28" s="20">
        <f t="shared" si="189"/>
        <v>0</v>
      </c>
      <c r="CN28" s="20">
        <f t="shared" si="190"/>
        <v>0</v>
      </c>
      <c r="CO28" s="20">
        <f t="shared" si="191"/>
        <v>0</v>
      </c>
      <c r="CP28" s="20">
        <f t="shared" si="192"/>
        <v>0</v>
      </c>
      <c r="DV28" s="20">
        <f t="shared" si="27"/>
        <v>0</v>
      </c>
      <c r="DW28" s="20">
        <f t="shared" si="28"/>
        <v>0</v>
      </c>
      <c r="DX28" s="20">
        <f t="shared" si="29"/>
        <v>0</v>
      </c>
      <c r="DY28" s="20">
        <f t="shared" si="30"/>
        <v>0</v>
      </c>
      <c r="DZ28" s="20">
        <f t="shared" si="31"/>
        <v>0</v>
      </c>
      <c r="EA28" s="20">
        <f t="shared" si="32"/>
        <v>0</v>
      </c>
      <c r="EB28" s="20">
        <f t="shared" si="127"/>
        <v>0</v>
      </c>
      <c r="EG28" s="57">
        <f t="shared" si="128"/>
        <v>0</v>
      </c>
      <c r="EH28" s="57">
        <f t="shared" si="129"/>
        <v>0</v>
      </c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X28" s="169">
        <v>1</v>
      </c>
      <c r="FY28" s="17">
        <f t="shared" si="130"/>
        <v>18</v>
      </c>
      <c r="FZ28" s="17">
        <f t="shared" si="34"/>
        <v>18</v>
      </c>
      <c r="GA28" s="17">
        <f t="shared" si="35"/>
        <v>0</v>
      </c>
      <c r="GB28" s="17">
        <f t="shared" si="36"/>
        <v>0</v>
      </c>
      <c r="GC28" s="17">
        <f t="shared" si="37"/>
        <v>0</v>
      </c>
      <c r="GD28" s="17">
        <f t="shared" si="38"/>
        <v>0</v>
      </c>
      <c r="GE28" s="17">
        <f t="shared" si="39"/>
        <v>0</v>
      </c>
      <c r="GF28" s="67"/>
      <c r="GG28" s="17">
        <v>0</v>
      </c>
      <c r="GH28" s="17">
        <v>0</v>
      </c>
      <c r="GI28" s="67"/>
      <c r="GJ28" s="62">
        <f t="shared" si="131"/>
        <v>0</v>
      </c>
      <c r="GK28" s="62">
        <f t="shared" si="132"/>
        <v>0</v>
      </c>
      <c r="GO28" s="17">
        <f t="shared" si="40"/>
        <v>0</v>
      </c>
      <c r="GP28" s="17">
        <f t="shared" si="41"/>
        <v>0</v>
      </c>
      <c r="GQ28" s="17">
        <f t="shared" si="42"/>
        <v>0</v>
      </c>
      <c r="GR28" s="17">
        <f t="shared" si="43"/>
        <v>0</v>
      </c>
      <c r="GS28" s="17">
        <f t="shared" si="44"/>
        <v>0</v>
      </c>
      <c r="GT28" s="17">
        <f t="shared" si="133"/>
        <v>1</v>
      </c>
      <c r="GU28" s="101">
        <f t="shared" si="134"/>
        <v>43243</v>
      </c>
      <c r="GV28" s="17" t="str">
        <f t="shared" si="135"/>
        <v>SELESAI</v>
      </c>
      <c r="GW28" s="17">
        <f t="shared" si="136"/>
        <v>0</v>
      </c>
      <c r="GX28" s="66" t="str">
        <f t="shared" si="137"/>
        <v>SELESAI</v>
      </c>
      <c r="GY28" s="66">
        <f t="shared" si="138"/>
        <v>0</v>
      </c>
      <c r="GZ28" s="102" t="str">
        <f t="shared" si="139"/>
        <v>SELESAI</v>
      </c>
      <c r="HA28" s="83"/>
      <c r="HB28" s="83"/>
      <c r="HC28" s="17">
        <f t="shared" si="45"/>
        <v>0</v>
      </c>
      <c r="HD28" s="17">
        <f t="shared" si="46"/>
        <v>0</v>
      </c>
      <c r="HE28" s="17">
        <f t="shared" si="140"/>
        <v>0</v>
      </c>
      <c r="HF28" s="17">
        <f t="shared" si="141"/>
        <v>0</v>
      </c>
      <c r="HG28" s="17">
        <f t="shared" si="142"/>
        <v>0</v>
      </c>
      <c r="HH28" s="101" t="str">
        <f t="shared" si="47"/>
        <v>TIDAK KONSINYASI</v>
      </c>
      <c r="HI28" s="101" t="str">
        <f t="shared" si="143"/>
        <v>SELESAI</v>
      </c>
      <c r="HJ28" s="27"/>
      <c r="HK28" s="101">
        <f t="shared" si="48"/>
        <v>0</v>
      </c>
      <c r="HL28" s="83"/>
      <c r="HM28" s="83"/>
      <c r="HN28" s="83"/>
      <c r="HO28" s="83"/>
      <c r="HP28" s="102">
        <f t="shared" si="144"/>
        <v>0</v>
      </c>
      <c r="HQ28" s="66">
        <f t="shared" si="145"/>
        <v>0</v>
      </c>
      <c r="HR28" s="66">
        <f t="shared" si="49"/>
        <v>0</v>
      </c>
      <c r="HS28" s="102">
        <f t="shared" si="146"/>
        <v>0</v>
      </c>
      <c r="HT28" s="66">
        <f t="shared" si="147"/>
        <v>0</v>
      </c>
      <c r="HU28" s="66">
        <f t="shared" si="50"/>
        <v>0</v>
      </c>
      <c r="HV28" s="102">
        <f t="shared" si="148"/>
        <v>0</v>
      </c>
      <c r="HW28" s="66">
        <f t="shared" si="51"/>
        <v>0</v>
      </c>
      <c r="HX28" s="66">
        <f t="shared" si="52"/>
        <v>0</v>
      </c>
      <c r="HY28" s="102">
        <f t="shared" si="53"/>
        <v>0</v>
      </c>
      <c r="HZ28" s="66">
        <f t="shared" si="149"/>
        <v>0</v>
      </c>
      <c r="IA28" s="66">
        <f t="shared" si="54"/>
        <v>0</v>
      </c>
      <c r="IB28" s="102">
        <f t="shared" si="150"/>
        <v>0</v>
      </c>
      <c r="IC28" s="66">
        <f t="shared" si="55"/>
        <v>0</v>
      </c>
      <c r="ID28" s="66">
        <f t="shared" si="56"/>
        <v>0</v>
      </c>
      <c r="IE28" s="102">
        <f t="shared" si="57"/>
        <v>0</v>
      </c>
      <c r="IF28" s="66">
        <f t="shared" si="58"/>
        <v>0</v>
      </c>
      <c r="IG28" s="66">
        <f t="shared" si="59"/>
        <v>0</v>
      </c>
      <c r="IH28" s="102">
        <f t="shared" si="151"/>
        <v>0</v>
      </c>
      <c r="II28" s="66">
        <f t="shared" si="152"/>
        <v>0</v>
      </c>
      <c r="IJ28" s="66">
        <f t="shared" si="60"/>
        <v>0</v>
      </c>
      <c r="IK28" s="102">
        <f t="shared" si="61"/>
        <v>0</v>
      </c>
      <c r="IL28" s="66">
        <f t="shared" si="62"/>
        <v>0</v>
      </c>
      <c r="IM28" s="66">
        <f t="shared" si="63"/>
        <v>0</v>
      </c>
      <c r="IN28" s="83"/>
      <c r="IO28" s="102">
        <f t="shared" si="64"/>
        <v>0</v>
      </c>
      <c r="IP28" s="66">
        <f t="shared" si="65"/>
        <v>0</v>
      </c>
      <c r="IQ28" s="66">
        <f t="shared" si="66"/>
        <v>0</v>
      </c>
      <c r="IR28" s="83"/>
      <c r="IS28" s="102"/>
      <c r="IT28" s="66">
        <f t="shared" si="67"/>
        <v>1</v>
      </c>
      <c r="IU28" s="66">
        <f t="shared" si="68"/>
        <v>52</v>
      </c>
      <c r="IV28" s="83"/>
      <c r="IW28" s="102"/>
      <c r="IX28" s="66">
        <f t="shared" si="69"/>
        <v>0</v>
      </c>
      <c r="IY28" s="66">
        <f t="shared" si="70"/>
        <v>0</v>
      </c>
      <c r="IZ28" s="83"/>
      <c r="JA28" s="102"/>
      <c r="JB28" s="66">
        <f t="shared" si="71"/>
        <v>0</v>
      </c>
      <c r="JC28" s="66">
        <f t="shared" si="72"/>
        <v>0</v>
      </c>
      <c r="JD28" s="83"/>
      <c r="JE28" s="102"/>
      <c r="JF28" s="66">
        <f t="shared" si="153"/>
        <v>1</v>
      </c>
      <c r="JG28" s="66">
        <f t="shared" si="73"/>
        <v>52</v>
      </c>
      <c r="JH28" s="83"/>
      <c r="JI28" s="102"/>
      <c r="JJ28" s="66">
        <f t="shared" si="74"/>
        <v>0</v>
      </c>
      <c r="JK28" s="66">
        <f t="shared" si="75"/>
        <v>0</v>
      </c>
      <c r="JM28" s="102">
        <f t="shared" si="154"/>
        <v>0</v>
      </c>
      <c r="JO28" s="29">
        <f t="shared" si="76"/>
        <v>1</v>
      </c>
      <c r="JP28" s="122">
        <f t="shared" si="77"/>
        <v>18</v>
      </c>
      <c r="JQ28" s="122">
        <f t="shared" si="78"/>
        <v>1</v>
      </c>
      <c r="JR28" s="122">
        <f t="shared" si="79"/>
        <v>0</v>
      </c>
      <c r="JS28" s="122">
        <f t="shared" si="80"/>
        <v>0</v>
      </c>
      <c r="JT28" s="122">
        <f t="shared" si="81"/>
        <v>0</v>
      </c>
      <c r="JU28" s="122">
        <f t="shared" si="82"/>
        <v>0</v>
      </c>
      <c r="JV28" s="122">
        <f t="shared" si="83"/>
        <v>0</v>
      </c>
      <c r="JW28" s="122">
        <f t="shared" si="84"/>
        <v>0</v>
      </c>
      <c r="JX28" s="122">
        <f t="shared" si="85"/>
        <v>0</v>
      </c>
      <c r="JY28" s="122">
        <f t="shared" si="86"/>
        <v>0</v>
      </c>
      <c r="JZ28" s="122">
        <f t="shared" si="87"/>
        <v>0</v>
      </c>
      <c r="KA28" s="122">
        <f t="shared" si="88"/>
        <v>0</v>
      </c>
      <c r="KB28" s="122">
        <f t="shared" si="89"/>
        <v>0</v>
      </c>
      <c r="KD28" s="122">
        <f t="shared" si="155"/>
        <v>0</v>
      </c>
      <c r="KE28" s="122">
        <f t="shared" si="91"/>
        <v>0</v>
      </c>
      <c r="KF28" s="122">
        <f t="shared" si="92"/>
        <v>18</v>
      </c>
      <c r="KG28" s="122">
        <f t="shared" si="93"/>
        <v>18</v>
      </c>
      <c r="KH28" s="122">
        <f t="shared" si="94"/>
        <v>0</v>
      </c>
      <c r="KI28" s="122">
        <f t="shared" si="95"/>
        <v>0</v>
      </c>
      <c r="KJ28" s="122">
        <f t="shared" si="96"/>
        <v>0</v>
      </c>
      <c r="KK28" s="122">
        <f t="shared" si="97"/>
        <v>0</v>
      </c>
      <c r="KL28" s="122">
        <f t="shared" si="98"/>
        <v>0</v>
      </c>
      <c r="KM28" s="122">
        <f t="shared" si="99"/>
        <v>0</v>
      </c>
      <c r="KN28" s="123">
        <f t="shared" si="100"/>
        <v>0</v>
      </c>
      <c r="KO28" s="123">
        <f t="shared" si="101"/>
        <v>0</v>
      </c>
      <c r="KP28" s="123">
        <f t="shared" si="102"/>
        <v>0</v>
      </c>
      <c r="KQ28" s="123">
        <f t="shared" si="103"/>
        <v>0</v>
      </c>
      <c r="KR28" s="123">
        <f t="shared" si="104"/>
        <v>0</v>
      </c>
      <c r="KT28">
        <f t="shared" si="105"/>
        <v>0</v>
      </c>
      <c r="KU28" s="123"/>
      <c r="KV28" s="123"/>
      <c r="KW28" s="123"/>
      <c r="KX28" s="123"/>
      <c r="KY28" s="123"/>
      <c r="KZ28" s="123"/>
      <c r="LA28" s="123"/>
      <c r="LB28" s="123"/>
      <c r="LC28" s="123"/>
      <c r="LD28" s="123"/>
      <c r="LE28" s="123"/>
      <c r="LF28" s="123"/>
      <c r="LG28" s="123"/>
      <c r="LH28" s="123"/>
      <c r="LI28" s="123"/>
      <c r="LJ28" s="123"/>
      <c r="LK28" s="123"/>
      <c r="LL28" s="123"/>
      <c r="LM28" s="123"/>
      <c r="LN28" s="123"/>
      <c r="LO28" s="123"/>
      <c r="LP28" s="123"/>
      <c r="LQ28" s="123"/>
      <c r="LR28" s="123"/>
      <c r="LS28" s="123"/>
      <c r="LT28" s="123"/>
      <c r="LU28" s="123"/>
      <c r="LV28" s="123"/>
      <c r="LW28" s="123"/>
      <c r="LX28" s="123"/>
      <c r="LY28" s="123"/>
      <c r="LZ28" s="123"/>
      <c r="MA28" s="123"/>
      <c r="MB28" s="123"/>
      <c r="MC28" s="123"/>
      <c r="MD28" s="123"/>
      <c r="ME28" s="123"/>
      <c r="MF28" s="123"/>
      <c r="MG28" s="123"/>
      <c r="MH28" s="123"/>
      <c r="MI28" s="123"/>
      <c r="MJ28" s="123"/>
      <c r="MK28" s="123"/>
      <c r="ML28" s="123"/>
      <c r="MM28" s="123"/>
      <c r="MN28" s="123"/>
      <c r="MO28" s="123"/>
      <c r="MP28" s="123"/>
      <c r="MQ28" s="123"/>
      <c r="MR28" s="123"/>
      <c r="MS28" s="123"/>
      <c r="MT28" s="123"/>
      <c r="MU28" s="123"/>
      <c r="MV28" s="123"/>
      <c r="MW28" s="123"/>
      <c r="MX28" s="123"/>
      <c r="MY28" s="123"/>
      <c r="MZ28" s="123"/>
      <c r="NA28" s="123"/>
      <c r="NB28" s="123"/>
      <c r="NC28" s="123"/>
      <c r="ND28" s="123"/>
      <c r="NE28" s="123"/>
      <c r="NF28" s="123"/>
      <c r="NG28" s="123"/>
      <c r="NH28" s="123"/>
      <c r="NI28" s="123"/>
      <c r="NJ28" s="123"/>
      <c r="NK28" s="123"/>
      <c r="NM28">
        <f t="shared" si="156"/>
        <v>0</v>
      </c>
      <c r="NN28">
        <f t="shared" si="157"/>
        <v>0</v>
      </c>
      <c r="NO28">
        <f t="shared" si="158"/>
        <v>0</v>
      </c>
      <c r="NP28">
        <f t="shared" si="159"/>
        <v>0</v>
      </c>
      <c r="NQ28">
        <f t="shared" si="160"/>
        <v>0</v>
      </c>
      <c r="NR28">
        <f t="shared" si="161"/>
        <v>0</v>
      </c>
      <c r="NS28">
        <f t="shared" si="162"/>
        <v>0</v>
      </c>
      <c r="NT28">
        <f t="shared" si="163"/>
        <v>0</v>
      </c>
      <c r="NU28" s="29">
        <f t="shared" si="164"/>
        <v>0</v>
      </c>
      <c r="NY28" s="29">
        <f t="shared" si="107"/>
        <v>1</v>
      </c>
      <c r="NZ28" s="152">
        <v>7275000</v>
      </c>
      <c r="OE28" s="155">
        <f t="shared" si="108"/>
        <v>0</v>
      </c>
      <c r="OF28" s="155">
        <f t="shared" si="109"/>
        <v>0</v>
      </c>
      <c r="OG28" s="155">
        <f t="shared" si="110"/>
        <v>0</v>
      </c>
      <c r="OH28" s="155">
        <f t="shared" si="165"/>
        <v>0</v>
      </c>
      <c r="OI28" s="155">
        <f t="shared" si="111"/>
        <v>0</v>
      </c>
      <c r="OJ28" s="67">
        <f t="shared" si="166"/>
        <v>0</v>
      </c>
      <c r="OK28" s="67">
        <f t="shared" si="167"/>
        <v>0</v>
      </c>
      <c r="OL28" s="67">
        <f t="shared" si="168"/>
        <v>0</v>
      </c>
      <c r="OM28" s="67">
        <f t="shared" si="169"/>
        <v>0</v>
      </c>
      <c r="OO28" s="155">
        <f t="shared" si="112"/>
        <v>0</v>
      </c>
      <c r="OP28" s="155">
        <f t="shared" si="113"/>
        <v>0</v>
      </c>
      <c r="OQ28" s="155">
        <f t="shared" si="170"/>
        <v>0</v>
      </c>
      <c r="OR28" s="155">
        <f t="shared" si="171"/>
        <v>0</v>
      </c>
      <c r="OS28" s="155">
        <f t="shared" si="172"/>
        <v>0</v>
      </c>
      <c r="OT28" s="67">
        <f t="shared" si="173"/>
        <v>0</v>
      </c>
      <c r="OU28" s="67">
        <f t="shared" si="174"/>
        <v>0</v>
      </c>
      <c r="OV28" s="67">
        <f t="shared" si="175"/>
        <v>0</v>
      </c>
      <c r="OW28" s="67">
        <f t="shared" si="176"/>
        <v>0</v>
      </c>
      <c r="OZ28" s="163">
        <f t="shared" si="114"/>
        <v>0</v>
      </c>
      <c r="PA28" s="166"/>
      <c r="PB28" s="166"/>
      <c r="PC28" s="166"/>
      <c r="PD28" s="210">
        <f t="shared" si="115"/>
        <v>0</v>
      </c>
      <c r="PE28" s="210"/>
      <c r="PF28" s="210">
        <f t="shared" si="116"/>
        <v>0</v>
      </c>
      <c r="PG28" s="210">
        <f t="shared" si="117"/>
        <v>0</v>
      </c>
      <c r="PH28" s="210">
        <f t="shared" si="117"/>
        <v>0</v>
      </c>
      <c r="PI28" s="210">
        <f t="shared" si="117"/>
        <v>0</v>
      </c>
      <c r="PJ28" s="210">
        <f t="shared" si="117"/>
        <v>0</v>
      </c>
      <c r="PK28" s="210">
        <f t="shared" si="117"/>
        <v>0</v>
      </c>
      <c r="PL28" s="210">
        <f t="shared" si="117"/>
        <v>0</v>
      </c>
      <c r="PO28" s="172">
        <f t="shared" si="177"/>
        <v>0</v>
      </c>
      <c r="PP28" s="172">
        <f t="shared" si="178"/>
        <v>0</v>
      </c>
      <c r="PQ28" s="172">
        <f t="shared" si="179"/>
        <v>0</v>
      </c>
    </row>
    <row r="29" spans="1:433" ht="16" x14ac:dyDescent="0.2">
      <c r="A29" s="19">
        <f t="shared" si="180"/>
        <v>21</v>
      </c>
      <c r="B29" s="186" t="s">
        <v>181</v>
      </c>
      <c r="C29" s="186">
        <v>22</v>
      </c>
      <c r="D29" s="188">
        <v>1</v>
      </c>
      <c r="E29" s="188">
        <v>53</v>
      </c>
      <c r="F29" s="188">
        <v>1</v>
      </c>
      <c r="G29" s="188">
        <f t="shared" si="2"/>
        <v>53</v>
      </c>
      <c r="H29" s="214">
        <f t="shared" si="3"/>
        <v>1</v>
      </c>
      <c r="I29" s="214">
        <f t="shared" si="4"/>
        <v>1</v>
      </c>
      <c r="J29" s="188">
        <v>1</v>
      </c>
      <c r="K29" s="188">
        <f t="shared" si="5"/>
        <v>53</v>
      </c>
      <c r="L29" s="214">
        <f t="shared" si="6"/>
        <v>1</v>
      </c>
      <c r="M29" s="214">
        <f t="shared" si="7"/>
        <v>1</v>
      </c>
      <c r="N29" s="188">
        <v>1</v>
      </c>
      <c r="O29" s="188">
        <f t="shared" si="8"/>
        <v>53</v>
      </c>
      <c r="P29" s="214">
        <f t="shared" si="9"/>
        <v>1</v>
      </c>
      <c r="Q29" s="214">
        <f t="shared" si="10"/>
        <v>1</v>
      </c>
      <c r="R29" s="188">
        <v>1</v>
      </c>
      <c r="S29" s="188">
        <f t="shared" si="11"/>
        <v>53</v>
      </c>
      <c r="T29" s="214">
        <f t="shared" si="12"/>
        <v>1</v>
      </c>
      <c r="U29" s="214">
        <f t="shared" si="13"/>
        <v>1</v>
      </c>
      <c r="V29" s="188">
        <v>1</v>
      </c>
      <c r="W29" s="188">
        <f t="shared" si="14"/>
        <v>53</v>
      </c>
      <c r="X29" s="214">
        <f t="shared" si="15"/>
        <v>1</v>
      </c>
      <c r="Y29" s="214">
        <f t="shared" si="16"/>
        <v>1</v>
      </c>
      <c r="Z29" s="216">
        <f>548113000/1000000000</f>
        <v>0.54811299999999996</v>
      </c>
      <c r="AA29" s="188">
        <v>0</v>
      </c>
      <c r="AB29" s="189">
        <f t="shared" si="118"/>
        <v>0</v>
      </c>
      <c r="AC29" s="250">
        <f t="shared" si="119"/>
        <v>0</v>
      </c>
      <c r="AD29" s="250">
        <f t="shared" si="120"/>
        <v>0</v>
      </c>
      <c r="AE29" s="188"/>
      <c r="AF29" s="188">
        <f t="shared" si="121"/>
        <v>0</v>
      </c>
      <c r="AG29" s="188"/>
      <c r="AH29" s="188" t="s">
        <v>313</v>
      </c>
      <c r="AI29" s="188">
        <v>0</v>
      </c>
      <c r="AJ29" s="188">
        <f t="shared" si="181"/>
        <v>0</v>
      </c>
      <c r="AK29" s="188"/>
      <c r="AL29" s="188">
        <v>0</v>
      </c>
      <c r="AM29" s="188">
        <v>0</v>
      </c>
      <c r="AN29" s="217"/>
      <c r="AO29" s="195"/>
      <c r="AP29" s="195"/>
      <c r="AQ29" s="195"/>
      <c r="AR29" s="195"/>
      <c r="AS29" s="195"/>
      <c r="AT29" s="195"/>
      <c r="BB29" s="17">
        <f t="shared" si="123"/>
        <v>0</v>
      </c>
      <c r="BE29" s="17">
        <f t="shared" si="19"/>
        <v>0</v>
      </c>
      <c r="BF29" s="17">
        <f t="shared" si="20"/>
        <v>0</v>
      </c>
      <c r="BG29" s="17">
        <f t="shared" si="21"/>
        <v>0</v>
      </c>
      <c r="BH29" s="17">
        <f t="shared" si="22"/>
        <v>0</v>
      </c>
      <c r="BI29" s="17">
        <f t="shared" si="23"/>
        <v>0</v>
      </c>
      <c r="BJ29" s="17">
        <f t="shared" si="24"/>
        <v>0</v>
      </c>
      <c r="BK29" s="17">
        <f t="shared" si="124"/>
        <v>0</v>
      </c>
      <c r="BM29" s="128"/>
      <c r="BN29" s="289">
        <v>18</v>
      </c>
      <c r="BO29">
        <v>1</v>
      </c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B29" s="20"/>
      <c r="CD29" s="17">
        <f t="shared" si="125"/>
        <v>18</v>
      </c>
      <c r="CE29" s="17">
        <f t="shared" si="126"/>
        <v>18</v>
      </c>
      <c r="CF29" s="20">
        <f t="shared" si="182"/>
        <v>0</v>
      </c>
      <c r="CG29" s="20">
        <f t="shared" si="183"/>
        <v>0</v>
      </c>
      <c r="CH29" s="20">
        <f t="shared" si="184"/>
        <v>0</v>
      </c>
      <c r="CI29" s="20">
        <f t="shared" si="185"/>
        <v>0</v>
      </c>
      <c r="CJ29" s="20">
        <f t="shared" si="186"/>
        <v>0</v>
      </c>
      <c r="CK29" s="20">
        <f t="shared" si="187"/>
        <v>0</v>
      </c>
      <c r="CL29" s="20">
        <f t="shared" si="188"/>
        <v>0</v>
      </c>
      <c r="CM29" s="20">
        <f t="shared" si="189"/>
        <v>0</v>
      </c>
      <c r="CN29" s="20">
        <f t="shared" si="190"/>
        <v>0</v>
      </c>
      <c r="CO29" s="20">
        <f t="shared" si="191"/>
        <v>0</v>
      </c>
      <c r="CP29" s="20">
        <f t="shared" si="192"/>
        <v>0</v>
      </c>
      <c r="DV29" s="20">
        <f t="shared" si="27"/>
        <v>0</v>
      </c>
      <c r="DW29" s="20">
        <f t="shared" si="28"/>
        <v>0</v>
      </c>
      <c r="DX29" s="20">
        <f t="shared" si="29"/>
        <v>0</v>
      </c>
      <c r="DY29" s="20">
        <f t="shared" si="30"/>
        <v>0</v>
      </c>
      <c r="DZ29" s="20">
        <f t="shared" si="31"/>
        <v>0</v>
      </c>
      <c r="EA29" s="20">
        <f t="shared" si="32"/>
        <v>0</v>
      </c>
      <c r="EB29" s="20">
        <f t="shared" si="127"/>
        <v>0</v>
      </c>
      <c r="EG29" s="57">
        <f t="shared" si="128"/>
        <v>0</v>
      </c>
      <c r="EH29" s="57">
        <f t="shared" si="129"/>
        <v>0</v>
      </c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X29" s="169">
        <v>1</v>
      </c>
      <c r="FY29" s="17">
        <f t="shared" si="130"/>
        <v>18</v>
      </c>
      <c r="FZ29" s="17">
        <f t="shared" si="34"/>
        <v>18</v>
      </c>
      <c r="GA29" s="17">
        <f t="shared" si="35"/>
        <v>0</v>
      </c>
      <c r="GB29" s="17">
        <f t="shared" si="36"/>
        <v>0</v>
      </c>
      <c r="GC29" s="17">
        <f t="shared" si="37"/>
        <v>0</v>
      </c>
      <c r="GD29" s="17">
        <f t="shared" si="38"/>
        <v>0</v>
      </c>
      <c r="GE29" s="17">
        <f t="shared" si="39"/>
        <v>0</v>
      </c>
      <c r="GF29" s="67"/>
      <c r="GG29" s="17">
        <v>0</v>
      </c>
      <c r="GH29" s="17">
        <v>0</v>
      </c>
      <c r="GI29" s="67"/>
      <c r="GJ29" s="62">
        <f t="shared" si="131"/>
        <v>0</v>
      </c>
      <c r="GK29" s="62">
        <f t="shared" si="132"/>
        <v>0</v>
      </c>
      <c r="GO29" s="17">
        <f t="shared" si="40"/>
        <v>0</v>
      </c>
      <c r="GP29" s="17">
        <f t="shared" si="41"/>
        <v>0</v>
      </c>
      <c r="GQ29" s="17">
        <f t="shared" si="42"/>
        <v>0</v>
      </c>
      <c r="GR29" s="17">
        <f t="shared" si="43"/>
        <v>0</v>
      </c>
      <c r="GS29" s="17">
        <f t="shared" si="44"/>
        <v>0</v>
      </c>
      <c r="GT29" s="17">
        <f t="shared" si="133"/>
        <v>1</v>
      </c>
      <c r="GU29" s="101">
        <f t="shared" si="134"/>
        <v>43243</v>
      </c>
      <c r="GV29" s="17" t="str">
        <f t="shared" si="135"/>
        <v>SELESAI</v>
      </c>
      <c r="GW29" s="17">
        <f t="shared" si="136"/>
        <v>0</v>
      </c>
      <c r="GX29" s="66" t="str">
        <f t="shared" si="137"/>
        <v>SELESAI</v>
      </c>
      <c r="GY29" s="66">
        <f t="shared" si="138"/>
        <v>0</v>
      </c>
      <c r="GZ29" s="102" t="str">
        <f t="shared" si="139"/>
        <v>SELESAI</v>
      </c>
      <c r="HA29" s="83"/>
      <c r="HB29" s="83"/>
      <c r="HC29" s="17">
        <f t="shared" si="45"/>
        <v>0</v>
      </c>
      <c r="HD29" s="17">
        <f t="shared" si="46"/>
        <v>0</v>
      </c>
      <c r="HE29" s="17">
        <f t="shared" si="140"/>
        <v>0</v>
      </c>
      <c r="HF29" s="17">
        <f t="shared" si="141"/>
        <v>0</v>
      </c>
      <c r="HG29" s="17">
        <f t="shared" si="142"/>
        <v>0</v>
      </c>
      <c r="HH29" s="101" t="str">
        <f t="shared" si="47"/>
        <v>TIDAK KONSINYASI</v>
      </c>
      <c r="HI29" s="101" t="str">
        <f t="shared" si="143"/>
        <v>SELESAI</v>
      </c>
      <c r="HJ29" s="27"/>
      <c r="HK29" s="101">
        <f t="shared" si="48"/>
        <v>0</v>
      </c>
      <c r="HL29" s="83"/>
      <c r="HM29" s="83"/>
      <c r="HN29" s="83"/>
      <c r="HO29" s="83"/>
      <c r="HP29" s="102">
        <f t="shared" si="144"/>
        <v>0</v>
      </c>
      <c r="HQ29" s="66">
        <f t="shared" si="145"/>
        <v>0</v>
      </c>
      <c r="HR29" s="66">
        <f t="shared" si="49"/>
        <v>0</v>
      </c>
      <c r="HS29" s="102">
        <f t="shared" si="146"/>
        <v>0</v>
      </c>
      <c r="HT29" s="66">
        <f t="shared" si="147"/>
        <v>0</v>
      </c>
      <c r="HU29" s="66">
        <f t="shared" si="50"/>
        <v>0</v>
      </c>
      <c r="HV29" s="102">
        <f t="shared" si="148"/>
        <v>0</v>
      </c>
      <c r="HW29" s="66">
        <f t="shared" si="51"/>
        <v>0</v>
      </c>
      <c r="HX29" s="66">
        <f t="shared" si="52"/>
        <v>0</v>
      </c>
      <c r="HY29" s="102">
        <f t="shared" si="53"/>
        <v>0</v>
      </c>
      <c r="HZ29" s="66">
        <f t="shared" si="149"/>
        <v>0</v>
      </c>
      <c r="IA29" s="66">
        <f t="shared" si="54"/>
        <v>0</v>
      </c>
      <c r="IB29" s="102">
        <f t="shared" si="150"/>
        <v>0</v>
      </c>
      <c r="IC29" s="66">
        <f t="shared" si="55"/>
        <v>0</v>
      </c>
      <c r="ID29" s="66">
        <f t="shared" si="56"/>
        <v>0</v>
      </c>
      <c r="IE29" s="102">
        <f t="shared" si="57"/>
        <v>0</v>
      </c>
      <c r="IF29" s="66">
        <f t="shared" si="58"/>
        <v>0</v>
      </c>
      <c r="IG29" s="66">
        <f t="shared" si="59"/>
        <v>0</v>
      </c>
      <c r="IH29" s="102">
        <f t="shared" si="151"/>
        <v>0</v>
      </c>
      <c r="II29" s="66">
        <f t="shared" si="152"/>
        <v>0</v>
      </c>
      <c r="IJ29" s="66">
        <f t="shared" si="60"/>
        <v>0</v>
      </c>
      <c r="IK29" s="102">
        <f t="shared" si="61"/>
        <v>0</v>
      </c>
      <c r="IL29" s="66">
        <f t="shared" si="62"/>
        <v>0</v>
      </c>
      <c r="IM29" s="66">
        <f t="shared" si="63"/>
        <v>0</v>
      </c>
      <c r="IN29" s="83"/>
      <c r="IO29" s="102">
        <f t="shared" si="64"/>
        <v>0</v>
      </c>
      <c r="IP29" s="66">
        <f t="shared" si="65"/>
        <v>0</v>
      </c>
      <c r="IQ29" s="66">
        <f t="shared" si="66"/>
        <v>0</v>
      </c>
      <c r="IR29" s="83"/>
      <c r="IS29" s="102"/>
      <c r="IT29" s="66">
        <f t="shared" si="67"/>
        <v>1</v>
      </c>
      <c r="IU29" s="66">
        <f t="shared" si="68"/>
        <v>53</v>
      </c>
      <c r="IV29" s="83"/>
      <c r="IW29" s="102"/>
      <c r="IX29" s="66">
        <f t="shared" si="69"/>
        <v>0</v>
      </c>
      <c r="IY29" s="66">
        <f t="shared" si="70"/>
        <v>0</v>
      </c>
      <c r="IZ29" s="83"/>
      <c r="JA29" s="102"/>
      <c r="JB29" s="66">
        <f t="shared" si="71"/>
        <v>0</v>
      </c>
      <c r="JC29" s="66">
        <f t="shared" si="72"/>
        <v>0</v>
      </c>
      <c r="JD29" s="83"/>
      <c r="JE29" s="102"/>
      <c r="JF29" s="66">
        <f t="shared" si="153"/>
        <v>1</v>
      </c>
      <c r="JG29" s="66">
        <f t="shared" si="73"/>
        <v>53</v>
      </c>
      <c r="JH29" s="83"/>
      <c r="JI29" s="102"/>
      <c r="JJ29" s="66">
        <f t="shared" si="74"/>
        <v>0</v>
      </c>
      <c r="JK29" s="66">
        <f t="shared" si="75"/>
        <v>0</v>
      </c>
      <c r="JM29" s="102">
        <f t="shared" si="154"/>
        <v>0</v>
      </c>
      <c r="JO29" s="29">
        <f t="shared" si="76"/>
        <v>1</v>
      </c>
      <c r="JP29" s="122">
        <f t="shared" si="77"/>
        <v>18</v>
      </c>
      <c r="JQ29" s="122">
        <f t="shared" si="78"/>
        <v>1</v>
      </c>
      <c r="JR29" s="122">
        <f t="shared" si="79"/>
        <v>0</v>
      </c>
      <c r="JS29" s="122">
        <f t="shared" si="80"/>
        <v>0</v>
      </c>
      <c r="JT29" s="122">
        <f t="shared" si="81"/>
        <v>0</v>
      </c>
      <c r="JU29" s="122">
        <f t="shared" si="82"/>
        <v>0</v>
      </c>
      <c r="JV29" s="122">
        <f t="shared" si="83"/>
        <v>0</v>
      </c>
      <c r="JW29" s="122">
        <f t="shared" si="84"/>
        <v>0</v>
      </c>
      <c r="JX29" s="122">
        <f t="shared" si="85"/>
        <v>0</v>
      </c>
      <c r="JY29" s="122">
        <f t="shared" si="86"/>
        <v>0</v>
      </c>
      <c r="JZ29" s="122">
        <f t="shared" si="87"/>
        <v>0</v>
      </c>
      <c r="KA29" s="122">
        <f t="shared" si="88"/>
        <v>0</v>
      </c>
      <c r="KB29" s="122">
        <f t="shared" si="89"/>
        <v>0</v>
      </c>
      <c r="KD29" s="122">
        <f t="shared" si="155"/>
        <v>0</v>
      </c>
      <c r="KE29" s="122">
        <f t="shared" si="91"/>
        <v>0</v>
      </c>
      <c r="KF29" s="122">
        <f t="shared" si="92"/>
        <v>18</v>
      </c>
      <c r="KG29" s="122">
        <f t="shared" si="93"/>
        <v>18</v>
      </c>
      <c r="KH29" s="122">
        <f t="shared" si="94"/>
        <v>0</v>
      </c>
      <c r="KI29" s="122">
        <f t="shared" si="95"/>
        <v>0</v>
      </c>
      <c r="KJ29" s="122">
        <f t="shared" si="96"/>
        <v>0</v>
      </c>
      <c r="KK29" s="122">
        <f t="shared" si="97"/>
        <v>0</v>
      </c>
      <c r="KL29" s="122">
        <f t="shared" si="98"/>
        <v>0</v>
      </c>
      <c r="KM29" s="122">
        <f t="shared" si="99"/>
        <v>0</v>
      </c>
      <c r="KN29" s="123">
        <f t="shared" si="100"/>
        <v>0</v>
      </c>
      <c r="KO29" s="123">
        <f t="shared" si="101"/>
        <v>0</v>
      </c>
      <c r="KP29" s="123">
        <f t="shared" si="102"/>
        <v>0</v>
      </c>
      <c r="KQ29" s="123">
        <f t="shared" si="103"/>
        <v>0</v>
      </c>
      <c r="KR29" s="123">
        <f t="shared" si="104"/>
        <v>0</v>
      </c>
      <c r="KT29">
        <f t="shared" si="105"/>
        <v>0</v>
      </c>
      <c r="KU29" s="123"/>
      <c r="KV29" s="123"/>
      <c r="KW29" s="123"/>
      <c r="KX29" s="123"/>
      <c r="KY29" s="123"/>
      <c r="KZ29" s="123"/>
      <c r="LA29" s="123"/>
      <c r="LB29" s="123"/>
      <c r="LC29" s="123"/>
      <c r="LD29" s="123"/>
      <c r="LE29" s="123"/>
      <c r="LF29" s="123"/>
      <c r="LG29" s="123"/>
      <c r="LH29" s="123"/>
      <c r="LI29" s="123"/>
      <c r="LJ29" s="123"/>
      <c r="LK29" s="123"/>
      <c r="LL29" s="123"/>
      <c r="LM29" s="123"/>
      <c r="LN29" s="123"/>
      <c r="LO29" s="123"/>
      <c r="LP29" s="123"/>
      <c r="LQ29" s="123"/>
      <c r="LR29" s="123"/>
      <c r="LS29" s="123"/>
      <c r="LT29" s="123"/>
      <c r="LU29" s="123"/>
      <c r="LV29" s="123"/>
      <c r="LW29" s="123"/>
      <c r="LX29" s="123"/>
      <c r="LY29" s="123"/>
      <c r="LZ29" s="123"/>
      <c r="MA29" s="123"/>
      <c r="MB29" s="123"/>
      <c r="MC29" s="123"/>
      <c r="MD29" s="123"/>
      <c r="ME29" s="123"/>
      <c r="MF29" s="123"/>
      <c r="MG29" s="123"/>
      <c r="MH29" s="123"/>
      <c r="MI29" s="123"/>
      <c r="MJ29" s="123"/>
      <c r="MK29" s="123"/>
      <c r="ML29" s="123"/>
      <c r="MM29" s="123"/>
      <c r="MN29" s="123"/>
      <c r="MO29" s="123"/>
      <c r="MP29" s="123"/>
      <c r="MQ29" s="123"/>
      <c r="MR29" s="123"/>
      <c r="MS29" s="123"/>
      <c r="MT29" s="123"/>
      <c r="MU29" s="123"/>
      <c r="MV29" s="123"/>
      <c r="MW29" s="123"/>
      <c r="MX29" s="123"/>
      <c r="MY29" s="123"/>
      <c r="MZ29" s="123"/>
      <c r="NA29" s="123"/>
      <c r="NB29" s="123"/>
      <c r="NC29" s="123"/>
      <c r="ND29" s="123"/>
      <c r="NE29" s="123"/>
      <c r="NF29" s="123"/>
      <c r="NG29" s="123"/>
      <c r="NH29" s="123"/>
      <c r="NI29" s="123"/>
      <c r="NJ29" s="123"/>
      <c r="NK29" s="123"/>
      <c r="NM29">
        <f t="shared" si="156"/>
        <v>0</v>
      </c>
      <c r="NN29">
        <f t="shared" si="157"/>
        <v>0</v>
      </c>
      <c r="NO29">
        <f t="shared" si="158"/>
        <v>0</v>
      </c>
      <c r="NP29">
        <f t="shared" si="159"/>
        <v>0</v>
      </c>
      <c r="NQ29">
        <f t="shared" si="160"/>
        <v>0</v>
      </c>
      <c r="NR29">
        <f t="shared" si="161"/>
        <v>0</v>
      </c>
      <c r="NS29">
        <f t="shared" si="162"/>
        <v>0</v>
      </c>
      <c r="NT29">
        <f t="shared" si="163"/>
        <v>0</v>
      </c>
      <c r="NU29" s="29">
        <f t="shared" si="164"/>
        <v>0</v>
      </c>
      <c r="NY29" s="29">
        <f t="shared" si="107"/>
        <v>1</v>
      </c>
      <c r="NZ29" s="152">
        <v>7275000</v>
      </c>
      <c r="OE29" s="155">
        <f t="shared" si="108"/>
        <v>0</v>
      </c>
      <c r="OF29" s="155">
        <f t="shared" si="109"/>
        <v>0</v>
      </c>
      <c r="OG29" s="155">
        <f t="shared" si="110"/>
        <v>0</v>
      </c>
      <c r="OH29" s="155">
        <f t="shared" si="165"/>
        <v>0</v>
      </c>
      <c r="OI29" s="155">
        <f t="shared" si="111"/>
        <v>0</v>
      </c>
      <c r="OJ29" s="67">
        <f t="shared" si="166"/>
        <v>0</v>
      </c>
      <c r="OK29" s="67">
        <f t="shared" si="167"/>
        <v>0</v>
      </c>
      <c r="OL29" s="67">
        <f t="shared" si="168"/>
        <v>0</v>
      </c>
      <c r="OM29" s="67">
        <f t="shared" si="169"/>
        <v>0</v>
      </c>
      <c r="OO29" s="155">
        <f t="shared" si="112"/>
        <v>0</v>
      </c>
      <c r="OP29" s="155">
        <f t="shared" si="113"/>
        <v>0</v>
      </c>
      <c r="OQ29" s="155">
        <f t="shared" si="170"/>
        <v>0</v>
      </c>
      <c r="OR29" s="155">
        <f t="shared" si="171"/>
        <v>0</v>
      </c>
      <c r="OS29" s="155">
        <f t="shared" si="172"/>
        <v>0</v>
      </c>
      <c r="OT29" s="67">
        <f t="shared" si="173"/>
        <v>0</v>
      </c>
      <c r="OU29" s="67">
        <f t="shared" si="174"/>
        <v>0</v>
      </c>
      <c r="OV29" s="67">
        <f t="shared" si="175"/>
        <v>0</v>
      </c>
      <c r="OW29" s="67">
        <f t="shared" si="176"/>
        <v>0</v>
      </c>
      <c r="OZ29" s="163">
        <f t="shared" si="114"/>
        <v>0</v>
      </c>
      <c r="PA29" s="166"/>
      <c r="PB29" s="166"/>
      <c r="PC29" s="166"/>
      <c r="PD29" s="210">
        <f t="shared" si="115"/>
        <v>0</v>
      </c>
      <c r="PE29" s="210"/>
      <c r="PF29" s="210">
        <f t="shared" si="116"/>
        <v>0</v>
      </c>
      <c r="PG29" s="210">
        <f t="shared" si="117"/>
        <v>0</v>
      </c>
      <c r="PH29" s="210">
        <f t="shared" si="117"/>
        <v>0</v>
      </c>
      <c r="PI29" s="210">
        <f t="shared" si="117"/>
        <v>0</v>
      </c>
      <c r="PJ29" s="210">
        <f t="shared" si="117"/>
        <v>0</v>
      </c>
      <c r="PK29" s="210">
        <f t="shared" si="117"/>
        <v>0</v>
      </c>
      <c r="PL29" s="210">
        <f t="shared" si="117"/>
        <v>0</v>
      </c>
      <c r="PO29" s="172">
        <f t="shared" si="177"/>
        <v>0</v>
      </c>
      <c r="PP29" s="172">
        <f t="shared" si="178"/>
        <v>0</v>
      </c>
      <c r="PQ29" s="172">
        <f t="shared" si="179"/>
        <v>0</v>
      </c>
    </row>
    <row r="30" spans="1:433" ht="16" x14ac:dyDescent="0.2">
      <c r="A30" s="19">
        <f t="shared" si="180"/>
        <v>22</v>
      </c>
      <c r="B30" s="186" t="s">
        <v>182</v>
      </c>
      <c r="C30" s="186">
        <v>23</v>
      </c>
      <c r="D30" s="188">
        <v>1</v>
      </c>
      <c r="E30" s="188">
        <v>77</v>
      </c>
      <c r="F30" s="188">
        <v>1</v>
      </c>
      <c r="G30" s="188">
        <f t="shared" si="2"/>
        <v>77</v>
      </c>
      <c r="H30" s="214">
        <f t="shared" si="3"/>
        <v>1</v>
      </c>
      <c r="I30" s="214">
        <f t="shared" si="4"/>
        <v>1</v>
      </c>
      <c r="J30" s="188">
        <v>1</v>
      </c>
      <c r="K30" s="188">
        <f t="shared" si="5"/>
        <v>77</v>
      </c>
      <c r="L30" s="214">
        <f t="shared" si="6"/>
        <v>1</v>
      </c>
      <c r="M30" s="214">
        <f t="shared" si="7"/>
        <v>1</v>
      </c>
      <c r="N30" s="188">
        <v>1</v>
      </c>
      <c r="O30" s="188">
        <f t="shared" si="8"/>
        <v>77</v>
      </c>
      <c r="P30" s="214">
        <f t="shared" si="9"/>
        <v>1</v>
      </c>
      <c r="Q30" s="214">
        <f t="shared" si="10"/>
        <v>1</v>
      </c>
      <c r="R30" s="188">
        <v>1</v>
      </c>
      <c r="S30" s="188">
        <f t="shared" si="11"/>
        <v>77</v>
      </c>
      <c r="T30" s="214">
        <f t="shared" si="12"/>
        <v>1</v>
      </c>
      <c r="U30" s="214">
        <f t="shared" si="13"/>
        <v>1</v>
      </c>
      <c r="V30" s="188">
        <v>1</v>
      </c>
      <c r="W30" s="188">
        <f t="shared" si="14"/>
        <v>77</v>
      </c>
      <c r="X30" s="214">
        <f t="shared" si="15"/>
        <v>1</v>
      </c>
      <c r="Y30" s="214">
        <f t="shared" si="16"/>
        <v>1</v>
      </c>
      <c r="Z30" s="216">
        <f>820894000/1000000000</f>
        <v>0.82089400000000001</v>
      </c>
      <c r="AA30" s="188">
        <v>0</v>
      </c>
      <c r="AB30" s="189">
        <f t="shared" si="118"/>
        <v>0</v>
      </c>
      <c r="AC30" s="250">
        <f t="shared" si="119"/>
        <v>0</v>
      </c>
      <c r="AD30" s="250">
        <f t="shared" si="120"/>
        <v>0</v>
      </c>
      <c r="AE30" s="188"/>
      <c r="AF30" s="188">
        <f t="shared" si="121"/>
        <v>0</v>
      </c>
      <c r="AG30" s="188"/>
      <c r="AH30" s="188" t="s">
        <v>313</v>
      </c>
      <c r="AI30" s="188">
        <v>0</v>
      </c>
      <c r="AJ30" s="188">
        <f t="shared" si="181"/>
        <v>0</v>
      </c>
      <c r="AK30" s="188"/>
      <c r="AL30" s="188">
        <v>0</v>
      </c>
      <c r="AM30" s="188">
        <v>0</v>
      </c>
      <c r="AN30" s="217"/>
      <c r="AO30" s="195"/>
      <c r="AP30" s="195"/>
      <c r="AQ30" s="195"/>
      <c r="AR30" s="195"/>
      <c r="AS30" s="195"/>
      <c r="AT30" s="195"/>
      <c r="BB30" s="17">
        <f t="shared" si="123"/>
        <v>0</v>
      </c>
      <c r="BE30" s="17">
        <f t="shared" si="19"/>
        <v>0</v>
      </c>
      <c r="BF30" s="17">
        <f t="shared" si="20"/>
        <v>0</v>
      </c>
      <c r="BG30" s="17">
        <f t="shared" si="21"/>
        <v>0</v>
      </c>
      <c r="BH30" s="17">
        <f t="shared" si="22"/>
        <v>0</v>
      </c>
      <c r="BI30" s="17">
        <f t="shared" si="23"/>
        <v>0</v>
      </c>
      <c r="BJ30" s="17">
        <f t="shared" si="24"/>
        <v>0</v>
      </c>
      <c r="BK30" s="17">
        <f t="shared" si="124"/>
        <v>0</v>
      </c>
      <c r="BM30" s="128"/>
      <c r="BN30" s="289">
        <v>42</v>
      </c>
      <c r="BO30">
        <v>1</v>
      </c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B30" s="20"/>
      <c r="CD30" s="17">
        <f t="shared" si="125"/>
        <v>42</v>
      </c>
      <c r="CE30" s="17">
        <f t="shared" si="126"/>
        <v>42</v>
      </c>
      <c r="CF30" s="20">
        <f t="shared" si="182"/>
        <v>0</v>
      </c>
      <c r="CG30" s="20">
        <f t="shared" si="183"/>
        <v>0</v>
      </c>
      <c r="CH30" s="20">
        <f t="shared" si="184"/>
        <v>0</v>
      </c>
      <c r="CI30" s="20">
        <f t="shared" si="185"/>
        <v>0</v>
      </c>
      <c r="CJ30" s="20">
        <f t="shared" si="186"/>
        <v>0</v>
      </c>
      <c r="CK30" s="20">
        <f t="shared" si="187"/>
        <v>0</v>
      </c>
      <c r="CL30" s="20">
        <f t="shared" si="188"/>
        <v>0</v>
      </c>
      <c r="CM30" s="20">
        <f t="shared" si="189"/>
        <v>0</v>
      </c>
      <c r="CN30" s="20">
        <f t="shared" si="190"/>
        <v>0</v>
      </c>
      <c r="CO30" s="20">
        <f t="shared" si="191"/>
        <v>0</v>
      </c>
      <c r="CP30" s="20">
        <f t="shared" si="192"/>
        <v>0</v>
      </c>
      <c r="DV30" s="20">
        <f t="shared" si="27"/>
        <v>0</v>
      </c>
      <c r="DW30" s="20">
        <f t="shared" si="28"/>
        <v>0</v>
      </c>
      <c r="DX30" s="20">
        <f t="shared" si="29"/>
        <v>0</v>
      </c>
      <c r="DY30" s="20">
        <f t="shared" si="30"/>
        <v>0</v>
      </c>
      <c r="DZ30" s="20">
        <f t="shared" si="31"/>
        <v>0</v>
      </c>
      <c r="EA30" s="20">
        <f t="shared" si="32"/>
        <v>0</v>
      </c>
      <c r="EB30" s="20">
        <f t="shared" si="127"/>
        <v>0</v>
      </c>
      <c r="EG30" s="57">
        <f t="shared" si="128"/>
        <v>0</v>
      </c>
      <c r="EH30" s="57">
        <f t="shared" si="129"/>
        <v>0</v>
      </c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X30" s="169">
        <v>1</v>
      </c>
      <c r="FY30" s="17">
        <f t="shared" si="130"/>
        <v>42</v>
      </c>
      <c r="FZ30" s="17">
        <f t="shared" si="34"/>
        <v>42</v>
      </c>
      <c r="GA30" s="17">
        <f t="shared" si="35"/>
        <v>0</v>
      </c>
      <c r="GB30" s="17">
        <f t="shared" si="36"/>
        <v>0</v>
      </c>
      <c r="GC30" s="17">
        <f t="shared" si="37"/>
        <v>0</v>
      </c>
      <c r="GD30" s="17">
        <f t="shared" si="38"/>
        <v>0</v>
      </c>
      <c r="GE30" s="17">
        <f t="shared" si="39"/>
        <v>0</v>
      </c>
      <c r="GF30" s="67"/>
      <c r="GG30" s="17">
        <v>0</v>
      </c>
      <c r="GH30" s="17">
        <v>0</v>
      </c>
      <c r="GI30" s="67"/>
      <c r="GJ30" s="62">
        <f t="shared" si="131"/>
        <v>0</v>
      </c>
      <c r="GK30" s="62">
        <f t="shared" si="132"/>
        <v>0</v>
      </c>
      <c r="GO30" s="17">
        <f t="shared" si="40"/>
        <v>0</v>
      </c>
      <c r="GP30" s="17">
        <f t="shared" si="41"/>
        <v>0</v>
      </c>
      <c r="GQ30" s="17">
        <f t="shared" si="42"/>
        <v>0</v>
      </c>
      <c r="GR30" s="17">
        <f t="shared" si="43"/>
        <v>0</v>
      </c>
      <c r="GS30" s="17">
        <f t="shared" si="44"/>
        <v>0</v>
      </c>
      <c r="GT30" s="17">
        <f t="shared" si="133"/>
        <v>1</v>
      </c>
      <c r="GU30" s="101">
        <f t="shared" si="134"/>
        <v>43243</v>
      </c>
      <c r="GV30" s="17" t="str">
        <f t="shared" si="135"/>
        <v>SELESAI</v>
      </c>
      <c r="GW30" s="17">
        <f t="shared" si="136"/>
        <v>0</v>
      </c>
      <c r="GX30" s="66" t="str">
        <f t="shared" si="137"/>
        <v>SELESAI</v>
      </c>
      <c r="GY30" s="66">
        <f t="shared" si="138"/>
        <v>0</v>
      </c>
      <c r="GZ30" s="102" t="str">
        <f t="shared" si="139"/>
        <v>SELESAI</v>
      </c>
      <c r="HA30" s="83"/>
      <c r="HB30" s="83"/>
      <c r="HC30" s="17">
        <f t="shared" si="45"/>
        <v>0</v>
      </c>
      <c r="HD30" s="17">
        <f t="shared" si="46"/>
        <v>0</v>
      </c>
      <c r="HE30" s="17">
        <f t="shared" si="140"/>
        <v>0</v>
      </c>
      <c r="HF30" s="17">
        <f t="shared" si="141"/>
        <v>0</v>
      </c>
      <c r="HG30" s="17">
        <f t="shared" si="142"/>
        <v>0</v>
      </c>
      <c r="HH30" s="101" t="str">
        <f t="shared" si="47"/>
        <v>TIDAK KONSINYASI</v>
      </c>
      <c r="HI30" s="101" t="str">
        <f t="shared" si="143"/>
        <v>SELESAI</v>
      </c>
      <c r="HJ30" s="27"/>
      <c r="HK30" s="101">
        <f t="shared" si="48"/>
        <v>0</v>
      </c>
      <c r="HL30" s="83"/>
      <c r="HM30" s="83"/>
      <c r="HN30" s="83"/>
      <c r="HO30" s="83"/>
      <c r="HP30" s="102">
        <f t="shared" si="144"/>
        <v>0</v>
      </c>
      <c r="HQ30" s="66">
        <f t="shared" si="145"/>
        <v>0</v>
      </c>
      <c r="HR30" s="66">
        <f t="shared" si="49"/>
        <v>0</v>
      </c>
      <c r="HS30" s="102">
        <f t="shared" si="146"/>
        <v>0</v>
      </c>
      <c r="HT30" s="66">
        <f t="shared" si="147"/>
        <v>0</v>
      </c>
      <c r="HU30" s="66">
        <f t="shared" si="50"/>
        <v>0</v>
      </c>
      <c r="HV30" s="102">
        <f t="shared" si="148"/>
        <v>0</v>
      </c>
      <c r="HW30" s="66">
        <f t="shared" si="51"/>
        <v>0</v>
      </c>
      <c r="HX30" s="66">
        <f t="shared" si="52"/>
        <v>0</v>
      </c>
      <c r="HY30" s="102">
        <f t="shared" si="53"/>
        <v>0</v>
      </c>
      <c r="HZ30" s="66">
        <f t="shared" si="149"/>
        <v>0</v>
      </c>
      <c r="IA30" s="66">
        <f t="shared" si="54"/>
        <v>0</v>
      </c>
      <c r="IB30" s="102">
        <f t="shared" si="150"/>
        <v>0</v>
      </c>
      <c r="IC30" s="66">
        <f t="shared" si="55"/>
        <v>0</v>
      </c>
      <c r="ID30" s="66">
        <f t="shared" si="56"/>
        <v>0</v>
      </c>
      <c r="IE30" s="102">
        <f t="shared" si="57"/>
        <v>0</v>
      </c>
      <c r="IF30" s="66">
        <f t="shared" si="58"/>
        <v>0</v>
      </c>
      <c r="IG30" s="66">
        <f t="shared" si="59"/>
        <v>0</v>
      </c>
      <c r="IH30" s="102">
        <f t="shared" si="151"/>
        <v>0</v>
      </c>
      <c r="II30" s="66">
        <f t="shared" si="152"/>
        <v>0</v>
      </c>
      <c r="IJ30" s="66">
        <f t="shared" si="60"/>
        <v>0</v>
      </c>
      <c r="IK30" s="102">
        <f t="shared" si="61"/>
        <v>0</v>
      </c>
      <c r="IL30" s="66">
        <f t="shared" si="62"/>
        <v>0</v>
      </c>
      <c r="IM30" s="66">
        <f t="shared" si="63"/>
        <v>0</v>
      </c>
      <c r="IN30" s="83"/>
      <c r="IO30" s="102">
        <f t="shared" si="64"/>
        <v>0</v>
      </c>
      <c r="IP30" s="66">
        <f t="shared" si="65"/>
        <v>0</v>
      </c>
      <c r="IQ30" s="66">
        <f t="shared" si="66"/>
        <v>0</v>
      </c>
      <c r="IR30" s="83"/>
      <c r="IS30" s="102"/>
      <c r="IT30" s="66">
        <f t="shared" si="67"/>
        <v>1</v>
      </c>
      <c r="IU30" s="66">
        <f t="shared" si="68"/>
        <v>77</v>
      </c>
      <c r="IV30" s="83"/>
      <c r="IW30" s="102"/>
      <c r="IX30" s="66">
        <f t="shared" si="69"/>
        <v>0</v>
      </c>
      <c r="IY30" s="66">
        <f t="shared" si="70"/>
        <v>0</v>
      </c>
      <c r="IZ30" s="83"/>
      <c r="JA30" s="102"/>
      <c r="JB30" s="66">
        <f t="shared" si="71"/>
        <v>0</v>
      </c>
      <c r="JC30" s="66">
        <f t="shared" si="72"/>
        <v>0</v>
      </c>
      <c r="JD30" s="83"/>
      <c r="JE30" s="102"/>
      <c r="JF30" s="66">
        <f t="shared" si="153"/>
        <v>1</v>
      </c>
      <c r="JG30" s="66">
        <f t="shared" si="73"/>
        <v>77</v>
      </c>
      <c r="JH30" s="83"/>
      <c r="JI30" s="102"/>
      <c r="JJ30" s="66">
        <f t="shared" si="74"/>
        <v>0</v>
      </c>
      <c r="JK30" s="66">
        <f t="shared" si="75"/>
        <v>0</v>
      </c>
      <c r="JM30" s="102">
        <f t="shared" si="154"/>
        <v>0</v>
      </c>
      <c r="JO30" s="29">
        <f t="shared" si="76"/>
        <v>1</v>
      </c>
      <c r="JP30" s="122">
        <f t="shared" si="77"/>
        <v>42</v>
      </c>
      <c r="JQ30" s="122">
        <f t="shared" si="78"/>
        <v>1</v>
      </c>
      <c r="JR30" s="122">
        <f t="shared" si="79"/>
        <v>0</v>
      </c>
      <c r="JS30" s="122">
        <f t="shared" si="80"/>
        <v>0</v>
      </c>
      <c r="JT30" s="122">
        <f t="shared" si="81"/>
        <v>0</v>
      </c>
      <c r="JU30" s="122">
        <f t="shared" si="82"/>
        <v>0</v>
      </c>
      <c r="JV30" s="122">
        <f t="shared" si="83"/>
        <v>0</v>
      </c>
      <c r="JW30" s="122">
        <f t="shared" si="84"/>
        <v>0</v>
      </c>
      <c r="JX30" s="122">
        <f t="shared" si="85"/>
        <v>0</v>
      </c>
      <c r="JY30" s="122">
        <f t="shared" si="86"/>
        <v>0</v>
      </c>
      <c r="JZ30" s="122">
        <f t="shared" si="87"/>
        <v>0</v>
      </c>
      <c r="KA30" s="122">
        <f t="shared" si="88"/>
        <v>0</v>
      </c>
      <c r="KB30" s="122">
        <f t="shared" si="89"/>
        <v>0</v>
      </c>
      <c r="KD30" s="122">
        <f t="shared" si="155"/>
        <v>0</v>
      </c>
      <c r="KE30" s="122">
        <f t="shared" si="91"/>
        <v>0</v>
      </c>
      <c r="KF30" s="122">
        <f t="shared" si="92"/>
        <v>42</v>
      </c>
      <c r="KG30" s="122">
        <f t="shared" si="93"/>
        <v>42</v>
      </c>
      <c r="KH30" s="122">
        <f t="shared" si="94"/>
        <v>0</v>
      </c>
      <c r="KI30" s="122">
        <f t="shared" si="95"/>
        <v>0</v>
      </c>
      <c r="KJ30" s="122">
        <f t="shared" si="96"/>
        <v>0</v>
      </c>
      <c r="KK30" s="122">
        <f t="shared" si="97"/>
        <v>0</v>
      </c>
      <c r="KL30" s="122">
        <f t="shared" si="98"/>
        <v>0</v>
      </c>
      <c r="KM30" s="122">
        <f t="shared" si="99"/>
        <v>0</v>
      </c>
      <c r="KN30" s="123">
        <f t="shared" si="100"/>
        <v>0</v>
      </c>
      <c r="KO30" s="123">
        <f t="shared" si="101"/>
        <v>0</v>
      </c>
      <c r="KP30" s="123">
        <f t="shared" si="102"/>
        <v>0</v>
      </c>
      <c r="KQ30" s="123">
        <f t="shared" si="103"/>
        <v>0</v>
      </c>
      <c r="KR30" s="123">
        <f t="shared" si="104"/>
        <v>0</v>
      </c>
      <c r="KT30">
        <f t="shared" si="105"/>
        <v>0</v>
      </c>
      <c r="KU30" s="123"/>
      <c r="KV30" s="123"/>
      <c r="KW30" s="123"/>
      <c r="KX30" s="123"/>
      <c r="KY30" s="123"/>
      <c r="KZ30" s="123"/>
      <c r="LA30" s="123"/>
      <c r="LB30" s="123"/>
      <c r="LC30" s="123"/>
      <c r="LD30" s="123"/>
      <c r="LE30" s="123"/>
      <c r="LF30" s="123"/>
      <c r="LG30" s="123"/>
      <c r="LH30" s="123"/>
      <c r="LI30" s="123"/>
      <c r="LJ30" s="123"/>
      <c r="LK30" s="123"/>
      <c r="LL30" s="123"/>
      <c r="LM30" s="123"/>
      <c r="LN30" s="123"/>
      <c r="LO30" s="123"/>
      <c r="LP30" s="123"/>
      <c r="LQ30" s="123"/>
      <c r="LR30" s="123"/>
      <c r="LS30" s="123"/>
      <c r="LT30" s="123"/>
      <c r="LU30" s="123"/>
      <c r="LV30" s="123"/>
      <c r="LW30" s="123"/>
      <c r="LX30" s="123"/>
      <c r="LY30" s="123"/>
      <c r="LZ30" s="123"/>
      <c r="MA30" s="123"/>
      <c r="MB30" s="123"/>
      <c r="MC30" s="123"/>
      <c r="MD30" s="123"/>
      <c r="ME30" s="123"/>
      <c r="MF30" s="123"/>
      <c r="MG30" s="123"/>
      <c r="MH30" s="123"/>
      <c r="MI30" s="123"/>
      <c r="MJ30" s="123"/>
      <c r="MK30" s="123"/>
      <c r="ML30" s="123"/>
      <c r="MM30" s="123"/>
      <c r="MN30" s="123"/>
      <c r="MO30" s="123"/>
      <c r="MP30" s="123"/>
      <c r="MQ30" s="123"/>
      <c r="MR30" s="123"/>
      <c r="MS30" s="123"/>
      <c r="MT30" s="123"/>
      <c r="MU30" s="123"/>
      <c r="MV30" s="123"/>
      <c r="MW30" s="123"/>
      <c r="MX30" s="123"/>
      <c r="MY30" s="123"/>
      <c r="MZ30" s="123"/>
      <c r="NA30" s="123"/>
      <c r="NB30" s="123"/>
      <c r="NC30" s="123"/>
      <c r="ND30" s="123"/>
      <c r="NE30" s="123"/>
      <c r="NF30" s="123"/>
      <c r="NG30" s="123"/>
      <c r="NH30" s="123"/>
      <c r="NI30" s="123"/>
      <c r="NJ30" s="123"/>
      <c r="NK30" s="123"/>
      <c r="NM30">
        <f t="shared" si="156"/>
        <v>0</v>
      </c>
      <c r="NN30">
        <f t="shared" si="157"/>
        <v>0</v>
      </c>
      <c r="NO30">
        <f t="shared" si="158"/>
        <v>0</v>
      </c>
      <c r="NP30">
        <f t="shared" si="159"/>
        <v>0</v>
      </c>
      <c r="NQ30">
        <f t="shared" si="160"/>
        <v>0</v>
      </c>
      <c r="NR30">
        <f t="shared" si="161"/>
        <v>0</v>
      </c>
      <c r="NS30">
        <f t="shared" si="162"/>
        <v>0</v>
      </c>
      <c r="NT30">
        <f t="shared" si="163"/>
        <v>0</v>
      </c>
      <c r="NU30" s="29">
        <f t="shared" si="164"/>
        <v>0</v>
      </c>
      <c r="NY30" s="29">
        <f t="shared" si="107"/>
        <v>1</v>
      </c>
      <c r="NZ30" s="152">
        <v>7275000</v>
      </c>
      <c r="OE30" s="155">
        <f t="shared" si="108"/>
        <v>0</v>
      </c>
      <c r="OF30" s="155">
        <f t="shared" si="109"/>
        <v>0</v>
      </c>
      <c r="OG30" s="155">
        <f t="shared" si="110"/>
        <v>0</v>
      </c>
      <c r="OH30" s="155">
        <f t="shared" si="165"/>
        <v>0</v>
      </c>
      <c r="OI30" s="155">
        <f t="shared" si="111"/>
        <v>0</v>
      </c>
      <c r="OJ30" s="67">
        <f t="shared" si="166"/>
        <v>0</v>
      </c>
      <c r="OK30" s="67">
        <f t="shared" si="167"/>
        <v>0</v>
      </c>
      <c r="OL30" s="67">
        <f t="shared" si="168"/>
        <v>0</v>
      </c>
      <c r="OM30" s="67">
        <f t="shared" si="169"/>
        <v>0</v>
      </c>
      <c r="OO30" s="155">
        <f t="shared" si="112"/>
        <v>0</v>
      </c>
      <c r="OP30" s="155">
        <f t="shared" si="113"/>
        <v>0</v>
      </c>
      <c r="OQ30" s="155">
        <f t="shared" si="170"/>
        <v>0</v>
      </c>
      <c r="OR30" s="155">
        <f t="shared" si="171"/>
        <v>0</v>
      </c>
      <c r="OS30" s="155">
        <f t="shared" si="172"/>
        <v>0</v>
      </c>
      <c r="OT30" s="67">
        <f t="shared" si="173"/>
        <v>0</v>
      </c>
      <c r="OU30" s="67">
        <f t="shared" si="174"/>
        <v>0</v>
      </c>
      <c r="OV30" s="67">
        <f t="shared" si="175"/>
        <v>0</v>
      </c>
      <c r="OW30" s="67">
        <f t="shared" si="176"/>
        <v>0</v>
      </c>
      <c r="OZ30" s="163">
        <f t="shared" si="114"/>
        <v>0</v>
      </c>
      <c r="PA30" s="166"/>
      <c r="PB30" s="166"/>
      <c r="PC30" s="166"/>
      <c r="PD30" s="210">
        <f t="shared" si="115"/>
        <v>0</v>
      </c>
      <c r="PE30" s="210"/>
      <c r="PF30" s="210">
        <f t="shared" si="116"/>
        <v>0</v>
      </c>
      <c r="PG30" s="210">
        <f t="shared" si="117"/>
        <v>0</v>
      </c>
      <c r="PH30" s="210">
        <f t="shared" si="117"/>
        <v>0</v>
      </c>
      <c r="PI30" s="210">
        <f t="shared" si="117"/>
        <v>0</v>
      </c>
      <c r="PJ30" s="210">
        <f t="shared" si="117"/>
        <v>0</v>
      </c>
      <c r="PK30" s="210">
        <f t="shared" si="117"/>
        <v>0</v>
      </c>
      <c r="PL30" s="210">
        <f t="shared" si="117"/>
        <v>0</v>
      </c>
      <c r="PO30" s="172">
        <f t="shared" si="177"/>
        <v>0</v>
      </c>
      <c r="PP30" s="172">
        <f t="shared" si="178"/>
        <v>0</v>
      </c>
      <c r="PQ30" s="172">
        <f t="shared" si="179"/>
        <v>0</v>
      </c>
    </row>
    <row r="31" spans="1:433" ht="16" x14ac:dyDescent="0.2">
      <c r="A31" s="19">
        <f t="shared" si="180"/>
        <v>23</v>
      </c>
      <c r="B31" s="186" t="s">
        <v>183</v>
      </c>
      <c r="C31" s="186">
        <v>24</v>
      </c>
      <c r="D31" s="188">
        <v>1</v>
      </c>
      <c r="E31" s="188">
        <v>119</v>
      </c>
      <c r="F31" s="188">
        <v>1</v>
      </c>
      <c r="G31" s="188">
        <f t="shared" si="2"/>
        <v>119</v>
      </c>
      <c r="H31" s="214">
        <f t="shared" si="3"/>
        <v>1</v>
      </c>
      <c r="I31" s="214">
        <f t="shared" si="4"/>
        <v>1</v>
      </c>
      <c r="J31" s="188">
        <v>1</v>
      </c>
      <c r="K31" s="188">
        <f t="shared" si="5"/>
        <v>119</v>
      </c>
      <c r="L31" s="214">
        <f t="shared" si="6"/>
        <v>1</v>
      </c>
      <c r="M31" s="214">
        <f t="shared" si="7"/>
        <v>1</v>
      </c>
      <c r="N31" s="188">
        <v>1</v>
      </c>
      <c r="O31" s="188">
        <f t="shared" si="8"/>
        <v>119</v>
      </c>
      <c r="P31" s="214">
        <f t="shared" si="9"/>
        <v>1</v>
      </c>
      <c r="Q31" s="214">
        <f t="shared" si="10"/>
        <v>1</v>
      </c>
      <c r="R31" s="188">
        <v>1</v>
      </c>
      <c r="S31" s="188">
        <f t="shared" si="11"/>
        <v>119</v>
      </c>
      <c r="T31" s="214">
        <f t="shared" si="12"/>
        <v>1</v>
      </c>
      <c r="U31" s="214">
        <f t="shared" si="13"/>
        <v>1</v>
      </c>
      <c r="V31" s="188">
        <v>1</v>
      </c>
      <c r="W31" s="188">
        <f t="shared" si="14"/>
        <v>119</v>
      </c>
      <c r="X31" s="214">
        <f t="shared" si="15"/>
        <v>1</v>
      </c>
      <c r="Y31" s="214">
        <f t="shared" si="16"/>
        <v>1</v>
      </c>
      <c r="Z31" s="216">
        <f>1180943000/1000000000</f>
        <v>1.1809430000000001</v>
      </c>
      <c r="AA31" s="188">
        <v>0</v>
      </c>
      <c r="AB31" s="189">
        <f t="shared" si="118"/>
        <v>0</v>
      </c>
      <c r="AC31" s="250">
        <f t="shared" si="119"/>
        <v>0</v>
      </c>
      <c r="AD31" s="250">
        <f t="shared" si="120"/>
        <v>0</v>
      </c>
      <c r="AE31" s="188"/>
      <c r="AF31" s="188">
        <f t="shared" si="121"/>
        <v>0</v>
      </c>
      <c r="AG31" s="188"/>
      <c r="AH31" s="188" t="s">
        <v>313</v>
      </c>
      <c r="AI31" s="188">
        <v>0</v>
      </c>
      <c r="AJ31" s="188">
        <f t="shared" si="181"/>
        <v>0</v>
      </c>
      <c r="AK31" s="188"/>
      <c r="AL31" s="188">
        <v>0</v>
      </c>
      <c r="AM31" s="188">
        <v>0</v>
      </c>
      <c r="AN31" s="217"/>
      <c r="AO31" s="195"/>
      <c r="AP31" s="195"/>
      <c r="AQ31" s="195"/>
      <c r="AR31" s="195"/>
      <c r="AS31" s="195"/>
      <c r="AT31" s="195"/>
      <c r="BB31" s="17">
        <f t="shared" si="123"/>
        <v>0</v>
      </c>
      <c r="BE31" s="17">
        <f t="shared" si="19"/>
        <v>0</v>
      </c>
      <c r="BF31" s="17">
        <f t="shared" si="20"/>
        <v>0</v>
      </c>
      <c r="BG31" s="17">
        <f t="shared" si="21"/>
        <v>0</v>
      </c>
      <c r="BH31" s="17">
        <f t="shared" si="22"/>
        <v>0</v>
      </c>
      <c r="BI31" s="17">
        <f t="shared" si="23"/>
        <v>0</v>
      </c>
      <c r="BJ31" s="17">
        <f t="shared" si="24"/>
        <v>0</v>
      </c>
      <c r="BK31" s="17">
        <f t="shared" si="124"/>
        <v>0</v>
      </c>
      <c r="BM31" s="128"/>
      <c r="BN31" s="289">
        <v>74</v>
      </c>
      <c r="BO31">
        <v>1</v>
      </c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B31" s="20"/>
      <c r="CD31" s="17">
        <f t="shared" si="125"/>
        <v>74</v>
      </c>
      <c r="CE31" s="17">
        <f t="shared" si="126"/>
        <v>74</v>
      </c>
      <c r="CF31" s="20">
        <f t="shared" si="182"/>
        <v>0</v>
      </c>
      <c r="CG31" s="20">
        <f t="shared" si="183"/>
        <v>0</v>
      </c>
      <c r="CH31" s="20">
        <f t="shared" si="184"/>
        <v>0</v>
      </c>
      <c r="CI31" s="20">
        <f t="shared" si="185"/>
        <v>0</v>
      </c>
      <c r="CJ31" s="20">
        <f t="shared" si="186"/>
        <v>0</v>
      </c>
      <c r="CK31" s="20">
        <f t="shared" si="187"/>
        <v>0</v>
      </c>
      <c r="CL31" s="20">
        <f t="shared" si="188"/>
        <v>0</v>
      </c>
      <c r="CM31" s="20">
        <f t="shared" si="189"/>
        <v>0</v>
      </c>
      <c r="CN31" s="20">
        <f t="shared" si="190"/>
        <v>0</v>
      </c>
      <c r="CO31" s="20">
        <f t="shared" si="191"/>
        <v>0</v>
      </c>
      <c r="CP31" s="20">
        <f t="shared" si="192"/>
        <v>0</v>
      </c>
      <c r="DV31" s="20">
        <f t="shared" si="27"/>
        <v>0</v>
      </c>
      <c r="DW31" s="20">
        <f t="shared" si="28"/>
        <v>0</v>
      </c>
      <c r="DX31" s="20">
        <f t="shared" si="29"/>
        <v>0</v>
      </c>
      <c r="DY31" s="20">
        <f t="shared" si="30"/>
        <v>0</v>
      </c>
      <c r="DZ31" s="20">
        <f t="shared" si="31"/>
        <v>0</v>
      </c>
      <c r="EA31" s="20">
        <f t="shared" si="32"/>
        <v>0</v>
      </c>
      <c r="EB31" s="20">
        <f t="shared" si="127"/>
        <v>0</v>
      </c>
      <c r="EG31" s="57">
        <f t="shared" si="128"/>
        <v>0</v>
      </c>
      <c r="EH31" s="57">
        <f t="shared" si="129"/>
        <v>0</v>
      </c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X31" s="169">
        <v>1</v>
      </c>
      <c r="FY31" s="17">
        <f t="shared" si="130"/>
        <v>74</v>
      </c>
      <c r="FZ31" s="17">
        <f t="shared" si="34"/>
        <v>74</v>
      </c>
      <c r="GA31" s="17">
        <f t="shared" si="35"/>
        <v>0</v>
      </c>
      <c r="GB31" s="17">
        <f t="shared" si="36"/>
        <v>0</v>
      </c>
      <c r="GC31" s="17">
        <f t="shared" si="37"/>
        <v>0</v>
      </c>
      <c r="GD31" s="17">
        <f t="shared" si="38"/>
        <v>0</v>
      </c>
      <c r="GE31" s="17">
        <f t="shared" si="39"/>
        <v>0</v>
      </c>
      <c r="GF31" s="67"/>
      <c r="GG31" s="17">
        <v>0</v>
      </c>
      <c r="GH31" s="17">
        <v>0</v>
      </c>
      <c r="GI31" s="67"/>
      <c r="GJ31" s="62">
        <f t="shared" si="131"/>
        <v>0</v>
      </c>
      <c r="GK31" s="62">
        <f t="shared" si="132"/>
        <v>0</v>
      </c>
      <c r="GO31" s="17">
        <f t="shared" si="40"/>
        <v>0</v>
      </c>
      <c r="GP31" s="17">
        <f t="shared" si="41"/>
        <v>0</v>
      </c>
      <c r="GQ31" s="17">
        <f t="shared" si="42"/>
        <v>0</v>
      </c>
      <c r="GR31" s="17">
        <f t="shared" si="43"/>
        <v>0</v>
      </c>
      <c r="GS31" s="17">
        <f t="shared" si="44"/>
        <v>0</v>
      </c>
      <c r="GT31" s="17">
        <f t="shared" si="133"/>
        <v>1</v>
      </c>
      <c r="GU31" s="101">
        <f t="shared" si="134"/>
        <v>43243</v>
      </c>
      <c r="GV31" s="17" t="str">
        <f t="shared" si="135"/>
        <v>SELESAI</v>
      </c>
      <c r="GW31" s="17">
        <f t="shared" si="136"/>
        <v>0</v>
      </c>
      <c r="GX31" s="66" t="str">
        <f t="shared" si="137"/>
        <v>SELESAI</v>
      </c>
      <c r="GY31" s="66">
        <f t="shared" si="138"/>
        <v>0</v>
      </c>
      <c r="GZ31" s="102" t="str">
        <f t="shared" si="139"/>
        <v>SELESAI</v>
      </c>
      <c r="HA31" s="83"/>
      <c r="HB31" s="83"/>
      <c r="HC31" s="17">
        <f t="shared" si="45"/>
        <v>0</v>
      </c>
      <c r="HD31" s="17">
        <f t="shared" si="46"/>
        <v>0</v>
      </c>
      <c r="HE31" s="17">
        <f t="shared" si="140"/>
        <v>0</v>
      </c>
      <c r="HF31" s="17">
        <f t="shared" si="141"/>
        <v>0</v>
      </c>
      <c r="HG31" s="17">
        <f t="shared" si="142"/>
        <v>0</v>
      </c>
      <c r="HH31" s="101" t="str">
        <f t="shared" si="47"/>
        <v>TIDAK KONSINYASI</v>
      </c>
      <c r="HI31" s="101" t="str">
        <f t="shared" si="143"/>
        <v>SELESAI</v>
      </c>
      <c r="HJ31" s="27"/>
      <c r="HK31" s="101">
        <f t="shared" si="48"/>
        <v>0</v>
      </c>
      <c r="HL31" s="83"/>
      <c r="HM31" s="83"/>
      <c r="HN31" s="83"/>
      <c r="HO31" s="83"/>
      <c r="HP31" s="102">
        <f t="shared" si="144"/>
        <v>0</v>
      </c>
      <c r="HQ31" s="66">
        <f t="shared" si="145"/>
        <v>0</v>
      </c>
      <c r="HR31" s="66">
        <f t="shared" si="49"/>
        <v>0</v>
      </c>
      <c r="HS31" s="102">
        <f t="shared" si="146"/>
        <v>0</v>
      </c>
      <c r="HT31" s="66">
        <f t="shared" si="147"/>
        <v>0</v>
      </c>
      <c r="HU31" s="66">
        <f t="shared" si="50"/>
        <v>0</v>
      </c>
      <c r="HV31" s="102">
        <f t="shared" si="148"/>
        <v>0</v>
      </c>
      <c r="HW31" s="66">
        <f t="shared" si="51"/>
        <v>0</v>
      </c>
      <c r="HX31" s="66">
        <f t="shared" si="52"/>
        <v>0</v>
      </c>
      <c r="HY31" s="102">
        <f t="shared" si="53"/>
        <v>0</v>
      </c>
      <c r="HZ31" s="66">
        <f t="shared" si="149"/>
        <v>0</v>
      </c>
      <c r="IA31" s="66">
        <f t="shared" si="54"/>
        <v>0</v>
      </c>
      <c r="IB31" s="102">
        <f t="shared" si="150"/>
        <v>0</v>
      </c>
      <c r="IC31" s="66">
        <f t="shared" si="55"/>
        <v>0</v>
      </c>
      <c r="ID31" s="66">
        <f t="shared" si="56"/>
        <v>0</v>
      </c>
      <c r="IE31" s="102">
        <f t="shared" si="57"/>
        <v>0</v>
      </c>
      <c r="IF31" s="66">
        <f t="shared" si="58"/>
        <v>0</v>
      </c>
      <c r="IG31" s="66">
        <f t="shared" si="59"/>
        <v>0</v>
      </c>
      <c r="IH31" s="102">
        <f t="shared" si="151"/>
        <v>0</v>
      </c>
      <c r="II31" s="66">
        <f t="shared" si="152"/>
        <v>0</v>
      </c>
      <c r="IJ31" s="66">
        <f t="shared" si="60"/>
        <v>0</v>
      </c>
      <c r="IK31" s="102">
        <f t="shared" si="61"/>
        <v>0</v>
      </c>
      <c r="IL31" s="66">
        <f t="shared" si="62"/>
        <v>0</v>
      </c>
      <c r="IM31" s="66">
        <f t="shared" si="63"/>
        <v>0</v>
      </c>
      <c r="IN31" s="83"/>
      <c r="IO31" s="102">
        <f t="shared" si="64"/>
        <v>0</v>
      </c>
      <c r="IP31" s="66">
        <f t="shared" si="65"/>
        <v>0</v>
      </c>
      <c r="IQ31" s="66">
        <f t="shared" si="66"/>
        <v>0</v>
      </c>
      <c r="IR31" s="83"/>
      <c r="IS31" s="102"/>
      <c r="IT31" s="66">
        <f t="shared" si="67"/>
        <v>1</v>
      </c>
      <c r="IU31" s="66">
        <f t="shared" si="68"/>
        <v>119</v>
      </c>
      <c r="IV31" s="83"/>
      <c r="IW31" s="102"/>
      <c r="IX31" s="66">
        <f t="shared" si="69"/>
        <v>0</v>
      </c>
      <c r="IY31" s="66">
        <f t="shared" si="70"/>
        <v>0</v>
      </c>
      <c r="IZ31" s="83"/>
      <c r="JA31" s="102"/>
      <c r="JB31" s="66">
        <f t="shared" si="71"/>
        <v>0</v>
      </c>
      <c r="JC31" s="66">
        <f t="shared" si="72"/>
        <v>0</v>
      </c>
      <c r="JD31" s="83"/>
      <c r="JE31" s="102"/>
      <c r="JF31" s="66">
        <f t="shared" si="153"/>
        <v>1</v>
      </c>
      <c r="JG31" s="66">
        <f t="shared" si="73"/>
        <v>119</v>
      </c>
      <c r="JH31" s="83"/>
      <c r="JI31" s="102"/>
      <c r="JJ31" s="66">
        <f t="shared" si="74"/>
        <v>0</v>
      </c>
      <c r="JK31" s="66">
        <f t="shared" si="75"/>
        <v>0</v>
      </c>
      <c r="JM31" s="102">
        <f t="shared" si="154"/>
        <v>0</v>
      </c>
      <c r="JO31" s="29">
        <f t="shared" si="76"/>
        <v>1</v>
      </c>
      <c r="JP31" s="122">
        <f t="shared" si="77"/>
        <v>74</v>
      </c>
      <c r="JQ31" s="122">
        <f t="shared" si="78"/>
        <v>1</v>
      </c>
      <c r="JR31" s="122">
        <f t="shared" si="79"/>
        <v>0</v>
      </c>
      <c r="JS31" s="122">
        <f t="shared" si="80"/>
        <v>0</v>
      </c>
      <c r="JT31" s="122">
        <f t="shared" si="81"/>
        <v>0</v>
      </c>
      <c r="JU31" s="122">
        <f t="shared" si="82"/>
        <v>0</v>
      </c>
      <c r="JV31" s="122">
        <f t="shared" si="83"/>
        <v>0</v>
      </c>
      <c r="JW31" s="122">
        <f t="shared" si="84"/>
        <v>0</v>
      </c>
      <c r="JX31" s="122">
        <f t="shared" si="85"/>
        <v>0</v>
      </c>
      <c r="JY31" s="122">
        <f t="shared" si="86"/>
        <v>0</v>
      </c>
      <c r="JZ31" s="122">
        <f t="shared" si="87"/>
        <v>0</v>
      </c>
      <c r="KA31" s="122">
        <f t="shared" si="88"/>
        <v>0</v>
      </c>
      <c r="KB31" s="122">
        <f t="shared" si="89"/>
        <v>0</v>
      </c>
      <c r="KD31" s="122">
        <f t="shared" si="155"/>
        <v>0</v>
      </c>
      <c r="KE31" s="122">
        <f t="shared" si="91"/>
        <v>0</v>
      </c>
      <c r="KF31" s="122">
        <f t="shared" si="92"/>
        <v>74</v>
      </c>
      <c r="KG31" s="122">
        <f t="shared" si="93"/>
        <v>74</v>
      </c>
      <c r="KH31" s="122">
        <f t="shared" si="94"/>
        <v>0</v>
      </c>
      <c r="KI31" s="122">
        <f t="shared" si="95"/>
        <v>0</v>
      </c>
      <c r="KJ31" s="122">
        <f t="shared" si="96"/>
        <v>0</v>
      </c>
      <c r="KK31" s="122">
        <f t="shared" si="97"/>
        <v>0</v>
      </c>
      <c r="KL31" s="122">
        <f t="shared" si="98"/>
        <v>0</v>
      </c>
      <c r="KM31" s="122">
        <f t="shared" si="99"/>
        <v>0</v>
      </c>
      <c r="KN31" s="123">
        <f t="shared" si="100"/>
        <v>0</v>
      </c>
      <c r="KO31" s="123">
        <f t="shared" si="101"/>
        <v>0</v>
      </c>
      <c r="KP31" s="123">
        <f t="shared" si="102"/>
        <v>0</v>
      </c>
      <c r="KQ31" s="123">
        <f t="shared" si="103"/>
        <v>0</v>
      </c>
      <c r="KR31" s="123">
        <f t="shared" si="104"/>
        <v>0</v>
      </c>
      <c r="KT31">
        <f t="shared" si="105"/>
        <v>0</v>
      </c>
      <c r="KU31" s="123"/>
      <c r="KV31" s="123"/>
      <c r="KW31" s="123"/>
      <c r="KX31" s="123"/>
      <c r="KY31" s="123"/>
      <c r="KZ31" s="123"/>
      <c r="LA31" s="123"/>
      <c r="LB31" s="123"/>
      <c r="LC31" s="123"/>
      <c r="LD31" s="123"/>
      <c r="LE31" s="123"/>
      <c r="LF31" s="123"/>
      <c r="LG31" s="123"/>
      <c r="LH31" s="123"/>
      <c r="LI31" s="123"/>
      <c r="LJ31" s="123"/>
      <c r="LK31" s="123"/>
      <c r="LL31" s="123"/>
      <c r="LM31" s="123"/>
      <c r="LN31" s="123"/>
      <c r="LO31" s="123"/>
      <c r="LP31" s="123"/>
      <c r="LQ31" s="123"/>
      <c r="LR31" s="123"/>
      <c r="LS31" s="123"/>
      <c r="LT31" s="123"/>
      <c r="LU31" s="123"/>
      <c r="LV31" s="123"/>
      <c r="LW31" s="123"/>
      <c r="LX31" s="123"/>
      <c r="LY31" s="123"/>
      <c r="LZ31" s="123"/>
      <c r="MA31" s="123"/>
      <c r="MB31" s="123"/>
      <c r="MC31" s="123"/>
      <c r="MD31" s="123"/>
      <c r="ME31" s="123"/>
      <c r="MF31" s="123"/>
      <c r="MG31" s="123"/>
      <c r="MH31" s="123"/>
      <c r="MI31" s="123"/>
      <c r="MJ31" s="123"/>
      <c r="MK31" s="123"/>
      <c r="ML31" s="123"/>
      <c r="MM31" s="123"/>
      <c r="MN31" s="123"/>
      <c r="MO31" s="123"/>
      <c r="MP31" s="123"/>
      <c r="MQ31" s="123"/>
      <c r="MR31" s="123"/>
      <c r="MS31" s="123"/>
      <c r="MT31" s="123"/>
      <c r="MU31" s="123"/>
      <c r="MV31" s="123"/>
      <c r="MW31" s="123"/>
      <c r="MX31" s="123"/>
      <c r="MY31" s="123"/>
      <c r="MZ31" s="123"/>
      <c r="NA31" s="123"/>
      <c r="NB31" s="123"/>
      <c r="NC31" s="123"/>
      <c r="ND31" s="123"/>
      <c r="NE31" s="123"/>
      <c r="NF31" s="123"/>
      <c r="NG31" s="123"/>
      <c r="NH31" s="123"/>
      <c r="NI31" s="123"/>
      <c r="NJ31" s="123"/>
      <c r="NK31" s="123"/>
      <c r="NM31">
        <f t="shared" si="156"/>
        <v>0</v>
      </c>
      <c r="NN31">
        <f t="shared" si="157"/>
        <v>0</v>
      </c>
      <c r="NO31">
        <f t="shared" si="158"/>
        <v>0</v>
      </c>
      <c r="NP31">
        <f t="shared" si="159"/>
        <v>0</v>
      </c>
      <c r="NQ31">
        <f t="shared" si="160"/>
        <v>0</v>
      </c>
      <c r="NR31">
        <f t="shared" si="161"/>
        <v>0</v>
      </c>
      <c r="NS31">
        <f t="shared" si="162"/>
        <v>0</v>
      </c>
      <c r="NT31">
        <f t="shared" si="163"/>
        <v>0</v>
      </c>
      <c r="NU31" s="29">
        <f t="shared" si="164"/>
        <v>0</v>
      </c>
      <c r="NY31" s="29">
        <f t="shared" si="107"/>
        <v>1</v>
      </c>
      <c r="NZ31" s="152">
        <v>7275000</v>
      </c>
      <c r="OE31" s="155">
        <f t="shared" si="108"/>
        <v>0</v>
      </c>
      <c r="OF31" s="155">
        <f t="shared" si="109"/>
        <v>0</v>
      </c>
      <c r="OG31" s="155">
        <f t="shared" si="110"/>
        <v>0</v>
      </c>
      <c r="OH31" s="155">
        <f t="shared" si="165"/>
        <v>0</v>
      </c>
      <c r="OI31" s="155">
        <f t="shared" si="111"/>
        <v>0</v>
      </c>
      <c r="OJ31" s="67">
        <f t="shared" si="166"/>
        <v>0</v>
      </c>
      <c r="OK31" s="67">
        <f t="shared" si="167"/>
        <v>0</v>
      </c>
      <c r="OL31" s="67">
        <f t="shared" si="168"/>
        <v>0</v>
      </c>
      <c r="OM31" s="67">
        <f t="shared" si="169"/>
        <v>0</v>
      </c>
      <c r="OO31" s="155">
        <f t="shared" si="112"/>
        <v>0</v>
      </c>
      <c r="OP31" s="155">
        <f t="shared" si="113"/>
        <v>0</v>
      </c>
      <c r="OQ31" s="155">
        <f t="shared" si="170"/>
        <v>0</v>
      </c>
      <c r="OR31" s="155">
        <f t="shared" si="171"/>
        <v>0</v>
      </c>
      <c r="OS31" s="155">
        <f t="shared" si="172"/>
        <v>0</v>
      </c>
      <c r="OT31" s="67">
        <f t="shared" si="173"/>
        <v>0</v>
      </c>
      <c r="OU31" s="67">
        <f t="shared" si="174"/>
        <v>0</v>
      </c>
      <c r="OV31" s="67">
        <f t="shared" si="175"/>
        <v>0</v>
      </c>
      <c r="OW31" s="67">
        <f t="shared" si="176"/>
        <v>0</v>
      </c>
      <c r="OZ31" s="163">
        <f t="shared" si="114"/>
        <v>0</v>
      </c>
      <c r="PA31" s="166"/>
      <c r="PB31" s="166"/>
      <c r="PC31" s="166"/>
      <c r="PD31" s="210">
        <f t="shared" si="115"/>
        <v>0</v>
      </c>
      <c r="PE31" s="210"/>
      <c r="PF31" s="210">
        <f t="shared" si="116"/>
        <v>0</v>
      </c>
      <c r="PG31" s="210">
        <f t="shared" si="117"/>
        <v>0</v>
      </c>
      <c r="PH31" s="210">
        <f t="shared" si="117"/>
        <v>0</v>
      </c>
      <c r="PI31" s="210">
        <f t="shared" si="117"/>
        <v>0</v>
      </c>
      <c r="PJ31" s="210">
        <f t="shared" si="117"/>
        <v>0</v>
      </c>
      <c r="PK31" s="210">
        <f t="shared" si="117"/>
        <v>0</v>
      </c>
      <c r="PL31" s="210">
        <f t="shared" si="117"/>
        <v>0</v>
      </c>
      <c r="PO31" s="172">
        <f t="shared" si="177"/>
        <v>0</v>
      </c>
      <c r="PP31" s="172">
        <f t="shared" si="178"/>
        <v>0</v>
      </c>
      <c r="PQ31" s="172">
        <f t="shared" si="179"/>
        <v>0</v>
      </c>
    </row>
    <row r="32" spans="1:433" ht="16" x14ac:dyDescent="0.2">
      <c r="A32" s="19">
        <f t="shared" si="180"/>
        <v>24</v>
      </c>
      <c r="B32" s="186" t="s">
        <v>395</v>
      </c>
      <c r="C32" s="186">
        <v>25</v>
      </c>
      <c r="D32" s="188">
        <v>1</v>
      </c>
      <c r="E32" s="188">
        <v>119</v>
      </c>
      <c r="F32" s="188">
        <v>1</v>
      </c>
      <c r="G32" s="188">
        <f t="shared" si="2"/>
        <v>119</v>
      </c>
      <c r="H32" s="214">
        <f t="shared" si="3"/>
        <v>1</v>
      </c>
      <c r="I32" s="214">
        <f t="shared" si="4"/>
        <v>1</v>
      </c>
      <c r="J32" s="188">
        <v>1</v>
      </c>
      <c r="K32" s="188">
        <f t="shared" si="5"/>
        <v>119</v>
      </c>
      <c r="L32" s="214">
        <f t="shared" si="6"/>
        <v>1</v>
      </c>
      <c r="M32" s="214">
        <f t="shared" si="7"/>
        <v>1</v>
      </c>
      <c r="N32" s="188">
        <v>1</v>
      </c>
      <c r="O32" s="188">
        <f t="shared" si="8"/>
        <v>119</v>
      </c>
      <c r="P32" s="214">
        <f t="shared" si="9"/>
        <v>1</v>
      </c>
      <c r="Q32" s="214">
        <f t="shared" si="10"/>
        <v>1</v>
      </c>
      <c r="R32" s="188">
        <v>1</v>
      </c>
      <c r="S32" s="188">
        <f t="shared" si="11"/>
        <v>119</v>
      </c>
      <c r="T32" s="214">
        <f t="shared" si="12"/>
        <v>1</v>
      </c>
      <c r="U32" s="214">
        <f t="shared" si="13"/>
        <v>1</v>
      </c>
      <c r="V32" s="188">
        <v>1</v>
      </c>
      <c r="W32" s="188">
        <f t="shared" si="14"/>
        <v>119</v>
      </c>
      <c r="X32" s="214">
        <f t="shared" si="15"/>
        <v>1</v>
      </c>
      <c r="Y32" s="214">
        <f t="shared" si="16"/>
        <v>1</v>
      </c>
      <c r="Z32" s="216">
        <f>1212188000/1000000000</f>
        <v>1.212188</v>
      </c>
      <c r="AA32" s="188">
        <v>0</v>
      </c>
      <c r="AB32" s="189">
        <f t="shared" si="118"/>
        <v>0</v>
      </c>
      <c r="AC32" s="250">
        <f t="shared" si="119"/>
        <v>0</v>
      </c>
      <c r="AD32" s="250">
        <f t="shared" si="120"/>
        <v>0</v>
      </c>
      <c r="AE32" s="188"/>
      <c r="AF32" s="188">
        <f t="shared" si="121"/>
        <v>0</v>
      </c>
      <c r="AG32" s="188"/>
      <c r="AH32" s="188" t="s">
        <v>313</v>
      </c>
      <c r="AI32" s="188">
        <v>0</v>
      </c>
      <c r="AJ32" s="188">
        <f t="shared" si="181"/>
        <v>0</v>
      </c>
      <c r="AK32" s="188"/>
      <c r="AL32" s="188">
        <v>0</v>
      </c>
      <c r="AM32" s="188">
        <v>0</v>
      </c>
      <c r="AN32" s="217"/>
      <c r="AO32" s="195"/>
      <c r="AP32" s="195"/>
      <c r="AQ32" s="195"/>
      <c r="AR32" s="195"/>
      <c r="AS32" s="195"/>
      <c r="AT32" s="195"/>
      <c r="BB32" s="17">
        <f t="shared" si="123"/>
        <v>0</v>
      </c>
      <c r="BE32" s="17">
        <f t="shared" si="19"/>
        <v>0</v>
      </c>
      <c r="BF32" s="17">
        <f t="shared" si="20"/>
        <v>0</v>
      </c>
      <c r="BG32" s="17">
        <f t="shared" si="21"/>
        <v>0</v>
      </c>
      <c r="BH32" s="17">
        <f t="shared" si="22"/>
        <v>0</v>
      </c>
      <c r="BI32" s="17">
        <f t="shared" si="23"/>
        <v>0</v>
      </c>
      <c r="BJ32" s="17">
        <f t="shared" si="24"/>
        <v>0</v>
      </c>
      <c r="BK32" s="17">
        <f t="shared" si="124"/>
        <v>0</v>
      </c>
      <c r="BM32" s="128"/>
      <c r="BN32" s="147">
        <v>77</v>
      </c>
      <c r="BO32" s="288">
        <v>1</v>
      </c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B32" s="20"/>
      <c r="CD32" s="17">
        <f t="shared" si="125"/>
        <v>77</v>
      </c>
      <c r="CE32" s="17">
        <f t="shared" si="126"/>
        <v>77</v>
      </c>
      <c r="CF32" s="20">
        <f t="shared" si="182"/>
        <v>0</v>
      </c>
      <c r="CG32" s="20">
        <f t="shared" si="183"/>
        <v>0</v>
      </c>
      <c r="CH32" s="20">
        <f t="shared" si="184"/>
        <v>0</v>
      </c>
      <c r="CI32" s="20">
        <f t="shared" si="185"/>
        <v>0</v>
      </c>
      <c r="CJ32" s="20">
        <f t="shared" si="186"/>
        <v>0</v>
      </c>
      <c r="CK32" s="20">
        <f t="shared" si="187"/>
        <v>0</v>
      </c>
      <c r="CL32" s="20">
        <f t="shared" si="188"/>
        <v>0</v>
      </c>
      <c r="CM32" s="20">
        <f t="shared" si="189"/>
        <v>0</v>
      </c>
      <c r="CN32" s="20">
        <f t="shared" si="190"/>
        <v>0</v>
      </c>
      <c r="CO32" s="20">
        <f t="shared" si="191"/>
        <v>0</v>
      </c>
      <c r="CP32" s="20">
        <f t="shared" si="192"/>
        <v>0</v>
      </c>
      <c r="DV32" s="20">
        <f t="shared" si="27"/>
        <v>0</v>
      </c>
      <c r="DW32" s="20">
        <f t="shared" si="28"/>
        <v>0</v>
      </c>
      <c r="DX32" s="20">
        <f t="shared" si="29"/>
        <v>0</v>
      </c>
      <c r="DY32" s="20">
        <f t="shared" si="30"/>
        <v>0</v>
      </c>
      <c r="DZ32" s="20">
        <f t="shared" si="31"/>
        <v>0</v>
      </c>
      <c r="EA32" s="20">
        <f t="shared" si="32"/>
        <v>0</v>
      </c>
      <c r="EB32" s="20">
        <f t="shared" si="127"/>
        <v>0</v>
      </c>
      <c r="EG32" s="57">
        <f t="shared" si="128"/>
        <v>0</v>
      </c>
      <c r="EH32" s="57">
        <f t="shared" si="129"/>
        <v>0</v>
      </c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X32" s="169">
        <v>1</v>
      </c>
      <c r="FY32" s="17">
        <f t="shared" si="130"/>
        <v>77</v>
      </c>
      <c r="FZ32" s="17">
        <f t="shared" si="34"/>
        <v>77</v>
      </c>
      <c r="GA32" s="17">
        <f t="shared" si="35"/>
        <v>0</v>
      </c>
      <c r="GB32" s="17">
        <f t="shared" si="36"/>
        <v>0</v>
      </c>
      <c r="GC32" s="17">
        <f t="shared" si="37"/>
        <v>0</v>
      </c>
      <c r="GD32" s="17">
        <f t="shared" si="38"/>
        <v>0</v>
      </c>
      <c r="GE32" s="17">
        <f t="shared" si="39"/>
        <v>0</v>
      </c>
      <c r="GF32" s="67"/>
      <c r="GG32" s="17">
        <v>0</v>
      </c>
      <c r="GH32" s="17">
        <v>0</v>
      </c>
      <c r="GI32" s="67"/>
      <c r="GJ32" s="62">
        <f t="shared" si="131"/>
        <v>0</v>
      </c>
      <c r="GK32" s="62">
        <f t="shared" si="132"/>
        <v>0</v>
      </c>
      <c r="GO32" s="17">
        <f t="shared" si="40"/>
        <v>0</v>
      </c>
      <c r="GP32" s="17">
        <f t="shared" si="41"/>
        <v>0</v>
      </c>
      <c r="GQ32" s="17">
        <f t="shared" si="42"/>
        <v>0</v>
      </c>
      <c r="GR32" s="17">
        <f t="shared" si="43"/>
        <v>0</v>
      </c>
      <c r="GS32" s="17">
        <f t="shared" si="44"/>
        <v>0</v>
      </c>
      <c r="GT32" s="17">
        <f t="shared" si="133"/>
        <v>1</v>
      </c>
      <c r="GU32" s="101">
        <f t="shared" si="134"/>
        <v>43243</v>
      </c>
      <c r="GV32" s="17" t="str">
        <f t="shared" si="135"/>
        <v>SELESAI</v>
      </c>
      <c r="GW32" s="17">
        <f t="shared" si="136"/>
        <v>0</v>
      </c>
      <c r="GX32" s="66" t="str">
        <f t="shared" si="137"/>
        <v>SELESAI</v>
      </c>
      <c r="GY32" s="66">
        <f t="shared" si="138"/>
        <v>0</v>
      </c>
      <c r="GZ32" s="102" t="str">
        <f t="shared" si="139"/>
        <v>SELESAI</v>
      </c>
      <c r="HA32" s="83"/>
      <c r="HB32" s="83"/>
      <c r="HC32" s="17">
        <f t="shared" si="45"/>
        <v>0</v>
      </c>
      <c r="HD32" s="17">
        <f t="shared" si="46"/>
        <v>0</v>
      </c>
      <c r="HE32" s="17">
        <f t="shared" si="140"/>
        <v>0</v>
      </c>
      <c r="HF32" s="17">
        <f t="shared" si="141"/>
        <v>0</v>
      </c>
      <c r="HG32" s="17">
        <f t="shared" si="142"/>
        <v>0</v>
      </c>
      <c r="HH32" s="101" t="str">
        <f t="shared" si="47"/>
        <v>TIDAK KONSINYASI</v>
      </c>
      <c r="HI32" s="101" t="str">
        <f t="shared" si="143"/>
        <v>SELESAI</v>
      </c>
      <c r="HJ32" s="27"/>
      <c r="HK32" s="101">
        <f t="shared" si="48"/>
        <v>0</v>
      </c>
      <c r="HL32" s="83"/>
      <c r="HM32" s="83"/>
      <c r="HN32" s="83"/>
      <c r="HO32" s="83"/>
      <c r="HP32" s="102">
        <f t="shared" si="144"/>
        <v>0</v>
      </c>
      <c r="HQ32" s="66">
        <f t="shared" si="145"/>
        <v>0</v>
      </c>
      <c r="HR32" s="66">
        <f t="shared" si="49"/>
        <v>0</v>
      </c>
      <c r="HS32" s="102">
        <f t="shared" si="146"/>
        <v>0</v>
      </c>
      <c r="HT32" s="66">
        <f t="shared" si="147"/>
        <v>0</v>
      </c>
      <c r="HU32" s="66">
        <f t="shared" si="50"/>
        <v>0</v>
      </c>
      <c r="HV32" s="102">
        <f t="shared" si="148"/>
        <v>0</v>
      </c>
      <c r="HW32" s="66">
        <f t="shared" si="51"/>
        <v>0</v>
      </c>
      <c r="HX32" s="66">
        <f t="shared" si="52"/>
        <v>0</v>
      </c>
      <c r="HY32" s="102">
        <f t="shared" si="53"/>
        <v>0</v>
      </c>
      <c r="HZ32" s="66">
        <f t="shared" si="149"/>
        <v>0</v>
      </c>
      <c r="IA32" s="66">
        <f t="shared" si="54"/>
        <v>0</v>
      </c>
      <c r="IB32" s="102">
        <f t="shared" si="150"/>
        <v>0</v>
      </c>
      <c r="IC32" s="66">
        <f t="shared" si="55"/>
        <v>0</v>
      </c>
      <c r="ID32" s="66">
        <f t="shared" si="56"/>
        <v>0</v>
      </c>
      <c r="IE32" s="102">
        <f t="shared" si="57"/>
        <v>0</v>
      </c>
      <c r="IF32" s="66">
        <f t="shared" si="58"/>
        <v>0</v>
      </c>
      <c r="IG32" s="66">
        <f t="shared" si="59"/>
        <v>0</v>
      </c>
      <c r="IH32" s="102">
        <f t="shared" si="151"/>
        <v>0</v>
      </c>
      <c r="II32" s="66">
        <f t="shared" si="152"/>
        <v>0</v>
      </c>
      <c r="IJ32" s="66">
        <f t="shared" si="60"/>
        <v>0</v>
      </c>
      <c r="IK32" s="102">
        <f t="shared" si="61"/>
        <v>0</v>
      </c>
      <c r="IL32" s="66">
        <f t="shared" si="62"/>
        <v>0</v>
      </c>
      <c r="IM32" s="66">
        <f t="shared" si="63"/>
        <v>0</v>
      </c>
      <c r="IN32" s="83"/>
      <c r="IO32" s="102">
        <f t="shared" si="64"/>
        <v>0</v>
      </c>
      <c r="IP32" s="66">
        <f t="shared" si="65"/>
        <v>0</v>
      </c>
      <c r="IQ32" s="66">
        <f t="shared" si="66"/>
        <v>0</v>
      </c>
      <c r="IR32" s="83"/>
      <c r="IS32" s="102"/>
      <c r="IT32" s="66">
        <f t="shared" si="67"/>
        <v>1</v>
      </c>
      <c r="IU32" s="66">
        <f t="shared" si="68"/>
        <v>119</v>
      </c>
      <c r="IV32" s="83"/>
      <c r="IW32" s="102"/>
      <c r="IX32" s="66">
        <f t="shared" si="69"/>
        <v>0</v>
      </c>
      <c r="IY32" s="66">
        <f t="shared" si="70"/>
        <v>0</v>
      </c>
      <c r="IZ32" s="83"/>
      <c r="JA32" s="102"/>
      <c r="JB32" s="66">
        <f t="shared" si="71"/>
        <v>0</v>
      </c>
      <c r="JC32" s="66">
        <f t="shared" si="72"/>
        <v>0</v>
      </c>
      <c r="JD32" s="83"/>
      <c r="JE32" s="102"/>
      <c r="JF32" s="66">
        <f t="shared" si="153"/>
        <v>1</v>
      </c>
      <c r="JG32" s="66">
        <f t="shared" si="73"/>
        <v>119</v>
      </c>
      <c r="JH32" s="83"/>
      <c r="JI32" s="102"/>
      <c r="JJ32" s="66">
        <f t="shared" si="74"/>
        <v>0</v>
      </c>
      <c r="JK32" s="66">
        <f t="shared" si="75"/>
        <v>0</v>
      </c>
      <c r="JM32" s="102">
        <f t="shared" si="154"/>
        <v>0</v>
      </c>
      <c r="JO32" s="29">
        <f t="shared" si="76"/>
        <v>1</v>
      </c>
      <c r="JP32" s="122">
        <f t="shared" si="77"/>
        <v>77</v>
      </c>
      <c r="JQ32" s="122">
        <f t="shared" si="78"/>
        <v>1</v>
      </c>
      <c r="JR32" s="122">
        <f t="shared" si="79"/>
        <v>0</v>
      </c>
      <c r="JS32" s="122">
        <f t="shared" si="80"/>
        <v>0</v>
      </c>
      <c r="JT32" s="122">
        <f t="shared" si="81"/>
        <v>0</v>
      </c>
      <c r="JU32" s="122">
        <f t="shared" si="82"/>
        <v>0</v>
      </c>
      <c r="JV32" s="122">
        <f t="shared" si="83"/>
        <v>0</v>
      </c>
      <c r="JW32" s="122">
        <f t="shared" si="84"/>
        <v>0</v>
      </c>
      <c r="JX32" s="122">
        <f t="shared" si="85"/>
        <v>0</v>
      </c>
      <c r="JY32" s="122">
        <f t="shared" si="86"/>
        <v>0</v>
      </c>
      <c r="JZ32" s="122">
        <f t="shared" si="87"/>
        <v>0</v>
      </c>
      <c r="KA32" s="122">
        <f t="shared" si="88"/>
        <v>0</v>
      </c>
      <c r="KB32" s="122">
        <f t="shared" si="89"/>
        <v>0</v>
      </c>
      <c r="KD32" s="122">
        <f t="shared" si="155"/>
        <v>0</v>
      </c>
      <c r="KE32" s="122">
        <f t="shared" si="91"/>
        <v>0</v>
      </c>
      <c r="KF32" s="122">
        <f t="shared" si="92"/>
        <v>77</v>
      </c>
      <c r="KG32" s="122">
        <f t="shared" si="93"/>
        <v>77</v>
      </c>
      <c r="KH32" s="122">
        <f t="shared" si="94"/>
        <v>0</v>
      </c>
      <c r="KI32" s="122">
        <f t="shared" si="95"/>
        <v>0</v>
      </c>
      <c r="KJ32" s="122">
        <f t="shared" si="96"/>
        <v>0</v>
      </c>
      <c r="KK32" s="122">
        <f t="shared" si="97"/>
        <v>0</v>
      </c>
      <c r="KL32" s="122">
        <f t="shared" si="98"/>
        <v>0</v>
      </c>
      <c r="KM32" s="122">
        <f t="shared" si="99"/>
        <v>0</v>
      </c>
      <c r="KN32" s="123">
        <f t="shared" si="100"/>
        <v>0</v>
      </c>
      <c r="KO32" s="123">
        <f t="shared" si="101"/>
        <v>0</v>
      </c>
      <c r="KP32" s="123">
        <f t="shared" si="102"/>
        <v>0</v>
      </c>
      <c r="KQ32" s="123">
        <f t="shared" si="103"/>
        <v>0</v>
      </c>
      <c r="KR32" s="123">
        <f t="shared" si="104"/>
        <v>0</v>
      </c>
      <c r="KT32">
        <f t="shared" si="105"/>
        <v>0</v>
      </c>
      <c r="KU32" s="123"/>
      <c r="KV32" s="123"/>
      <c r="KW32" s="123"/>
      <c r="KX32" s="123"/>
      <c r="KY32" s="123"/>
      <c r="KZ32" s="123"/>
      <c r="LA32" s="123"/>
      <c r="LB32" s="123"/>
      <c r="LC32" s="123"/>
      <c r="LD32" s="123"/>
      <c r="LE32" s="123"/>
      <c r="LF32" s="123"/>
      <c r="LG32" s="123"/>
      <c r="LH32" s="123"/>
      <c r="LI32" s="123"/>
      <c r="LJ32" s="123"/>
      <c r="LK32" s="123"/>
      <c r="LL32" s="123"/>
      <c r="LM32" s="123"/>
      <c r="LN32" s="123"/>
      <c r="LO32" s="123"/>
      <c r="LP32" s="123"/>
      <c r="LQ32" s="123"/>
      <c r="LR32" s="123"/>
      <c r="LS32" s="123"/>
      <c r="LT32" s="123"/>
      <c r="LU32" s="123"/>
      <c r="LV32" s="123"/>
      <c r="LW32" s="123"/>
      <c r="LX32" s="123"/>
      <c r="LY32" s="123"/>
      <c r="LZ32" s="123"/>
      <c r="MA32" s="123"/>
      <c r="MB32" s="123"/>
      <c r="MC32" s="123"/>
      <c r="MD32" s="123"/>
      <c r="ME32" s="123"/>
      <c r="MF32" s="123"/>
      <c r="MG32" s="123"/>
      <c r="MH32" s="123"/>
      <c r="MI32" s="123"/>
      <c r="MJ32" s="123"/>
      <c r="MK32" s="123"/>
      <c r="ML32" s="123"/>
      <c r="MM32" s="123"/>
      <c r="MN32" s="123"/>
      <c r="MO32" s="123"/>
      <c r="MP32" s="123"/>
      <c r="MQ32" s="123"/>
      <c r="MR32" s="123"/>
      <c r="MS32" s="123"/>
      <c r="MT32" s="123"/>
      <c r="MU32" s="123"/>
      <c r="MV32" s="123"/>
      <c r="MW32" s="123"/>
      <c r="MX32" s="123"/>
      <c r="MY32" s="123"/>
      <c r="MZ32" s="123"/>
      <c r="NA32" s="123"/>
      <c r="NB32" s="123"/>
      <c r="NC32" s="123"/>
      <c r="ND32" s="123"/>
      <c r="NE32" s="123"/>
      <c r="NF32" s="123"/>
      <c r="NG32" s="123"/>
      <c r="NH32" s="123"/>
      <c r="NI32" s="123"/>
      <c r="NJ32" s="123"/>
      <c r="NK32" s="123"/>
      <c r="NM32">
        <f t="shared" si="156"/>
        <v>0</v>
      </c>
      <c r="NN32">
        <f t="shared" si="157"/>
        <v>0</v>
      </c>
      <c r="NO32">
        <f t="shared" si="158"/>
        <v>0</v>
      </c>
      <c r="NP32">
        <f t="shared" si="159"/>
        <v>0</v>
      </c>
      <c r="NQ32">
        <f t="shared" si="160"/>
        <v>0</v>
      </c>
      <c r="NR32">
        <f t="shared" si="161"/>
        <v>0</v>
      </c>
      <c r="NS32">
        <f t="shared" si="162"/>
        <v>0</v>
      </c>
      <c r="NT32">
        <f t="shared" si="163"/>
        <v>0</v>
      </c>
      <c r="NU32" s="29">
        <f t="shared" si="164"/>
        <v>0</v>
      </c>
      <c r="NY32" s="29">
        <f t="shared" si="107"/>
        <v>1</v>
      </c>
      <c r="NZ32" s="152">
        <v>7275000</v>
      </c>
      <c r="OE32" s="155">
        <f t="shared" si="108"/>
        <v>0</v>
      </c>
      <c r="OF32" s="155">
        <f t="shared" si="109"/>
        <v>0</v>
      </c>
      <c r="OG32" s="155">
        <f t="shared" si="110"/>
        <v>0</v>
      </c>
      <c r="OH32" s="155">
        <f t="shared" si="165"/>
        <v>0</v>
      </c>
      <c r="OI32" s="155">
        <f t="shared" si="111"/>
        <v>0</v>
      </c>
      <c r="OJ32" s="67">
        <f t="shared" si="166"/>
        <v>0</v>
      </c>
      <c r="OK32" s="67">
        <f t="shared" si="167"/>
        <v>0</v>
      </c>
      <c r="OL32" s="67">
        <f t="shared" si="168"/>
        <v>0</v>
      </c>
      <c r="OM32" s="67">
        <f t="shared" si="169"/>
        <v>0</v>
      </c>
      <c r="OO32" s="155">
        <f t="shared" si="112"/>
        <v>0</v>
      </c>
      <c r="OP32" s="155">
        <f t="shared" si="113"/>
        <v>0</v>
      </c>
      <c r="OQ32" s="155">
        <f t="shared" si="170"/>
        <v>0</v>
      </c>
      <c r="OR32" s="155">
        <f t="shared" si="171"/>
        <v>0</v>
      </c>
      <c r="OS32" s="155">
        <f t="shared" si="172"/>
        <v>0</v>
      </c>
      <c r="OT32" s="67">
        <f t="shared" si="173"/>
        <v>0</v>
      </c>
      <c r="OU32" s="67">
        <f t="shared" si="174"/>
        <v>0</v>
      </c>
      <c r="OV32" s="67">
        <f t="shared" si="175"/>
        <v>0</v>
      </c>
      <c r="OW32" s="67">
        <f t="shared" si="176"/>
        <v>0</v>
      </c>
      <c r="OZ32" s="163">
        <f t="shared" si="114"/>
        <v>0</v>
      </c>
      <c r="PA32" s="166"/>
      <c r="PB32" s="166"/>
      <c r="PC32" s="166"/>
      <c r="PD32" s="210">
        <f t="shared" si="115"/>
        <v>0</v>
      </c>
      <c r="PE32" s="210"/>
      <c r="PF32" s="210">
        <f t="shared" si="116"/>
        <v>0</v>
      </c>
      <c r="PG32" s="210">
        <f t="shared" si="117"/>
        <v>0</v>
      </c>
      <c r="PH32" s="210">
        <f t="shared" si="117"/>
        <v>0</v>
      </c>
      <c r="PI32" s="210">
        <f t="shared" si="117"/>
        <v>0</v>
      </c>
      <c r="PJ32" s="210">
        <f t="shared" si="117"/>
        <v>0</v>
      </c>
      <c r="PK32" s="210">
        <f t="shared" si="117"/>
        <v>0</v>
      </c>
      <c r="PL32" s="210">
        <f t="shared" si="117"/>
        <v>0</v>
      </c>
      <c r="PO32" s="172">
        <f t="shared" si="177"/>
        <v>0</v>
      </c>
      <c r="PP32" s="172">
        <f t="shared" si="178"/>
        <v>0</v>
      </c>
      <c r="PQ32" s="172">
        <f t="shared" si="179"/>
        <v>0</v>
      </c>
    </row>
    <row r="33" spans="1:433" ht="16" x14ac:dyDescent="0.2">
      <c r="A33" s="19">
        <f t="shared" si="180"/>
        <v>25</v>
      </c>
      <c r="B33" s="186" t="s">
        <v>184</v>
      </c>
      <c r="C33" s="186">
        <v>26</v>
      </c>
      <c r="D33" s="188">
        <v>1</v>
      </c>
      <c r="E33" s="188">
        <v>117</v>
      </c>
      <c r="F33" s="188">
        <v>1</v>
      </c>
      <c r="G33" s="188">
        <f t="shared" si="2"/>
        <v>117</v>
      </c>
      <c r="H33" s="214">
        <f t="shared" si="3"/>
        <v>1</v>
      </c>
      <c r="I33" s="214">
        <f t="shared" si="4"/>
        <v>1</v>
      </c>
      <c r="J33" s="188">
        <v>1</v>
      </c>
      <c r="K33" s="188">
        <f t="shared" si="5"/>
        <v>117</v>
      </c>
      <c r="L33" s="214">
        <f t="shared" si="6"/>
        <v>1</v>
      </c>
      <c r="M33" s="214">
        <f t="shared" si="7"/>
        <v>1</v>
      </c>
      <c r="N33" s="188">
        <v>1</v>
      </c>
      <c r="O33" s="188">
        <f t="shared" si="8"/>
        <v>117</v>
      </c>
      <c r="P33" s="214">
        <f t="shared" si="9"/>
        <v>1</v>
      </c>
      <c r="Q33" s="214">
        <f t="shared" si="10"/>
        <v>1</v>
      </c>
      <c r="R33" s="188">
        <v>1</v>
      </c>
      <c r="S33" s="188">
        <f t="shared" si="11"/>
        <v>117</v>
      </c>
      <c r="T33" s="214">
        <f t="shared" si="12"/>
        <v>1</v>
      </c>
      <c r="U33" s="214">
        <f t="shared" si="13"/>
        <v>1</v>
      </c>
      <c r="V33" s="188">
        <v>1</v>
      </c>
      <c r="W33" s="188">
        <f t="shared" si="14"/>
        <v>117</v>
      </c>
      <c r="X33" s="214">
        <f t="shared" si="15"/>
        <v>1</v>
      </c>
      <c r="Y33" s="214">
        <f t="shared" si="16"/>
        <v>1</v>
      </c>
      <c r="Z33" s="216">
        <f>1021419000/1000000000</f>
        <v>1.0214190000000001</v>
      </c>
      <c r="AA33" s="188">
        <v>0</v>
      </c>
      <c r="AB33" s="189">
        <f t="shared" si="118"/>
        <v>0</v>
      </c>
      <c r="AC33" s="250">
        <f t="shared" si="119"/>
        <v>0</v>
      </c>
      <c r="AD33" s="250">
        <f t="shared" si="120"/>
        <v>0</v>
      </c>
      <c r="AE33" s="188"/>
      <c r="AF33" s="188">
        <f t="shared" si="121"/>
        <v>0</v>
      </c>
      <c r="AG33" s="188"/>
      <c r="AH33" s="188" t="s">
        <v>313</v>
      </c>
      <c r="AI33" s="188">
        <v>0</v>
      </c>
      <c r="AJ33" s="188">
        <f t="shared" si="181"/>
        <v>0</v>
      </c>
      <c r="AK33" s="188"/>
      <c r="AL33" s="188">
        <v>0</v>
      </c>
      <c r="AM33" s="188">
        <v>0</v>
      </c>
      <c r="AN33" s="217"/>
      <c r="AO33" s="195"/>
      <c r="AP33" s="195"/>
      <c r="AQ33" s="195"/>
      <c r="AR33" s="195"/>
      <c r="AS33" s="195"/>
      <c r="AT33" s="195"/>
      <c r="BB33" s="17">
        <f t="shared" si="123"/>
        <v>0</v>
      </c>
      <c r="BE33" s="17">
        <f t="shared" si="19"/>
        <v>0</v>
      </c>
      <c r="BF33" s="17">
        <f t="shared" si="20"/>
        <v>0</v>
      </c>
      <c r="BG33" s="17">
        <f t="shared" si="21"/>
        <v>0</v>
      </c>
      <c r="BH33" s="17">
        <f t="shared" si="22"/>
        <v>0</v>
      </c>
      <c r="BI33" s="17">
        <f t="shared" si="23"/>
        <v>0</v>
      </c>
      <c r="BJ33" s="17">
        <f t="shared" si="24"/>
        <v>0</v>
      </c>
      <c r="BK33" s="17">
        <f t="shared" si="124"/>
        <v>0</v>
      </c>
      <c r="BM33" s="128"/>
      <c r="BN33" s="147">
        <v>65</v>
      </c>
      <c r="BO33" s="288">
        <v>1</v>
      </c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B33" s="20"/>
      <c r="CD33" s="17">
        <f t="shared" si="125"/>
        <v>65</v>
      </c>
      <c r="CE33" s="17">
        <f t="shared" si="126"/>
        <v>65</v>
      </c>
      <c r="CF33" s="20">
        <f t="shared" si="182"/>
        <v>0</v>
      </c>
      <c r="CG33" s="20">
        <f t="shared" si="183"/>
        <v>0</v>
      </c>
      <c r="CH33" s="20">
        <f t="shared" si="184"/>
        <v>0</v>
      </c>
      <c r="CI33" s="20">
        <f t="shared" si="185"/>
        <v>0</v>
      </c>
      <c r="CJ33" s="20">
        <f t="shared" si="186"/>
        <v>0</v>
      </c>
      <c r="CK33" s="20">
        <f t="shared" si="187"/>
        <v>0</v>
      </c>
      <c r="CL33" s="20">
        <f t="shared" si="188"/>
        <v>0</v>
      </c>
      <c r="CM33" s="20">
        <f t="shared" si="189"/>
        <v>0</v>
      </c>
      <c r="CN33" s="20">
        <f t="shared" si="190"/>
        <v>0</v>
      </c>
      <c r="CO33" s="20">
        <f t="shared" si="191"/>
        <v>0</v>
      </c>
      <c r="CP33" s="20">
        <f t="shared" si="192"/>
        <v>0</v>
      </c>
      <c r="DV33" s="20">
        <f t="shared" si="27"/>
        <v>0</v>
      </c>
      <c r="DW33" s="20">
        <f t="shared" si="28"/>
        <v>0</v>
      </c>
      <c r="DX33" s="20">
        <f t="shared" si="29"/>
        <v>0</v>
      </c>
      <c r="DY33" s="20">
        <f t="shared" si="30"/>
        <v>0</v>
      </c>
      <c r="DZ33" s="20">
        <f t="shared" si="31"/>
        <v>0</v>
      </c>
      <c r="EA33" s="20">
        <f t="shared" si="32"/>
        <v>0</v>
      </c>
      <c r="EB33" s="20">
        <f t="shared" si="127"/>
        <v>0</v>
      </c>
      <c r="EG33" s="57">
        <f t="shared" si="128"/>
        <v>0</v>
      </c>
      <c r="EH33" s="57">
        <f t="shared" si="129"/>
        <v>0</v>
      </c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X33" s="169">
        <v>1</v>
      </c>
      <c r="FY33" s="17">
        <f t="shared" si="130"/>
        <v>65</v>
      </c>
      <c r="FZ33" s="17">
        <f t="shared" si="34"/>
        <v>65</v>
      </c>
      <c r="GA33" s="17">
        <f t="shared" si="35"/>
        <v>0</v>
      </c>
      <c r="GB33" s="17">
        <f t="shared" si="36"/>
        <v>0</v>
      </c>
      <c r="GC33" s="17">
        <f t="shared" si="37"/>
        <v>0</v>
      </c>
      <c r="GD33" s="17">
        <f t="shared" si="38"/>
        <v>0</v>
      </c>
      <c r="GE33" s="17">
        <f t="shared" si="39"/>
        <v>0</v>
      </c>
      <c r="GF33" s="67"/>
      <c r="GG33" s="17">
        <v>0</v>
      </c>
      <c r="GH33" s="17">
        <v>0</v>
      </c>
      <c r="GI33" s="67"/>
      <c r="GJ33" s="62">
        <f t="shared" si="131"/>
        <v>0</v>
      </c>
      <c r="GK33" s="62">
        <f t="shared" si="132"/>
        <v>0</v>
      </c>
      <c r="GO33" s="17">
        <f t="shared" si="40"/>
        <v>0</v>
      </c>
      <c r="GP33" s="17">
        <f t="shared" si="41"/>
        <v>0</v>
      </c>
      <c r="GQ33" s="17">
        <f t="shared" si="42"/>
        <v>0</v>
      </c>
      <c r="GR33" s="17">
        <f t="shared" si="43"/>
        <v>0</v>
      </c>
      <c r="GS33" s="17">
        <f t="shared" si="44"/>
        <v>0</v>
      </c>
      <c r="GT33" s="17">
        <f t="shared" si="133"/>
        <v>1</v>
      </c>
      <c r="GU33" s="101">
        <f t="shared" si="134"/>
        <v>43243</v>
      </c>
      <c r="GV33" s="17" t="str">
        <f t="shared" si="135"/>
        <v>SELESAI</v>
      </c>
      <c r="GW33" s="17">
        <f t="shared" si="136"/>
        <v>0</v>
      </c>
      <c r="GX33" s="66" t="str">
        <f t="shared" si="137"/>
        <v>SELESAI</v>
      </c>
      <c r="GY33" s="66">
        <f t="shared" si="138"/>
        <v>0</v>
      </c>
      <c r="GZ33" s="102" t="str">
        <f t="shared" si="139"/>
        <v>SELESAI</v>
      </c>
      <c r="HA33" s="83"/>
      <c r="HB33" s="83"/>
      <c r="HC33" s="17">
        <f t="shared" si="45"/>
        <v>0</v>
      </c>
      <c r="HD33" s="17">
        <f t="shared" si="46"/>
        <v>0</v>
      </c>
      <c r="HE33" s="17">
        <f t="shared" si="140"/>
        <v>0</v>
      </c>
      <c r="HF33" s="17">
        <f t="shared" si="141"/>
        <v>0</v>
      </c>
      <c r="HG33" s="17">
        <f t="shared" si="142"/>
        <v>0</v>
      </c>
      <c r="HH33" s="101" t="str">
        <f t="shared" si="47"/>
        <v>TIDAK KONSINYASI</v>
      </c>
      <c r="HI33" s="101" t="str">
        <f t="shared" si="143"/>
        <v>SELESAI</v>
      </c>
      <c r="HJ33" s="27"/>
      <c r="HK33" s="101">
        <f t="shared" si="48"/>
        <v>0</v>
      </c>
      <c r="HL33" s="83"/>
      <c r="HM33" s="83"/>
      <c r="HN33" s="83"/>
      <c r="HO33" s="83"/>
      <c r="HP33" s="102">
        <f t="shared" si="144"/>
        <v>0</v>
      </c>
      <c r="HQ33" s="66">
        <f t="shared" si="145"/>
        <v>0</v>
      </c>
      <c r="HR33" s="66">
        <f t="shared" si="49"/>
        <v>0</v>
      </c>
      <c r="HS33" s="102">
        <f t="shared" si="146"/>
        <v>0</v>
      </c>
      <c r="HT33" s="66">
        <f t="shared" si="147"/>
        <v>0</v>
      </c>
      <c r="HU33" s="66">
        <f t="shared" si="50"/>
        <v>0</v>
      </c>
      <c r="HV33" s="102">
        <f t="shared" si="148"/>
        <v>0</v>
      </c>
      <c r="HW33" s="66">
        <f t="shared" si="51"/>
        <v>0</v>
      </c>
      <c r="HX33" s="66">
        <f t="shared" si="52"/>
        <v>0</v>
      </c>
      <c r="HY33" s="102">
        <f t="shared" si="53"/>
        <v>0</v>
      </c>
      <c r="HZ33" s="66">
        <f t="shared" si="149"/>
        <v>0</v>
      </c>
      <c r="IA33" s="66">
        <f t="shared" si="54"/>
        <v>0</v>
      </c>
      <c r="IB33" s="102">
        <f t="shared" si="150"/>
        <v>0</v>
      </c>
      <c r="IC33" s="66">
        <f t="shared" si="55"/>
        <v>0</v>
      </c>
      <c r="ID33" s="66">
        <f t="shared" si="56"/>
        <v>0</v>
      </c>
      <c r="IE33" s="102">
        <f t="shared" si="57"/>
        <v>0</v>
      </c>
      <c r="IF33" s="66">
        <f t="shared" si="58"/>
        <v>0</v>
      </c>
      <c r="IG33" s="66">
        <f t="shared" si="59"/>
        <v>0</v>
      </c>
      <c r="IH33" s="102">
        <f t="shared" si="151"/>
        <v>0</v>
      </c>
      <c r="II33" s="66">
        <f t="shared" si="152"/>
        <v>0</v>
      </c>
      <c r="IJ33" s="66">
        <f t="shared" si="60"/>
        <v>0</v>
      </c>
      <c r="IK33" s="102">
        <f t="shared" si="61"/>
        <v>0</v>
      </c>
      <c r="IL33" s="66">
        <f t="shared" si="62"/>
        <v>0</v>
      </c>
      <c r="IM33" s="66">
        <f t="shared" si="63"/>
        <v>0</v>
      </c>
      <c r="IN33" s="83"/>
      <c r="IO33" s="102">
        <f t="shared" si="64"/>
        <v>0</v>
      </c>
      <c r="IP33" s="66">
        <f t="shared" si="65"/>
        <v>0</v>
      </c>
      <c r="IQ33" s="66">
        <f t="shared" si="66"/>
        <v>0</v>
      </c>
      <c r="IR33" s="83"/>
      <c r="IS33" s="102"/>
      <c r="IT33" s="66">
        <f t="shared" si="67"/>
        <v>1</v>
      </c>
      <c r="IU33" s="66">
        <f t="shared" si="68"/>
        <v>117</v>
      </c>
      <c r="IV33" s="83"/>
      <c r="IW33" s="102"/>
      <c r="IX33" s="66">
        <f t="shared" si="69"/>
        <v>0</v>
      </c>
      <c r="IY33" s="66">
        <f t="shared" si="70"/>
        <v>0</v>
      </c>
      <c r="IZ33" s="83"/>
      <c r="JA33" s="102"/>
      <c r="JB33" s="66">
        <f t="shared" si="71"/>
        <v>0</v>
      </c>
      <c r="JC33" s="66">
        <f t="shared" si="72"/>
        <v>0</v>
      </c>
      <c r="JD33" s="83"/>
      <c r="JE33" s="102"/>
      <c r="JF33" s="66">
        <f t="shared" si="153"/>
        <v>1</v>
      </c>
      <c r="JG33" s="66">
        <f t="shared" si="73"/>
        <v>117</v>
      </c>
      <c r="JH33" s="83"/>
      <c r="JI33" s="102"/>
      <c r="JJ33" s="66">
        <f t="shared" si="74"/>
        <v>0</v>
      </c>
      <c r="JK33" s="66">
        <f t="shared" si="75"/>
        <v>0</v>
      </c>
      <c r="JM33" s="102">
        <f t="shared" si="154"/>
        <v>0</v>
      </c>
      <c r="JO33" s="29">
        <f t="shared" si="76"/>
        <v>1</v>
      </c>
      <c r="JP33" s="122">
        <f t="shared" si="77"/>
        <v>65</v>
      </c>
      <c r="JQ33" s="122">
        <f t="shared" si="78"/>
        <v>1</v>
      </c>
      <c r="JR33" s="122">
        <f t="shared" si="79"/>
        <v>0</v>
      </c>
      <c r="JS33" s="122">
        <f t="shared" si="80"/>
        <v>0</v>
      </c>
      <c r="JT33" s="122">
        <f t="shared" si="81"/>
        <v>0</v>
      </c>
      <c r="JU33" s="122">
        <f t="shared" si="82"/>
        <v>0</v>
      </c>
      <c r="JV33" s="122">
        <f t="shared" si="83"/>
        <v>0</v>
      </c>
      <c r="JW33" s="122">
        <f t="shared" si="84"/>
        <v>0</v>
      </c>
      <c r="JX33" s="122">
        <f t="shared" si="85"/>
        <v>0</v>
      </c>
      <c r="JY33" s="122">
        <f t="shared" si="86"/>
        <v>0</v>
      </c>
      <c r="JZ33" s="122">
        <f t="shared" si="87"/>
        <v>0</v>
      </c>
      <c r="KA33" s="122">
        <f t="shared" si="88"/>
        <v>0</v>
      </c>
      <c r="KB33" s="122">
        <f t="shared" si="89"/>
        <v>0</v>
      </c>
      <c r="KD33" s="122">
        <f t="shared" si="155"/>
        <v>0</v>
      </c>
      <c r="KE33" s="122">
        <f t="shared" si="91"/>
        <v>0</v>
      </c>
      <c r="KF33" s="122">
        <f t="shared" si="92"/>
        <v>65</v>
      </c>
      <c r="KG33" s="122">
        <f t="shared" si="93"/>
        <v>65</v>
      </c>
      <c r="KH33" s="122">
        <f t="shared" si="94"/>
        <v>0</v>
      </c>
      <c r="KI33" s="122">
        <f t="shared" si="95"/>
        <v>0</v>
      </c>
      <c r="KJ33" s="122">
        <f t="shared" si="96"/>
        <v>0</v>
      </c>
      <c r="KK33" s="122">
        <f t="shared" si="97"/>
        <v>0</v>
      </c>
      <c r="KL33" s="122">
        <f t="shared" si="98"/>
        <v>0</v>
      </c>
      <c r="KM33" s="122">
        <f t="shared" si="99"/>
        <v>0</v>
      </c>
      <c r="KN33" s="123">
        <f t="shared" si="100"/>
        <v>0</v>
      </c>
      <c r="KO33" s="123">
        <f t="shared" si="101"/>
        <v>0</v>
      </c>
      <c r="KP33" s="123">
        <f t="shared" si="102"/>
        <v>0</v>
      </c>
      <c r="KQ33" s="123">
        <f t="shared" si="103"/>
        <v>0</v>
      </c>
      <c r="KR33" s="123">
        <f t="shared" si="104"/>
        <v>0</v>
      </c>
      <c r="KT33">
        <f t="shared" si="105"/>
        <v>0</v>
      </c>
      <c r="KU33" s="123"/>
      <c r="KV33" s="123"/>
      <c r="KW33" s="123"/>
      <c r="KX33" s="123"/>
      <c r="KY33" s="123"/>
      <c r="KZ33" s="123"/>
      <c r="LA33" s="123"/>
      <c r="LB33" s="123"/>
      <c r="LC33" s="123"/>
      <c r="LD33" s="123"/>
      <c r="LE33" s="123"/>
      <c r="LF33" s="123"/>
      <c r="LG33" s="123"/>
      <c r="LH33" s="123"/>
      <c r="LI33" s="123"/>
      <c r="LJ33" s="123"/>
      <c r="LK33" s="123"/>
      <c r="LL33" s="123"/>
      <c r="LM33" s="123"/>
      <c r="LN33" s="123"/>
      <c r="LO33" s="123"/>
      <c r="LP33" s="123"/>
      <c r="LQ33" s="123"/>
      <c r="LR33" s="123"/>
      <c r="LS33" s="123"/>
      <c r="LT33" s="123"/>
      <c r="LU33" s="123"/>
      <c r="LV33" s="123"/>
      <c r="LW33" s="123"/>
      <c r="LX33" s="123"/>
      <c r="LY33" s="123"/>
      <c r="LZ33" s="123"/>
      <c r="MA33" s="123"/>
      <c r="MB33" s="123"/>
      <c r="MC33" s="123"/>
      <c r="MD33" s="123"/>
      <c r="ME33" s="123"/>
      <c r="MF33" s="123"/>
      <c r="MG33" s="123"/>
      <c r="MH33" s="123"/>
      <c r="MI33" s="123"/>
      <c r="MJ33" s="123"/>
      <c r="MK33" s="123"/>
      <c r="ML33" s="123"/>
      <c r="MM33" s="123"/>
      <c r="MN33" s="123"/>
      <c r="MO33" s="123"/>
      <c r="MP33" s="123"/>
      <c r="MQ33" s="123"/>
      <c r="MR33" s="123"/>
      <c r="MS33" s="123"/>
      <c r="MT33" s="123"/>
      <c r="MU33" s="123"/>
      <c r="MV33" s="123"/>
      <c r="MW33" s="123"/>
      <c r="MX33" s="123"/>
      <c r="MY33" s="123"/>
      <c r="MZ33" s="123"/>
      <c r="NA33" s="123"/>
      <c r="NB33" s="123"/>
      <c r="NC33" s="123"/>
      <c r="ND33" s="123"/>
      <c r="NE33" s="123"/>
      <c r="NF33" s="123"/>
      <c r="NG33" s="123"/>
      <c r="NH33" s="123"/>
      <c r="NI33" s="123"/>
      <c r="NJ33" s="123"/>
      <c r="NK33" s="123"/>
      <c r="NM33">
        <f t="shared" si="156"/>
        <v>0</v>
      </c>
      <c r="NN33">
        <f t="shared" si="157"/>
        <v>0</v>
      </c>
      <c r="NO33">
        <f t="shared" si="158"/>
        <v>0</v>
      </c>
      <c r="NP33">
        <f t="shared" si="159"/>
        <v>0</v>
      </c>
      <c r="NQ33">
        <f t="shared" si="160"/>
        <v>0</v>
      </c>
      <c r="NR33">
        <f t="shared" si="161"/>
        <v>0</v>
      </c>
      <c r="NS33">
        <f t="shared" si="162"/>
        <v>0</v>
      </c>
      <c r="NT33">
        <f t="shared" si="163"/>
        <v>0</v>
      </c>
      <c r="NU33" s="29">
        <f t="shared" si="164"/>
        <v>0</v>
      </c>
      <c r="NY33" s="29">
        <f t="shared" si="107"/>
        <v>1</v>
      </c>
      <c r="NZ33" s="152">
        <v>7129500</v>
      </c>
      <c r="OE33" s="155">
        <f t="shared" si="108"/>
        <v>0</v>
      </c>
      <c r="OF33" s="155">
        <f t="shared" si="109"/>
        <v>0</v>
      </c>
      <c r="OG33" s="155">
        <f t="shared" si="110"/>
        <v>0</v>
      </c>
      <c r="OH33" s="155">
        <f t="shared" si="165"/>
        <v>0</v>
      </c>
      <c r="OI33" s="155">
        <f t="shared" si="111"/>
        <v>0</v>
      </c>
      <c r="OJ33" s="67">
        <f t="shared" si="166"/>
        <v>0</v>
      </c>
      <c r="OK33" s="67">
        <f t="shared" si="167"/>
        <v>0</v>
      </c>
      <c r="OL33" s="67">
        <f t="shared" si="168"/>
        <v>0</v>
      </c>
      <c r="OM33" s="67">
        <f t="shared" si="169"/>
        <v>0</v>
      </c>
      <c r="OO33" s="155">
        <f t="shared" si="112"/>
        <v>0</v>
      </c>
      <c r="OP33" s="155">
        <f t="shared" si="113"/>
        <v>0</v>
      </c>
      <c r="OQ33" s="155">
        <f t="shared" si="170"/>
        <v>0</v>
      </c>
      <c r="OR33" s="155">
        <f t="shared" si="171"/>
        <v>0</v>
      </c>
      <c r="OS33" s="155">
        <f t="shared" si="172"/>
        <v>0</v>
      </c>
      <c r="OT33" s="67">
        <f t="shared" si="173"/>
        <v>0</v>
      </c>
      <c r="OU33" s="67">
        <f t="shared" si="174"/>
        <v>0</v>
      </c>
      <c r="OV33" s="67">
        <f t="shared" si="175"/>
        <v>0</v>
      </c>
      <c r="OW33" s="67">
        <f t="shared" si="176"/>
        <v>0</v>
      </c>
      <c r="OZ33" s="163">
        <f t="shared" si="114"/>
        <v>0</v>
      </c>
      <c r="PA33" s="166"/>
      <c r="PB33" s="166"/>
      <c r="PC33" s="166"/>
      <c r="PD33" s="210">
        <f t="shared" si="115"/>
        <v>0</v>
      </c>
      <c r="PE33" s="210"/>
      <c r="PF33" s="210">
        <f t="shared" si="116"/>
        <v>0</v>
      </c>
      <c r="PG33" s="210">
        <f t="shared" si="117"/>
        <v>0</v>
      </c>
      <c r="PH33" s="210">
        <f t="shared" si="117"/>
        <v>0</v>
      </c>
      <c r="PI33" s="210">
        <f t="shared" si="117"/>
        <v>0</v>
      </c>
      <c r="PJ33" s="210">
        <f t="shared" si="117"/>
        <v>0</v>
      </c>
      <c r="PK33" s="210">
        <f t="shared" si="117"/>
        <v>0</v>
      </c>
      <c r="PL33" s="210">
        <f t="shared" si="117"/>
        <v>0</v>
      </c>
      <c r="PO33" s="172">
        <f t="shared" si="177"/>
        <v>0</v>
      </c>
      <c r="PP33" s="172">
        <f t="shared" si="178"/>
        <v>0</v>
      </c>
      <c r="PQ33" s="172">
        <f t="shared" si="179"/>
        <v>0</v>
      </c>
    </row>
    <row r="34" spans="1:433" ht="16" x14ac:dyDescent="0.2">
      <c r="A34" s="19">
        <f t="shared" si="180"/>
        <v>26</v>
      </c>
      <c r="B34" s="186" t="s">
        <v>185</v>
      </c>
      <c r="C34" s="186">
        <v>27</v>
      </c>
      <c r="D34" s="188">
        <v>1</v>
      </c>
      <c r="E34" s="188">
        <v>107</v>
      </c>
      <c r="F34" s="188">
        <v>1</v>
      </c>
      <c r="G34" s="188">
        <f t="shared" si="2"/>
        <v>107</v>
      </c>
      <c r="H34" s="214">
        <f t="shared" si="3"/>
        <v>1</v>
      </c>
      <c r="I34" s="214">
        <f t="shared" si="4"/>
        <v>1</v>
      </c>
      <c r="J34" s="188">
        <v>1</v>
      </c>
      <c r="K34" s="188">
        <f t="shared" si="5"/>
        <v>107</v>
      </c>
      <c r="L34" s="214">
        <f t="shared" si="6"/>
        <v>1</v>
      </c>
      <c r="M34" s="214">
        <f t="shared" si="7"/>
        <v>1</v>
      </c>
      <c r="N34" s="188">
        <v>1</v>
      </c>
      <c r="O34" s="188">
        <f t="shared" si="8"/>
        <v>107</v>
      </c>
      <c r="P34" s="214">
        <f t="shared" si="9"/>
        <v>1</v>
      </c>
      <c r="Q34" s="214">
        <f t="shared" si="10"/>
        <v>1</v>
      </c>
      <c r="R34" s="188">
        <v>1</v>
      </c>
      <c r="S34" s="188">
        <f t="shared" si="11"/>
        <v>107</v>
      </c>
      <c r="T34" s="214">
        <f t="shared" si="12"/>
        <v>1</v>
      </c>
      <c r="U34" s="214">
        <f t="shared" si="13"/>
        <v>1</v>
      </c>
      <c r="V34" s="188">
        <v>1</v>
      </c>
      <c r="W34" s="188">
        <f t="shared" si="14"/>
        <v>107</v>
      </c>
      <c r="X34" s="214">
        <f t="shared" si="15"/>
        <v>1</v>
      </c>
      <c r="Y34" s="214">
        <f t="shared" si="16"/>
        <v>1</v>
      </c>
      <c r="Z34" s="216">
        <f>828877000/1000000000</f>
        <v>0.82887699999999997</v>
      </c>
      <c r="AA34" s="188">
        <v>0</v>
      </c>
      <c r="AB34" s="189">
        <f t="shared" si="118"/>
        <v>0</v>
      </c>
      <c r="AC34" s="250">
        <f t="shared" si="119"/>
        <v>0</v>
      </c>
      <c r="AD34" s="250">
        <f t="shared" si="120"/>
        <v>0</v>
      </c>
      <c r="AE34" s="188"/>
      <c r="AF34" s="188">
        <f t="shared" si="121"/>
        <v>0</v>
      </c>
      <c r="AG34" s="188"/>
      <c r="AH34" s="188" t="s">
        <v>313</v>
      </c>
      <c r="AI34" s="188">
        <v>0</v>
      </c>
      <c r="AJ34" s="188">
        <f t="shared" si="181"/>
        <v>0</v>
      </c>
      <c r="AK34" s="188"/>
      <c r="AL34" s="188">
        <v>0</v>
      </c>
      <c r="AM34" s="188">
        <v>0</v>
      </c>
      <c r="AN34" s="217"/>
      <c r="AO34" s="195"/>
      <c r="AP34" s="195"/>
      <c r="AQ34" s="195"/>
      <c r="AR34" s="195"/>
      <c r="AS34" s="195"/>
      <c r="AT34" s="195"/>
      <c r="BB34" s="17">
        <f t="shared" si="123"/>
        <v>0</v>
      </c>
      <c r="BE34" s="17">
        <f t="shared" si="19"/>
        <v>0</v>
      </c>
      <c r="BF34" s="17">
        <f t="shared" si="20"/>
        <v>0</v>
      </c>
      <c r="BG34" s="17">
        <f t="shared" si="21"/>
        <v>0</v>
      </c>
      <c r="BH34" s="17">
        <f t="shared" si="22"/>
        <v>0</v>
      </c>
      <c r="BI34" s="17">
        <f t="shared" si="23"/>
        <v>0</v>
      </c>
      <c r="BJ34" s="17">
        <f t="shared" si="24"/>
        <v>0</v>
      </c>
      <c r="BK34" s="17">
        <f t="shared" si="124"/>
        <v>0</v>
      </c>
      <c r="BM34" s="128"/>
      <c r="BN34" s="147"/>
      <c r="BO34" s="288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B34" s="20"/>
      <c r="CD34" s="17">
        <f t="shared" si="125"/>
        <v>0</v>
      </c>
      <c r="CE34" s="17">
        <f t="shared" si="126"/>
        <v>0</v>
      </c>
      <c r="CF34" s="20">
        <f t="shared" si="182"/>
        <v>0</v>
      </c>
      <c r="CG34" s="20">
        <f t="shared" si="183"/>
        <v>0</v>
      </c>
      <c r="CH34" s="20">
        <f t="shared" si="184"/>
        <v>0</v>
      </c>
      <c r="CI34" s="20">
        <f t="shared" si="185"/>
        <v>0</v>
      </c>
      <c r="CJ34" s="20">
        <f t="shared" si="186"/>
        <v>0</v>
      </c>
      <c r="CK34" s="20">
        <f t="shared" si="187"/>
        <v>0</v>
      </c>
      <c r="CL34" s="20">
        <f t="shared" si="188"/>
        <v>0</v>
      </c>
      <c r="CM34" s="20">
        <f t="shared" si="189"/>
        <v>0</v>
      </c>
      <c r="CN34" s="20">
        <f t="shared" si="190"/>
        <v>0</v>
      </c>
      <c r="CO34" s="20">
        <f t="shared" si="191"/>
        <v>0</v>
      </c>
      <c r="CP34" s="20">
        <f t="shared" si="192"/>
        <v>0</v>
      </c>
      <c r="DV34" s="20">
        <f t="shared" si="27"/>
        <v>0</v>
      </c>
      <c r="DW34" s="20">
        <f t="shared" si="28"/>
        <v>0</v>
      </c>
      <c r="DX34" s="20">
        <f t="shared" si="29"/>
        <v>0</v>
      </c>
      <c r="DY34" s="20">
        <f t="shared" si="30"/>
        <v>0</v>
      </c>
      <c r="DZ34" s="20">
        <f t="shared" si="31"/>
        <v>0</v>
      </c>
      <c r="EA34" s="20">
        <f t="shared" si="32"/>
        <v>0</v>
      </c>
      <c r="EB34" s="20">
        <f t="shared" si="127"/>
        <v>0</v>
      </c>
      <c r="EG34" s="57">
        <f t="shared" si="128"/>
        <v>0</v>
      </c>
      <c r="EH34" s="57">
        <f t="shared" si="129"/>
        <v>0</v>
      </c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X34" s="169"/>
      <c r="FY34" s="17">
        <f t="shared" si="130"/>
        <v>0</v>
      </c>
      <c r="FZ34" s="17">
        <f t="shared" si="34"/>
        <v>0</v>
      </c>
      <c r="GA34" s="17">
        <f t="shared" si="35"/>
        <v>0</v>
      </c>
      <c r="GB34" s="17">
        <f t="shared" si="36"/>
        <v>0</v>
      </c>
      <c r="GC34" s="17">
        <f t="shared" si="37"/>
        <v>0</v>
      </c>
      <c r="GD34" s="17">
        <f t="shared" si="38"/>
        <v>0</v>
      </c>
      <c r="GE34" s="17">
        <f t="shared" si="39"/>
        <v>0</v>
      </c>
      <c r="GF34" s="67"/>
      <c r="GG34" s="17">
        <v>0</v>
      </c>
      <c r="GH34" s="17">
        <v>0</v>
      </c>
      <c r="GI34" s="67"/>
      <c r="GJ34" s="62">
        <f t="shared" si="131"/>
        <v>0</v>
      </c>
      <c r="GK34" s="62">
        <f t="shared" si="132"/>
        <v>0</v>
      </c>
      <c r="GO34" s="17">
        <f t="shared" si="40"/>
        <v>0</v>
      </c>
      <c r="GP34" s="17">
        <f t="shared" si="41"/>
        <v>0</v>
      </c>
      <c r="GQ34" s="17">
        <f t="shared" si="42"/>
        <v>0</v>
      </c>
      <c r="GR34" s="17">
        <f t="shared" si="43"/>
        <v>0</v>
      </c>
      <c r="GS34" s="17">
        <f t="shared" si="44"/>
        <v>0</v>
      </c>
      <c r="GT34" s="17">
        <f t="shared" si="133"/>
        <v>1</v>
      </c>
      <c r="GU34" s="101">
        <f t="shared" si="134"/>
        <v>43243</v>
      </c>
      <c r="GV34" s="17" t="str">
        <f t="shared" si="135"/>
        <v>SELESAI</v>
      </c>
      <c r="GW34" s="17">
        <f t="shared" si="136"/>
        <v>0</v>
      </c>
      <c r="GX34" s="66" t="str">
        <f t="shared" si="137"/>
        <v>SELESAI</v>
      </c>
      <c r="GY34" s="66">
        <f t="shared" si="138"/>
        <v>0</v>
      </c>
      <c r="GZ34" s="102" t="str">
        <f t="shared" si="139"/>
        <v>SELESAI</v>
      </c>
      <c r="HA34" s="83"/>
      <c r="HB34" s="83"/>
      <c r="HC34" s="17">
        <f t="shared" si="45"/>
        <v>0</v>
      </c>
      <c r="HD34" s="17">
        <f t="shared" si="46"/>
        <v>0</v>
      </c>
      <c r="HE34" s="17">
        <f t="shared" si="140"/>
        <v>0</v>
      </c>
      <c r="HF34" s="17">
        <f t="shared" si="141"/>
        <v>0</v>
      </c>
      <c r="HG34" s="17">
        <f t="shared" si="142"/>
        <v>0</v>
      </c>
      <c r="HH34" s="101" t="str">
        <f t="shared" si="47"/>
        <v>TIDAK KONSINYASI</v>
      </c>
      <c r="HI34" s="101" t="str">
        <f t="shared" si="143"/>
        <v>SELESAI</v>
      </c>
      <c r="HJ34" s="27"/>
      <c r="HK34" s="101">
        <f t="shared" si="48"/>
        <v>0</v>
      </c>
      <c r="HL34" s="83"/>
      <c r="HM34" s="83"/>
      <c r="HN34" s="83"/>
      <c r="HO34" s="83"/>
      <c r="HP34" s="102">
        <f t="shared" si="144"/>
        <v>0</v>
      </c>
      <c r="HQ34" s="66">
        <f t="shared" si="145"/>
        <v>0</v>
      </c>
      <c r="HR34" s="66">
        <f t="shared" si="49"/>
        <v>0</v>
      </c>
      <c r="HS34" s="102">
        <f t="shared" si="146"/>
        <v>0</v>
      </c>
      <c r="HT34" s="66">
        <f t="shared" si="147"/>
        <v>0</v>
      </c>
      <c r="HU34" s="66">
        <f t="shared" si="50"/>
        <v>0</v>
      </c>
      <c r="HV34" s="102">
        <f t="shared" si="148"/>
        <v>0</v>
      </c>
      <c r="HW34" s="66">
        <f t="shared" si="51"/>
        <v>0</v>
      </c>
      <c r="HX34" s="66">
        <f t="shared" si="52"/>
        <v>0</v>
      </c>
      <c r="HY34" s="102">
        <f t="shared" si="53"/>
        <v>0</v>
      </c>
      <c r="HZ34" s="66">
        <f t="shared" si="149"/>
        <v>0</v>
      </c>
      <c r="IA34" s="66">
        <f t="shared" si="54"/>
        <v>0</v>
      </c>
      <c r="IB34" s="102">
        <f t="shared" si="150"/>
        <v>0</v>
      </c>
      <c r="IC34" s="66">
        <f t="shared" si="55"/>
        <v>0</v>
      </c>
      <c r="ID34" s="66">
        <f t="shared" si="56"/>
        <v>0</v>
      </c>
      <c r="IE34" s="102">
        <f t="shared" si="57"/>
        <v>0</v>
      </c>
      <c r="IF34" s="66">
        <f t="shared" si="58"/>
        <v>0</v>
      </c>
      <c r="IG34" s="66">
        <f t="shared" si="59"/>
        <v>0</v>
      </c>
      <c r="IH34" s="102">
        <f t="shared" si="151"/>
        <v>0</v>
      </c>
      <c r="II34" s="66">
        <f t="shared" si="152"/>
        <v>0</v>
      </c>
      <c r="IJ34" s="66">
        <f t="shared" si="60"/>
        <v>0</v>
      </c>
      <c r="IK34" s="102">
        <f t="shared" si="61"/>
        <v>0</v>
      </c>
      <c r="IL34" s="66">
        <f t="shared" si="62"/>
        <v>0</v>
      </c>
      <c r="IM34" s="66">
        <f t="shared" si="63"/>
        <v>0</v>
      </c>
      <c r="IN34" s="83"/>
      <c r="IO34" s="102">
        <f t="shared" si="64"/>
        <v>0</v>
      </c>
      <c r="IP34" s="66">
        <f t="shared" si="65"/>
        <v>0</v>
      </c>
      <c r="IQ34" s="66">
        <f t="shared" si="66"/>
        <v>0</v>
      </c>
      <c r="IR34" s="83"/>
      <c r="IS34" s="102"/>
      <c r="IT34" s="66">
        <f t="shared" si="67"/>
        <v>1</v>
      </c>
      <c r="IU34" s="66">
        <f t="shared" si="68"/>
        <v>107</v>
      </c>
      <c r="IV34" s="83"/>
      <c r="IW34" s="102"/>
      <c r="IX34" s="66">
        <f t="shared" si="69"/>
        <v>0</v>
      </c>
      <c r="IY34" s="66">
        <f t="shared" si="70"/>
        <v>0</v>
      </c>
      <c r="IZ34" s="83"/>
      <c r="JA34" s="102"/>
      <c r="JB34" s="66">
        <f t="shared" si="71"/>
        <v>0</v>
      </c>
      <c r="JC34" s="66">
        <f t="shared" si="72"/>
        <v>0</v>
      </c>
      <c r="JD34" s="83"/>
      <c r="JE34" s="102"/>
      <c r="JF34" s="66">
        <f t="shared" si="153"/>
        <v>1</v>
      </c>
      <c r="JG34" s="66">
        <f t="shared" si="73"/>
        <v>107</v>
      </c>
      <c r="JH34" s="83"/>
      <c r="JI34" s="102"/>
      <c r="JJ34" s="66">
        <f t="shared" si="74"/>
        <v>0</v>
      </c>
      <c r="JK34" s="66">
        <f t="shared" si="75"/>
        <v>0</v>
      </c>
      <c r="JM34" s="102">
        <f t="shared" si="154"/>
        <v>0</v>
      </c>
      <c r="JO34" s="29">
        <f t="shared" si="76"/>
        <v>0</v>
      </c>
      <c r="JP34" s="122">
        <f t="shared" si="77"/>
        <v>0</v>
      </c>
      <c r="JQ34" s="122">
        <f t="shared" si="78"/>
        <v>0</v>
      </c>
      <c r="JR34" s="122">
        <f t="shared" si="79"/>
        <v>0</v>
      </c>
      <c r="JS34" s="122">
        <f t="shared" si="80"/>
        <v>0</v>
      </c>
      <c r="JT34" s="122">
        <f t="shared" si="81"/>
        <v>0</v>
      </c>
      <c r="JU34" s="122">
        <f t="shared" si="82"/>
        <v>0</v>
      </c>
      <c r="JV34" s="122">
        <f t="shared" si="83"/>
        <v>0</v>
      </c>
      <c r="JW34" s="122">
        <f t="shared" si="84"/>
        <v>0</v>
      </c>
      <c r="JX34" s="122">
        <f t="shared" si="85"/>
        <v>0</v>
      </c>
      <c r="JY34" s="122">
        <f t="shared" si="86"/>
        <v>0</v>
      </c>
      <c r="JZ34" s="122">
        <f t="shared" si="87"/>
        <v>0</v>
      </c>
      <c r="KA34" s="122">
        <f t="shared" si="88"/>
        <v>0</v>
      </c>
      <c r="KB34" s="122">
        <f t="shared" si="89"/>
        <v>0</v>
      </c>
      <c r="KD34" s="122">
        <f t="shared" si="155"/>
        <v>0</v>
      </c>
      <c r="KE34" s="122">
        <f t="shared" si="91"/>
        <v>0</v>
      </c>
      <c r="KF34" s="122">
        <f t="shared" si="92"/>
        <v>0</v>
      </c>
      <c r="KG34" s="122">
        <f t="shared" si="93"/>
        <v>0</v>
      </c>
      <c r="KH34" s="122">
        <f t="shared" si="94"/>
        <v>0</v>
      </c>
      <c r="KI34" s="122">
        <f t="shared" si="95"/>
        <v>0</v>
      </c>
      <c r="KJ34" s="122">
        <f t="shared" si="96"/>
        <v>0</v>
      </c>
      <c r="KK34" s="122">
        <f t="shared" si="97"/>
        <v>0</v>
      </c>
      <c r="KL34" s="122">
        <f t="shared" si="98"/>
        <v>0</v>
      </c>
      <c r="KM34" s="122">
        <f t="shared" si="99"/>
        <v>0</v>
      </c>
      <c r="KN34" s="123">
        <f t="shared" si="100"/>
        <v>0</v>
      </c>
      <c r="KO34" s="123">
        <f t="shared" si="101"/>
        <v>0</v>
      </c>
      <c r="KP34" s="123">
        <f t="shared" si="102"/>
        <v>0</v>
      </c>
      <c r="KQ34" s="123">
        <f t="shared" si="103"/>
        <v>0</v>
      </c>
      <c r="KR34" s="123">
        <f t="shared" si="104"/>
        <v>0</v>
      </c>
      <c r="KT34">
        <f t="shared" si="105"/>
        <v>0</v>
      </c>
      <c r="KU34" s="123"/>
      <c r="KV34" s="123"/>
      <c r="KW34" s="123"/>
      <c r="KX34" s="123"/>
      <c r="KY34" s="123"/>
      <c r="KZ34" s="123"/>
      <c r="LA34" s="123"/>
      <c r="LB34" s="123"/>
      <c r="LC34" s="123"/>
      <c r="LD34" s="123"/>
      <c r="LE34" s="123"/>
      <c r="LF34" s="123"/>
      <c r="LG34" s="123"/>
      <c r="LH34" s="123"/>
      <c r="LI34" s="123"/>
      <c r="LJ34" s="123"/>
      <c r="LK34" s="123"/>
      <c r="LL34" s="123"/>
      <c r="LM34" s="123"/>
      <c r="LN34" s="123"/>
      <c r="LO34" s="123"/>
      <c r="LP34" s="123"/>
      <c r="LQ34" s="123"/>
      <c r="LR34" s="123"/>
      <c r="LS34" s="123"/>
      <c r="LT34" s="123"/>
      <c r="LU34" s="123"/>
      <c r="LV34" s="123"/>
      <c r="LW34" s="123"/>
      <c r="LX34" s="123"/>
      <c r="LY34" s="123"/>
      <c r="LZ34" s="123"/>
      <c r="MA34" s="123"/>
      <c r="MB34" s="123"/>
      <c r="MC34" s="123"/>
      <c r="MD34" s="123"/>
      <c r="ME34" s="123"/>
      <c r="MF34" s="123"/>
      <c r="MG34" s="123"/>
      <c r="MH34" s="123"/>
      <c r="MI34" s="123"/>
      <c r="MJ34" s="123"/>
      <c r="MK34" s="123"/>
      <c r="ML34" s="123"/>
      <c r="MM34" s="123"/>
      <c r="MN34" s="123"/>
      <c r="MO34" s="123"/>
      <c r="MP34" s="123"/>
      <c r="MQ34" s="123"/>
      <c r="MR34" s="123"/>
      <c r="MS34" s="123"/>
      <c r="MT34" s="123"/>
      <c r="MU34" s="123"/>
      <c r="MV34" s="123"/>
      <c r="MW34" s="123"/>
      <c r="MX34" s="123"/>
      <c r="MY34" s="123"/>
      <c r="MZ34" s="123"/>
      <c r="NA34" s="123"/>
      <c r="NB34" s="123"/>
      <c r="NC34" s="123"/>
      <c r="ND34" s="123"/>
      <c r="NE34" s="123"/>
      <c r="NF34" s="123"/>
      <c r="NG34" s="123"/>
      <c r="NH34" s="123"/>
      <c r="NI34" s="123"/>
      <c r="NJ34" s="123"/>
      <c r="NK34" s="123"/>
      <c r="NM34">
        <f t="shared" si="156"/>
        <v>0</v>
      </c>
      <c r="NN34">
        <f t="shared" si="157"/>
        <v>0</v>
      </c>
      <c r="NO34">
        <f t="shared" si="158"/>
        <v>0</v>
      </c>
      <c r="NP34">
        <f t="shared" si="159"/>
        <v>0</v>
      </c>
      <c r="NQ34">
        <f t="shared" si="160"/>
        <v>0</v>
      </c>
      <c r="NR34">
        <f t="shared" si="161"/>
        <v>0</v>
      </c>
      <c r="NS34">
        <f t="shared" si="162"/>
        <v>0</v>
      </c>
      <c r="NT34">
        <f t="shared" si="163"/>
        <v>0</v>
      </c>
      <c r="NU34" s="29">
        <f t="shared" si="164"/>
        <v>0</v>
      </c>
      <c r="NY34" s="29">
        <f t="shared" si="107"/>
        <v>1</v>
      </c>
      <c r="NZ34" s="152">
        <v>7275000</v>
      </c>
      <c r="OE34" s="155">
        <f t="shared" si="108"/>
        <v>0</v>
      </c>
      <c r="OF34" s="155">
        <f t="shared" si="109"/>
        <v>0</v>
      </c>
      <c r="OG34" s="155">
        <f t="shared" si="110"/>
        <v>0</v>
      </c>
      <c r="OH34" s="155">
        <f t="shared" si="165"/>
        <v>0</v>
      </c>
      <c r="OI34" s="155">
        <f t="shared" si="111"/>
        <v>0</v>
      </c>
      <c r="OJ34" s="67">
        <f t="shared" si="166"/>
        <v>0</v>
      </c>
      <c r="OK34" s="67">
        <f t="shared" si="167"/>
        <v>0</v>
      </c>
      <c r="OL34" s="67">
        <f t="shared" si="168"/>
        <v>0</v>
      </c>
      <c r="OM34" s="67">
        <f t="shared" si="169"/>
        <v>0</v>
      </c>
      <c r="OO34" s="155">
        <f t="shared" si="112"/>
        <v>0</v>
      </c>
      <c r="OP34" s="155">
        <f t="shared" si="113"/>
        <v>0</v>
      </c>
      <c r="OQ34" s="155">
        <f t="shared" si="170"/>
        <v>0</v>
      </c>
      <c r="OR34" s="155">
        <f t="shared" si="171"/>
        <v>0</v>
      </c>
      <c r="OS34" s="155">
        <f t="shared" si="172"/>
        <v>0</v>
      </c>
      <c r="OT34" s="67">
        <f t="shared" si="173"/>
        <v>0</v>
      </c>
      <c r="OU34" s="67">
        <f t="shared" si="174"/>
        <v>0</v>
      </c>
      <c r="OV34" s="67">
        <f t="shared" si="175"/>
        <v>0</v>
      </c>
      <c r="OW34" s="67">
        <f t="shared" si="176"/>
        <v>0</v>
      </c>
      <c r="OZ34" s="163">
        <f t="shared" si="114"/>
        <v>0</v>
      </c>
      <c r="PA34" s="166"/>
      <c r="PB34" s="166"/>
      <c r="PC34" s="166"/>
      <c r="PD34" s="210">
        <f t="shared" si="115"/>
        <v>0</v>
      </c>
      <c r="PE34" s="210"/>
      <c r="PF34" s="210">
        <f t="shared" si="116"/>
        <v>0</v>
      </c>
      <c r="PG34" s="210">
        <f t="shared" si="117"/>
        <v>0</v>
      </c>
      <c r="PH34" s="210">
        <f t="shared" si="117"/>
        <v>0</v>
      </c>
      <c r="PI34" s="210">
        <f t="shared" si="117"/>
        <v>0</v>
      </c>
      <c r="PJ34" s="210">
        <f t="shared" si="117"/>
        <v>0</v>
      </c>
      <c r="PK34" s="210">
        <f t="shared" si="117"/>
        <v>0</v>
      </c>
      <c r="PL34" s="210">
        <f t="shared" si="117"/>
        <v>0</v>
      </c>
      <c r="PO34" s="172">
        <f t="shared" si="177"/>
        <v>0</v>
      </c>
      <c r="PP34" s="172">
        <f t="shared" si="178"/>
        <v>0</v>
      </c>
      <c r="PQ34" s="172">
        <f t="shared" si="179"/>
        <v>0</v>
      </c>
    </row>
    <row r="35" spans="1:433" ht="16" x14ac:dyDescent="0.2">
      <c r="A35" s="19">
        <f t="shared" si="180"/>
        <v>27</v>
      </c>
      <c r="B35" s="186" t="s">
        <v>186</v>
      </c>
      <c r="C35" s="186">
        <v>28</v>
      </c>
      <c r="D35" s="188">
        <v>1</v>
      </c>
      <c r="E35" s="188">
        <v>120</v>
      </c>
      <c r="F35" s="188">
        <v>1</v>
      </c>
      <c r="G35" s="188">
        <f t="shared" si="2"/>
        <v>120</v>
      </c>
      <c r="H35" s="214">
        <f t="shared" si="3"/>
        <v>1</v>
      </c>
      <c r="I35" s="214">
        <f t="shared" si="4"/>
        <v>1</v>
      </c>
      <c r="J35" s="188">
        <v>1</v>
      </c>
      <c r="K35" s="188">
        <f t="shared" si="5"/>
        <v>120</v>
      </c>
      <c r="L35" s="214">
        <f t="shared" si="6"/>
        <v>1</v>
      </c>
      <c r="M35" s="214">
        <f t="shared" si="7"/>
        <v>1</v>
      </c>
      <c r="N35" s="188">
        <v>1</v>
      </c>
      <c r="O35" s="188">
        <f t="shared" si="8"/>
        <v>120</v>
      </c>
      <c r="P35" s="214">
        <f t="shared" si="9"/>
        <v>1</v>
      </c>
      <c r="Q35" s="214">
        <f t="shared" si="10"/>
        <v>1</v>
      </c>
      <c r="R35" s="188">
        <v>1</v>
      </c>
      <c r="S35" s="188">
        <f t="shared" si="11"/>
        <v>120</v>
      </c>
      <c r="T35" s="214">
        <f t="shared" si="12"/>
        <v>1</v>
      </c>
      <c r="U35" s="214">
        <f t="shared" si="13"/>
        <v>1</v>
      </c>
      <c r="V35" s="188">
        <v>1</v>
      </c>
      <c r="W35" s="188">
        <f t="shared" si="14"/>
        <v>120</v>
      </c>
      <c r="X35" s="214">
        <f t="shared" si="15"/>
        <v>1</v>
      </c>
      <c r="Y35" s="214">
        <f t="shared" si="16"/>
        <v>1</v>
      </c>
      <c r="Z35" s="216">
        <f>1248918000/1000000000</f>
        <v>1.248918</v>
      </c>
      <c r="AA35" s="188">
        <v>0</v>
      </c>
      <c r="AB35" s="189">
        <f t="shared" si="118"/>
        <v>0</v>
      </c>
      <c r="AC35" s="250">
        <f t="shared" si="119"/>
        <v>0</v>
      </c>
      <c r="AD35" s="250">
        <f t="shared" si="120"/>
        <v>0</v>
      </c>
      <c r="AE35" s="188"/>
      <c r="AF35" s="188">
        <f t="shared" si="121"/>
        <v>0</v>
      </c>
      <c r="AG35" s="188"/>
      <c r="AH35" s="188" t="s">
        <v>313</v>
      </c>
      <c r="AI35" s="188">
        <v>0</v>
      </c>
      <c r="AJ35" s="188">
        <f t="shared" si="181"/>
        <v>0</v>
      </c>
      <c r="AK35" s="188"/>
      <c r="AL35" s="188">
        <v>0</v>
      </c>
      <c r="AM35" s="188">
        <v>0</v>
      </c>
      <c r="AN35" s="217"/>
      <c r="AO35" s="195"/>
      <c r="AP35" s="195"/>
      <c r="AQ35" s="195"/>
      <c r="AR35" s="195"/>
      <c r="AS35" s="195"/>
      <c r="AT35" s="195"/>
      <c r="BB35" s="17">
        <f t="shared" si="123"/>
        <v>0</v>
      </c>
      <c r="BE35" s="17">
        <f t="shared" si="19"/>
        <v>0</v>
      </c>
      <c r="BF35" s="17">
        <f t="shared" si="20"/>
        <v>0</v>
      </c>
      <c r="BG35" s="17">
        <f t="shared" si="21"/>
        <v>0</v>
      </c>
      <c r="BH35" s="17">
        <f t="shared" si="22"/>
        <v>0</v>
      </c>
      <c r="BI35" s="17">
        <f t="shared" si="23"/>
        <v>0</v>
      </c>
      <c r="BJ35" s="17">
        <f t="shared" si="24"/>
        <v>0</v>
      </c>
      <c r="BK35" s="17">
        <f t="shared" si="124"/>
        <v>0</v>
      </c>
      <c r="BM35" s="128"/>
      <c r="BN35" s="289">
        <v>49</v>
      </c>
      <c r="BO35">
        <v>1</v>
      </c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B35" s="20"/>
      <c r="CD35" s="17">
        <f t="shared" si="125"/>
        <v>49</v>
      </c>
      <c r="CE35" s="17">
        <f t="shared" si="126"/>
        <v>49</v>
      </c>
      <c r="CF35" s="20">
        <f t="shared" si="182"/>
        <v>0</v>
      </c>
      <c r="CG35" s="20">
        <f t="shared" si="183"/>
        <v>0</v>
      </c>
      <c r="CH35" s="20">
        <f t="shared" si="184"/>
        <v>0</v>
      </c>
      <c r="CI35" s="20">
        <f t="shared" si="185"/>
        <v>0</v>
      </c>
      <c r="CJ35" s="20">
        <f t="shared" si="186"/>
        <v>0</v>
      </c>
      <c r="CK35" s="20">
        <f t="shared" si="187"/>
        <v>0</v>
      </c>
      <c r="CL35" s="20">
        <f t="shared" si="188"/>
        <v>0</v>
      </c>
      <c r="CM35" s="20">
        <f t="shared" si="189"/>
        <v>0</v>
      </c>
      <c r="CN35" s="20">
        <f t="shared" si="190"/>
        <v>0</v>
      </c>
      <c r="CO35" s="20">
        <f t="shared" si="191"/>
        <v>0</v>
      </c>
      <c r="CP35" s="20">
        <f t="shared" si="192"/>
        <v>0</v>
      </c>
      <c r="DV35" s="20">
        <f t="shared" si="27"/>
        <v>0</v>
      </c>
      <c r="DW35" s="20">
        <f t="shared" si="28"/>
        <v>0</v>
      </c>
      <c r="DX35" s="20">
        <f t="shared" si="29"/>
        <v>0</v>
      </c>
      <c r="DY35" s="20">
        <f t="shared" si="30"/>
        <v>0</v>
      </c>
      <c r="DZ35" s="20">
        <f t="shared" si="31"/>
        <v>0</v>
      </c>
      <c r="EA35" s="20">
        <f t="shared" si="32"/>
        <v>0</v>
      </c>
      <c r="EB35" s="20">
        <f t="shared" si="127"/>
        <v>0</v>
      </c>
      <c r="EG35" s="57">
        <f t="shared" si="128"/>
        <v>0</v>
      </c>
      <c r="EH35" s="57">
        <f t="shared" si="129"/>
        <v>0</v>
      </c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X35" s="169">
        <v>1</v>
      </c>
      <c r="FY35" s="17">
        <f t="shared" si="130"/>
        <v>49</v>
      </c>
      <c r="FZ35" s="17">
        <f t="shared" si="34"/>
        <v>49</v>
      </c>
      <c r="GA35" s="17">
        <f t="shared" si="35"/>
        <v>0</v>
      </c>
      <c r="GB35" s="17">
        <f t="shared" si="36"/>
        <v>0</v>
      </c>
      <c r="GC35" s="17">
        <f t="shared" si="37"/>
        <v>0</v>
      </c>
      <c r="GD35" s="17">
        <f t="shared" si="38"/>
        <v>0</v>
      </c>
      <c r="GE35" s="17">
        <f t="shared" si="39"/>
        <v>0</v>
      </c>
      <c r="GF35" s="67"/>
      <c r="GG35" s="17">
        <v>0</v>
      </c>
      <c r="GH35" s="17">
        <v>0</v>
      </c>
      <c r="GI35" s="67"/>
      <c r="GJ35" s="62">
        <f t="shared" si="131"/>
        <v>0</v>
      </c>
      <c r="GK35" s="62">
        <f t="shared" si="132"/>
        <v>0</v>
      </c>
      <c r="GO35" s="17">
        <f t="shared" si="40"/>
        <v>0</v>
      </c>
      <c r="GP35" s="17">
        <f t="shared" si="41"/>
        <v>0</v>
      </c>
      <c r="GQ35" s="17">
        <f t="shared" si="42"/>
        <v>0</v>
      </c>
      <c r="GR35" s="17">
        <f t="shared" si="43"/>
        <v>0</v>
      </c>
      <c r="GS35" s="17">
        <f t="shared" si="44"/>
        <v>0</v>
      </c>
      <c r="GT35" s="17">
        <f t="shared" si="133"/>
        <v>1</v>
      </c>
      <c r="GU35" s="101">
        <f t="shared" si="134"/>
        <v>43243</v>
      </c>
      <c r="GV35" s="17" t="str">
        <f t="shared" si="135"/>
        <v>SELESAI</v>
      </c>
      <c r="GW35" s="17">
        <f t="shared" si="136"/>
        <v>0</v>
      </c>
      <c r="GX35" s="66" t="str">
        <f t="shared" si="137"/>
        <v>SELESAI</v>
      </c>
      <c r="GY35" s="66">
        <f t="shared" si="138"/>
        <v>0</v>
      </c>
      <c r="GZ35" s="102" t="str">
        <f t="shared" si="139"/>
        <v>SELESAI</v>
      </c>
      <c r="HA35" s="83"/>
      <c r="HB35" s="83"/>
      <c r="HC35" s="17">
        <f t="shared" si="45"/>
        <v>0</v>
      </c>
      <c r="HD35" s="17">
        <f t="shared" si="46"/>
        <v>0</v>
      </c>
      <c r="HE35" s="17">
        <f t="shared" si="140"/>
        <v>0</v>
      </c>
      <c r="HF35" s="17">
        <f t="shared" si="141"/>
        <v>0</v>
      </c>
      <c r="HG35" s="17">
        <f t="shared" si="142"/>
        <v>0</v>
      </c>
      <c r="HH35" s="101" t="str">
        <f t="shared" si="47"/>
        <v>TIDAK KONSINYASI</v>
      </c>
      <c r="HI35" s="101" t="str">
        <f t="shared" si="143"/>
        <v>SELESAI</v>
      </c>
      <c r="HJ35" s="27"/>
      <c r="HK35" s="101">
        <f t="shared" si="48"/>
        <v>0</v>
      </c>
      <c r="HL35" s="83"/>
      <c r="HM35" s="83"/>
      <c r="HN35" s="83"/>
      <c r="HO35" s="83"/>
      <c r="HP35" s="102">
        <f t="shared" si="144"/>
        <v>0</v>
      </c>
      <c r="HQ35" s="66">
        <f t="shared" si="145"/>
        <v>0</v>
      </c>
      <c r="HR35" s="66">
        <f t="shared" si="49"/>
        <v>0</v>
      </c>
      <c r="HS35" s="102">
        <f t="shared" si="146"/>
        <v>0</v>
      </c>
      <c r="HT35" s="66">
        <f t="shared" si="147"/>
        <v>0</v>
      </c>
      <c r="HU35" s="66">
        <f t="shared" si="50"/>
        <v>0</v>
      </c>
      <c r="HV35" s="102">
        <f t="shared" si="148"/>
        <v>0</v>
      </c>
      <c r="HW35" s="66">
        <f t="shared" si="51"/>
        <v>0</v>
      </c>
      <c r="HX35" s="66">
        <f t="shared" si="52"/>
        <v>0</v>
      </c>
      <c r="HY35" s="102">
        <f t="shared" si="53"/>
        <v>0</v>
      </c>
      <c r="HZ35" s="66">
        <f t="shared" si="149"/>
        <v>0</v>
      </c>
      <c r="IA35" s="66">
        <f t="shared" si="54"/>
        <v>0</v>
      </c>
      <c r="IB35" s="102">
        <f t="shared" si="150"/>
        <v>0</v>
      </c>
      <c r="IC35" s="66">
        <f t="shared" si="55"/>
        <v>0</v>
      </c>
      <c r="ID35" s="66">
        <f t="shared" si="56"/>
        <v>0</v>
      </c>
      <c r="IE35" s="102">
        <f t="shared" si="57"/>
        <v>0</v>
      </c>
      <c r="IF35" s="66">
        <f t="shared" si="58"/>
        <v>0</v>
      </c>
      <c r="IG35" s="66">
        <f t="shared" si="59"/>
        <v>0</v>
      </c>
      <c r="IH35" s="102">
        <f t="shared" si="151"/>
        <v>0</v>
      </c>
      <c r="II35" s="66">
        <f t="shared" si="152"/>
        <v>0</v>
      </c>
      <c r="IJ35" s="66">
        <f t="shared" si="60"/>
        <v>0</v>
      </c>
      <c r="IK35" s="102">
        <f t="shared" si="61"/>
        <v>0</v>
      </c>
      <c r="IL35" s="66">
        <f t="shared" si="62"/>
        <v>0</v>
      </c>
      <c r="IM35" s="66">
        <f t="shared" si="63"/>
        <v>0</v>
      </c>
      <c r="IN35" s="83"/>
      <c r="IO35" s="102">
        <f t="shared" si="64"/>
        <v>0</v>
      </c>
      <c r="IP35" s="66">
        <f t="shared" si="65"/>
        <v>0</v>
      </c>
      <c r="IQ35" s="66">
        <f t="shared" si="66"/>
        <v>0</v>
      </c>
      <c r="IR35" s="83"/>
      <c r="IS35" s="102"/>
      <c r="IT35" s="66">
        <f t="shared" si="67"/>
        <v>1</v>
      </c>
      <c r="IU35" s="66">
        <f t="shared" si="68"/>
        <v>120</v>
      </c>
      <c r="IV35" s="83"/>
      <c r="IW35" s="102"/>
      <c r="IX35" s="66">
        <f t="shared" si="69"/>
        <v>0</v>
      </c>
      <c r="IY35" s="66">
        <f t="shared" si="70"/>
        <v>0</v>
      </c>
      <c r="IZ35" s="83"/>
      <c r="JA35" s="102"/>
      <c r="JB35" s="66">
        <f t="shared" si="71"/>
        <v>0</v>
      </c>
      <c r="JC35" s="66">
        <f t="shared" si="72"/>
        <v>0</v>
      </c>
      <c r="JD35" s="83"/>
      <c r="JE35" s="102"/>
      <c r="JF35" s="66">
        <f t="shared" si="153"/>
        <v>1</v>
      </c>
      <c r="JG35" s="66">
        <f t="shared" si="73"/>
        <v>120</v>
      </c>
      <c r="JH35" s="83"/>
      <c r="JI35" s="102"/>
      <c r="JJ35" s="66">
        <f t="shared" si="74"/>
        <v>0</v>
      </c>
      <c r="JK35" s="66">
        <f t="shared" si="75"/>
        <v>0</v>
      </c>
      <c r="JM35" s="102">
        <f t="shared" si="154"/>
        <v>0</v>
      </c>
      <c r="JO35" s="29">
        <f t="shared" si="76"/>
        <v>1</v>
      </c>
      <c r="JP35" s="122">
        <f t="shared" si="77"/>
        <v>49</v>
      </c>
      <c r="JQ35" s="122">
        <f t="shared" si="78"/>
        <v>1</v>
      </c>
      <c r="JR35" s="122">
        <f t="shared" si="79"/>
        <v>0</v>
      </c>
      <c r="JS35" s="122">
        <f t="shared" si="80"/>
        <v>0</v>
      </c>
      <c r="JT35" s="122">
        <f t="shared" si="81"/>
        <v>0</v>
      </c>
      <c r="JU35" s="122">
        <f t="shared" si="82"/>
        <v>0</v>
      </c>
      <c r="JV35" s="122">
        <f t="shared" si="83"/>
        <v>0</v>
      </c>
      <c r="JW35" s="122">
        <f t="shared" si="84"/>
        <v>0</v>
      </c>
      <c r="JX35" s="122">
        <f t="shared" si="85"/>
        <v>0</v>
      </c>
      <c r="JY35" s="122">
        <f t="shared" si="86"/>
        <v>0</v>
      </c>
      <c r="JZ35" s="122">
        <f t="shared" si="87"/>
        <v>0</v>
      </c>
      <c r="KA35" s="122">
        <f t="shared" si="88"/>
        <v>0</v>
      </c>
      <c r="KB35" s="122">
        <f t="shared" si="89"/>
        <v>0</v>
      </c>
      <c r="KD35" s="122">
        <f t="shared" si="155"/>
        <v>0</v>
      </c>
      <c r="KE35" s="122">
        <f t="shared" si="91"/>
        <v>0</v>
      </c>
      <c r="KF35" s="122">
        <f t="shared" si="92"/>
        <v>49</v>
      </c>
      <c r="KG35" s="122">
        <f t="shared" si="93"/>
        <v>49</v>
      </c>
      <c r="KH35" s="122">
        <f t="shared" si="94"/>
        <v>0</v>
      </c>
      <c r="KI35" s="122">
        <f t="shared" si="95"/>
        <v>0</v>
      </c>
      <c r="KJ35" s="122">
        <f t="shared" si="96"/>
        <v>0</v>
      </c>
      <c r="KK35" s="122">
        <f t="shared" si="97"/>
        <v>0</v>
      </c>
      <c r="KL35" s="122">
        <f t="shared" si="98"/>
        <v>0</v>
      </c>
      <c r="KM35" s="122">
        <f t="shared" si="99"/>
        <v>0</v>
      </c>
      <c r="KN35" s="123">
        <f t="shared" si="100"/>
        <v>0</v>
      </c>
      <c r="KO35" s="123">
        <f t="shared" si="101"/>
        <v>0</v>
      </c>
      <c r="KP35" s="123">
        <f t="shared" si="102"/>
        <v>0</v>
      </c>
      <c r="KQ35" s="123">
        <f t="shared" si="103"/>
        <v>0</v>
      </c>
      <c r="KR35" s="123">
        <f t="shared" si="104"/>
        <v>0</v>
      </c>
      <c r="KT35">
        <f t="shared" si="105"/>
        <v>0</v>
      </c>
      <c r="KU35" s="123"/>
      <c r="KV35" s="123"/>
      <c r="KW35" s="123"/>
      <c r="KX35" s="123"/>
      <c r="KY35" s="123"/>
      <c r="KZ35" s="123"/>
      <c r="LA35" s="123"/>
      <c r="LB35" s="123"/>
      <c r="LC35" s="123"/>
      <c r="LD35" s="123"/>
      <c r="LE35" s="123"/>
      <c r="LF35" s="123"/>
      <c r="LG35" s="123"/>
      <c r="LH35" s="123"/>
      <c r="LI35" s="123"/>
      <c r="LJ35" s="123"/>
      <c r="LK35" s="123"/>
      <c r="LL35" s="123"/>
      <c r="LM35" s="123"/>
      <c r="LN35" s="123"/>
      <c r="LO35" s="123"/>
      <c r="LP35" s="123"/>
      <c r="LQ35" s="123"/>
      <c r="LR35" s="123"/>
      <c r="LS35" s="123"/>
      <c r="LT35" s="123"/>
      <c r="LU35" s="123"/>
      <c r="LV35" s="123"/>
      <c r="LW35" s="123"/>
      <c r="LX35" s="123"/>
      <c r="LY35" s="123"/>
      <c r="LZ35" s="123"/>
      <c r="MA35" s="123"/>
      <c r="MB35" s="123"/>
      <c r="MC35" s="123"/>
      <c r="MD35" s="123"/>
      <c r="ME35" s="123"/>
      <c r="MF35" s="123"/>
      <c r="MG35" s="123"/>
      <c r="MH35" s="123"/>
      <c r="MI35" s="123"/>
      <c r="MJ35" s="123"/>
      <c r="MK35" s="123"/>
      <c r="ML35" s="123"/>
      <c r="MM35" s="123"/>
      <c r="MN35" s="123"/>
      <c r="MO35" s="123"/>
      <c r="MP35" s="123"/>
      <c r="MQ35" s="123"/>
      <c r="MR35" s="123"/>
      <c r="MS35" s="123"/>
      <c r="MT35" s="123"/>
      <c r="MU35" s="123"/>
      <c r="MV35" s="123"/>
      <c r="MW35" s="123"/>
      <c r="MX35" s="123"/>
      <c r="MY35" s="123"/>
      <c r="MZ35" s="123"/>
      <c r="NA35" s="123"/>
      <c r="NB35" s="123"/>
      <c r="NC35" s="123"/>
      <c r="ND35" s="123"/>
      <c r="NE35" s="123"/>
      <c r="NF35" s="123"/>
      <c r="NG35" s="123"/>
      <c r="NH35" s="123"/>
      <c r="NI35" s="123"/>
      <c r="NJ35" s="123"/>
      <c r="NK35" s="123"/>
      <c r="NM35">
        <f t="shared" si="156"/>
        <v>0</v>
      </c>
      <c r="NN35">
        <f t="shared" si="157"/>
        <v>0</v>
      </c>
      <c r="NO35">
        <f t="shared" si="158"/>
        <v>0</v>
      </c>
      <c r="NP35">
        <f t="shared" si="159"/>
        <v>0</v>
      </c>
      <c r="NQ35">
        <f t="shared" si="160"/>
        <v>0</v>
      </c>
      <c r="NR35">
        <f t="shared" si="161"/>
        <v>0</v>
      </c>
      <c r="NS35">
        <f t="shared" si="162"/>
        <v>0</v>
      </c>
      <c r="NT35">
        <f t="shared" si="163"/>
        <v>0</v>
      </c>
      <c r="NU35" s="29">
        <f t="shared" si="164"/>
        <v>0</v>
      </c>
      <c r="NY35" s="29">
        <f t="shared" si="107"/>
        <v>1</v>
      </c>
      <c r="NZ35" s="152">
        <v>7129500</v>
      </c>
      <c r="OE35" s="155">
        <f t="shared" si="108"/>
        <v>0</v>
      </c>
      <c r="OF35" s="155">
        <f t="shared" si="109"/>
        <v>0</v>
      </c>
      <c r="OG35" s="155">
        <f t="shared" si="110"/>
        <v>0</v>
      </c>
      <c r="OH35" s="155">
        <f t="shared" si="165"/>
        <v>0</v>
      </c>
      <c r="OI35" s="155">
        <f t="shared" si="111"/>
        <v>0</v>
      </c>
      <c r="OJ35" s="67">
        <f t="shared" si="166"/>
        <v>0</v>
      </c>
      <c r="OK35" s="67">
        <f t="shared" si="167"/>
        <v>0</v>
      </c>
      <c r="OL35" s="67">
        <f t="shared" si="168"/>
        <v>0</v>
      </c>
      <c r="OM35" s="67">
        <f t="shared" si="169"/>
        <v>0</v>
      </c>
      <c r="OO35" s="155">
        <f t="shared" si="112"/>
        <v>0</v>
      </c>
      <c r="OP35" s="155">
        <f t="shared" si="113"/>
        <v>0</v>
      </c>
      <c r="OQ35" s="155">
        <f t="shared" si="170"/>
        <v>0</v>
      </c>
      <c r="OR35" s="155">
        <f t="shared" si="171"/>
        <v>0</v>
      </c>
      <c r="OS35" s="155">
        <f t="shared" si="172"/>
        <v>0</v>
      </c>
      <c r="OT35" s="67">
        <f t="shared" si="173"/>
        <v>0</v>
      </c>
      <c r="OU35" s="67">
        <f t="shared" si="174"/>
        <v>0</v>
      </c>
      <c r="OV35" s="67">
        <f t="shared" si="175"/>
        <v>0</v>
      </c>
      <c r="OW35" s="67">
        <f t="shared" si="176"/>
        <v>0</v>
      </c>
      <c r="OZ35" s="163">
        <f t="shared" si="114"/>
        <v>0</v>
      </c>
      <c r="PA35" s="166"/>
      <c r="PB35" s="166"/>
      <c r="PC35" s="166"/>
      <c r="PD35" s="210">
        <f t="shared" si="115"/>
        <v>0</v>
      </c>
      <c r="PE35" s="210"/>
      <c r="PF35" s="210">
        <f t="shared" si="116"/>
        <v>0</v>
      </c>
      <c r="PG35" s="210">
        <f t="shared" si="117"/>
        <v>0</v>
      </c>
      <c r="PH35" s="210">
        <f t="shared" si="117"/>
        <v>0</v>
      </c>
      <c r="PI35" s="210">
        <f t="shared" si="117"/>
        <v>0</v>
      </c>
      <c r="PJ35" s="210">
        <f t="shared" si="117"/>
        <v>0</v>
      </c>
      <c r="PK35" s="210">
        <f t="shared" si="117"/>
        <v>0</v>
      </c>
      <c r="PL35" s="210">
        <f t="shared" si="117"/>
        <v>0</v>
      </c>
      <c r="PO35" s="172">
        <f t="shared" si="177"/>
        <v>0</v>
      </c>
      <c r="PP35" s="172">
        <f t="shared" si="178"/>
        <v>0</v>
      </c>
      <c r="PQ35" s="172">
        <f t="shared" si="179"/>
        <v>0</v>
      </c>
    </row>
    <row r="36" spans="1:433" ht="16" x14ac:dyDescent="0.2">
      <c r="A36" s="19">
        <f t="shared" si="180"/>
        <v>28</v>
      </c>
      <c r="B36" s="186" t="s">
        <v>187</v>
      </c>
      <c r="C36" s="186">
        <v>29</v>
      </c>
      <c r="D36" s="188">
        <v>1</v>
      </c>
      <c r="E36" s="188">
        <v>59</v>
      </c>
      <c r="F36" s="188">
        <v>1</v>
      </c>
      <c r="G36" s="188">
        <f t="shared" si="2"/>
        <v>59</v>
      </c>
      <c r="H36" s="214">
        <f t="shared" si="3"/>
        <v>1</v>
      </c>
      <c r="I36" s="214">
        <f t="shared" si="4"/>
        <v>1</v>
      </c>
      <c r="J36" s="188">
        <v>1</v>
      </c>
      <c r="K36" s="188">
        <f t="shared" si="5"/>
        <v>59</v>
      </c>
      <c r="L36" s="214">
        <f t="shared" si="6"/>
        <v>1</v>
      </c>
      <c r="M36" s="214">
        <f t="shared" si="7"/>
        <v>1</v>
      </c>
      <c r="N36" s="188">
        <v>1</v>
      </c>
      <c r="O36" s="188">
        <f t="shared" si="8"/>
        <v>59</v>
      </c>
      <c r="P36" s="214">
        <f t="shared" si="9"/>
        <v>1</v>
      </c>
      <c r="Q36" s="214">
        <f t="shared" si="10"/>
        <v>1</v>
      </c>
      <c r="R36" s="188">
        <v>1</v>
      </c>
      <c r="S36" s="188">
        <f t="shared" si="11"/>
        <v>59</v>
      </c>
      <c r="T36" s="214">
        <f t="shared" si="12"/>
        <v>1</v>
      </c>
      <c r="U36" s="214">
        <f t="shared" si="13"/>
        <v>1</v>
      </c>
      <c r="V36" s="188">
        <v>1</v>
      </c>
      <c r="W36" s="188">
        <f t="shared" si="14"/>
        <v>59</v>
      </c>
      <c r="X36" s="214">
        <f t="shared" si="15"/>
        <v>1</v>
      </c>
      <c r="Y36" s="214">
        <f t="shared" si="16"/>
        <v>1</v>
      </c>
      <c r="Z36" s="216">
        <f>772944000/1000000000</f>
        <v>0.77294399999999996</v>
      </c>
      <c r="AA36" s="188">
        <v>0</v>
      </c>
      <c r="AB36" s="189">
        <f t="shared" si="118"/>
        <v>0</v>
      </c>
      <c r="AC36" s="250">
        <f t="shared" si="119"/>
        <v>0</v>
      </c>
      <c r="AD36" s="250">
        <f t="shared" si="120"/>
        <v>0</v>
      </c>
      <c r="AE36" s="188"/>
      <c r="AF36" s="188">
        <f t="shared" si="121"/>
        <v>0</v>
      </c>
      <c r="AG36" s="188"/>
      <c r="AH36" s="188" t="s">
        <v>313</v>
      </c>
      <c r="AI36" s="188">
        <v>0</v>
      </c>
      <c r="AJ36" s="188">
        <f t="shared" si="181"/>
        <v>0</v>
      </c>
      <c r="AK36" s="188"/>
      <c r="AL36" s="188">
        <v>0</v>
      </c>
      <c r="AM36" s="188">
        <v>0</v>
      </c>
      <c r="AN36" s="217"/>
      <c r="AO36" s="195"/>
      <c r="AP36" s="195"/>
      <c r="AQ36" s="195"/>
      <c r="AR36" s="195"/>
      <c r="AS36" s="195"/>
      <c r="AT36" s="195"/>
      <c r="BB36" s="17">
        <f t="shared" si="123"/>
        <v>0</v>
      </c>
      <c r="BE36" s="17">
        <f t="shared" si="19"/>
        <v>0</v>
      </c>
      <c r="BF36" s="17">
        <f t="shared" si="20"/>
        <v>0</v>
      </c>
      <c r="BG36" s="17">
        <f t="shared" si="21"/>
        <v>0</v>
      </c>
      <c r="BH36" s="17">
        <f t="shared" si="22"/>
        <v>0</v>
      </c>
      <c r="BI36" s="17">
        <f t="shared" si="23"/>
        <v>0</v>
      </c>
      <c r="BJ36" s="17">
        <f t="shared" si="24"/>
        <v>0</v>
      </c>
      <c r="BK36" s="17">
        <f t="shared" si="124"/>
        <v>0</v>
      </c>
      <c r="BM36" s="128"/>
      <c r="BN36" s="289">
        <v>17</v>
      </c>
      <c r="BO36">
        <v>1</v>
      </c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B36" s="20"/>
      <c r="CD36" s="17">
        <f t="shared" si="125"/>
        <v>17</v>
      </c>
      <c r="CE36" s="17">
        <f t="shared" si="126"/>
        <v>17</v>
      </c>
      <c r="CF36" s="20">
        <f t="shared" si="182"/>
        <v>0</v>
      </c>
      <c r="CG36" s="20">
        <f t="shared" si="183"/>
        <v>0</v>
      </c>
      <c r="CH36" s="20">
        <f t="shared" si="184"/>
        <v>0</v>
      </c>
      <c r="CI36" s="20">
        <f t="shared" si="185"/>
        <v>0</v>
      </c>
      <c r="CJ36" s="20">
        <f t="shared" si="186"/>
        <v>0</v>
      </c>
      <c r="CK36" s="20">
        <f t="shared" si="187"/>
        <v>0</v>
      </c>
      <c r="CL36" s="20">
        <f t="shared" si="188"/>
        <v>0</v>
      </c>
      <c r="CM36" s="20">
        <f t="shared" si="189"/>
        <v>0</v>
      </c>
      <c r="CN36" s="20">
        <f t="shared" si="190"/>
        <v>0</v>
      </c>
      <c r="CO36" s="20">
        <f t="shared" si="191"/>
        <v>0</v>
      </c>
      <c r="CP36" s="20">
        <f t="shared" si="192"/>
        <v>0</v>
      </c>
      <c r="DV36" s="20">
        <f t="shared" si="27"/>
        <v>0</v>
      </c>
      <c r="DW36" s="20">
        <f t="shared" si="28"/>
        <v>0</v>
      </c>
      <c r="DX36" s="20">
        <f t="shared" si="29"/>
        <v>0</v>
      </c>
      <c r="DY36" s="20">
        <f t="shared" si="30"/>
        <v>0</v>
      </c>
      <c r="DZ36" s="20">
        <f t="shared" si="31"/>
        <v>0</v>
      </c>
      <c r="EA36" s="20">
        <f t="shared" si="32"/>
        <v>0</v>
      </c>
      <c r="EB36" s="20">
        <f t="shared" si="127"/>
        <v>0</v>
      </c>
      <c r="EG36" s="57">
        <f t="shared" si="128"/>
        <v>0</v>
      </c>
      <c r="EH36" s="57">
        <f t="shared" si="129"/>
        <v>0</v>
      </c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X36" s="169">
        <v>1</v>
      </c>
      <c r="FY36" s="17">
        <f t="shared" si="130"/>
        <v>17</v>
      </c>
      <c r="FZ36" s="17">
        <f t="shared" si="34"/>
        <v>17</v>
      </c>
      <c r="GA36" s="17">
        <f t="shared" si="35"/>
        <v>0</v>
      </c>
      <c r="GB36" s="17">
        <f t="shared" si="36"/>
        <v>0</v>
      </c>
      <c r="GC36" s="17">
        <f t="shared" si="37"/>
        <v>0</v>
      </c>
      <c r="GD36" s="17">
        <f t="shared" si="38"/>
        <v>0</v>
      </c>
      <c r="GE36" s="17">
        <f t="shared" si="39"/>
        <v>0</v>
      </c>
      <c r="GF36" s="67"/>
      <c r="GG36" s="17">
        <v>0</v>
      </c>
      <c r="GH36" s="17">
        <v>0</v>
      </c>
      <c r="GI36" s="67"/>
      <c r="GJ36" s="62">
        <f t="shared" si="131"/>
        <v>0</v>
      </c>
      <c r="GK36" s="62">
        <f t="shared" si="132"/>
        <v>0</v>
      </c>
      <c r="GO36" s="17">
        <f t="shared" si="40"/>
        <v>0</v>
      </c>
      <c r="GP36" s="17">
        <f t="shared" si="41"/>
        <v>0</v>
      </c>
      <c r="GQ36" s="17">
        <f t="shared" si="42"/>
        <v>0</v>
      </c>
      <c r="GR36" s="17">
        <f t="shared" si="43"/>
        <v>0</v>
      </c>
      <c r="GS36" s="17">
        <f t="shared" si="44"/>
        <v>0</v>
      </c>
      <c r="GT36" s="17">
        <f t="shared" si="133"/>
        <v>1</v>
      </c>
      <c r="GU36" s="101">
        <f t="shared" si="134"/>
        <v>43243</v>
      </c>
      <c r="GV36" s="17" t="str">
        <f t="shared" si="135"/>
        <v>SELESAI</v>
      </c>
      <c r="GW36" s="17">
        <f t="shared" si="136"/>
        <v>0</v>
      </c>
      <c r="GX36" s="66" t="str">
        <f t="shared" si="137"/>
        <v>SELESAI</v>
      </c>
      <c r="GY36" s="66">
        <f t="shared" si="138"/>
        <v>0</v>
      </c>
      <c r="GZ36" s="102" t="str">
        <f t="shared" si="139"/>
        <v>SELESAI</v>
      </c>
      <c r="HA36" s="83"/>
      <c r="HB36" s="83"/>
      <c r="HC36" s="17">
        <f t="shared" si="45"/>
        <v>0</v>
      </c>
      <c r="HD36" s="17">
        <f t="shared" si="46"/>
        <v>0</v>
      </c>
      <c r="HE36" s="17">
        <f t="shared" si="140"/>
        <v>0</v>
      </c>
      <c r="HF36" s="17">
        <f t="shared" si="141"/>
        <v>0</v>
      </c>
      <c r="HG36" s="17">
        <f t="shared" si="142"/>
        <v>0</v>
      </c>
      <c r="HH36" s="101" t="str">
        <f t="shared" si="47"/>
        <v>TIDAK KONSINYASI</v>
      </c>
      <c r="HI36" s="101" t="str">
        <f t="shared" si="143"/>
        <v>SELESAI</v>
      </c>
      <c r="HJ36" s="27"/>
      <c r="HK36" s="101">
        <f t="shared" si="48"/>
        <v>0</v>
      </c>
      <c r="HL36" s="83"/>
      <c r="HM36" s="83"/>
      <c r="HN36" s="83"/>
      <c r="HO36" s="83"/>
      <c r="HP36" s="102">
        <f t="shared" si="144"/>
        <v>0</v>
      </c>
      <c r="HQ36" s="66">
        <f t="shared" si="145"/>
        <v>0</v>
      </c>
      <c r="HR36" s="66">
        <f t="shared" si="49"/>
        <v>0</v>
      </c>
      <c r="HS36" s="102">
        <f t="shared" si="146"/>
        <v>0</v>
      </c>
      <c r="HT36" s="66">
        <f t="shared" si="147"/>
        <v>0</v>
      </c>
      <c r="HU36" s="66">
        <f t="shared" si="50"/>
        <v>0</v>
      </c>
      <c r="HV36" s="102">
        <f t="shared" si="148"/>
        <v>0</v>
      </c>
      <c r="HW36" s="66">
        <f t="shared" si="51"/>
        <v>0</v>
      </c>
      <c r="HX36" s="66">
        <f t="shared" si="52"/>
        <v>0</v>
      </c>
      <c r="HY36" s="102">
        <f t="shared" si="53"/>
        <v>0</v>
      </c>
      <c r="HZ36" s="66">
        <f t="shared" si="149"/>
        <v>0</v>
      </c>
      <c r="IA36" s="66">
        <f t="shared" si="54"/>
        <v>0</v>
      </c>
      <c r="IB36" s="102">
        <f t="shared" si="150"/>
        <v>0</v>
      </c>
      <c r="IC36" s="66">
        <f t="shared" si="55"/>
        <v>0</v>
      </c>
      <c r="ID36" s="66">
        <f t="shared" si="56"/>
        <v>0</v>
      </c>
      <c r="IE36" s="102">
        <f t="shared" si="57"/>
        <v>0</v>
      </c>
      <c r="IF36" s="66">
        <f t="shared" si="58"/>
        <v>0</v>
      </c>
      <c r="IG36" s="66">
        <f t="shared" si="59"/>
        <v>0</v>
      </c>
      <c r="IH36" s="102">
        <f t="shared" si="151"/>
        <v>0</v>
      </c>
      <c r="II36" s="66">
        <f t="shared" si="152"/>
        <v>0</v>
      </c>
      <c r="IJ36" s="66">
        <f t="shared" si="60"/>
        <v>0</v>
      </c>
      <c r="IK36" s="102">
        <f t="shared" si="61"/>
        <v>0</v>
      </c>
      <c r="IL36" s="66">
        <f t="shared" si="62"/>
        <v>0</v>
      </c>
      <c r="IM36" s="66">
        <f t="shared" si="63"/>
        <v>0</v>
      </c>
      <c r="IN36" s="83"/>
      <c r="IO36" s="102">
        <f t="shared" si="64"/>
        <v>0</v>
      </c>
      <c r="IP36" s="66">
        <f t="shared" si="65"/>
        <v>0</v>
      </c>
      <c r="IQ36" s="66">
        <f t="shared" si="66"/>
        <v>0</v>
      </c>
      <c r="IR36" s="83"/>
      <c r="IS36" s="102"/>
      <c r="IT36" s="66">
        <f t="shared" si="67"/>
        <v>1</v>
      </c>
      <c r="IU36" s="66">
        <f t="shared" si="68"/>
        <v>59</v>
      </c>
      <c r="IV36" s="83"/>
      <c r="IW36" s="102"/>
      <c r="IX36" s="66">
        <f t="shared" si="69"/>
        <v>0</v>
      </c>
      <c r="IY36" s="66">
        <f t="shared" si="70"/>
        <v>0</v>
      </c>
      <c r="IZ36" s="83"/>
      <c r="JA36" s="102"/>
      <c r="JB36" s="66">
        <f t="shared" si="71"/>
        <v>0</v>
      </c>
      <c r="JC36" s="66">
        <f t="shared" si="72"/>
        <v>0</v>
      </c>
      <c r="JD36" s="83"/>
      <c r="JE36" s="102"/>
      <c r="JF36" s="66">
        <f t="shared" si="153"/>
        <v>1</v>
      </c>
      <c r="JG36" s="66">
        <f t="shared" si="73"/>
        <v>59</v>
      </c>
      <c r="JH36" s="83"/>
      <c r="JI36" s="102"/>
      <c r="JJ36" s="66">
        <f t="shared" si="74"/>
        <v>0</v>
      </c>
      <c r="JK36" s="66">
        <f t="shared" si="75"/>
        <v>0</v>
      </c>
      <c r="JM36" s="102">
        <f t="shared" si="154"/>
        <v>0</v>
      </c>
      <c r="JO36" s="29">
        <f t="shared" si="76"/>
        <v>1</v>
      </c>
      <c r="JP36" s="122">
        <f t="shared" si="77"/>
        <v>17</v>
      </c>
      <c r="JQ36" s="122">
        <f t="shared" si="78"/>
        <v>1</v>
      </c>
      <c r="JR36" s="122">
        <f t="shared" si="79"/>
        <v>0</v>
      </c>
      <c r="JS36" s="122">
        <f t="shared" si="80"/>
        <v>0</v>
      </c>
      <c r="JT36" s="122">
        <f t="shared" si="81"/>
        <v>0</v>
      </c>
      <c r="JU36" s="122">
        <f t="shared" si="82"/>
        <v>0</v>
      </c>
      <c r="JV36" s="122">
        <f t="shared" si="83"/>
        <v>0</v>
      </c>
      <c r="JW36" s="122">
        <f t="shared" si="84"/>
        <v>0</v>
      </c>
      <c r="JX36" s="122">
        <f t="shared" si="85"/>
        <v>0</v>
      </c>
      <c r="JY36" s="122">
        <f t="shared" si="86"/>
        <v>0</v>
      </c>
      <c r="JZ36" s="122">
        <f t="shared" si="87"/>
        <v>0</v>
      </c>
      <c r="KA36" s="122">
        <f t="shared" si="88"/>
        <v>0</v>
      </c>
      <c r="KB36" s="122">
        <f t="shared" si="89"/>
        <v>0</v>
      </c>
      <c r="KD36" s="122">
        <f t="shared" si="155"/>
        <v>0</v>
      </c>
      <c r="KE36" s="122">
        <f t="shared" si="91"/>
        <v>0</v>
      </c>
      <c r="KF36" s="122">
        <f t="shared" si="92"/>
        <v>17</v>
      </c>
      <c r="KG36" s="122">
        <f t="shared" si="93"/>
        <v>17</v>
      </c>
      <c r="KH36" s="122">
        <f t="shared" si="94"/>
        <v>0</v>
      </c>
      <c r="KI36" s="122">
        <f t="shared" si="95"/>
        <v>0</v>
      </c>
      <c r="KJ36" s="122">
        <f t="shared" si="96"/>
        <v>0</v>
      </c>
      <c r="KK36" s="122">
        <f t="shared" si="97"/>
        <v>0</v>
      </c>
      <c r="KL36" s="122">
        <f t="shared" si="98"/>
        <v>0</v>
      </c>
      <c r="KM36" s="122">
        <f t="shared" si="99"/>
        <v>0</v>
      </c>
      <c r="KN36" s="123">
        <f t="shared" si="100"/>
        <v>0</v>
      </c>
      <c r="KO36" s="123">
        <f t="shared" si="101"/>
        <v>0</v>
      </c>
      <c r="KP36" s="123">
        <f t="shared" si="102"/>
        <v>0</v>
      </c>
      <c r="KQ36" s="123">
        <f t="shared" si="103"/>
        <v>0</v>
      </c>
      <c r="KR36" s="123">
        <f t="shared" si="104"/>
        <v>0</v>
      </c>
      <c r="KT36">
        <f t="shared" si="105"/>
        <v>0</v>
      </c>
      <c r="KU36" s="123"/>
      <c r="KV36" s="123"/>
      <c r="KW36" s="123"/>
      <c r="KX36" s="123"/>
      <c r="KY36" s="123"/>
      <c r="KZ36" s="123"/>
      <c r="LA36" s="123"/>
      <c r="LB36" s="123"/>
      <c r="LC36" s="123"/>
      <c r="LD36" s="123"/>
      <c r="LE36" s="123"/>
      <c r="LF36" s="123"/>
      <c r="LG36" s="123"/>
      <c r="LH36" s="123"/>
      <c r="LI36" s="123"/>
      <c r="LJ36" s="123"/>
      <c r="LK36" s="123"/>
      <c r="LL36" s="123"/>
      <c r="LM36" s="123"/>
      <c r="LN36" s="123"/>
      <c r="LO36" s="123"/>
      <c r="LP36" s="123"/>
      <c r="LQ36" s="123"/>
      <c r="LR36" s="123"/>
      <c r="LS36" s="123"/>
      <c r="LT36" s="123"/>
      <c r="LU36" s="123"/>
      <c r="LV36" s="123"/>
      <c r="LW36" s="123"/>
      <c r="LX36" s="123"/>
      <c r="LY36" s="123"/>
      <c r="LZ36" s="123"/>
      <c r="MA36" s="123"/>
      <c r="MB36" s="123"/>
      <c r="MC36" s="123"/>
      <c r="MD36" s="123"/>
      <c r="ME36" s="123"/>
      <c r="MF36" s="123"/>
      <c r="MG36" s="123"/>
      <c r="MH36" s="123"/>
      <c r="MI36" s="123"/>
      <c r="MJ36" s="123"/>
      <c r="MK36" s="123"/>
      <c r="ML36" s="123"/>
      <c r="MM36" s="123"/>
      <c r="MN36" s="123"/>
      <c r="MO36" s="123"/>
      <c r="MP36" s="123"/>
      <c r="MQ36" s="123"/>
      <c r="MR36" s="123"/>
      <c r="MS36" s="123"/>
      <c r="MT36" s="123"/>
      <c r="MU36" s="123"/>
      <c r="MV36" s="123"/>
      <c r="MW36" s="123"/>
      <c r="MX36" s="123"/>
      <c r="MY36" s="123"/>
      <c r="MZ36" s="123"/>
      <c r="NA36" s="123"/>
      <c r="NB36" s="123"/>
      <c r="NC36" s="123"/>
      <c r="ND36" s="123"/>
      <c r="NE36" s="123"/>
      <c r="NF36" s="123"/>
      <c r="NG36" s="123"/>
      <c r="NH36" s="123"/>
      <c r="NI36" s="123"/>
      <c r="NJ36" s="123"/>
      <c r="NK36" s="123"/>
      <c r="NM36">
        <f t="shared" si="156"/>
        <v>0</v>
      </c>
      <c r="NN36">
        <f t="shared" si="157"/>
        <v>0</v>
      </c>
      <c r="NO36">
        <f t="shared" si="158"/>
        <v>0</v>
      </c>
      <c r="NP36">
        <f t="shared" si="159"/>
        <v>0</v>
      </c>
      <c r="NQ36">
        <f t="shared" si="160"/>
        <v>0</v>
      </c>
      <c r="NR36">
        <f t="shared" si="161"/>
        <v>0</v>
      </c>
      <c r="NS36">
        <f t="shared" si="162"/>
        <v>0</v>
      </c>
      <c r="NT36">
        <f t="shared" si="163"/>
        <v>0</v>
      </c>
      <c r="NU36" s="29">
        <f t="shared" si="164"/>
        <v>0</v>
      </c>
      <c r="NY36" s="29">
        <f t="shared" si="107"/>
        <v>1</v>
      </c>
      <c r="NZ36" s="152">
        <v>7275000</v>
      </c>
      <c r="OE36" s="155">
        <f t="shared" si="108"/>
        <v>0</v>
      </c>
      <c r="OF36" s="155">
        <f t="shared" si="109"/>
        <v>0</v>
      </c>
      <c r="OG36" s="155">
        <f t="shared" si="110"/>
        <v>0</v>
      </c>
      <c r="OH36" s="155">
        <f t="shared" si="165"/>
        <v>0</v>
      </c>
      <c r="OI36" s="155">
        <f t="shared" si="111"/>
        <v>0</v>
      </c>
      <c r="OJ36" s="67">
        <f t="shared" si="166"/>
        <v>0</v>
      </c>
      <c r="OK36" s="67">
        <f t="shared" si="167"/>
        <v>0</v>
      </c>
      <c r="OL36" s="67">
        <f t="shared" si="168"/>
        <v>0</v>
      </c>
      <c r="OM36" s="67">
        <f t="shared" si="169"/>
        <v>0</v>
      </c>
      <c r="OO36" s="155">
        <f t="shared" si="112"/>
        <v>0</v>
      </c>
      <c r="OP36" s="155">
        <f t="shared" si="113"/>
        <v>0</v>
      </c>
      <c r="OQ36" s="155">
        <f t="shared" si="170"/>
        <v>0</v>
      </c>
      <c r="OR36" s="155">
        <f t="shared" si="171"/>
        <v>0</v>
      </c>
      <c r="OS36" s="155">
        <f t="shared" si="172"/>
        <v>0</v>
      </c>
      <c r="OT36" s="67">
        <f t="shared" si="173"/>
        <v>0</v>
      </c>
      <c r="OU36" s="67">
        <f t="shared" si="174"/>
        <v>0</v>
      </c>
      <c r="OV36" s="67">
        <f t="shared" si="175"/>
        <v>0</v>
      </c>
      <c r="OW36" s="67">
        <f t="shared" si="176"/>
        <v>0</v>
      </c>
      <c r="OZ36" s="163">
        <f t="shared" si="114"/>
        <v>0</v>
      </c>
      <c r="PA36" s="166"/>
      <c r="PB36" s="166"/>
      <c r="PC36" s="166"/>
      <c r="PD36" s="210">
        <f t="shared" si="115"/>
        <v>0</v>
      </c>
      <c r="PE36" s="210"/>
      <c r="PF36" s="210">
        <f t="shared" si="116"/>
        <v>0</v>
      </c>
      <c r="PG36" s="210">
        <f t="shared" si="117"/>
        <v>0</v>
      </c>
      <c r="PH36" s="210">
        <f t="shared" si="117"/>
        <v>0</v>
      </c>
      <c r="PI36" s="210">
        <f t="shared" si="117"/>
        <v>0</v>
      </c>
      <c r="PJ36" s="210">
        <f t="shared" si="117"/>
        <v>0</v>
      </c>
      <c r="PK36" s="210">
        <f t="shared" si="117"/>
        <v>0</v>
      </c>
      <c r="PL36" s="210">
        <f t="shared" si="117"/>
        <v>0</v>
      </c>
      <c r="PO36" s="172">
        <f t="shared" si="177"/>
        <v>0</v>
      </c>
      <c r="PP36" s="172">
        <f t="shared" si="178"/>
        <v>0</v>
      </c>
      <c r="PQ36" s="172">
        <f t="shared" si="179"/>
        <v>0</v>
      </c>
    </row>
    <row r="37" spans="1:433" ht="16" x14ac:dyDescent="0.2">
      <c r="A37" s="19">
        <f t="shared" si="180"/>
        <v>29</v>
      </c>
      <c r="B37" s="186" t="s">
        <v>188</v>
      </c>
      <c r="C37" s="186">
        <v>30</v>
      </c>
      <c r="D37" s="188">
        <v>1</v>
      </c>
      <c r="E37" s="188">
        <v>113</v>
      </c>
      <c r="F37" s="188">
        <v>1</v>
      </c>
      <c r="G37" s="188">
        <f t="shared" si="2"/>
        <v>113</v>
      </c>
      <c r="H37" s="214">
        <f t="shared" si="3"/>
        <v>1</v>
      </c>
      <c r="I37" s="214">
        <f t="shared" si="4"/>
        <v>1</v>
      </c>
      <c r="J37" s="188">
        <v>1</v>
      </c>
      <c r="K37" s="188">
        <f t="shared" si="5"/>
        <v>113</v>
      </c>
      <c r="L37" s="214">
        <f t="shared" si="6"/>
        <v>1</v>
      </c>
      <c r="M37" s="214">
        <f t="shared" si="7"/>
        <v>1</v>
      </c>
      <c r="N37" s="188">
        <v>1</v>
      </c>
      <c r="O37" s="188">
        <f t="shared" si="8"/>
        <v>113</v>
      </c>
      <c r="P37" s="214">
        <f t="shared" si="9"/>
        <v>1</v>
      </c>
      <c r="Q37" s="214">
        <f t="shared" si="10"/>
        <v>1</v>
      </c>
      <c r="R37" s="188">
        <v>1</v>
      </c>
      <c r="S37" s="188">
        <f t="shared" si="11"/>
        <v>113</v>
      </c>
      <c r="T37" s="214">
        <f t="shared" si="12"/>
        <v>1</v>
      </c>
      <c r="U37" s="214">
        <f t="shared" si="13"/>
        <v>1</v>
      </c>
      <c r="V37" s="188">
        <v>1</v>
      </c>
      <c r="W37" s="188">
        <f t="shared" si="14"/>
        <v>113</v>
      </c>
      <c r="X37" s="214">
        <f t="shared" si="15"/>
        <v>1</v>
      </c>
      <c r="Y37" s="214">
        <f t="shared" si="16"/>
        <v>1</v>
      </c>
      <c r="Z37" s="216">
        <f>1155327000/1000000000</f>
        <v>1.155327</v>
      </c>
      <c r="AA37" s="188">
        <v>0</v>
      </c>
      <c r="AB37" s="189">
        <f t="shared" si="118"/>
        <v>0</v>
      </c>
      <c r="AC37" s="250">
        <f t="shared" si="119"/>
        <v>0</v>
      </c>
      <c r="AD37" s="250">
        <f t="shared" si="120"/>
        <v>0</v>
      </c>
      <c r="AE37" s="188"/>
      <c r="AF37" s="188">
        <f t="shared" si="121"/>
        <v>0</v>
      </c>
      <c r="AG37" s="188"/>
      <c r="AH37" s="188" t="s">
        <v>313</v>
      </c>
      <c r="AI37" s="188">
        <v>0</v>
      </c>
      <c r="AJ37" s="188">
        <f t="shared" si="181"/>
        <v>0</v>
      </c>
      <c r="AK37" s="188"/>
      <c r="AL37" s="188">
        <v>0</v>
      </c>
      <c r="AM37" s="188">
        <v>0</v>
      </c>
      <c r="AN37" s="217"/>
      <c r="AO37" s="195"/>
      <c r="AP37" s="195"/>
      <c r="AQ37" s="195"/>
      <c r="AR37" s="195"/>
      <c r="AS37" s="195"/>
      <c r="AT37" s="195"/>
      <c r="BB37" s="17">
        <f t="shared" si="123"/>
        <v>0</v>
      </c>
      <c r="BE37" s="17">
        <f t="shared" si="19"/>
        <v>0</v>
      </c>
      <c r="BF37" s="17">
        <f t="shared" si="20"/>
        <v>0</v>
      </c>
      <c r="BG37" s="17">
        <f t="shared" si="21"/>
        <v>0</v>
      </c>
      <c r="BH37" s="17">
        <f t="shared" si="22"/>
        <v>0</v>
      </c>
      <c r="BI37" s="17">
        <f t="shared" si="23"/>
        <v>0</v>
      </c>
      <c r="BJ37" s="17">
        <f t="shared" si="24"/>
        <v>0</v>
      </c>
      <c r="BK37" s="17">
        <f t="shared" si="124"/>
        <v>0</v>
      </c>
      <c r="BM37" s="128"/>
      <c r="BN37" s="147"/>
      <c r="BO37" s="288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B37" s="20"/>
      <c r="CD37" s="17">
        <f t="shared" si="125"/>
        <v>0</v>
      </c>
      <c r="CE37" s="17">
        <f t="shared" si="126"/>
        <v>0</v>
      </c>
      <c r="CF37" s="20">
        <f t="shared" si="182"/>
        <v>0</v>
      </c>
      <c r="CG37" s="20">
        <f t="shared" si="183"/>
        <v>0</v>
      </c>
      <c r="CH37" s="20">
        <f t="shared" si="184"/>
        <v>0</v>
      </c>
      <c r="CI37" s="20">
        <f t="shared" si="185"/>
        <v>0</v>
      </c>
      <c r="CJ37" s="20">
        <f t="shared" si="186"/>
        <v>0</v>
      </c>
      <c r="CK37" s="20">
        <f t="shared" si="187"/>
        <v>0</v>
      </c>
      <c r="CL37" s="20">
        <f t="shared" si="188"/>
        <v>0</v>
      </c>
      <c r="CM37" s="20">
        <f t="shared" si="189"/>
        <v>0</v>
      </c>
      <c r="CN37" s="20">
        <f t="shared" si="190"/>
        <v>0</v>
      </c>
      <c r="CO37" s="20">
        <f t="shared" si="191"/>
        <v>0</v>
      </c>
      <c r="CP37" s="20">
        <f t="shared" si="192"/>
        <v>0</v>
      </c>
      <c r="DV37" s="20">
        <f t="shared" si="27"/>
        <v>0</v>
      </c>
      <c r="DW37" s="20">
        <f t="shared" si="28"/>
        <v>0</v>
      </c>
      <c r="DX37" s="20">
        <f t="shared" si="29"/>
        <v>0</v>
      </c>
      <c r="DY37" s="20">
        <f t="shared" si="30"/>
        <v>0</v>
      </c>
      <c r="DZ37" s="20">
        <f t="shared" si="31"/>
        <v>0</v>
      </c>
      <c r="EA37" s="20">
        <f t="shared" si="32"/>
        <v>0</v>
      </c>
      <c r="EB37" s="20">
        <f t="shared" si="127"/>
        <v>0</v>
      </c>
      <c r="EG37" s="57">
        <f t="shared" si="128"/>
        <v>0</v>
      </c>
      <c r="EH37" s="57">
        <f t="shared" si="129"/>
        <v>0</v>
      </c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X37" s="169"/>
      <c r="FY37" s="17">
        <f t="shared" si="130"/>
        <v>0</v>
      </c>
      <c r="FZ37" s="17">
        <f t="shared" si="34"/>
        <v>0</v>
      </c>
      <c r="GA37" s="17">
        <f t="shared" si="35"/>
        <v>0</v>
      </c>
      <c r="GB37" s="17">
        <f t="shared" si="36"/>
        <v>0</v>
      </c>
      <c r="GC37" s="17">
        <f t="shared" si="37"/>
        <v>0</v>
      </c>
      <c r="GD37" s="17">
        <f t="shared" si="38"/>
        <v>0</v>
      </c>
      <c r="GE37" s="17">
        <f t="shared" si="39"/>
        <v>0</v>
      </c>
      <c r="GF37" s="67"/>
      <c r="GG37" s="17">
        <v>0</v>
      </c>
      <c r="GH37" s="17">
        <v>0</v>
      </c>
      <c r="GI37" s="67"/>
      <c r="GJ37" s="62">
        <f t="shared" si="131"/>
        <v>0</v>
      </c>
      <c r="GK37" s="62">
        <f t="shared" si="132"/>
        <v>0</v>
      </c>
      <c r="GO37" s="17">
        <f t="shared" si="40"/>
        <v>0</v>
      </c>
      <c r="GP37" s="17">
        <f t="shared" si="41"/>
        <v>0</v>
      </c>
      <c r="GQ37" s="17">
        <f t="shared" si="42"/>
        <v>0</v>
      </c>
      <c r="GR37" s="17">
        <f t="shared" si="43"/>
        <v>0</v>
      </c>
      <c r="GS37" s="17">
        <f t="shared" si="44"/>
        <v>0</v>
      </c>
      <c r="GT37" s="17">
        <f t="shared" si="133"/>
        <v>1</v>
      </c>
      <c r="GU37" s="101">
        <f t="shared" si="134"/>
        <v>43243</v>
      </c>
      <c r="GV37" s="17" t="str">
        <f t="shared" si="135"/>
        <v>SELESAI</v>
      </c>
      <c r="GW37" s="17">
        <f t="shared" si="136"/>
        <v>0</v>
      </c>
      <c r="GX37" s="66" t="str">
        <f t="shared" si="137"/>
        <v>SELESAI</v>
      </c>
      <c r="GY37" s="66">
        <f t="shared" si="138"/>
        <v>0</v>
      </c>
      <c r="GZ37" s="102" t="str">
        <f t="shared" si="139"/>
        <v>SELESAI</v>
      </c>
      <c r="HA37" s="83"/>
      <c r="HB37" s="83"/>
      <c r="HC37" s="17">
        <f t="shared" si="45"/>
        <v>0</v>
      </c>
      <c r="HD37" s="17">
        <f t="shared" si="46"/>
        <v>0</v>
      </c>
      <c r="HE37" s="17">
        <f t="shared" si="140"/>
        <v>0</v>
      </c>
      <c r="HF37" s="17">
        <f t="shared" si="141"/>
        <v>0</v>
      </c>
      <c r="HG37" s="17">
        <f t="shared" si="142"/>
        <v>0</v>
      </c>
      <c r="HH37" s="101" t="str">
        <f t="shared" si="47"/>
        <v>TIDAK KONSINYASI</v>
      </c>
      <c r="HI37" s="101" t="str">
        <f t="shared" si="143"/>
        <v>SELESAI</v>
      </c>
      <c r="HJ37" s="27"/>
      <c r="HK37" s="101">
        <f t="shared" si="48"/>
        <v>0</v>
      </c>
      <c r="HL37" s="83"/>
      <c r="HM37" s="83"/>
      <c r="HN37" s="83"/>
      <c r="HO37" s="83"/>
      <c r="HP37" s="102">
        <f t="shared" si="144"/>
        <v>0</v>
      </c>
      <c r="HQ37" s="66">
        <f t="shared" si="145"/>
        <v>0</v>
      </c>
      <c r="HR37" s="66">
        <f t="shared" si="49"/>
        <v>0</v>
      </c>
      <c r="HS37" s="102">
        <f t="shared" si="146"/>
        <v>0</v>
      </c>
      <c r="HT37" s="66">
        <f t="shared" si="147"/>
        <v>0</v>
      </c>
      <c r="HU37" s="66">
        <f t="shared" si="50"/>
        <v>0</v>
      </c>
      <c r="HV37" s="102">
        <f t="shared" si="148"/>
        <v>0</v>
      </c>
      <c r="HW37" s="66">
        <f t="shared" si="51"/>
        <v>0</v>
      </c>
      <c r="HX37" s="66">
        <f t="shared" si="52"/>
        <v>0</v>
      </c>
      <c r="HY37" s="102">
        <f t="shared" si="53"/>
        <v>0</v>
      </c>
      <c r="HZ37" s="66">
        <f t="shared" si="149"/>
        <v>0</v>
      </c>
      <c r="IA37" s="66">
        <f t="shared" si="54"/>
        <v>0</v>
      </c>
      <c r="IB37" s="102">
        <f t="shared" si="150"/>
        <v>0</v>
      </c>
      <c r="IC37" s="66">
        <f t="shared" si="55"/>
        <v>0</v>
      </c>
      <c r="ID37" s="66">
        <f t="shared" si="56"/>
        <v>0</v>
      </c>
      <c r="IE37" s="102">
        <f t="shared" si="57"/>
        <v>0</v>
      </c>
      <c r="IF37" s="66">
        <f t="shared" si="58"/>
        <v>0</v>
      </c>
      <c r="IG37" s="66">
        <f t="shared" si="59"/>
        <v>0</v>
      </c>
      <c r="IH37" s="102">
        <f t="shared" si="151"/>
        <v>0</v>
      </c>
      <c r="II37" s="66">
        <f t="shared" si="152"/>
        <v>0</v>
      </c>
      <c r="IJ37" s="66">
        <f t="shared" si="60"/>
        <v>0</v>
      </c>
      <c r="IK37" s="102">
        <f t="shared" si="61"/>
        <v>0</v>
      </c>
      <c r="IL37" s="66">
        <f t="shared" si="62"/>
        <v>0</v>
      </c>
      <c r="IM37" s="66">
        <f t="shared" si="63"/>
        <v>0</v>
      </c>
      <c r="IN37" s="83"/>
      <c r="IO37" s="102">
        <f t="shared" si="64"/>
        <v>0</v>
      </c>
      <c r="IP37" s="66">
        <f t="shared" si="65"/>
        <v>0</v>
      </c>
      <c r="IQ37" s="66">
        <f t="shared" si="66"/>
        <v>0</v>
      </c>
      <c r="IR37" s="83"/>
      <c r="IS37" s="102"/>
      <c r="IT37" s="66">
        <f t="shared" si="67"/>
        <v>1</v>
      </c>
      <c r="IU37" s="66">
        <f t="shared" si="68"/>
        <v>113</v>
      </c>
      <c r="IV37" s="83"/>
      <c r="IW37" s="102"/>
      <c r="IX37" s="66">
        <f t="shared" si="69"/>
        <v>0</v>
      </c>
      <c r="IY37" s="66">
        <f t="shared" si="70"/>
        <v>0</v>
      </c>
      <c r="IZ37" s="83"/>
      <c r="JA37" s="102"/>
      <c r="JB37" s="66">
        <f t="shared" si="71"/>
        <v>0</v>
      </c>
      <c r="JC37" s="66">
        <f t="shared" si="72"/>
        <v>0</v>
      </c>
      <c r="JD37" s="83"/>
      <c r="JE37" s="102"/>
      <c r="JF37" s="66">
        <f t="shared" si="153"/>
        <v>1</v>
      </c>
      <c r="JG37" s="66">
        <f t="shared" si="73"/>
        <v>113</v>
      </c>
      <c r="JH37" s="83"/>
      <c r="JI37" s="102"/>
      <c r="JJ37" s="66">
        <f t="shared" si="74"/>
        <v>0</v>
      </c>
      <c r="JK37" s="66">
        <f t="shared" si="75"/>
        <v>0</v>
      </c>
      <c r="JM37" s="102">
        <f t="shared" si="154"/>
        <v>0</v>
      </c>
      <c r="JO37" s="29">
        <f t="shared" si="76"/>
        <v>0</v>
      </c>
      <c r="JP37" s="122">
        <f t="shared" si="77"/>
        <v>0</v>
      </c>
      <c r="JQ37" s="122">
        <f t="shared" si="78"/>
        <v>0</v>
      </c>
      <c r="JR37" s="122">
        <f t="shared" si="79"/>
        <v>0</v>
      </c>
      <c r="JS37" s="122">
        <f t="shared" si="80"/>
        <v>0</v>
      </c>
      <c r="JT37" s="122">
        <f t="shared" si="81"/>
        <v>0</v>
      </c>
      <c r="JU37" s="122">
        <f t="shared" si="82"/>
        <v>0</v>
      </c>
      <c r="JV37" s="122">
        <f t="shared" si="83"/>
        <v>0</v>
      </c>
      <c r="JW37" s="122">
        <f t="shared" si="84"/>
        <v>0</v>
      </c>
      <c r="JX37" s="122">
        <f t="shared" si="85"/>
        <v>0</v>
      </c>
      <c r="JY37" s="122">
        <f t="shared" si="86"/>
        <v>0</v>
      </c>
      <c r="JZ37" s="122">
        <f t="shared" si="87"/>
        <v>0</v>
      </c>
      <c r="KA37" s="122">
        <f t="shared" si="88"/>
        <v>0</v>
      </c>
      <c r="KB37" s="122">
        <f t="shared" si="89"/>
        <v>0</v>
      </c>
      <c r="KD37" s="122">
        <f t="shared" si="155"/>
        <v>0</v>
      </c>
      <c r="KE37" s="122">
        <f t="shared" si="91"/>
        <v>0</v>
      </c>
      <c r="KF37" s="122">
        <f t="shared" si="92"/>
        <v>0</v>
      </c>
      <c r="KG37" s="122">
        <f t="shared" si="93"/>
        <v>0</v>
      </c>
      <c r="KH37" s="122">
        <f t="shared" si="94"/>
        <v>0</v>
      </c>
      <c r="KI37" s="122">
        <f t="shared" si="95"/>
        <v>0</v>
      </c>
      <c r="KJ37" s="122">
        <f t="shared" si="96"/>
        <v>0</v>
      </c>
      <c r="KK37" s="122">
        <f t="shared" si="97"/>
        <v>0</v>
      </c>
      <c r="KL37" s="122">
        <f t="shared" si="98"/>
        <v>0</v>
      </c>
      <c r="KM37" s="122">
        <f t="shared" si="99"/>
        <v>0</v>
      </c>
      <c r="KN37" s="123">
        <f t="shared" si="100"/>
        <v>0</v>
      </c>
      <c r="KO37" s="123">
        <f t="shared" si="101"/>
        <v>0</v>
      </c>
      <c r="KP37" s="123">
        <f t="shared" si="102"/>
        <v>0</v>
      </c>
      <c r="KQ37" s="123">
        <f t="shared" si="103"/>
        <v>0</v>
      </c>
      <c r="KR37" s="123">
        <f t="shared" si="104"/>
        <v>0</v>
      </c>
      <c r="KT37">
        <f t="shared" si="105"/>
        <v>0</v>
      </c>
      <c r="KU37" s="123"/>
      <c r="KV37" s="123"/>
      <c r="KW37" s="123"/>
      <c r="KX37" s="123"/>
      <c r="KY37" s="123"/>
      <c r="KZ37" s="123"/>
      <c r="LA37" s="123"/>
      <c r="LB37" s="123"/>
      <c r="LC37" s="123"/>
      <c r="LD37" s="123"/>
      <c r="LE37" s="123"/>
      <c r="LF37" s="123"/>
      <c r="LG37" s="123"/>
      <c r="LH37" s="123"/>
      <c r="LI37" s="123"/>
      <c r="LJ37" s="123"/>
      <c r="LK37" s="123"/>
      <c r="LL37" s="123"/>
      <c r="LM37" s="123"/>
      <c r="LN37" s="123"/>
      <c r="LO37" s="123"/>
      <c r="LP37" s="123"/>
      <c r="LQ37" s="123"/>
      <c r="LR37" s="123"/>
      <c r="LS37" s="123"/>
      <c r="LT37" s="123"/>
      <c r="LU37" s="123"/>
      <c r="LV37" s="123"/>
      <c r="LW37" s="123"/>
      <c r="LX37" s="123"/>
      <c r="LY37" s="123"/>
      <c r="LZ37" s="123"/>
      <c r="MA37" s="123"/>
      <c r="MB37" s="123"/>
      <c r="MC37" s="123"/>
      <c r="MD37" s="123"/>
      <c r="ME37" s="123"/>
      <c r="MF37" s="123"/>
      <c r="MG37" s="123"/>
      <c r="MH37" s="123"/>
      <c r="MI37" s="123"/>
      <c r="MJ37" s="123"/>
      <c r="MK37" s="123"/>
      <c r="ML37" s="123"/>
      <c r="MM37" s="123"/>
      <c r="MN37" s="123"/>
      <c r="MO37" s="123"/>
      <c r="MP37" s="123"/>
      <c r="MQ37" s="123"/>
      <c r="MR37" s="123"/>
      <c r="MS37" s="123"/>
      <c r="MT37" s="123"/>
      <c r="MU37" s="123"/>
      <c r="MV37" s="123"/>
      <c r="MW37" s="123"/>
      <c r="MX37" s="123"/>
      <c r="MY37" s="123"/>
      <c r="MZ37" s="123"/>
      <c r="NA37" s="123"/>
      <c r="NB37" s="123"/>
      <c r="NC37" s="123"/>
      <c r="ND37" s="123"/>
      <c r="NE37" s="123"/>
      <c r="NF37" s="123"/>
      <c r="NG37" s="123"/>
      <c r="NH37" s="123"/>
      <c r="NI37" s="123"/>
      <c r="NJ37" s="123"/>
      <c r="NK37" s="123"/>
      <c r="NM37">
        <f t="shared" si="156"/>
        <v>0</v>
      </c>
      <c r="NN37">
        <f t="shared" si="157"/>
        <v>0</v>
      </c>
      <c r="NO37">
        <f t="shared" si="158"/>
        <v>0</v>
      </c>
      <c r="NP37">
        <f t="shared" si="159"/>
        <v>0</v>
      </c>
      <c r="NQ37">
        <f t="shared" si="160"/>
        <v>0</v>
      </c>
      <c r="NR37">
        <f t="shared" si="161"/>
        <v>0</v>
      </c>
      <c r="NS37">
        <f t="shared" si="162"/>
        <v>0</v>
      </c>
      <c r="NT37">
        <f t="shared" si="163"/>
        <v>0</v>
      </c>
      <c r="NU37" s="29">
        <f t="shared" si="164"/>
        <v>0</v>
      </c>
      <c r="NY37" s="29">
        <f t="shared" si="107"/>
        <v>1</v>
      </c>
      <c r="NZ37" s="152">
        <v>7275000</v>
      </c>
      <c r="OE37" s="155">
        <f t="shared" si="108"/>
        <v>0</v>
      </c>
      <c r="OF37" s="155">
        <f t="shared" si="109"/>
        <v>0</v>
      </c>
      <c r="OG37" s="155">
        <f t="shared" si="110"/>
        <v>0</v>
      </c>
      <c r="OH37" s="155">
        <f t="shared" si="165"/>
        <v>0</v>
      </c>
      <c r="OI37" s="155">
        <f t="shared" si="111"/>
        <v>0</v>
      </c>
      <c r="OJ37" s="67">
        <f t="shared" si="166"/>
        <v>0</v>
      </c>
      <c r="OK37" s="67">
        <f t="shared" si="167"/>
        <v>0</v>
      </c>
      <c r="OL37" s="67">
        <f t="shared" si="168"/>
        <v>0</v>
      </c>
      <c r="OM37" s="67">
        <f t="shared" si="169"/>
        <v>0</v>
      </c>
      <c r="OO37" s="155">
        <f t="shared" si="112"/>
        <v>0</v>
      </c>
      <c r="OP37" s="155">
        <f t="shared" si="113"/>
        <v>0</v>
      </c>
      <c r="OQ37" s="155">
        <f t="shared" si="170"/>
        <v>0</v>
      </c>
      <c r="OR37" s="155">
        <f t="shared" si="171"/>
        <v>0</v>
      </c>
      <c r="OS37" s="155">
        <f t="shared" si="172"/>
        <v>0</v>
      </c>
      <c r="OT37" s="67">
        <f t="shared" si="173"/>
        <v>0</v>
      </c>
      <c r="OU37" s="67">
        <f t="shared" si="174"/>
        <v>0</v>
      </c>
      <c r="OV37" s="67">
        <f t="shared" si="175"/>
        <v>0</v>
      </c>
      <c r="OW37" s="67">
        <f t="shared" si="176"/>
        <v>0</v>
      </c>
      <c r="OZ37" s="163">
        <f t="shared" si="114"/>
        <v>0</v>
      </c>
      <c r="PA37" s="166"/>
      <c r="PB37" s="166"/>
      <c r="PC37" s="166"/>
      <c r="PD37" s="210">
        <f t="shared" si="115"/>
        <v>0</v>
      </c>
      <c r="PE37" s="210"/>
      <c r="PF37" s="210">
        <f t="shared" si="116"/>
        <v>0</v>
      </c>
      <c r="PG37" s="210">
        <f t="shared" si="117"/>
        <v>0</v>
      </c>
      <c r="PH37" s="210">
        <f t="shared" si="117"/>
        <v>0</v>
      </c>
      <c r="PI37" s="210">
        <f t="shared" si="117"/>
        <v>0</v>
      </c>
      <c r="PJ37" s="210">
        <f t="shared" si="117"/>
        <v>0</v>
      </c>
      <c r="PK37" s="210">
        <f t="shared" si="117"/>
        <v>0</v>
      </c>
      <c r="PL37" s="210">
        <f t="shared" si="117"/>
        <v>0</v>
      </c>
      <c r="PO37" s="172">
        <f t="shared" si="177"/>
        <v>0</v>
      </c>
      <c r="PP37" s="172">
        <f t="shared" si="178"/>
        <v>0</v>
      </c>
      <c r="PQ37" s="172">
        <f t="shared" si="179"/>
        <v>0</v>
      </c>
    </row>
    <row r="38" spans="1:433" ht="16" x14ac:dyDescent="0.2">
      <c r="A38" s="19">
        <f t="shared" si="180"/>
        <v>30</v>
      </c>
      <c r="B38" s="186" t="s">
        <v>189</v>
      </c>
      <c r="C38" s="186">
        <v>31</v>
      </c>
      <c r="D38" s="188">
        <v>1</v>
      </c>
      <c r="E38" s="188">
        <v>37</v>
      </c>
      <c r="F38" s="188">
        <v>1</v>
      </c>
      <c r="G38" s="188">
        <f t="shared" si="2"/>
        <v>37</v>
      </c>
      <c r="H38" s="214">
        <f t="shared" si="3"/>
        <v>1</v>
      </c>
      <c r="I38" s="214">
        <f t="shared" si="4"/>
        <v>1</v>
      </c>
      <c r="J38" s="188">
        <v>1</v>
      </c>
      <c r="K38" s="188">
        <f t="shared" si="5"/>
        <v>37</v>
      </c>
      <c r="L38" s="214">
        <f t="shared" si="6"/>
        <v>1</v>
      </c>
      <c r="M38" s="214">
        <f t="shared" si="7"/>
        <v>1</v>
      </c>
      <c r="N38" s="188">
        <v>1</v>
      </c>
      <c r="O38" s="188">
        <f t="shared" si="8"/>
        <v>37</v>
      </c>
      <c r="P38" s="214">
        <f t="shared" si="9"/>
        <v>1</v>
      </c>
      <c r="Q38" s="214">
        <f t="shared" si="10"/>
        <v>1</v>
      </c>
      <c r="R38" s="188">
        <v>1</v>
      </c>
      <c r="S38" s="188">
        <f t="shared" si="11"/>
        <v>37</v>
      </c>
      <c r="T38" s="214">
        <f t="shared" si="12"/>
        <v>1</v>
      </c>
      <c r="U38" s="214">
        <f t="shared" si="13"/>
        <v>1</v>
      </c>
      <c r="V38" s="188">
        <v>1</v>
      </c>
      <c r="W38" s="188">
        <f t="shared" si="14"/>
        <v>37</v>
      </c>
      <c r="X38" s="214">
        <f t="shared" si="15"/>
        <v>1</v>
      </c>
      <c r="Y38" s="214">
        <f t="shared" si="16"/>
        <v>1</v>
      </c>
      <c r="Z38" s="216">
        <f>472723000/1000000000</f>
        <v>0.472723</v>
      </c>
      <c r="AA38" s="188">
        <v>0</v>
      </c>
      <c r="AB38" s="189">
        <f t="shared" si="118"/>
        <v>0</v>
      </c>
      <c r="AC38" s="250">
        <f t="shared" si="119"/>
        <v>0</v>
      </c>
      <c r="AD38" s="250">
        <f t="shared" si="120"/>
        <v>0</v>
      </c>
      <c r="AE38" s="188"/>
      <c r="AF38" s="188">
        <f t="shared" si="121"/>
        <v>0</v>
      </c>
      <c r="AG38" s="188"/>
      <c r="AH38" s="188" t="s">
        <v>313</v>
      </c>
      <c r="AI38" s="188">
        <v>0</v>
      </c>
      <c r="AJ38" s="188">
        <f t="shared" si="181"/>
        <v>0</v>
      </c>
      <c r="AK38" s="188"/>
      <c r="AL38" s="188">
        <v>0</v>
      </c>
      <c r="AM38" s="188">
        <v>0</v>
      </c>
      <c r="AN38" s="217"/>
      <c r="AO38" s="195"/>
      <c r="AP38" s="195"/>
      <c r="AQ38" s="195"/>
      <c r="AR38" s="195"/>
      <c r="AS38" s="195"/>
      <c r="AT38" s="195"/>
      <c r="BB38" s="17">
        <f t="shared" si="123"/>
        <v>0</v>
      </c>
      <c r="BE38" s="17">
        <f t="shared" si="19"/>
        <v>0</v>
      </c>
      <c r="BF38" s="17">
        <f t="shared" si="20"/>
        <v>0</v>
      </c>
      <c r="BG38" s="17">
        <f t="shared" si="21"/>
        <v>0</v>
      </c>
      <c r="BH38" s="17">
        <f t="shared" si="22"/>
        <v>0</v>
      </c>
      <c r="BI38" s="17">
        <f t="shared" si="23"/>
        <v>0</v>
      </c>
      <c r="BJ38" s="17">
        <f t="shared" si="24"/>
        <v>0</v>
      </c>
      <c r="BK38" s="17">
        <f t="shared" si="124"/>
        <v>0</v>
      </c>
      <c r="BM38" s="128"/>
      <c r="BN38" s="147"/>
      <c r="BO38" s="285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B38" s="20"/>
      <c r="CD38" s="17">
        <f t="shared" si="125"/>
        <v>0</v>
      </c>
      <c r="CE38" s="17">
        <f t="shared" si="126"/>
        <v>0</v>
      </c>
      <c r="CF38" s="20">
        <f t="shared" si="182"/>
        <v>0</v>
      </c>
      <c r="CG38" s="20">
        <f t="shared" si="183"/>
        <v>0</v>
      </c>
      <c r="CH38" s="20">
        <f t="shared" si="184"/>
        <v>0</v>
      </c>
      <c r="CI38" s="20">
        <f t="shared" si="185"/>
        <v>0</v>
      </c>
      <c r="CJ38" s="20">
        <f t="shared" si="186"/>
        <v>0</v>
      </c>
      <c r="CK38" s="20">
        <f t="shared" si="187"/>
        <v>0</v>
      </c>
      <c r="CL38" s="20">
        <f t="shared" si="188"/>
        <v>0</v>
      </c>
      <c r="CM38" s="20">
        <f t="shared" si="189"/>
        <v>0</v>
      </c>
      <c r="CN38" s="20">
        <f t="shared" si="190"/>
        <v>0</v>
      </c>
      <c r="CO38" s="20">
        <f t="shared" si="191"/>
        <v>0</v>
      </c>
      <c r="CP38" s="20">
        <f t="shared" si="192"/>
        <v>0</v>
      </c>
      <c r="DV38" s="20">
        <f t="shared" si="27"/>
        <v>0</v>
      </c>
      <c r="DW38" s="20">
        <f t="shared" si="28"/>
        <v>0</v>
      </c>
      <c r="DX38" s="20">
        <f t="shared" si="29"/>
        <v>0</v>
      </c>
      <c r="DY38" s="20">
        <f t="shared" si="30"/>
        <v>0</v>
      </c>
      <c r="DZ38" s="20">
        <f t="shared" si="31"/>
        <v>0</v>
      </c>
      <c r="EA38" s="20">
        <f t="shared" si="32"/>
        <v>0</v>
      </c>
      <c r="EB38" s="20">
        <f t="shared" si="127"/>
        <v>0</v>
      </c>
      <c r="EG38" s="57">
        <f t="shared" si="128"/>
        <v>0</v>
      </c>
      <c r="EH38" s="57">
        <f t="shared" si="129"/>
        <v>0</v>
      </c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X38" s="169"/>
      <c r="FY38" s="17">
        <f t="shared" si="130"/>
        <v>0</v>
      </c>
      <c r="FZ38" s="17">
        <f t="shared" si="34"/>
        <v>0</v>
      </c>
      <c r="GA38" s="17">
        <f t="shared" si="35"/>
        <v>0</v>
      </c>
      <c r="GB38" s="17">
        <f t="shared" si="36"/>
        <v>0</v>
      </c>
      <c r="GC38" s="17">
        <f t="shared" si="37"/>
        <v>0</v>
      </c>
      <c r="GD38" s="17">
        <f t="shared" si="38"/>
        <v>0</v>
      </c>
      <c r="GE38" s="17">
        <f t="shared" si="39"/>
        <v>0</v>
      </c>
      <c r="GF38" s="67"/>
      <c r="GG38" s="17">
        <v>0</v>
      </c>
      <c r="GH38" s="17">
        <v>0</v>
      </c>
      <c r="GI38" s="67"/>
      <c r="GJ38" s="62">
        <f t="shared" si="131"/>
        <v>0</v>
      </c>
      <c r="GK38" s="62">
        <f t="shared" si="132"/>
        <v>0</v>
      </c>
      <c r="GO38" s="17">
        <f t="shared" si="40"/>
        <v>0</v>
      </c>
      <c r="GP38" s="17">
        <f t="shared" si="41"/>
        <v>0</v>
      </c>
      <c r="GQ38" s="17">
        <f t="shared" si="42"/>
        <v>0</v>
      </c>
      <c r="GR38" s="17">
        <f t="shared" si="43"/>
        <v>0</v>
      </c>
      <c r="GS38" s="17">
        <f t="shared" si="44"/>
        <v>0</v>
      </c>
      <c r="GT38" s="17">
        <f t="shared" si="133"/>
        <v>1</v>
      </c>
      <c r="GU38" s="101">
        <f t="shared" si="134"/>
        <v>43243</v>
      </c>
      <c r="GV38" s="17" t="str">
        <f t="shared" si="135"/>
        <v>SELESAI</v>
      </c>
      <c r="GW38" s="17">
        <f t="shared" si="136"/>
        <v>0</v>
      </c>
      <c r="GX38" s="66" t="str">
        <f t="shared" si="137"/>
        <v>SELESAI</v>
      </c>
      <c r="GY38" s="66">
        <f t="shared" si="138"/>
        <v>0</v>
      </c>
      <c r="GZ38" s="102" t="str">
        <f t="shared" si="139"/>
        <v>SELESAI</v>
      </c>
      <c r="HA38" s="83"/>
      <c r="HB38" s="83"/>
      <c r="HC38" s="17">
        <f t="shared" si="45"/>
        <v>0</v>
      </c>
      <c r="HD38" s="17">
        <f t="shared" si="46"/>
        <v>0</v>
      </c>
      <c r="HE38" s="17">
        <f t="shared" si="140"/>
        <v>0</v>
      </c>
      <c r="HF38" s="17">
        <f t="shared" si="141"/>
        <v>0</v>
      </c>
      <c r="HG38" s="17">
        <f t="shared" si="142"/>
        <v>0</v>
      </c>
      <c r="HH38" s="101" t="str">
        <f t="shared" si="47"/>
        <v>TIDAK KONSINYASI</v>
      </c>
      <c r="HI38" s="101" t="str">
        <f t="shared" si="143"/>
        <v>SELESAI</v>
      </c>
      <c r="HJ38" s="27"/>
      <c r="HK38" s="101">
        <f t="shared" si="48"/>
        <v>0</v>
      </c>
      <c r="HL38" s="83"/>
      <c r="HM38" s="83"/>
      <c r="HN38" s="83"/>
      <c r="HO38" s="83"/>
      <c r="HP38" s="102">
        <f t="shared" si="144"/>
        <v>0</v>
      </c>
      <c r="HQ38" s="66">
        <f t="shared" si="145"/>
        <v>0</v>
      </c>
      <c r="HR38" s="66">
        <f t="shared" si="49"/>
        <v>0</v>
      </c>
      <c r="HS38" s="102">
        <f t="shared" si="146"/>
        <v>0</v>
      </c>
      <c r="HT38" s="66">
        <f t="shared" si="147"/>
        <v>0</v>
      </c>
      <c r="HU38" s="66">
        <f t="shared" si="50"/>
        <v>0</v>
      </c>
      <c r="HV38" s="102">
        <f t="shared" si="148"/>
        <v>0</v>
      </c>
      <c r="HW38" s="66">
        <f t="shared" si="51"/>
        <v>0</v>
      </c>
      <c r="HX38" s="66">
        <f t="shared" si="52"/>
        <v>0</v>
      </c>
      <c r="HY38" s="102">
        <f t="shared" si="53"/>
        <v>0</v>
      </c>
      <c r="HZ38" s="66">
        <f t="shared" si="149"/>
        <v>0</v>
      </c>
      <c r="IA38" s="66">
        <f t="shared" si="54"/>
        <v>0</v>
      </c>
      <c r="IB38" s="102">
        <f t="shared" si="150"/>
        <v>0</v>
      </c>
      <c r="IC38" s="66">
        <f t="shared" si="55"/>
        <v>0</v>
      </c>
      <c r="ID38" s="66">
        <f t="shared" si="56"/>
        <v>0</v>
      </c>
      <c r="IE38" s="102">
        <f t="shared" si="57"/>
        <v>0</v>
      </c>
      <c r="IF38" s="66">
        <f t="shared" si="58"/>
        <v>0</v>
      </c>
      <c r="IG38" s="66">
        <f t="shared" si="59"/>
        <v>0</v>
      </c>
      <c r="IH38" s="102">
        <f t="shared" si="151"/>
        <v>0</v>
      </c>
      <c r="II38" s="66">
        <f t="shared" si="152"/>
        <v>0</v>
      </c>
      <c r="IJ38" s="66">
        <f t="shared" si="60"/>
        <v>0</v>
      </c>
      <c r="IK38" s="102">
        <f t="shared" si="61"/>
        <v>0</v>
      </c>
      <c r="IL38" s="66">
        <f t="shared" si="62"/>
        <v>0</v>
      </c>
      <c r="IM38" s="66">
        <f t="shared" si="63"/>
        <v>0</v>
      </c>
      <c r="IN38" s="83"/>
      <c r="IO38" s="102">
        <f t="shared" si="64"/>
        <v>0</v>
      </c>
      <c r="IP38" s="66">
        <f t="shared" si="65"/>
        <v>0</v>
      </c>
      <c r="IQ38" s="66">
        <f t="shared" si="66"/>
        <v>0</v>
      </c>
      <c r="IR38" s="83"/>
      <c r="IS38" s="102"/>
      <c r="IT38" s="66">
        <f t="shared" si="67"/>
        <v>1</v>
      </c>
      <c r="IU38" s="66">
        <f t="shared" si="68"/>
        <v>37</v>
      </c>
      <c r="IV38" s="83"/>
      <c r="IW38" s="102"/>
      <c r="IX38" s="66">
        <f t="shared" si="69"/>
        <v>0</v>
      </c>
      <c r="IY38" s="66">
        <f t="shared" si="70"/>
        <v>0</v>
      </c>
      <c r="IZ38" s="83"/>
      <c r="JA38" s="102"/>
      <c r="JB38" s="66">
        <f t="shared" si="71"/>
        <v>0</v>
      </c>
      <c r="JC38" s="66">
        <f t="shared" si="72"/>
        <v>0</v>
      </c>
      <c r="JD38" s="83"/>
      <c r="JE38" s="102"/>
      <c r="JF38" s="66">
        <f t="shared" si="153"/>
        <v>1</v>
      </c>
      <c r="JG38" s="66">
        <f t="shared" si="73"/>
        <v>37</v>
      </c>
      <c r="JH38" s="83"/>
      <c r="JI38" s="102"/>
      <c r="JJ38" s="66">
        <f t="shared" si="74"/>
        <v>0</v>
      </c>
      <c r="JK38" s="66">
        <f t="shared" si="75"/>
        <v>0</v>
      </c>
      <c r="JM38" s="102">
        <f t="shared" si="154"/>
        <v>0</v>
      </c>
      <c r="JO38" s="29">
        <f t="shared" si="76"/>
        <v>0</v>
      </c>
      <c r="JP38" s="122">
        <f t="shared" si="77"/>
        <v>0</v>
      </c>
      <c r="JQ38" s="122">
        <f t="shared" si="78"/>
        <v>0</v>
      </c>
      <c r="JR38" s="122">
        <f t="shared" si="79"/>
        <v>0</v>
      </c>
      <c r="JS38" s="122">
        <f t="shared" si="80"/>
        <v>0</v>
      </c>
      <c r="JT38" s="122">
        <f t="shared" si="81"/>
        <v>0</v>
      </c>
      <c r="JU38" s="122">
        <f t="shared" si="82"/>
        <v>0</v>
      </c>
      <c r="JV38" s="122">
        <f t="shared" si="83"/>
        <v>0</v>
      </c>
      <c r="JW38" s="122">
        <f t="shared" si="84"/>
        <v>0</v>
      </c>
      <c r="JX38" s="122">
        <f t="shared" si="85"/>
        <v>0</v>
      </c>
      <c r="JY38" s="122">
        <f t="shared" si="86"/>
        <v>0</v>
      </c>
      <c r="JZ38" s="122">
        <f t="shared" si="87"/>
        <v>0</v>
      </c>
      <c r="KA38" s="122">
        <f t="shared" si="88"/>
        <v>0</v>
      </c>
      <c r="KB38" s="122">
        <f t="shared" si="89"/>
        <v>0</v>
      </c>
      <c r="KD38" s="122">
        <f t="shared" si="155"/>
        <v>0</v>
      </c>
      <c r="KE38" s="122">
        <f t="shared" si="91"/>
        <v>0</v>
      </c>
      <c r="KF38" s="122">
        <f t="shared" si="92"/>
        <v>0</v>
      </c>
      <c r="KG38" s="122">
        <f t="shared" si="93"/>
        <v>0</v>
      </c>
      <c r="KH38" s="122">
        <f t="shared" si="94"/>
        <v>0</v>
      </c>
      <c r="KI38" s="122">
        <f t="shared" si="95"/>
        <v>0</v>
      </c>
      <c r="KJ38" s="122">
        <f t="shared" si="96"/>
        <v>0</v>
      </c>
      <c r="KK38" s="122">
        <f t="shared" si="97"/>
        <v>0</v>
      </c>
      <c r="KL38" s="122">
        <f t="shared" si="98"/>
        <v>0</v>
      </c>
      <c r="KM38" s="122">
        <f t="shared" si="99"/>
        <v>0</v>
      </c>
      <c r="KN38" s="123">
        <f t="shared" si="100"/>
        <v>0</v>
      </c>
      <c r="KO38" s="123">
        <f t="shared" si="101"/>
        <v>0</v>
      </c>
      <c r="KP38" s="123">
        <f t="shared" si="102"/>
        <v>0</v>
      </c>
      <c r="KQ38" s="123">
        <f t="shared" si="103"/>
        <v>0</v>
      </c>
      <c r="KR38" s="123">
        <f t="shared" si="104"/>
        <v>0</v>
      </c>
      <c r="KT38">
        <f t="shared" si="105"/>
        <v>0</v>
      </c>
      <c r="KU38" s="123"/>
      <c r="KV38" s="123"/>
      <c r="KW38" s="123"/>
      <c r="KX38" s="123"/>
      <c r="KY38" s="123"/>
      <c r="KZ38" s="123"/>
      <c r="LA38" s="123"/>
      <c r="LB38" s="123"/>
      <c r="LC38" s="123"/>
      <c r="LD38" s="123"/>
      <c r="LE38" s="123"/>
      <c r="LF38" s="123"/>
      <c r="LG38" s="123"/>
      <c r="LH38" s="123"/>
      <c r="LI38" s="123"/>
      <c r="LJ38" s="123"/>
      <c r="LK38" s="123"/>
      <c r="LL38" s="123"/>
      <c r="LM38" s="123"/>
      <c r="LN38" s="123"/>
      <c r="LO38" s="123"/>
      <c r="LP38" s="123"/>
      <c r="LQ38" s="123"/>
      <c r="LR38" s="123"/>
      <c r="LS38" s="123"/>
      <c r="LT38" s="123"/>
      <c r="LU38" s="123"/>
      <c r="LV38" s="123"/>
      <c r="LW38" s="123"/>
      <c r="LX38" s="123"/>
      <c r="LY38" s="123"/>
      <c r="LZ38" s="123"/>
      <c r="MA38" s="123"/>
      <c r="MB38" s="123"/>
      <c r="MC38" s="123"/>
      <c r="MD38" s="123"/>
      <c r="ME38" s="123"/>
      <c r="MF38" s="123"/>
      <c r="MG38" s="123"/>
      <c r="MH38" s="123"/>
      <c r="MI38" s="123"/>
      <c r="MJ38" s="123"/>
      <c r="MK38" s="123"/>
      <c r="ML38" s="123"/>
      <c r="MM38" s="123"/>
      <c r="MN38" s="123"/>
      <c r="MO38" s="123"/>
      <c r="MP38" s="123"/>
      <c r="MQ38" s="123"/>
      <c r="MR38" s="123"/>
      <c r="MS38" s="123"/>
      <c r="MT38" s="123"/>
      <c r="MU38" s="123"/>
      <c r="MV38" s="123"/>
      <c r="MW38" s="123"/>
      <c r="MX38" s="123"/>
      <c r="MY38" s="123"/>
      <c r="MZ38" s="123"/>
      <c r="NA38" s="123"/>
      <c r="NB38" s="123"/>
      <c r="NC38" s="123"/>
      <c r="ND38" s="123"/>
      <c r="NE38" s="123"/>
      <c r="NF38" s="123"/>
      <c r="NG38" s="123"/>
      <c r="NH38" s="123"/>
      <c r="NI38" s="123"/>
      <c r="NJ38" s="123"/>
      <c r="NK38" s="123"/>
      <c r="NM38">
        <f t="shared" si="156"/>
        <v>0</v>
      </c>
      <c r="NN38">
        <f t="shared" si="157"/>
        <v>0</v>
      </c>
      <c r="NO38">
        <f t="shared" si="158"/>
        <v>0</v>
      </c>
      <c r="NP38">
        <f t="shared" si="159"/>
        <v>0</v>
      </c>
      <c r="NQ38">
        <f t="shared" si="160"/>
        <v>0</v>
      </c>
      <c r="NR38">
        <f t="shared" si="161"/>
        <v>0</v>
      </c>
      <c r="NS38">
        <f t="shared" si="162"/>
        <v>0</v>
      </c>
      <c r="NT38">
        <f t="shared" si="163"/>
        <v>0</v>
      </c>
      <c r="NU38" s="29">
        <f t="shared" si="164"/>
        <v>0</v>
      </c>
      <c r="NY38" s="29">
        <f t="shared" si="107"/>
        <v>1</v>
      </c>
      <c r="NZ38" s="152">
        <v>7275000</v>
      </c>
      <c r="OE38" s="155">
        <f t="shared" si="108"/>
        <v>0</v>
      </c>
      <c r="OF38" s="155">
        <f t="shared" si="109"/>
        <v>0</v>
      </c>
      <c r="OG38" s="155">
        <f t="shared" si="110"/>
        <v>0</v>
      </c>
      <c r="OH38" s="155">
        <f t="shared" si="165"/>
        <v>0</v>
      </c>
      <c r="OI38" s="155">
        <f t="shared" si="111"/>
        <v>0</v>
      </c>
      <c r="OJ38" s="67">
        <f t="shared" si="166"/>
        <v>0</v>
      </c>
      <c r="OK38" s="67">
        <f t="shared" si="167"/>
        <v>0</v>
      </c>
      <c r="OL38" s="67">
        <f t="shared" si="168"/>
        <v>0</v>
      </c>
      <c r="OM38" s="67">
        <f t="shared" si="169"/>
        <v>0</v>
      </c>
      <c r="OO38" s="155">
        <f t="shared" si="112"/>
        <v>0</v>
      </c>
      <c r="OP38" s="155">
        <f t="shared" si="113"/>
        <v>0</v>
      </c>
      <c r="OQ38" s="155">
        <f t="shared" si="170"/>
        <v>0</v>
      </c>
      <c r="OR38" s="155">
        <f t="shared" si="171"/>
        <v>0</v>
      </c>
      <c r="OS38" s="155">
        <f t="shared" si="172"/>
        <v>0</v>
      </c>
      <c r="OT38" s="67">
        <f t="shared" si="173"/>
        <v>0</v>
      </c>
      <c r="OU38" s="67">
        <f t="shared" si="174"/>
        <v>0</v>
      </c>
      <c r="OV38" s="67">
        <f t="shared" si="175"/>
        <v>0</v>
      </c>
      <c r="OW38" s="67">
        <f t="shared" si="176"/>
        <v>0</v>
      </c>
      <c r="OZ38" s="163">
        <f t="shared" si="114"/>
        <v>0</v>
      </c>
      <c r="PA38" s="166"/>
      <c r="PB38" s="166"/>
      <c r="PC38" s="166"/>
      <c r="PD38" s="210">
        <f t="shared" si="115"/>
        <v>0</v>
      </c>
      <c r="PE38" s="210"/>
      <c r="PF38" s="210">
        <f t="shared" si="116"/>
        <v>0</v>
      </c>
      <c r="PG38" s="210">
        <f t="shared" si="117"/>
        <v>0</v>
      </c>
      <c r="PH38" s="210">
        <f t="shared" si="117"/>
        <v>0</v>
      </c>
      <c r="PI38" s="210">
        <f t="shared" si="117"/>
        <v>0</v>
      </c>
      <c r="PJ38" s="210">
        <f t="shared" si="117"/>
        <v>0</v>
      </c>
      <c r="PK38" s="210">
        <f t="shared" si="117"/>
        <v>0</v>
      </c>
      <c r="PL38" s="210">
        <f t="shared" si="117"/>
        <v>0</v>
      </c>
      <c r="PO38" s="172">
        <f t="shared" si="177"/>
        <v>0</v>
      </c>
      <c r="PP38" s="172">
        <f t="shared" si="178"/>
        <v>0</v>
      </c>
      <c r="PQ38" s="172">
        <f t="shared" si="179"/>
        <v>0</v>
      </c>
    </row>
    <row r="39" spans="1:433" ht="16" x14ac:dyDescent="0.2">
      <c r="A39" s="19">
        <f t="shared" si="180"/>
        <v>31</v>
      </c>
      <c r="B39" s="186" t="s">
        <v>190</v>
      </c>
      <c r="C39" s="186">
        <v>32</v>
      </c>
      <c r="D39" s="188">
        <v>1</v>
      </c>
      <c r="E39" s="188">
        <v>100</v>
      </c>
      <c r="F39" s="188">
        <v>1</v>
      </c>
      <c r="G39" s="188">
        <f t="shared" si="2"/>
        <v>100</v>
      </c>
      <c r="H39" s="214">
        <f t="shared" si="3"/>
        <v>1</v>
      </c>
      <c r="I39" s="214">
        <f t="shared" si="4"/>
        <v>1</v>
      </c>
      <c r="J39" s="188">
        <v>1</v>
      </c>
      <c r="K39" s="188">
        <f t="shared" si="5"/>
        <v>100</v>
      </c>
      <c r="L39" s="214">
        <f t="shared" si="6"/>
        <v>1</v>
      </c>
      <c r="M39" s="214">
        <f t="shared" si="7"/>
        <v>1</v>
      </c>
      <c r="N39" s="188">
        <v>1</v>
      </c>
      <c r="O39" s="188">
        <f t="shared" si="8"/>
        <v>100</v>
      </c>
      <c r="P39" s="214">
        <f t="shared" si="9"/>
        <v>1</v>
      </c>
      <c r="Q39" s="214">
        <f t="shared" si="10"/>
        <v>1</v>
      </c>
      <c r="R39" s="188">
        <v>1</v>
      </c>
      <c r="S39" s="188">
        <f t="shared" si="11"/>
        <v>100</v>
      </c>
      <c r="T39" s="214">
        <f t="shared" si="12"/>
        <v>1</v>
      </c>
      <c r="U39" s="214">
        <f t="shared" si="13"/>
        <v>1</v>
      </c>
      <c r="V39" s="188">
        <v>1</v>
      </c>
      <c r="W39" s="188">
        <f t="shared" si="14"/>
        <v>100</v>
      </c>
      <c r="X39" s="214">
        <f t="shared" si="15"/>
        <v>1</v>
      </c>
      <c r="Y39" s="214">
        <f t="shared" si="16"/>
        <v>1</v>
      </c>
      <c r="Z39" s="216">
        <f>1076178000/1000000000</f>
        <v>1.0761780000000001</v>
      </c>
      <c r="AA39" s="188">
        <v>0</v>
      </c>
      <c r="AB39" s="189">
        <f t="shared" si="118"/>
        <v>0</v>
      </c>
      <c r="AC39" s="250">
        <f t="shared" si="119"/>
        <v>0</v>
      </c>
      <c r="AD39" s="250">
        <f t="shared" si="120"/>
        <v>0</v>
      </c>
      <c r="AE39" s="188"/>
      <c r="AF39" s="188">
        <f t="shared" si="121"/>
        <v>0</v>
      </c>
      <c r="AG39" s="188"/>
      <c r="AH39" s="188" t="s">
        <v>313</v>
      </c>
      <c r="AI39" s="188">
        <v>0</v>
      </c>
      <c r="AJ39" s="188">
        <f t="shared" si="181"/>
        <v>0</v>
      </c>
      <c r="AK39" s="188"/>
      <c r="AL39" s="188">
        <v>0</v>
      </c>
      <c r="AM39" s="188">
        <v>0</v>
      </c>
      <c r="AN39" s="217"/>
      <c r="AO39" s="195"/>
      <c r="AP39" s="195"/>
      <c r="AQ39" s="195"/>
      <c r="AR39" s="195"/>
      <c r="AS39" s="195"/>
      <c r="AT39" s="195"/>
      <c r="BB39" s="17">
        <f t="shared" si="123"/>
        <v>0</v>
      </c>
      <c r="BE39" s="17">
        <f t="shared" si="19"/>
        <v>0</v>
      </c>
      <c r="BF39" s="17">
        <f t="shared" si="20"/>
        <v>0</v>
      </c>
      <c r="BG39" s="17">
        <f t="shared" si="21"/>
        <v>0</v>
      </c>
      <c r="BH39" s="17">
        <f t="shared" si="22"/>
        <v>0</v>
      </c>
      <c r="BI39" s="17">
        <f t="shared" si="23"/>
        <v>0</v>
      </c>
      <c r="BJ39" s="17">
        <f t="shared" si="24"/>
        <v>0</v>
      </c>
      <c r="BK39" s="17">
        <f t="shared" si="124"/>
        <v>0</v>
      </c>
      <c r="BM39" s="128"/>
      <c r="BN39" s="289">
        <v>42</v>
      </c>
      <c r="BO39">
        <v>1</v>
      </c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B39" s="20"/>
      <c r="CD39" s="17">
        <f t="shared" si="125"/>
        <v>42</v>
      </c>
      <c r="CE39" s="17">
        <f t="shared" si="126"/>
        <v>42</v>
      </c>
      <c r="CF39" s="20">
        <f t="shared" si="182"/>
        <v>0</v>
      </c>
      <c r="CG39" s="20">
        <f t="shared" si="183"/>
        <v>0</v>
      </c>
      <c r="CH39" s="20">
        <f t="shared" si="184"/>
        <v>0</v>
      </c>
      <c r="CI39" s="20">
        <f t="shared" si="185"/>
        <v>0</v>
      </c>
      <c r="CJ39" s="20">
        <f t="shared" si="186"/>
        <v>0</v>
      </c>
      <c r="CK39" s="20">
        <f t="shared" si="187"/>
        <v>0</v>
      </c>
      <c r="CL39" s="20">
        <f t="shared" si="188"/>
        <v>0</v>
      </c>
      <c r="CM39" s="20">
        <f t="shared" si="189"/>
        <v>0</v>
      </c>
      <c r="CN39" s="20">
        <f t="shared" si="190"/>
        <v>0</v>
      </c>
      <c r="CO39" s="20">
        <f t="shared" si="191"/>
        <v>0</v>
      </c>
      <c r="CP39" s="20">
        <f t="shared" si="192"/>
        <v>0</v>
      </c>
      <c r="DV39" s="20">
        <f t="shared" si="27"/>
        <v>0</v>
      </c>
      <c r="DW39" s="20">
        <f t="shared" si="28"/>
        <v>0</v>
      </c>
      <c r="DX39" s="20">
        <f t="shared" si="29"/>
        <v>0</v>
      </c>
      <c r="DY39" s="20">
        <f t="shared" si="30"/>
        <v>0</v>
      </c>
      <c r="DZ39" s="20">
        <f t="shared" si="31"/>
        <v>0</v>
      </c>
      <c r="EA39" s="20">
        <f t="shared" si="32"/>
        <v>0</v>
      </c>
      <c r="EB39" s="20">
        <f t="shared" si="127"/>
        <v>0</v>
      </c>
      <c r="EG39" s="57">
        <f t="shared" si="128"/>
        <v>0</v>
      </c>
      <c r="EH39" s="57">
        <f t="shared" si="129"/>
        <v>0</v>
      </c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X39" s="169">
        <v>1</v>
      </c>
      <c r="FY39" s="17">
        <f t="shared" si="130"/>
        <v>42</v>
      </c>
      <c r="FZ39" s="17">
        <f t="shared" si="34"/>
        <v>42</v>
      </c>
      <c r="GA39" s="17">
        <f t="shared" si="35"/>
        <v>0</v>
      </c>
      <c r="GB39" s="17">
        <f t="shared" si="36"/>
        <v>0</v>
      </c>
      <c r="GC39" s="17">
        <f t="shared" si="37"/>
        <v>0</v>
      </c>
      <c r="GD39" s="17">
        <f t="shared" si="38"/>
        <v>0</v>
      </c>
      <c r="GE39" s="17">
        <f t="shared" si="39"/>
        <v>0</v>
      </c>
      <c r="GF39" s="67"/>
      <c r="GG39" s="17">
        <v>0</v>
      </c>
      <c r="GH39" s="17">
        <v>0</v>
      </c>
      <c r="GI39" s="67"/>
      <c r="GJ39" s="62">
        <f t="shared" si="131"/>
        <v>0</v>
      </c>
      <c r="GK39" s="62">
        <f t="shared" si="132"/>
        <v>0</v>
      </c>
      <c r="GO39" s="17">
        <f t="shared" si="40"/>
        <v>0</v>
      </c>
      <c r="GP39" s="17">
        <f t="shared" si="41"/>
        <v>0</v>
      </c>
      <c r="GQ39" s="17">
        <f t="shared" si="42"/>
        <v>0</v>
      </c>
      <c r="GR39" s="17">
        <f t="shared" si="43"/>
        <v>0</v>
      </c>
      <c r="GS39" s="17">
        <f t="shared" si="44"/>
        <v>0</v>
      </c>
      <c r="GT39" s="17">
        <f t="shared" si="133"/>
        <v>1</v>
      </c>
      <c r="GU39" s="101">
        <f t="shared" si="134"/>
        <v>43243</v>
      </c>
      <c r="GV39" s="17" t="str">
        <f t="shared" si="135"/>
        <v>SELESAI</v>
      </c>
      <c r="GW39" s="17">
        <f t="shared" si="136"/>
        <v>0</v>
      </c>
      <c r="GX39" s="66" t="str">
        <f t="shared" si="137"/>
        <v>SELESAI</v>
      </c>
      <c r="GY39" s="66">
        <f t="shared" si="138"/>
        <v>0</v>
      </c>
      <c r="GZ39" s="102" t="str">
        <f t="shared" si="139"/>
        <v>SELESAI</v>
      </c>
      <c r="HA39" s="83"/>
      <c r="HB39" s="83"/>
      <c r="HC39" s="17">
        <f t="shared" si="45"/>
        <v>0</v>
      </c>
      <c r="HD39" s="17">
        <f t="shared" si="46"/>
        <v>0</v>
      </c>
      <c r="HE39" s="17">
        <f t="shared" si="140"/>
        <v>0</v>
      </c>
      <c r="HF39" s="17">
        <f t="shared" si="141"/>
        <v>0</v>
      </c>
      <c r="HG39" s="17">
        <f t="shared" si="142"/>
        <v>0</v>
      </c>
      <c r="HH39" s="101" t="str">
        <f t="shared" si="47"/>
        <v>TIDAK KONSINYASI</v>
      </c>
      <c r="HI39" s="101" t="str">
        <f t="shared" si="143"/>
        <v>SELESAI</v>
      </c>
      <c r="HJ39" s="27"/>
      <c r="HK39" s="101">
        <f t="shared" si="48"/>
        <v>0</v>
      </c>
      <c r="HL39" s="83"/>
      <c r="HM39" s="83"/>
      <c r="HN39" s="83"/>
      <c r="HO39" s="83"/>
      <c r="HP39" s="102">
        <f t="shared" si="144"/>
        <v>0</v>
      </c>
      <c r="HQ39" s="66">
        <f t="shared" si="145"/>
        <v>0</v>
      </c>
      <c r="HR39" s="66">
        <f t="shared" si="49"/>
        <v>0</v>
      </c>
      <c r="HS39" s="102">
        <f t="shared" si="146"/>
        <v>0</v>
      </c>
      <c r="HT39" s="66">
        <f t="shared" si="147"/>
        <v>0</v>
      </c>
      <c r="HU39" s="66">
        <f t="shared" si="50"/>
        <v>0</v>
      </c>
      <c r="HV39" s="102">
        <f t="shared" si="148"/>
        <v>0</v>
      </c>
      <c r="HW39" s="66">
        <f t="shared" si="51"/>
        <v>0</v>
      </c>
      <c r="HX39" s="66">
        <f t="shared" si="52"/>
        <v>0</v>
      </c>
      <c r="HY39" s="102">
        <f t="shared" si="53"/>
        <v>0</v>
      </c>
      <c r="HZ39" s="66">
        <f t="shared" si="149"/>
        <v>0</v>
      </c>
      <c r="IA39" s="66">
        <f t="shared" si="54"/>
        <v>0</v>
      </c>
      <c r="IB39" s="102">
        <f t="shared" si="150"/>
        <v>0</v>
      </c>
      <c r="IC39" s="66">
        <f t="shared" si="55"/>
        <v>0</v>
      </c>
      <c r="ID39" s="66">
        <f t="shared" si="56"/>
        <v>0</v>
      </c>
      <c r="IE39" s="102">
        <f t="shared" si="57"/>
        <v>0</v>
      </c>
      <c r="IF39" s="66">
        <f t="shared" si="58"/>
        <v>0</v>
      </c>
      <c r="IG39" s="66">
        <f t="shared" si="59"/>
        <v>0</v>
      </c>
      <c r="IH39" s="102">
        <f t="shared" si="151"/>
        <v>0</v>
      </c>
      <c r="II39" s="66">
        <f t="shared" si="152"/>
        <v>0</v>
      </c>
      <c r="IJ39" s="66">
        <f t="shared" si="60"/>
        <v>0</v>
      </c>
      <c r="IK39" s="102">
        <f t="shared" si="61"/>
        <v>0</v>
      </c>
      <c r="IL39" s="66">
        <f t="shared" si="62"/>
        <v>0</v>
      </c>
      <c r="IM39" s="66">
        <f t="shared" si="63"/>
        <v>0</v>
      </c>
      <c r="IN39" s="83"/>
      <c r="IO39" s="102">
        <f t="shared" si="64"/>
        <v>0</v>
      </c>
      <c r="IP39" s="66">
        <f t="shared" si="65"/>
        <v>0</v>
      </c>
      <c r="IQ39" s="66">
        <f t="shared" si="66"/>
        <v>0</v>
      </c>
      <c r="IR39" s="83"/>
      <c r="IS39" s="102"/>
      <c r="IT39" s="66">
        <f t="shared" si="67"/>
        <v>1</v>
      </c>
      <c r="IU39" s="66">
        <f t="shared" si="68"/>
        <v>100</v>
      </c>
      <c r="IV39" s="83"/>
      <c r="IW39" s="102"/>
      <c r="IX39" s="66">
        <f t="shared" si="69"/>
        <v>0</v>
      </c>
      <c r="IY39" s="66">
        <f t="shared" si="70"/>
        <v>0</v>
      </c>
      <c r="IZ39" s="83"/>
      <c r="JA39" s="102"/>
      <c r="JB39" s="66">
        <f t="shared" si="71"/>
        <v>0</v>
      </c>
      <c r="JC39" s="66">
        <f t="shared" si="72"/>
        <v>0</v>
      </c>
      <c r="JD39" s="83"/>
      <c r="JE39" s="102"/>
      <c r="JF39" s="66">
        <f t="shared" si="153"/>
        <v>1</v>
      </c>
      <c r="JG39" s="66">
        <f t="shared" si="73"/>
        <v>100</v>
      </c>
      <c r="JH39" s="83"/>
      <c r="JI39" s="102"/>
      <c r="JJ39" s="66">
        <f t="shared" si="74"/>
        <v>0</v>
      </c>
      <c r="JK39" s="66">
        <f t="shared" si="75"/>
        <v>0</v>
      </c>
      <c r="JM39" s="102">
        <f t="shared" si="154"/>
        <v>0</v>
      </c>
      <c r="JO39" s="29">
        <f t="shared" si="76"/>
        <v>1</v>
      </c>
      <c r="JP39" s="122">
        <f t="shared" si="77"/>
        <v>42</v>
      </c>
      <c r="JQ39" s="122">
        <f t="shared" si="78"/>
        <v>1</v>
      </c>
      <c r="JR39" s="122">
        <f t="shared" si="79"/>
        <v>0</v>
      </c>
      <c r="JS39" s="122">
        <f t="shared" si="80"/>
        <v>0</v>
      </c>
      <c r="JT39" s="122">
        <f t="shared" si="81"/>
        <v>0</v>
      </c>
      <c r="JU39" s="122">
        <f t="shared" si="82"/>
        <v>0</v>
      </c>
      <c r="JV39" s="122">
        <f t="shared" si="83"/>
        <v>0</v>
      </c>
      <c r="JW39" s="122">
        <f t="shared" si="84"/>
        <v>0</v>
      </c>
      <c r="JX39" s="122">
        <f t="shared" si="85"/>
        <v>0</v>
      </c>
      <c r="JY39" s="122">
        <f t="shared" si="86"/>
        <v>0</v>
      </c>
      <c r="JZ39" s="122">
        <f t="shared" si="87"/>
        <v>0</v>
      </c>
      <c r="KA39" s="122">
        <f t="shared" si="88"/>
        <v>0</v>
      </c>
      <c r="KB39" s="122">
        <f t="shared" si="89"/>
        <v>0</v>
      </c>
      <c r="KD39" s="122">
        <f t="shared" si="155"/>
        <v>0</v>
      </c>
      <c r="KE39" s="122">
        <f t="shared" si="91"/>
        <v>0</v>
      </c>
      <c r="KF39" s="122">
        <f t="shared" si="92"/>
        <v>42</v>
      </c>
      <c r="KG39" s="122">
        <f t="shared" si="93"/>
        <v>42</v>
      </c>
      <c r="KH39" s="122">
        <f t="shared" si="94"/>
        <v>0</v>
      </c>
      <c r="KI39" s="122">
        <f t="shared" si="95"/>
        <v>0</v>
      </c>
      <c r="KJ39" s="122">
        <f t="shared" si="96"/>
        <v>0</v>
      </c>
      <c r="KK39" s="122">
        <f t="shared" si="97"/>
        <v>0</v>
      </c>
      <c r="KL39" s="122">
        <f t="shared" si="98"/>
        <v>0</v>
      </c>
      <c r="KM39" s="122">
        <f t="shared" si="99"/>
        <v>0</v>
      </c>
      <c r="KN39" s="123">
        <f t="shared" si="100"/>
        <v>0</v>
      </c>
      <c r="KO39" s="123">
        <f t="shared" si="101"/>
        <v>0</v>
      </c>
      <c r="KP39" s="123">
        <f t="shared" si="102"/>
        <v>0</v>
      </c>
      <c r="KQ39" s="123">
        <f t="shared" si="103"/>
        <v>0</v>
      </c>
      <c r="KR39" s="123">
        <f t="shared" si="104"/>
        <v>0</v>
      </c>
      <c r="KT39">
        <f t="shared" si="105"/>
        <v>0</v>
      </c>
      <c r="KU39" s="123"/>
      <c r="KV39" s="123"/>
      <c r="KW39" s="123"/>
      <c r="KX39" s="123"/>
      <c r="KY39" s="123"/>
      <c r="KZ39" s="123"/>
      <c r="LA39" s="123"/>
      <c r="LB39" s="123"/>
      <c r="LC39" s="123"/>
      <c r="LD39" s="123"/>
      <c r="LE39" s="123"/>
      <c r="LF39" s="123"/>
      <c r="LG39" s="123"/>
      <c r="LH39" s="123"/>
      <c r="LI39" s="123"/>
      <c r="LJ39" s="123"/>
      <c r="LK39" s="123"/>
      <c r="LL39" s="123"/>
      <c r="LM39" s="123"/>
      <c r="LN39" s="123"/>
      <c r="LO39" s="123"/>
      <c r="LP39" s="123"/>
      <c r="LQ39" s="123"/>
      <c r="LR39" s="123"/>
      <c r="LS39" s="123"/>
      <c r="LT39" s="123"/>
      <c r="LU39" s="123"/>
      <c r="LV39" s="123"/>
      <c r="LW39" s="123"/>
      <c r="LX39" s="123"/>
      <c r="LY39" s="123"/>
      <c r="LZ39" s="123"/>
      <c r="MA39" s="123"/>
      <c r="MB39" s="123"/>
      <c r="MC39" s="123"/>
      <c r="MD39" s="123"/>
      <c r="ME39" s="123"/>
      <c r="MF39" s="123"/>
      <c r="MG39" s="123"/>
      <c r="MH39" s="123"/>
      <c r="MI39" s="123"/>
      <c r="MJ39" s="123"/>
      <c r="MK39" s="123"/>
      <c r="ML39" s="123"/>
      <c r="MM39" s="123"/>
      <c r="MN39" s="123"/>
      <c r="MO39" s="123"/>
      <c r="MP39" s="123"/>
      <c r="MQ39" s="123"/>
      <c r="MR39" s="123"/>
      <c r="MS39" s="123"/>
      <c r="MT39" s="123"/>
      <c r="MU39" s="123"/>
      <c r="MV39" s="123"/>
      <c r="MW39" s="123"/>
      <c r="MX39" s="123"/>
      <c r="MY39" s="123"/>
      <c r="MZ39" s="123"/>
      <c r="NA39" s="123"/>
      <c r="NB39" s="123"/>
      <c r="NC39" s="123"/>
      <c r="ND39" s="123"/>
      <c r="NE39" s="123"/>
      <c r="NF39" s="123"/>
      <c r="NG39" s="123"/>
      <c r="NH39" s="123"/>
      <c r="NI39" s="123"/>
      <c r="NJ39" s="123"/>
      <c r="NK39" s="123"/>
      <c r="NM39">
        <f t="shared" si="156"/>
        <v>0</v>
      </c>
      <c r="NN39">
        <f t="shared" si="157"/>
        <v>0</v>
      </c>
      <c r="NO39">
        <f t="shared" si="158"/>
        <v>0</v>
      </c>
      <c r="NP39">
        <f t="shared" si="159"/>
        <v>0</v>
      </c>
      <c r="NQ39">
        <f t="shared" si="160"/>
        <v>0</v>
      </c>
      <c r="NR39">
        <f t="shared" si="161"/>
        <v>0</v>
      </c>
      <c r="NS39">
        <f t="shared" si="162"/>
        <v>0</v>
      </c>
      <c r="NT39">
        <f t="shared" si="163"/>
        <v>0</v>
      </c>
      <c r="NU39" s="29">
        <f t="shared" si="164"/>
        <v>0</v>
      </c>
      <c r="NY39" s="29">
        <f t="shared" si="107"/>
        <v>1</v>
      </c>
      <c r="NZ39" s="152">
        <v>7275000</v>
      </c>
      <c r="OE39" s="155">
        <f t="shared" si="108"/>
        <v>0</v>
      </c>
      <c r="OF39" s="155">
        <f t="shared" si="109"/>
        <v>0</v>
      </c>
      <c r="OG39" s="155">
        <f t="shared" si="110"/>
        <v>0</v>
      </c>
      <c r="OH39" s="155">
        <f t="shared" si="165"/>
        <v>0</v>
      </c>
      <c r="OI39" s="155">
        <f t="shared" si="111"/>
        <v>0</v>
      </c>
      <c r="OJ39" s="67">
        <f t="shared" si="166"/>
        <v>0</v>
      </c>
      <c r="OK39" s="67">
        <f t="shared" si="167"/>
        <v>0</v>
      </c>
      <c r="OL39" s="67">
        <f t="shared" si="168"/>
        <v>0</v>
      </c>
      <c r="OM39" s="67">
        <f t="shared" si="169"/>
        <v>0</v>
      </c>
      <c r="OO39" s="155">
        <f t="shared" si="112"/>
        <v>0</v>
      </c>
      <c r="OP39" s="155">
        <f t="shared" si="113"/>
        <v>0</v>
      </c>
      <c r="OQ39" s="155">
        <f t="shared" si="170"/>
        <v>0</v>
      </c>
      <c r="OR39" s="155">
        <f t="shared" si="171"/>
        <v>0</v>
      </c>
      <c r="OS39" s="155">
        <f t="shared" si="172"/>
        <v>0</v>
      </c>
      <c r="OT39" s="67">
        <f t="shared" si="173"/>
        <v>0</v>
      </c>
      <c r="OU39" s="67">
        <f t="shared" si="174"/>
        <v>0</v>
      </c>
      <c r="OV39" s="67">
        <f t="shared" si="175"/>
        <v>0</v>
      </c>
      <c r="OW39" s="67">
        <f t="shared" si="176"/>
        <v>0</v>
      </c>
      <c r="OZ39" s="163">
        <f t="shared" si="114"/>
        <v>0</v>
      </c>
      <c r="PA39" s="166"/>
      <c r="PB39" s="166"/>
      <c r="PC39" s="166"/>
      <c r="PD39" s="210">
        <f t="shared" si="115"/>
        <v>0</v>
      </c>
      <c r="PE39" s="210"/>
      <c r="PF39" s="210">
        <f t="shared" si="116"/>
        <v>0</v>
      </c>
      <c r="PG39" s="210">
        <f t="shared" si="117"/>
        <v>0</v>
      </c>
      <c r="PH39" s="210">
        <f t="shared" si="117"/>
        <v>0</v>
      </c>
      <c r="PI39" s="210">
        <f t="shared" si="117"/>
        <v>0</v>
      </c>
      <c r="PJ39" s="210">
        <f t="shared" si="117"/>
        <v>0</v>
      </c>
      <c r="PK39" s="210">
        <f t="shared" si="117"/>
        <v>0</v>
      </c>
      <c r="PL39" s="210">
        <f t="shared" si="117"/>
        <v>0</v>
      </c>
      <c r="PO39" s="172">
        <f t="shared" si="177"/>
        <v>0</v>
      </c>
      <c r="PP39" s="172">
        <f t="shared" si="178"/>
        <v>0</v>
      </c>
      <c r="PQ39" s="172">
        <f t="shared" si="179"/>
        <v>0</v>
      </c>
    </row>
    <row r="40" spans="1:433" ht="16" x14ac:dyDescent="0.2">
      <c r="A40" s="19">
        <f t="shared" si="180"/>
        <v>32</v>
      </c>
      <c r="B40" s="186" t="s">
        <v>191</v>
      </c>
      <c r="C40" s="186">
        <v>33</v>
      </c>
      <c r="D40" s="188">
        <v>1</v>
      </c>
      <c r="E40" s="188">
        <v>76</v>
      </c>
      <c r="F40" s="188">
        <v>1</v>
      </c>
      <c r="G40" s="188">
        <f t="shared" si="2"/>
        <v>76</v>
      </c>
      <c r="H40" s="214">
        <f t="shared" si="3"/>
        <v>1</v>
      </c>
      <c r="I40" s="214">
        <f t="shared" si="4"/>
        <v>1</v>
      </c>
      <c r="J40" s="188">
        <v>1</v>
      </c>
      <c r="K40" s="188">
        <f t="shared" si="5"/>
        <v>76</v>
      </c>
      <c r="L40" s="214">
        <f t="shared" si="6"/>
        <v>1</v>
      </c>
      <c r="M40" s="214">
        <f t="shared" si="7"/>
        <v>1</v>
      </c>
      <c r="N40" s="188">
        <v>1</v>
      </c>
      <c r="O40" s="188">
        <f t="shared" si="8"/>
        <v>76</v>
      </c>
      <c r="P40" s="214">
        <f t="shared" si="9"/>
        <v>1</v>
      </c>
      <c r="Q40" s="214">
        <f t="shared" si="10"/>
        <v>1</v>
      </c>
      <c r="R40" s="188">
        <v>1</v>
      </c>
      <c r="S40" s="188">
        <f t="shared" si="11"/>
        <v>76</v>
      </c>
      <c r="T40" s="214">
        <f t="shared" si="12"/>
        <v>1</v>
      </c>
      <c r="U40" s="214">
        <f t="shared" si="13"/>
        <v>1</v>
      </c>
      <c r="V40" s="188">
        <v>1</v>
      </c>
      <c r="W40" s="188">
        <f t="shared" si="14"/>
        <v>76</v>
      </c>
      <c r="X40" s="214">
        <f t="shared" si="15"/>
        <v>1</v>
      </c>
      <c r="Y40" s="214">
        <f t="shared" si="16"/>
        <v>1</v>
      </c>
      <c r="Z40" s="216">
        <f>872341000/1000000000</f>
        <v>0.87234100000000003</v>
      </c>
      <c r="AA40" s="188">
        <v>0</v>
      </c>
      <c r="AB40" s="189">
        <f t="shared" si="118"/>
        <v>0</v>
      </c>
      <c r="AC40" s="250">
        <f t="shared" si="119"/>
        <v>0</v>
      </c>
      <c r="AD40" s="250">
        <f t="shared" si="120"/>
        <v>0</v>
      </c>
      <c r="AE40" s="188"/>
      <c r="AF40" s="188">
        <f t="shared" si="121"/>
        <v>0</v>
      </c>
      <c r="AG40" s="188"/>
      <c r="AH40" s="188" t="s">
        <v>313</v>
      </c>
      <c r="AI40" s="188">
        <v>0</v>
      </c>
      <c r="AJ40" s="188">
        <f t="shared" si="181"/>
        <v>0</v>
      </c>
      <c r="AK40" s="188"/>
      <c r="AL40" s="188">
        <v>0</v>
      </c>
      <c r="AM40" s="188">
        <v>0</v>
      </c>
      <c r="AN40" s="217"/>
      <c r="AO40" s="195"/>
      <c r="AP40" s="195"/>
      <c r="AQ40" s="195"/>
      <c r="AR40" s="195"/>
      <c r="AS40" s="195"/>
      <c r="AT40" s="195"/>
      <c r="BB40" s="17">
        <f t="shared" si="123"/>
        <v>0</v>
      </c>
      <c r="BE40" s="17">
        <f t="shared" si="19"/>
        <v>0</v>
      </c>
      <c r="BF40" s="17">
        <f t="shared" si="20"/>
        <v>0</v>
      </c>
      <c r="BG40" s="17">
        <f t="shared" si="21"/>
        <v>0</v>
      </c>
      <c r="BH40" s="17">
        <f t="shared" si="22"/>
        <v>0</v>
      </c>
      <c r="BI40" s="17">
        <f t="shared" si="23"/>
        <v>0</v>
      </c>
      <c r="BJ40" s="17">
        <f t="shared" si="24"/>
        <v>0</v>
      </c>
      <c r="BK40" s="17">
        <f t="shared" si="124"/>
        <v>0</v>
      </c>
      <c r="BM40" s="128"/>
      <c r="BN40" s="147"/>
      <c r="BO40" s="288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B40" s="20"/>
      <c r="CD40" s="17">
        <f t="shared" si="125"/>
        <v>0</v>
      </c>
      <c r="CE40" s="17">
        <f t="shared" si="126"/>
        <v>0</v>
      </c>
      <c r="CF40" s="20">
        <f t="shared" si="182"/>
        <v>0</v>
      </c>
      <c r="CG40" s="20">
        <f t="shared" si="183"/>
        <v>0</v>
      </c>
      <c r="CH40" s="20">
        <f t="shared" si="184"/>
        <v>0</v>
      </c>
      <c r="CI40" s="20">
        <f t="shared" si="185"/>
        <v>0</v>
      </c>
      <c r="CJ40" s="20">
        <f t="shared" si="186"/>
        <v>0</v>
      </c>
      <c r="CK40" s="20">
        <f t="shared" si="187"/>
        <v>0</v>
      </c>
      <c r="CL40" s="20">
        <f t="shared" si="188"/>
        <v>0</v>
      </c>
      <c r="CM40" s="20">
        <f t="shared" si="189"/>
        <v>0</v>
      </c>
      <c r="CN40" s="20">
        <f t="shared" si="190"/>
        <v>0</v>
      </c>
      <c r="CO40" s="20">
        <f t="shared" si="191"/>
        <v>0</v>
      </c>
      <c r="CP40" s="20">
        <f t="shared" si="192"/>
        <v>0</v>
      </c>
      <c r="DV40" s="20">
        <f t="shared" si="27"/>
        <v>0</v>
      </c>
      <c r="DW40" s="20">
        <f t="shared" si="28"/>
        <v>0</v>
      </c>
      <c r="DX40" s="20">
        <f t="shared" si="29"/>
        <v>0</v>
      </c>
      <c r="DY40" s="20">
        <f t="shared" si="30"/>
        <v>0</v>
      </c>
      <c r="DZ40" s="20">
        <f t="shared" si="31"/>
        <v>0</v>
      </c>
      <c r="EA40" s="20">
        <f t="shared" si="32"/>
        <v>0</v>
      </c>
      <c r="EB40" s="20">
        <f t="shared" si="127"/>
        <v>0</v>
      </c>
      <c r="EG40" s="57">
        <f t="shared" si="128"/>
        <v>0</v>
      </c>
      <c r="EH40" s="57">
        <f t="shared" si="129"/>
        <v>0</v>
      </c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X40" s="169"/>
      <c r="FY40" s="17">
        <f t="shared" si="130"/>
        <v>0</v>
      </c>
      <c r="FZ40" s="17">
        <f t="shared" si="34"/>
        <v>0</v>
      </c>
      <c r="GA40" s="17">
        <f t="shared" si="35"/>
        <v>0</v>
      </c>
      <c r="GB40" s="17">
        <f t="shared" si="36"/>
        <v>0</v>
      </c>
      <c r="GC40" s="17">
        <f t="shared" si="37"/>
        <v>0</v>
      </c>
      <c r="GD40" s="17">
        <f t="shared" si="38"/>
        <v>0</v>
      </c>
      <c r="GE40" s="17">
        <f t="shared" si="39"/>
        <v>0</v>
      </c>
      <c r="GF40" s="67"/>
      <c r="GG40" s="17">
        <v>0</v>
      </c>
      <c r="GH40" s="17">
        <v>0</v>
      </c>
      <c r="GI40" s="67"/>
      <c r="GJ40" s="62">
        <f t="shared" si="131"/>
        <v>0</v>
      </c>
      <c r="GK40" s="62">
        <f t="shared" si="132"/>
        <v>0</v>
      </c>
      <c r="GO40" s="17">
        <f t="shared" si="40"/>
        <v>0</v>
      </c>
      <c r="GP40" s="17">
        <f t="shared" si="41"/>
        <v>0</v>
      </c>
      <c r="GQ40" s="17">
        <f t="shared" si="42"/>
        <v>0</v>
      </c>
      <c r="GR40" s="17">
        <f t="shared" si="43"/>
        <v>0</v>
      </c>
      <c r="GS40" s="17">
        <f t="shared" si="44"/>
        <v>0</v>
      </c>
      <c r="GT40" s="17">
        <f t="shared" si="133"/>
        <v>1</v>
      </c>
      <c r="GU40" s="101">
        <f t="shared" si="134"/>
        <v>43243</v>
      </c>
      <c r="GV40" s="17" t="str">
        <f t="shared" si="135"/>
        <v>SELESAI</v>
      </c>
      <c r="GW40" s="17">
        <f t="shared" si="136"/>
        <v>0</v>
      </c>
      <c r="GX40" s="66" t="str">
        <f t="shared" si="137"/>
        <v>SELESAI</v>
      </c>
      <c r="GY40" s="66">
        <f t="shared" si="138"/>
        <v>0</v>
      </c>
      <c r="GZ40" s="102" t="str">
        <f t="shared" si="139"/>
        <v>SELESAI</v>
      </c>
      <c r="HA40" s="83"/>
      <c r="HB40" s="83"/>
      <c r="HC40" s="17">
        <f t="shared" si="45"/>
        <v>0</v>
      </c>
      <c r="HD40" s="17">
        <f t="shared" si="46"/>
        <v>0</v>
      </c>
      <c r="HE40" s="17">
        <f t="shared" si="140"/>
        <v>0</v>
      </c>
      <c r="HF40" s="17">
        <f t="shared" si="141"/>
        <v>0</v>
      </c>
      <c r="HG40" s="17">
        <f t="shared" si="142"/>
        <v>0</v>
      </c>
      <c r="HH40" s="101" t="str">
        <f t="shared" si="47"/>
        <v>TIDAK KONSINYASI</v>
      </c>
      <c r="HI40" s="101" t="str">
        <f t="shared" si="143"/>
        <v>SELESAI</v>
      </c>
      <c r="HJ40" s="27"/>
      <c r="HK40" s="101">
        <f t="shared" si="48"/>
        <v>0</v>
      </c>
      <c r="HL40" s="83"/>
      <c r="HM40" s="83"/>
      <c r="HN40" s="83"/>
      <c r="HO40" s="83"/>
      <c r="HP40" s="102">
        <f t="shared" si="144"/>
        <v>0</v>
      </c>
      <c r="HQ40" s="66">
        <f t="shared" si="145"/>
        <v>0</v>
      </c>
      <c r="HR40" s="66">
        <f t="shared" si="49"/>
        <v>0</v>
      </c>
      <c r="HS40" s="102">
        <f t="shared" si="146"/>
        <v>0</v>
      </c>
      <c r="HT40" s="66">
        <f t="shared" si="147"/>
        <v>0</v>
      </c>
      <c r="HU40" s="66">
        <f t="shared" si="50"/>
        <v>0</v>
      </c>
      <c r="HV40" s="102">
        <f t="shared" si="148"/>
        <v>0</v>
      </c>
      <c r="HW40" s="66">
        <f t="shared" si="51"/>
        <v>0</v>
      </c>
      <c r="HX40" s="66">
        <f t="shared" si="52"/>
        <v>0</v>
      </c>
      <c r="HY40" s="102">
        <f t="shared" si="53"/>
        <v>0</v>
      </c>
      <c r="HZ40" s="66">
        <f t="shared" si="149"/>
        <v>0</v>
      </c>
      <c r="IA40" s="66">
        <f t="shared" si="54"/>
        <v>0</v>
      </c>
      <c r="IB40" s="102">
        <f t="shared" si="150"/>
        <v>0</v>
      </c>
      <c r="IC40" s="66">
        <f t="shared" si="55"/>
        <v>0</v>
      </c>
      <c r="ID40" s="66">
        <f t="shared" si="56"/>
        <v>0</v>
      </c>
      <c r="IE40" s="102">
        <f t="shared" si="57"/>
        <v>0</v>
      </c>
      <c r="IF40" s="66">
        <f t="shared" si="58"/>
        <v>0</v>
      </c>
      <c r="IG40" s="66">
        <f t="shared" si="59"/>
        <v>0</v>
      </c>
      <c r="IH40" s="102">
        <f t="shared" si="151"/>
        <v>0</v>
      </c>
      <c r="II40" s="66">
        <f t="shared" si="152"/>
        <v>0</v>
      </c>
      <c r="IJ40" s="66">
        <f t="shared" si="60"/>
        <v>0</v>
      </c>
      <c r="IK40" s="102">
        <f t="shared" si="61"/>
        <v>0</v>
      </c>
      <c r="IL40" s="66">
        <f t="shared" si="62"/>
        <v>0</v>
      </c>
      <c r="IM40" s="66">
        <f t="shared" si="63"/>
        <v>0</v>
      </c>
      <c r="IN40" s="83"/>
      <c r="IO40" s="102">
        <f t="shared" si="64"/>
        <v>0</v>
      </c>
      <c r="IP40" s="66">
        <f t="shared" si="65"/>
        <v>0</v>
      </c>
      <c r="IQ40" s="66">
        <f t="shared" si="66"/>
        <v>0</v>
      </c>
      <c r="IR40" s="83"/>
      <c r="IS40" s="102"/>
      <c r="IT40" s="66">
        <f t="shared" si="67"/>
        <v>1</v>
      </c>
      <c r="IU40" s="66">
        <f t="shared" si="68"/>
        <v>76</v>
      </c>
      <c r="IV40" s="83"/>
      <c r="IW40" s="102"/>
      <c r="IX40" s="66">
        <f t="shared" si="69"/>
        <v>0</v>
      </c>
      <c r="IY40" s="66">
        <f t="shared" si="70"/>
        <v>0</v>
      </c>
      <c r="IZ40" s="83"/>
      <c r="JA40" s="102"/>
      <c r="JB40" s="66">
        <f t="shared" si="71"/>
        <v>0</v>
      </c>
      <c r="JC40" s="66">
        <f t="shared" si="72"/>
        <v>0</v>
      </c>
      <c r="JD40" s="83"/>
      <c r="JE40" s="102"/>
      <c r="JF40" s="66">
        <f t="shared" si="153"/>
        <v>1</v>
      </c>
      <c r="JG40" s="66">
        <f t="shared" si="73"/>
        <v>76</v>
      </c>
      <c r="JH40" s="83"/>
      <c r="JI40" s="102"/>
      <c r="JJ40" s="66">
        <f t="shared" si="74"/>
        <v>0</v>
      </c>
      <c r="JK40" s="66">
        <f t="shared" si="75"/>
        <v>0</v>
      </c>
      <c r="JM40" s="102">
        <f t="shared" si="154"/>
        <v>0</v>
      </c>
      <c r="JO40" s="29">
        <f t="shared" si="76"/>
        <v>0</v>
      </c>
      <c r="JP40" s="122">
        <f t="shared" si="77"/>
        <v>0</v>
      </c>
      <c r="JQ40" s="122">
        <f t="shared" si="78"/>
        <v>0</v>
      </c>
      <c r="JR40" s="122">
        <f t="shared" si="79"/>
        <v>0</v>
      </c>
      <c r="JS40" s="122">
        <f t="shared" si="80"/>
        <v>0</v>
      </c>
      <c r="JT40" s="122">
        <f t="shared" si="81"/>
        <v>0</v>
      </c>
      <c r="JU40" s="122">
        <f t="shared" si="82"/>
        <v>0</v>
      </c>
      <c r="JV40" s="122">
        <f t="shared" si="83"/>
        <v>0</v>
      </c>
      <c r="JW40" s="122">
        <f t="shared" si="84"/>
        <v>0</v>
      </c>
      <c r="JX40" s="122">
        <f t="shared" si="85"/>
        <v>0</v>
      </c>
      <c r="JY40" s="122">
        <f t="shared" si="86"/>
        <v>0</v>
      </c>
      <c r="JZ40" s="122">
        <f t="shared" si="87"/>
        <v>0</v>
      </c>
      <c r="KA40" s="122">
        <f t="shared" si="88"/>
        <v>0</v>
      </c>
      <c r="KB40" s="122">
        <f t="shared" si="89"/>
        <v>0</v>
      </c>
      <c r="KD40" s="122">
        <f t="shared" si="155"/>
        <v>0</v>
      </c>
      <c r="KE40" s="122">
        <f t="shared" si="91"/>
        <v>0</v>
      </c>
      <c r="KF40" s="122">
        <f t="shared" si="92"/>
        <v>0</v>
      </c>
      <c r="KG40" s="122">
        <f t="shared" si="93"/>
        <v>0</v>
      </c>
      <c r="KH40" s="122">
        <f t="shared" si="94"/>
        <v>0</v>
      </c>
      <c r="KI40" s="122">
        <f t="shared" si="95"/>
        <v>0</v>
      </c>
      <c r="KJ40" s="122">
        <f t="shared" si="96"/>
        <v>0</v>
      </c>
      <c r="KK40" s="122">
        <f t="shared" si="97"/>
        <v>0</v>
      </c>
      <c r="KL40" s="122">
        <f t="shared" si="98"/>
        <v>0</v>
      </c>
      <c r="KM40" s="122">
        <f t="shared" si="99"/>
        <v>0</v>
      </c>
      <c r="KN40" s="123">
        <f t="shared" si="100"/>
        <v>0</v>
      </c>
      <c r="KO40" s="123">
        <f t="shared" si="101"/>
        <v>0</v>
      </c>
      <c r="KP40" s="123">
        <f t="shared" si="102"/>
        <v>0</v>
      </c>
      <c r="KQ40" s="123">
        <f t="shared" si="103"/>
        <v>0</v>
      </c>
      <c r="KR40" s="123">
        <f t="shared" si="104"/>
        <v>0</v>
      </c>
      <c r="KT40">
        <f t="shared" si="105"/>
        <v>0</v>
      </c>
      <c r="KU40" s="123"/>
      <c r="KV40" s="123"/>
      <c r="KW40" s="123"/>
      <c r="KX40" s="123"/>
      <c r="KY40" s="123"/>
      <c r="KZ40" s="123"/>
      <c r="LA40" s="123"/>
      <c r="LB40" s="123"/>
      <c r="LC40" s="123"/>
      <c r="LD40" s="123"/>
      <c r="LE40" s="123"/>
      <c r="LF40" s="123"/>
      <c r="LG40" s="123"/>
      <c r="LH40" s="123"/>
      <c r="LI40" s="123"/>
      <c r="LJ40" s="123"/>
      <c r="LK40" s="123"/>
      <c r="LL40" s="123"/>
      <c r="LM40" s="123"/>
      <c r="LN40" s="123"/>
      <c r="LO40" s="123"/>
      <c r="LP40" s="123"/>
      <c r="LQ40" s="123"/>
      <c r="LR40" s="123"/>
      <c r="LS40" s="123"/>
      <c r="LT40" s="123"/>
      <c r="LU40" s="123"/>
      <c r="LV40" s="123"/>
      <c r="LW40" s="123"/>
      <c r="LX40" s="123"/>
      <c r="LY40" s="123"/>
      <c r="LZ40" s="123"/>
      <c r="MA40" s="123"/>
      <c r="MB40" s="123"/>
      <c r="MC40" s="123"/>
      <c r="MD40" s="123"/>
      <c r="ME40" s="123"/>
      <c r="MF40" s="123"/>
      <c r="MG40" s="123"/>
      <c r="MH40" s="123"/>
      <c r="MI40" s="123"/>
      <c r="MJ40" s="123"/>
      <c r="MK40" s="123"/>
      <c r="ML40" s="123"/>
      <c r="MM40" s="123"/>
      <c r="MN40" s="123"/>
      <c r="MO40" s="123"/>
      <c r="MP40" s="123"/>
      <c r="MQ40" s="123"/>
      <c r="MR40" s="123"/>
      <c r="MS40" s="123"/>
      <c r="MT40" s="123"/>
      <c r="MU40" s="123"/>
      <c r="MV40" s="123"/>
      <c r="MW40" s="123"/>
      <c r="MX40" s="123"/>
      <c r="MY40" s="123"/>
      <c r="MZ40" s="123"/>
      <c r="NA40" s="123"/>
      <c r="NB40" s="123"/>
      <c r="NC40" s="123"/>
      <c r="ND40" s="123"/>
      <c r="NE40" s="123"/>
      <c r="NF40" s="123"/>
      <c r="NG40" s="123"/>
      <c r="NH40" s="123"/>
      <c r="NI40" s="123"/>
      <c r="NJ40" s="123"/>
      <c r="NK40" s="123"/>
      <c r="NM40">
        <f t="shared" si="156"/>
        <v>0</v>
      </c>
      <c r="NN40">
        <f t="shared" si="157"/>
        <v>0</v>
      </c>
      <c r="NO40">
        <f t="shared" si="158"/>
        <v>0</v>
      </c>
      <c r="NP40">
        <f t="shared" si="159"/>
        <v>0</v>
      </c>
      <c r="NQ40">
        <f t="shared" si="160"/>
        <v>0</v>
      </c>
      <c r="NR40">
        <f t="shared" si="161"/>
        <v>0</v>
      </c>
      <c r="NS40">
        <f t="shared" si="162"/>
        <v>0</v>
      </c>
      <c r="NT40">
        <f t="shared" si="163"/>
        <v>0</v>
      </c>
      <c r="NU40" s="29">
        <f t="shared" si="164"/>
        <v>0</v>
      </c>
      <c r="NY40" s="29">
        <f t="shared" si="107"/>
        <v>1</v>
      </c>
      <c r="NZ40" s="152">
        <v>7350000</v>
      </c>
      <c r="OE40" s="155">
        <f t="shared" si="108"/>
        <v>0</v>
      </c>
      <c r="OF40" s="155">
        <f t="shared" si="109"/>
        <v>0</v>
      </c>
      <c r="OG40" s="155">
        <f t="shared" si="110"/>
        <v>0</v>
      </c>
      <c r="OH40" s="155">
        <f t="shared" si="165"/>
        <v>0</v>
      </c>
      <c r="OI40" s="155">
        <f t="shared" si="111"/>
        <v>0</v>
      </c>
      <c r="OJ40" s="67">
        <f t="shared" si="166"/>
        <v>0</v>
      </c>
      <c r="OK40" s="67">
        <f t="shared" si="167"/>
        <v>0</v>
      </c>
      <c r="OL40" s="67">
        <f t="shared" si="168"/>
        <v>0</v>
      </c>
      <c r="OM40" s="67">
        <f t="shared" si="169"/>
        <v>0</v>
      </c>
      <c r="OO40" s="155">
        <f t="shared" si="112"/>
        <v>0</v>
      </c>
      <c r="OP40" s="155">
        <f t="shared" si="113"/>
        <v>0</v>
      </c>
      <c r="OQ40" s="155">
        <f t="shared" si="170"/>
        <v>0</v>
      </c>
      <c r="OR40" s="155">
        <f t="shared" si="171"/>
        <v>0</v>
      </c>
      <c r="OS40" s="155">
        <f t="shared" si="172"/>
        <v>0</v>
      </c>
      <c r="OT40" s="67">
        <f t="shared" si="173"/>
        <v>0</v>
      </c>
      <c r="OU40" s="67">
        <f t="shared" si="174"/>
        <v>0</v>
      </c>
      <c r="OV40" s="67">
        <f t="shared" si="175"/>
        <v>0</v>
      </c>
      <c r="OW40" s="67">
        <f t="shared" si="176"/>
        <v>0</v>
      </c>
      <c r="OZ40" s="163">
        <f t="shared" si="114"/>
        <v>0</v>
      </c>
      <c r="PA40" s="166"/>
      <c r="PB40" s="166"/>
      <c r="PC40" s="166"/>
      <c r="PD40" s="210">
        <f t="shared" si="115"/>
        <v>0</v>
      </c>
      <c r="PE40" s="210"/>
      <c r="PF40" s="210">
        <f t="shared" si="116"/>
        <v>0</v>
      </c>
      <c r="PG40" s="210">
        <f t="shared" si="117"/>
        <v>0</v>
      </c>
      <c r="PH40" s="210">
        <f t="shared" si="117"/>
        <v>0</v>
      </c>
      <c r="PI40" s="210">
        <f t="shared" si="117"/>
        <v>0</v>
      </c>
      <c r="PJ40" s="210">
        <f t="shared" si="117"/>
        <v>0</v>
      </c>
      <c r="PK40" s="210">
        <f t="shared" si="117"/>
        <v>0</v>
      </c>
      <c r="PL40" s="210">
        <f t="shared" si="117"/>
        <v>0</v>
      </c>
      <c r="PO40" s="172">
        <f t="shared" si="177"/>
        <v>0</v>
      </c>
      <c r="PP40" s="172">
        <f t="shared" si="178"/>
        <v>0</v>
      </c>
      <c r="PQ40" s="172">
        <f t="shared" si="179"/>
        <v>0</v>
      </c>
    </row>
    <row r="41" spans="1:433" ht="16" x14ac:dyDescent="0.2">
      <c r="A41" s="19"/>
      <c r="B41" s="186"/>
      <c r="C41" s="186"/>
      <c r="D41" s="188"/>
      <c r="E41" s="188"/>
      <c r="F41" s="188"/>
      <c r="G41" s="188"/>
      <c r="H41" s="214"/>
      <c r="I41" s="214"/>
      <c r="J41" s="188"/>
      <c r="K41" s="188"/>
      <c r="L41" s="214"/>
      <c r="M41" s="214"/>
      <c r="N41" s="188"/>
      <c r="O41" s="188"/>
      <c r="P41" s="214"/>
      <c r="Q41" s="214"/>
      <c r="R41" s="188"/>
      <c r="S41" s="188"/>
      <c r="T41" s="214"/>
      <c r="U41" s="214"/>
      <c r="V41" s="188"/>
      <c r="W41" s="188"/>
      <c r="X41" s="214"/>
      <c r="Y41" s="214"/>
      <c r="Z41" s="215"/>
      <c r="AA41" s="188"/>
      <c r="AB41" s="189"/>
      <c r="AC41" s="250"/>
      <c r="AD41" s="250"/>
      <c r="AE41" s="188"/>
      <c r="AF41" s="188"/>
      <c r="AG41" s="189"/>
      <c r="AH41" s="188"/>
      <c r="AI41" s="188"/>
      <c r="AJ41" s="188"/>
      <c r="AK41" s="188"/>
      <c r="AL41" s="188"/>
      <c r="AM41" s="188"/>
      <c r="AN41" s="217"/>
      <c r="AO41" s="195"/>
      <c r="AP41" s="195"/>
      <c r="AQ41" s="195"/>
      <c r="AR41" s="195"/>
      <c r="AS41" s="195"/>
      <c r="AT41" s="195"/>
      <c r="BB41" s="17"/>
      <c r="BE41" s="17"/>
      <c r="BF41" s="17"/>
      <c r="BG41" s="17"/>
      <c r="BH41" s="17"/>
      <c r="BI41" s="17"/>
      <c r="BJ41" s="17"/>
      <c r="BK41" s="17"/>
      <c r="BM41" s="128"/>
      <c r="BN41" s="147"/>
      <c r="BO41" s="288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B41" s="20"/>
      <c r="CD41" s="17"/>
      <c r="CE41" s="17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DV41" s="20"/>
      <c r="DW41" s="20"/>
      <c r="DX41" s="20"/>
      <c r="DY41" s="20"/>
      <c r="DZ41" s="20"/>
      <c r="EA41" s="20"/>
      <c r="EB41" s="20"/>
      <c r="EG41" s="57"/>
      <c r="EH41" s="5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X41" s="169"/>
      <c r="FY41" s="17"/>
      <c r="FZ41" s="17"/>
      <c r="GA41" s="17"/>
      <c r="GB41" s="17"/>
      <c r="GC41" s="17"/>
      <c r="GD41" s="17"/>
      <c r="GE41" s="17"/>
      <c r="GF41" s="67"/>
      <c r="GG41" s="17"/>
      <c r="GH41" s="17"/>
      <c r="GI41" s="67"/>
      <c r="GJ41" s="62"/>
      <c r="GK41" s="62"/>
      <c r="GO41" s="17"/>
      <c r="GP41" s="17"/>
      <c r="GQ41" s="17"/>
      <c r="GR41" s="17"/>
      <c r="GS41" s="17"/>
      <c r="GT41" s="17"/>
      <c r="GU41" s="101"/>
      <c r="GV41" s="17"/>
      <c r="GW41" s="17"/>
      <c r="GX41" s="66"/>
      <c r="GY41" s="66"/>
      <c r="GZ41" s="102"/>
      <c r="HA41" s="83"/>
      <c r="HB41" s="83"/>
      <c r="HC41" s="17"/>
      <c r="HD41" s="17"/>
      <c r="HE41" s="17"/>
      <c r="HF41" s="17"/>
      <c r="HG41" s="17"/>
      <c r="HH41" s="101"/>
      <c r="HI41" s="101"/>
      <c r="HJ41" s="27"/>
      <c r="HK41" s="101"/>
      <c r="HL41" s="83"/>
      <c r="HM41" s="83"/>
      <c r="HN41" s="83"/>
      <c r="HO41" s="83"/>
      <c r="HP41" s="102"/>
      <c r="HQ41" s="66"/>
      <c r="HR41" s="66"/>
      <c r="HS41" s="102"/>
      <c r="HT41" s="66"/>
      <c r="HU41" s="66"/>
      <c r="HV41" s="102"/>
      <c r="HW41" s="66"/>
      <c r="HX41" s="66"/>
      <c r="HY41" s="102"/>
      <c r="HZ41" s="66"/>
      <c r="IA41" s="66"/>
      <c r="IB41" s="102"/>
      <c r="IC41" s="66"/>
      <c r="ID41" s="66"/>
      <c r="IE41" s="102"/>
      <c r="IF41" s="66"/>
      <c r="IG41" s="66"/>
      <c r="IH41" s="102"/>
      <c r="II41" s="66"/>
      <c r="IJ41" s="66"/>
      <c r="IK41" s="102"/>
      <c r="IL41" s="66"/>
      <c r="IM41" s="66"/>
      <c r="IN41" s="83"/>
      <c r="IO41" s="102"/>
      <c r="IP41" s="66"/>
      <c r="IQ41" s="66"/>
      <c r="IR41" s="83"/>
      <c r="IS41" s="102"/>
      <c r="IT41" s="66"/>
      <c r="IU41" s="66"/>
      <c r="IV41" s="83"/>
      <c r="IW41" s="102"/>
      <c r="IX41" s="66"/>
      <c r="IY41" s="66"/>
      <c r="IZ41" s="83"/>
      <c r="JA41" s="102"/>
      <c r="JB41" s="66"/>
      <c r="JC41" s="66"/>
      <c r="JD41" s="83"/>
      <c r="JE41" s="102"/>
      <c r="JF41" s="66"/>
      <c r="JG41" s="66"/>
      <c r="JH41" s="83"/>
      <c r="JI41" s="102"/>
      <c r="JJ41" s="66"/>
      <c r="JK41" s="66"/>
      <c r="JM41" s="102"/>
      <c r="JO41" s="29"/>
      <c r="JP41" s="122"/>
      <c r="JQ41" s="122"/>
      <c r="JR41" s="122"/>
      <c r="JS41" s="122"/>
      <c r="JT41" s="122"/>
      <c r="JU41" s="122"/>
      <c r="JV41" s="122"/>
      <c r="JW41" s="122"/>
      <c r="JX41" s="122"/>
      <c r="JY41" s="122"/>
      <c r="JZ41" s="122"/>
      <c r="KA41" s="122"/>
      <c r="KB41" s="122"/>
      <c r="KD41" s="122">
        <f t="shared" si="155"/>
        <v>0</v>
      </c>
      <c r="KE41" s="122">
        <f t="shared" si="91"/>
        <v>0</v>
      </c>
      <c r="KF41" s="122"/>
      <c r="KG41" s="122"/>
      <c r="KH41" s="122"/>
      <c r="KI41" s="122"/>
      <c r="KJ41" s="122"/>
      <c r="KK41" s="122"/>
      <c r="KL41" s="122"/>
      <c r="KM41" s="122"/>
      <c r="KN41" s="123"/>
      <c r="KO41" s="123"/>
      <c r="KP41" s="123"/>
      <c r="KQ41" s="123"/>
      <c r="KR41" s="123"/>
      <c r="KU41" s="123"/>
      <c r="KV41" s="123"/>
      <c r="KW41" s="123"/>
      <c r="KX41" s="123"/>
      <c r="KY41" s="123"/>
      <c r="KZ41" s="123"/>
      <c r="LA41" s="123"/>
      <c r="LB41" s="123"/>
      <c r="LC41" s="123"/>
      <c r="LD41" s="123"/>
      <c r="LE41" s="123"/>
      <c r="LF41" s="123"/>
      <c r="LG41" s="123"/>
      <c r="LH41" s="123"/>
      <c r="LI41" s="123"/>
      <c r="LJ41" s="123"/>
      <c r="LK41" s="123"/>
      <c r="LL41" s="123"/>
      <c r="LM41" s="123"/>
      <c r="LN41" s="123"/>
      <c r="LO41" s="123"/>
      <c r="LP41" s="123"/>
      <c r="LQ41" s="123"/>
      <c r="LR41" s="123"/>
      <c r="LS41" s="123"/>
      <c r="LT41" s="123"/>
      <c r="LU41" s="123"/>
      <c r="LV41" s="123"/>
      <c r="LW41" s="123"/>
      <c r="LX41" s="123"/>
      <c r="LY41" s="123"/>
      <c r="LZ41" s="123"/>
      <c r="MA41" s="123"/>
      <c r="MB41" s="123"/>
      <c r="MC41" s="123"/>
      <c r="MD41" s="123"/>
      <c r="ME41" s="123"/>
      <c r="MF41" s="123"/>
      <c r="MG41" s="123"/>
      <c r="MH41" s="123"/>
      <c r="MI41" s="123"/>
      <c r="MJ41" s="123"/>
      <c r="MK41" s="123"/>
      <c r="ML41" s="123"/>
      <c r="MM41" s="123"/>
      <c r="MN41" s="123"/>
      <c r="MO41" s="123"/>
      <c r="MP41" s="123"/>
      <c r="MQ41" s="123"/>
      <c r="MR41" s="123"/>
      <c r="MS41" s="123"/>
      <c r="MT41" s="123"/>
      <c r="MU41" s="123"/>
      <c r="MV41" s="123"/>
      <c r="MW41" s="123"/>
      <c r="MX41" s="123"/>
      <c r="MY41" s="123"/>
      <c r="MZ41" s="123"/>
      <c r="NA41" s="123"/>
      <c r="NB41" s="123"/>
      <c r="NC41" s="123"/>
      <c r="ND41" s="123"/>
      <c r="NE41" s="123"/>
      <c r="NF41" s="123"/>
      <c r="NG41" s="123"/>
      <c r="NH41" s="123"/>
      <c r="NI41" s="123"/>
      <c r="NJ41" s="123"/>
      <c r="NK41" s="123"/>
      <c r="NU41" s="29"/>
      <c r="NY41" s="29">
        <f t="shared" si="107"/>
        <v>0</v>
      </c>
      <c r="NZ41" s="152"/>
      <c r="OE41" s="155">
        <f t="shared" ref="OE41:OE59" si="194">D41-J41</f>
        <v>0</v>
      </c>
      <c r="OF41" s="155">
        <f t="shared" ref="OF41:OF59" si="195">D41-N41</f>
        <v>0</v>
      </c>
      <c r="OG41" s="155">
        <f t="shared" ref="OG41:OG59" si="196">AN41</f>
        <v>0</v>
      </c>
      <c r="OH41" s="155">
        <f t="shared" si="165"/>
        <v>0</v>
      </c>
      <c r="OI41" s="155">
        <f t="shared" ref="OI41:OI59" si="197">D41-R41</f>
        <v>0</v>
      </c>
      <c r="OJ41" s="67">
        <f t="shared" si="166"/>
        <v>0</v>
      </c>
      <c r="OK41" s="67">
        <f t="shared" si="167"/>
        <v>0</v>
      </c>
      <c r="OL41" s="67">
        <f t="shared" si="168"/>
        <v>0</v>
      </c>
      <c r="OM41" s="67">
        <f t="shared" si="169"/>
        <v>0</v>
      </c>
      <c r="OO41" s="155">
        <f t="shared" ref="OO41:OO59" si="198">E41-K41</f>
        <v>0</v>
      </c>
      <c r="OP41" s="155">
        <f t="shared" ref="OP41:OP59" si="199">E41-O41</f>
        <v>0</v>
      </c>
      <c r="OQ41" s="155">
        <f t="shared" si="170"/>
        <v>0</v>
      </c>
      <c r="OR41" s="155">
        <f t="shared" si="171"/>
        <v>0</v>
      </c>
      <c r="OS41" s="155">
        <f t="shared" si="172"/>
        <v>0</v>
      </c>
      <c r="OT41" s="67">
        <f t="shared" si="173"/>
        <v>0</v>
      </c>
      <c r="OU41" s="67">
        <f t="shared" si="174"/>
        <v>0</v>
      </c>
      <c r="OV41" s="67">
        <f t="shared" si="175"/>
        <v>0</v>
      </c>
      <c r="OW41" s="67">
        <f t="shared" si="176"/>
        <v>0</v>
      </c>
      <c r="OZ41" s="163">
        <f t="shared" ref="OZ41:OZ70" si="200">AN41</f>
        <v>0</v>
      </c>
      <c r="PA41" s="166"/>
      <c r="PB41" s="166"/>
      <c r="PC41" s="166"/>
      <c r="PD41" s="210">
        <f t="shared" si="115"/>
        <v>0</v>
      </c>
      <c r="PE41" s="210"/>
      <c r="PF41" s="210">
        <f t="shared" si="116"/>
        <v>0</v>
      </c>
      <c r="PG41" s="210">
        <f t="shared" si="117"/>
        <v>0</v>
      </c>
      <c r="PH41" s="210">
        <f t="shared" si="117"/>
        <v>0</v>
      </c>
      <c r="PI41" s="210">
        <f t="shared" si="117"/>
        <v>0</v>
      </c>
      <c r="PJ41" s="210">
        <f t="shared" si="117"/>
        <v>0</v>
      </c>
      <c r="PK41" s="210">
        <f t="shared" si="117"/>
        <v>0</v>
      </c>
      <c r="PL41" s="210">
        <f t="shared" si="117"/>
        <v>0</v>
      </c>
      <c r="PO41" s="172">
        <f t="shared" si="177"/>
        <v>0</v>
      </c>
      <c r="PP41" s="172">
        <f t="shared" si="178"/>
        <v>0</v>
      </c>
      <c r="PQ41" s="172">
        <f t="shared" si="179"/>
        <v>0</v>
      </c>
    </row>
    <row r="42" spans="1:433" ht="16" x14ac:dyDescent="0.2">
      <c r="A42" s="19">
        <f>A40+1</f>
        <v>33</v>
      </c>
      <c r="B42" s="186" t="s">
        <v>194</v>
      </c>
      <c r="C42" s="186">
        <v>35</v>
      </c>
      <c r="D42" s="188">
        <v>1</v>
      </c>
      <c r="E42" s="188">
        <v>26</v>
      </c>
      <c r="F42" s="188">
        <v>1</v>
      </c>
      <c r="G42" s="188">
        <f t="shared" ref="G42:G50" si="201">E42</f>
        <v>26</v>
      </c>
      <c r="H42" s="214">
        <f t="shared" ref="H42:H58" si="202">F42/$D42</f>
        <v>1</v>
      </c>
      <c r="I42" s="214">
        <f t="shared" ref="I42:I58" si="203">G42/$E42</f>
        <v>1</v>
      </c>
      <c r="J42" s="188">
        <v>1</v>
      </c>
      <c r="K42" s="188">
        <f t="shared" ref="K42:K58" si="204">IF(J42=D42,E42,0)</f>
        <v>26</v>
      </c>
      <c r="L42" s="214">
        <f t="shared" ref="L42:L70" si="205">J42/$D42</f>
        <v>1</v>
      </c>
      <c r="M42" s="214">
        <f t="shared" ref="M42:M70" si="206">K42/$E42</f>
        <v>1</v>
      </c>
      <c r="N42" s="188">
        <v>1</v>
      </c>
      <c r="O42" s="188">
        <f t="shared" ref="O42:O58" si="207">IF(N42=D42,E42,0)</f>
        <v>26</v>
      </c>
      <c r="P42" s="214">
        <f t="shared" ref="P42:P70" si="208">N42/$D42</f>
        <v>1</v>
      </c>
      <c r="Q42" s="214">
        <f t="shared" ref="Q42:Q70" si="209">O42/$E42</f>
        <v>1</v>
      </c>
      <c r="R42" s="188">
        <v>1</v>
      </c>
      <c r="S42" s="188">
        <f t="shared" ref="S42:S58" si="210">IF(R42=D42,E42,0)</f>
        <v>26</v>
      </c>
      <c r="T42" s="214">
        <f t="shared" ref="T42:T58" si="211">R42/$D42</f>
        <v>1</v>
      </c>
      <c r="U42" s="214">
        <f t="shared" ref="U42:U58" si="212">S42/$E42</f>
        <v>1</v>
      </c>
      <c r="V42" s="188">
        <v>1</v>
      </c>
      <c r="W42" s="188">
        <f t="shared" ref="W42:W58" si="213">IF(V42=D42,E42,0)</f>
        <v>26</v>
      </c>
      <c r="X42" s="214">
        <f t="shared" ref="X42:X58" si="214">V42/$D42</f>
        <v>1</v>
      </c>
      <c r="Y42" s="214">
        <f t="shared" ref="Y42:Y58" si="215">W42/$E42</f>
        <v>1</v>
      </c>
      <c r="Z42" s="216">
        <f>573173000/1000000000</f>
        <v>0.57317300000000004</v>
      </c>
      <c r="AA42" s="188">
        <v>0</v>
      </c>
      <c r="AB42" s="189">
        <f t="shared" si="118"/>
        <v>0</v>
      </c>
      <c r="AC42" s="250">
        <f t="shared" si="119"/>
        <v>0</v>
      </c>
      <c r="AD42" s="250">
        <f t="shared" si="120"/>
        <v>0</v>
      </c>
      <c r="AE42" s="188"/>
      <c r="AF42" s="188">
        <f t="shared" si="121"/>
        <v>0</v>
      </c>
      <c r="AG42" s="188"/>
      <c r="AH42" s="188" t="s">
        <v>313</v>
      </c>
      <c r="AI42" s="188">
        <v>0</v>
      </c>
      <c r="AJ42" s="188">
        <f t="shared" si="181"/>
        <v>0</v>
      </c>
      <c r="AK42" s="188"/>
      <c r="AL42" s="188">
        <v>0</v>
      </c>
      <c r="AM42" s="188">
        <v>0</v>
      </c>
      <c r="AN42" s="217"/>
      <c r="AO42" s="195"/>
      <c r="AP42" s="195"/>
      <c r="AQ42" s="195"/>
      <c r="AR42" s="195"/>
      <c r="AS42" s="195"/>
      <c r="AT42" s="195"/>
      <c r="BB42" s="17">
        <f t="shared" si="123"/>
        <v>0</v>
      </c>
      <c r="BE42" s="17">
        <f t="shared" ref="BE42:BE58" si="216">IF(AF42=1,S42,0)</f>
        <v>0</v>
      </c>
      <c r="BF42" s="17">
        <f t="shared" ref="BF42:BF58" si="217">IF(AG42="A",S42,0)</f>
        <v>0</v>
      </c>
      <c r="BG42" s="17">
        <f t="shared" ref="BG42:BG58" si="218">IF(AG42="B",S42,0)</f>
        <v>0</v>
      </c>
      <c r="BH42" s="17">
        <f t="shared" ref="BH42:BH58" si="219">IF(AG42="C",S42,0)</f>
        <v>0</v>
      </c>
      <c r="BI42" s="17">
        <f t="shared" ref="BI42:BI58" si="220">IF(AG42="D",S42,0)</f>
        <v>0</v>
      </c>
      <c r="BJ42" s="17">
        <f t="shared" ref="BJ42:BJ58" si="221">IF(AG42="E",S42,0)</f>
        <v>0</v>
      </c>
      <c r="BK42" s="17">
        <f t="shared" si="124"/>
        <v>0</v>
      </c>
      <c r="BM42" s="128"/>
      <c r="BN42" s="147"/>
      <c r="BO42" s="288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B42" s="20"/>
      <c r="CD42" s="17">
        <f t="shared" si="125"/>
        <v>0</v>
      </c>
      <c r="CE42" s="17">
        <f t="shared" si="126"/>
        <v>0</v>
      </c>
      <c r="CF42" s="20">
        <f t="shared" si="182"/>
        <v>0</v>
      </c>
      <c r="CG42" s="20">
        <f t="shared" si="183"/>
        <v>0</v>
      </c>
      <c r="CH42" s="20">
        <f t="shared" si="184"/>
        <v>0</v>
      </c>
      <c r="CI42" s="20">
        <f t="shared" si="185"/>
        <v>0</v>
      </c>
      <c r="CJ42" s="20">
        <f t="shared" si="186"/>
        <v>0</v>
      </c>
      <c r="CK42" s="20">
        <f t="shared" si="187"/>
        <v>0</v>
      </c>
      <c r="CL42" s="20">
        <f t="shared" si="188"/>
        <v>0</v>
      </c>
      <c r="CM42" s="20">
        <f t="shared" si="189"/>
        <v>0</v>
      </c>
      <c r="CN42" s="20">
        <f t="shared" si="190"/>
        <v>0</v>
      </c>
      <c r="CO42" s="20">
        <f t="shared" si="191"/>
        <v>0</v>
      </c>
      <c r="CP42" s="20">
        <f t="shared" si="192"/>
        <v>0</v>
      </c>
      <c r="DV42" s="20">
        <f t="shared" ref="DV42:DV58" si="222">IF(CB42=1,G42,0)</f>
        <v>0</v>
      </c>
      <c r="DW42" s="20">
        <f t="shared" ref="DW42:DW58" si="223">IF(CC42="A",G42,0)</f>
        <v>0</v>
      </c>
      <c r="DX42" s="20">
        <f t="shared" ref="DX42:DX58" si="224">IF(CC42="B",G42,0)</f>
        <v>0</v>
      </c>
      <c r="DY42" s="20">
        <f t="shared" ref="DY42:DY58" si="225">IF(CC42="C",G42,0)</f>
        <v>0</v>
      </c>
      <c r="DZ42" s="20">
        <f t="shared" ref="DZ42:DZ58" si="226">IF(CC42="D",G42,0)</f>
        <v>0</v>
      </c>
      <c r="EA42" s="20">
        <f t="shared" ref="EA42:EA58" si="227">IF(CC42="E",G42,0)</f>
        <v>0</v>
      </c>
      <c r="EB42" s="20">
        <f t="shared" si="127"/>
        <v>0</v>
      </c>
      <c r="EG42" s="57">
        <f t="shared" si="128"/>
        <v>0</v>
      </c>
      <c r="EH42" s="57">
        <f t="shared" si="129"/>
        <v>0</v>
      </c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X42" s="169"/>
      <c r="FY42" s="17">
        <f t="shared" si="130"/>
        <v>0</v>
      </c>
      <c r="FZ42" s="17">
        <f t="shared" ref="FZ42:FZ50" si="228">DI42+CE42</f>
        <v>0</v>
      </c>
      <c r="GA42" s="17">
        <f t="shared" ref="GA42:GA50" si="229">DJ42+CF42</f>
        <v>0</v>
      </c>
      <c r="GB42" s="17">
        <f t="shared" ref="GB42:GB50" si="230">DK42+CG42</f>
        <v>0</v>
      </c>
      <c r="GC42" s="17">
        <f t="shared" ref="GC42:GC50" si="231">DM42+CI42</f>
        <v>0</v>
      </c>
      <c r="GD42" s="17">
        <f t="shared" ref="GD42:GD50" si="232">DO42+CK42</f>
        <v>0</v>
      </c>
      <c r="GE42" s="17">
        <f t="shared" ref="GE42:GE50" si="233">DT42+CP42</f>
        <v>0</v>
      </c>
      <c r="GF42" s="67"/>
      <c r="GG42" s="17">
        <v>0</v>
      </c>
      <c r="GH42" s="17">
        <v>0</v>
      </c>
      <c r="GI42" s="67"/>
      <c r="GJ42" s="62">
        <f t="shared" si="131"/>
        <v>0</v>
      </c>
      <c r="GK42" s="62">
        <f t="shared" si="132"/>
        <v>0</v>
      </c>
      <c r="GO42" s="17">
        <f t="shared" ref="GO42:GO50" si="234">D42-F42</f>
        <v>0</v>
      </c>
      <c r="GP42" s="17">
        <f t="shared" ref="GP42:GP50" si="235">D42-J42</f>
        <v>0</v>
      </c>
      <c r="GQ42" s="17">
        <f t="shared" ref="GQ42:GQ50" si="236">D42-N42</f>
        <v>0</v>
      </c>
      <c r="GR42" s="17">
        <f t="shared" ref="GR42:GR50" si="237">D42-R42</f>
        <v>0</v>
      </c>
      <c r="GS42" s="17">
        <f t="shared" ref="GS42:GS50" si="238">D42-V42</f>
        <v>0</v>
      </c>
      <c r="GT42" s="17">
        <f t="shared" si="133"/>
        <v>1</v>
      </c>
      <c r="GU42" s="101">
        <f t="shared" si="134"/>
        <v>43243</v>
      </c>
      <c r="GV42" s="17" t="str">
        <f t="shared" si="135"/>
        <v>SELESAI</v>
      </c>
      <c r="GW42" s="17">
        <f t="shared" si="136"/>
        <v>0</v>
      </c>
      <c r="GX42" s="66" t="str">
        <f t="shared" si="137"/>
        <v>SELESAI</v>
      </c>
      <c r="GY42" s="66">
        <f t="shared" si="138"/>
        <v>0</v>
      </c>
      <c r="GZ42" s="102" t="str">
        <f t="shared" si="139"/>
        <v>SELESAI</v>
      </c>
      <c r="HA42" s="83"/>
      <c r="HB42" s="83"/>
      <c r="HC42" s="17">
        <f t="shared" ref="HC42:HC50" si="239">IF(BH42&gt;0,1,IF(BI42&gt;0,1,0))</f>
        <v>0</v>
      </c>
      <c r="HD42" s="17">
        <f t="shared" ref="HD42:HD50" si="240">IF(CB42&gt;0,1,0)</f>
        <v>0</v>
      </c>
      <c r="HE42" s="17">
        <f t="shared" si="140"/>
        <v>0</v>
      </c>
      <c r="HF42" s="17">
        <f t="shared" si="141"/>
        <v>0</v>
      </c>
      <c r="HG42" s="17">
        <f t="shared" si="142"/>
        <v>0</v>
      </c>
      <c r="HH42" s="101" t="str">
        <f t="shared" si="47"/>
        <v>TIDAK KONSINYASI</v>
      </c>
      <c r="HI42" s="101" t="str">
        <f t="shared" si="143"/>
        <v>SELESAI</v>
      </c>
      <c r="HJ42" s="27"/>
      <c r="HK42" s="101">
        <f t="shared" si="48"/>
        <v>0</v>
      </c>
      <c r="HL42" s="83"/>
      <c r="HM42" s="83"/>
      <c r="HN42" s="83"/>
      <c r="HO42" s="83"/>
      <c r="HP42" s="102">
        <f t="shared" si="144"/>
        <v>0</v>
      </c>
      <c r="HQ42" s="66">
        <f t="shared" si="145"/>
        <v>0</v>
      </c>
      <c r="HR42" s="66">
        <f t="shared" ref="HR42:HR50" si="241">IF(HQ42=1,E42,0)</f>
        <v>0</v>
      </c>
      <c r="HS42" s="102">
        <f t="shared" si="146"/>
        <v>0</v>
      </c>
      <c r="HT42" s="66">
        <f t="shared" si="147"/>
        <v>0</v>
      </c>
      <c r="HU42" s="66">
        <f t="shared" ref="HU42:HU50" si="242">IF(HT42=1,E42,0)</f>
        <v>0</v>
      </c>
      <c r="HV42" s="102">
        <f t="shared" si="148"/>
        <v>0</v>
      </c>
      <c r="HW42" s="66">
        <f t="shared" si="51"/>
        <v>0</v>
      </c>
      <c r="HX42" s="66">
        <f t="shared" ref="HX42:HX50" si="243">IF(HW42=1,E42,0)</f>
        <v>0</v>
      </c>
      <c r="HY42" s="102">
        <f t="shared" si="53"/>
        <v>0</v>
      </c>
      <c r="HZ42" s="66">
        <f t="shared" si="149"/>
        <v>0</v>
      </c>
      <c r="IA42" s="66">
        <f t="shared" ref="IA42:IA50" si="244">IF(HZ42=1,E42,0)</f>
        <v>0</v>
      </c>
      <c r="IB42" s="102">
        <f t="shared" si="150"/>
        <v>0</v>
      </c>
      <c r="IC42" s="66">
        <f t="shared" si="55"/>
        <v>0</v>
      </c>
      <c r="ID42" s="66">
        <f t="shared" ref="ID42:ID50" si="245">IF(IC42=1,E42,0)</f>
        <v>0</v>
      </c>
      <c r="IE42" s="102">
        <f t="shared" si="57"/>
        <v>0</v>
      </c>
      <c r="IF42" s="66">
        <f t="shared" si="58"/>
        <v>0</v>
      </c>
      <c r="IG42" s="66">
        <f t="shared" ref="IG42:IG50" si="246">IF(IF42=1,E42,0)</f>
        <v>0</v>
      </c>
      <c r="IH42" s="102">
        <f t="shared" si="151"/>
        <v>0</v>
      </c>
      <c r="II42" s="66">
        <f t="shared" si="152"/>
        <v>0</v>
      </c>
      <c r="IJ42" s="66">
        <f t="shared" ref="IJ42:IJ50" si="247">IF(II42=1,E42,0)</f>
        <v>0</v>
      </c>
      <c r="IK42" s="102">
        <f t="shared" si="61"/>
        <v>0</v>
      </c>
      <c r="IL42" s="66">
        <f t="shared" si="62"/>
        <v>0</v>
      </c>
      <c r="IM42" s="66">
        <f t="shared" ref="IM42:IM50" si="248">IF(IL42=1,E42,0)</f>
        <v>0</v>
      </c>
      <c r="IN42" s="83"/>
      <c r="IO42" s="102">
        <f t="shared" si="64"/>
        <v>0</v>
      </c>
      <c r="IP42" s="66">
        <f t="shared" ref="IP42:IP50" si="249">IF(BG42&gt;0,1,0)</f>
        <v>0</v>
      </c>
      <c r="IQ42" s="66">
        <f t="shared" ref="IQ42:IQ50" si="250">IF(IP42=1,E42,0)</f>
        <v>0</v>
      </c>
      <c r="IR42" s="83"/>
      <c r="IS42" s="102"/>
      <c r="IT42" s="66">
        <f t="shared" ref="IT42:IT50" si="251">V42</f>
        <v>1</v>
      </c>
      <c r="IU42" s="66">
        <f t="shared" ref="IU42:IU50" si="252">W42</f>
        <v>26</v>
      </c>
      <c r="IV42" s="83"/>
      <c r="IW42" s="102"/>
      <c r="IX42" s="66">
        <f t="shared" ref="IX42:IX50" si="253">AA42</f>
        <v>0</v>
      </c>
      <c r="IY42" s="66">
        <f t="shared" ref="IY42:IY50" si="254">AB42</f>
        <v>0</v>
      </c>
      <c r="IZ42" s="83"/>
      <c r="JA42" s="102"/>
      <c r="JB42" s="66">
        <f t="shared" ref="JB42:JB50" si="255">AN42</f>
        <v>0</v>
      </c>
      <c r="JC42" s="66">
        <f t="shared" ref="JC42:JC50" si="256">BB42</f>
        <v>0</v>
      </c>
      <c r="JD42" s="83"/>
      <c r="JE42" s="102"/>
      <c r="JF42" s="66">
        <f t="shared" si="153"/>
        <v>1</v>
      </c>
      <c r="JG42" s="66">
        <f t="shared" si="73"/>
        <v>26</v>
      </c>
      <c r="JH42" s="83"/>
      <c r="JI42" s="102"/>
      <c r="JJ42" s="66">
        <f t="shared" ref="JJ42:JJ50" si="257">JF42-D42</f>
        <v>0</v>
      </c>
      <c r="JK42" s="66">
        <f t="shared" ref="JK42:JK50" si="258">JG42-E42</f>
        <v>0</v>
      </c>
      <c r="JM42" s="102">
        <f t="shared" si="154"/>
        <v>0</v>
      </c>
      <c r="JO42" s="29">
        <f t="shared" si="76"/>
        <v>0</v>
      </c>
      <c r="JP42" s="122">
        <f t="shared" ref="JP42:JP50" si="259">BN42+CR42</f>
        <v>0</v>
      </c>
      <c r="JQ42" s="122">
        <f t="shared" ref="JQ42:JQ50" si="260">IF(BO42+CS42=2,1,IF(BO42+CS42=1,1,0))</f>
        <v>0</v>
      </c>
      <c r="JR42" s="122">
        <f t="shared" ref="JR42:JR50" si="261">IF(BP42+CT42=2,1,IF(BP42+CT42=1,1,0))</f>
        <v>0</v>
      </c>
      <c r="JS42" s="122">
        <f t="shared" ref="JS42:JS50" si="262">IF(BQ42+CU42=2,1,IF(BQ42+CU42=1,1,0))</f>
        <v>0</v>
      </c>
      <c r="JT42" s="122">
        <f t="shared" ref="JT42:JT50" si="263">IF(BR42+CV42=2,1,IF(BR42+CV42=1,1,0))</f>
        <v>0</v>
      </c>
      <c r="JU42" s="122">
        <f t="shared" ref="JU42:JU50" si="264">IF(BS42+CW42=2,1,IF(BS42+CW42=1,1,0))</f>
        <v>0</v>
      </c>
      <c r="JV42" s="122">
        <f t="shared" ref="JV42:JV50" si="265">IF(BT42+CX42=2,1,IF(BT42+CX42=1,1,0))</f>
        <v>0</v>
      </c>
      <c r="JW42" s="122">
        <f t="shared" ref="JW42:JW50" si="266">IF(BU42+CY42=2,1,IF(BU42+CY42=1,1,0))</f>
        <v>0</v>
      </c>
      <c r="JX42" s="122">
        <f t="shared" ref="JX42:JX50" si="267">IF(BV42+CZ42=2,1,IF(BV42+CZ42=1,1,0))</f>
        <v>0</v>
      </c>
      <c r="JY42" s="122">
        <f t="shared" ref="JY42:JY50" si="268">IF(BW42+DA42=2,1,IF(BW42+DA42=1,1,0))</f>
        <v>0</v>
      </c>
      <c r="JZ42" s="122">
        <f t="shared" ref="JZ42:JZ50" si="269">IF(BX42+DB42=2,1,IF(BX42+DB42=1,1,0))</f>
        <v>0</v>
      </c>
      <c r="KA42" s="122">
        <f t="shared" ref="KA42:KA50" si="270">IF(BY42+DC42=2,1,IF(BY42+DC42=1,1,0))</f>
        <v>0</v>
      </c>
      <c r="KB42" s="122">
        <f t="shared" ref="KB42:KB50" si="271">IF(BZ42+DD42=2,1,IF(BZ42+DD42=1,1,0))</f>
        <v>0</v>
      </c>
      <c r="KD42" s="122">
        <f t="shared" si="155"/>
        <v>0</v>
      </c>
      <c r="KE42" s="122">
        <f t="shared" si="91"/>
        <v>0</v>
      </c>
      <c r="KF42" s="122">
        <f t="shared" ref="KF42:KF50" si="272">CD42+DH42</f>
        <v>0</v>
      </c>
      <c r="KG42" s="122">
        <f t="shared" ref="KG42:KG50" si="273">CE42+DI42</f>
        <v>0</v>
      </c>
      <c r="KH42" s="122">
        <f t="shared" ref="KH42:KH50" si="274">CF42+DJ42</f>
        <v>0</v>
      </c>
      <c r="KI42" s="122">
        <f t="shared" ref="KI42:KI50" si="275">CG42+DK42</f>
        <v>0</v>
      </c>
      <c r="KJ42" s="122">
        <f t="shared" ref="KJ42:KJ50" si="276">CH42+DL42</f>
        <v>0</v>
      </c>
      <c r="KK42" s="122">
        <f t="shared" ref="KK42:KK50" si="277">CI42+DM42</f>
        <v>0</v>
      </c>
      <c r="KL42" s="122">
        <f t="shared" ref="KL42:KL50" si="278">CJ42+DN42</f>
        <v>0</v>
      </c>
      <c r="KM42" s="122">
        <f t="shared" ref="KM42:KM50" si="279">CK42+DO42</f>
        <v>0</v>
      </c>
      <c r="KN42" s="123">
        <f t="shared" ref="KN42:KN50" si="280">CL42+DP42</f>
        <v>0</v>
      </c>
      <c r="KO42" s="123">
        <f t="shared" ref="KO42:KO50" si="281">CM42+DQ42</f>
        <v>0</v>
      </c>
      <c r="KP42" s="123">
        <f t="shared" ref="KP42:KP50" si="282">CN42+DR42</f>
        <v>0</v>
      </c>
      <c r="KQ42" s="123">
        <f t="shared" ref="KQ42:KQ50" si="283">CO42+DS42</f>
        <v>0</v>
      </c>
      <c r="KR42" s="123">
        <f t="shared" ref="KR42:KR50" si="284">CP42+DT42</f>
        <v>0</v>
      </c>
      <c r="KT42">
        <f t="shared" ref="KT42:KT50" si="285">AN42</f>
        <v>0</v>
      </c>
      <c r="KU42" s="123"/>
      <c r="KV42" s="123"/>
      <c r="KW42" s="123"/>
      <c r="KX42" s="123"/>
      <c r="KY42" s="123"/>
      <c r="KZ42" s="123"/>
      <c r="LA42" s="123"/>
      <c r="LB42" s="123"/>
      <c r="LC42" s="123"/>
      <c r="LD42" s="123"/>
      <c r="LE42" s="123"/>
      <c r="LF42" s="123"/>
      <c r="LG42" s="123"/>
      <c r="LH42" s="123"/>
      <c r="LI42" s="123"/>
      <c r="LJ42" s="123"/>
      <c r="LK42" s="123"/>
      <c r="LL42" s="123"/>
      <c r="LM42" s="123"/>
      <c r="LN42" s="123"/>
      <c r="LO42" s="123"/>
      <c r="LP42" s="123"/>
      <c r="LQ42" s="123"/>
      <c r="LR42" s="123"/>
      <c r="LS42" s="123"/>
      <c r="LT42" s="123"/>
      <c r="LU42" s="123"/>
      <c r="LV42" s="123"/>
      <c r="LW42" s="123"/>
      <c r="LX42" s="123"/>
      <c r="LY42" s="123"/>
      <c r="LZ42" s="123"/>
      <c r="MA42" s="123"/>
      <c r="MB42" s="123"/>
      <c r="MC42" s="123"/>
      <c r="MD42" s="123"/>
      <c r="ME42" s="123"/>
      <c r="MF42" s="123"/>
      <c r="MG42" s="123"/>
      <c r="MH42" s="123"/>
      <c r="MI42" s="123"/>
      <c r="MJ42" s="123"/>
      <c r="MK42" s="123"/>
      <c r="ML42" s="123"/>
      <c r="MM42" s="123"/>
      <c r="MN42" s="123"/>
      <c r="MO42" s="123"/>
      <c r="MP42" s="123"/>
      <c r="MQ42" s="123"/>
      <c r="MR42" s="123"/>
      <c r="MS42" s="123"/>
      <c r="MT42" s="123"/>
      <c r="MU42" s="123"/>
      <c r="MV42" s="123"/>
      <c r="MW42" s="123"/>
      <c r="MX42" s="123"/>
      <c r="MY42" s="123"/>
      <c r="MZ42" s="123"/>
      <c r="NA42" s="123"/>
      <c r="NB42" s="123"/>
      <c r="NC42" s="123"/>
      <c r="ND42" s="123"/>
      <c r="NE42" s="123"/>
      <c r="NF42" s="123"/>
      <c r="NG42" s="123"/>
      <c r="NH42" s="123"/>
      <c r="NI42" s="123"/>
      <c r="NJ42" s="123"/>
      <c r="NK42" s="123"/>
      <c r="NM42">
        <f t="shared" si="156"/>
        <v>0</v>
      </c>
      <c r="NN42">
        <f t="shared" si="157"/>
        <v>0</v>
      </c>
      <c r="NO42">
        <f t="shared" si="158"/>
        <v>0</v>
      </c>
      <c r="NP42">
        <f t="shared" si="159"/>
        <v>0</v>
      </c>
      <c r="NQ42">
        <f t="shared" si="160"/>
        <v>0</v>
      </c>
      <c r="NR42">
        <f t="shared" si="161"/>
        <v>0</v>
      </c>
      <c r="NS42">
        <f t="shared" si="162"/>
        <v>0</v>
      </c>
      <c r="NT42">
        <f t="shared" si="163"/>
        <v>0</v>
      </c>
      <c r="NU42" s="29">
        <f t="shared" si="164"/>
        <v>0</v>
      </c>
      <c r="NY42" s="29">
        <f t="shared" si="107"/>
        <v>1</v>
      </c>
      <c r="NZ42" s="152">
        <v>7275000</v>
      </c>
      <c r="OE42" s="155">
        <f t="shared" si="194"/>
        <v>0</v>
      </c>
      <c r="OF42" s="155">
        <f t="shared" si="195"/>
        <v>0</v>
      </c>
      <c r="OG42" s="155">
        <f t="shared" si="196"/>
        <v>0</v>
      </c>
      <c r="OH42" s="155">
        <f t="shared" si="165"/>
        <v>0</v>
      </c>
      <c r="OI42" s="155">
        <f t="shared" si="197"/>
        <v>0</v>
      </c>
      <c r="OJ42" s="67">
        <f t="shared" si="166"/>
        <v>0</v>
      </c>
      <c r="OK42" s="67">
        <f t="shared" si="167"/>
        <v>0</v>
      </c>
      <c r="OL42" s="67">
        <f t="shared" si="168"/>
        <v>0</v>
      </c>
      <c r="OM42" s="67">
        <f t="shared" si="169"/>
        <v>0</v>
      </c>
      <c r="OO42" s="155">
        <f t="shared" si="198"/>
        <v>0</v>
      </c>
      <c r="OP42" s="155">
        <f t="shared" si="199"/>
        <v>0</v>
      </c>
      <c r="OQ42" s="155">
        <f t="shared" si="170"/>
        <v>0</v>
      </c>
      <c r="OR42" s="155">
        <f t="shared" si="171"/>
        <v>0</v>
      </c>
      <c r="OS42" s="155">
        <f t="shared" si="172"/>
        <v>0</v>
      </c>
      <c r="OT42" s="67">
        <f t="shared" si="173"/>
        <v>0</v>
      </c>
      <c r="OU42" s="67">
        <f t="shared" si="174"/>
        <v>0</v>
      </c>
      <c r="OV42" s="67">
        <f t="shared" si="175"/>
        <v>0</v>
      </c>
      <c r="OW42" s="67">
        <f t="shared" si="176"/>
        <v>0</v>
      </c>
      <c r="OZ42" s="163">
        <f t="shared" si="200"/>
        <v>0</v>
      </c>
      <c r="PA42" s="166"/>
      <c r="PB42" s="166"/>
      <c r="PC42" s="166"/>
      <c r="PD42" s="210">
        <f t="shared" si="115"/>
        <v>0</v>
      </c>
      <c r="PE42" s="210"/>
      <c r="PF42" s="210">
        <f t="shared" si="116"/>
        <v>0</v>
      </c>
      <c r="PG42" s="210">
        <f t="shared" si="117"/>
        <v>0</v>
      </c>
      <c r="PH42" s="210">
        <f t="shared" si="117"/>
        <v>0</v>
      </c>
      <c r="PI42" s="210">
        <f t="shared" si="117"/>
        <v>0</v>
      </c>
      <c r="PJ42" s="210">
        <f t="shared" si="117"/>
        <v>0</v>
      </c>
      <c r="PK42" s="210">
        <f t="shared" si="117"/>
        <v>0</v>
      </c>
      <c r="PL42" s="210">
        <f t="shared" si="117"/>
        <v>0</v>
      </c>
      <c r="PO42" s="172">
        <f t="shared" si="177"/>
        <v>0</v>
      </c>
      <c r="PP42" s="172">
        <f t="shared" si="178"/>
        <v>0</v>
      </c>
      <c r="PQ42" s="172">
        <f t="shared" si="179"/>
        <v>0</v>
      </c>
    </row>
    <row r="43" spans="1:433" ht="16" x14ac:dyDescent="0.2">
      <c r="A43" s="19">
        <f t="shared" si="180"/>
        <v>34</v>
      </c>
      <c r="B43" s="186" t="s">
        <v>195</v>
      </c>
      <c r="C43" s="186">
        <v>36</v>
      </c>
      <c r="D43" s="188">
        <v>1</v>
      </c>
      <c r="E43" s="188">
        <v>68</v>
      </c>
      <c r="F43" s="188">
        <v>1</v>
      </c>
      <c r="G43" s="188">
        <f t="shared" si="201"/>
        <v>68</v>
      </c>
      <c r="H43" s="214">
        <f t="shared" si="202"/>
        <v>1</v>
      </c>
      <c r="I43" s="214">
        <f t="shared" si="203"/>
        <v>1</v>
      </c>
      <c r="J43" s="188">
        <v>1</v>
      </c>
      <c r="K43" s="188">
        <f t="shared" si="204"/>
        <v>68</v>
      </c>
      <c r="L43" s="214">
        <f t="shared" si="205"/>
        <v>1</v>
      </c>
      <c r="M43" s="214">
        <f t="shared" si="206"/>
        <v>1</v>
      </c>
      <c r="N43" s="188">
        <v>1</v>
      </c>
      <c r="O43" s="188">
        <f t="shared" si="207"/>
        <v>68</v>
      </c>
      <c r="P43" s="214">
        <f t="shared" si="208"/>
        <v>1</v>
      </c>
      <c r="Q43" s="214">
        <f t="shared" si="209"/>
        <v>1</v>
      </c>
      <c r="R43" s="188">
        <v>1</v>
      </c>
      <c r="S43" s="188">
        <f t="shared" si="210"/>
        <v>68</v>
      </c>
      <c r="T43" s="214">
        <f t="shared" si="211"/>
        <v>1</v>
      </c>
      <c r="U43" s="214">
        <f t="shared" si="212"/>
        <v>1</v>
      </c>
      <c r="V43" s="188">
        <v>1</v>
      </c>
      <c r="W43" s="188">
        <f t="shared" si="213"/>
        <v>68</v>
      </c>
      <c r="X43" s="214">
        <f t="shared" si="214"/>
        <v>1</v>
      </c>
      <c r="Y43" s="214">
        <f t="shared" si="215"/>
        <v>1</v>
      </c>
      <c r="Z43" s="216">
        <f>728589000/1000000000</f>
        <v>0.72858900000000004</v>
      </c>
      <c r="AA43" s="188">
        <v>0</v>
      </c>
      <c r="AB43" s="189">
        <f t="shared" si="118"/>
        <v>0</v>
      </c>
      <c r="AC43" s="250">
        <f t="shared" si="119"/>
        <v>0</v>
      </c>
      <c r="AD43" s="250">
        <f t="shared" si="120"/>
        <v>0</v>
      </c>
      <c r="AE43" s="188"/>
      <c r="AF43" s="188">
        <f t="shared" si="121"/>
        <v>0</v>
      </c>
      <c r="AG43" s="188"/>
      <c r="AH43" s="188" t="s">
        <v>313</v>
      </c>
      <c r="AI43" s="188">
        <v>0</v>
      </c>
      <c r="AJ43" s="188">
        <f t="shared" si="181"/>
        <v>0</v>
      </c>
      <c r="AK43" s="188"/>
      <c r="AL43" s="188">
        <v>0</v>
      </c>
      <c r="AM43" s="188">
        <v>0</v>
      </c>
      <c r="AN43" s="217"/>
      <c r="AO43" s="195"/>
      <c r="AP43" s="195"/>
      <c r="AQ43" s="195"/>
      <c r="AR43" s="195"/>
      <c r="AS43" s="195"/>
      <c r="AT43" s="195"/>
      <c r="BB43" s="17">
        <f t="shared" si="123"/>
        <v>0</v>
      </c>
      <c r="BE43" s="17">
        <f t="shared" si="216"/>
        <v>0</v>
      </c>
      <c r="BF43" s="17">
        <f t="shared" si="217"/>
        <v>0</v>
      </c>
      <c r="BG43" s="17">
        <f t="shared" si="218"/>
        <v>0</v>
      </c>
      <c r="BH43" s="17">
        <f t="shared" si="219"/>
        <v>0</v>
      </c>
      <c r="BI43" s="17">
        <f t="shared" si="220"/>
        <v>0</v>
      </c>
      <c r="BJ43" s="17">
        <f t="shared" si="221"/>
        <v>0</v>
      </c>
      <c r="BK43" s="17">
        <f t="shared" si="124"/>
        <v>0</v>
      </c>
      <c r="BM43" s="128"/>
      <c r="BN43" s="289">
        <v>44</v>
      </c>
      <c r="BO43">
        <v>1</v>
      </c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B43" s="20"/>
      <c r="CD43" s="17">
        <f t="shared" si="125"/>
        <v>44</v>
      </c>
      <c r="CE43" s="17">
        <f t="shared" si="126"/>
        <v>44</v>
      </c>
      <c r="CF43" s="20">
        <f t="shared" si="182"/>
        <v>0</v>
      </c>
      <c r="CG43" s="20">
        <f t="shared" si="183"/>
        <v>0</v>
      </c>
      <c r="CH43" s="20">
        <f t="shared" si="184"/>
        <v>0</v>
      </c>
      <c r="CI43" s="20">
        <f t="shared" si="185"/>
        <v>0</v>
      </c>
      <c r="CJ43" s="20">
        <f t="shared" si="186"/>
        <v>0</v>
      </c>
      <c r="CK43" s="20">
        <f t="shared" si="187"/>
        <v>0</v>
      </c>
      <c r="CL43" s="20">
        <f t="shared" si="188"/>
        <v>0</v>
      </c>
      <c r="CM43" s="20">
        <f t="shared" si="189"/>
        <v>0</v>
      </c>
      <c r="CN43" s="20">
        <f t="shared" si="190"/>
        <v>0</v>
      </c>
      <c r="CO43" s="20">
        <f t="shared" si="191"/>
        <v>0</v>
      </c>
      <c r="CP43" s="20">
        <f t="shared" si="192"/>
        <v>0</v>
      </c>
      <c r="DV43" s="20">
        <f t="shared" si="222"/>
        <v>0</v>
      </c>
      <c r="DW43" s="20">
        <f t="shared" si="223"/>
        <v>0</v>
      </c>
      <c r="DX43" s="20">
        <f t="shared" si="224"/>
        <v>0</v>
      </c>
      <c r="DY43" s="20">
        <f t="shared" si="225"/>
        <v>0</v>
      </c>
      <c r="DZ43" s="20">
        <f t="shared" si="226"/>
        <v>0</v>
      </c>
      <c r="EA43" s="20">
        <f t="shared" si="227"/>
        <v>0</v>
      </c>
      <c r="EB43" s="20">
        <f t="shared" si="127"/>
        <v>0</v>
      </c>
      <c r="EG43" s="57">
        <f t="shared" si="128"/>
        <v>0</v>
      </c>
      <c r="EH43" s="57">
        <f t="shared" si="129"/>
        <v>0</v>
      </c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X43" s="169">
        <v>1</v>
      </c>
      <c r="FY43" s="17">
        <f t="shared" si="130"/>
        <v>44</v>
      </c>
      <c r="FZ43" s="17">
        <f t="shared" si="228"/>
        <v>44</v>
      </c>
      <c r="GA43" s="17">
        <f t="shared" si="229"/>
        <v>0</v>
      </c>
      <c r="GB43" s="17">
        <f t="shared" si="230"/>
        <v>0</v>
      </c>
      <c r="GC43" s="17">
        <f t="shared" si="231"/>
        <v>0</v>
      </c>
      <c r="GD43" s="17">
        <f t="shared" si="232"/>
        <v>0</v>
      </c>
      <c r="GE43" s="17">
        <f t="shared" si="233"/>
        <v>0</v>
      </c>
      <c r="GF43" s="67"/>
      <c r="GG43" s="17">
        <v>0</v>
      </c>
      <c r="GH43" s="17">
        <v>0</v>
      </c>
      <c r="GI43" s="67"/>
      <c r="GJ43" s="62">
        <f t="shared" si="131"/>
        <v>0</v>
      </c>
      <c r="GK43" s="62">
        <f t="shared" si="132"/>
        <v>0</v>
      </c>
      <c r="GO43" s="17">
        <f t="shared" si="234"/>
        <v>0</v>
      </c>
      <c r="GP43" s="17">
        <f t="shared" si="235"/>
        <v>0</v>
      </c>
      <c r="GQ43" s="17">
        <f t="shared" si="236"/>
        <v>0</v>
      </c>
      <c r="GR43" s="17">
        <f t="shared" si="237"/>
        <v>0</v>
      </c>
      <c r="GS43" s="17">
        <f t="shared" si="238"/>
        <v>0</v>
      </c>
      <c r="GT43" s="17">
        <f t="shared" si="133"/>
        <v>1</v>
      </c>
      <c r="GU43" s="101">
        <f t="shared" si="134"/>
        <v>43243</v>
      </c>
      <c r="GV43" s="17" t="str">
        <f t="shared" si="135"/>
        <v>SELESAI</v>
      </c>
      <c r="GW43" s="17">
        <f t="shared" si="136"/>
        <v>0</v>
      </c>
      <c r="GX43" s="66" t="str">
        <f t="shared" si="137"/>
        <v>SELESAI</v>
      </c>
      <c r="GY43" s="66">
        <f t="shared" si="138"/>
        <v>0</v>
      </c>
      <c r="GZ43" s="102" t="str">
        <f t="shared" si="139"/>
        <v>SELESAI</v>
      </c>
      <c r="HA43" s="83"/>
      <c r="HB43" s="83"/>
      <c r="HC43" s="17">
        <f t="shared" si="239"/>
        <v>0</v>
      </c>
      <c r="HD43" s="17">
        <f t="shared" si="240"/>
        <v>0</v>
      </c>
      <c r="HE43" s="17">
        <f t="shared" si="140"/>
        <v>0</v>
      </c>
      <c r="HF43" s="17">
        <f t="shared" si="141"/>
        <v>0</v>
      </c>
      <c r="HG43" s="17">
        <f t="shared" si="142"/>
        <v>0</v>
      </c>
      <c r="HH43" s="101" t="str">
        <f t="shared" si="47"/>
        <v>TIDAK KONSINYASI</v>
      </c>
      <c r="HI43" s="101" t="str">
        <f t="shared" si="143"/>
        <v>SELESAI</v>
      </c>
      <c r="HJ43" s="27"/>
      <c r="HK43" s="101">
        <f t="shared" si="48"/>
        <v>0</v>
      </c>
      <c r="HL43" s="83"/>
      <c r="HM43" s="83"/>
      <c r="HN43" s="83"/>
      <c r="HO43" s="83"/>
      <c r="HP43" s="102">
        <f t="shared" si="144"/>
        <v>0</v>
      </c>
      <c r="HQ43" s="66">
        <f t="shared" si="145"/>
        <v>0</v>
      </c>
      <c r="HR43" s="66">
        <f t="shared" si="241"/>
        <v>0</v>
      </c>
      <c r="HS43" s="102">
        <f t="shared" si="146"/>
        <v>0</v>
      </c>
      <c r="HT43" s="66">
        <f t="shared" si="147"/>
        <v>0</v>
      </c>
      <c r="HU43" s="66">
        <f t="shared" si="242"/>
        <v>0</v>
      </c>
      <c r="HV43" s="102">
        <f t="shared" si="148"/>
        <v>0</v>
      </c>
      <c r="HW43" s="66">
        <f t="shared" si="51"/>
        <v>0</v>
      </c>
      <c r="HX43" s="66">
        <f t="shared" si="243"/>
        <v>0</v>
      </c>
      <c r="HY43" s="102">
        <f t="shared" si="53"/>
        <v>0</v>
      </c>
      <c r="HZ43" s="66">
        <f t="shared" si="149"/>
        <v>0</v>
      </c>
      <c r="IA43" s="66">
        <f t="shared" si="244"/>
        <v>0</v>
      </c>
      <c r="IB43" s="102">
        <f t="shared" si="150"/>
        <v>0</v>
      </c>
      <c r="IC43" s="66">
        <f t="shared" si="55"/>
        <v>0</v>
      </c>
      <c r="ID43" s="66">
        <f t="shared" si="245"/>
        <v>0</v>
      </c>
      <c r="IE43" s="102">
        <f t="shared" si="57"/>
        <v>0</v>
      </c>
      <c r="IF43" s="66">
        <f t="shared" si="58"/>
        <v>0</v>
      </c>
      <c r="IG43" s="66">
        <f t="shared" si="246"/>
        <v>0</v>
      </c>
      <c r="IH43" s="102">
        <f t="shared" si="151"/>
        <v>0</v>
      </c>
      <c r="II43" s="66">
        <f t="shared" si="152"/>
        <v>0</v>
      </c>
      <c r="IJ43" s="66">
        <f t="shared" si="247"/>
        <v>0</v>
      </c>
      <c r="IK43" s="102">
        <f t="shared" si="61"/>
        <v>0</v>
      </c>
      <c r="IL43" s="66">
        <f t="shared" si="62"/>
        <v>0</v>
      </c>
      <c r="IM43" s="66">
        <f t="shared" si="248"/>
        <v>0</v>
      </c>
      <c r="IN43" s="83"/>
      <c r="IO43" s="102">
        <f t="shared" si="64"/>
        <v>0</v>
      </c>
      <c r="IP43" s="66">
        <f t="shared" si="249"/>
        <v>0</v>
      </c>
      <c r="IQ43" s="66">
        <f t="shared" si="250"/>
        <v>0</v>
      </c>
      <c r="IR43" s="83"/>
      <c r="IS43" s="102"/>
      <c r="IT43" s="66">
        <f t="shared" si="251"/>
        <v>1</v>
      </c>
      <c r="IU43" s="66">
        <f t="shared" si="252"/>
        <v>68</v>
      </c>
      <c r="IV43" s="83"/>
      <c r="IW43" s="102"/>
      <c r="IX43" s="66">
        <f t="shared" si="253"/>
        <v>0</v>
      </c>
      <c r="IY43" s="66">
        <f t="shared" si="254"/>
        <v>0</v>
      </c>
      <c r="IZ43" s="83"/>
      <c r="JA43" s="102"/>
      <c r="JB43" s="66">
        <f t="shared" si="255"/>
        <v>0</v>
      </c>
      <c r="JC43" s="66">
        <f t="shared" si="256"/>
        <v>0</v>
      </c>
      <c r="JD43" s="83"/>
      <c r="JE43" s="102"/>
      <c r="JF43" s="66">
        <f t="shared" si="153"/>
        <v>1</v>
      </c>
      <c r="JG43" s="66">
        <f t="shared" si="73"/>
        <v>68</v>
      </c>
      <c r="JH43" s="83"/>
      <c r="JI43" s="102"/>
      <c r="JJ43" s="66">
        <f t="shared" si="257"/>
        <v>0</v>
      </c>
      <c r="JK43" s="66">
        <f t="shared" si="258"/>
        <v>0</v>
      </c>
      <c r="JM43" s="102">
        <f t="shared" si="154"/>
        <v>0</v>
      </c>
      <c r="JO43" s="29">
        <f t="shared" si="76"/>
        <v>1</v>
      </c>
      <c r="JP43" s="122">
        <f t="shared" si="259"/>
        <v>44</v>
      </c>
      <c r="JQ43" s="122">
        <f t="shared" si="260"/>
        <v>1</v>
      </c>
      <c r="JR43" s="122">
        <f t="shared" si="261"/>
        <v>0</v>
      </c>
      <c r="JS43" s="122">
        <f t="shared" si="262"/>
        <v>0</v>
      </c>
      <c r="JT43" s="122">
        <f t="shared" si="263"/>
        <v>0</v>
      </c>
      <c r="JU43" s="122">
        <f t="shared" si="264"/>
        <v>0</v>
      </c>
      <c r="JV43" s="122">
        <f t="shared" si="265"/>
        <v>0</v>
      </c>
      <c r="JW43" s="122">
        <f t="shared" si="266"/>
        <v>0</v>
      </c>
      <c r="JX43" s="122">
        <f t="shared" si="267"/>
        <v>0</v>
      </c>
      <c r="JY43" s="122">
        <f t="shared" si="268"/>
        <v>0</v>
      </c>
      <c r="JZ43" s="122">
        <f t="shared" si="269"/>
        <v>0</v>
      </c>
      <c r="KA43" s="122">
        <f t="shared" si="270"/>
        <v>0</v>
      </c>
      <c r="KB43" s="122">
        <f t="shared" si="271"/>
        <v>0</v>
      </c>
      <c r="KD43" s="122">
        <f t="shared" si="155"/>
        <v>0</v>
      </c>
      <c r="KE43" s="122">
        <f t="shared" si="91"/>
        <v>0</v>
      </c>
      <c r="KF43" s="122">
        <f t="shared" si="272"/>
        <v>44</v>
      </c>
      <c r="KG43" s="122">
        <f t="shared" si="273"/>
        <v>44</v>
      </c>
      <c r="KH43" s="122">
        <f t="shared" si="274"/>
        <v>0</v>
      </c>
      <c r="KI43" s="122">
        <f t="shared" si="275"/>
        <v>0</v>
      </c>
      <c r="KJ43" s="122">
        <f t="shared" si="276"/>
        <v>0</v>
      </c>
      <c r="KK43" s="122">
        <f t="shared" si="277"/>
        <v>0</v>
      </c>
      <c r="KL43" s="122">
        <f t="shared" si="278"/>
        <v>0</v>
      </c>
      <c r="KM43" s="122">
        <f t="shared" si="279"/>
        <v>0</v>
      </c>
      <c r="KN43" s="123">
        <f t="shared" si="280"/>
        <v>0</v>
      </c>
      <c r="KO43" s="123">
        <f t="shared" si="281"/>
        <v>0</v>
      </c>
      <c r="KP43" s="123">
        <f t="shared" si="282"/>
        <v>0</v>
      </c>
      <c r="KQ43" s="123">
        <f t="shared" si="283"/>
        <v>0</v>
      </c>
      <c r="KR43" s="123">
        <f t="shared" si="284"/>
        <v>0</v>
      </c>
      <c r="KT43">
        <f t="shared" si="285"/>
        <v>0</v>
      </c>
      <c r="KU43" s="123"/>
      <c r="KV43" s="123"/>
      <c r="KW43" s="123"/>
      <c r="KX43" s="123"/>
      <c r="KY43" s="123"/>
      <c r="KZ43" s="123"/>
      <c r="LA43" s="123"/>
      <c r="LB43" s="123"/>
      <c r="LC43" s="123"/>
      <c r="LD43" s="123"/>
      <c r="LE43" s="123"/>
      <c r="LF43" s="123"/>
      <c r="LG43" s="123"/>
      <c r="LH43" s="123"/>
      <c r="LI43" s="123"/>
      <c r="LJ43" s="123"/>
      <c r="LK43" s="123"/>
      <c r="LL43" s="123"/>
      <c r="LM43" s="123"/>
      <c r="LN43" s="123"/>
      <c r="LO43" s="123"/>
      <c r="LP43" s="123"/>
      <c r="LQ43" s="123"/>
      <c r="LR43" s="123"/>
      <c r="LS43" s="123"/>
      <c r="LT43" s="123"/>
      <c r="LU43" s="123"/>
      <c r="LV43" s="123"/>
      <c r="LW43" s="123"/>
      <c r="LX43" s="123"/>
      <c r="LY43" s="123"/>
      <c r="LZ43" s="123"/>
      <c r="MA43" s="123"/>
      <c r="MB43" s="123"/>
      <c r="MC43" s="123"/>
      <c r="MD43" s="123"/>
      <c r="ME43" s="123"/>
      <c r="MF43" s="123"/>
      <c r="MG43" s="123"/>
      <c r="MH43" s="123"/>
      <c r="MI43" s="123"/>
      <c r="MJ43" s="123"/>
      <c r="MK43" s="123"/>
      <c r="ML43" s="123"/>
      <c r="MM43" s="123"/>
      <c r="MN43" s="123"/>
      <c r="MO43" s="123"/>
      <c r="MP43" s="123"/>
      <c r="MQ43" s="123"/>
      <c r="MR43" s="123"/>
      <c r="MS43" s="123"/>
      <c r="MT43" s="123"/>
      <c r="MU43" s="123"/>
      <c r="MV43" s="123"/>
      <c r="MW43" s="123"/>
      <c r="MX43" s="123"/>
      <c r="MY43" s="123"/>
      <c r="MZ43" s="123"/>
      <c r="NA43" s="123"/>
      <c r="NB43" s="123"/>
      <c r="NC43" s="123"/>
      <c r="ND43" s="123"/>
      <c r="NE43" s="123"/>
      <c r="NF43" s="123"/>
      <c r="NG43" s="123"/>
      <c r="NH43" s="123"/>
      <c r="NI43" s="123"/>
      <c r="NJ43" s="123"/>
      <c r="NK43" s="123"/>
      <c r="NM43">
        <f t="shared" si="156"/>
        <v>0</v>
      </c>
      <c r="NN43">
        <f t="shared" si="157"/>
        <v>0</v>
      </c>
      <c r="NO43">
        <f t="shared" si="158"/>
        <v>0</v>
      </c>
      <c r="NP43">
        <f t="shared" si="159"/>
        <v>0</v>
      </c>
      <c r="NQ43">
        <f t="shared" si="160"/>
        <v>0</v>
      </c>
      <c r="NR43">
        <f t="shared" si="161"/>
        <v>0</v>
      </c>
      <c r="NS43">
        <f t="shared" si="162"/>
        <v>0</v>
      </c>
      <c r="NT43">
        <f t="shared" si="163"/>
        <v>0</v>
      </c>
      <c r="NU43" s="29">
        <f t="shared" si="164"/>
        <v>0</v>
      </c>
      <c r="NY43" s="29">
        <f t="shared" si="107"/>
        <v>1</v>
      </c>
      <c r="NZ43" s="152">
        <v>7275000</v>
      </c>
      <c r="OE43" s="155">
        <f t="shared" si="194"/>
        <v>0</v>
      </c>
      <c r="OF43" s="155">
        <f t="shared" si="195"/>
        <v>0</v>
      </c>
      <c r="OG43" s="155">
        <f t="shared" si="196"/>
        <v>0</v>
      </c>
      <c r="OH43" s="155">
        <f t="shared" si="165"/>
        <v>0</v>
      </c>
      <c r="OI43" s="155">
        <f t="shared" si="197"/>
        <v>0</v>
      </c>
      <c r="OJ43" s="67">
        <f t="shared" si="166"/>
        <v>0</v>
      </c>
      <c r="OK43" s="67">
        <f t="shared" si="167"/>
        <v>0</v>
      </c>
      <c r="OL43" s="67">
        <f t="shared" si="168"/>
        <v>0</v>
      </c>
      <c r="OM43" s="67">
        <f t="shared" si="169"/>
        <v>0</v>
      </c>
      <c r="OO43" s="155">
        <f t="shared" si="198"/>
        <v>0</v>
      </c>
      <c r="OP43" s="155">
        <f t="shared" si="199"/>
        <v>0</v>
      </c>
      <c r="OQ43" s="155">
        <f t="shared" si="170"/>
        <v>0</v>
      </c>
      <c r="OR43" s="155">
        <f t="shared" si="171"/>
        <v>0</v>
      </c>
      <c r="OS43" s="155">
        <f t="shared" si="172"/>
        <v>0</v>
      </c>
      <c r="OT43" s="67">
        <f t="shared" si="173"/>
        <v>0</v>
      </c>
      <c r="OU43" s="67">
        <f t="shared" si="174"/>
        <v>0</v>
      </c>
      <c r="OV43" s="67">
        <f t="shared" si="175"/>
        <v>0</v>
      </c>
      <c r="OW43" s="67">
        <f t="shared" si="176"/>
        <v>0</v>
      </c>
      <c r="OZ43" s="163">
        <f t="shared" si="200"/>
        <v>0</v>
      </c>
      <c r="PA43" s="166"/>
      <c r="PB43" s="166"/>
      <c r="PC43" s="166"/>
      <c r="PD43" s="210">
        <f t="shared" si="115"/>
        <v>0</v>
      </c>
      <c r="PE43" s="210"/>
      <c r="PF43" s="210">
        <f t="shared" si="116"/>
        <v>0</v>
      </c>
      <c r="PG43" s="210">
        <f t="shared" si="117"/>
        <v>0</v>
      </c>
      <c r="PH43" s="210">
        <f t="shared" si="117"/>
        <v>0</v>
      </c>
      <c r="PI43" s="210">
        <f t="shared" si="117"/>
        <v>0</v>
      </c>
      <c r="PJ43" s="210">
        <f t="shared" si="117"/>
        <v>0</v>
      </c>
      <c r="PK43" s="210">
        <f t="shared" si="117"/>
        <v>0</v>
      </c>
      <c r="PL43" s="210">
        <f t="shared" si="117"/>
        <v>0</v>
      </c>
      <c r="PO43" s="172">
        <f t="shared" si="177"/>
        <v>0</v>
      </c>
      <c r="PP43" s="172">
        <f t="shared" si="178"/>
        <v>0</v>
      </c>
      <c r="PQ43" s="172">
        <f t="shared" si="179"/>
        <v>0</v>
      </c>
    </row>
    <row r="44" spans="1:433" ht="16" x14ac:dyDescent="0.2">
      <c r="A44" s="19">
        <f t="shared" si="180"/>
        <v>35</v>
      </c>
      <c r="B44" s="186" t="s">
        <v>198</v>
      </c>
      <c r="C44" s="186">
        <v>38</v>
      </c>
      <c r="D44" s="188">
        <v>1</v>
      </c>
      <c r="E44" s="188">
        <v>120</v>
      </c>
      <c r="F44" s="188">
        <v>1</v>
      </c>
      <c r="G44" s="188">
        <f t="shared" si="201"/>
        <v>120</v>
      </c>
      <c r="H44" s="214">
        <f t="shared" si="202"/>
        <v>1</v>
      </c>
      <c r="I44" s="214">
        <f t="shared" si="203"/>
        <v>1</v>
      </c>
      <c r="J44" s="188">
        <v>1</v>
      </c>
      <c r="K44" s="188">
        <f t="shared" si="204"/>
        <v>120</v>
      </c>
      <c r="L44" s="214">
        <f t="shared" si="205"/>
        <v>1</v>
      </c>
      <c r="M44" s="214">
        <f t="shared" si="206"/>
        <v>1</v>
      </c>
      <c r="N44" s="188">
        <v>1</v>
      </c>
      <c r="O44" s="188">
        <f t="shared" si="207"/>
        <v>120</v>
      </c>
      <c r="P44" s="214">
        <f t="shared" si="208"/>
        <v>1</v>
      </c>
      <c r="Q44" s="214">
        <f t="shared" si="209"/>
        <v>1</v>
      </c>
      <c r="R44" s="188">
        <v>1</v>
      </c>
      <c r="S44" s="188">
        <f t="shared" si="210"/>
        <v>120</v>
      </c>
      <c r="T44" s="214">
        <f t="shared" si="211"/>
        <v>1</v>
      </c>
      <c r="U44" s="214">
        <f t="shared" si="212"/>
        <v>1</v>
      </c>
      <c r="V44" s="188">
        <v>1</v>
      </c>
      <c r="W44" s="188">
        <f t="shared" si="213"/>
        <v>120</v>
      </c>
      <c r="X44" s="214">
        <f t="shared" si="214"/>
        <v>1</v>
      </c>
      <c r="Y44" s="214">
        <f t="shared" si="215"/>
        <v>1</v>
      </c>
      <c r="Z44" s="216">
        <f>1235864000/1000000000</f>
        <v>1.2358640000000001</v>
      </c>
      <c r="AA44" s="188">
        <v>0</v>
      </c>
      <c r="AB44" s="189">
        <f t="shared" si="118"/>
        <v>0</v>
      </c>
      <c r="AC44" s="250">
        <f t="shared" si="119"/>
        <v>0</v>
      </c>
      <c r="AD44" s="250">
        <f t="shared" si="120"/>
        <v>0</v>
      </c>
      <c r="AE44" s="188"/>
      <c r="AF44" s="188">
        <f t="shared" si="121"/>
        <v>0</v>
      </c>
      <c r="AG44" s="188"/>
      <c r="AH44" s="188" t="s">
        <v>313</v>
      </c>
      <c r="AI44" s="188">
        <v>0</v>
      </c>
      <c r="AJ44" s="188">
        <f t="shared" si="181"/>
        <v>0</v>
      </c>
      <c r="AK44" s="188"/>
      <c r="AL44" s="188">
        <v>0</v>
      </c>
      <c r="AM44" s="188">
        <v>0</v>
      </c>
      <c r="AN44" s="217"/>
      <c r="AO44" s="195"/>
      <c r="AP44" s="195"/>
      <c r="AQ44" s="195"/>
      <c r="AR44" s="195"/>
      <c r="AS44" s="195"/>
      <c r="AT44" s="195"/>
      <c r="BB44" s="17">
        <f t="shared" si="123"/>
        <v>0</v>
      </c>
      <c r="BE44" s="17">
        <f t="shared" si="216"/>
        <v>0</v>
      </c>
      <c r="BF44" s="17">
        <f t="shared" si="217"/>
        <v>0</v>
      </c>
      <c r="BG44" s="17">
        <f t="shared" si="218"/>
        <v>0</v>
      </c>
      <c r="BH44" s="17">
        <f t="shared" si="219"/>
        <v>0</v>
      </c>
      <c r="BI44" s="17">
        <f t="shared" si="220"/>
        <v>0</v>
      </c>
      <c r="BJ44" s="17">
        <f t="shared" si="221"/>
        <v>0</v>
      </c>
      <c r="BK44" s="17">
        <f t="shared" si="124"/>
        <v>0</v>
      </c>
      <c r="BM44" s="128"/>
      <c r="BN44" s="289">
        <v>80</v>
      </c>
      <c r="BO44">
        <v>1</v>
      </c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B44" s="20"/>
      <c r="CD44" s="17">
        <f t="shared" si="125"/>
        <v>80</v>
      </c>
      <c r="CE44" s="17">
        <f t="shared" si="126"/>
        <v>80</v>
      </c>
      <c r="CF44" s="20">
        <f t="shared" si="182"/>
        <v>0</v>
      </c>
      <c r="CG44" s="20">
        <f t="shared" si="183"/>
        <v>0</v>
      </c>
      <c r="CH44" s="20">
        <f t="shared" si="184"/>
        <v>0</v>
      </c>
      <c r="CI44" s="20">
        <f t="shared" si="185"/>
        <v>0</v>
      </c>
      <c r="CJ44" s="20">
        <f t="shared" si="186"/>
        <v>0</v>
      </c>
      <c r="CK44" s="20">
        <f t="shared" si="187"/>
        <v>0</v>
      </c>
      <c r="CL44" s="20">
        <f t="shared" si="188"/>
        <v>0</v>
      </c>
      <c r="CM44" s="20">
        <f t="shared" si="189"/>
        <v>0</v>
      </c>
      <c r="CN44" s="20">
        <f t="shared" si="190"/>
        <v>0</v>
      </c>
      <c r="CO44" s="20">
        <f t="shared" si="191"/>
        <v>0</v>
      </c>
      <c r="CP44" s="20">
        <f t="shared" si="192"/>
        <v>0</v>
      </c>
      <c r="DV44" s="20">
        <f t="shared" si="222"/>
        <v>0</v>
      </c>
      <c r="DW44" s="20">
        <f t="shared" si="223"/>
        <v>0</v>
      </c>
      <c r="DX44" s="20">
        <f t="shared" si="224"/>
        <v>0</v>
      </c>
      <c r="DY44" s="20">
        <f t="shared" si="225"/>
        <v>0</v>
      </c>
      <c r="DZ44" s="20">
        <f t="shared" si="226"/>
        <v>0</v>
      </c>
      <c r="EA44" s="20">
        <f t="shared" si="227"/>
        <v>0</v>
      </c>
      <c r="EB44" s="20">
        <f t="shared" si="127"/>
        <v>0</v>
      </c>
      <c r="EG44" s="57">
        <f t="shared" si="128"/>
        <v>0</v>
      </c>
      <c r="EH44" s="57">
        <f t="shared" si="129"/>
        <v>0</v>
      </c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X44" s="169">
        <v>1</v>
      </c>
      <c r="FY44" s="17">
        <f t="shared" si="130"/>
        <v>80</v>
      </c>
      <c r="FZ44" s="17">
        <f t="shared" si="228"/>
        <v>80</v>
      </c>
      <c r="GA44" s="17">
        <f t="shared" si="229"/>
        <v>0</v>
      </c>
      <c r="GB44" s="17">
        <f t="shared" si="230"/>
        <v>0</v>
      </c>
      <c r="GC44" s="17">
        <f t="shared" si="231"/>
        <v>0</v>
      </c>
      <c r="GD44" s="17">
        <f t="shared" si="232"/>
        <v>0</v>
      </c>
      <c r="GE44" s="17">
        <f t="shared" si="233"/>
        <v>0</v>
      </c>
      <c r="GF44" s="67"/>
      <c r="GG44" s="17">
        <v>0</v>
      </c>
      <c r="GH44" s="17">
        <v>0</v>
      </c>
      <c r="GI44" s="67"/>
      <c r="GJ44" s="62">
        <f t="shared" si="131"/>
        <v>0</v>
      </c>
      <c r="GK44" s="62">
        <f t="shared" si="132"/>
        <v>0</v>
      </c>
      <c r="GO44" s="17">
        <f t="shared" si="234"/>
        <v>0</v>
      </c>
      <c r="GP44" s="17">
        <f t="shared" si="235"/>
        <v>0</v>
      </c>
      <c r="GQ44" s="17">
        <f t="shared" si="236"/>
        <v>0</v>
      </c>
      <c r="GR44" s="17">
        <f t="shared" si="237"/>
        <v>0</v>
      </c>
      <c r="GS44" s="17">
        <f t="shared" si="238"/>
        <v>0</v>
      </c>
      <c r="GT44" s="17">
        <f t="shared" si="133"/>
        <v>1</v>
      </c>
      <c r="GU44" s="101">
        <f t="shared" si="134"/>
        <v>43243</v>
      </c>
      <c r="GV44" s="17" t="str">
        <f t="shared" si="135"/>
        <v>SELESAI</v>
      </c>
      <c r="GW44" s="17">
        <f t="shared" si="136"/>
        <v>0</v>
      </c>
      <c r="GX44" s="66" t="str">
        <f t="shared" si="137"/>
        <v>SELESAI</v>
      </c>
      <c r="GY44" s="66">
        <f t="shared" si="138"/>
        <v>0</v>
      </c>
      <c r="GZ44" s="102" t="str">
        <f t="shared" si="139"/>
        <v>SELESAI</v>
      </c>
      <c r="HA44" s="83"/>
      <c r="HB44" s="83"/>
      <c r="HC44" s="17">
        <f t="shared" si="239"/>
        <v>0</v>
      </c>
      <c r="HD44" s="17">
        <f t="shared" si="240"/>
        <v>0</v>
      </c>
      <c r="HE44" s="17">
        <f t="shared" si="140"/>
        <v>0</v>
      </c>
      <c r="HF44" s="17">
        <f t="shared" si="141"/>
        <v>0</v>
      </c>
      <c r="HG44" s="17">
        <f t="shared" si="142"/>
        <v>0</v>
      </c>
      <c r="HH44" s="101" t="str">
        <f t="shared" si="47"/>
        <v>TIDAK KONSINYASI</v>
      </c>
      <c r="HI44" s="101" t="str">
        <f t="shared" si="143"/>
        <v>SELESAI</v>
      </c>
      <c r="HJ44" s="27"/>
      <c r="HK44" s="101">
        <f t="shared" si="48"/>
        <v>0</v>
      </c>
      <c r="HL44" s="83"/>
      <c r="HM44" s="83"/>
      <c r="HN44" s="83"/>
      <c r="HO44" s="83"/>
      <c r="HP44" s="102">
        <f t="shared" si="144"/>
        <v>0</v>
      </c>
      <c r="HQ44" s="66">
        <f t="shared" si="145"/>
        <v>0</v>
      </c>
      <c r="HR44" s="66">
        <f t="shared" si="241"/>
        <v>0</v>
      </c>
      <c r="HS44" s="102">
        <f t="shared" si="146"/>
        <v>0</v>
      </c>
      <c r="HT44" s="66">
        <f t="shared" si="147"/>
        <v>0</v>
      </c>
      <c r="HU44" s="66">
        <f t="shared" si="242"/>
        <v>0</v>
      </c>
      <c r="HV44" s="102">
        <f t="shared" si="148"/>
        <v>0</v>
      </c>
      <c r="HW44" s="66">
        <f t="shared" si="51"/>
        <v>0</v>
      </c>
      <c r="HX44" s="66">
        <f t="shared" si="243"/>
        <v>0</v>
      </c>
      <c r="HY44" s="102">
        <f t="shared" si="53"/>
        <v>0</v>
      </c>
      <c r="HZ44" s="66">
        <f t="shared" si="149"/>
        <v>0</v>
      </c>
      <c r="IA44" s="66">
        <f t="shared" si="244"/>
        <v>0</v>
      </c>
      <c r="IB44" s="102">
        <f t="shared" si="150"/>
        <v>0</v>
      </c>
      <c r="IC44" s="66">
        <f t="shared" si="55"/>
        <v>0</v>
      </c>
      <c r="ID44" s="66">
        <f t="shared" si="245"/>
        <v>0</v>
      </c>
      <c r="IE44" s="102">
        <f t="shared" si="57"/>
        <v>0</v>
      </c>
      <c r="IF44" s="66">
        <f t="shared" si="58"/>
        <v>0</v>
      </c>
      <c r="IG44" s="66">
        <f t="shared" si="246"/>
        <v>0</v>
      </c>
      <c r="IH44" s="102">
        <f t="shared" si="151"/>
        <v>0</v>
      </c>
      <c r="II44" s="66">
        <f t="shared" si="152"/>
        <v>0</v>
      </c>
      <c r="IJ44" s="66">
        <f t="shared" si="247"/>
        <v>0</v>
      </c>
      <c r="IK44" s="102">
        <f t="shared" si="61"/>
        <v>0</v>
      </c>
      <c r="IL44" s="66">
        <f t="shared" si="62"/>
        <v>0</v>
      </c>
      <c r="IM44" s="66">
        <f t="shared" si="248"/>
        <v>0</v>
      </c>
      <c r="IN44" s="83"/>
      <c r="IO44" s="102">
        <f t="shared" si="64"/>
        <v>0</v>
      </c>
      <c r="IP44" s="66">
        <f t="shared" si="249"/>
        <v>0</v>
      </c>
      <c r="IQ44" s="66">
        <f t="shared" si="250"/>
        <v>0</v>
      </c>
      <c r="IR44" s="83"/>
      <c r="IS44" s="102"/>
      <c r="IT44" s="66">
        <f t="shared" si="251"/>
        <v>1</v>
      </c>
      <c r="IU44" s="66">
        <f t="shared" si="252"/>
        <v>120</v>
      </c>
      <c r="IV44" s="83"/>
      <c r="IW44" s="102"/>
      <c r="IX44" s="66">
        <f t="shared" si="253"/>
        <v>0</v>
      </c>
      <c r="IY44" s="66">
        <f t="shared" si="254"/>
        <v>0</v>
      </c>
      <c r="IZ44" s="83"/>
      <c r="JA44" s="102"/>
      <c r="JB44" s="66">
        <f t="shared" si="255"/>
        <v>0</v>
      </c>
      <c r="JC44" s="66">
        <f t="shared" si="256"/>
        <v>0</v>
      </c>
      <c r="JD44" s="83"/>
      <c r="JE44" s="102"/>
      <c r="JF44" s="66">
        <f t="shared" si="153"/>
        <v>1</v>
      </c>
      <c r="JG44" s="66">
        <f t="shared" si="73"/>
        <v>120</v>
      </c>
      <c r="JH44" s="83"/>
      <c r="JI44" s="102"/>
      <c r="JJ44" s="66">
        <f t="shared" si="257"/>
        <v>0</v>
      </c>
      <c r="JK44" s="66">
        <f t="shared" si="258"/>
        <v>0</v>
      </c>
      <c r="JM44" s="102">
        <f t="shared" si="154"/>
        <v>0</v>
      </c>
      <c r="JO44" s="29">
        <f t="shared" si="76"/>
        <v>1</v>
      </c>
      <c r="JP44" s="122">
        <f t="shared" si="259"/>
        <v>80</v>
      </c>
      <c r="JQ44" s="122">
        <f t="shared" si="260"/>
        <v>1</v>
      </c>
      <c r="JR44" s="122">
        <f t="shared" si="261"/>
        <v>0</v>
      </c>
      <c r="JS44" s="122">
        <f t="shared" si="262"/>
        <v>0</v>
      </c>
      <c r="JT44" s="122">
        <f t="shared" si="263"/>
        <v>0</v>
      </c>
      <c r="JU44" s="122">
        <f t="shared" si="264"/>
        <v>0</v>
      </c>
      <c r="JV44" s="122">
        <f t="shared" si="265"/>
        <v>0</v>
      </c>
      <c r="JW44" s="122">
        <f t="shared" si="266"/>
        <v>0</v>
      </c>
      <c r="JX44" s="122">
        <f t="shared" si="267"/>
        <v>0</v>
      </c>
      <c r="JY44" s="122">
        <f t="shared" si="268"/>
        <v>0</v>
      </c>
      <c r="JZ44" s="122">
        <f t="shared" si="269"/>
        <v>0</v>
      </c>
      <c r="KA44" s="122">
        <f t="shared" si="270"/>
        <v>0</v>
      </c>
      <c r="KB44" s="122">
        <f t="shared" si="271"/>
        <v>0</v>
      </c>
      <c r="KD44" s="122">
        <f t="shared" si="155"/>
        <v>0</v>
      </c>
      <c r="KE44" s="122">
        <f t="shared" si="91"/>
        <v>0</v>
      </c>
      <c r="KF44" s="122">
        <f t="shared" si="272"/>
        <v>80</v>
      </c>
      <c r="KG44" s="122">
        <f t="shared" si="273"/>
        <v>80</v>
      </c>
      <c r="KH44" s="122">
        <f t="shared" si="274"/>
        <v>0</v>
      </c>
      <c r="KI44" s="122">
        <f t="shared" si="275"/>
        <v>0</v>
      </c>
      <c r="KJ44" s="122">
        <f t="shared" si="276"/>
        <v>0</v>
      </c>
      <c r="KK44" s="122">
        <f t="shared" si="277"/>
        <v>0</v>
      </c>
      <c r="KL44" s="122">
        <f t="shared" si="278"/>
        <v>0</v>
      </c>
      <c r="KM44" s="122">
        <f t="shared" si="279"/>
        <v>0</v>
      </c>
      <c r="KN44" s="123">
        <f t="shared" si="280"/>
        <v>0</v>
      </c>
      <c r="KO44" s="123">
        <f t="shared" si="281"/>
        <v>0</v>
      </c>
      <c r="KP44" s="123">
        <f t="shared" si="282"/>
        <v>0</v>
      </c>
      <c r="KQ44" s="123">
        <f t="shared" si="283"/>
        <v>0</v>
      </c>
      <c r="KR44" s="123">
        <f t="shared" si="284"/>
        <v>0</v>
      </c>
      <c r="KT44">
        <f t="shared" si="285"/>
        <v>0</v>
      </c>
      <c r="KU44" s="123"/>
      <c r="KV44" s="123"/>
      <c r="KW44" s="123"/>
      <c r="KX44" s="123"/>
      <c r="KY44" s="123"/>
      <c r="KZ44" s="123"/>
      <c r="LA44" s="123"/>
      <c r="LB44" s="123"/>
      <c r="LC44" s="123"/>
      <c r="LD44" s="123"/>
      <c r="LE44" s="123"/>
      <c r="LF44" s="123"/>
      <c r="LG44" s="123"/>
      <c r="LH44" s="123"/>
      <c r="LI44" s="123"/>
      <c r="LJ44" s="123"/>
      <c r="LK44" s="123"/>
      <c r="LL44" s="123"/>
      <c r="LM44" s="123"/>
      <c r="LN44" s="123"/>
      <c r="LO44" s="123"/>
      <c r="LP44" s="123"/>
      <c r="LQ44" s="123"/>
      <c r="LR44" s="123"/>
      <c r="LS44" s="123"/>
      <c r="LT44" s="123"/>
      <c r="LU44" s="123"/>
      <c r="LV44" s="123"/>
      <c r="LW44" s="123"/>
      <c r="LX44" s="123"/>
      <c r="LY44" s="123"/>
      <c r="LZ44" s="123"/>
      <c r="MA44" s="123"/>
      <c r="MB44" s="123"/>
      <c r="MC44" s="123"/>
      <c r="MD44" s="123"/>
      <c r="ME44" s="123"/>
      <c r="MF44" s="123"/>
      <c r="MG44" s="123"/>
      <c r="MH44" s="123"/>
      <c r="MI44" s="123"/>
      <c r="MJ44" s="123"/>
      <c r="MK44" s="123"/>
      <c r="ML44" s="123"/>
      <c r="MM44" s="123"/>
      <c r="MN44" s="123"/>
      <c r="MO44" s="123"/>
      <c r="MP44" s="123"/>
      <c r="MQ44" s="123"/>
      <c r="MR44" s="123"/>
      <c r="MS44" s="123"/>
      <c r="MT44" s="123"/>
      <c r="MU44" s="123"/>
      <c r="MV44" s="123"/>
      <c r="MW44" s="123"/>
      <c r="MX44" s="123"/>
      <c r="MY44" s="123"/>
      <c r="MZ44" s="123"/>
      <c r="NA44" s="123"/>
      <c r="NB44" s="123"/>
      <c r="NC44" s="123"/>
      <c r="ND44" s="123"/>
      <c r="NE44" s="123"/>
      <c r="NF44" s="123"/>
      <c r="NG44" s="123"/>
      <c r="NH44" s="123"/>
      <c r="NI44" s="123"/>
      <c r="NJ44" s="123"/>
      <c r="NK44" s="123"/>
      <c r="NM44">
        <f t="shared" si="156"/>
        <v>0</v>
      </c>
      <c r="NN44">
        <f t="shared" si="157"/>
        <v>0</v>
      </c>
      <c r="NO44">
        <f t="shared" si="158"/>
        <v>0</v>
      </c>
      <c r="NP44">
        <f t="shared" si="159"/>
        <v>0</v>
      </c>
      <c r="NQ44">
        <f t="shared" si="160"/>
        <v>0</v>
      </c>
      <c r="NR44">
        <f t="shared" si="161"/>
        <v>0</v>
      </c>
      <c r="NS44">
        <f t="shared" si="162"/>
        <v>0</v>
      </c>
      <c r="NT44">
        <f t="shared" si="163"/>
        <v>0</v>
      </c>
      <c r="NU44" s="29">
        <f t="shared" si="164"/>
        <v>0</v>
      </c>
      <c r="NY44" s="29">
        <f t="shared" si="107"/>
        <v>1</v>
      </c>
      <c r="NZ44" s="152">
        <v>7275000</v>
      </c>
      <c r="OE44" s="155">
        <f t="shared" si="194"/>
        <v>0</v>
      </c>
      <c r="OF44" s="155">
        <f t="shared" si="195"/>
        <v>0</v>
      </c>
      <c r="OG44" s="155">
        <f t="shared" si="196"/>
        <v>0</v>
      </c>
      <c r="OH44" s="155">
        <f t="shared" si="165"/>
        <v>0</v>
      </c>
      <c r="OI44" s="155">
        <f t="shared" si="197"/>
        <v>0</v>
      </c>
      <c r="OJ44" s="67">
        <f t="shared" si="166"/>
        <v>0</v>
      </c>
      <c r="OK44" s="67">
        <f t="shared" si="167"/>
        <v>0</v>
      </c>
      <c r="OL44" s="67">
        <f t="shared" si="168"/>
        <v>0</v>
      </c>
      <c r="OM44" s="67">
        <f t="shared" si="169"/>
        <v>0</v>
      </c>
      <c r="OO44" s="155">
        <f t="shared" si="198"/>
        <v>0</v>
      </c>
      <c r="OP44" s="155">
        <f t="shared" si="199"/>
        <v>0</v>
      </c>
      <c r="OQ44" s="155">
        <f t="shared" si="170"/>
        <v>0</v>
      </c>
      <c r="OR44" s="155">
        <f t="shared" si="171"/>
        <v>0</v>
      </c>
      <c r="OS44" s="155">
        <f t="shared" si="172"/>
        <v>0</v>
      </c>
      <c r="OT44" s="67">
        <f t="shared" si="173"/>
        <v>0</v>
      </c>
      <c r="OU44" s="67">
        <f t="shared" si="174"/>
        <v>0</v>
      </c>
      <c r="OV44" s="67">
        <f t="shared" si="175"/>
        <v>0</v>
      </c>
      <c r="OW44" s="67">
        <f t="shared" si="176"/>
        <v>0</v>
      </c>
      <c r="OZ44" s="163">
        <f t="shared" si="200"/>
        <v>0</v>
      </c>
      <c r="PA44" s="166"/>
      <c r="PB44" s="166"/>
      <c r="PC44" s="166"/>
      <c r="PD44" s="210">
        <f t="shared" si="115"/>
        <v>0</v>
      </c>
      <c r="PE44" s="210"/>
      <c r="PF44" s="210">
        <f t="shared" si="116"/>
        <v>0</v>
      </c>
      <c r="PG44" s="210">
        <f t="shared" si="117"/>
        <v>0</v>
      </c>
      <c r="PH44" s="210">
        <f t="shared" si="117"/>
        <v>0</v>
      </c>
      <c r="PI44" s="210">
        <f t="shared" si="117"/>
        <v>0</v>
      </c>
      <c r="PJ44" s="210">
        <f t="shared" si="117"/>
        <v>0</v>
      </c>
      <c r="PK44" s="210">
        <f t="shared" si="117"/>
        <v>0</v>
      </c>
      <c r="PL44" s="210">
        <f t="shared" si="117"/>
        <v>0</v>
      </c>
      <c r="PO44" s="172">
        <f t="shared" si="177"/>
        <v>0</v>
      </c>
      <c r="PP44" s="172">
        <f t="shared" si="178"/>
        <v>0</v>
      </c>
      <c r="PQ44" s="172">
        <f t="shared" si="179"/>
        <v>0</v>
      </c>
    </row>
    <row r="45" spans="1:433" ht="16" x14ac:dyDescent="0.2">
      <c r="A45" s="19">
        <f t="shared" si="180"/>
        <v>36</v>
      </c>
      <c r="B45" s="186" t="s">
        <v>199</v>
      </c>
      <c r="C45" s="186">
        <v>39</v>
      </c>
      <c r="D45" s="188">
        <v>1</v>
      </c>
      <c r="E45" s="188">
        <v>106</v>
      </c>
      <c r="F45" s="188">
        <v>1</v>
      </c>
      <c r="G45" s="188">
        <f t="shared" si="201"/>
        <v>106</v>
      </c>
      <c r="H45" s="214">
        <f t="shared" si="202"/>
        <v>1</v>
      </c>
      <c r="I45" s="214">
        <f t="shared" si="203"/>
        <v>1</v>
      </c>
      <c r="J45" s="188">
        <v>1</v>
      </c>
      <c r="K45" s="188">
        <f t="shared" si="204"/>
        <v>106</v>
      </c>
      <c r="L45" s="214">
        <f t="shared" si="205"/>
        <v>1</v>
      </c>
      <c r="M45" s="214">
        <f t="shared" si="206"/>
        <v>1</v>
      </c>
      <c r="N45" s="188">
        <v>1</v>
      </c>
      <c r="O45" s="188">
        <f t="shared" si="207"/>
        <v>106</v>
      </c>
      <c r="P45" s="214">
        <f t="shared" si="208"/>
        <v>1</v>
      </c>
      <c r="Q45" s="214">
        <f t="shared" si="209"/>
        <v>1</v>
      </c>
      <c r="R45" s="188">
        <v>1</v>
      </c>
      <c r="S45" s="188">
        <f t="shared" si="210"/>
        <v>106</v>
      </c>
      <c r="T45" s="214">
        <f t="shared" si="211"/>
        <v>1</v>
      </c>
      <c r="U45" s="214">
        <f t="shared" si="212"/>
        <v>1</v>
      </c>
      <c r="V45" s="188">
        <v>1</v>
      </c>
      <c r="W45" s="188">
        <f t="shared" si="213"/>
        <v>106</v>
      </c>
      <c r="X45" s="214">
        <f t="shared" si="214"/>
        <v>1</v>
      </c>
      <c r="Y45" s="214">
        <f t="shared" si="215"/>
        <v>1</v>
      </c>
      <c r="Z45" s="216">
        <f>1348840000/1000000000</f>
        <v>1.34884</v>
      </c>
      <c r="AA45" s="188">
        <v>0</v>
      </c>
      <c r="AB45" s="189">
        <f t="shared" si="118"/>
        <v>0</v>
      </c>
      <c r="AC45" s="250">
        <f t="shared" si="119"/>
        <v>0</v>
      </c>
      <c r="AD45" s="250">
        <f t="shared" si="120"/>
        <v>0</v>
      </c>
      <c r="AE45" s="188"/>
      <c r="AF45" s="188">
        <f t="shared" si="121"/>
        <v>0</v>
      </c>
      <c r="AG45" s="188"/>
      <c r="AH45" s="188" t="s">
        <v>313</v>
      </c>
      <c r="AI45" s="188">
        <v>0</v>
      </c>
      <c r="AJ45" s="188">
        <f t="shared" si="181"/>
        <v>0</v>
      </c>
      <c r="AK45" s="188"/>
      <c r="AL45" s="188">
        <v>0</v>
      </c>
      <c r="AM45" s="188">
        <v>0</v>
      </c>
      <c r="AN45" s="217"/>
      <c r="AO45" s="195"/>
      <c r="AP45" s="195"/>
      <c r="AQ45" s="195"/>
      <c r="AR45" s="195"/>
      <c r="AS45" s="195"/>
      <c r="AT45" s="195"/>
      <c r="BB45" s="17">
        <f t="shared" si="123"/>
        <v>0</v>
      </c>
      <c r="BE45" s="17">
        <f t="shared" si="216"/>
        <v>0</v>
      </c>
      <c r="BF45" s="17">
        <f t="shared" si="217"/>
        <v>0</v>
      </c>
      <c r="BG45" s="17">
        <f t="shared" si="218"/>
        <v>0</v>
      </c>
      <c r="BH45" s="17">
        <f t="shared" si="219"/>
        <v>0</v>
      </c>
      <c r="BI45" s="17">
        <f t="shared" si="220"/>
        <v>0</v>
      </c>
      <c r="BJ45" s="17">
        <f t="shared" si="221"/>
        <v>0</v>
      </c>
      <c r="BK45" s="17">
        <f t="shared" si="124"/>
        <v>0</v>
      </c>
      <c r="BM45" s="128"/>
      <c r="BN45" s="147">
        <v>62</v>
      </c>
      <c r="BO45" s="288">
        <v>1</v>
      </c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B45" s="20"/>
      <c r="CD45" s="17">
        <f t="shared" si="125"/>
        <v>62</v>
      </c>
      <c r="CE45" s="17">
        <f t="shared" si="126"/>
        <v>62</v>
      </c>
      <c r="CF45" s="20">
        <f t="shared" si="182"/>
        <v>0</v>
      </c>
      <c r="CG45" s="20">
        <f t="shared" si="183"/>
        <v>0</v>
      </c>
      <c r="CH45" s="20">
        <f t="shared" si="184"/>
        <v>0</v>
      </c>
      <c r="CI45" s="20">
        <f t="shared" si="185"/>
        <v>0</v>
      </c>
      <c r="CJ45" s="20">
        <f t="shared" si="186"/>
        <v>0</v>
      </c>
      <c r="CK45" s="20">
        <f t="shared" si="187"/>
        <v>0</v>
      </c>
      <c r="CL45" s="20">
        <f t="shared" si="188"/>
        <v>0</v>
      </c>
      <c r="CM45" s="20">
        <f t="shared" si="189"/>
        <v>0</v>
      </c>
      <c r="CN45" s="20">
        <f t="shared" si="190"/>
        <v>0</v>
      </c>
      <c r="CO45" s="20">
        <f t="shared" si="191"/>
        <v>0</v>
      </c>
      <c r="CP45" s="20">
        <f t="shared" si="192"/>
        <v>0</v>
      </c>
      <c r="DV45" s="20">
        <f t="shared" si="222"/>
        <v>0</v>
      </c>
      <c r="DW45" s="20">
        <f t="shared" si="223"/>
        <v>0</v>
      </c>
      <c r="DX45" s="20">
        <f t="shared" si="224"/>
        <v>0</v>
      </c>
      <c r="DY45" s="20">
        <f t="shared" si="225"/>
        <v>0</v>
      </c>
      <c r="DZ45" s="20">
        <f t="shared" si="226"/>
        <v>0</v>
      </c>
      <c r="EA45" s="20">
        <f t="shared" si="227"/>
        <v>0</v>
      </c>
      <c r="EB45" s="20">
        <f t="shared" si="127"/>
        <v>0</v>
      </c>
      <c r="EG45" s="57">
        <f t="shared" si="128"/>
        <v>0</v>
      </c>
      <c r="EH45" s="57">
        <f t="shared" si="129"/>
        <v>0</v>
      </c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X45" s="169">
        <v>1</v>
      </c>
      <c r="FY45" s="17">
        <f t="shared" si="130"/>
        <v>62</v>
      </c>
      <c r="FZ45" s="17">
        <f t="shared" si="228"/>
        <v>62</v>
      </c>
      <c r="GA45" s="17">
        <f t="shared" si="229"/>
        <v>0</v>
      </c>
      <c r="GB45" s="17">
        <f t="shared" si="230"/>
        <v>0</v>
      </c>
      <c r="GC45" s="17">
        <f t="shared" si="231"/>
        <v>0</v>
      </c>
      <c r="GD45" s="17">
        <f t="shared" si="232"/>
        <v>0</v>
      </c>
      <c r="GE45" s="17">
        <f t="shared" si="233"/>
        <v>0</v>
      </c>
      <c r="GF45" s="67"/>
      <c r="GG45" s="17">
        <v>0</v>
      </c>
      <c r="GH45" s="17">
        <v>0</v>
      </c>
      <c r="GI45" s="67"/>
      <c r="GJ45" s="62">
        <f t="shared" si="131"/>
        <v>0</v>
      </c>
      <c r="GK45" s="62">
        <f t="shared" si="132"/>
        <v>0</v>
      </c>
      <c r="GO45" s="17">
        <f t="shared" si="234"/>
        <v>0</v>
      </c>
      <c r="GP45" s="17">
        <f t="shared" si="235"/>
        <v>0</v>
      </c>
      <c r="GQ45" s="17">
        <f t="shared" si="236"/>
        <v>0</v>
      </c>
      <c r="GR45" s="17">
        <f t="shared" si="237"/>
        <v>0</v>
      </c>
      <c r="GS45" s="17">
        <f t="shared" si="238"/>
        <v>0</v>
      </c>
      <c r="GT45" s="17">
        <f t="shared" si="133"/>
        <v>1</v>
      </c>
      <c r="GU45" s="101">
        <f t="shared" si="134"/>
        <v>43243</v>
      </c>
      <c r="GV45" s="17" t="str">
        <f t="shared" si="135"/>
        <v>SELESAI</v>
      </c>
      <c r="GW45" s="17">
        <f t="shared" si="136"/>
        <v>0</v>
      </c>
      <c r="GX45" s="66" t="str">
        <f t="shared" si="137"/>
        <v>SELESAI</v>
      </c>
      <c r="GY45" s="66">
        <f t="shared" si="138"/>
        <v>0</v>
      </c>
      <c r="GZ45" s="102" t="str">
        <f t="shared" si="139"/>
        <v>SELESAI</v>
      </c>
      <c r="HA45" s="83"/>
      <c r="HB45" s="83"/>
      <c r="HC45" s="17">
        <f t="shared" si="239"/>
        <v>0</v>
      </c>
      <c r="HD45" s="17">
        <f t="shared" si="240"/>
        <v>0</v>
      </c>
      <c r="HE45" s="17">
        <f t="shared" si="140"/>
        <v>0</v>
      </c>
      <c r="HF45" s="17">
        <f t="shared" si="141"/>
        <v>0</v>
      </c>
      <c r="HG45" s="17">
        <f t="shared" si="142"/>
        <v>0</v>
      </c>
      <c r="HH45" s="101" t="str">
        <f t="shared" si="47"/>
        <v>TIDAK KONSINYASI</v>
      </c>
      <c r="HI45" s="101" t="str">
        <f t="shared" si="143"/>
        <v>SELESAI</v>
      </c>
      <c r="HJ45" s="27"/>
      <c r="HK45" s="101">
        <f t="shared" si="48"/>
        <v>0</v>
      </c>
      <c r="HL45" s="83"/>
      <c r="HM45" s="83"/>
      <c r="HN45" s="83"/>
      <c r="HO45" s="83"/>
      <c r="HP45" s="102">
        <f t="shared" si="144"/>
        <v>0</v>
      </c>
      <c r="HQ45" s="66">
        <f t="shared" si="145"/>
        <v>0</v>
      </c>
      <c r="HR45" s="66">
        <f t="shared" si="241"/>
        <v>0</v>
      </c>
      <c r="HS45" s="102">
        <f t="shared" si="146"/>
        <v>0</v>
      </c>
      <c r="HT45" s="66">
        <f t="shared" si="147"/>
        <v>0</v>
      </c>
      <c r="HU45" s="66">
        <f t="shared" si="242"/>
        <v>0</v>
      </c>
      <c r="HV45" s="102">
        <f t="shared" si="148"/>
        <v>0</v>
      </c>
      <c r="HW45" s="66">
        <f t="shared" si="51"/>
        <v>0</v>
      </c>
      <c r="HX45" s="66">
        <f t="shared" si="243"/>
        <v>0</v>
      </c>
      <c r="HY45" s="102">
        <f t="shared" si="53"/>
        <v>0</v>
      </c>
      <c r="HZ45" s="66">
        <f t="shared" si="149"/>
        <v>0</v>
      </c>
      <c r="IA45" s="66">
        <f t="shared" si="244"/>
        <v>0</v>
      </c>
      <c r="IB45" s="102">
        <f t="shared" si="150"/>
        <v>0</v>
      </c>
      <c r="IC45" s="66">
        <f t="shared" si="55"/>
        <v>0</v>
      </c>
      <c r="ID45" s="66">
        <f t="shared" si="245"/>
        <v>0</v>
      </c>
      <c r="IE45" s="102">
        <f t="shared" si="57"/>
        <v>0</v>
      </c>
      <c r="IF45" s="66">
        <f t="shared" si="58"/>
        <v>0</v>
      </c>
      <c r="IG45" s="66">
        <f t="shared" si="246"/>
        <v>0</v>
      </c>
      <c r="IH45" s="102">
        <f t="shared" si="151"/>
        <v>0</v>
      </c>
      <c r="II45" s="66">
        <f t="shared" si="152"/>
        <v>0</v>
      </c>
      <c r="IJ45" s="66">
        <f t="shared" si="247"/>
        <v>0</v>
      </c>
      <c r="IK45" s="102">
        <f t="shared" si="61"/>
        <v>0</v>
      </c>
      <c r="IL45" s="66">
        <f t="shared" si="62"/>
        <v>0</v>
      </c>
      <c r="IM45" s="66">
        <f t="shared" si="248"/>
        <v>0</v>
      </c>
      <c r="IN45" s="83"/>
      <c r="IO45" s="102">
        <f t="shared" si="64"/>
        <v>0</v>
      </c>
      <c r="IP45" s="66">
        <f t="shared" si="249"/>
        <v>0</v>
      </c>
      <c r="IQ45" s="66">
        <f t="shared" si="250"/>
        <v>0</v>
      </c>
      <c r="IR45" s="83"/>
      <c r="IS45" s="102"/>
      <c r="IT45" s="66">
        <f t="shared" si="251"/>
        <v>1</v>
      </c>
      <c r="IU45" s="66">
        <f t="shared" si="252"/>
        <v>106</v>
      </c>
      <c r="IV45" s="83"/>
      <c r="IW45" s="102"/>
      <c r="IX45" s="66">
        <f t="shared" si="253"/>
        <v>0</v>
      </c>
      <c r="IY45" s="66">
        <f t="shared" si="254"/>
        <v>0</v>
      </c>
      <c r="IZ45" s="83"/>
      <c r="JA45" s="102"/>
      <c r="JB45" s="66">
        <f t="shared" si="255"/>
        <v>0</v>
      </c>
      <c r="JC45" s="66">
        <f t="shared" si="256"/>
        <v>0</v>
      </c>
      <c r="JD45" s="83"/>
      <c r="JE45" s="102"/>
      <c r="JF45" s="66">
        <f t="shared" si="153"/>
        <v>1</v>
      </c>
      <c r="JG45" s="66">
        <f t="shared" si="73"/>
        <v>106</v>
      </c>
      <c r="JH45" s="83"/>
      <c r="JI45" s="102"/>
      <c r="JJ45" s="66">
        <f t="shared" si="257"/>
        <v>0</v>
      </c>
      <c r="JK45" s="66">
        <f t="shared" si="258"/>
        <v>0</v>
      </c>
      <c r="JM45" s="102">
        <f t="shared" si="154"/>
        <v>0</v>
      </c>
      <c r="JO45" s="29">
        <f t="shared" si="76"/>
        <v>1</v>
      </c>
      <c r="JP45" s="122">
        <f t="shared" si="259"/>
        <v>62</v>
      </c>
      <c r="JQ45" s="122">
        <f t="shared" si="260"/>
        <v>1</v>
      </c>
      <c r="JR45" s="122">
        <f t="shared" si="261"/>
        <v>0</v>
      </c>
      <c r="JS45" s="122">
        <f t="shared" si="262"/>
        <v>0</v>
      </c>
      <c r="JT45" s="122">
        <f t="shared" si="263"/>
        <v>0</v>
      </c>
      <c r="JU45" s="122">
        <f t="shared" si="264"/>
        <v>0</v>
      </c>
      <c r="JV45" s="122">
        <f t="shared" si="265"/>
        <v>0</v>
      </c>
      <c r="JW45" s="122">
        <f t="shared" si="266"/>
        <v>0</v>
      </c>
      <c r="JX45" s="122">
        <f t="shared" si="267"/>
        <v>0</v>
      </c>
      <c r="JY45" s="122">
        <f t="shared" si="268"/>
        <v>0</v>
      </c>
      <c r="JZ45" s="122">
        <f t="shared" si="269"/>
        <v>0</v>
      </c>
      <c r="KA45" s="122">
        <f t="shared" si="270"/>
        <v>0</v>
      </c>
      <c r="KB45" s="122">
        <f t="shared" si="271"/>
        <v>0</v>
      </c>
      <c r="KD45" s="122">
        <f t="shared" si="155"/>
        <v>0</v>
      </c>
      <c r="KE45" s="122">
        <f t="shared" si="91"/>
        <v>0</v>
      </c>
      <c r="KF45" s="122">
        <f t="shared" si="272"/>
        <v>62</v>
      </c>
      <c r="KG45" s="122">
        <f t="shared" si="273"/>
        <v>62</v>
      </c>
      <c r="KH45" s="122">
        <f t="shared" si="274"/>
        <v>0</v>
      </c>
      <c r="KI45" s="122">
        <f t="shared" si="275"/>
        <v>0</v>
      </c>
      <c r="KJ45" s="122">
        <f t="shared" si="276"/>
        <v>0</v>
      </c>
      <c r="KK45" s="122">
        <f t="shared" si="277"/>
        <v>0</v>
      </c>
      <c r="KL45" s="122">
        <f t="shared" si="278"/>
        <v>0</v>
      </c>
      <c r="KM45" s="122">
        <f t="shared" si="279"/>
        <v>0</v>
      </c>
      <c r="KN45" s="123">
        <f t="shared" si="280"/>
        <v>0</v>
      </c>
      <c r="KO45" s="123">
        <f t="shared" si="281"/>
        <v>0</v>
      </c>
      <c r="KP45" s="123">
        <f t="shared" si="282"/>
        <v>0</v>
      </c>
      <c r="KQ45" s="123">
        <f t="shared" si="283"/>
        <v>0</v>
      </c>
      <c r="KR45" s="123">
        <f t="shared" si="284"/>
        <v>0</v>
      </c>
      <c r="KT45">
        <f t="shared" si="285"/>
        <v>0</v>
      </c>
      <c r="KU45" s="123"/>
      <c r="KV45" s="123"/>
      <c r="KW45" s="123"/>
      <c r="KX45" s="123"/>
      <c r="KY45" s="123"/>
      <c r="KZ45" s="123"/>
      <c r="LA45" s="123"/>
      <c r="LB45" s="123"/>
      <c r="LC45" s="123"/>
      <c r="LD45" s="123"/>
      <c r="LE45" s="123"/>
      <c r="LF45" s="123"/>
      <c r="LG45" s="123"/>
      <c r="LH45" s="123"/>
      <c r="LI45" s="123"/>
      <c r="LJ45" s="123"/>
      <c r="LK45" s="123"/>
      <c r="LL45" s="123"/>
      <c r="LM45" s="123"/>
      <c r="LN45" s="123"/>
      <c r="LO45" s="123"/>
      <c r="LP45" s="123"/>
      <c r="LQ45" s="123"/>
      <c r="LR45" s="123"/>
      <c r="LS45" s="123"/>
      <c r="LT45" s="123"/>
      <c r="LU45" s="123"/>
      <c r="LV45" s="123"/>
      <c r="LW45" s="123"/>
      <c r="LX45" s="123"/>
      <c r="LY45" s="123"/>
      <c r="LZ45" s="123"/>
      <c r="MA45" s="123"/>
      <c r="MB45" s="123"/>
      <c r="MC45" s="123"/>
      <c r="MD45" s="123"/>
      <c r="ME45" s="123"/>
      <c r="MF45" s="123"/>
      <c r="MG45" s="123"/>
      <c r="MH45" s="123"/>
      <c r="MI45" s="123"/>
      <c r="MJ45" s="123"/>
      <c r="MK45" s="123"/>
      <c r="ML45" s="123"/>
      <c r="MM45" s="123"/>
      <c r="MN45" s="123"/>
      <c r="MO45" s="123"/>
      <c r="MP45" s="123"/>
      <c r="MQ45" s="123"/>
      <c r="MR45" s="123"/>
      <c r="MS45" s="123"/>
      <c r="MT45" s="123"/>
      <c r="MU45" s="123"/>
      <c r="MV45" s="123"/>
      <c r="MW45" s="123"/>
      <c r="MX45" s="123"/>
      <c r="MY45" s="123"/>
      <c r="MZ45" s="123"/>
      <c r="NA45" s="123"/>
      <c r="NB45" s="123"/>
      <c r="NC45" s="123"/>
      <c r="ND45" s="123"/>
      <c r="NE45" s="123"/>
      <c r="NF45" s="123"/>
      <c r="NG45" s="123"/>
      <c r="NH45" s="123"/>
      <c r="NI45" s="123"/>
      <c r="NJ45" s="123"/>
      <c r="NK45" s="123"/>
      <c r="NM45">
        <f t="shared" si="156"/>
        <v>0</v>
      </c>
      <c r="NN45">
        <f t="shared" si="157"/>
        <v>0</v>
      </c>
      <c r="NO45">
        <f t="shared" si="158"/>
        <v>0</v>
      </c>
      <c r="NP45">
        <f t="shared" si="159"/>
        <v>0</v>
      </c>
      <c r="NQ45">
        <f t="shared" si="160"/>
        <v>0</v>
      </c>
      <c r="NR45">
        <f t="shared" si="161"/>
        <v>0</v>
      </c>
      <c r="NS45">
        <f t="shared" si="162"/>
        <v>0</v>
      </c>
      <c r="NT45">
        <f t="shared" si="163"/>
        <v>0</v>
      </c>
      <c r="NU45" s="29">
        <f t="shared" si="164"/>
        <v>0</v>
      </c>
      <c r="NY45" s="29">
        <f t="shared" si="107"/>
        <v>1</v>
      </c>
      <c r="NZ45" s="152">
        <v>7275000</v>
      </c>
      <c r="OE45" s="155">
        <f t="shared" si="194"/>
        <v>0</v>
      </c>
      <c r="OF45" s="155">
        <f t="shared" si="195"/>
        <v>0</v>
      </c>
      <c r="OG45" s="155">
        <f t="shared" si="196"/>
        <v>0</v>
      </c>
      <c r="OH45" s="155">
        <f t="shared" si="165"/>
        <v>0</v>
      </c>
      <c r="OI45" s="155">
        <f t="shared" si="197"/>
        <v>0</v>
      </c>
      <c r="OJ45" s="67">
        <f t="shared" si="166"/>
        <v>0</v>
      </c>
      <c r="OK45" s="67">
        <f t="shared" si="167"/>
        <v>0</v>
      </c>
      <c r="OL45" s="67">
        <f t="shared" si="168"/>
        <v>0</v>
      </c>
      <c r="OM45" s="67">
        <f t="shared" si="169"/>
        <v>0</v>
      </c>
      <c r="OO45" s="155">
        <f t="shared" si="198"/>
        <v>0</v>
      </c>
      <c r="OP45" s="155">
        <f t="shared" si="199"/>
        <v>0</v>
      </c>
      <c r="OQ45" s="155">
        <f t="shared" si="170"/>
        <v>0</v>
      </c>
      <c r="OR45" s="155">
        <f t="shared" si="171"/>
        <v>0</v>
      </c>
      <c r="OS45" s="155">
        <f t="shared" si="172"/>
        <v>0</v>
      </c>
      <c r="OT45" s="67">
        <f t="shared" si="173"/>
        <v>0</v>
      </c>
      <c r="OU45" s="67">
        <f t="shared" si="174"/>
        <v>0</v>
      </c>
      <c r="OV45" s="67">
        <f t="shared" si="175"/>
        <v>0</v>
      </c>
      <c r="OW45" s="67">
        <f t="shared" si="176"/>
        <v>0</v>
      </c>
      <c r="OZ45" s="163">
        <f t="shared" si="200"/>
        <v>0</v>
      </c>
      <c r="PA45" s="166"/>
      <c r="PB45" s="166"/>
      <c r="PC45" s="166"/>
      <c r="PD45" s="210">
        <f t="shared" si="115"/>
        <v>0</v>
      </c>
      <c r="PE45" s="210"/>
      <c r="PF45" s="210">
        <f t="shared" si="116"/>
        <v>0</v>
      </c>
      <c r="PG45" s="210">
        <f t="shared" si="117"/>
        <v>0</v>
      </c>
      <c r="PH45" s="210">
        <f t="shared" si="117"/>
        <v>0</v>
      </c>
      <c r="PI45" s="210">
        <f t="shared" si="117"/>
        <v>0</v>
      </c>
      <c r="PJ45" s="210">
        <f t="shared" si="117"/>
        <v>0</v>
      </c>
      <c r="PK45" s="210">
        <f t="shared" si="117"/>
        <v>0</v>
      </c>
      <c r="PL45" s="210">
        <f t="shared" si="117"/>
        <v>0</v>
      </c>
      <c r="PO45" s="172">
        <f t="shared" si="177"/>
        <v>0</v>
      </c>
      <c r="PP45" s="172">
        <f t="shared" si="178"/>
        <v>0</v>
      </c>
      <c r="PQ45" s="172">
        <f t="shared" si="179"/>
        <v>0</v>
      </c>
    </row>
    <row r="46" spans="1:433" ht="16" x14ac:dyDescent="0.2">
      <c r="A46" s="19">
        <f t="shared" si="180"/>
        <v>37</v>
      </c>
      <c r="B46" s="186" t="s">
        <v>200</v>
      </c>
      <c r="C46" s="186">
        <v>40</v>
      </c>
      <c r="D46" s="188">
        <v>1</v>
      </c>
      <c r="E46" s="188">
        <v>47</v>
      </c>
      <c r="F46" s="188">
        <v>1</v>
      </c>
      <c r="G46" s="188">
        <f t="shared" si="201"/>
        <v>47</v>
      </c>
      <c r="H46" s="214">
        <f t="shared" si="202"/>
        <v>1</v>
      </c>
      <c r="I46" s="214">
        <f t="shared" si="203"/>
        <v>1</v>
      </c>
      <c r="J46" s="188">
        <v>1</v>
      </c>
      <c r="K46" s="188">
        <f t="shared" si="204"/>
        <v>47</v>
      </c>
      <c r="L46" s="214">
        <f t="shared" si="205"/>
        <v>1</v>
      </c>
      <c r="M46" s="214">
        <f t="shared" si="206"/>
        <v>1</v>
      </c>
      <c r="N46" s="188">
        <v>1</v>
      </c>
      <c r="O46" s="188">
        <f t="shared" si="207"/>
        <v>47</v>
      </c>
      <c r="P46" s="214">
        <f t="shared" si="208"/>
        <v>1</v>
      </c>
      <c r="Q46" s="214">
        <f t="shared" si="209"/>
        <v>1</v>
      </c>
      <c r="R46" s="188">
        <v>1</v>
      </c>
      <c r="S46" s="188">
        <f t="shared" si="210"/>
        <v>47</v>
      </c>
      <c r="T46" s="214">
        <f t="shared" si="211"/>
        <v>1</v>
      </c>
      <c r="U46" s="214">
        <f t="shared" si="212"/>
        <v>1</v>
      </c>
      <c r="V46" s="188">
        <v>1</v>
      </c>
      <c r="W46" s="188">
        <f t="shared" si="213"/>
        <v>47</v>
      </c>
      <c r="X46" s="214">
        <f t="shared" si="214"/>
        <v>1</v>
      </c>
      <c r="Y46" s="214">
        <f t="shared" si="215"/>
        <v>1</v>
      </c>
      <c r="Z46" s="216">
        <f>557766000/1000000000</f>
        <v>0.55776599999999998</v>
      </c>
      <c r="AA46" s="188">
        <v>0</v>
      </c>
      <c r="AB46" s="189">
        <f t="shared" si="118"/>
        <v>0</v>
      </c>
      <c r="AC46" s="250">
        <f t="shared" si="119"/>
        <v>0</v>
      </c>
      <c r="AD46" s="250">
        <f t="shared" si="120"/>
        <v>0</v>
      </c>
      <c r="AE46" s="188"/>
      <c r="AF46" s="188">
        <f t="shared" si="121"/>
        <v>0</v>
      </c>
      <c r="AG46" s="188"/>
      <c r="AH46" s="188" t="s">
        <v>313</v>
      </c>
      <c r="AI46" s="188">
        <v>0</v>
      </c>
      <c r="AJ46" s="188">
        <f t="shared" si="181"/>
        <v>0</v>
      </c>
      <c r="AK46" s="188"/>
      <c r="AL46" s="188">
        <v>0</v>
      </c>
      <c r="AM46" s="188">
        <v>0</v>
      </c>
      <c r="AN46" s="217"/>
      <c r="AO46" s="195"/>
      <c r="AP46" s="195"/>
      <c r="AQ46" s="195"/>
      <c r="AR46" s="195"/>
      <c r="AS46" s="195"/>
      <c r="AT46" s="195"/>
      <c r="BB46" s="17">
        <f t="shared" si="123"/>
        <v>0</v>
      </c>
      <c r="BE46" s="17">
        <f t="shared" si="216"/>
        <v>0</v>
      </c>
      <c r="BF46" s="17">
        <f t="shared" si="217"/>
        <v>0</v>
      </c>
      <c r="BG46" s="17">
        <f t="shared" si="218"/>
        <v>0</v>
      </c>
      <c r="BH46" s="17">
        <f t="shared" si="219"/>
        <v>0</v>
      </c>
      <c r="BI46" s="17">
        <f t="shared" si="220"/>
        <v>0</v>
      </c>
      <c r="BJ46" s="17">
        <f t="shared" si="221"/>
        <v>0</v>
      </c>
      <c r="BK46" s="17">
        <f t="shared" si="124"/>
        <v>0</v>
      </c>
      <c r="BM46" s="128"/>
      <c r="BN46" s="289">
        <v>34</v>
      </c>
      <c r="BO46">
        <v>1</v>
      </c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B46" s="20"/>
      <c r="CD46" s="17">
        <f t="shared" si="125"/>
        <v>34</v>
      </c>
      <c r="CE46" s="17">
        <f t="shared" si="126"/>
        <v>34</v>
      </c>
      <c r="CF46" s="20">
        <f t="shared" si="182"/>
        <v>0</v>
      </c>
      <c r="CG46" s="20">
        <f t="shared" si="183"/>
        <v>0</v>
      </c>
      <c r="CH46" s="20">
        <f t="shared" si="184"/>
        <v>0</v>
      </c>
      <c r="CI46" s="20">
        <f t="shared" si="185"/>
        <v>0</v>
      </c>
      <c r="CJ46" s="20">
        <f t="shared" si="186"/>
        <v>0</v>
      </c>
      <c r="CK46" s="20">
        <f t="shared" si="187"/>
        <v>0</v>
      </c>
      <c r="CL46" s="20">
        <f t="shared" si="188"/>
        <v>0</v>
      </c>
      <c r="CM46" s="20">
        <f t="shared" si="189"/>
        <v>0</v>
      </c>
      <c r="CN46" s="20">
        <f t="shared" si="190"/>
        <v>0</v>
      </c>
      <c r="CO46" s="20">
        <f t="shared" si="191"/>
        <v>0</v>
      </c>
      <c r="CP46" s="20">
        <f t="shared" si="192"/>
        <v>0</v>
      </c>
      <c r="DV46" s="20">
        <f t="shared" si="222"/>
        <v>0</v>
      </c>
      <c r="DW46" s="20">
        <f t="shared" si="223"/>
        <v>0</v>
      </c>
      <c r="DX46" s="20">
        <f t="shared" si="224"/>
        <v>0</v>
      </c>
      <c r="DY46" s="20">
        <f t="shared" si="225"/>
        <v>0</v>
      </c>
      <c r="DZ46" s="20">
        <f t="shared" si="226"/>
        <v>0</v>
      </c>
      <c r="EA46" s="20">
        <f t="shared" si="227"/>
        <v>0</v>
      </c>
      <c r="EB46" s="20">
        <f t="shared" si="127"/>
        <v>0</v>
      </c>
      <c r="EG46" s="57">
        <f t="shared" si="128"/>
        <v>0</v>
      </c>
      <c r="EH46" s="57">
        <f t="shared" si="129"/>
        <v>0</v>
      </c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X46" s="169">
        <v>1</v>
      </c>
      <c r="FY46" s="17">
        <f t="shared" si="130"/>
        <v>34</v>
      </c>
      <c r="FZ46" s="17">
        <f t="shared" si="228"/>
        <v>34</v>
      </c>
      <c r="GA46" s="17">
        <f t="shared" si="229"/>
        <v>0</v>
      </c>
      <c r="GB46" s="17">
        <f t="shared" si="230"/>
        <v>0</v>
      </c>
      <c r="GC46" s="17">
        <f t="shared" si="231"/>
        <v>0</v>
      </c>
      <c r="GD46" s="17">
        <f t="shared" si="232"/>
        <v>0</v>
      </c>
      <c r="GE46" s="17">
        <f t="shared" si="233"/>
        <v>0</v>
      </c>
      <c r="GF46" s="67"/>
      <c r="GG46" s="17">
        <v>0</v>
      </c>
      <c r="GH46" s="17">
        <v>0</v>
      </c>
      <c r="GI46" s="67"/>
      <c r="GJ46" s="62">
        <f t="shared" si="131"/>
        <v>0</v>
      </c>
      <c r="GK46" s="62">
        <f t="shared" si="132"/>
        <v>0</v>
      </c>
      <c r="GO46" s="17">
        <f t="shared" si="234"/>
        <v>0</v>
      </c>
      <c r="GP46" s="17">
        <f t="shared" si="235"/>
        <v>0</v>
      </c>
      <c r="GQ46" s="17">
        <f t="shared" si="236"/>
        <v>0</v>
      </c>
      <c r="GR46" s="17">
        <f t="shared" si="237"/>
        <v>0</v>
      </c>
      <c r="GS46" s="17">
        <f t="shared" si="238"/>
        <v>0</v>
      </c>
      <c r="GT46" s="17">
        <f t="shared" si="133"/>
        <v>1</v>
      </c>
      <c r="GU46" s="101">
        <f t="shared" si="134"/>
        <v>43243</v>
      </c>
      <c r="GV46" s="17" t="str">
        <f t="shared" si="135"/>
        <v>SELESAI</v>
      </c>
      <c r="GW46" s="17">
        <f t="shared" si="136"/>
        <v>0</v>
      </c>
      <c r="GX46" s="66" t="str">
        <f t="shared" si="137"/>
        <v>SELESAI</v>
      </c>
      <c r="GY46" s="66">
        <f t="shared" si="138"/>
        <v>0</v>
      </c>
      <c r="GZ46" s="102" t="str">
        <f t="shared" si="139"/>
        <v>SELESAI</v>
      </c>
      <c r="HA46" s="83"/>
      <c r="HB46" s="83"/>
      <c r="HC46" s="17">
        <f t="shared" si="239"/>
        <v>0</v>
      </c>
      <c r="HD46" s="17">
        <f t="shared" si="240"/>
        <v>0</v>
      </c>
      <c r="HE46" s="17">
        <f t="shared" si="140"/>
        <v>0</v>
      </c>
      <c r="HF46" s="17">
        <f t="shared" si="141"/>
        <v>0</v>
      </c>
      <c r="HG46" s="17">
        <f t="shared" si="142"/>
        <v>0</v>
      </c>
      <c r="HH46" s="101" t="str">
        <f t="shared" si="47"/>
        <v>TIDAK KONSINYASI</v>
      </c>
      <c r="HI46" s="101" t="str">
        <f t="shared" si="143"/>
        <v>SELESAI</v>
      </c>
      <c r="HJ46" s="27"/>
      <c r="HK46" s="101">
        <f t="shared" si="48"/>
        <v>0</v>
      </c>
      <c r="HL46" s="83"/>
      <c r="HM46" s="83"/>
      <c r="HN46" s="83"/>
      <c r="HO46" s="83"/>
      <c r="HP46" s="102">
        <f t="shared" si="144"/>
        <v>0</v>
      </c>
      <c r="HQ46" s="66">
        <f t="shared" si="145"/>
        <v>0</v>
      </c>
      <c r="HR46" s="66">
        <f t="shared" si="241"/>
        <v>0</v>
      </c>
      <c r="HS46" s="102">
        <f t="shared" si="146"/>
        <v>0</v>
      </c>
      <c r="HT46" s="66">
        <f t="shared" si="147"/>
        <v>0</v>
      </c>
      <c r="HU46" s="66">
        <f t="shared" si="242"/>
        <v>0</v>
      </c>
      <c r="HV46" s="102">
        <f t="shared" si="148"/>
        <v>0</v>
      </c>
      <c r="HW46" s="66">
        <f t="shared" si="51"/>
        <v>0</v>
      </c>
      <c r="HX46" s="66">
        <f t="shared" si="243"/>
        <v>0</v>
      </c>
      <c r="HY46" s="102">
        <f t="shared" si="53"/>
        <v>0</v>
      </c>
      <c r="HZ46" s="66">
        <f t="shared" si="149"/>
        <v>0</v>
      </c>
      <c r="IA46" s="66">
        <f t="shared" si="244"/>
        <v>0</v>
      </c>
      <c r="IB46" s="102">
        <f t="shared" si="150"/>
        <v>0</v>
      </c>
      <c r="IC46" s="66">
        <f t="shared" si="55"/>
        <v>0</v>
      </c>
      <c r="ID46" s="66">
        <f t="shared" si="245"/>
        <v>0</v>
      </c>
      <c r="IE46" s="102">
        <f t="shared" si="57"/>
        <v>0</v>
      </c>
      <c r="IF46" s="66">
        <f t="shared" si="58"/>
        <v>0</v>
      </c>
      <c r="IG46" s="66">
        <f t="shared" si="246"/>
        <v>0</v>
      </c>
      <c r="IH46" s="102">
        <f t="shared" si="151"/>
        <v>0</v>
      </c>
      <c r="II46" s="66">
        <f t="shared" si="152"/>
        <v>0</v>
      </c>
      <c r="IJ46" s="66">
        <f t="shared" si="247"/>
        <v>0</v>
      </c>
      <c r="IK46" s="102">
        <f t="shared" si="61"/>
        <v>0</v>
      </c>
      <c r="IL46" s="66">
        <f t="shared" si="62"/>
        <v>0</v>
      </c>
      <c r="IM46" s="66">
        <f t="shared" si="248"/>
        <v>0</v>
      </c>
      <c r="IN46" s="83"/>
      <c r="IO46" s="102">
        <f t="shared" si="64"/>
        <v>0</v>
      </c>
      <c r="IP46" s="66">
        <f t="shared" si="249"/>
        <v>0</v>
      </c>
      <c r="IQ46" s="66">
        <f t="shared" si="250"/>
        <v>0</v>
      </c>
      <c r="IR46" s="83"/>
      <c r="IS46" s="102"/>
      <c r="IT46" s="66">
        <f t="shared" si="251"/>
        <v>1</v>
      </c>
      <c r="IU46" s="66">
        <f t="shared" si="252"/>
        <v>47</v>
      </c>
      <c r="IV46" s="83"/>
      <c r="IW46" s="102"/>
      <c r="IX46" s="66">
        <f t="shared" si="253"/>
        <v>0</v>
      </c>
      <c r="IY46" s="66">
        <f t="shared" si="254"/>
        <v>0</v>
      </c>
      <c r="IZ46" s="83"/>
      <c r="JA46" s="102"/>
      <c r="JB46" s="66">
        <f t="shared" si="255"/>
        <v>0</v>
      </c>
      <c r="JC46" s="66">
        <f t="shared" si="256"/>
        <v>0</v>
      </c>
      <c r="JD46" s="83"/>
      <c r="JE46" s="102"/>
      <c r="JF46" s="66">
        <f t="shared" si="153"/>
        <v>1</v>
      </c>
      <c r="JG46" s="66">
        <f t="shared" si="73"/>
        <v>47</v>
      </c>
      <c r="JH46" s="83"/>
      <c r="JI46" s="102"/>
      <c r="JJ46" s="66">
        <f t="shared" si="257"/>
        <v>0</v>
      </c>
      <c r="JK46" s="66">
        <f t="shared" si="258"/>
        <v>0</v>
      </c>
      <c r="JM46" s="102">
        <f t="shared" si="154"/>
        <v>0</v>
      </c>
      <c r="JO46" s="29">
        <f t="shared" si="76"/>
        <v>1</v>
      </c>
      <c r="JP46" s="122">
        <f t="shared" si="259"/>
        <v>34</v>
      </c>
      <c r="JQ46" s="122">
        <f t="shared" si="260"/>
        <v>1</v>
      </c>
      <c r="JR46" s="122">
        <f t="shared" si="261"/>
        <v>0</v>
      </c>
      <c r="JS46" s="122">
        <f t="shared" si="262"/>
        <v>0</v>
      </c>
      <c r="JT46" s="122">
        <f t="shared" si="263"/>
        <v>0</v>
      </c>
      <c r="JU46" s="122">
        <f t="shared" si="264"/>
        <v>0</v>
      </c>
      <c r="JV46" s="122">
        <f t="shared" si="265"/>
        <v>0</v>
      </c>
      <c r="JW46" s="122">
        <f t="shared" si="266"/>
        <v>0</v>
      </c>
      <c r="JX46" s="122">
        <f t="shared" si="267"/>
        <v>0</v>
      </c>
      <c r="JY46" s="122">
        <f t="shared" si="268"/>
        <v>0</v>
      </c>
      <c r="JZ46" s="122">
        <f t="shared" si="269"/>
        <v>0</v>
      </c>
      <c r="KA46" s="122">
        <f t="shared" si="270"/>
        <v>0</v>
      </c>
      <c r="KB46" s="122">
        <f t="shared" si="271"/>
        <v>0</v>
      </c>
      <c r="KD46" s="122">
        <f t="shared" si="155"/>
        <v>0</v>
      </c>
      <c r="KE46" s="122">
        <f t="shared" si="91"/>
        <v>0</v>
      </c>
      <c r="KF46" s="122">
        <f t="shared" si="272"/>
        <v>34</v>
      </c>
      <c r="KG46" s="122">
        <f t="shared" si="273"/>
        <v>34</v>
      </c>
      <c r="KH46" s="122">
        <f t="shared" si="274"/>
        <v>0</v>
      </c>
      <c r="KI46" s="122">
        <f t="shared" si="275"/>
        <v>0</v>
      </c>
      <c r="KJ46" s="122">
        <f t="shared" si="276"/>
        <v>0</v>
      </c>
      <c r="KK46" s="122">
        <f t="shared" si="277"/>
        <v>0</v>
      </c>
      <c r="KL46" s="122">
        <f t="shared" si="278"/>
        <v>0</v>
      </c>
      <c r="KM46" s="122">
        <f t="shared" si="279"/>
        <v>0</v>
      </c>
      <c r="KN46" s="123">
        <f t="shared" si="280"/>
        <v>0</v>
      </c>
      <c r="KO46" s="123">
        <f t="shared" si="281"/>
        <v>0</v>
      </c>
      <c r="KP46" s="123">
        <f t="shared" si="282"/>
        <v>0</v>
      </c>
      <c r="KQ46" s="123">
        <f t="shared" si="283"/>
        <v>0</v>
      </c>
      <c r="KR46" s="123">
        <f t="shared" si="284"/>
        <v>0</v>
      </c>
      <c r="KT46">
        <f t="shared" si="285"/>
        <v>0</v>
      </c>
      <c r="KU46" s="123"/>
      <c r="KV46" s="123"/>
      <c r="KW46" s="123"/>
      <c r="KX46" s="123"/>
      <c r="KY46" s="123"/>
      <c r="KZ46" s="123"/>
      <c r="LA46" s="123"/>
      <c r="LB46" s="123"/>
      <c r="LC46" s="123"/>
      <c r="LD46" s="123"/>
      <c r="LE46" s="123"/>
      <c r="LF46" s="123"/>
      <c r="LG46" s="123"/>
      <c r="LH46" s="123"/>
      <c r="LI46" s="123"/>
      <c r="LJ46" s="123"/>
      <c r="LK46" s="123"/>
      <c r="LL46" s="123"/>
      <c r="LM46" s="123"/>
      <c r="LN46" s="123"/>
      <c r="LO46" s="123"/>
      <c r="LP46" s="123"/>
      <c r="LQ46" s="123"/>
      <c r="LR46" s="123"/>
      <c r="LS46" s="123"/>
      <c r="LT46" s="123"/>
      <c r="LU46" s="123"/>
      <c r="LV46" s="123"/>
      <c r="LW46" s="123"/>
      <c r="LX46" s="123"/>
      <c r="LY46" s="123"/>
      <c r="LZ46" s="123"/>
      <c r="MA46" s="123"/>
      <c r="MB46" s="123"/>
      <c r="MC46" s="123"/>
      <c r="MD46" s="123"/>
      <c r="ME46" s="123"/>
      <c r="MF46" s="123"/>
      <c r="MG46" s="123"/>
      <c r="MH46" s="123"/>
      <c r="MI46" s="123"/>
      <c r="MJ46" s="123"/>
      <c r="MK46" s="123"/>
      <c r="ML46" s="123"/>
      <c r="MM46" s="123"/>
      <c r="MN46" s="123"/>
      <c r="MO46" s="123"/>
      <c r="MP46" s="123"/>
      <c r="MQ46" s="123"/>
      <c r="MR46" s="123"/>
      <c r="MS46" s="123"/>
      <c r="MT46" s="123"/>
      <c r="MU46" s="123"/>
      <c r="MV46" s="123"/>
      <c r="MW46" s="123"/>
      <c r="MX46" s="123"/>
      <c r="MY46" s="123"/>
      <c r="MZ46" s="123"/>
      <c r="NA46" s="123"/>
      <c r="NB46" s="123"/>
      <c r="NC46" s="123"/>
      <c r="ND46" s="123"/>
      <c r="NE46" s="123"/>
      <c r="NF46" s="123"/>
      <c r="NG46" s="123"/>
      <c r="NH46" s="123"/>
      <c r="NI46" s="123"/>
      <c r="NJ46" s="123"/>
      <c r="NK46" s="123"/>
      <c r="NM46">
        <f t="shared" si="156"/>
        <v>0</v>
      </c>
      <c r="NN46">
        <f t="shared" si="157"/>
        <v>0</v>
      </c>
      <c r="NO46">
        <f t="shared" si="158"/>
        <v>0</v>
      </c>
      <c r="NP46">
        <f t="shared" si="159"/>
        <v>0</v>
      </c>
      <c r="NQ46">
        <f t="shared" si="160"/>
        <v>0</v>
      </c>
      <c r="NR46">
        <f t="shared" si="161"/>
        <v>0</v>
      </c>
      <c r="NS46">
        <f t="shared" si="162"/>
        <v>0</v>
      </c>
      <c r="NT46">
        <f t="shared" si="163"/>
        <v>0</v>
      </c>
      <c r="NU46" s="29">
        <f t="shared" si="164"/>
        <v>0</v>
      </c>
      <c r="NY46" s="29">
        <f t="shared" si="107"/>
        <v>1</v>
      </c>
      <c r="NZ46" s="152">
        <v>7275000</v>
      </c>
      <c r="OE46" s="155">
        <f t="shared" si="194"/>
        <v>0</v>
      </c>
      <c r="OF46" s="155">
        <f t="shared" si="195"/>
        <v>0</v>
      </c>
      <c r="OG46" s="155">
        <f t="shared" si="196"/>
        <v>0</v>
      </c>
      <c r="OH46" s="155">
        <f t="shared" si="165"/>
        <v>0</v>
      </c>
      <c r="OI46" s="155">
        <f t="shared" si="197"/>
        <v>0</v>
      </c>
      <c r="OJ46" s="67">
        <f t="shared" si="166"/>
        <v>0</v>
      </c>
      <c r="OK46" s="67">
        <f t="shared" si="167"/>
        <v>0</v>
      </c>
      <c r="OL46" s="67">
        <f t="shared" si="168"/>
        <v>0</v>
      </c>
      <c r="OM46" s="67">
        <f t="shared" si="169"/>
        <v>0</v>
      </c>
      <c r="OO46" s="155">
        <f t="shared" si="198"/>
        <v>0</v>
      </c>
      <c r="OP46" s="155">
        <f t="shared" si="199"/>
        <v>0</v>
      </c>
      <c r="OQ46" s="155">
        <f t="shared" si="170"/>
        <v>0</v>
      </c>
      <c r="OR46" s="155">
        <f t="shared" si="171"/>
        <v>0</v>
      </c>
      <c r="OS46" s="155">
        <f t="shared" si="172"/>
        <v>0</v>
      </c>
      <c r="OT46" s="67">
        <f t="shared" si="173"/>
        <v>0</v>
      </c>
      <c r="OU46" s="67">
        <f t="shared" si="174"/>
        <v>0</v>
      </c>
      <c r="OV46" s="67">
        <f t="shared" si="175"/>
        <v>0</v>
      </c>
      <c r="OW46" s="67">
        <f t="shared" si="176"/>
        <v>0</v>
      </c>
      <c r="OZ46" s="163">
        <f t="shared" si="200"/>
        <v>0</v>
      </c>
      <c r="PA46" s="166"/>
      <c r="PB46" s="166"/>
      <c r="PC46" s="166"/>
      <c r="PD46" s="210">
        <f t="shared" si="115"/>
        <v>0</v>
      </c>
      <c r="PE46" s="210"/>
      <c r="PF46" s="210">
        <f t="shared" si="116"/>
        <v>0</v>
      </c>
      <c r="PG46" s="210">
        <f t="shared" si="117"/>
        <v>0</v>
      </c>
      <c r="PH46" s="210">
        <f t="shared" si="117"/>
        <v>0</v>
      </c>
      <c r="PI46" s="210">
        <f t="shared" si="117"/>
        <v>0</v>
      </c>
      <c r="PJ46" s="210">
        <f t="shared" si="117"/>
        <v>0</v>
      </c>
      <c r="PK46" s="210">
        <f t="shared" si="117"/>
        <v>0</v>
      </c>
      <c r="PL46" s="210">
        <f t="shared" si="117"/>
        <v>0</v>
      </c>
      <c r="PO46" s="172">
        <f t="shared" si="177"/>
        <v>0</v>
      </c>
      <c r="PP46" s="172">
        <f t="shared" si="178"/>
        <v>0</v>
      </c>
      <c r="PQ46" s="172">
        <f t="shared" si="179"/>
        <v>0</v>
      </c>
    </row>
    <row r="47" spans="1:433" ht="16" x14ac:dyDescent="0.2">
      <c r="A47" s="19">
        <f t="shared" si="180"/>
        <v>38</v>
      </c>
      <c r="B47" s="186" t="s">
        <v>201</v>
      </c>
      <c r="C47" s="186">
        <v>41</v>
      </c>
      <c r="D47" s="188">
        <v>1</v>
      </c>
      <c r="E47" s="188">
        <v>40</v>
      </c>
      <c r="F47" s="188">
        <v>1</v>
      </c>
      <c r="G47" s="188">
        <f t="shared" si="201"/>
        <v>40</v>
      </c>
      <c r="H47" s="214">
        <f t="shared" si="202"/>
        <v>1</v>
      </c>
      <c r="I47" s="214">
        <f t="shared" si="203"/>
        <v>1</v>
      </c>
      <c r="J47" s="188">
        <v>1</v>
      </c>
      <c r="K47" s="188">
        <f t="shared" si="204"/>
        <v>40</v>
      </c>
      <c r="L47" s="214">
        <f t="shared" si="205"/>
        <v>1</v>
      </c>
      <c r="M47" s="214">
        <f t="shared" si="206"/>
        <v>1</v>
      </c>
      <c r="N47" s="188">
        <v>1</v>
      </c>
      <c r="O47" s="188">
        <f t="shared" si="207"/>
        <v>40</v>
      </c>
      <c r="P47" s="214">
        <f t="shared" si="208"/>
        <v>1</v>
      </c>
      <c r="Q47" s="214">
        <f t="shared" si="209"/>
        <v>1</v>
      </c>
      <c r="R47" s="188">
        <v>1</v>
      </c>
      <c r="S47" s="188">
        <f t="shared" si="210"/>
        <v>40</v>
      </c>
      <c r="T47" s="214">
        <f t="shared" si="211"/>
        <v>1</v>
      </c>
      <c r="U47" s="214">
        <f t="shared" si="212"/>
        <v>1</v>
      </c>
      <c r="V47" s="188">
        <v>1</v>
      </c>
      <c r="W47" s="188">
        <f t="shared" si="213"/>
        <v>40</v>
      </c>
      <c r="X47" s="214">
        <f t="shared" si="214"/>
        <v>1</v>
      </c>
      <c r="Y47" s="214">
        <f t="shared" si="215"/>
        <v>1</v>
      </c>
      <c r="Z47" s="216">
        <f>482850000/1000000000</f>
        <v>0.48285</v>
      </c>
      <c r="AA47" s="188">
        <v>0</v>
      </c>
      <c r="AB47" s="189">
        <f t="shared" si="118"/>
        <v>0</v>
      </c>
      <c r="AC47" s="250">
        <f t="shared" si="119"/>
        <v>0</v>
      </c>
      <c r="AD47" s="250">
        <f t="shared" si="120"/>
        <v>0</v>
      </c>
      <c r="AE47" s="188"/>
      <c r="AF47" s="188">
        <f t="shared" si="121"/>
        <v>0</v>
      </c>
      <c r="AG47" s="188"/>
      <c r="AH47" s="188" t="s">
        <v>313</v>
      </c>
      <c r="AI47" s="188">
        <v>0</v>
      </c>
      <c r="AJ47" s="188">
        <f t="shared" si="181"/>
        <v>0</v>
      </c>
      <c r="AK47" s="188"/>
      <c r="AL47" s="188">
        <v>0</v>
      </c>
      <c r="AM47" s="188">
        <v>0</v>
      </c>
      <c r="AN47" s="217"/>
      <c r="AO47" s="195"/>
      <c r="AP47" s="195"/>
      <c r="AQ47" s="195"/>
      <c r="AR47" s="195"/>
      <c r="AS47" s="195"/>
      <c r="AT47" s="195"/>
      <c r="BB47" s="17">
        <f t="shared" si="123"/>
        <v>0</v>
      </c>
      <c r="BE47" s="17">
        <f t="shared" si="216"/>
        <v>0</v>
      </c>
      <c r="BF47" s="17">
        <f t="shared" si="217"/>
        <v>0</v>
      </c>
      <c r="BG47" s="17">
        <f t="shared" si="218"/>
        <v>0</v>
      </c>
      <c r="BH47" s="17">
        <f t="shared" si="219"/>
        <v>0</v>
      </c>
      <c r="BI47" s="17">
        <f t="shared" si="220"/>
        <v>0</v>
      </c>
      <c r="BJ47" s="17">
        <f t="shared" si="221"/>
        <v>0</v>
      </c>
      <c r="BK47" s="17">
        <f t="shared" si="124"/>
        <v>0</v>
      </c>
      <c r="BM47" s="128"/>
      <c r="BN47" s="147">
        <v>27</v>
      </c>
      <c r="BO47" s="288">
        <v>1</v>
      </c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B47" s="20"/>
      <c r="CD47" s="17">
        <f t="shared" si="125"/>
        <v>27</v>
      </c>
      <c r="CE47" s="17">
        <f t="shared" si="126"/>
        <v>27</v>
      </c>
      <c r="CF47" s="20">
        <f t="shared" si="182"/>
        <v>0</v>
      </c>
      <c r="CG47" s="20">
        <f t="shared" si="183"/>
        <v>0</v>
      </c>
      <c r="CH47" s="20">
        <f t="shared" si="184"/>
        <v>0</v>
      </c>
      <c r="CI47" s="20">
        <f t="shared" si="185"/>
        <v>0</v>
      </c>
      <c r="CJ47" s="20">
        <f t="shared" si="186"/>
        <v>0</v>
      </c>
      <c r="CK47" s="20">
        <f t="shared" si="187"/>
        <v>0</v>
      </c>
      <c r="CL47" s="20">
        <f t="shared" si="188"/>
        <v>0</v>
      </c>
      <c r="CM47" s="20">
        <f t="shared" si="189"/>
        <v>0</v>
      </c>
      <c r="CN47" s="20">
        <f t="shared" si="190"/>
        <v>0</v>
      </c>
      <c r="CO47" s="20">
        <f t="shared" si="191"/>
        <v>0</v>
      </c>
      <c r="CP47" s="20">
        <f t="shared" si="192"/>
        <v>0</v>
      </c>
      <c r="DV47" s="20">
        <f t="shared" si="222"/>
        <v>0</v>
      </c>
      <c r="DW47" s="20">
        <f t="shared" si="223"/>
        <v>0</v>
      </c>
      <c r="DX47" s="20">
        <f t="shared" si="224"/>
        <v>0</v>
      </c>
      <c r="DY47" s="20">
        <f t="shared" si="225"/>
        <v>0</v>
      </c>
      <c r="DZ47" s="20">
        <f t="shared" si="226"/>
        <v>0</v>
      </c>
      <c r="EA47" s="20">
        <f t="shared" si="227"/>
        <v>0</v>
      </c>
      <c r="EB47" s="20">
        <f t="shared" si="127"/>
        <v>0</v>
      </c>
      <c r="EG47" s="57">
        <f t="shared" si="128"/>
        <v>0</v>
      </c>
      <c r="EH47" s="57">
        <f t="shared" si="129"/>
        <v>0</v>
      </c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X47" s="169">
        <v>1</v>
      </c>
      <c r="FY47" s="17">
        <f t="shared" si="130"/>
        <v>27</v>
      </c>
      <c r="FZ47" s="17">
        <f t="shared" si="228"/>
        <v>27</v>
      </c>
      <c r="GA47" s="17">
        <f t="shared" si="229"/>
        <v>0</v>
      </c>
      <c r="GB47" s="17">
        <f t="shared" si="230"/>
        <v>0</v>
      </c>
      <c r="GC47" s="17">
        <f t="shared" si="231"/>
        <v>0</v>
      </c>
      <c r="GD47" s="17">
        <f t="shared" si="232"/>
        <v>0</v>
      </c>
      <c r="GE47" s="17">
        <f t="shared" si="233"/>
        <v>0</v>
      </c>
      <c r="GF47" s="67"/>
      <c r="GG47" s="17">
        <v>0</v>
      </c>
      <c r="GH47" s="17">
        <v>0</v>
      </c>
      <c r="GI47" s="67"/>
      <c r="GJ47" s="62">
        <f t="shared" si="131"/>
        <v>0</v>
      </c>
      <c r="GK47" s="62">
        <f t="shared" si="132"/>
        <v>0</v>
      </c>
      <c r="GO47" s="17">
        <f t="shared" si="234"/>
        <v>0</v>
      </c>
      <c r="GP47" s="17">
        <f t="shared" si="235"/>
        <v>0</v>
      </c>
      <c r="GQ47" s="17">
        <f t="shared" si="236"/>
        <v>0</v>
      </c>
      <c r="GR47" s="17">
        <f t="shared" si="237"/>
        <v>0</v>
      </c>
      <c r="GS47" s="17">
        <f t="shared" si="238"/>
        <v>0</v>
      </c>
      <c r="GT47" s="17">
        <f t="shared" si="133"/>
        <v>1</v>
      </c>
      <c r="GU47" s="101">
        <f t="shared" si="134"/>
        <v>43243</v>
      </c>
      <c r="GV47" s="17" t="str">
        <f t="shared" si="135"/>
        <v>SELESAI</v>
      </c>
      <c r="GW47" s="17">
        <f t="shared" si="136"/>
        <v>0</v>
      </c>
      <c r="GX47" s="66" t="str">
        <f t="shared" si="137"/>
        <v>SELESAI</v>
      </c>
      <c r="GY47" s="66">
        <f t="shared" si="138"/>
        <v>0</v>
      </c>
      <c r="GZ47" s="102" t="str">
        <f t="shared" si="139"/>
        <v>SELESAI</v>
      </c>
      <c r="HA47" s="83"/>
      <c r="HB47" s="83"/>
      <c r="HC47" s="17">
        <f t="shared" si="239"/>
        <v>0</v>
      </c>
      <c r="HD47" s="17">
        <f t="shared" si="240"/>
        <v>0</v>
      </c>
      <c r="HE47" s="17">
        <f t="shared" si="140"/>
        <v>0</v>
      </c>
      <c r="HF47" s="17">
        <f t="shared" si="141"/>
        <v>0</v>
      </c>
      <c r="HG47" s="17">
        <f t="shared" si="142"/>
        <v>0</v>
      </c>
      <c r="HH47" s="101" t="str">
        <f t="shared" si="47"/>
        <v>TIDAK KONSINYASI</v>
      </c>
      <c r="HI47" s="101" t="str">
        <f t="shared" si="143"/>
        <v>SELESAI</v>
      </c>
      <c r="HJ47" s="27"/>
      <c r="HK47" s="101">
        <f t="shared" si="48"/>
        <v>0</v>
      </c>
      <c r="HL47" s="83"/>
      <c r="HM47" s="83"/>
      <c r="HN47" s="83"/>
      <c r="HO47" s="83"/>
      <c r="HP47" s="102">
        <f t="shared" si="144"/>
        <v>0</v>
      </c>
      <c r="HQ47" s="66">
        <f t="shared" si="145"/>
        <v>0</v>
      </c>
      <c r="HR47" s="66">
        <f t="shared" si="241"/>
        <v>0</v>
      </c>
      <c r="HS47" s="102">
        <f t="shared" si="146"/>
        <v>0</v>
      </c>
      <c r="HT47" s="66">
        <f t="shared" si="147"/>
        <v>0</v>
      </c>
      <c r="HU47" s="66">
        <f t="shared" si="242"/>
        <v>0</v>
      </c>
      <c r="HV47" s="102">
        <f t="shared" si="148"/>
        <v>0</v>
      </c>
      <c r="HW47" s="66">
        <f t="shared" si="51"/>
        <v>0</v>
      </c>
      <c r="HX47" s="66">
        <f t="shared" si="243"/>
        <v>0</v>
      </c>
      <c r="HY47" s="102">
        <f t="shared" si="53"/>
        <v>0</v>
      </c>
      <c r="HZ47" s="66">
        <f t="shared" si="149"/>
        <v>0</v>
      </c>
      <c r="IA47" s="66">
        <f t="shared" si="244"/>
        <v>0</v>
      </c>
      <c r="IB47" s="102">
        <f t="shared" si="150"/>
        <v>0</v>
      </c>
      <c r="IC47" s="66">
        <f t="shared" si="55"/>
        <v>0</v>
      </c>
      <c r="ID47" s="66">
        <f t="shared" si="245"/>
        <v>0</v>
      </c>
      <c r="IE47" s="102">
        <f t="shared" si="57"/>
        <v>0</v>
      </c>
      <c r="IF47" s="66">
        <f t="shared" si="58"/>
        <v>0</v>
      </c>
      <c r="IG47" s="66">
        <f t="shared" si="246"/>
        <v>0</v>
      </c>
      <c r="IH47" s="102">
        <f t="shared" si="151"/>
        <v>0</v>
      </c>
      <c r="II47" s="66">
        <f t="shared" si="152"/>
        <v>0</v>
      </c>
      <c r="IJ47" s="66">
        <f t="shared" si="247"/>
        <v>0</v>
      </c>
      <c r="IK47" s="102">
        <f t="shared" si="61"/>
        <v>0</v>
      </c>
      <c r="IL47" s="66">
        <f t="shared" si="62"/>
        <v>0</v>
      </c>
      <c r="IM47" s="66">
        <f t="shared" si="248"/>
        <v>0</v>
      </c>
      <c r="IN47" s="83"/>
      <c r="IO47" s="102">
        <f t="shared" si="64"/>
        <v>0</v>
      </c>
      <c r="IP47" s="66">
        <f t="shared" si="249"/>
        <v>0</v>
      </c>
      <c r="IQ47" s="66">
        <f t="shared" si="250"/>
        <v>0</v>
      </c>
      <c r="IR47" s="83"/>
      <c r="IS47" s="102"/>
      <c r="IT47" s="66">
        <f t="shared" si="251"/>
        <v>1</v>
      </c>
      <c r="IU47" s="66">
        <f t="shared" si="252"/>
        <v>40</v>
      </c>
      <c r="IV47" s="83"/>
      <c r="IW47" s="102"/>
      <c r="IX47" s="66">
        <f t="shared" si="253"/>
        <v>0</v>
      </c>
      <c r="IY47" s="66">
        <f t="shared" si="254"/>
        <v>0</v>
      </c>
      <c r="IZ47" s="83"/>
      <c r="JA47" s="102"/>
      <c r="JB47" s="66">
        <f t="shared" si="255"/>
        <v>0</v>
      </c>
      <c r="JC47" s="66">
        <f t="shared" si="256"/>
        <v>0</v>
      </c>
      <c r="JD47" s="83"/>
      <c r="JE47" s="102"/>
      <c r="JF47" s="66">
        <f t="shared" si="153"/>
        <v>1</v>
      </c>
      <c r="JG47" s="66">
        <f t="shared" si="73"/>
        <v>40</v>
      </c>
      <c r="JH47" s="83"/>
      <c r="JI47" s="102"/>
      <c r="JJ47" s="66">
        <f t="shared" si="257"/>
        <v>0</v>
      </c>
      <c r="JK47" s="66">
        <f t="shared" si="258"/>
        <v>0</v>
      </c>
      <c r="JM47" s="102">
        <f t="shared" si="154"/>
        <v>0</v>
      </c>
      <c r="JO47" s="29">
        <f t="shared" si="76"/>
        <v>1</v>
      </c>
      <c r="JP47" s="122">
        <f t="shared" si="259"/>
        <v>27</v>
      </c>
      <c r="JQ47" s="122">
        <f t="shared" si="260"/>
        <v>1</v>
      </c>
      <c r="JR47" s="122">
        <f t="shared" si="261"/>
        <v>0</v>
      </c>
      <c r="JS47" s="122">
        <f t="shared" si="262"/>
        <v>0</v>
      </c>
      <c r="JT47" s="122">
        <f t="shared" si="263"/>
        <v>0</v>
      </c>
      <c r="JU47" s="122">
        <f t="shared" si="264"/>
        <v>0</v>
      </c>
      <c r="JV47" s="122">
        <f t="shared" si="265"/>
        <v>0</v>
      </c>
      <c r="JW47" s="122">
        <f t="shared" si="266"/>
        <v>0</v>
      </c>
      <c r="JX47" s="122">
        <f t="shared" si="267"/>
        <v>0</v>
      </c>
      <c r="JY47" s="122">
        <f t="shared" si="268"/>
        <v>0</v>
      </c>
      <c r="JZ47" s="122">
        <f t="shared" si="269"/>
        <v>0</v>
      </c>
      <c r="KA47" s="122">
        <f t="shared" si="270"/>
        <v>0</v>
      </c>
      <c r="KB47" s="122">
        <f t="shared" si="271"/>
        <v>0</v>
      </c>
      <c r="KD47" s="122">
        <f t="shared" si="155"/>
        <v>0</v>
      </c>
      <c r="KE47" s="122">
        <f t="shared" si="91"/>
        <v>0</v>
      </c>
      <c r="KF47" s="122">
        <f t="shared" si="272"/>
        <v>27</v>
      </c>
      <c r="KG47" s="122">
        <f t="shared" si="273"/>
        <v>27</v>
      </c>
      <c r="KH47" s="122">
        <f t="shared" si="274"/>
        <v>0</v>
      </c>
      <c r="KI47" s="122">
        <f t="shared" si="275"/>
        <v>0</v>
      </c>
      <c r="KJ47" s="122">
        <f t="shared" si="276"/>
        <v>0</v>
      </c>
      <c r="KK47" s="122">
        <f t="shared" si="277"/>
        <v>0</v>
      </c>
      <c r="KL47" s="122">
        <f t="shared" si="278"/>
        <v>0</v>
      </c>
      <c r="KM47" s="122">
        <f t="shared" si="279"/>
        <v>0</v>
      </c>
      <c r="KN47" s="123">
        <f t="shared" si="280"/>
        <v>0</v>
      </c>
      <c r="KO47" s="123">
        <f t="shared" si="281"/>
        <v>0</v>
      </c>
      <c r="KP47" s="123">
        <f t="shared" si="282"/>
        <v>0</v>
      </c>
      <c r="KQ47" s="123">
        <f t="shared" si="283"/>
        <v>0</v>
      </c>
      <c r="KR47" s="123">
        <f t="shared" si="284"/>
        <v>0</v>
      </c>
      <c r="KT47">
        <f t="shared" si="285"/>
        <v>0</v>
      </c>
      <c r="KU47" s="123"/>
      <c r="KV47" s="123"/>
      <c r="KW47" s="123"/>
      <c r="KX47" s="123"/>
      <c r="KY47" s="123"/>
      <c r="KZ47" s="123"/>
      <c r="LA47" s="123"/>
      <c r="LB47" s="123"/>
      <c r="LC47" s="123"/>
      <c r="LD47" s="123"/>
      <c r="LE47" s="123"/>
      <c r="LF47" s="123"/>
      <c r="LG47" s="123"/>
      <c r="LH47" s="123"/>
      <c r="LI47" s="123"/>
      <c r="LJ47" s="123"/>
      <c r="LK47" s="123"/>
      <c r="LL47" s="123"/>
      <c r="LM47" s="123"/>
      <c r="LN47" s="123"/>
      <c r="LO47" s="123"/>
      <c r="LP47" s="123"/>
      <c r="LQ47" s="123"/>
      <c r="LR47" s="123"/>
      <c r="LS47" s="123"/>
      <c r="LT47" s="123"/>
      <c r="LU47" s="123"/>
      <c r="LV47" s="123"/>
      <c r="LW47" s="123"/>
      <c r="LX47" s="123"/>
      <c r="LY47" s="123"/>
      <c r="LZ47" s="123"/>
      <c r="MA47" s="123"/>
      <c r="MB47" s="123"/>
      <c r="MC47" s="123"/>
      <c r="MD47" s="123"/>
      <c r="ME47" s="123"/>
      <c r="MF47" s="123"/>
      <c r="MG47" s="123"/>
      <c r="MH47" s="123"/>
      <c r="MI47" s="123"/>
      <c r="MJ47" s="123"/>
      <c r="MK47" s="123"/>
      <c r="ML47" s="123"/>
      <c r="MM47" s="123"/>
      <c r="MN47" s="123"/>
      <c r="MO47" s="123"/>
      <c r="MP47" s="123"/>
      <c r="MQ47" s="123"/>
      <c r="MR47" s="123"/>
      <c r="MS47" s="123"/>
      <c r="MT47" s="123"/>
      <c r="MU47" s="123"/>
      <c r="MV47" s="123"/>
      <c r="MW47" s="123"/>
      <c r="MX47" s="123"/>
      <c r="MY47" s="123"/>
      <c r="MZ47" s="123"/>
      <c r="NA47" s="123"/>
      <c r="NB47" s="123"/>
      <c r="NC47" s="123"/>
      <c r="ND47" s="123"/>
      <c r="NE47" s="123"/>
      <c r="NF47" s="123"/>
      <c r="NG47" s="123"/>
      <c r="NH47" s="123"/>
      <c r="NI47" s="123"/>
      <c r="NJ47" s="123"/>
      <c r="NK47" s="123"/>
      <c r="NM47">
        <f t="shared" si="156"/>
        <v>0</v>
      </c>
      <c r="NN47">
        <f t="shared" si="157"/>
        <v>0</v>
      </c>
      <c r="NO47">
        <f t="shared" si="158"/>
        <v>0</v>
      </c>
      <c r="NP47">
        <f t="shared" si="159"/>
        <v>0</v>
      </c>
      <c r="NQ47">
        <f t="shared" si="160"/>
        <v>0</v>
      </c>
      <c r="NR47">
        <f t="shared" si="161"/>
        <v>0</v>
      </c>
      <c r="NS47">
        <f t="shared" si="162"/>
        <v>0</v>
      </c>
      <c r="NT47">
        <f t="shared" si="163"/>
        <v>0</v>
      </c>
      <c r="NU47" s="29">
        <f t="shared" si="164"/>
        <v>0</v>
      </c>
      <c r="NY47" s="29">
        <f t="shared" si="107"/>
        <v>1</v>
      </c>
      <c r="NZ47" s="152">
        <v>7129500</v>
      </c>
      <c r="OE47" s="155">
        <f t="shared" si="194"/>
        <v>0</v>
      </c>
      <c r="OF47" s="155">
        <f t="shared" si="195"/>
        <v>0</v>
      </c>
      <c r="OG47" s="155">
        <f t="shared" si="196"/>
        <v>0</v>
      </c>
      <c r="OH47" s="155">
        <f t="shared" si="165"/>
        <v>0</v>
      </c>
      <c r="OI47" s="155">
        <f t="shared" si="197"/>
        <v>0</v>
      </c>
      <c r="OJ47" s="67">
        <f t="shared" si="166"/>
        <v>0</v>
      </c>
      <c r="OK47" s="67">
        <f t="shared" si="167"/>
        <v>0</v>
      </c>
      <c r="OL47" s="67">
        <f t="shared" si="168"/>
        <v>0</v>
      </c>
      <c r="OM47" s="67">
        <f t="shared" si="169"/>
        <v>0</v>
      </c>
      <c r="OO47" s="155">
        <f t="shared" si="198"/>
        <v>0</v>
      </c>
      <c r="OP47" s="155">
        <f t="shared" si="199"/>
        <v>0</v>
      </c>
      <c r="OQ47" s="155">
        <f t="shared" si="170"/>
        <v>0</v>
      </c>
      <c r="OR47" s="155">
        <f t="shared" si="171"/>
        <v>0</v>
      </c>
      <c r="OS47" s="155">
        <f t="shared" si="172"/>
        <v>0</v>
      </c>
      <c r="OT47" s="67">
        <f t="shared" si="173"/>
        <v>0</v>
      </c>
      <c r="OU47" s="67">
        <f t="shared" si="174"/>
        <v>0</v>
      </c>
      <c r="OV47" s="67">
        <f t="shared" si="175"/>
        <v>0</v>
      </c>
      <c r="OW47" s="67">
        <f t="shared" si="176"/>
        <v>0</v>
      </c>
      <c r="OZ47" s="163">
        <f t="shared" si="200"/>
        <v>0</v>
      </c>
      <c r="PA47" s="166"/>
      <c r="PB47" s="166"/>
      <c r="PC47" s="166"/>
      <c r="PD47" s="210">
        <f t="shared" si="115"/>
        <v>0</v>
      </c>
      <c r="PE47" s="210"/>
      <c r="PF47" s="210">
        <f t="shared" si="116"/>
        <v>0</v>
      </c>
      <c r="PG47" s="210">
        <f t="shared" si="117"/>
        <v>0</v>
      </c>
      <c r="PH47" s="210">
        <f t="shared" si="117"/>
        <v>0</v>
      </c>
      <c r="PI47" s="210">
        <f t="shared" si="117"/>
        <v>0</v>
      </c>
      <c r="PJ47" s="210">
        <f t="shared" si="117"/>
        <v>0</v>
      </c>
      <c r="PK47" s="210">
        <f t="shared" si="117"/>
        <v>0</v>
      </c>
      <c r="PL47" s="210">
        <f t="shared" si="117"/>
        <v>0</v>
      </c>
      <c r="PO47" s="172">
        <f t="shared" si="177"/>
        <v>0</v>
      </c>
      <c r="PP47" s="172">
        <f t="shared" si="178"/>
        <v>0</v>
      </c>
      <c r="PQ47" s="172">
        <f t="shared" si="179"/>
        <v>0</v>
      </c>
    </row>
    <row r="48" spans="1:433" ht="16" x14ac:dyDescent="0.2">
      <c r="A48" s="19">
        <f t="shared" si="180"/>
        <v>39</v>
      </c>
      <c r="B48" s="186" t="s">
        <v>202</v>
      </c>
      <c r="C48" s="186">
        <v>42</v>
      </c>
      <c r="D48" s="188">
        <v>1</v>
      </c>
      <c r="E48" s="188">
        <v>50</v>
      </c>
      <c r="F48" s="188">
        <v>1</v>
      </c>
      <c r="G48" s="188">
        <f t="shared" si="201"/>
        <v>50</v>
      </c>
      <c r="H48" s="214">
        <f t="shared" si="202"/>
        <v>1</v>
      </c>
      <c r="I48" s="214">
        <f t="shared" si="203"/>
        <v>1</v>
      </c>
      <c r="J48" s="188">
        <v>1</v>
      </c>
      <c r="K48" s="188">
        <f t="shared" si="204"/>
        <v>50</v>
      </c>
      <c r="L48" s="214">
        <f t="shared" si="205"/>
        <v>1</v>
      </c>
      <c r="M48" s="214">
        <f t="shared" si="206"/>
        <v>1</v>
      </c>
      <c r="N48" s="188">
        <v>1</v>
      </c>
      <c r="O48" s="188">
        <f t="shared" si="207"/>
        <v>50</v>
      </c>
      <c r="P48" s="214">
        <f t="shared" si="208"/>
        <v>1</v>
      </c>
      <c r="Q48" s="214">
        <f t="shared" si="209"/>
        <v>1</v>
      </c>
      <c r="R48" s="188">
        <v>1</v>
      </c>
      <c r="S48" s="188">
        <f t="shared" si="210"/>
        <v>50</v>
      </c>
      <c r="T48" s="214">
        <f t="shared" si="211"/>
        <v>1</v>
      </c>
      <c r="U48" s="214">
        <f t="shared" si="212"/>
        <v>1</v>
      </c>
      <c r="V48" s="188">
        <v>1</v>
      </c>
      <c r="W48" s="188">
        <f t="shared" si="213"/>
        <v>50</v>
      </c>
      <c r="X48" s="214">
        <f t="shared" si="214"/>
        <v>1</v>
      </c>
      <c r="Y48" s="214">
        <f t="shared" si="215"/>
        <v>1</v>
      </c>
      <c r="Z48" s="216">
        <f>555947000/1000000000</f>
        <v>0.55594699999999997</v>
      </c>
      <c r="AA48" s="188">
        <v>0</v>
      </c>
      <c r="AB48" s="189">
        <f t="shared" si="118"/>
        <v>0</v>
      </c>
      <c r="AC48" s="250">
        <f t="shared" si="119"/>
        <v>0</v>
      </c>
      <c r="AD48" s="250">
        <f t="shared" si="120"/>
        <v>0</v>
      </c>
      <c r="AE48" s="188"/>
      <c r="AF48" s="188">
        <f t="shared" si="121"/>
        <v>0</v>
      </c>
      <c r="AG48" s="188"/>
      <c r="AH48" s="188" t="s">
        <v>313</v>
      </c>
      <c r="AI48" s="188">
        <v>0</v>
      </c>
      <c r="AJ48" s="188">
        <f t="shared" si="181"/>
        <v>0</v>
      </c>
      <c r="AK48" s="188"/>
      <c r="AL48" s="188">
        <v>0</v>
      </c>
      <c r="AM48" s="188">
        <v>0</v>
      </c>
      <c r="AN48" s="217"/>
      <c r="AO48" s="195"/>
      <c r="AP48" s="195"/>
      <c r="AQ48" s="195"/>
      <c r="AR48" s="195"/>
      <c r="AS48" s="195"/>
      <c r="AT48" s="195"/>
      <c r="BB48" s="17">
        <f t="shared" si="123"/>
        <v>0</v>
      </c>
      <c r="BE48" s="17">
        <f t="shared" si="216"/>
        <v>0</v>
      </c>
      <c r="BF48" s="17">
        <f t="shared" si="217"/>
        <v>0</v>
      </c>
      <c r="BG48" s="17">
        <f t="shared" si="218"/>
        <v>0</v>
      </c>
      <c r="BH48" s="17">
        <f t="shared" si="219"/>
        <v>0</v>
      </c>
      <c r="BI48" s="17">
        <f t="shared" si="220"/>
        <v>0</v>
      </c>
      <c r="BJ48" s="17">
        <f t="shared" si="221"/>
        <v>0</v>
      </c>
      <c r="BK48" s="17">
        <f t="shared" si="124"/>
        <v>0</v>
      </c>
      <c r="BM48" s="128"/>
      <c r="BN48" s="290">
        <v>33</v>
      </c>
      <c r="BO48">
        <v>1</v>
      </c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B48" s="20"/>
      <c r="CD48" s="17">
        <f t="shared" si="125"/>
        <v>33</v>
      </c>
      <c r="CE48" s="17">
        <f t="shared" si="126"/>
        <v>33</v>
      </c>
      <c r="CF48" s="20">
        <f t="shared" si="182"/>
        <v>0</v>
      </c>
      <c r="CG48" s="20">
        <f t="shared" si="183"/>
        <v>0</v>
      </c>
      <c r="CH48" s="20">
        <f t="shared" si="184"/>
        <v>0</v>
      </c>
      <c r="CI48" s="20">
        <f t="shared" si="185"/>
        <v>0</v>
      </c>
      <c r="CJ48" s="20">
        <f t="shared" si="186"/>
        <v>0</v>
      </c>
      <c r="CK48" s="20">
        <f t="shared" si="187"/>
        <v>0</v>
      </c>
      <c r="CL48" s="20">
        <f t="shared" si="188"/>
        <v>0</v>
      </c>
      <c r="CM48" s="20">
        <f t="shared" si="189"/>
        <v>0</v>
      </c>
      <c r="CN48" s="20">
        <f t="shared" si="190"/>
        <v>0</v>
      </c>
      <c r="CO48" s="20">
        <f t="shared" si="191"/>
        <v>0</v>
      </c>
      <c r="CP48" s="20">
        <f t="shared" si="192"/>
        <v>0</v>
      </c>
      <c r="DV48" s="20">
        <f t="shared" si="222"/>
        <v>0</v>
      </c>
      <c r="DW48" s="20">
        <f t="shared" si="223"/>
        <v>0</v>
      </c>
      <c r="DX48" s="20">
        <f t="shared" si="224"/>
        <v>0</v>
      </c>
      <c r="DY48" s="20">
        <f t="shared" si="225"/>
        <v>0</v>
      </c>
      <c r="DZ48" s="20">
        <f t="shared" si="226"/>
        <v>0</v>
      </c>
      <c r="EA48" s="20">
        <f t="shared" si="227"/>
        <v>0</v>
      </c>
      <c r="EB48" s="20">
        <f t="shared" si="127"/>
        <v>0</v>
      </c>
      <c r="EG48" s="57">
        <f t="shared" si="128"/>
        <v>0</v>
      </c>
      <c r="EH48" s="57">
        <f t="shared" si="129"/>
        <v>0</v>
      </c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X48" s="169">
        <v>1</v>
      </c>
      <c r="FY48" s="17">
        <f t="shared" si="130"/>
        <v>33</v>
      </c>
      <c r="FZ48" s="17">
        <f t="shared" si="228"/>
        <v>33</v>
      </c>
      <c r="GA48" s="17">
        <f t="shared" si="229"/>
        <v>0</v>
      </c>
      <c r="GB48" s="17">
        <f t="shared" si="230"/>
        <v>0</v>
      </c>
      <c r="GC48" s="17">
        <f t="shared" si="231"/>
        <v>0</v>
      </c>
      <c r="GD48" s="17">
        <f t="shared" si="232"/>
        <v>0</v>
      </c>
      <c r="GE48" s="17">
        <f t="shared" si="233"/>
        <v>0</v>
      </c>
      <c r="GF48" s="67"/>
      <c r="GG48" s="17">
        <v>0</v>
      </c>
      <c r="GH48" s="17">
        <v>0</v>
      </c>
      <c r="GI48" s="67"/>
      <c r="GJ48" s="62">
        <f t="shared" si="131"/>
        <v>0</v>
      </c>
      <c r="GK48" s="62">
        <f t="shared" si="132"/>
        <v>0</v>
      </c>
      <c r="GO48" s="17">
        <f t="shared" si="234"/>
        <v>0</v>
      </c>
      <c r="GP48" s="17">
        <f t="shared" si="235"/>
        <v>0</v>
      </c>
      <c r="GQ48" s="17">
        <f t="shared" si="236"/>
        <v>0</v>
      </c>
      <c r="GR48" s="17">
        <f t="shared" si="237"/>
        <v>0</v>
      </c>
      <c r="GS48" s="17">
        <f t="shared" si="238"/>
        <v>0</v>
      </c>
      <c r="GT48" s="17">
        <f t="shared" si="133"/>
        <v>1</v>
      </c>
      <c r="GU48" s="101">
        <f t="shared" si="134"/>
        <v>43243</v>
      </c>
      <c r="GV48" s="17" t="str">
        <f t="shared" si="135"/>
        <v>SELESAI</v>
      </c>
      <c r="GW48" s="17">
        <f t="shared" si="136"/>
        <v>0</v>
      </c>
      <c r="GX48" s="66" t="str">
        <f t="shared" si="137"/>
        <v>SELESAI</v>
      </c>
      <c r="GY48" s="66">
        <f t="shared" si="138"/>
        <v>0</v>
      </c>
      <c r="GZ48" s="102" t="str">
        <f t="shared" si="139"/>
        <v>SELESAI</v>
      </c>
      <c r="HA48" s="83"/>
      <c r="HB48" s="83"/>
      <c r="HC48" s="17">
        <f t="shared" si="239"/>
        <v>0</v>
      </c>
      <c r="HD48" s="17">
        <f t="shared" si="240"/>
        <v>0</v>
      </c>
      <c r="HE48" s="17">
        <f t="shared" si="140"/>
        <v>0</v>
      </c>
      <c r="HF48" s="17">
        <f t="shared" si="141"/>
        <v>0</v>
      </c>
      <c r="HG48" s="17">
        <f t="shared" si="142"/>
        <v>0</v>
      </c>
      <c r="HH48" s="101" t="str">
        <f t="shared" si="47"/>
        <v>TIDAK KONSINYASI</v>
      </c>
      <c r="HI48" s="101" t="str">
        <f t="shared" si="143"/>
        <v>SELESAI</v>
      </c>
      <c r="HJ48" s="27"/>
      <c r="HK48" s="101">
        <f t="shared" si="48"/>
        <v>0</v>
      </c>
      <c r="HL48" s="83"/>
      <c r="HM48" s="83"/>
      <c r="HN48" s="83"/>
      <c r="HO48" s="83"/>
      <c r="HP48" s="102">
        <f t="shared" si="144"/>
        <v>0</v>
      </c>
      <c r="HQ48" s="66">
        <f t="shared" si="145"/>
        <v>0</v>
      </c>
      <c r="HR48" s="66">
        <f t="shared" si="241"/>
        <v>0</v>
      </c>
      <c r="HS48" s="102">
        <f t="shared" si="146"/>
        <v>0</v>
      </c>
      <c r="HT48" s="66">
        <f t="shared" si="147"/>
        <v>0</v>
      </c>
      <c r="HU48" s="66">
        <f t="shared" si="242"/>
        <v>0</v>
      </c>
      <c r="HV48" s="102">
        <f t="shared" si="148"/>
        <v>0</v>
      </c>
      <c r="HW48" s="66">
        <f t="shared" si="51"/>
        <v>0</v>
      </c>
      <c r="HX48" s="66">
        <f t="shared" si="243"/>
        <v>0</v>
      </c>
      <c r="HY48" s="102">
        <f t="shared" si="53"/>
        <v>0</v>
      </c>
      <c r="HZ48" s="66">
        <f t="shared" si="149"/>
        <v>0</v>
      </c>
      <c r="IA48" s="66">
        <f t="shared" si="244"/>
        <v>0</v>
      </c>
      <c r="IB48" s="102">
        <f t="shared" si="150"/>
        <v>0</v>
      </c>
      <c r="IC48" s="66">
        <f t="shared" si="55"/>
        <v>0</v>
      </c>
      <c r="ID48" s="66">
        <f t="shared" si="245"/>
        <v>0</v>
      </c>
      <c r="IE48" s="102">
        <f t="shared" si="57"/>
        <v>0</v>
      </c>
      <c r="IF48" s="66">
        <f t="shared" si="58"/>
        <v>0</v>
      </c>
      <c r="IG48" s="66">
        <f t="shared" si="246"/>
        <v>0</v>
      </c>
      <c r="IH48" s="102">
        <f t="shared" si="151"/>
        <v>0</v>
      </c>
      <c r="II48" s="66">
        <f t="shared" si="152"/>
        <v>0</v>
      </c>
      <c r="IJ48" s="66">
        <f t="shared" si="247"/>
        <v>0</v>
      </c>
      <c r="IK48" s="102">
        <f t="shared" si="61"/>
        <v>0</v>
      </c>
      <c r="IL48" s="66">
        <f t="shared" si="62"/>
        <v>0</v>
      </c>
      <c r="IM48" s="66">
        <f t="shared" si="248"/>
        <v>0</v>
      </c>
      <c r="IN48" s="83"/>
      <c r="IO48" s="102">
        <f t="shared" si="64"/>
        <v>0</v>
      </c>
      <c r="IP48" s="66">
        <f t="shared" si="249"/>
        <v>0</v>
      </c>
      <c r="IQ48" s="66">
        <f t="shared" si="250"/>
        <v>0</v>
      </c>
      <c r="IR48" s="83"/>
      <c r="IS48" s="102"/>
      <c r="IT48" s="66">
        <f t="shared" si="251"/>
        <v>1</v>
      </c>
      <c r="IU48" s="66">
        <f t="shared" si="252"/>
        <v>50</v>
      </c>
      <c r="IV48" s="83"/>
      <c r="IW48" s="102"/>
      <c r="IX48" s="66">
        <f t="shared" si="253"/>
        <v>0</v>
      </c>
      <c r="IY48" s="66">
        <f t="shared" si="254"/>
        <v>0</v>
      </c>
      <c r="IZ48" s="83"/>
      <c r="JA48" s="102"/>
      <c r="JB48" s="66">
        <f t="shared" si="255"/>
        <v>0</v>
      </c>
      <c r="JC48" s="66">
        <f t="shared" si="256"/>
        <v>0</v>
      </c>
      <c r="JD48" s="83"/>
      <c r="JE48" s="102"/>
      <c r="JF48" s="66">
        <f t="shared" si="153"/>
        <v>1</v>
      </c>
      <c r="JG48" s="66">
        <f t="shared" si="73"/>
        <v>50</v>
      </c>
      <c r="JH48" s="83"/>
      <c r="JI48" s="102"/>
      <c r="JJ48" s="66">
        <f t="shared" si="257"/>
        <v>0</v>
      </c>
      <c r="JK48" s="66">
        <f t="shared" si="258"/>
        <v>0</v>
      </c>
      <c r="JM48" s="102">
        <f t="shared" si="154"/>
        <v>0</v>
      </c>
      <c r="JO48" s="29">
        <f t="shared" si="76"/>
        <v>1</v>
      </c>
      <c r="JP48" s="122">
        <f t="shared" si="259"/>
        <v>33</v>
      </c>
      <c r="JQ48" s="122">
        <f t="shared" si="260"/>
        <v>1</v>
      </c>
      <c r="JR48" s="122">
        <f t="shared" si="261"/>
        <v>0</v>
      </c>
      <c r="JS48" s="122">
        <f t="shared" si="262"/>
        <v>0</v>
      </c>
      <c r="JT48" s="122">
        <f t="shared" si="263"/>
        <v>0</v>
      </c>
      <c r="JU48" s="122">
        <f t="shared" si="264"/>
        <v>0</v>
      </c>
      <c r="JV48" s="122">
        <f t="shared" si="265"/>
        <v>0</v>
      </c>
      <c r="JW48" s="122">
        <f t="shared" si="266"/>
        <v>0</v>
      </c>
      <c r="JX48" s="122">
        <f t="shared" si="267"/>
        <v>0</v>
      </c>
      <c r="JY48" s="122">
        <f t="shared" si="268"/>
        <v>0</v>
      </c>
      <c r="JZ48" s="122">
        <f t="shared" si="269"/>
        <v>0</v>
      </c>
      <c r="KA48" s="122">
        <f t="shared" si="270"/>
        <v>0</v>
      </c>
      <c r="KB48" s="122">
        <f t="shared" si="271"/>
        <v>0</v>
      </c>
      <c r="KD48" s="122">
        <f t="shared" si="155"/>
        <v>0</v>
      </c>
      <c r="KE48" s="122">
        <f t="shared" si="91"/>
        <v>0</v>
      </c>
      <c r="KF48" s="122">
        <f t="shared" si="272"/>
        <v>33</v>
      </c>
      <c r="KG48" s="122">
        <f t="shared" si="273"/>
        <v>33</v>
      </c>
      <c r="KH48" s="122">
        <f t="shared" si="274"/>
        <v>0</v>
      </c>
      <c r="KI48" s="122">
        <f t="shared" si="275"/>
        <v>0</v>
      </c>
      <c r="KJ48" s="122">
        <f t="shared" si="276"/>
        <v>0</v>
      </c>
      <c r="KK48" s="122">
        <f t="shared" si="277"/>
        <v>0</v>
      </c>
      <c r="KL48" s="122">
        <f t="shared" si="278"/>
        <v>0</v>
      </c>
      <c r="KM48" s="122">
        <f t="shared" si="279"/>
        <v>0</v>
      </c>
      <c r="KN48" s="123">
        <f t="shared" si="280"/>
        <v>0</v>
      </c>
      <c r="KO48" s="123">
        <f t="shared" si="281"/>
        <v>0</v>
      </c>
      <c r="KP48" s="123">
        <f t="shared" si="282"/>
        <v>0</v>
      </c>
      <c r="KQ48" s="123">
        <f t="shared" si="283"/>
        <v>0</v>
      </c>
      <c r="KR48" s="123">
        <f t="shared" si="284"/>
        <v>0</v>
      </c>
      <c r="KT48">
        <f t="shared" si="285"/>
        <v>0</v>
      </c>
      <c r="KU48" s="123"/>
      <c r="KV48" s="123"/>
      <c r="KW48" s="123"/>
      <c r="KX48" s="123"/>
      <c r="KY48" s="123"/>
      <c r="KZ48" s="123"/>
      <c r="LA48" s="123"/>
      <c r="LB48" s="123"/>
      <c r="LC48" s="123"/>
      <c r="LD48" s="123"/>
      <c r="LE48" s="123"/>
      <c r="LF48" s="123"/>
      <c r="LG48" s="123"/>
      <c r="LH48" s="123"/>
      <c r="LI48" s="123"/>
      <c r="LJ48" s="123"/>
      <c r="LK48" s="123"/>
      <c r="LL48" s="123"/>
      <c r="LM48" s="123"/>
      <c r="LN48" s="123"/>
      <c r="LO48" s="123"/>
      <c r="LP48" s="123"/>
      <c r="LQ48" s="123"/>
      <c r="LR48" s="123"/>
      <c r="LS48" s="123"/>
      <c r="LT48" s="123"/>
      <c r="LU48" s="123"/>
      <c r="LV48" s="123"/>
      <c r="LW48" s="123"/>
      <c r="LX48" s="123"/>
      <c r="LY48" s="123"/>
      <c r="LZ48" s="123"/>
      <c r="MA48" s="123"/>
      <c r="MB48" s="123"/>
      <c r="MC48" s="123"/>
      <c r="MD48" s="123"/>
      <c r="ME48" s="123"/>
      <c r="MF48" s="123"/>
      <c r="MG48" s="123"/>
      <c r="MH48" s="123"/>
      <c r="MI48" s="123"/>
      <c r="MJ48" s="123"/>
      <c r="MK48" s="123"/>
      <c r="ML48" s="123"/>
      <c r="MM48" s="123"/>
      <c r="MN48" s="123"/>
      <c r="MO48" s="123"/>
      <c r="MP48" s="123"/>
      <c r="MQ48" s="123"/>
      <c r="MR48" s="123"/>
      <c r="MS48" s="123"/>
      <c r="MT48" s="123"/>
      <c r="MU48" s="123"/>
      <c r="MV48" s="123"/>
      <c r="MW48" s="123"/>
      <c r="MX48" s="123"/>
      <c r="MY48" s="123"/>
      <c r="MZ48" s="123"/>
      <c r="NA48" s="123"/>
      <c r="NB48" s="123"/>
      <c r="NC48" s="123"/>
      <c r="ND48" s="123"/>
      <c r="NE48" s="123"/>
      <c r="NF48" s="123"/>
      <c r="NG48" s="123"/>
      <c r="NH48" s="123"/>
      <c r="NI48" s="123"/>
      <c r="NJ48" s="123"/>
      <c r="NK48" s="123"/>
      <c r="NM48">
        <f t="shared" si="156"/>
        <v>0</v>
      </c>
      <c r="NN48">
        <f t="shared" si="157"/>
        <v>0</v>
      </c>
      <c r="NO48">
        <f t="shared" si="158"/>
        <v>0</v>
      </c>
      <c r="NP48">
        <f t="shared" si="159"/>
        <v>0</v>
      </c>
      <c r="NQ48">
        <f t="shared" si="160"/>
        <v>0</v>
      </c>
      <c r="NR48">
        <f t="shared" si="161"/>
        <v>0</v>
      </c>
      <c r="NS48">
        <f t="shared" si="162"/>
        <v>0</v>
      </c>
      <c r="NT48">
        <f t="shared" si="163"/>
        <v>0</v>
      </c>
      <c r="NU48" s="29">
        <f t="shared" si="164"/>
        <v>0</v>
      </c>
      <c r="NY48" s="29">
        <f t="shared" si="107"/>
        <v>1</v>
      </c>
      <c r="NZ48" s="152">
        <v>7129500</v>
      </c>
      <c r="OE48" s="155">
        <f t="shared" si="194"/>
        <v>0</v>
      </c>
      <c r="OF48" s="155">
        <f t="shared" si="195"/>
        <v>0</v>
      </c>
      <c r="OG48" s="155">
        <f t="shared" si="196"/>
        <v>0</v>
      </c>
      <c r="OH48" s="155">
        <f t="shared" si="165"/>
        <v>0</v>
      </c>
      <c r="OI48" s="155">
        <f t="shared" si="197"/>
        <v>0</v>
      </c>
      <c r="OJ48" s="67">
        <f t="shared" si="166"/>
        <v>0</v>
      </c>
      <c r="OK48" s="67">
        <f t="shared" si="167"/>
        <v>0</v>
      </c>
      <c r="OL48" s="67">
        <f t="shared" si="168"/>
        <v>0</v>
      </c>
      <c r="OM48" s="67">
        <f t="shared" si="169"/>
        <v>0</v>
      </c>
      <c r="OO48" s="155">
        <f t="shared" si="198"/>
        <v>0</v>
      </c>
      <c r="OP48" s="155">
        <f t="shared" si="199"/>
        <v>0</v>
      </c>
      <c r="OQ48" s="155">
        <f t="shared" si="170"/>
        <v>0</v>
      </c>
      <c r="OR48" s="155">
        <f t="shared" si="171"/>
        <v>0</v>
      </c>
      <c r="OS48" s="155">
        <f t="shared" si="172"/>
        <v>0</v>
      </c>
      <c r="OT48" s="67">
        <f t="shared" si="173"/>
        <v>0</v>
      </c>
      <c r="OU48" s="67">
        <f t="shared" si="174"/>
        <v>0</v>
      </c>
      <c r="OV48" s="67">
        <f t="shared" si="175"/>
        <v>0</v>
      </c>
      <c r="OW48" s="67">
        <f t="shared" si="176"/>
        <v>0</v>
      </c>
      <c r="OZ48" s="163">
        <f t="shared" si="200"/>
        <v>0</v>
      </c>
      <c r="PA48" s="166"/>
      <c r="PB48" s="166"/>
      <c r="PC48" s="166"/>
      <c r="PD48" s="210">
        <f t="shared" si="115"/>
        <v>0</v>
      </c>
      <c r="PE48" s="210"/>
      <c r="PF48" s="210">
        <f t="shared" si="116"/>
        <v>0</v>
      </c>
      <c r="PG48" s="210">
        <f t="shared" si="117"/>
        <v>0</v>
      </c>
      <c r="PH48" s="210">
        <f t="shared" si="117"/>
        <v>0</v>
      </c>
      <c r="PI48" s="210">
        <f t="shared" si="117"/>
        <v>0</v>
      </c>
      <c r="PJ48" s="210">
        <f t="shared" si="117"/>
        <v>0</v>
      </c>
      <c r="PK48" s="210">
        <f t="shared" si="117"/>
        <v>0</v>
      </c>
      <c r="PL48" s="210">
        <f t="shared" si="117"/>
        <v>0</v>
      </c>
      <c r="PO48" s="172">
        <f t="shared" si="177"/>
        <v>0</v>
      </c>
      <c r="PP48" s="172">
        <f t="shared" si="178"/>
        <v>0</v>
      </c>
      <c r="PQ48" s="172">
        <f t="shared" si="179"/>
        <v>0</v>
      </c>
    </row>
    <row r="49" spans="1:433" ht="16" x14ac:dyDescent="0.2">
      <c r="A49" s="19">
        <f t="shared" si="180"/>
        <v>40</v>
      </c>
      <c r="B49" s="186" t="s">
        <v>192</v>
      </c>
      <c r="C49" s="186">
        <v>43</v>
      </c>
      <c r="D49" s="188">
        <v>1</v>
      </c>
      <c r="E49" s="188">
        <v>76</v>
      </c>
      <c r="F49" s="188">
        <v>1</v>
      </c>
      <c r="G49" s="188">
        <f t="shared" si="201"/>
        <v>76</v>
      </c>
      <c r="H49" s="214">
        <f t="shared" si="202"/>
        <v>1</v>
      </c>
      <c r="I49" s="214">
        <f t="shared" si="203"/>
        <v>1</v>
      </c>
      <c r="J49" s="188">
        <v>1</v>
      </c>
      <c r="K49" s="188">
        <f t="shared" si="204"/>
        <v>76</v>
      </c>
      <c r="L49" s="214">
        <f t="shared" si="205"/>
        <v>1</v>
      </c>
      <c r="M49" s="214">
        <f t="shared" si="206"/>
        <v>1</v>
      </c>
      <c r="N49" s="188">
        <v>1</v>
      </c>
      <c r="O49" s="188">
        <f t="shared" si="207"/>
        <v>76</v>
      </c>
      <c r="P49" s="214">
        <f t="shared" si="208"/>
        <v>1</v>
      </c>
      <c r="Q49" s="214">
        <f t="shared" si="209"/>
        <v>1</v>
      </c>
      <c r="R49" s="188">
        <v>1</v>
      </c>
      <c r="S49" s="188">
        <f t="shared" si="210"/>
        <v>76</v>
      </c>
      <c r="T49" s="214">
        <f t="shared" si="211"/>
        <v>1</v>
      </c>
      <c r="U49" s="214">
        <f t="shared" si="212"/>
        <v>1</v>
      </c>
      <c r="V49" s="188">
        <v>1</v>
      </c>
      <c r="W49" s="188">
        <f t="shared" si="213"/>
        <v>76</v>
      </c>
      <c r="X49" s="214">
        <f t="shared" si="214"/>
        <v>1</v>
      </c>
      <c r="Y49" s="214">
        <f t="shared" si="215"/>
        <v>1</v>
      </c>
      <c r="Z49" s="216">
        <f>787146000/1000000000</f>
        <v>0.78714600000000001</v>
      </c>
      <c r="AA49" s="188">
        <v>0</v>
      </c>
      <c r="AB49" s="189">
        <f t="shared" si="118"/>
        <v>0</v>
      </c>
      <c r="AC49" s="250">
        <f t="shared" si="119"/>
        <v>0</v>
      </c>
      <c r="AD49" s="250">
        <f t="shared" si="120"/>
        <v>0</v>
      </c>
      <c r="AE49" s="188"/>
      <c r="AF49" s="188">
        <f t="shared" si="121"/>
        <v>0</v>
      </c>
      <c r="AG49" s="188"/>
      <c r="AH49" s="188" t="s">
        <v>313</v>
      </c>
      <c r="AI49" s="188">
        <v>0</v>
      </c>
      <c r="AJ49" s="188">
        <f t="shared" si="181"/>
        <v>0</v>
      </c>
      <c r="AK49" s="188"/>
      <c r="AL49" s="188">
        <v>0</v>
      </c>
      <c r="AM49" s="188">
        <v>0</v>
      </c>
      <c r="AN49" s="217"/>
      <c r="AO49" s="195"/>
      <c r="AP49" s="195"/>
      <c r="AQ49" s="195"/>
      <c r="AR49" s="195"/>
      <c r="AS49" s="195"/>
      <c r="AT49" s="195"/>
      <c r="BB49" s="17">
        <f t="shared" si="123"/>
        <v>0</v>
      </c>
      <c r="BE49" s="17">
        <f t="shared" si="216"/>
        <v>0</v>
      </c>
      <c r="BF49" s="17">
        <f t="shared" si="217"/>
        <v>0</v>
      </c>
      <c r="BG49" s="17">
        <f t="shared" si="218"/>
        <v>0</v>
      </c>
      <c r="BH49" s="17">
        <f t="shared" si="219"/>
        <v>0</v>
      </c>
      <c r="BI49" s="17">
        <f t="shared" si="220"/>
        <v>0</v>
      </c>
      <c r="BJ49" s="17">
        <f t="shared" si="221"/>
        <v>0</v>
      </c>
      <c r="BK49" s="17">
        <f t="shared" si="124"/>
        <v>0</v>
      </c>
      <c r="BM49" s="128"/>
      <c r="BN49" s="289">
        <v>65</v>
      </c>
      <c r="BO49" s="291">
        <v>1</v>
      </c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B49" s="20"/>
      <c r="CD49" s="17">
        <f t="shared" si="125"/>
        <v>65</v>
      </c>
      <c r="CE49" s="17">
        <f t="shared" si="126"/>
        <v>65</v>
      </c>
      <c r="CF49" s="20">
        <f t="shared" si="182"/>
        <v>0</v>
      </c>
      <c r="CG49" s="20">
        <f t="shared" si="183"/>
        <v>0</v>
      </c>
      <c r="CH49" s="20">
        <f t="shared" si="184"/>
        <v>0</v>
      </c>
      <c r="CI49" s="20">
        <f t="shared" si="185"/>
        <v>0</v>
      </c>
      <c r="CJ49" s="20">
        <f t="shared" si="186"/>
        <v>0</v>
      </c>
      <c r="CK49" s="20">
        <f t="shared" si="187"/>
        <v>0</v>
      </c>
      <c r="CL49" s="20">
        <f t="shared" si="188"/>
        <v>0</v>
      </c>
      <c r="CM49" s="20">
        <f t="shared" si="189"/>
        <v>0</v>
      </c>
      <c r="CN49" s="20">
        <f t="shared" si="190"/>
        <v>0</v>
      </c>
      <c r="CO49" s="20">
        <f t="shared" si="191"/>
        <v>0</v>
      </c>
      <c r="CP49" s="20">
        <f t="shared" si="192"/>
        <v>0</v>
      </c>
      <c r="DV49" s="20">
        <f t="shared" si="222"/>
        <v>0</v>
      </c>
      <c r="DW49" s="20">
        <f t="shared" si="223"/>
        <v>0</v>
      </c>
      <c r="DX49" s="20">
        <f t="shared" si="224"/>
        <v>0</v>
      </c>
      <c r="DY49" s="20">
        <f t="shared" si="225"/>
        <v>0</v>
      </c>
      <c r="DZ49" s="20">
        <f t="shared" si="226"/>
        <v>0</v>
      </c>
      <c r="EA49" s="20">
        <f t="shared" si="227"/>
        <v>0</v>
      </c>
      <c r="EB49" s="20">
        <f t="shared" si="127"/>
        <v>0</v>
      </c>
      <c r="EG49" s="57">
        <f t="shared" si="128"/>
        <v>0</v>
      </c>
      <c r="EH49" s="57">
        <f t="shared" si="129"/>
        <v>0</v>
      </c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X49" s="169">
        <v>1</v>
      </c>
      <c r="FY49" s="17">
        <f t="shared" si="130"/>
        <v>65</v>
      </c>
      <c r="FZ49" s="17">
        <f t="shared" si="228"/>
        <v>65</v>
      </c>
      <c r="GA49" s="17">
        <f t="shared" si="229"/>
        <v>0</v>
      </c>
      <c r="GB49" s="17">
        <f t="shared" si="230"/>
        <v>0</v>
      </c>
      <c r="GC49" s="17">
        <f t="shared" si="231"/>
        <v>0</v>
      </c>
      <c r="GD49" s="17">
        <f t="shared" si="232"/>
        <v>0</v>
      </c>
      <c r="GE49" s="17">
        <f t="shared" si="233"/>
        <v>0</v>
      </c>
      <c r="GF49" s="67"/>
      <c r="GG49" s="17">
        <v>0</v>
      </c>
      <c r="GH49" s="17">
        <v>0</v>
      </c>
      <c r="GI49" s="67"/>
      <c r="GJ49" s="62">
        <f t="shared" si="131"/>
        <v>0</v>
      </c>
      <c r="GK49" s="62">
        <f t="shared" si="132"/>
        <v>0</v>
      </c>
      <c r="GO49" s="17">
        <f t="shared" si="234"/>
        <v>0</v>
      </c>
      <c r="GP49" s="17">
        <f t="shared" si="235"/>
        <v>0</v>
      </c>
      <c r="GQ49" s="17">
        <f t="shared" si="236"/>
        <v>0</v>
      </c>
      <c r="GR49" s="17">
        <f t="shared" si="237"/>
        <v>0</v>
      </c>
      <c r="GS49" s="17">
        <f t="shared" si="238"/>
        <v>0</v>
      </c>
      <c r="GT49" s="17">
        <f t="shared" si="133"/>
        <v>1</v>
      </c>
      <c r="GU49" s="101">
        <f t="shared" si="134"/>
        <v>43243</v>
      </c>
      <c r="GV49" s="17" t="str">
        <f t="shared" si="135"/>
        <v>SELESAI</v>
      </c>
      <c r="GW49" s="17">
        <f t="shared" si="136"/>
        <v>0</v>
      </c>
      <c r="GX49" s="66" t="str">
        <f t="shared" si="137"/>
        <v>SELESAI</v>
      </c>
      <c r="GY49" s="66">
        <f t="shared" si="138"/>
        <v>0</v>
      </c>
      <c r="GZ49" s="102" t="str">
        <f t="shared" si="139"/>
        <v>SELESAI</v>
      </c>
      <c r="HA49" s="83"/>
      <c r="HB49" s="83"/>
      <c r="HC49" s="17">
        <f t="shared" si="239"/>
        <v>0</v>
      </c>
      <c r="HD49" s="17">
        <f t="shared" si="240"/>
        <v>0</v>
      </c>
      <c r="HE49" s="17">
        <f t="shared" si="140"/>
        <v>0</v>
      </c>
      <c r="HF49" s="17">
        <f t="shared" si="141"/>
        <v>0</v>
      </c>
      <c r="HG49" s="17">
        <f t="shared" si="142"/>
        <v>0</v>
      </c>
      <c r="HH49" s="101" t="str">
        <f t="shared" si="47"/>
        <v>TIDAK KONSINYASI</v>
      </c>
      <c r="HI49" s="101" t="str">
        <f t="shared" si="143"/>
        <v>SELESAI</v>
      </c>
      <c r="HJ49" s="27"/>
      <c r="HK49" s="101">
        <f t="shared" si="48"/>
        <v>0</v>
      </c>
      <c r="HL49" s="83"/>
      <c r="HM49" s="83"/>
      <c r="HN49" s="83"/>
      <c r="HO49" s="83"/>
      <c r="HP49" s="102">
        <f t="shared" si="144"/>
        <v>0</v>
      </c>
      <c r="HQ49" s="66">
        <f t="shared" si="145"/>
        <v>0</v>
      </c>
      <c r="HR49" s="66">
        <f t="shared" si="241"/>
        <v>0</v>
      </c>
      <c r="HS49" s="102">
        <f t="shared" si="146"/>
        <v>0</v>
      </c>
      <c r="HT49" s="66">
        <f t="shared" si="147"/>
        <v>0</v>
      </c>
      <c r="HU49" s="66">
        <f t="shared" si="242"/>
        <v>0</v>
      </c>
      <c r="HV49" s="102">
        <f t="shared" si="148"/>
        <v>0</v>
      </c>
      <c r="HW49" s="66">
        <f t="shared" si="51"/>
        <v>0</v>
      </c>
      <c r="HX49" s="66">
        <f t="shared" si="243"/>
        <v>0</v>
      </c>
      <c r="HY49" s="102">
        <f t="shared" si="53"/>
        <v>0</v>
      </c>
      <c r="HZ49" s="66">
        <f t="shared" si="149"/>
        <v>0</v>
      </c>
      <c r="IA49" s="66">
        <f t="shared" si="244"/>
        <v>0</v>
      </c>
      <c r="IB49" s="102">
        <f t="shared" si="150"/>
        <v>0</v>
      </c>
      <c r="IC49" s="66">
        <f t="shared" si="55"/>
        <v>0</v>
      </c>
      <c r="ID49" s="66">
        <f t="shared" si="245"/>
        <v>0</v>
      </c>
      <c r="IE49" s="102">
        <f t="shared" si="57"/>
        <v>0</v>
      </c>
      <c r="IF49" s="66">
        <f t="shared" si="58"/>
        <v>0</v>
      </c>
      <c r="IG49" s="66">
        <f t="shared" si="246"/>
        <v>0</v>
      </c>
      <c r="IH49" s="102">
        <f t="shared" si="151"/>
        <v>0</v>
      </c>
      <c r="II49" s="66">
        <f t="shared" si="152"/>
        <v>0</v>
      </c>
      <c r="IJ49" s="66">
        <f t="shared" si="247"/>
        <v>0</v>
      </c>
      <c r="IK49" s="102">
        <f t="shared" si="61"/>
        <v>0</v>
      </c>
      <c r="IL49" s="66">
        <f t="shared" si="62"/>
        <v>0</v>
      </c>
      <c r="IM49" s="66">
        <f t="shared" si="248"/>
        <v>0</v>
      </c>
      <c r="IN49" s="83"/>
      <c r="IO49" s="102">
        <f t="shared" si="64"/>
        <v>0</v>
      </c>
      <c r="IP49" s="66">
        <f t="shared" si="249"/>
        <v>0</v>
      </c>
      <c r="IQ49" s="66">
        <f t="shared" si="250"/>
        <v>0</v>
      </c>
      <c r="IR49" s="83"/>
      <c r="IS49" s="102"/>
      <c r="IT49" s="66">
        <f t="shared" si="251"/>
        <v>1</v>
      </c>
      <c r="IU49" s="66">
        <f t="shared" si="252"/>
        <v>76</v>
      </c>
      <c r="IV49" s="83"/>
      <c r="IW49" s="102"/>
      <c r="IX49" s="66">
        <f t="shared" si="253"/>
        <v>0</v>
      </c>
      <c r="IY49" s="66">
        <f t="shared" si="254"/>
        <v>0</v>
      </c>
      <c r="IZ49" s="83"/>
      <c r="JA49" s="102"/>
      <c r="JB49" s="66">
        <f t="shared" si="255"/>
        <v>0</v>
      </c>
      <c r="JC49" s="66">
        <f t="shared" si="256"/>
        <v>0</v>
      </c>
      <c r="JD49" s="83"/>
      <c r="JE49" s="102"/>
      <c r="JF49" s="66">
        <f t="shared" si="153"/>
        <v>1</v>
      </c>
      <c r="JG49" s="66">
        <f t="shared" si="73"/>
        <v>76</v>
      </c>
      <c r="JH49" s="83"/>
      <c r="JI49" s="102"/>
      <c r="JJ49" s="66">
        <f t="shared" si="257"/>
        <v>0</v>
      </c>
      <c r="JK49" s="66">
        <f t="shared" si="258"/>
        <v>0</v>
      </c>
      <c r="JM49" s="102">
        <f t="shared" si="154"/>
        <v>0</v>
      </c>
      <c r="JO49" s="29">
        <f t="shared" si="76"/>
        <v>1</v>
      </c>
      <c r="JP49" s="122">
        <f t="shared" si="259"/>
        <v>65</v>
      </c>
      <c r="JQ49" s="122">
        <f t="shared" si="260"/>
        <v>1</v>
      </c>
      <c r="JR49" s="122">
        <f t="shared" si="261"/>
        <v>0</v>
      </c>
      <c r="JS49" s="122">
        <f t="shared" si="262"/>
        <v>0</v>
      </c>
      <c r="JT49" s="122">
        <f t="shared" si="263"/>
        <v>0</v>
      </c>
      <c r="JU49" s="122">
        <f t="shared" si="264"/>
        <v>0</v>
      </c>
      <c r="JV49" s="122">
        <f t="shared" si="265"/>
        <v>0</v>
      </c>
      <c r="JW49" s="122">
        <f t="shared" si="266"/>
        <v>0</v>
      </c>
      <c r="JX49" s="122">
        <f t="shared" si="267"/>
        <v>0</v>
      </c>
      <c r="JY49" s="122">
        <f t="shared" si="268"/>
        <v>0</v>
      </c>
      <c r="JZ49" s="122">
        <f t="shared" si="269"/>
        <v>0</v>
      </c>
      <c r="KA49" s="122">
        <f t="shared" si="270"/>
        <v>0</v>
      </c>
      <c r="KB49" s="122">
        <f t="shared" si="271"/>
        <v>0</v>
      </c>
      <c r="KD49" s="122">
        <f t="shared" si="155"/>
        <v>0</v>
      </c>
      <c r="KE49" s="122">
        <f t="shared" si="91"/>
        <v>0</v>
      </c>
      <c r="KF49" s="122">
        <f t="shared" si="272"/>
        <v>65</v>
      </c>
      <c r="KG49" s="122">
        <f t="shared" si="273"/>
        <v>65</v>
      </c>
      <c r="KH49" s="122">
        <f t="shared" si="274"/>
        <v>0</v>
      </c>
      <c r="KI49" s="122">
        <f t="shared" si="275"/>
        <v>0</v>
      </c>
      <c r="KJ49" s="122">
        <f t="shared" si="276"/>
        <v>0</v>
      </c>
      <c r="KK49" s="122">
        <f t="shared" si="277"/>
        <v>0</v>
      </c>
      <c r="KL49" s="122">
        <f t="shared" si="278"/>
        <v>0</v>
      </c>
      <c r="KM49" s="122">
        <f t="shared" si="279"/>
        <v>0</v>
      </c>
      <c r="KN49" s="123">
        <f t="shared" si="280"/>
        <v>0</v>
      </c>
      <c r="KO49" s="123">
        <f t="shared" si="281"/>
        <v>0</v>
      </c>
      <c r="KP49" s="123">
        <f t="shared" si="282"/>
        <v>0</v>
      </c>
      <c r="KQ49" s="123">
        <f t="shared" si="283"/>
        <v>0</v>
      </c>
      <c r="KR49" s="123">
        <f t="shared" si="284"/>
        <v>0</v>
      </c>
      <c r="KT49">
        <f t="shared" si="285"/>
        <v>0</v>
      </c>
      <c r="KU49" s="123"/>
      <c r="KV49" s="123"/>
      <c r="KW49" s="123"/>
      <c r="KX49" s="123"/>
      <c r="KY49" s="123"/>
      <c r="KZ49" s="123"/>
      <c r="LA49" s="123"/>
      <c r="LB49" s="123"/>
      <c r="LC49" s="123"/>
      <c r="LD49" s="123"/>
      <c r="LE49" s="123"/>
      <c r="LF49" s="123"/>
      <c r="LG49" s="123"/>
      <c r="LH49" s="123"/>
      <c r="LI49" s="123"/>
      <c r="LJ49" s="123"/>
      <c r="LK49" s="123"/>
      <c r="LL49" s="123"/>
      <c r="LM49" s="123"/>
      <c r="LN49" s="123"/>
      <c r="LO49" s="123"/>
      <c r="LP49" s="123"/>
      <c r="LQ49" s="123"/>
      <c r="LR49" s="123"/>
      <c r="LS49" s="123"/>
      <c r="LT49" s="123"/>
      <c r="LU49" s="123"/>
      <c r="LV49" s="123"/>
      <c r="LW49" s="123"/>
      <c r="LX49" s="123"/>
      <c r="LY49" s="123"/>
      <c r="LZ49" s="123"/>
      <c r="MA49" s="123"/>
      <c r="MB49" s="123"/>
      <c r="MC49" s="123"/>
      <c r="MD49" s="123"/>
      <c r="ME49" s="123"/>
      <c r="MF49" s="123"/>
      <c r="MG49" s="123"/>
      <c r="MH49" s="123"/>
      <c r="MI49" s="123"/>
      <c r="MJ49" s="123"/>
      <c r="MK49" s="123"/>
      <c r="ML49" s="123"/>
      <c r="MM49" s="123"/>
      <c r="MN49" s="123"/>
      <c r="MO49" s="123"/>
      <c r="MP49" s="123"/>
      <c r="MQ49" s="123"/>
      <c r="MR49" s="123"/>
      <c r="MS49" s="123"/>
      <c r="MT49" s="123"/>
      <c r="MU49" s="123"/>
      <c r="MV49" s="123"/>
      <c r="MW49" s="123"/>
      <c r="MX49" s="123"/>
      <c r="MY49" s="123"/>
      <c r="MZ49" s="123"/>
      <c r="NA49" s="123"/>
      <c r="NB49" s="123"/>
      <c r="NC49" s="123"/>
      <c r="ND49" s="123"/>
      <c r="NE49" s="123"/>
      <c r="NF49" s="123"/>
      <c r="NG49" s="123"/>
      <c r="NH49" s="123"/>
      <c r="NI49" s="123"/>
      <c r="NJ49" s="123"/>
      <c r="NK49" s="123"/>
      <c r="NM49">
        <f t="shared" si="156"/>
        <v>0</v>
      </c>
      <c r="NN49">
        <f t="shared" si="157"/>
        <v>0</v>
      </c>
      <c r="NO49">
        <f t="shared" si="158"/>
        <v>0</v>
      </c>
      <c r="NP49">
        <f t="shared" si="159"/>
        <v>0</v>
      </c>
      <c r="NQ49">
        <f t="shared" si="160"/>
        <v>0</v>
      </c>
      <c r="NR49">
        <f t="shared" si="161"/>
        <v>0</v>
      </c>
      <c r="NS49">
        <f t="shared" si="162"/>
        <v>0</v>
      </c>
      <c r="NT49">
        <f t="shared" si="163"/>
        <v>0</v>
      </c>
      <c r="NU49" s="29">
        <f t="shared" si="164"/>
        <v>0</v>
      </c>
      <c r="NY49" s="29">
        <f t="shared" si="107"/>
        <v>1</v>
      </c>
      <c r="NZ49" s="152">
        <v>7350000</v>
      </c>
      <c r="OE49" s="155">
        <f t="shared" si="194"/>
        <v>0</v>
      </c>
      <c r="OF49" s="155">
        <f t="shared" si="195"/>
        <v>0</v>
      </c>
      <c r="OG49" s="155">
        <f t="shared" si="196"/>
        <v>0</v>
      </c>
      <c r="OH49" s="155">
        <f t="shared" si="165"/>
        <v>0</v>
      </c>
      <c r="OI49" s="155">
        <f t="shared" si="197"/>
        <v>0</v>
      </c>
      <c r="OJ49" s="67">
        <f t="shared" si="166"/>
        <v>0</v>
      </c>
      <c r="OK49" s="67">
        <f t="shared" si="167"/>
        <v>0</v>
      </c>
      <c r="OL49" s="67">
        <f t="shared" si="168"/>
        <v>0</v>
      </c>
      <c r="OM49" s="67">
        <f t="shared" si="169"/>
        <v>0</v>
      </c>
      <c r="OO49" s="155">
        <f t="shared" si="198"/>
        <v>0</v>
      </c>
      <c r="OP49" s="155">
        <f t="shared" si="199"/>
        <v>0</v>
      </c>
      <c r="OQ49" s="155">
        <f t="shared" si="170"/>
        <v>0</v>
      </c>
      <c r="OR49" s="155">
        <f t="shared" si="171"/>
        <v>0</v>
      </c>
      <c r="OS49" s="155">
        <f t="shared" si="172"/>
        <v>0</v>
      </c>
      <c r="OT49" s="67">
        <f t="shared" si="173"/>
        <v>0</v>
      </c>
      <c r="OU49" s="67">
        <f t="shared" si="174"/>
        <v>0</v>
      </c>
      <c r="OV49" s="67">
        <f t="shared" si="175"/>
        <v>0</v>
      </c>
      <c r="OW49" s="67">
        <f t="shared" si="176"/>
        <v>0</v>
      </c>
      <c r="OZ49" s="163">
        <f t="shared" si="200"/>
        <v>0</v>
      </c>
      <c r="PA49" s="166"/>
      <c r="PB49" s="166"/>
      <c r="PC49" s="166"/>
      <c r="PD49" s="210">
        <f t="shared" si="115"/>
        <v>0</v>
      </c>
      <c r="PE49" s="210"/>
      <c r="PF49" s="210">
        <f t="shared" si="116"/>
        <v>0</v>
      </c>
      <c r="PG49" s="210">
        <f t="shared" si="117"/>
        <v>0</v>
      </c>
      <c r="PH49" s="210">
        <f t="shared" si="117"/>
        <v>0</v>
      </c>
      <c r="PI49" s="210">
        <f t="shared" si="117"/>
        <v>0</v>
      </c>
      <c r="PJ49" s="210">
        <f t="shared" si="117"/>
        <v>0</v>
      </c>
      <c r="PK49" s="210">
        <f t="shared" si="117"/>
        <v>0</v>
      </c>
      <c r="PL49" s="210">
        <f t="shared" si="117"/>
        <v>0</v>
      </c>
      <c r="PO49" s="172">
        <f t="shared" si="177"/>
        <v>0</v>
      </c>
      <c r="PP49" s="172">
        <f t="shared" si="178"/>
        <v>0</v>
      </c>
      <c r="PQ49" s="172">
        <f t="shared" si="179"/>
        <v>0</v>
      </c>
    </row>
    <row r="50" spans="1:433" ht="16" x14ac:dyDescent="0.2">
      <c r="A50" s="19">
        <f t="shared" si="180"/>
        <v>41</v>
      </c>
      <c r="B50" s="186" t="s">
        <v>193</v>
      </c>
      <c r="C50" s="186">
        <v>44</v>
      </c>
      <c r="D50" s="188">
        <v>1</v>
      </c>
      <c r="E50" s="188">
        <v>16</v>
      </c>
      <c r="F50" s="188">
        <v>1</v>
      </c>
      <c r="G50" s="188">
        <f t="shared" si="201"/>
        <v>16</v>
      </c>
      <c r="H50" s="214">
        <f t="shared" si="202"/>
        <v>1</v>
      </c>
      <c r="I50" s="214">
        <f t="shared" si="203"/>
        <v>1</v>
      </c>
      <c r="J50" s="188">
        <v>1</v>
      </c>
      <c r="K50" s="188">
        <f t="shared" si="204"/>
        <v>16</v>
      </c>
      <c r="L50" s="214">
        <f t="shared" si="205"/>
        <v>1</v>
      </c>
      <c r="M50" s="214">
        <f t="shared" si="206"/>
        <v>1</v>
      </c>
      <c r="N50" s="188">
        <v>1</v>
      </c>
      <c r="O50" s="188">
        <f t="shared" si="207"/>
        <v>16</v>
      </c>
      <c r="P50" s="214">
        <f t="shared" si="208"/>
        <v>1</v>
      </c>
      <c r="Q50" s="214">
        <f t="shared" si="209"/>
        <v>1</v>
      </c>
      <c r="R50" s="188">
        <v>1</v>
      </c>
      <c r="S50" s="188">
        <f t="shared" si="210"/>
        <v>16</v>
      </c>
      <c r="T50" s="214">
        <f t="shared" si="211"/>
        <v>1</v>
      </c>
      <c r="U50" s="214">
        <f t="shared" si="212"/>
        <v>1</v>
      </c>
      <c r="V50" s="188">
        <v>1</v>
      </c>
      <c r="W50" s="188">
        <f t="shared" si="213"/>
        <v>16</v>
      </c>
      <c r="X50" s="214">
        <f t="shared" si="214"/>
        <v>1</v>
      </c>
      <c r="Y50" s="214">
        <f t="shared" si="215"/>
        <v>1</v>
      </c>
      <c r="Z50" s="216">
        <f>201264000/1000000000</f>
        <v>0.201264</v>
      </c>
      <c r="AA50" s="188">
        <v>0</v>
      </c>
      <c r="AB50" s="189">
        <f t="shared" si="118"/>
        <v>0</v>
      </c>
      <c r="AC50" s="250">
        <f t="shared" si="119"/>
        <v>0</v>
      </c>
      <c r="AD50" s="250">
        <f t="shared" si="120"/>
        <v>0</v>
      </c>
      <c r="AE50" s="188"/>
      <c r="AF50" s="188">
        <f t="shared" si="121"/>
        <v>0</v>
      </c>
      <c r="AG50" s="188"/>
      <c r="AH50" s="188" t="s">
        <v>313</v>
      </c>
      <c r="AI50" s="188">
        <v>0</v>
      </c>
      <c r="AJ50" s="188">
        <f t="shared" si="181"/>
        <v>0</v>
      </c>
      <c r="AK50" s="188"/>
      <c r="AL50" s="188">
        <v>0</v>
      </c>
      <c r="AM50" s="188">
        <v>0</v>
      </c>
      <c r="AN50" s="217"/>
      <c r="AO50" s="195"/>
      <c r="AP50" s="195"/>
      <c r="AQ50" s="195"/>
      <c r="AR50" s="195"/>
      <c r="AS50" s="195"/>
      <c r="AT50" s="195"/>
      <c r="BB50" s="17">
        <f t="shared" si="123"/>
        <v>0</v>
      </c>
      <c r="BE50" s="17">
        <f t="shared" si="216"/>
        <v>0</v>
      </c>
      <c r="BF50" s="17">
        <f t="shared" si="217"/>
        <v>0</v>
      </c>
      <c r="BG50" s="17">
        <f t="shared" si="218"/>
        <v>0</v>
      </c>
      <c r="BH50" s="17">
        <f t="shared" si="219"/>
        <v>0</v>
      </c>
      <c r="BI50" s="17">
        <f t="shared" si="220"/>
        <v>0</v>
      </c>
      <c r="BJ50" s="17">
        <f t="shared" si="221"/>
        <v>0</v>
      </c>
      <c r="BK50" s="17">
        <f t="shared" si="124"/>
        <v>0</v>
      </c>
      <c r="BM50" s="128"/>
      <c r="BN50" s="147">
        <v>7</v>
      </c>
      <c r="BO50" s="288">
        <v>1</v>
      </c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B50" s="20"/>
      <c r="CD50" s="17">
        <f t="shared" si="125"/>
        <v>7</v>
      </c>
      <c r="CE50" s="17">
        <f t="shared" si="126"/>
        <v>7</v>
      </c>
      <c r="CF50" s="20">
        <f t="shared" si="182"/>
        <v>0</v>
      </c>
      <c r="CG50" s="20">
        <f t="shared" si="183"/>
        <v>0</v>
      </c>
      <c r="CH50" s="20">
        <f t="shared" si="184"/>
        <v>0</v>
      </c>
      <c r="CI50" s="20">
        <f t="shared" si="185"/>
        <v>0</v>
      </c>
      <c r="CJ50" s="20">
        <f t="shared" si="186"/>
        <v>0</v>
      </c>
      <c r="CK50" s="20">
        <f t="shared" si="187"/>
        <v>0</v>
      </c>
      <c r="CL50" s="20">
        <f t="shared" si="188"/>
        <v>0</v>
      </c>
      <c r="CM50" s="20">
        <f t="shared" si="189"/>
        <v>0</v>
      </c>
      <c r="CN50" s="20">
        <f t="shared" si="190"/>
        <v>0</v>
      </c>
      <c r="CO50" s="20">
        <f t="shared" si="191"/>
        <v>0</v>
      </c>
      <c r="CP50" s="20">
        <f t="shared" si="192"/>
        <v>0</v>
      </c>
      <c r="DV50" s="20">
        <f t="shared" si="222"/>
        <v>0</v>
      </c>
      <c r="DW50" s="20">
        <f t="shared" si="223"/>
        <v>0</v>
      </c>
      <c r="DX50" s="20">
        <f t="shared" si="224"/>
        <v>0</v>
      </c>
      <c r="DY50" s="20">
        <f t="shared" si="225"/>
        <v>0</v>
      </c>
      <c r="DZ50" s="20">
        <f t="shared" si="226"/>
        <v>0</v>
      </c>
      <c r="EA50" s="20">
        <f t="shared" si="227"/>
        <v>0</v>
      </c>
      <c r="EB50" s="20">
        <f t="shared" si="127"/>
        <v>0</v>
      </c>
      <c r="EG50" s="57">
        <f t="shared" si="128"/>
        <v>0</v>
      </c>
      <c r="EH50" s="57">
        <f t="shared" si="129"/>
        <v>0</v>
      </c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X50" s="169">
        <v>1</v>
      </c>
      <c r="FY50" s="17">
        <f t="shared" si="130"/>
        <v>7</v>
      </c>
      <c r="FZ50" s="17">
        <f t="shared" si="228"/>
        <v>7</v>
      </c>
      <c r="GA50" s="17">
        <f t="shared" si="229"/>
        <v>0</v>
      </c>
      <c r="GB50" s="17">
        <f t="shared" si="230"/>
        <v>0</v>
      </c>
      <c r="GC50" s="17">
        <f t="shared" si="231"/>
        <v>0</v>
      </c>
      <c r="GD50" s="17">
        <f t="shared" si="232"/>
        <v>0</v>
      </c>
      <c r="GE50" s="17">
        <f t="shared" si="233"/>
        <v>0</v>
      </c>
      <c r="GF50" s="67"/>
      <c r="GG50" s="17">
        <v>0</v>
      </c>
      <c r="GH50" s="17">
        <v>0</v>
      </c>
      <c r="GI50" s="67"/>
      <c r="GJ50" s="62">
        <f t="shared" si="131"/>
        <v>0</v>
      </c>
      <c r="GK50" s="62">
        <f t="shared" si="132"/>
        <v>0</v>
      </c>
      <c r="GO50" s="17">
        <f t="shared" si="234"/>
        <v>0</v>
      </c>
      <c r="GP50" s="17">
        <f t="shared" si="235"/>
        <v>0</v>
      </c>
      <c r="GQ50" s="17">
        <f t="shared" si="236"/>
        <v>0</v>
      </c>
      <c r="GR50" s="17">
        <f t="shared" si="237"/>
        <v>0</v>
      </c>
      <c r="GS50" s="17">
        <f t="shared" si="238"/>
        <v>0</v>
      </c>
      <c r="GT50" s="17">
        <f t="shared" si="133"/>
        <v>1</v>
      </c>
      <c r="GU50" s="101">
        <f t="shared" si="134"/>
        <v>43243</v>
      </c>
      <c r="GV50" s="17" t="str">
        <f t="shared" si="135"/>
        <v>SELESAI</v>
      </c>
      <c r="GW50" s="17">
        <f t="shared" si="136"/>
        <v>0</v>
      </c>
      <c r="GX50" s="66" t="str">
        <f t="shared" si="137"/>
        <v>SELESAI</v>
      </c>
      <c r="GY50" s="66">
        <f t="shared" si="138"/>
        <v>0</v>
      </c>
      <c r="GZ50" s="102" t="str">
        <f t="shared" si="139"/>
        <v>SELESAI</v>
      </c>
      <c r="HA50" s="83"/>
      <c r="HB50" s="83"/>
      <c r="HC50" s="17">
        <f t="shared" si="239"/>
        <v>0</v>
      </c>
      <c r="HD50" s="17">
        <f t="shared" si="240"/>
        <v>0</v>
      </c>
      <c r="HE50" s="17">
        <f t="shared" si="140"/>
        <v>0</v>
      </c>
      <c r="HF50" s="17">
        <f t="shared" si="141"/>
        <v>0</v>
      </c>
      <c r="HG50" s="17">
        <f t="shared" si="142"/>
        <v>0</v>
      </c>
      <c r="HH50" s="101" t="str">
        <f t="shared" si="47"/>
        <v>TIDAK KONSINYASI</v>
      </c>
      <c r="HI50" s="101" t="str">
        <f t="shared" si="143"/>
        <v>SELESAI</v>
      </c>
      <c r="HJ50" s="27"/>
      <c r="HK50" s="101">
        <f t="shared" si="48"/>
        <v>0</v>
      </c>
      <c r="HL50" s="83"/>
      <c r="HM50" s="83"/>
      <c r="HN50" s="83"/>
      <c r="HO50" s="83"/>
      <c r="HP50" s="102">
        <f t="shared" si="144"/>
        <v>0</v>
      </c>
      <c r="HQ50" s="66">
        <f t="shared" si="145"/>
        <v>0</v>
      </c>
      <c r="HR50" s="66">
        <f t="shared" si="241"/>
        <v>0</v>
      </c>
      <c r="HS50" s="102">
        <f t="shared" si="146"/>
        <v>0</v>
      </c>
      <c r="HT50" s="66">
        <f t="shared" si="147"/>
        <v>0</v>
      </c>
      <c r="HU50" s="66">
        <f t="shared" si="242"/>
        <v>0</v>
      </c>
      <c r="HV50" s="102">
        <f t="shared" si="148"/>
        <v>0</v>
      </c>
      <c r="HW50" s="66">
        <f t="shared" si="51"/>
        <v>0</v>
      </c>
      <c r="HX50" s="66">
        <f t="shared" si="243"/>
        <v>0</v>
      </c>
      <c r="HY50" s="102">
        <f t="shared" si="53"/>
        <v>0</v>
      </c>
      <c r="HZ50" s="66">
        <f t="shared" si="149"/>
        <v>0</v>
      </c>
      <c r="IA50" s="66">
        <f t="shared" si="244"/>
        <v>0</v>
      </c>
      <c r="IB50" s="102">
        <f t="shared" si="150"/>
        <v>0</v>
      </c>
      <c r="IC50" s="66">
        <f t="shared" si="55"/>
        <v>0</v>
      </c>
      <c r="ID50" s="66">
        <f t="shared" si="245"/>
        <v>0</v>
      </c>
      <c r="IE50" s="102">
        <f t="shared" si="57"/>
        <v>0</v>
      </c>
      <c r="IF50" s="66">
        <f t="shared" si="58"/>
        <v>0</v>
      </c>
      <c r="IG50" s="66">
        <f t="shared" si="246"/>
        <v>0</v>
      </c>
      <c r="IH50" s="102">
        <f t="shared" si="151"/>
        <v>0</v>
      </c>
      <c r="II50" s="66">
        <f t="shared" si="152"/>
        <v>0</v>
      </c>
      <c r="IJ50" s="66">
        <f t="shared" si="247"/>
        <v>0</v>
      </c>
      <c r="IK50" s="102">
        <f t="shared" si="61"/>
        <v>0</v>
      </c>
      <c r="IL50" s="66">
        <f t="shared" si="62"/>
        <v>0</v>
      </c>
      <c r="IM50" s="66">
        <f t="shared" si="248"/>
        <v>0</v>
      </c>
      <c r="IN50" s="83"/>
      <c r="IO50" s="102">
        <f t="shared" si="64"/>
        <v>0</v>
      </c>
      <c r="IP50" s="66">
        <f t="shared" si="249"/>
        <v>0</v>
      </c>
      <c r="IQ50" s="66">
        <f t="shared" si="250"/>
        <v>0</v>
      </c>
      <c r="IR50" s="83"/>
      <c r="IS50" s="102"/>
      <c r="IT50" s="66">
        <f t="shared" si="251"/>
        <v>1</v>
      </c>
      <c r="IU50" s="66">
        <f t="shared" si="252"/>
        <v>16</v>
      </c>
      <c r="IV50" s="83"/>
      <c r="IW50" s="102"/>
      <c r="IX50" s="66">
        <f t="shared" si="253"/>
        <v>0</v>
      </c>
      <c r="IY50" s="66">
        <f t="shared" si="254"/>
        <v>0</v>
      </c>
      <c r="IZ50" s="83"/>
      <c r="JA50" s="102"/>
      <c r="JB50" s="66">
        <f t="shared" si="255"/>
        <v>0</v>
      </c>
      <c r="JC50" s="66">
        <f t="shared" si="256"/>
        <v>0</v>
      </c>
      <c r="JD50" s="83"/>
      <c r="JE50" s="102"/>
      <c r="JF50" s="66">
        <f t="shared" si="153"/>
        <v>1</v>
      </c>
      <c r="JG50" s="66">
        <f t="shared" si="73"/>
        <v>16</v>
      </c>
      <c r="JH50" s="83"/>
      <c r="JI50" s="102"/>
      <c r="JJ50" s="66">
        <f t="shared" si="257"/>
        <v>0</v>
      </c>
      <c r="JK50" s="66">
        <f t="shared" si="258"/>
        <v>0</v>
      </c>
      <c r="JM50" s="102">
        <f t="shared" si="154"/>
        <v>0</v>
      </c>
      <c r="JO50" s="29">
        <f t="shared" si="76"/>
        <v>1</v>
      </c>
      <c r="JP50" s="122">
        <f t="shared" si="259"/>
        <v>7</v>
      </c>
      <c r="JQ50" s="122">
        <f t="shared" si="260"/>
        <v>1</v>
      </c>
      <c r="JR50" s="122">
        <f t="shared" si="261"/>
        <v>0</v>
      </c>
      <c r="JS50" s="122">
        <f t="shared" si="262"/>
        <v>0</v>
      </c>
      <c r="JT50" s="122">
        <f t="shared" si="263"/>
        <v>0</v>
      </c>
      <c r="JU50" s="122">
        <f t="shared" si="264"/>
        <v>0</v>
      </c>
      <c r="JV50" s="122">
        <f t="shared" si="265"/>
        <v>0</v>
      </c>
      <c r="JW50" s="122">
        <f t="shared" si="266"/>
        <v>0</v>
      </c>
      <c r="JX50" s="122">
        <f t="shared" si="267"/>
        <v>0</v>
      </c>
      <c r="JY50" s="122">
        <f t="shared" si="268"/>
        <v>0</v>
      </c>
      <c r="JZ50" s="122">
        <f t="shared" si="269"/>
        <v>0</v>
      </c>
      <c r="KA50" s="122">
        <f t="shared" si="270"/>
        <v>0</v>
      </c>
      <c r="KB50" s="122">
        <f t="shared" si="271"/>
        <v>0</v>
      </c>
      <c r="KD50" s="122">
        <f t="shared" si="155"/>
        <v>0</v>
      </c>
      <c r="KE50" s="122">
        <f t="shared" si="91"/>
        <v>0</v>
      </c>
      <c r="KF50" s="122">
        <f t="shared" si="272"/>
        <v>7</v>
      </c>
      <c r="KG50" s="122">
        <f t="shared" si="273"/>
        <v>7</v>
      </c>
      <c r="KH50" s="122">
        <f t="shared" si="274"/>
        <v>0</v>
      </c>
      <c r="KI50" s="122">
        <f t="shared" si="275"/>
        <v>0</v>
      </c>
      <c r="KJ50" s="122">
        <f t="shared" si="276"/>
        <v>0</v>
      </c>
      <c r="KK50" s="122">
        <f t="shared" si="277"/>
        <v>0</v>
      </c>
      <c r="KL50" s="122">
        <f t="shared" si="278"/>
        <v>0</v>
      </c>
      <c r="KM50" s="122">
        <f t="shared" si="279"/>
        <v>0</v>
      </c>
      <c r="KN50" s="123">
        <f t="shared" si="280"/>
        <v>0</v>
      </c>
      <c r="KO50" s="123">
        <f t="shared" si="281"/>
        <v>0</v>
      </c>
      <c r="KP50" s="123">
        <f t="shared" si="282"/>
        <v>0</v>
      </c>
      <c r="KQ50" s="123">
        <f t="shared" si="283"/>
        <v>0</v>
      </c>
      <c r="KR50" s="123">
        <f t="shared" si="284"/>
        <v>0</v>
      </c>
      <c r="KT50">
        <f t="shared" si="285"/>
        <v>0</v>
      </c>
      <c r="KU50" s="123"/>
      <c r="KV50" s="123"/>
      <c r="KW50" s="123"/>
      <c r="KX50" s="123"/>
      <c r="KY50" s="123"/>
      <c r="KZ50" s="123"/>
      <c r="LA50" s="123"/>
      <c r="LB50" s="123"/>
      <c r="LC50" s="123"/>
      <c r="LD50" s="123"/>
      <c r="LE50" s="123"/>
      <c r="LF50" s="123"/>
      <c r="LG50" s="123"/>
      <c r="LH50" s="123"/>
      <c r="LI50" s="123"/>
      <c r="LJ50" s="123"/>
      <c r="LK50" s="123"/>
      <c r="LL50" s="123"/>
      <c r="LM50" s="123"/>
      <c r="LN50" s="123"/>
      <c r="LO50" s="123"/>
      <c r="LP50" s="123"/>
      <c r="LQ50" s="123"/>
      <c r="LR50" s="123"/>
      <c r="LS50" s="123"/>
      <c r="LT50" s="123"/>
      <c r="LU50" s="123"/>
      <c r="LV50" s="123"/>
      <c r="LW50" s="123"/>
      <c r="LX50" s="123"/>
      <c r="LY50" s="123"/>
      <c r="LZ50" s="123"/>
      <c r="MA50" s="123"/>
      <c r="MB50" s="123"/>
      <c r="MC50" s="123"/>
      <c r="MD50" s="123"/>
      <c r="ME50" s="123"/>
      <c r="MF50" s="123"/>
      <c r="MG50" s="123"/>
      <c r="MH50" s="123"/>
      <c r="MI50" s="123"/>
      <c r="MJ50" s="123"/>
      <c r="MK50" s="123"/>
      <c r="ML50" s="123"/>
      <c r="MM50" s="123"/>
      <c r="MN50" s="123"/>
      <c r="MO50" s="123"/>
      <c r="MP50" s="123"/>
      <c r="MQ50" s="123"/>
      <c r="MR50" s="123"/>
      <c r="MS50" s="123"/>
      <c r="MT50" s="123"/>
      <c r="MU50" s="123"/>
      <c r="MV50" s="123"/>
      <c r="MW50" s="123"/>
      <c r="MX50" s="123"/>
      <c r="MY50" s="123"/>
      <c r="MZ50" s="123"/>
      <c r="NA50" s="123"/>
      <c r="NB50" s="123"/>
      <c r="NC50" s="123"/>
      <c r="ND50" s="123"/>
      <c r="NE50" s="123"/>
      <c r="NF50" s="123"/>
      <c r="NG50" s="123"/>
      <c r="NH50" s="123"/>
      <c r="NI50" s="123"/>
      <c r="NJ50" s="123"/>
      <c r="NK50" s="123"/>
      <c r="NM50">
        <f t="shared" si="156"/>
        <v>0</v>
      </c>
      <c r="NN50">
        <f t="shared" si="157"/>
        <v>0</v>
      </c>
      <c r="NO50">
        <f t="shared" si="158"/>
        <v>0</v>
      </c>
      <c r="NP50">
        <f t="shared" si="159"/>
        <v>0</v>
      </c>
      <c r="NQ50">
        <f t="shared" si="160"/>
        <v>0</v>
      </c>
      <c r="NR50">
        <f t="shared" si="161"/>
        <v>0</v>
      </c>
      <c r="NS50">
        <f t="shared" si="162"/>
        <v>0</v>
      </c>
      <c r="NT50">
        <f t="shared" si="163"/>
        <v>0</v>
      </c>
      <c r="NU50" s="29">
        <f t="shared" si="164"/>
        <v>0</v>
      </c>
      <c r="NY50" s="29">
        <f t="shared" si="107"/>
        <v>1</v>
      </c>
      <c r="NZ50" s="152">
        <v>7275000</v>
      </c>
      <c r="OE50" s="155">
        <f t="shared" si="194"/>
        <v>0</v>
      </c>
      <c r="OF50" s="155">
        <f t="shared" si="195"/>
        <v>0</v>
      </c>
      <c r="OG50" s="155">
        <f t="shared" si="196"/>
        <v>0</v>
      </c>
      <c r="OH50" s="155">
        <f t="shared" si="165"/>
        <v>0</v>
      </c>
      <c r="OI50" s="155">
        <f t="shared" si="197"/>
        <v>0</v>
      </c>
      <c r="OJ50" s="67">
        <f t="shared" si="166"/>
        <v>0</v>
      </c>
      <c r="OK50" s="67">
        <f t="shared" si="167"/>
        <v>0</v>
      </c>
      <c r="OL50" s="67">
        <f t="shared" si="168"/>
        <v>0</v>
      </c>
      <c r="OM50" s="67">
        <f t="shared" si="169"/>
        <v>0</v>
      </c>
      <c r="OO50" s="155">
        <f t="shared" si="198"/>
        <v>0</v>
      </c>
      <c r="OP50" s="155">
        <f t="shared" si="199"/>
        <v>0</v>
      </c>
      <c r="OQ50" s="155">
        <f t="shared" si="170"/>
        <v>0</v>
      </c>
      <c r="OR50" s="155">
        <f t="shared" si="171"/>
        <v>0</v>
      </c>
      <c r="OS50" s="155">
        <f t="shared" si="172"/>
        <v>0</v>
      </c>
      <c r="OT50" s="67">
        <f t="shared" si="173"/>
        <v>0</v>
      </c>
      <c r="OU50" s="67">
        <f t="shared" si="174"/>
        <v>0</v>
      </c>
      <c r="OV50" s="67">
        <f t="shared" si="175"/>
        <v>0</v>
      </c>
      <c r="OW50" s="67">
        <f t="shared" si="176"/>
        <v>0</v>
      </c>
      <c r="OZ50" s="163">
        <f t="shared" si="200"/>
        <v>0</v>
      </c>
      <c r="PA50" s="166"/>
      <c r="PB50" s="166"/>
      <c r="PC50" s="166"/>
      <c r="PD50" s="210">
        <f t="shared" si="115"/>
        <v>0</v>
      </c>
      <c r="PE50" s="210"/>
      <c r="PF50" s="210">
        <f t="shared" si="116"/>
        <v>0</v>
      </c>
      <c r="PG50" s="210">
        <f t="shared" si="117"/>
        <v>0</v>
      </c>
      <c r="PH50" s="210">
        <f t="shared" si="117"/>
        <v>0</v>
      </c>
      <c r="PI50" s="210">
        <f t="shared" si="117"/>
        <v>0</v>
      </c>
      <c r="PJ50" s="210">
        <f t="shared" si="117"/>
        <v>0</v>
      </c>
      <c r="PK50" s="210">
        <f t="shared" si="117"/>
        <v>0</v>
      </c>
      <c r="PL50" s="210">
        <f t="shared" si="117"/>
        <v>0</v>
      </c>
      <c r="PO50" s="172">
        <f t="shared" si="177"/>
        <v>0</v>
      </c>
      <c r="PP50" s="172">
        <f t="shared" si="178"/>
        <v>0</v>
      </c>
      <c r="PQ50" s="172">
        <f t="shared" si="179"/>
        <v>0</v>
      </c>
    </row>
    <row r="51" spans="1:433" ht="16" x14ac:dyDescent="0.2">
      <c r="A51" s="19"/>
      <c r="B51" s="186"/>
      <c r="C51" s="186"/>
      <c r="D51" s="188"/>
      <c r="E51" s="188"/>
      <c r="F51" s="188"/>
      <c r="G51" s="188"/>
      <c r="H51" s="214"/>
      <c r="I51" s="214"/>
      <c r="J51" s="188"/>
      <c r="K51" s="188"/>
      <c r="L51" s="214"/>
      <c r="M51" s="214"/>
      <c r="N51" s="188"/>
      <c r="O51" s="188"/>
      <c r="P51" s="214"/>
      <c r="Q51" s="214"/>
      <c r="R51" s="188"/>
      <c r="S51" s="188"/>
      <c r="T51" s="214"/>
      <c r="U51" s="214"/>
      <c r="V51" s="188"/>
      <c r="W51" s="188"/>
      <c r="X51" s="214"/>
      <c r="Y51" s="214"/>
      <c r="Z51" s="215"/>
      <c r="AA51" s="188"/>
      <c r="AB51" s="189"/>
      <c r="AC51" s="250"/>
      <c r="AD51" s="250"/>
      <c r="AE51" s="188"/>
      <c r="AF51" s="188"/>
      <c r="AG51" s="189"/>
      <c r="AH51" s="188"/>
      <c r="AI51" s="188"/>
      <c r="AJ51" s="188"/>
      <c r="AK51" s="188"/>
      <c r="AL51" s="188"/>
      <c r="AM51" s="188"/>
      <c r="AN51" s="217"/>
      <c r="AO51" s="195"/>
      <c r="AP51" s="195"/>
      <c r="AQ51" s="195"/>
      <c r="AR51" s="195"/>
      <c r="AS51" s="195"/>
      <c r="AT51" s="195"/>
      <c r="BB51" s="17"/>
      <c r="BE51" s="17"/>
      <c r="BF51" s="17"/>
      <c r="BG51" s="17"/>
      <c r="BH51" s="17"/>
      <c r="BI51" s="17"/>
      <c r="BJ51" s="17"/>
      <c r="BK51" s="17"/>
      <c r="BM51" s="128"/>
      <c r="BN51" s="147"/>
      <c r="BO51" s="288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B51" s="20"/>
      <c r="CD51" s="17"/>
      <c r="CE51" s="17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DV51" s="20"/>
      <c r="DW51" s="20"/>
      <c r="DX51" s="20"/>
      <c r="DY51" s="20"/>
      <c r="DZ51" s="20"/>
      <c r="EA51" s="20"/>
      <c r="EB51" s="20"/>
      <c r="EG51" s="57"/>
      <c r="EH51" s="5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X51" s="169"/>
      <c r="FY51" s="17"/>
      <c r="FZ51" s="17"/>
      <c r="GA51" s="17"/>
      <c r="GB51" s="17"/>
      <c r="GC51" s="17"/>
      <c r="GD51" s="17"/>
      <c r="GE51" s="17"/>
      <c r="GF51" s="67"/>
      <c r="GG51" s="17"/>
      <c r="GH51" s="17"/>
      <c r="GI51" s="67"/>
      <c r="GJ51" s="62"/>
      <c r="GK51" s="62"/>
      <c r="GO51" s="17"/>
      <c r="GP51" s="17"/>
      <c r="GQ51" s="17"/>
      <c r="GR51" s="17"/>
      <c r="GS51" s="17"/>
      <c r="GT51" s="17"/>
      <c r="GU51" s="101"/>
      <c r="GV51" s="17"/>
      <c r="GW51" s="17"/>
      <c r="GX51" s="66"/>
      <c r="GY51" s="66"/>
      <c r="GZ51" s="102"/>
      <c r="HA51" s="83"/>
      <c r="HB51" s="83"/>
      <c r="HC51" s="17"/>
      <c r="HD51" s="17"/>
      <c r="HE51" s="17"/>
      <c r="HF51" s="17"/>
      <c r="HG51" s="17"/>
      <c r="HH51" s="101"/>
      <c r="HI51" s="101"/>
      <c r="HJ51" s="27"/>
      <c r="HK51" s="101"/>
      <c r="HL51" s="83"/>
      <c r="HM51" s="83"/>
      <c r="HN51" s="83"/>
      <c r="HO51" s="83"/>
      <c r="HP51" s="102"/>
      <c r="HQ51" s="66"/>
      <c r="HR51" s="66"/>
      <c r="HS51" s="102"/>
      <c r="HT51" s="66"/>
      <c r="HU51" s="66"/>
      <c r="HV51" s="102"/>
      <c r="HW51" s="66"/>
      <c r="HX51" s="66"/>
      <c r="HY51" s="102"/>
      <c r="HZ51" s="66"/>
      <c r="IA51" s="66"/>
      <c r="IB51" s="102"/>
      <c r="IC51" s="66"/>
      <c r="ID51" s="66"/>
      <c r="IE51" s="102"/>
      <c r="IF51" s="66"/>
      <c r="IG51" s="66"/>
      <c r="IH51" s="102"/>
      <c r="II51" s="66"/>
      <c r="IJ51" s="66"/>
      <c r="IK51" s="102"/>
      <c r="IL51" s="66"/>
      <c r="IM51" s="66"/>
      <c r="IN51" s="83"/>
      <c r="IO51" s="102"/>
      <c r="IP51" s="66"/>
      <c r="IQ51" s="66"/>
      <c r="IR51" s="83"/>
      <c r="IS51" s="102"/>
      <c r="IT51" s="66"/>
      <c r="IU51" s="66"/>
      <c r="IV51" s="83"/>
      <c r="IW51" s="102"/>
      <c r="IX51" s="66"/>
      <c r="IY51" s="66"/>
      <c r="IZ51" s="83"/>
      <c r="JA51" s="102"/>
      <c r="JB51" s="66"/>
      <c r="JC51" s="66"/>
      <c r="JD51" s="83"/>
      <c r="JE51" s="102"/>
      <c r="JF51" s="66"/>
      <c r="JG51" s="66"/>
      <c r="JH51" s="83"/>
      <c r="JI51" s="102"/>
      <c r="JJ51" s="66"/>
      <c r="JK51" s="66"/>
      <c r="JM51" s="102"/>
      <c r="JO51" s="29"/>
      <c r="JP51" s="122"/>
      <c r="JQ51" s="122"/>
      <c r="JR51" s="122"/>
      <c r="JS51" s="122"/>
      <c r="JT51" s="122"/>
      <c r="JU51" s="122"/>
      <c r="JV51" s="122"/>
      <c r="JW51" s="122"/>
      <c r="JX51" s="122"/>
      <c r="JY51" s="122"/>
      <c r="JZ51" s="122"/>
      <c r="KA51" s="122"/>
      <c r="KB51" s="122"/>
      <c r="KD51" s="122">
        <f t="shared" si="155"/>
        <v>0</v>
      </c>
      <c r="KE51" s="122">
        <f t="shared" si="91"/>
        <v>0</v>
      </c>
      <c r="KF51" s="122"/>
      <c r="KG51" s="122"/>
      <c r="KH51" s="122"/>
      <c r="KI51" s="122"/>
      <c r="KJ51" s="122"/>
      <c r="KK51" s="122"/>
      <c r="KL51" s="122"/>
      <c r="KM51" s="122"/>
      <c r="KN51" s="123"/>
      <c r="KO51" s="123"/>
      <c r="KP51" s="123"/>
      <c r="KQ51" s="123"/>
      <c r="KR51" s="123"/>
      <c r="KU51" s="123"/>
      <c r="KV51" s="123"/>
      <c r="KW51" s="123"/>
      <c r="KX51" s="123"/>
      <c r="KY51" s="123"/>
      <c r="KZ51" s="123"/>
      <c r="LA51" s="123"/>
      <c r="LB51" s="123"/>
      <c r="LC51" s="123"/>
      <c r="LD51" s="123"/>
      <c r="LE51" s="123"/>
      <c r="LF51" s="123"/>
      <c r="LG51" s="123"/>
      <c r="LH51" s="123"/>
      <c r="LI51" s="123"/>
      <c r="LJ51" s="123"/>
      <c r="LK51" s="123"/>
      <c r="LL51" s="123"/>
      <c r="LM51" s="123"/>
      <c r="LN51" s="123"/>
      <c r="LO51" s="123"/>
      <c r="LP51" s="123"/>
      <c r="LQ51" s="123"/>
      <c r="LR51" s="123"/>
      <c r="LS51" s="123"/>
      <c r="LT51" s="123"/>
      <c r="LU51" s="123"/>
      <c r="LV51" s="123"/>
      <c r="LW51" s="123"/>
      <c r="LX51" s="123"/>
      <c r="LY51" s="123"/>
      <c r="LZ51" s="123"/>
      <c r="MA51" s="123"/>
      <c r="MB51" s="123"/>
      <c r="MC51" s="123"/>
      <c r="MD51" s="123"/>
      <c r="ME51" s="123"/>
      <c r="MF51" s="123"/>
      <c r="MG51" s="123"/>
      <c r="MH51" s="123"/>
      <c r="MI51" s="123"/>
      <c r="MJ51" s="123"/>
      <c r="MK51" s="123"/>
      <c r="ML51" s="123"/>
      <c r="MM51" s="123"/>
      <c r="MN51" s="123"/>
      <c r="MO51" s="123"/>
      <c r="MP51" s="123"/>
      <c r="MQ51" s="123"/>
      <c r="MR51" s="123"/>
      <c r="MS51" s="123"/>
      <c r="MT51" s="123"/>
      <c r="MU51" s="123"/>
      <c r="MV51" s="123"/>
      <c r="MW51" s="123"/>
      <c r="MX51" s="123"/>
      <c r="MY51" s="123"/>
      <c r="MZ51" s="123"/>
      <c r="NA51" s="123"/>
      <c r="NB51" s="123"/>
      <c r="NC51" s="123"/>
      <c r="ND51" s="123"/>
      <c r="NE51" s="123"/>
      <c r="NF51" s="123"/>
      <c r="NG51" s="123"/>
      <c r="NH51" s="123"/>
      <c r="NI51" s="123"/>
      <c r="NJ51" s="123"/>
      <c r="NK51" s="123"/>
      <c r="NU51" s="29"/>
      <c r="NY51" s="29">
        <f t="shared" si="107"/>
        <v>0</v>
      </c>
      <c r="NZ51" s="152"/>
      <c r="OE51" s="155">
        <f t="shared" si="194"/>
        <v>0</v>
      </c>
      <c r="OF51" s="155">
        <f t="shared" si="195"/>
        <v>0</v>
      </c>
      <c r="OG51" s="155">
        <f t="shared" si="196"/>
        <v>0</v>
      </c>
      <c r="OH51" s="155">
        <f t="shared" si="165"/>
        <v>0</v>
      </c>
      <c r="OI51" s="155">
        <f t="shared" si="197"/>
        <v>0</v>
      </c>
      <c r="OJ51" s="67">
        <f t="shared" si="166"/>
        <v>0</v>
      </c>
      <c r="OK51" s="67">
        <f t="shared" si="167"/>
        <v>0</v>
      </c>
      <c r="OL51" s="67">
        <f t="shared" si="168"/>
        <v>0</v>
      </c>
      <c r="OM51" s="67">
        <f t="shared" si="169"/>
        <v>0</v>
      </c>
      <c r="OO51" s="155">
        <f t="shared" si="198"/>
        <v>0</v>
      </c>
      <c r="OP51" s="155">
        <f t="shared" si="199"/>
        <v>0</v>
      </c>
      <c r="OQ51" s="155">
        <f t="shared" si="170"/>
        <v>0</v>
      </c>
      <c r="OR51" s="155">
        <f t="shared" si="171"/>
        <v>0</v>
      </c>
      <c r="OS51" s="155">
        <f t="shared" si="172"/>
        <v>0</v>
      </c>
      <c r="OT51" s="67">
        <f t="shared" si="173"/>
        <v>0</v>
      </c>
      <c r="OU51" s="67">
        <f t="shared" si="174"/>
        <v>0</v>
      </c>
      <c r="OV51" s="67">
        <f t="shared" si="175"/>
        <v>0</v>
      </c>
      <c r="OW51" s="67">
        <f t="shared" si="176"/>
        <v>0</v>
      </c>
      <c r="OZ51" s="163">
        <f t="shared" si="200"/>
        <v>0</v>
      </c>
      <c r="PA51" s="166"/>
      <c r="PB51" s="166"/>
      <c r="PC51" s="166"/>
      <c r="PD51" s="210">
        <f t="shared" si="115"/>
        <v>0</v>
      </c>
      <c r="PE51" s="210"/>
      <c r="PF51" s="210">
        <f t="shared" si="116"/>
        <v>0</v>
      </c>
      <c r="PG51" s="210">
        <f t="shared" si="117"/>
        <v>0</v>
      </c>
      <c r="PH51" s="210">
        <f t="shared" si="117"/>
        <v>0</v>
      </c>
      <c r="PI51" s="210">
        <f t="shared" si="117"/>
        <v>0</v>
      </c>
      <c r="PJ51" s="210">
        <f t="shared" ref="PG51:PL69" si="286">IF(PD51=1,$BB51,0)</f>
        <v>0</v>
      </c>
      <c r="PK51" s="210">
        <f t="shared" si="286"/>
        <v>0</v>
      </c>
      <c r="PL51" s="210">
        <f t="shared" si="286"/>
        <v>0</v>
      </c>
      <c r="PO51" s="172">
        <f t="shared" si="177"/>
        <v>0</v>
      </c>
      <c r="PP51" s="172">
        <f t="shared" si="178"/>
        <v>0</v>
      </c>
      <c r="PQ51" s="172">
        <f t="shared" si="179"/>
        <v>0</v>
      </c>
    </row>
    <row r="52" spans="1:433" ht="16" x14ac:dyDescent="0.2">
      <c r="A52" s="19">
        <f>A50+1</f>
        <v>42</v>
      </c>
      <c r="B52" s="186" t="s">
        <v>342</v>
      </c>
      <c r="C52" s="186">
        <v>46</v>
      </c>
      <c r="D52" s="188">
        <v>1</v>
      </c>
      <c r="E52" s="188">
        <v>62</v>
      </c>
      <c r="F52" s="188">
        <v>1</v>
      </c>
      <c r="G52" s="188">
        <f>E52</f>
        <v>62</v>
      </c>
      <c r="H52" s="214">
        <f t="shared" si="202"/>
        <v>1</v>
      </c>
      <c r="I52" s="214">
        <f t="shared" si="203"/>
        <v>1</v>
      </c>
      <c r="J52" s="188">
        <v>1</v>
      </c>
      <c r="K52" s="188">
        <f t="shared" si="204"/>
        <v>62</v>
      </c>
      <c r="L52" s="214">
        <f t="shared" si="205"/>
        <v>1</v>
      </c>
      <c r="M52" s="214">
        <f t="shared" si="206"/>
        <v>1</v>
      </c>
      <c r="N52" s="188">
        <v>1</v>
      </c>
      <c r="O52" s="188">
        <f t="shared" si="207"/>
        <v>62</v>
      </c>
      <c r="P52" s="214">
        <f t="shared" si="208"/>
        <v>1</v>
      </c>
      <c r="Q52" s="214">
        <f t="shared" si="209"/>
        <v>1</v>
      </c>
      <c r="R52" s="188">
        <v>1</v>
      </c>
      <c r="S52" s="188">
        <f t="shared" si="210"/>
        <v>62</v>
      </c>
      <c r="T52" s="214">
        <f t="shared" si="211"/>
        <v>1</v>
      </c>
      <c r="U52" s="214">
        <f t="shared" si="212"/>
        <v>1</v>
      </c>
      <c r="V52" s="188">
        <v>1</v>
      </c>
      <c r="W52" s="188">
        <f t="shared" si="213"/>
        <v>62</v>
      </c>
      <c r="X52" s="214">
        <f t="shared" si="214"/>
        <v>1</v>
      </c>
      <c r="Y52" s="214">
        <f t="shared" si="215"/>
        <v>1</v>
      </c>
      <c r="Z52" s="216">
        <f>725864000/1000000000</f>
        <v>0.72586399999999995</v>
      </c>
      <c r="AA52" s="188">
        <v>0</v>
      </c>
      <c r="AB52" s="189">
        <f t="shared" si="118"/>
        <v>0</v>
      </c>
      <c r="AC52" s="250">
        <f t="shared" si="119"/>
        <v>0</v>
      </c>
      <c r="AD52" s="250">
        <f t="shared" si="120"/>
        <v>0</v>
      </c>
      <c r="AE52" s="188"/>
      <c r="AF52" s="188">
        <f t="shared" si="121"/>
        <v>0</v>
      </c>
      <c r="AG52" s="188"/>
      <c r="AH52" s="188" t="s">
        <v>313</v>
      </c>
      <c r="AI52" s="188">
        <v>0</v>
      </c>
      <c r="AJ52" s="188">
        <f t="shared" si="181"/>
        <v>0</v>
      </c>
      <c r="AK52" s="188"/>
      <c r="AL52" s="188">
        <v>0</v>
      </c>
      <c r="AM52" s="188">
        <v>0</v>
      </c>
      <c r="AN52" s="217"/>
      <c r="AO52" s="195"/>
      <c r="AP52" s="195"/>
      <c r="AQ52" s="195"/>
      <c r="AR52" s="195"/>
      <c r="AS52" s="195"/>
      <c r="AT52" s="195"/>
      <c r="BB52" s="17">
        <f t="shared" si="123"/>
        <v>0</v>
      </c>
      <c r="BE52" s="17">
        <f t="shared" si="216"/>
        <v>0</v>
      </c>
      <c r="BF52" s="17">
        <f t="shared" si="217"/>
        <v>0</v>
      </c>
      <c r="BG52" s="17">
        <f t="shared" si="218"/>
        <v>0</v>
      </c>
      <c r="BH52" s="17">
        <f t="shared" si="219"/>
        <v>0</v>
      </c>
      <c r="BI52" s="17">
        <f t="shared" si="220"/>
        <v>0</v>
      </c>
      <c r="BJ52" s="17">
        <f t="shared" si="221"/>
        <v>0</v>
      </c>
      <c r="BK52" s="17">
        <f t="shared" si="124"/>
        <v>0</v>
      </c>
      <c r="BM52" s="128"/>
      <c r="BN52" s="289">
        <v>49</v>
      </c>
      <c r="BO52">
        <v>1</v>
      </c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B52" s="20"/>
      <c r="CD52" s="17">
        <f t="shared" si="125"/>
        <v>49</v>
      </c>
      <c r="CE52" s="17">
        <f t="shared" si="126"/>
        <v>49</v>
      </c>
      <c r="CF52" s="20">
        <f t="shared" si="182"/>
        <v>0</v>
      </c>
      <c r="CG52" s="20">
        <f t="shared" si="183"/>
        <v>0</v>
      </c>
      <c r="CH52" s="20">
        <f t="shared" si="184"/>
        <v>0</v>
      </c>
      <c r="CI52" s="20">
        <f t="shared" si="185"/>
        <v>0</v>
      </c>
      <c r="CJ52" s="20">
        <f t="shared" si="186"/>
        <v>0</v>
      </c>
      <c r="CK52" s="20">
        <f t="shared" si="187"/>
        <v>0</v>
      </c>
      <c r="CL52" s="20">
        <f t="shared" si="188"/>
        <v>0</v>
      </c>
      <c r="CM52" s="20">
        <f t="shared" si="189"/>
        <v>0</v>
      </c>
      <c r="CN52" s="20">
        <f t="shared" si="190"/>
        <v>0</v>
      </c>
      <c r="CO52" s="20">
        <f t="shared" si="191"/>
        <v>0</v>
      </c>
      <c r="CP52" s="20">
        <f t="shared" si="192"/>
        <v>0</v>
      </c>
      <c r="DV52" s="20">
        <f t="shared" si="222"/>
        <v>0</v>
      </c>
      <c r="DW52" s="20">
        <f t="shared" si="223"/>
        <v>0</v>
      </c>
      <c r="DX52" s="20">
        <f t="shared" si="224"/>
        <v>0</v>
      </c>
      <c r="DY52" s="20">
        <f t="shared" si="225"/>
        <v>0</v>
      </c>
      <c r="DZ52" s="20">
        <f t="shared" si="226"/>
        <v>0</v>
      </c>
      <c r="EA52" s="20">
        <f t="shared" si="227"/>
        <v>0</v>
      </c>
      <c r="EB52" s="20">
        <f t="shared" si="127"/>
        <v>0</v>
      </c>
      <c r="EG52" s="57">
        <f t="shared" si="128"/>
        <v>0</v>
      </c>
      <c r="EH52" s="57">
        <f t="shared" si="129"/>
        <v>0</v>
      </c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X52" s="169">
        <v>1</v>
      </c>
      <c r="FY52" s="17">
        <f t="shared" si="130"/>
        <v>49</v>
      </c>
      <c r="FZ52" s="17">
        <f t="shared" ref="FZ52:GB55" si="287">DI52+CE52</f>
        <v>49</v>
      </c>
      <c r="GA52" s="17">
        <f t="shared" si="287"/>
        <v>0</v>
      </c>
      <c r="GB52" s="17">
        <f t="shared" si="287"/>
        <v>0</v>
      </c>
      <c r="GC52" s="17">
        <f>DM52+CI52</f>
        <v>0</v>
      </c>
      <c r="GD52" s="17">
        <f>DO52+CK52</f>
        <v>0</v>
      </c>
      <c r="GE52" s="17">
        <f>DT52+CP52</f>
        <v>0</v>
      </c>
      <c r="GF52" s="67"/>
      <c r="GG52" s="17">
        <v>0</v>
      </c>
      <c r="GH52" s="17">
        <v>0</v>
      </c>
      <c r="GI52" s="67"/>
      <c r="GJ52" s="62">
        <f t="shared" si="131"/>
        <v>0</v>
      </c>
      <c r="GK52" s="62">
        <f t="shared" si="132"/>
        <v>0</v>
      </c>
      <c r="GO52" s="17">
        <f>D52-F52</f>
        <v>0</v>
      </c>
      <c r="GP52" s="17">
        <f>D52-J52</f>
        <v>0</v>
      </c>
      <c r="GQ52" s="17">
        <f>D52-N52</f>
        <v>0</v>
      </c>
      <c r="GR52" s="17">
        <f>D52-R52</f>
        <v>0</v>
      </c>
      <c r="GS52" s="17">
        <f>D52-V52</f>
        <v>0</v>
      </c>
      <c r="GT52" s="17">
        <f t="shared" si="133"/>
        <v>1</v>
      </c>
      <c r="GU52" s="101">
        <f t="shared" si="134"/>
        <v>43243</v>
      </c>
      <c r="GV52" s="17" t="str">
        <f t="shared" si="135"/>
        <v>SELESAI</v>
      </c>
      <c r="GW52" s="17">
        <f t="shared" si="136"/>
        <v>0</v>
      </c>
      <c r="GX52" s="66" t="str">
        <f t="shared" si="137"/>
        <v>SELESAI</v>
      </c>
      <c r="GY52" s="66">
        <f t="shared" si="138"/>
        <v>0</v>
      </c>
      <c r="GZ52" s="102" t="str">
        <f t="shared" si="139"/>
        <v>SELESAI</v>
      </c>
      <c r="HA52" s="83"/>
      <c r="HB52" s="83"/>
      <c r="HC52" s="17">
        <f>IF(BH52&gt;0,1,IF(BI52&gt;0,1,0))</f>
        <v>0</v>
      </c>
      <c r="HD52" s="17">
        <f>IF(CB52&gt;0,1,0)</f>
        <v>0</v>
      </c>
      <c r="HE52" s="17">
        <f t="shared" si="140"/>
        <v>0</v>
      </c>
      <c r="HF52" s="17">
        <f t="shared" si="141"/>
        <v>0</v>
      </c>
      <c r="HG52" s="17">
        <f t="shared" si="142"/>
        <v>0</v>
      </c>
      <c r="HH52" s="101" t="str">
        <f t="shared" si="47"/>
        <v>TIDAK KONSINYASI</v>
      </c>
      <c r="HI52" s="101" t="str">
        <f t="shared" si="143"/>
        <v>SELESAI</v>
      </c>
      <c r="HJ52" s="27"/>
      <c r="HK52" s="101">
        <f t="shared" si="48"/>
        <v>0</v>
      </c>
      <c r="HL52" s="83"/>
      <c r="HM52" s="83"/>
      <c r="HN52" s="83"/>
      <c r="HO52" s="83"/>
      <c r="HP52" s="102">
        <f t="shared" si="144"/>
        <v>0</v>
      </c>
      <c r="HQ52" s="66">
        <f t="shared" si="145"/>
        <v>0</v>
      </c>
      <c r="HR52" s="66">
        <f>IF(HQ52=1,E52,0)</f>
        <v>0</v>
      </c>
      <c r="HS52" s="102">
        <f t="shared" si="146"/>
        <v>0</v>
      </c>
      <c r="HT52" s="66">
        <f t="shared" si="147"/>
        <v>0</v>
      </c>
      <c r="HU52" s="66">
        <f>IF(HT52=1,E52,0)</f>
        <v>0</v>
      </c>
      <c r="HV52" s="102">
        <f t="shared" si="148"/>
        <v>0</v>
      </c>
      <c r="HW52" s="66">
        <f t="shared" si="51"/>
        <v>0</v>
      </c>
      <c r="HX52" s="66">
        <f>IF(HW52=1,E52,0)</f>
        <v>0</v>
      </c>
      <c r="HY52" s="102">
        <f t="shared" si="53"/>
        <v>0</v>
      </c>
      <c r="HZ52" s="66">
        <f t="shared" si="149"/>
        <v>0</v>
      </c>
      <c r="IA52" s="66">
        <f>IF(HZ52=1,E52,0)</f>
        <v>0</v>
      </c>
      <c r="IB52" s="102">
        <f t="shared" si="150"/>
        <v>0</v>
      </c>
      <c r="IC52" s="66">
        <f t="shared" si="55"/>
        <v>0</v>
      </c>
      <c r="ID52" s="66">
        <f>IF(IC52=1,E52,0)</f>
        <v>0</v>
      </c>
      <c r="IE52" s="102">
        <f t="shared" si="57"/>
        <v>0</v>
      </c>
      <c r="IF52" s="66">
        <f t="shared" si="58"/>
        <v>0</v>
      </c>
      <c r="IG52" s="66">
        <f>IF(IF52=1,E52,0)</f>
        <v>0</v>
      </c>
      <c r="IH52" s="102">
        <f t="shared" si="151"/>
        <v>0</v>
      </c>
      <c r="II52" s="66">
        <f t="shared" si="152"/>
        <v>0</v>
      </c>
      <c r="IJ52" s="66">
        <f>IF(II52=1,E52,0)</f>
        <v>0</v>
      </c>
      <c r="IK52" s="102">
        <f t="shared" si="61"/>
        <v>0</v>
      </c>
      <c r="IL52" s="66">
        <f t="shared" si="62"/>
        <v>0</v>
      </c>
      <c r="IM52" s="66">
        <f>IF(IL52=1,E52,0)</f>
        <v>0</v>
      </c>
      <c r="IN52" s="83"/>
      <c r="IO52" s="102">
        <f t="shared" si="64"/>
        <v>0</v>
      </c>
      <c r="IP52" s="66">
        <f>IF(BG52&gt;0,1,0)</f>
        <v>0</v>
      </c>
      <c r="IQ52" s="66">
        <f>IF(IP52=1,E52,0)</f>
        <v>0</v>
      </c>
      <c r="IR52" s="83"/>
      <c r="IS52" s="102"/>
      <c r="IT52" s="66">
        <f t="shared" ref="IT52:IU55" si="288">V52</f>
        <v>1</v>
      </c>
      <c r="IU52" s="66">
        <f t="shared" si="288"/>
        <v>62</v>
      </c>
      <c r="IV52" s="83"/>
      <c r="IW52" s="102"/>
      <c r="IX52" s="66">
        <f t="shared" ref="IX52:IY55" si="289">AA52</f>
        <v>0</v>
      </c>
      <c r="IY52" s="66">
        <f t="shared" si="289"/>
        <v>0</v>
      </c>
      <c r="IZ52" s="83"/>
      <c r="JA52" s="102"/>
      <c r="JB52" s="66">
        <f>AN52</f>
        <v>0</v>
      </c>
      <c r="JC52" s="66">
        <f>BB52</f>
        <v>0</v>
      </c>
      <c r="JD52" s="83"/>
      <c r="JE52" s="102"/>
      <c r="JF52" s="66">
        <f t="shared" si="153"/>
        <v>1</v>
      </c>
      <c r="JG52" s="66">
        <f t="shared" si="73"/>
        <v>62</v>
      </c>
      <c r="JH52" s="83"/>
      <c r="JI52" s="102"/>
      <c r="JJ52" s="66">
        <f t="shared" ref="JJ52:JK55" si="290">JF52-D52</f>
        <v>0</v>
      </c>
      <c r="JK52" s="66">
        <f t="shared" si="290"/>
        <v>0</v>
      </c>
      <c r="JM52" s="102">
        <f t="shared" si="154"/>
        <v>0</v>
      </c>
      <c r="JO52" s="29">
        <f t="shared" si="76"/>
        <v>1</v>
      </c>
      <c r="JP52" s="122">
        <f>BN52+CR52</f>
        <v>49</v>
      </c>
      <c r="JQ52" s="122">
        <f t="shared" ref="JQ52:KB55" si="291">IF(BO52+CS52=2,1,IF(BO52+CS52=1,1,0))</f>
        <v>1</v>
      </c>
      <c r="JR52" s="122">
        <f t="shared" si="291"/>
        <v>0</v>
      </c>
      <c r="JS52" s="122">
        <f t="shared" si="291"/>
        <v>0</v>
      </c>
      <c r="JT52" s="122">
        <f t="shared" si="291"/>
        <v>0</v>
      </c>
      <c r="JU52" s="122">
        <f t="shared" si="291"/>
        <v>0</v>
      </c>
      <c r="JV52" s="122">
        <f t="shared" si="291"/>
        <v>0</v>
      </c>
      <c r="JW52" s="122">
        <f t="shared" si="291"/>
        <v>0</v>
      </c>
      <c r="JX52" s="122">
        <f t="shared" si="291"/>
        <v>0</v>
      </c>
      <c r="JY52" s="122">
        <f t="shared" si="291"/>
        <v>0</v>
      </c>
      <c r="JZ52" s="122">
        <f t="shared" si="291"/>
        <v>0</v>
      </c>
      <c r="KA52" s="122">
        <f t="shared" si="291"/>
        <v>0</v>
      </c>
      <c r="KB52" s="122">
        <f t="shared" si="291"/>
        <v>0</v>
      </c>
      <c r="KD52" s="122">
        <f t="shared" si="155"/>
        <v>0</v>
      </c>
      <c r="KE52" s="122">
        <f t="shared" si="91"/>
        <v>0</v>
      </c>
      <c r="KF52" s="122">
        <f t="shared" ref="KF52:KR55" si="292">CD52+DH52</f>
        <v>49</v>
      </c>
      <c r="KG52" s="122">
        <f t="shared" si="292"/>
        <v>49</v>
      </c>
      <c r="KH52" s="122">
        <f t="shared" si="292"/>
        <v>0</v>
      </c>
      <c r="KI52" s="122">
        <f t="shared" si="292"/>
        <v>0</v>
      </c>
      <c r="KJ52" s="122">
        <f t="shared" si="292"/>
        <v>0</v>
      </c>
      <c r="KK52" s="122">
        <f t="shared" si="292"/>
        <v>0</v>
      </c>
      <c r="KL52" s="122">
        <f t="shared" si="292"/>
        <v>0</v>
      </c>
      <c r="KM52" s="122">
        <f t="shared" si="292"/>
        <v>0</v>
      </c>
      <c r="KN52" s="123">
        <f t="shared" si="292"/>
        <v>0</v>
      </c>
      <c r="KO52" s="123">
        <f t="shared" si="292"/>
        <v>0</v>
      </c>
      <c r="KP52" s="123">
        <f t="shared" si="292"/>
        <v>0</v>
      </c>
      <c r="KQ52" s="123">
        <f t="shared" si="292"/>
        <v>0</v>
      </c>
      <c r="KR52" s="123">
        <f t="shared" si="292"/>
        <v>0</v>
      </c>
      <c r="KT52">
        <f>AN52</f>
        <v>0</v>
      </c>
      <c r="KU52" s="123"/>
      <c r="KV52" s="123"/>
      <c r="KW52" s="123"/>
      <c r="KX52" s="123"/>
      <c r="KY52" s="123"/>
      <c r="KZ52" s="123"/>
      <c r="LA52" s="123"/>
      <c r="LB52" s="123"/>
      <c r="LC52" s="123"/>
      <c r="LD52" s="123"/>
      <c r="LE52" s="123"/>
      <c r="LF52" s="123"/>
      <c r="LG52" s="123"/>
      <c r="LH52" s="123"/>
      <c r="LI52" s="123"/>
      <c r="LJ52" s="123"/>
      <c r="LK52" s="123"/>
      <c r="LL52" s="123"/>
      <c r="LM52" s="123"/>
      <c r="LN52" s="123"/>
      <c r="LO52" s="123"/>
      <c r="LP52" s="123"/>
      <c r="LQ52" s="123"/>
      <c r="LR52" s="123"/>
      <c r="LS52" s="123"/>
      <c r="LT52" s="123"/>
      <c r="LU52" s="123"/>
      <c r="LV52" s="123"/>
      <c r="LW52" s="123"/>
      <c r="LX52" s="123"/>
      <c r="LY52" s="123"/>
      <c r="LZ52" s="123"/>
      <c r="MA52" s="123"/>
      <c r="MB52" s="123"/>
      <c r="MC52" s="123"/>
      <c r="MD52" s="123"/>
      <c r="ME52" s="123"/>
      <c r="MF52" s="123"/>
      <c r="MG52" s="123"/>
      <c r="MH52" s="123"/>
      <c r="MI52" s="123"/>
      <c r="MJ52" s="123"/>
      <c r="MK52" s="123"/>
      <c r="ML52" s="123"/>
      <c r="MM52" s="123"/>
      <c r="MN52" s="123"/>
      <c r="MO52" s="123"/>
      <c r="MP52" s="123"/>
      <c r="MQ52" s="123"/>
      <c r="MR52" s="123"/>
      <c r="MS52" s="123"/>
      <c r="MT52" s="123"/>
      <c r="MU52" s="123"/>
      <c r="MV52" s="123"/>
      <c r="MW52" s="123"/>
      <c r="MX52" s="123"/>
      <c r="MY52" s="123"/>
      <c r="MZ52" s="123"/>
      <c r="NA52" s="123"/>
      <c r="NB52" s="123"/>
      <c r="NC52" s="123"/>
      <c r="ND52" s="123"/>
      <c r="NE52" s="123"/>
      <c r="NF52" s="123"/>
      <c r="NG52" s="123"/>
      <c r="NH52" s="123"/>
      <c r="NI52" s="123"/>
      <c r="NJ52" s="123"/>
      <c r="NK52" s="123"/>
      <c r="NM52">
        <f t="shared" si="156"/>
        <v>0</v>
      </c>
      <c r="NN52">
        <f t="shared" si="157"/>
        <v>0</v>
      </c>
      <c r="NO52">
        <f t="shared" si="158"/>
        <v>0</v>
      </c>
      <c r="NP52">
        <f t="shared" si="159"/>
        <v>0</v>
      </c>
      <c r="NQ52">
        <f t="shared" si="160"/>
        <v>0</v>
      </c>
      <c r="NR52">
        <f t="shared" si="161"/>
        <v>0</v>
      </c>
      <c r="NS52">
        <f t="shared" si="162"/>
        <v>0</v>
      </c>
      <c r="NT52">
        <f t="shared" si="163"/>
        <v>0</v>
      </c>
      <c r="NU52" s="29">
        <f t="shared" si="164"/>
        <v>0</v>
      </c>
      <c r="NY52" s="29">
        <f t="shared" si="107"/>
        <v>1</v>
      </c>
      <c r="NZ52" s="152">
        <v>7275000</v>
      </c>
      <c r="OE52" s="155">
        <f t="shared" si="194"/>
        <v>0</v>
      </c>
      <c r="OF52" s="155">
        <f t="shared" si="195"/>
        <v>0</v>
      </c>
      <c r="OG52" s="155">
        <f t="shared" si="196"/>
        <v>0</v>
      </c>
      <c r="OH52" s="155">
        <f t="shared" si="165"/>
        <v>0</v>
      </c>
      <c r="OI52" s="155">
        <f t="shared" si="197"/>
        <v>0</v>
      </c>
      <c r="OJ52" s="67">
        <f t="shared" si="166"/>
        <v>0</v>
      </c>
      <c r="OK52" s="67">
        <f t="shared" si="167"/>
        <v>0</v>
      </c>
      <c r="OL52" s="67">
        <f t="shared" si="168"/>
        <v>0</v>
      </c>
      <c r="OM52" s="67">
        <f t="shared" si="169"/>
        <v>0</v>
      </c>
      <c r="OO52" s="155">
        <f t="shared" si="198"/>
        <v>0</v>
      </c>
      <c r="OP52" s="155">
        <f t="shared" si="199"/>
        <v>0</v>
      </c>
      <c r="OQ52" s="155">
        <f t="shared" si="170"/>
        <v>0</v>
      </c>
      <c r="OR52" s="155">
        <f t="shared" si="171"/>
        <v>0</v>
      </c>
      <c r="OS52" s="155">
        <f t="shared" si="172"/>
        <v>0</v>
      </c>
      <c r="OT52" s="67">
        <f t="shared" si="173"/>
        <v>0</v>
      </c>
      <c r="OU52" s="67">
        <f t="shared" si="174"/>
        <v>0</v>
      </c>
      <c r="OV52" s="67">
        <f t="shared" si="175"/>
        <v>0</v>
      </c>
      <c r="OW52" s="67">
        <f t="shared" si="176"/>
        <v>0</v>
      </c>
      <c r="OZ52" s="163">
        <f t="shared" si="200"/>
        <v>0</v>
      </c>
      <c r="PA52" s="166"/>
      <c r="PB52" s="171"/>
      <c r="PC52" s="166"/>
      <c r="PD52" s="210">
        <f t="shared" si="115"/>
        <v>0</v>
      </c>
      <c r="PE52" s="210"/>
      <c r="PF52" s="210">
        <f t="shared" si="116"/>
        <v>0</v>
      </c>
      <c r="PG52" s="210">
        <f t="shared" si="286"/>
        <v>0</v>
      </c>
      <c r="PH52" s="210">
        <f t="shared" si="286"/>
        <v>0</v>
      </c>
      <c r="PI52" s="210">
        <f t="shared" si="286"/>
        <v>0</v>
      </c>
      <c r="PJ52" s="210">
        <f t="shared" si="286"/>
        <v>0</v>
      </c>
      <c r="PK52" s="210">
        <f t="shared" si="286"/>
        <v>0</v>
      </c>
      <c r="PL52" s="210">
        <f t="shared" si="286"/>
        <v>0</v>
      </c>
      <c r="PO52" s="172">
        <f t="shared" si="177"/>
        <v>0</v>
      </c>
      <c r="PP52" s="172">
        <f t="shared" si="178"/>
        <v>0</v>
      </c>
      <c r="PQ52" s="172">
        <f t="shared" si="179"/>
        <v>0</v>
      </c>
    </row>
    <row r="53" spans="1:433" ht="16" x14ac:dyDescent="0.2">
      <c r="A53" s="19">
        <f t="shared" si="180"/>
        <v>43</v>
      </c>
      <c r="B53" s="186" t="s">
        <v>196</v>
      </c>
      <c r="C53" s="186">
        <v>47</v>
      </c>
      <c r="D53" s="188">
        <v>1</v>
      </c>
      <c r="E53" s="188">
        <v>21</v>
      </c>
      <c r="F53" s="188">
        <v>1</v>
      </c>
      <c r="G53" s="188">
        <f>E53</f>
        <v>21</v>
      </c>
      <c r="H53" s="214">
        <f t="shared" si="202"/>
        <v>1</v>
      </c>
      <c r="I53" s="214">
        <f t="shared" si="203"/>
        <v>1</v>
      </c>
      <c r="J53" s="188">
        <v>1</v>
      </c>
      <c r="K53" s="188">
        <f t="shared" si="204"/>
        <v>21</v>
      </c>
      <c r="L53" s="214">
        <f t="shared" si="205"/>
        <v>1</v>
      </c>
      <c r="M53" s="214">
        <f t="shared" si="206"/>
        <v>1</v>
      </c>
      <c r="N53" s="188">
        <v>1</v>
      </c>
      <c r="O53" s="188">
        <f t="shared" si="207"/>
        <v>21</v>
      </c>
      <c r="P53" s="214">
        <f t="shared" si="208"/>
        <v>1</v>
      </c>
      <c r="Q53" s="214">
        <f t="shared" si="209"/>
        <v>1</v>
      </c>
      <c r="R53" s="188">
        <v>1</v>
      </c>
      <c r="S53" s="188">
        <f t="shared" si="210"/>
        <v>21</v>
      </c>
      <c r="T53" s="214">
        <f t="shared" si="211"/>
        <v>1</v>
      </c>
      <c r="U53" s="214">
        <f t="shared" si="212"/>
        <v>1</v>
      </c>
      <c r="V53" s="188">
        <v>1</v>
      </c>
      <c r="W53" s="188">
        <f t="shared" si="213"/>
        <v>21</v>
      </c>
      <c r="X53" s="214">
        <f t="shared" si="214"/>
        <v>1</v>
      </c>
      <c r="Y53" s="214">
        <f t="shared" si="215"/>
        <v>1</v>
      </c>
      <c r="Z53" s="216">
        <f>538393000/1000000000</f>
        <v>0.53839300000000001</v>
      </c>
      <c r="AA53" s="188">
        <v>0</v>
      </c>
      <c r="AB53" s="189">
        <f t="shared" si="118"/>
        <v>0</v>
      </c>
      <c r="AC53" s="250">
        <f t="shared" si="119"/>
        <v>0</v>
      </c>
      <c r="AD53" s="250">
        <f t="shared" si="120"/>
        <v>0</v>
      </c>
      <c r="AE53" s="188"/>
      <c r="AF53" s="188">
        <f t="shared" si="121"/>
        <v>0</v>
      </c>
      <c r="AG53" s="188"/>
      <c r="AH53" s="188" t="s">
        <v>313</v>
      </c>
      <c r="AI53" s="188">
        <v>0</v>
      </c>
      <c r="AJ53" s="188">
        <f t="shared" si="181"/>
        <v>0</v>
      </c>
      <c r="AK53" s="188"/>
      <c r="AL53" s="188">
        <v>0</v>
      </c>
      <c r="AM53" s="188">
        <v>0</v>
      </c>
      <c r="AN53" s="217"/>
      <c r="AO53" s="195"/>
      <c r="AP53" s="195"/>
      <c r="AQ53" s="195"/>
      <c r="AR53" s="195"/>
      <c r="AS53" s="195"/>
      <c r="AT53" s="195"/>
      <c r="BB53" s="17">
        <f t="shared" si="123"/>
        <v>0</v>
      </c>
      <c r="BE53" s="17">
        <f t="shared" si="216"/>
        <v>0</v>
      </c>
      <c r="BF53" s="17">
        <f t="shared" si="217"/>
        <v>0</v>
      </c>
      <c r="BG53" s="17">
        <f t="shared" si="218"/>
        <v>0</v>
      </c>
      <c r="BH53" s="17">
        <f t="shared" si="219"/>
        <v>0</v>
      </c>
      <c r="BI53" s="17">
        <f t="shared" si="220"/>
        <v>0</v>
      </c>
      <c r="BJ53" s="17">
        <f t="shared" si="221"/>
        <v>0</v>
      </c>
      <c r="BK53" s="17">
        <f t="shared" si="124"/>
        <v>0</v>
      </c>
      <c r="BM53" s="128"/>
      <c r="BN53" s="147"/>
      <c r="BO53" s="288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B53" s="20"/>
      <c r="CD53" s="17">
        <f t="shared" si="125"/>
        <v>0</v>
      </c>
      <c r="CE53" s="17">
        <f t="shared" si="126"/>
        <v>0</v>
      </c>
      <c r="CF53" s="20">
        <f t="shared" si="182"/>
        <v>0</v>
      </c>
      <c r="CG53" s="20">
        <f t="shared" si="183"/>
        <v>0</v>
      </c>
      <c r="CH53" s="20">
        <f t="shared" si="184"/>
        <v>0</v>
      </c>
      <c r="CI53" s="20">
        <f t="shared" si="185"/>
        <v>0</v>
      </c>
      <c r="CJ53" s="20">
        <f t="shared" si="186"/>
        <v>0</v>
      </c>
      <c r="CK53" s="20">
        <f t="shared" si="187"/>
        <v>0</v>
      </c>
      <c r="CL53" s="20">
        <f t="shared" si="188"/>
        <v>0</v>
      </c>
      <c r="CM53" s="20">
        <f t="shared" si="189"/>
        <v>0</v>
      </c>
      <c r="CN53" s="20">
        <f t="shared" si="190"/>
        <v>0</v>
      </c>
      <c r="CO53" s="20">
        <f t="shared" si="191"/>
        <v>0</v>
      </c>
      <c r="CP53" s="20">
        <f t="shared" si="192"/>
        <v>0</v>
      </c>
      <c r="DV53" s="20">
        <f t="shared" si="222"/>
        <v>0</v>
      </c>
      <c r="DW53" s="20">
        <f t="shared" si="223"/>
        <v>0</v>
      </c>
      <c r="DX53" s="20">
        <f t="shared" si="224"/>
        <v>0</v>
      </c>
      <c r="DY53" s="20">
        <f t="shared" si="225"/>
        <v>0</v>
      </c>
      <c r="DZ53" s="20">
        <f t="shared" si="226"/>
        <v>0</v>
      </c>
      <c r="EA53" s="20">
        <f t="shared" si="227"/>
        <v>0</v>
      </c>
      <c r="EB53" s="20">
        <f t="shared" si="127"/>
        <v>0</v>
      </c>
      <c r="EG53" s="57">
        <f t="shared" si="128"/>
        <v>0</v>
      </c>
      <c r="EH53" s="57">
        <f t="shared" si="129"/>
        <v>0</v>
      </c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X53" s="169"/>
      <c r="FY53" s="17">
        <f t="shared" si="130"/>
        <v>0</v>
      </c>
      <c r="FZ53" s="17">
        <f t="shared" si="287"/>
        <v>0</v>
      </c>
      <c r="GA53" s="17">
        <f t="shared" si="287"/>
        <v>0</v>
      </c>
      <c r="GB53" s="17">
        <f t="shared" si="287"/>
        <v>0</v>
      </c>
      <c r="GC53" s="17">
        <f>DM53+CI53</f>
        <v>0</v>
      </c>
      <c r="GD53" s="17">
        <f>DO53+CK53</f>
        <v>0</v>
      </c>
      <c r="GE53" s="17">
        <f>DT53+CP53</f>
        <v>0</v>
      </c>
      <c r="GF53" s="67"/>
      <c r="GG53" s="17">
        <v>0</v>
      </c>
      <c r="GH53" s="17">
        <v>0</v>
      </c>
      <c r="GI53" s="67"/>
      <c r="GJ53" s="62">
        <f t="shared" si="131"/>
        <v>0</v>
      </c>
      <c r="GK53" s="62">
        <f t="shared" si="132"/>
        <v>0</v>
      </c>
      <c r="GO53" s="17">
        <f>D53-F53</f>
        <v>0</v>
      </c>
      <c r="GP53" s="17">
        <f>D53-J53</f>
        <v>0</v>
      </c>
      <c r="GQ53" s="17">
        <f>D53-N53</f>
        <v>0</v>
      </c>
      <c r="GR53" s="17">
        <f>D53-R53</f>
        <v>0</v>
      </c>
      <c r="GS53" s="17">
        <f>D53-V53</f>
        <v>0</v>
      </c>
      <c r="GT53" s="17">
        <f t="shared" si="133"/>
        <v>1</v>
      </c>
      <c r="GU53" s="101">
        <f t="shared" si="134"/>
        <v>43243</v>
      </c>
      <c r="GV53" s="17" t="str">
        <f t="shared" si="135"/>
        <v>SELESAI</v>
      </c>
      <c r="GW53" s="17">
        <f t="shared" si="136"/>
        <v>0</v>
      </c>
      <c r="GX53" s="66" t="str">
        <f t="shared" si="137"/>
        <v>SELESAI</v>
      </c>
      <c r="GY53" s="66">
        <f t="shared" si="138"/>
        <v>0</v>
      </c>
      <c r="GZ53" s="102" t="str">
        <f t="shared" si="139"/>
        <v>SELESAI</v>
      </c>
      <c r="HA53" s="83"/>
      <c r="HB53" s="83"/>
      <c r="HC53" s="17">
        <f>IF(BH53&gt;0,1,IF(BI53&gt;0,1,0))</f>
        <v>0</v>
      </c>
      <c r="HD53" s="17">
        <f>IF(CB53&gt;0,1,0)</f>
        <v>0</v>
      </c>
      <c r="HE53" s="17">
        <f t="shared" si="140"/>
        <v>0</v>
      </c>
      <c r="HF53" s="17">
        <f t="shared" si="141"/>
        <v>0</v>
      </c>
      <c r="HG53" s="17">
        <f t="shared" si="142"/>
        <v>0</v>
      </c>
      <c r="HH53" s="101" t="str">
        <f t="shared" si="47"/>
        <v>TIDAK KONSINYASI</v>
      </c>
      <c r="HI53" s="101" t="str">
        <f t="shared" si="143"/>
        <v>SELESAI</v>
      </c>
      <c r="HJ53" s="27"/>
      <c r="HK53" s="101">
        <f t="shared" si="48"/>
        <v>0</v>
      </c>
      <c r="HL53" s="83"/>
      <c r="HM53" s="83"/>
      <c r="HN53" s="83"/>
      <c r="HO53" s="83"/>
      <c r="HP53" s="102">
        <f t="shared" si="144"/>
        <v>0</v>
      </c>
      <c r="HQ53" s="66">
        <f t="shared" si="145"/>
        <v>0</v>
      </c>
      <c r="HR53" s="66">
        <f>IF(HQ53=1,E53,0)</f>
        <v>0</v>
      </c>
      <c r="HS53" s="102">
        <f t="shared" si="146"/>
        <v>0</v>
      </c>
      <c r="HT53" s="66">
        <f t="shared" si="147"/>
        <v>0</v>
      </c>
      <c r="HU53" s="66">
        <f>IF(HT53=1,E53,0)</f>
        <v>0</v>
      </c>
      <c r="HV53" s="102">
        <f t="shared" si="148"/>
        <v>0</v>
      </c>
      <c r="HW53" s="66">
        <f t="shared" si="51"/>
        <v>0</v>
      </c>
      <c r="HX53" s="66">
        <f>IF(HW53=1,E53,0)</f>
        <v>0</v>
      </c>
      <c r="HY53" s="102">
        <f t="shared" si="53"/>
        <v>0</v>
      </c>
      <c r="HZ53" s="66">
        <f t="shared" si="149"/>
        <v>0</v>
      </c>
      <c r="IA53" s="66">
        <f>IF(HZ53=1,E53,0)</f>
        <v>0</v>
      </c>
      <c r="IB53" s="102">
        <f t="shared" si="150"/>
        <v>0</v>
      </c>
      <c r="IC53" s="66">
        <f t="shared" si="55"/>
        <v>0</v>
      </c>
      <c r="ID53" s="66">
        <f>IF(IC53=1,E53,0)</f>
        <v>0</v>
      </c>
      <c r="IE53" s="102">
        <f t="shared" si="57"/>
        <v>0</v>
      </c>
      <c r="IF53" s="66">
        <f t="shared" si="58"/>
        <v>0</v>
      </c>
      <c r="IG53" s="66">
        <f>IF(IF53=1,E53,0)</f>
        <v>0</v>
      </c>
      <c r="IH53" s="102">
        <f t="shared" si="151"/>
        <v>0</v>
      </c>
      <c r="II53" s="66">
        <f t="shared" si="152"/>
        <v>0</v>
      </c>
      <c r="IJ53" s="66">
        <f>IF(II53=1,E53,0)</f>
        <v>0</v>
      </c>
      <c r="IK53" s="102">
        <f t="shared" si="61"/>
        <v>0</v>
      </c>
      <c r="IL53" s="66">
        <f t="shared" si="62"/>
        <v>0</v>
      </c>
      <c r="IM53" s="66">
        <f>IF(IL53=1,E53,0)</f>
        <v>0</v>
      </c>
      <c r="IN53" s="83"/>
      <c r="IO53" s="102">
        <f t="shared" si="64"/>
        <v>0</v>
      </c>
      <c r="IP53" s="66">
        <f>IF(BG53&gt;0,1,0)</f>
        <v>0</v>
      </c>
      <c r="IQ53" s="66">
        <f>IF(IP53=1,E53,0)</f>
        <v>0</v>
      </c>
      <c r="IR53" s="83"/>
      <c r="IS53" s="102"/>
      <c r="IT53" s="66">
        <f t="shared" si="288"/>
        <v>1</v>
      </c>
      <c r="IU53" s="66">
        <f t="shared" si="288"/>
        <v>21</v>
      </c>
      <c r="IV53" s="83"/>
      <c r="IW53" s="102"/>
      <c r="IX53" s="66">
        <f t="shared" si="289"/>
        <v>0</v>
      </c>
      <c r="IY53" s="66">
        <f t="shared" si="289"/>
        <v>0</v>
      </c>
      <c r="IZ53" s="83"/>
      <c r="JA53" s="102"/>
      <c r="JB53" s="66">
        <f>AN53</f>
        <v>0</v>
      </c>
      <c r="JC53" s="66">
        <f>BB53</f>
        <v>0</v>
      </c>
      <c r="JD53" s="83"/>
      <c r="JE53" s="102"/>
      <c r="JF53" s="66">
        <f t="shared" si="153"/>
        <v>1</v>
      </c>
      <c r="JG53" s="66">
        <f t="shared" si="73"/>
        <v>21</v>
      </c>
      <c r="JH53" s="83"/>
      <c r="JI53" s="102"/>
      <c r="JJ53" s="66">
        <f t="shared" si="290"/>
        <v>0</v>
      </c>
      <c r="JK53" s="66">
        <f t="shared" si="290"/>
        <v>0</v>
      </c>
      <c r="JM53" s="102">
        <f t="shared" si="154"/>
        <v>0</v>
      </c>
      <c r="JO53" s="29">
        <f t="shared" si="76"/>
        <v>0</v>
      </c>
      <c r="JP53" s="122">
        <f>BN53+CR53</f>
        <v>0</v>
      </c>
      <c r="JQ53" s="122">
        <f t="shared" si="291"/>
        <v>0</v>
      </c>
      <c r="JR53" s="122">
        <f t="shared" si="291"/>
        <v>0</v>
      </c>
      <c r="JS53" s="122">
        <f t="shared" si="291"/>
        <v>0</v>
      </c>
      <c r="JT53" s="122">
        <f t="shared" si="291"/>
        <v>0</v>
      </c>
      <c r="JU53" s="122">
        <f t="shared" si="291"/>
        <v>0</v>
      </c>
      <c r="JV53" s="122">
        <f t="shared" si="291"/>
        <v>0</v>
      </c>
      <c r="JW53" s="122">
        <f t="shared" si="291"/>
        <v>0</v>
      </c>
      <c r="JX53" s="122">
        <f t="shared" si="291"/>
        <v>0</v>
      </c>
      <c r="JY53" s="122">
        <f t="shared" si="291"/>
        <v>0</v>
      </c>
      <c r="JZ53" s="122">
        <f t="shared" si="291"/>
        <v>0</v>
      </c>
      <c r="KA53" s="122">
        <f t="shared" si="291"/>
        <v>0</v>
      </c>
      <c r="KB53" s="122">
        <f t="shared" si="291"/>
        <v>0</v>
      </c>
      <c r="KD53" s="122">
        <f t="shared" si="155"/>
        <v>0</v>
      </c>
      <c r="KE53" s="122">
        <f t="shared" si="91"/>
        <v>0</v>
      </c>
      <c r="KF53" s="122">
        <f t="shared" si="292"/>
        <v>0</v>
      </c>
      <c r="KG53" s="122">
        <f t="shared" si="292"/>
        <v>0</v>
      </c>
      <c r="KH53" s="122">
        <f t="shared" si="292"/>
        <v>0</v>
      </c>
      <c r="KI53" s="122">
        <f t="shared" si="292"/>
        <v>0</v>
      </c>
      <c r="KJ53" s="122">
        <f t="shared" si="292"/>
        <v>0</v>
      </c>
      <c r="KK53" s="122">
        <f t="shared" si="292"/>
        <v>0</v>
      </c>
      <c r="KL53" s="122">
        <f t="shared" si="292"/>
        <v>0</v>
      </c>
      <c r="KM53" s="122">
        <f t="shared" si="292"/>
        <v>0</v>
      </c>
      <c r="KN53" s="123">
        <f t="shared" si="292"/>
        <v>0</v>
      </c>
      <c r="KO53" s="123">
        <f t="shared" si="292"/>
        <v>0</v>
      </c>
      <c r="KP53" s="123">
        <f t="shared" si="292"/>
        <v>0</v>
      </c>
      <c r="KQ53" s="123">
        <f t="shared" si="292"/>
        <v>0</v>
      </c>
      <c r="KR53" s="123">
        <f t="shared" si="292"/>
        <v>0</v>
      </c>
      <c r="KT53">
        <f>AN53</f>
        <v>0</v>
      </c>
      <c r="KU53" s="123"/>
      <c r="KV53" s="123"/>
      <c r="KW53" s="123"/>
      <c r="KX53" s="123"/>
      <c r="KY53" s="123"/>
      <c r="KZ53" s="123"/>
      <c r="LA53" s="123"/>
      <c r="LB53" s="123"/>
      <c r="LC53" s="123"/>
      <c r="LD53" s="123"/>
      <c r="LE53" s="123"/>
      <c r="LF53" s="123"/>
      <c r="LG53" s="123"/>
      <c r="LH53" s="123"/>
      <c r="LI53" s="123"/>
      <c r="LJ53" s="123"/>
      <c r="LK53" s="123"/>
      <c r="LL53" s="123"/>
      <c r="LM53" s="123"/>
      <c r="LN53" s="123"/>
      <c r="LO53" s="123"/>
      <c r="LP53" s="123"/>
      <c r="LQ53" s="123"/>
      <c r="LR53" s="123"/>
      <c r="LS53" s="123"/>
      <c r="LT53" s="123"/>
      <c r="LU53" s="123"/>
      <c r="LV53" s="123"/>
      <c r="LW53" s="123"/>
      <c r="LX53" s="123"/>
      <c r="LY53" s="123"/>
      <c r="LZ53" s="123"/>
      <c r="MA53" s="123"/>
      <c r="MB53" s="123"/>
      <c r="MC53" s="123"/>
      <c r="MD53" s="123"/>
      <c r="ME53" s="123"/>
      <c r="MF53" s="123"/>
      <c r="MG53" s="123"/>
      <c r="MH53" s="123"/>
      <c r="MI53" s="123"/>
      <c r="MJ53" s="123"/>
      <c r="MK53" s="123"/>
      <c r="ML53" s="123"/>
      <c r="MM53" s="123"/>
      <c r="MN53" s="123"/>
      <c r="MO53" s="123"/>
      <c r="MP53" s="123"/>
      <c r="MQ53" s="123"/>
      <c r="MR53" s="123"/>
      <c r="MS53" s="123"/>
      <c r="MT53" s="123"/>
      <c r="MU53" s="123"/>
      <c r="MV53" s="123"/>
      <c r="MW53" s="123"/>
      <c r="MX53" s="123"/>
      <c r="MY53" s="123"/>
      <c r="MZ53" s="123"/>
      <c r="NA53" s="123"/>
      <c r="NB53" s="123"/>
      <c r="NC53" s="123"/>
      <c r="ND53" s="123"/>
      <c r="NE53" s="123"/>
      <c r="NF53" s="123"/>
      <c r="NG53" s="123"/>
      <c r="NH53" s="123"/>
      <c r="NI53" s="123"/>
      <c r="NJ53" s="123"/>
      <c r="NK53" s="123"/>
      <c r="NM53">
        <f t="shared" si="156"/>
        <v>0</v>
      </c>
      <c r="NN53">
        <f t="shared" si="157"/>
        <v>0</v>
      </c>
      <c r="NO53">
        <f t="shared" si="158"/>
        <v>0</v>
      </c>
      <c r="NP53">
        <f t="shared" si="159"/>
        <v>0</v>
      </c>
      <c r="NQ53">
        <f t="shared" si="160"/>
        <v>0</v>
      </c>
      <c r="NR53">
        <f t="shared" si="161"/>
        <v>0</v>
      </c>
      <c r="NS53">
        <f t="shared" si="162"/>
        <v>0</v>
      </c>
      <c r="NT53">
        <f t="shared" si="163"/>
        <v>0</v>
      </c>
      <c r="NU53" s="29">
        <f t="shared" si="164"/>
        <v>0</v>
      </c>
      <c r="NY53" s="29">
        <f t="shared" si="107"/>
        <v>1</v>
      </c>
      <c r="NZ53" s="152">
        <v>7275000</v>
      </c>
      <c r="OE53" s="155">
        <f t="shared" si="194"/>
        <v>0</v>
      </c>
      <c r="OF53" s="155">
        <f t="shared" si="195"/>
        <v>0</v>
      </c>
      <c r="OG53" s="155">
        <f t="shared" si="196"/>
        <v>0</v>
      </c>
      <c r="OH53" s="155">
        <f t="shared" si="165"/>
        <v>0</v>
      </c>
      <c r="OI53" s="155">
        <f t="shared" si="197"/>
        <v>0</v>
      </c>
      <c r="OJ53" s="67">
        <f t="shared" si="166"/>
        <v>0</v>
      </c>
      <c r="OK53" s="67">
        <f t="shared" si="167"/>
        <v>0</v>
      </c>
      <c r="OL53" s="67">
        <f t="shared" si="168"/>
        <v>0</v>
      </c>
      <c r="OM53" s="67">
        <f t="shared" si="169"/>
        <v>0</v>
      </c>
      <c r="OO53" s="155">
        <f t="shared" si="198"/>
        <v>0</v>
      </c>
      <c r="OP53" s="155">
        <f t="shared" si="199"/>
        <v>0</v>
      </c>
      <c r="OQ53" s="155">
        <f t="shared" si="170"/>
        <v>0</v>
      </c>
      <c r="OR53" s="155">
        <f t="shared" si="171"/>
        <v>0</v>
      </c>
      <c r="OS53" s="155">
        <f t="shared" si="172"/>
        <v>0</v>
      </c>
      <c r="OT53" s="67">
        <f t="shared" si="173"/>
        <v>0</v>
      </c>
      <c r="OU53" s="67">
        <f t="shared" si="174"/>
        <v>0</v>
      </c>
      <c r="OV53" s="67">
        <f t="shared" si="175"/>
        <v>0</v>
      </c>
      <c r="OW53" s="67">
        <f t="shared" si="176"/>
        <v>0</v>
      </c>
      <c r="OZ53" s="163">
        <f t="shared" si="200"/>
        <v>0</v>
      </c>
      <c r="PA53" s="166"/>
      <c r="PB53" s="166"/>
      <c r="PC53" s="166"/>
      <c r="PD53" s="210">
        <f t="shared" si="115"/>
        <v>0</v>
      </c>
      <c r="PE53" s="210"/>
      <c r="PF53" s="210">
        <f t="shared" si="116"/>
        <v>0</v>
      </c>
      <c r="PG53" s="210">
        <f t="shared" si="286"/>
        <v>0</v>
      </c>
      <c r="PH53" s="210">
        <f t="shared" si="286"/>
        <v>0</v>
      </c>
      <c r="PI53" s="210">
        <f t="shared" si="286"/>
        <v>0</v>
      </c>
      <c r="PJ53" s="210">
        <f t="shared" si="286"/>
        <v>0</v>
      </c>
      <c r="PK53" s="210">
        <f t="shared" si="286"/>
        <v>0</v>
      </c>
      <c r="PL53" s="210">
        <f t="shared" si="286"/>
        <v>0</v>
      </c>
      <c r="PO53" s="172">
        <f t="shared" si="177"/>
        <v>0</v>
      </c>
      <c r="PP53" s="172">
        <f t="shared" si="178"/>
        <v>0</v>
      </c>
      <c r="PQ53" s="172">
        <f t="shared" si="179"/>
        <v>0</v>
      </c>
    </row>
    <row r="54" spans="1:433" ht="16" x14ac:dyDescent="0.2">
      <c r="A54" s="19">
        <f t="shared" si="180"/>
        <v>44</v>
      </c>
      <c r="B54" s="186" t="s">
        <v>149</v>
      </c>
      <c r="C54" s="186">
        <v>48</v>
      </c>
      <c r="D54" s="188">
        <v>1</v>
      </c>
      <c r="E54" s="188">
        <v>83</v>
      </c>
      <c r="F54" s="188">
        <v>1</v>
      </c>
      <c r="G54" s="188">
        <f>E54</f>
        <v>83</v>
      </c>
      <c r="H54" s="214">
        <f t="shared" si="202"/>
        <v>1</v>
      </c>
      <c r="I54" s="214">
        <f t="shared" si="203"/>
        <v>1</v>
      </c>
      <c r="J54" s="188">
        <v>1</v>
      </c>
      <c r="K54" s="188">
        <f t="shared" si="204"/>
        <v>83</v>
      </c>
      <c r="L54" s="214">
        <f t="shared" si="205"/>
        <v>1</v>
      </c>
      <c r="M54" s="214">
        <f t="shared" si="206"/>
        <v>1</v>
      </c>
      <c r="N54" s="188">
        <v>1</v>
      </c>
      <c r="O54" s="188">
        <f t="shared" si="207"/>
        <v>83</v>
      </c>
      <c r="P54" s="214">
        <f t="shared" si="208"/>
        <v>1</v>
      </c>
      <c r="Q54" s="214">
        <f t="shared" si="209"/>
        <v>1</v>
      </c>
      <c r="R54" s="188">
        <v>1</v>
      </c>
      <c r="S54" s="188">
        <f t="shared" si="210"/>
        <v>83</v>
      </c>
      <c r="T54" s="214">
        <f t="shared" si="211"/>
        <v>1</v>
      </c>
      <c r="U54" s="214">
        <f t="shared" si="212"/>
        <v>1</v>
      </c>
      <c r="V54" s="188">
        <v>1</v>
      </c>
      <c r="W54" s="188">
        <f t="shared" si="213"/>
        <v>83</v>
      </c>
      <c r="X54" s="214">
        <f t="shared" si="214"/>
        <v>1</v>
      </c>
      <c r="Y54" s="214">
        <f t="shared" si="215"/>
        <v>1</v>
      </c>
      <c r="Z54" s="216">
        <f>852283000/1000000000</f>
        <v>0.85228300000000001</v>
      </c>
      <c r="AA54" s="188">
        <v>0</v>
      </c>
      <c r="AB54" s="189">
        <f t="shared" si="118"/>
        <v>0</v>
      </c>
      <c r="AC54" s="250">
        <f t="shared" si="119"/>
        <v>0</v>
      </c>
      <c r="AD54" s="250">
        <f t="shared" si="120"/>
        <v>0</v>
      </c>
      <c r="AE54" s="188"/>
      <c r="AF54" s="188">
        <f t="shared" si="121"/>
        <v>0</v>
      </c>
      <c r="AG54" s="188"/>
      <c r="AH54" s="188" t="s">
        <v>313</v>
      </c>
      <c r="AI54" s="188">
        <v>0</v>
      </c>
      <c r="AJ54" s="188">
        <f t="shared" si="181"/>
        <v>0</v>
      </c>
      <c r="AK54" s="188"/>
      <c r="AL54" s="188">
        <v>0</v>
      </c>
      <c r="AM54" s="188">
        <v>0</v>
      </c>
      <c r="AN54" s="217"/>
      <c r="AO54" s="195"/>
      <c r="AP54" s="195"/>
      <c r="AQ54" s="195"/>
      <c r="AR54" s="195"/>
      <c r="AS54" s="195"/>
      <c r="AT54" s="195"/>
      <c r="BB54" s="17">
        <f t="shared" si="123"/>
        <v>0</v>
      </c>
      <c r="BE54" s="17">
        <f t="shared" si="216"/>
        <v>0</v>
      </c>
      <c r="BF54" s="17">
        <f t="shared" si="217"/>
        <v>0</v>
      </c>
      <c r="BG54" s="17">
        <f t="shared" si="218"/>
        <v>0</v>
      </c>
      <c r="BH54" s="17">
        <f t="shared" si="219"/>
        <v>0</v>
      </c>
      <c r="BI54" s="17">
        <f t="shared" si="220"/>
        <v>0</v>
      </c>
      <c r="BJ54" s="17">
        <f t="shared" si="221"/>
        <v>0</v>
      </c>
      <c r="BK54" s="17">
        <f t="shared" si="124"/>
        <v>0</v>
      </c>
      <c r="BM54" s="128"/>
      <c r="BN54" s="289">
        <v>68</v>
      </c>
      <c r="BO54">
        <v>1</v>
      </c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B54" s="20"/>
      <c r="CD54" s="17">
        <f t="shared" si="125"/>
        <v>68</v>
      </c>
      <c r="CE54" s="17">
        <f t="shared" si="126"/>
        <v>68</v>
      </c>
      <c r="CF54" s="20">
        <f t="shared" si="182"/>
        <v>0</v>
      </c>
      <c r="CG54" s="20">
        <f t="shared" si="183"/>
        <v>0</v>
      </c>
      <c r="CH54" s="20">
        <f t="shared" si="184"/>
        <v>0</v>
      </c>
      <c r="CI54" s="20">
        <f t="shared" si="185"/>
        <v>0</v>
      </c>
      <c r="CJ54" s="20">
        <f t="shared" si="186"/>
        <v>0</v>
      </c>
      <c r="CK54" s="20">
        <f t="shared" si="187"/>
        <v>0</v>
      </c>
      <c r="CL54" s="20">
        <f t="shared" si="188"/>
        <v>0</v>
      </c>
      <c r="CM54" s="20">
        <f t="shared" si="189"/>
        <v>0</v>
      </c>
      <c r="CN54" s="20">
        <f t="shared" si="190"/>
        <v>0</v>
      </c>
      <c r="CO54" s="20">
        <f t="shared" si="191"/>
        <v>0</v>
      </c>
      <c r="CP54" s="20">
        <f t="shared" si="192"/>
        <v>0</v>
      </c>
      <c r="DV54" s="20">
        <f t="shared" si="222"/>
        <v>0</v>
      </c>
      <c r="DW54" s="20">
        <f t="shared" si="223"/>
        <v>0</v>
      </c>
      <c r="DX54" s="20">
        <f t="shared" si="224"/>
        <v>0</v>
      </c>
      <c r="DY54" s="20">
        <f t="shared" si="225"/>
        <v>0</v>
      </c>
      <c r="DZ54" s="20">
        <f t="shared" si="226"/>
        <v>0</v>
      </c>
      <c r="EA54" s="20">
        <f t="shared" si="227"/>
        <v>0</v>
      </c>
      <c r="EB54" s="20">
        <f t="shared" si="127"/>
        <v>0</v>
      </c>
      <c r="EG54" s="57">
        <f t="shared" si="128"/>
        <v>0</v>
      </c>
      <c r="EH54" s="57">
        <f t="shared" si="129"/>
        <v>0</v>
      </c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X54" s="169">
        <v>1</v>
      </c>
      <c r="FY54" s="17">
        <f t="shared" si="130"/>
        <v>68</v>
      </c>
      <c r="FZ54" s="17">
        <f t="shared" si="287"/>
        <v>68</v>
      </c>
      <c r="GA54" s="17">
        <f t="shared" si="287"/>
        <v>0</v>
      </c>
      <c r="GB54" s="17">
        <f t="shared" si="287"/>
        <v>0</v>
      </c>
      <c r="GC54" s="17">
        <f>DM54+CI54</f>
        <v>0</v>
      </c>
      <c r="GD54" s="17">
        <f>DO54+CK54</f>
        <v>0</v>
      </c>
      <c r="GE54" s="17">
        <f>DT54+CP54</f>
        <v>0</v>
      </c>
      <c r="GF54" s="67"/>
      <c r="GG54" s="17">
        <v>0</v>
      </c>
      <c r="GH54" s="17">
        <v>0</v>
      </c>
      <c r="GI54" s="67"/>
      <c r="GJ54" s="62">
        <f t="shared" si="131"/>
        <v>0</v>
      </c>
      <c r="GK54" s="62">
        <f t="shared" si="132"/>
        <v>0</v>
      </c>
      <c r="GO54" s="17">
        <f>D54-F54</f>
        <v>0</v>
      </c>
      <c r="GP54" s="17">
        <f>D54-J54</f>
        <v>0</v>
      </c>
      <c r="GQ54" s="17">
        <f>D54-N54</f>
        <v>0</v>
      </c>
      <c r="GR54" s="17">
        <f>D54-R54</f>
        <v>0</v>
      </c>
      <c r="GS54" s="17">
        <f>D54-V54</f>
        <v>0</v>
      </c>
      <c r="GT54" s="17">
        <f t="shared" si="133"/>
        <v>1</v>
      </c>
      <c r="GU54" s="101">
        <f t="shared" si="134"/>
        <v>43243</v>
      </c>
      <c r="GV54" s="17" t="str">
        <f t="shared" si="135"/>
        <v>SELESAI</v>
      </c>
      <c r="GW54" s="17">
        <f t="shared" si="136"/>
        <v>0</v>
      </c>
      <c r="GX54" s="66" t="str">
        <f t="shared" si="137"/>
        <v>SELESAI</v>
      </c>
      <c r="GY54" s="66">
        <f t="shared" si="138"/>
        <v>0</v>
      </c>
      <c r="GZ54" s="102" t="str">
        <f t="shared" si="139"/>
        <v>SELESAI</v>
      </c>
      <c r="HA54" s="83"/>
      <c r="HB54" s="83"/>
      <c r="HC54" s="17">
        <f>IF(BH54&gt;0,1,IF(BI54&gt;0,1,0))</f>
        <v>0</v>
      </c>
      <c r="HD54" s="17">
        <f>IF(CB54&gt;0,1,0)</f>
        <v>0</v>
      </c>
      <c r="HE54" s="17">
        <f t="shared" si="140"/>
        <v>0</v>
      </c>
      <c r="HF54" s="17">
        <f t="shared" si="141"/>
        <v>0</v>
      </c>
      <c r="HG54" s="17">
        <f t="shared" si="142"/>
        <v>0</v>
      </c>
      <c r="HH54" s="101" t="str">
        <f t="shared" si="47"/>
        <v>TIDAK KONSINYASI</v>
      </c>
      <c r="HI54" s="101" t="str">
        <f t="shared" si="143"/>
        <v>SELESAI</v>
      </c>
      <c r="HJ54" s="27"/>
      <c r="HK54" s="101">
        <f t="shared" si="48"/>
        <v>0</v>
      </c>
      <c r="HL54" s="83"/>
      <c r="HM54" s="83"/>
      <c r="HN54" s="83"/>
      <c r="HO54" s="83"/>
      <c r="HP54" s="102">
        <f t="shared" si="144"/>
        <v>0</v>
      </c>
      <c r="HQ54" s="66">
        <f t="shared" si="145"/>
        <v>0</v>
      </c>
      <c r="HR54" s="66">
        <f>IF(HQ54=1,E54,0)</f>
        <v>0</v>
      </c>
      <c r="HS54" s="102">
        <f t="shared" si="146"/>
        <v>0</v>
      </c>
      <c r="HT54" s="66">
        <f t="shared" si="147"/>
        <v>0</v>
      </c>
      <c r="HU54" s="66">
        <f>IF(HT54=1,E54,0)</f>
        <v>0</v>
      </c>
      <c r="HV54" s="102">
        <f t="shared" si="148"/>
        <v>0</v>
      </c>
      <c r="HW54" s="66">
        <f t="shared" si="51"/>
        <v>0</v>
      </c>
      <c r="HX54" s="66">
        <f>IF(HW54=1,E54,0)</f>
        <v>0</v>
      </c>
      <c r="HY54" s="102">
        <f t="shared" si="53"/>
        <v>0</v>
      </c>
      <c r="HZ54" s="66">
        <f t="shared" si="149"/>
        <v>0</v>
      </c>
      <c r="IA54" s="66">
        <f>IF(HZ54=1,E54,0)</f>
        <v>0</v>
      </c>
      <c r="IB54" s="102">
        <f t="shared" si="150"/>
        <v>0</v>
      </c>
      <c r="IC54" s="66">
        <f t="shared" si="55"/>
        <v>0</v>
      </c>
      <c r="ID54" s="66">
        <f>IF(IC54=1,E54,0)</f>
        <v>0</v>
      </c>
      <c r="IE54" s="102">
        <f t="shared" si="57"/>
        <v>0</v>
      </c>
      <c r="IF54" s="66">
        <f t="shared" si="58"/>
        <v>0</v>
      </c>
      <c r="IG54" s="66">
        <f>IF(IF54=1,E54,0)</f>
        <v>0</v>
      </c>
      <c r="IH54" s="102">
        <f t="shared" si="151"/>
        <v>0</v>
      </c>
      <c r="II54" s="66">
        <f t="shared" si="152"/>
        <v>0</v>
      </c>
      <c r="IJ54" s="66">
        <f>IF(II54=1,E54,0)</f>
        <v>0</v>
      </c>
      <c r="IK54" s="102">
        <f t="shared" si="61"/>
        <v>0</v>
      </c>
      <c r="IL54" s="66">
        <f t="shared" si="62"/>
        <v>0</v>
      </c>
      <c r="IM54" s="66">
        <f>IF(IL54=1,E54,0)</f>
        <v>0</v>
      </c>
      <c r="IN54" s="83"/>
      <c r="IO54" s="102">
        <f t="shared" si="64"/>
        <v>0</v>
      </c>
      <c r="IP54" s="66">
        <f>IF(BG54&gt;0,1,0)</f>
        <v>0</v>
      </c>
      <c r="IQ54" s="66">
        <f>IF(IP54=1,E54,0)</f>
        <v>0</v>
      </c>
      <c r="IR54" s="83"/>
      <c r="IS54" s="102"/>
      <c r="IT54" s="66">
        <f t="shared" si="288"/>
        <v>1</v>
      </c>
      <c r="IU54" s="66">
        <f t="shared" si="288"/>
        <v>83</v>
      </c>
      <c r="IV54" s="83"/>
      <c r="IW54" s="102"/>
      <c r="IX54" s="66">
        <f t="shared" si="289"/>
        <v>0</v>
      </c>
      <c r="IY54" s="66">
        <f t="shared" si="289"/>
        <v>0</v>
      </c>
      <c r="IZ54" s="83"/>
      <c r="JA54" s="102"/>
      <c r="JB54" s="66">
        <f>AN54</f>
        <v>0</v>
      </c>
      <c r="JC54" s="66">
        <f>BB54</f>
        <v>0</v>
      </c>
      <c r="JD54" s="83"/>
      <c r="JE54" s="102"/>
      <c r="JF54" s="66">
        <f t="shared" si="153"/>
        <v>1</v>
      </c>
      <c r="JG54" s="66">
        <f t="shared" si="73"/>
        <v>83</v>
      </c>
      <c r="JH54" s="83"/>
      <c r="JI54" s="102"/>
      <c r="JJ54" s="66">
        <f t="shared" si="290"/>
        <v>0</v>
      </c>
      <c r="JK54" s="66">
        <f t="shared" si="290"/>
        <v>0</v>
      </c>
      <c r="JM54" s="102">
        <f t="shared" si="154"/>
        <v>0</v>
      </c>
      <c r="JO54" s="29">
        <f t="shared" si="76"/>
        <v>1</v>
      </c>
      <c r="JP54" s="122">
        <f>BN54+CR54</f>
        <v>68</v>
      </c>
      <c r="JQ54" s="122">
        <f t="shared" si="291"/>
        <v>1</v>
      </c>
      <c r="JR54" s="122">
        <f t="shared" si="291"/>
        <v>0</v>
      </c>
      <c r="JS54" s="122">
        <f t="shared" si="291"/>
        <v>0</v>
      </c>
      <c r="JT54" s="122">
        <f t="shared" si="291"/>
        <v>0</v>
      </c>
      <c r="JU54" s="122">
        <f t="shared" si="291"/>
        <v>0</v>
      </c>
      <c r="JV54" s="122">
        <f t="shared" si="291"/>
        <v>0</v>
      </c>
      <c r="JW54" s="122">
        <f t="shared" si="291"/>
        <v>0</v>
      </c>
      <c r="JX54" s="122">
        <f t="shared" si="291"/>
        <v>0</v>
      </c>
      <c r="JY54" s="122">
        <f t="shared" si="291"/>
        <v>0</v>
      </c>
      <c r="JZ54" s="122">
        <f t="shared" si="291"/>
        <v>0</v>
      </c>
      <c r="KA54" s="122">
        <f t="shared" si="291"/>
        <v>0</v>
      </c>
      <c r="KB54" s="122">
        <f t="shared" si="291"/>
        <v>0</v>
      </c>
      <c r="KD54" s="122">
        <f t="shared" si="155"/>
        <v>0</v>
      </c>
      <c r="KE54" s="122">
        <f t="shared" si="91"/>
        <v>0</v>
      </c>
      <c r="KF54" s="122">
        <f t="shared" si="292"/>
        <v>68</v>
      </c>
      <c r="KG54" s="122">
        <f t="shared" si="292"/>
        <v>68</v>
      </c>
      <c r="KH54" s="122">
        <f t="shared" si="292"/>
        <v>0</v>
      </c>
      <c r="KI54" s="122">
        <f t="shared" si="292"/>
        <v>0</v>
      </c>
      <c r="KJ54" s="122">
        <f t="shared" si="292"/>
        <v>0</v>
      </c>
      <c r="KK54" s="122">
        <f t="shared" si="292"/>
        <v>0</v>
      </c>
      <c r="KL54" s="122">
        <f t="shared" si="292"/>
        <v>0</v>
      </c>
      <c r="KM54" s="122">
        <f t="shared" si="292"/>
        <v>0</v>
      </c>
      <c r="KN54" s="123">
        <f t="shared" si="292"/>
        <v>0</v>
      </c>
      <c r="KO54" s="123">
        <f t="shared" si="292"/>
        <v>0</v>
      </c>
      <c r="KP54" s="123">
        <f t="shared" si="292"/>
        <v>0</v>
      </c>
      <c r="KQ54" s="123">
        <f t="shared" si="292"/>
        <v>0</v>
      </c>
      <c r="KR54" s="123">
        <f t="shared" si="292"/>
        <v>0</v>
      </c>
      <c r="KT54">
        <f>AN54</f>
        <v>0</v>
      </c>
      <c r="KU54" s="123"/>
      <c r="KV54" s="123"/>
      <c r="KW54" s="123"/>
      <c r="KX54" s="123"/>
      <c r="KY54" s="123"/>
      <c r="KZ54" s="123"/>
      <c r="LA54" s="123"/>
      <c r="LB54" s="123"/>
      <c r="LC54" s="123"/>
      <c r="LD54" s="123"/>
      <c r="LE54" s="123"/>
      <c r="LF54" s="123"/>
      <c r="LG54" s="123"/>
      <c r="LH54" s="123"/>
      <c r="LI54" s="123"/>
      <c r="LJ54" s="123"/>
      <c r="LK54" s="123"/>
      <c r="LL54" s="123"/>
      <c r="LM54" s="123"/>
      <c r="LN54" s="123"/>
      <c r="LO54" s="123"/>
      <c r="LP54" s="123"/>
      <c r="LQ54" s="123"/>
      <c r="LR54" s="123"/>
      <c r="LS54" s="123"/>
      <c r="LT54" s="123"/>
      <c r="LU54" s="123"/>
      <c r="LV54" s="123"/>
      <c r="LW54" s="123"/>
      <c r="LX54" s="123"/>
      <c r="LY54" s="123"/>
      <c r="LZ54" s="123"/>
      <c r="MA54" s="123"/>
      <c r="MB54" s="123"/>
      <c r="MC54" s="123"/>
      <c r="MD54" s="123"/>
      <c r="ME54" s="123"/>
      <c r="MF54" s="123"/>
      <c r="MG54" s="123"/>
      <c r="MH54" s="123"/>
      <c r="MI54" s="123"/>
      <c r="MJ54" s="123"/>
      <c r="MK54" s="123"/>
      <c r="ML54" s="123"/>
      <c r="MM54" s="123"/>
      <c r="MN54" s="123"/>
      <c r="MO54" s="123"/>
      <c r="MP54" s="123"/>
      <c r="MQ54" s="123"/>
      <c r="MR54" s="123"/>
      <c r="MS54" s="123"/>
      <c r="MT54" s="123"/>
      <c r="MU54" s="123"/>
      <c r="MV54" s="123"/>
      <c r="MW54" s="123"/>
      <c r="MX54" s="123"/>
      <c r="MY54" s="123"/>
      <c r="MZ54" s="123"/>
      <c r="NA54" s="123"/>
      <c r="NB54" s="123"/>
      <c r="NC54" s="123"/>
      <c r="ND54" s="123"/>
      <c r="NE54" s="123"/>
      <c r="NF54" s="123"/>
      <c r="NG54" s="123"/>
      <c r="NH54" s="123"/>
      <c r="NI54" s="123"/>
      <c r="NJ54" s="123"/>
      <c r="NK54" s="123"/>
      <c r="NM54">
        <f t="shared" si="156"/>
        <v>0</v>
      </c>
      <c r="NN54">
        <f t="shared" si="157"/>
        <v>0</v>
      </c>
      <c r="NO54">
        <f t="shared" si="158"/>
        <v>0</v>
      </c>
      <c r="NP54">
        <f t="shared" si="159"/>
        <v>0</v>
      </c>
      <c r="NQ54">
        <f t="shared" si="160"/>
        <v>0</v>
      </c>
      <c r="NR54">
        <f t="shared" si="161"/>
        <v>0</v>
      </c>
      <c r="NS54">
        <f t="shared" si="162"/>
        <v>0</v>
      </c>
      <c r="NT54">
        <f t="shared" si="163"/>
        <v>0</v>
      </c>
      <c r="NU54" s="29">
        <f t="shared" si="164"/>
        <v>0</v>
      </c>
      <c r="NY54" s="29">
        <f t="shared" si="107"/>
        <v>1</v>
      </c>
      <c r="NZ54" s="152">
        <v>7275000</v>
      </c>
      <c r="OE54" s="155">
        <f t="shared" si="194"/>
        <v>0</v>
      </c>
      <c r="OF54" s="155">
        <f t="shared" si="195"/>
        <v>0</v>
      </c>
      <c r="OG54" s="155">
        <f t="shared" si="196"/>
        <v>0</v>
      </c>
      <c r="OH54" s="155">
        <f t="shared" si="165"/>
        <v>0</v>
      </c>
      <c r="OI54" s="155">
        <f t="shared" si="197"/>
        <v>0</v>
      </c>
      <c r="OJ54" s="67">
        <f t="shared" si="166"/>
        <v>0</v>
      </c>
      <c r="OK54" s="67">
        <f t="shared" si="167"/>
        <v>0</v>
      </c>
      <c r="OL54" s="67">
        <f t="shared" si="168"/>
        <v>0</v>
      </c>
      <c r="OM54" s="67">
        <f t="shared" si="169"/>
        <v>0</v>
      </c>
      <c r="OO54" s="155">
        <f t="shared" si="198"/>
        <v>0</v>
      </c>
      <c r="OP54" s="155">
        <f t="shared" si="199"/>
        <v>0</v>
      </c>
      <c r="OQ54" s="155">
        <f t="shared" si="170"/>
        <v>0</v>
      </c>
      <c r="OR54" s="155">
        <f t="shared" si="171"/>
        <v>0</v>
      </c>
      <c r="OS54" s="155">
        <f t="shared" si="172"/>
        <v>0</v>
      </c>
      <c r="OT54" s="67">
        <f t="shared" si="173"/>
        <v>0</v>
      </c>
      <c r="OU54" s="67">
        <f t="shared" si="174"/>
        <v>0</v>
      </c>
      <c r="OV54" s="67">
        <f t="shared" si="175"/>
        <v>0</v>
      </c>
      <c r="OW54" s="67">
        <f t="shared" si="176"/>
        <v>0</v>
      </c>
      <c r="OZ54" s="163">
        <f t="shared" si="200"/>
        <v>0</v>
      </c>
      <c r="PA54" s="166"/>
      <c r="PB54" s="166"/>
      <c r="PC54" s="166"/>
      <c r="PD54" s="210">
        <f t="shared" si="115"/>
        <v>0</v>
      </c>
      <c r="PE54" s="210"/>
      <c r="PF54" s="210">
        <f t="shared" si="116"/>
        <v>0</v>
      </c>
      <c r="PG54" s="210">
        <f t="shared" si="286"/>
        <v>0</v>
      </c>
      <c r="PH54" s="210">
        <f t="shared" si="286"/>
        <v>0</v>
      </c>
      <c r="PI54" s="210">
        <f t="shared" si="286"/>
        <v>0</v>
      </c>
      <c r="PJ54" s="210">
        <f t="shared" si="286"/>
        <v>0</v>
      </c>
      <c r="PK54" s="210">
        <f t="shared" si="286"/>
        <v>0</v>
      </c>
      <c r="PL54" s="210">
        <f t="shared" si="286"/>
        <v>0</v>
      </c>
      <c r="PO54" s="172">
        <f t="shared" si="177"/>
        <v>0</v>
      </c>
      <c r="PP54" s="172">
        <f t="shared" si="178"/>
        <v>0</v>
      </c>
      <c r="PQ54" s="172">
        <f t="shared" si="179"/>
        <v>0</v>
      </c>
    </row>
    <row r="55" spans="1:433" ht="16" x14ac:dyDescent="0.2">
      <c r="A55" s="19">
        <f t="shared" si="180"/>
        <v>45</v>
      </c>
      <c r="B55" s="186" t="s">
        <v>197</v>
      </c>
      <c r="C55" s="186">
        <v>49</v>
      </c>
      <c r="D55" s="188">
        <v>1</v>
      </c>
      <c r="E55" s="188">
        <v>89</v>
      </c>
      <c r="F55" s="188">
        <v>1</v>
      </c>
      <c r="G55" s="188">
        <f>E55</f>
        <v>89</v>
      </c>
      <c r="H55" s="214">
        <f t="shared" si="202"/>
        <v>1</v>
      </c>
      <c r="I55" s="214">
        <f t="shared" si="203"/>
        <v>1</v>
      </c>
      <c r="J55" s="188">
        <v>1</v>
      </c>
      <c r="K55" s="188">
        <f t="shared" si="204"/>
        <v>89</v>
      </c>
      <c r="L55" s="214">
        <f t="shared" si="205"/>
        <v>1</v>
      </c>
      <c r="M55" s="214">
        <f t="shared" si="206"/>
        <v>1</v>
      </c>
      <c r="N55" s="188">
        <v>1</v>
      </c>
      <c r="O55" s="188">
        <f t="shared" si="207"/>
        <v>89</v>
      </c>
      <c r="P55" s="214">
        <f t="shared" si="208"/>
        <v>1</v>
      </c>
      <c r="Q55" s="214">
        <f t="shared" si="209"/>
        <v>1</v>
      </c>
      <c r="R55" s="188">
        <v>1</v>
      </c>
      <c r="S55" s="188">
        <f t="shared" si="210"/>
        <v>89</v>
      </c>
      <c r="T55" s="214">
        <f t="shared" si="211"/>
        <v>1</v>
      </c>
      <c r="U55" s="214">
        <f t="shared" si="212"/>
        <v>1</v>
      </c>
      <c r="V55" s="188">
        <v>1</v>
      </c>
      <c r="W55" s="188">
        <f t="shared" si="213"/>
        <v>89</v>
      </c>
      <c r="X55" s="214">
        <f t="shared" si="214"/>
        <v>1</v>
      </c>
      <c r="Y55" s="214">
        <f t="shared" si="215"/>
        <v>1</v>
      </c>
      <c r="Z55" s="216">
        <f>886417000/1000000000</f>
        <v>0.88641700000000001</v>
      </c>
      <c r="AA55" s="188">
        <v>0</v>
      </c>
      <c r="AB55" s="189">
        <f t="shared" si="118"/>
        <v>0</v>
      </c>
      <c r="AC55" s="250">
        <f t="shared" si="119"/>
        <v>0</v>
      </c>
      <c r="AD55" s="250">
        <f t="shared" si="120"/>
        <v>0</v>
      </c>
      <c r="AE55" s="188"/>
      <c r="AF55" s="188">
        <f t="shared" si="121"/>
        <v>0</v>
      </c>
      <c r="AG55" s="188"/>
      <c r="AH55" s="188" t="s">
        <v>313</v>
      </c>
      <c r="AI55" s="188">
        <v>0</v>
      </c>
      <c r="AJ55" s="188">
        <f t="shared" si="181"/>
        <v>0</v>
      </c>
      <c r="AK55" s="188"/>
      <c r="AL55" s="188">
        <v>0</v>
      </c>
      <c r="AM55" s="188">
        <v>0</v>
      </c>
      <c r="AN55" s="217"/>
      <c r="AO55" s="195"/>
      <c r="AP55" s="195"/>
      <c r="AQ55" s="195"/>
      <c r="AR55" s="195"/>
      <c r="AS55" s="195"/>
      <c r="AT55" s="195"/>
      <c r="BB55" s="17">
        <f t="shared" si="123"/>
        <v>0</v>
      </c>
      <c r="BE55" s="17">
        <f t="shared" si="216"/>
        <v>0</v>
      </c>
      <c r="BF55" s="17">
        <f t="shared" si="217"/>
        <v>0</v>
      </c>
      <c r="BG55" s="17">
        <f t="shared" si="218"/>
        <v>0</v>
      </c>
      <c r="BH55" s="17">
        <f t="shared" si="219"/>
        <v>0</v>
      </c>
      <c r="BI55" s="17">
        <f t="shared" si="220"/>
        <v>0</v>
      </c>
      <c r="BJ55" s="17">
        <f t="shared" si="221"/>
        <v>0</v>
      </c>
      <c r="BK55" s="17">
        <f t="shared" si="124"/>
        <v>0</v>
      </c>
      <c r="BM55" s="128"/>
      <c r="BN55" s="289">
        <v>78</v>
      </c>
      <c r="BO55">
        <v>1</v>
      </c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B55" s="20"/>
      <c r="CD55" s="17">
        <f t="shared" si="125"/>
        <v>78</v>
      </c>
      <c r="CE55" s="17">
        <f t="shared" si="126"/>
        <v>78</v>
      </c>
      <c r="CF55" s="20">
        <f t="shared" si="182"/>
        <v>0</v>
      </c>
      <c r="CG55" s="20">
        <f t="shared" si="183"/>
        <v>0</v>
      </c>
      <c r="CH55" s="20">
        <f t="shared" si="184"/>
        <v>0</v>
      </c>
      <c r="CI55" s="20">
        <f t="shared" si="185"/>
        <v>0</v>
      </c>
      <c r="CJ55" s="20">
        <f t="shared" si="186"/>
        <v>0</v>
      </c>
      <c r="CK55" s="20">
        <f t="shared" si="187"/>
        <v>0</v>
      </c>
      <c r="CL55" s="20">
        <f t="shared" si="188"/>
        <v>0</v>
      </c>
      <c r="CM55" s="20">
        <f t="shared" si="189"/>
        <v>0</v>
      </c>
      <c r="CN55" s="20">
        <f t="shared" si="190"/>
        <v>0</v>
      </c>
      <c r="CO55" s="20">
        <f t="shared" si="191"/>
        <v>0</v>
      </c>
      <c r="CP55" s="20">
        <f t="shared" si="192"/>
        <v>0</v>
      </c>
      <c r="DV55" s="20">
        <f t="shared" si="222"/>
        <v>0</v>
      </c>
      <c r="DW55" s="20">
        <f t="shared" si="223"/>
        <v>0</v>
      </c>
      <c r="DX55" s="20">
        <f t="shared" si="224"/>
        <v>0</v>
      </c>
      <c r="DY55" s="20">
        <f t="shared" si="225"/>
        <v>0</v>
      </c>
      <c r="DZ55" s="20">
        <f t="shared" si="226"/>
        <v>0</v>
      </c>
      <c r="EA55" s="20">
        <f t="shared" si="227"/>
        <v>0</v>
      </c>
      <c r="EB55" s="20">
        <f t="shared" si="127"/>
        <v>0</v>
      </c>
      <c r="EG55" s="57">
        <f t="shared" si="128"/>
        <v>0</v>
      </c>
      <c r="EH55" s="57">
        <f t="shared" si="129"/>
        <v>0</v>
      </c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X55" s="169">
        <v>1</v>
      </c>
      <c r="FY55" s="17">
        <f t="shared" si="130"/>
        <v>78</v>
      </c>
      <c r="FZ55" s="17">
        <f t="shared" si="287"/>
        <v>78</v>
      </c>
      <c r="GA55" s="17">
        <f t="shared" si="287"/>
        <v>0</v>
      </c>
      <c r="GB55" s="17">
        <f t="shared" si="287"/>
        <v>0</v>
      </c>
      <c r="GC55" s="17">
        <f>DM55+CI55</f>
        <v>0</v>
      </c>
      <c r="GD55" s="17">
        <f>DO55+CK55</f>
        <v>0</v>
      </c>
      <c r="GE55" s="17">
        <f>DT55+CP55</f>
        <v>0</v>
      </c>
      <c r="GF55" s="67"/>
      <c r="GG55" s="17">
        <v>0</v>
      </c>
      <c r="GH55" s="17">
        <v>0</v>
      </c>
      <c r="GI55" s="67"/>
      <c r="GJ55" s="62">
        <f t="shared" si="131"/>
        <v>0</v>
      </c>
      <c r="GK55" s="62">
        <f t="shared" si="132"/>
        <v>0</v>
      </c>
      <c r="GO55" s="17">
        <f>D55-F55</f>
        <v>0</v>
      </c>
      <c r="GP55" s="17">
        <f>D55-J55</f>
        <v>0</v>
      </c>
      <c r="GQ55" s="17">
        <f>D55-N55</f>
        <v>0</v>
      </c>
      <c r="GR55" s="17">
        <f>D55-R55</f>
        <v>0</v>
      </c>
      <c r="GS55" s="17">
        <f>D55-V55</f>
        <v>0</v>
      </c>
      <c r="GT55" s="17">
        <f t="shared" si="133"/>
        <v>1</v>
      </c>
      <c r="GU55" s="101">
        <f t="shared" si="134"/>
        <v>43243</v>
      </c>
      <c r="GV55" s="17" t="str">
        <f t="shared" si="135"/>
        <v>SELESAI</v>
      </c>
      <c r="GW55" s="17">
        <f t="shared" si="136"/>
        <v>0</v>
      </c>
      <c r="GX55" s="66" t="str">
        <f t="shared" si="137"/>
        <v>SELESAI</v>
      </c>
      <c r="GY55" s="66">
        <f t="shared" si="138"/>
        <v>0</v>
      </c>
      <c r="GZ55" s="102" t="str">
        <f t="shared" si="139"/>
        <v>SELESAI</v>
      </c>
      <c r="HA55" s="83"/>
      <c r="HB55" s="83"/>
      <c r="HC55" s="17">
        <f>IF(BH55&gt;0,1,IF(BI55&gt;0,1,0))</f>
        <v>0</v>
      </c>
      <c r="HD55" s="17">
        <f>IF(CB55&gt;0,1,0)</f>
        <v>0</v>
      </c>
      <c r="HE55" s="17">
        <f t="shared" si="140"/>
        <v>0</v>
      </c>
      <c r="HF55" s="17">
        <f t="shared" si="141"/>
        <v>0</v>
      </c>
      <c r="HG55" s="17">
        <f t="shared" si="142"/>
        <v>0</v>
      </c>
      <c r="HH55" s="101" t="str">
        <f t="shared" si="47"/>
        <v>TIDAK KONSINYASI</v>
      </c>
      <c r="HI55" s="101" t="str">
        <f t="shared" si="143"/>
        <v>SELESAI</v>
      </c>
      <c r="HJ55" s="27"/>
      <c r="HK55" s="101">
        <f t="shared" si="48"/>
        <v>0</v>
      </c>
      <c r="HL55" s="83"/>
      <c r="HM55" s="83"/>
      <c r="HN55" s="83"/>
      <c r="HO55" s="83"/>
      <c r="HP55" s="102">
        <f t="shared" si="144"/>
        <v>0</v>
      </c>
      <c r="HQ55" s="66">
        <f t="shared" si="145"/>
        <v>0</v>
      </c>
      <c r="HR55" s="66">
        <f>IF(HQ55=1,E55,0)</f>
        <v>0</v>
      </c>
      <c r="HS55" s="102">
        <f t="shared" si="146"/>
        <v>0</v>
      </c>
      <c r="HT55" s="66">
        <f t="shared" si="147"/>
        <v>0</v>
      </c>
      <c r="HU55" s="66">
        <f>IF(HT55=1,E55,0)</f>
        <v>0</v>
      </c>
      <c r="HV55" s="102">
        <f t="shared" si="148"/>
        <v>0</v>
      </c>
      <c r="HW55" s="66">
        <f t="shared" si="51"/>
        <v>0</v>
      </c>
      <c r="HX55" s="66">
        <f>IF(HW55=1,E55,0)</f>
        <v>0</v>
      </c>
      <c r="HY55" s="102">
        <f t="shared" si="53"/>
        <v>0</v>
      </c>
      <c r="HZ55" s="66">
        <f t="shared" si="149"/>
        <v>0</v>
      </c>
      <c r="IA55" s="66">
        <f>IF(HZ55=1,E55,0)</f>
        <v>0</v>
      </c>
      <c r="IB55" s="102">
        <f t="shared" si="150"/>
        <v>0</v>
      </c>
      <c r="IC55" s="66">
        <f t="shared" si="55"/>
        <v>0</v>
      </c>
      <c r="ID55" s="66">
        <f>IF(IC55=1,E55,0)</f>
        <v>0</v>
      </c>
      <c r="IE55" s="102">
        <f t="shared" si="57"/>
        <v>0</v>
      </c>
      <c r="IF55" s="66">
        <f t="shared" si="58"/>
        <v>0</v>
      </c>
      <c r="IG55" s="66">
        <f>IF(IF55=1,E55,0)</f>
        <v>0</v>
      </c>
      <c r="IH55" s="102">
        <f t="shared" si="151"/>
        <v>0</v>
      </c>
      <c r="II55" s="66">
        <f t="shared" si="152"/>
        <v>0</v>
      </c>
      <c r="IJ55" s="66">
        <f>IF(II55=1,E55,0)</f>
        <v>0</v>
      </c>
      <c r="IK55" s="102">
        <f t="shared" si="61"/>
        <v>0</v>
      </c>
      <c r="IL55" s="66">
        <f t="shared" si="62"/>
        <v>0</v>
      </c>
      <c r="IM55" s="66">
        <f>IF(IL55=1,E55,0)</f>
        <v>0</v>
      </c>
      <c r="IN55" s="83"/>
      <c r="IO55" s="102">
        <f t="shared" si="64"/>
        <v>0</v>
      </c>
      <c r="IP55" s="66">
        <f>IF(BG55&gt;0,1,0)</f>
        <v>0</v>
      </c>
      <c r="IQ55" s="66">
        <f>IF(IP55=1,E55,0)</f>
        <v>0</v>
      </c>
      <c r="IR55" s="83"/>
      <c r="IS55" s="102"/>
      <c r="IT55" s="66">
        <f t="shared" si="288"/>
        <v>1</v>
      </c>
      <c r="IU55" s="66">
        <f t="shared" si="288"/>
        <v>89</v>
      </c>
      <c r="IV55" s="83"/>
      <c r="IW55" s="102"/>
      <c r="IX55" s="66">
        <f t="shared" si="289"/>
        <v>0</v>
      </c>
      <c r="IY55" s="66">
        <f t="shared" si="289"/>
        <v>0</v>
      </c>
      <c r="IZ55" s="83"/>
      <c r="JA55" s="102"/>
      <c r="JB55" s="66">
        <f>AN55</f>
        <v>0</v>
      </c>
      <c r="JC55" s="66">
        <f>BB55</f>
        <v>0</v>
      </c>
      <c r="JD55" s="83"/>
      <c r="JE55" s="102"/>
      <c r="JF55" s="66">
        <f t="shared" si="153"/>
        <v>1</v>
      </c>
      <c r="JG55" s="66">
        <f t="shared" si="73"/>
        <v>89</v>
      </c>
      <c r="JH55" s="83"/>
      <c r="JI55" s="102"/>
      <c r="JJ55" s="66">
        <f t="shared" si="290"/>
        <v>0</v>
      </c>
      <c r="JK55" s="66">
        <f t="shared" si="290"/>
        <v>0</v>
      </c>
      <c r="JM55" s="102">
        <f t="shared" si="154"/>
        <v>0</v>
      </c>
      <c r="JO55" s="29">
        <f t="shared" si="76"/>
        <v>1</v>
      </c>
      <c r="JP55" s="122">
        <f>BN55+CR55</f>
        <v>78</v>
      </c>
      <c r="JQ55" s="122">
        <f t="shared" si="291"/>
        <v>1</v>
      </c>
      <c r="JR55" s="122">
        <f t="shared" si="291"/>
        <v>0</v>
      </c>
      <c r="JS55" s="122">
        <f t="shared" si="291"/>
        <v>0</v>
      </c>
      <c r="JT55" s="122">
        <f t="shared" si="291"/>
        <v>0</v>
      </c>
      <c r="JU55" s="122">
        <f t="shared" si="291"/>
        <v>0</v>
      </c>
      <c r="JV55" s="122">
        <f t="shared" si="291"/>
        <v>0</v>
      </c>
      <c r="JW55" s="122">
        <f t="shared" si="291"/>
        <v>0</v>
      </c>
      <c r="JX55" s="122">
        <f t="shared" si="291"/>
        <v>0</v>
      </c>
      <c r="JY55" s="122">
        <f t="shared" si="291"/>
        <v>0</v>
      </c>
      <c r="JZ55" s="122">
        <f t="shared" si="291"/>
        <v>0</v>
      </c>
      <c r="KA55" s="122">
        <f t="shared" si="291"/>
        <v>0</v>
      </c>
      <c r="KB55" s="122">
        <f t="shared" si="291"/>
        <v>0</v>
      </c>
      <c r="KD55" s="122">
        <f t="shared" si="155"/>
        <v>0</v>
      </c>
      <c r="KE55" s="122">
        <f t="shared" si="91"/>
        <v>0</v>
      </c>
      <c r="KF55" s="122">
        <f t="shared" si="292"/>
        <v>78</v>
      </c>
      <c r="KG55" s="122">
        <f t="shared" si="292"/>
        <v>78</v>
      </c>
      <c r="KH55" s="122">
        <f t="shared" si="292"/>
        <v>0</v>
      </c>
      <c r="KI55" s="122">
        <f t="shared" si="292"/>
        <v>0</v>
      </c>
      <c r="KJ55" s="122">
        <f t="shared" si="292"/>
        <v>0</v>
      </c>
      <c r="KK55" s="122">
        <f t="shared" si="292"/>
        <v>0</v>
      </c>
      <c r="KL55" s="122">
        <f t="shared" si="292"/>
        <v>0</v>
      </c>
      <c r="KM55" s="122">
        <f t="shared" si="292"/>
        <v>0</v>
      </c>
      <c r="KN55" s="123">
        <f t="shared" si="292"/>
        <v>0</v>
      </c>
      <c r="KO55" s="123">
        <f t="shared" si="292"/>
        <v>0</v>
      </c>
      <c r="KP55" s="123">
        <f t="shared" si="292"/>
        <v>0</v>
      </c>
      <c r="KQ55" s="123">
        <f t="shared" si="292"/>
        <v>0</v>
      </c>
      <c r="KR55" s="123">
        <f t="shared" si="292"/>
        <v>0</v>
      </c>
      <c r="KT55">
        <f>AN55</f>
        <v>0</v>
      </c>
      <c r="KU55" s="123"/>
      <c r="KV55" s="123"/>
      <c r="KW55" s="123"/>
      <c r="KX55" s="123"/>
      <c r="KY55" s="123"/>
      <c r="KZ55" s="123"/>
      <c r="LA55" s="123"/>
      <c r="LB55" s="123"/>
      <c r="LC55" s="123"/>
      <c r="LD55" s="123"/>
      <c r="LE55" s="123"/>
      <c r="LF55" s="123"/>
      <c r="LG55" s="123"/>
      <c r="LH55" s="123"/>
      <c r="LI55" s="123"/>
      <c r="LJ55" s="123"/>
      <c r="LK55" s="123"/>
      <c r="LL55" s="123"/>
      <c r="LM55" s="123"/>
      <c r="LN55" s="123"/>
      <c r="LO55" s="123"/>
      <c r="LP55" s="123"/>
      <c r="LQ55" s="123"/>
      <c r="LR55" s="123"/>
      <c r="LS55" s="123"/>
      <c r="LT55" s="123"/>
      <c r="LU55" s="123"/>
      <c r="LV55" s="123"/>
      <c r="LW55" s="123"/>
      <c r="LX55" s="123"/>
      <c r="LY55" s="123"/>
      <c r="LZ55" s="123"/>
      <c r="MA55" s="123"/>
      <c r="MB55" s="123"/>
      <c r="MC55" s="123"/>
      <c r="MD55" s="123"/>
      <c r="ME55" s="123"/>
      <c r="MF55" s="123"/>
      <c r="MG55" s="123"/>
      <c r="MH55" s="123"/>
      <c r="MI55" s="123"/>
      <c r="MJ55" s="123"/>
      <c r="MK55" s="123"/>
      <c r="ML55" s="123"/>
      <c r="MM55" s="123"/>
      <c r="MN55" s="123"/>
      <c r="MO55" s="123"/>
      <c r="MP55" s="123"/>
      <c r="MQ55" s="123"/>
      <c r="MR55" s="123"/>
      <c r="MS55" s="123"/>
      <c r="MT55" s="123"/>
      <c r="MU55" s="123"/>
      <c r="MV55" s="123"/>
      <c r="MW55" s="123"/>
      <c r="MX55" s="123"/>
      <c r="MY55" s="123"/>
      <c r="MZ55" s="123"/>
      <c r="NA55" s="123"/>
      <c r="NB55" s="123"/>
      <c r="NC55" s="123"/>
      <c r="ND55" s="123"/>
      <c r="NE55" s="123"/>
      <c r="NF55" s="123"/>
      <c r="NG55" s="123"/>
      <c r="NH55" s="123"/>
      <c r="NI55" s="123"/>
      <c r="NJ55" s="123"/>
      <c r="NK55" s="123"/>
      <c r="NM55">
        <f t="shared" si="156"/>
        <v>0</v>
      </c>
      <c r="NN55">
        <f t="shared" si="157"/>
        <v>0</v>
      </c>
      <c r="NO55">
        <f t="shared" si="158"/>
        <v>0</v>
      </c>
      <c r="NP55">
        <f t="shared" si="159"/>
        <v>0</v>
      </c>
      <c r="NQ55">
        <f t="shared" si="160"/>
        <v>0</v>
      </c>
      <c r="NR55">
        <f t="shared" si="161"/>
        <v>0</v>
      </c>
      <c r="NS55">
        <f t="shared" si="162"/>
        <v>0</v>
      </c>
      <c r="NT55">
        <f t="shared" si="163"/>
        <v>0</v>
      </c>
      <c r="NU55" s="29">
        <f t="shared" si="164"/>
        <v>0</v>
      </c>
      <c r="NY55" s="29">
        <f t="shared" si="107"/>
        <v>1</v>
      </c>
      <c r="NZ55" s="152">
        <v>7275000</v>
      </c>
      <c r="OE55" s="155">
        <f t="shared" si="194"/>
        <v>0</v>
      </c>
      <c r="OF55" s="155">
        <f t="shared" si="195"/>
        <v>0</v>
      </c>
      <c r="OG55" s="155">
        <f t="shared" si="196"/>
        <v>0</v>
      </c>
      <c r="OH55" s="155">
        <f t="shared" si="165"/>
        <v>0</v>
      </c>
      <c r="OI55" s="155">
        <f t="shared" si="197"/>
        <v>0</v>
      </c>
      <c r="OJ55" s="67">
        <f t="shared" si="166"/>
        <v>0</v>
      </c>
      <c r="OK55" s="67">
        <f t="shared" si="167"/>
        <v>0</v>
      </c>
      <c r="OL55" s="67">
        <f t="shared" si="168"/>
        <v>0</v>
      </c>
      <c r="OM55" s="67">
        <f t="shared" si="169"/>
        <v>0</v>
      </c>
      <c r="OO55" s="155">
        <f t="shared" si="198"/>
        <v>0</v>
      </c>
      <c r="OP55" s="155">
        <f t="shared" si="199"/>
        <v>0</v>
      </c>
      <c r="OQ55" s="155">
        <f t="shared" si="170"/>
        <v>0</v>
      </c>
      <c r="OR55" s="155">
        <f t="shared" si="171"/>
        <v>0</v>
      </c>
      <c r="OS55" s="155">
        <f t="shared" si="172"/>
        <v>0</v>
      </c>
      <c r="OT55" s="67">
        <f t="shared" si="173"/>
        <v>0</v>
      </c>
      <c r="OU55" s="67">
        <f t="shared" si="174"/>
        <v>0</v>
      </c>
      <c r="OV55" s="67">
        <f t="shared" si="175"/>
        <v>0</v>
      </c>
      <c r="OW55" s="67">
        <f t="shared" si="176"/>
        <v>0</v>
      </c>
      <c r="OZ55" s="163">
        <f t="shared" si="200"/>
        <v>0</v>
      </c>
      <c r="PA55" s="166"/>
      <c r="PB55" s="166"/>
      <c r="PC55" s="166"/>
      <c r="PD55" s="210">
        <f t="shared" si="115"/>
        <v>0</v>
      </c>
      <c r="PE55" s="210"/>
      <c r="PF55" s="210">
        <f t="shared" si="116"/>
        <v>0</v>
      </c>
      <c r="PG55" s="210">
        <f t="shared" si="286"/>
        <v>0</v>
      </c>
      <c r="PH55" s="210">
        <f t="shared" si="286"/>
        <v>0</v>
      </c>
      <c r="PI55" s="210">
        <f t="shared" si="286"/>
        <v>0</v>
      </c>
      <c r="PJ55" s="210">
        <f t="shared" si="286"/>
        <v>0</v>
      </c>
      <c r="PK55" s="210">
        <f t="shared" si="286"/>
        <v>0</v>
      </c>
      <c r="PL55" s="210">
        <f t="shared" si="286"/>
        <v>0</v>
      </c>
      <c r="PO55" s="172">
        <f t="shared" si="177"/>
        <v>0</v>
      </c>
      <c r="PP55" s="172">
        <f t="shared" si="178"/>
        <v>0</v>
      </c>
      <c r="PQ55" s="172">
        <f t="shared" si="179"/>
        <v>0</v>
      </c>
    </row>
    <row r="56" spans="1:433" ht="16" x14ac:dyDescent="0.2">
      <c r="A56" s="19"/>
      <c r="B56" s="186"/>
      <c r="C56" s="186"/>
      <c r="D56" s="188"/>
      <c r="E56" s="188"/>
      <c r="F56" s="188"/>
      <c r="G56" s="188"/>
      <c r="H56" s="214"/>
      <c r="I56" s="214"/>
      <c r="J56" s="188"/>
      <c r="K56" s="188"/>
      <c r="L56" s="214"/>
      <c r="M56" s="214"/>
      <c r="N56" s="188"/>
      <c r="O56" s="188"/>
      <c r="P56" s="214"/>
      <c r="Q56" s="214"/>
      <c r="R56" s="188"/>
      <c r="S56" s="188"/>
      <c r="T56" s="214"/>
      <c r="U56" s="214"/>
      <c r="V56" s="188"/>
      <c r="W56" s="188"/>
      <c r="X56" s="214"/>
      <c r="Y56" s="214"/>
      <c r="Z56" s="215"/>
      <c r="AA56" s="188"/>
      <c r="AB56" s="189"/>
      <c r="AC56" s="250"/>
      <c r="AD56" s="250"/>
      <c r="AE56" s="188"/>
      <c r="AF56" s="188"/>
      <c r="AG56" s="188"/>
      <c r="AH56" s="188"/>
      <c r="AI56" s="188"/>
      <c r="AJ56" s="188"/>
      <c r="AK56" s="188"/>
      <c r="AL56" s="188"/>
      <c r="AM56" s="188"/>
      <c r="AN56" s="217"/>
      <c r="AO56" s="195"/>
      <c r="AP56" s="195"/>
      <c r="AQ56" s="195"/>
      <c r="AR56" s="195"/>
      <c r="AS56" s="195"/>
      <c r="AT56" s="195"/>
      <c r="BB56" s="17"/>
      <c r="BE56" s="17"/>
      <c r="BF56" s="17"/>
      <c r="BG56" s="17"/>
      <c r="BH56" s="17"/>
      <c r="BI56" s="17"/>
      <c r="BJ56" s="17"/>
      <c r="BK56" s="17"/>
      <c r="BM56" s="128"/>
      <c r="BN56" s="289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B56" s="20"/>
      <c r="CD56" s="17"/>
      <c r="CE56" s="17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DV56" s="20"/>
      <c r="DW56" s="20"/>
      <c r="DX56" s="20"/>
      <c r="DY56" s="20"/>
      <c r="DZ56" s="20"/>
      <c r="EA56" s="20"/>
      <c r="EB56" s="20"/>
      <c r="EG56" s="57"/>
      <c r="EH56" s="5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X56" s="169"/>
      <c r="FY56" s="17"/>
      <c r="FZ56" s="17"/>
      <c r="GA56" s="17"/>
      <c r="GB56" s="17"/>
      <c r="GC56" s="17"/>
      <c r="GD56" s="17"/>
      <c r="GE56" s="17"/>
      <c r="GF56" s="67"/>
      <c r="GG56" s="17"/>
      <c r="GH56" s="17"/>
      <c r="GI56" s="67"/>
      <c r="GJ56" s="62"/>
      <c r="GK56" s="62"/>
      <c r="GO56" s="17"/>
      <c r="GP56" s="17"/>
      <c r="GQ56" s="17"/>
      <c r="GR56" s="17"/>
      <c r="GS56" s="17"/>
      <c r="GT56" s="17"/>
      <c r="GU56" s="101"/>
      <c r="GV56" s="17"/>
      <c r="GW56" s="17"/>
      <c r="GX56" s="66"/>
      <c r="GY56" s="66"/>
      <c r="GZ56" s="102"/>
      <c r="HA56" s="83"/>
      <c r="HB56" s="83"/>
      <c r="HC56" s="17"/>
      <c r="HD56" s="17"/>
      <c r="HE56" s="17"/>
      <c r="HF56" s="17"/>
      <c r="HG56" s="17"/>
      <c r="HH56" s="101"/>
      <c r="HI56" s="101"/>
      <c r="HJ56" s="27"/>
      <c r="HK56" s="101"/>
      <c r="HL56" s="83"/>
      <c r="HM56" s="83"/>
      <c r="HN56" s="83"/>
      <c r="HO56" s="83"/>
      <c r="HP56" s="102"/>
      <c r="HQ56" s="66"/>
      <c r="HR56" s="66"/>
      <c r="HS56" s="102"/>
      <c r="HT56" s="66"/>
      <c r="HU56" s="66"/>
      <c r="HV56" s="102"/>
      <c r="HW56" s="66"/>
      <c r="HX56" s="66"/>
      <c r="HY56" s="102"/>
      <c r="HZ56" s="66"/>
      <c r="IA56" s="66"/>
      <c r="IB56" s="102"/>
      <c r="IC56" s="66"/>
      <c r="ID56" s="66"/>
      <c r="IE56" s="102"/>
      <c r="IF56" s="66"/>
      <c r="IG56" s="66"/>
      <c r="IH56" s="102"/>
      <c r="II56" s="66"/>
      <c r="IJ56" s="66"/>
      <c r="IK56" s="102"/>
      <c r="IL56" s="66"/>
      <c r="IM56" s="66"/>
      <c r="IN56" s="83"/>
      <c r="IO56" s="102"/>
      <c r="IP56" s="66"/>
      <c r="IQ56" s="66"/>
      <c r="IR56" s="83"/>
      <c r="IS56" s="102"/>
      <c r="IT56" s="66"/>
      <c r="IU56" s="66"/>
      <c r="IV56" s="83"/>
      <c r="IW56" s="102"/>
      <c r="IX56" s="66"/>
      <c r="IY56" s="66"/>
      <c r="IZ56" s="83"/>
      <c r="JA56" s="102"/>
      <c r="JB56" s="66"/>
      <c r="JC56" s="66"/>
      <c r="JD56" s="83"/>
      <c r="JE56" s="102"/>
      <c r="JF56" s="66"/>
      <c r="JG56" s="66"/>
      <c r="JH56" s="83"/>
      <c r="JI56" s="102"/>
      <c r="JJ56" s="66"/>
      <c r="JK56" s="66"/>
      <c r="JM56" s="102"/>
      <c r="JO56" s="29"/>
      <c r="JP56" s="122"/>
      <c r="JQ56" s="122"/>
      <c r="JR56" s="122"/>
      <c r="JS56" s="122"/>
      <c r="JT56" s="122"/>
      <c r="JU56" s="122"/>
      <c r="JV56" s="122"/>
      <c r="JW56" s="122"/>
      <c r="JX56" s="122"/>
      <c r="JY56" s="122"/>
      <c r="JZ56" s="122"/>
      <c r="KA56" s="122"/>
      <c r="KB56" s="122"/>
      <c r="KD56" s="122">
        <f t="shared" si="155"/>
        <v>0</v>
      </c>
      <c r="KE56" s="122">
        <f t="shared" si="91"/>
        <v>0</v>
      </c>
      <c r="KF56" s="122"/>
      <c r="KG56" s="122"/>
      <c r="KH56" s="122"/>
      <c r="KI56" s="122"/>
      <c r="KJ56" s="122"/>
      <c r="KK56" s="122"/>
      <c r="KL56" s="122"/>
      <c r="KM56" s="122"/>
      <c r="KN56" s="123"/>
      <c r="KO56" s="123"/>
      <c r="KP56" s="123"/>
      <c r="KQ56" s="123"/>
      <c r="KR56" s="123"/>
      <c r="KU56" s="123"/>
      <c r="KV56" s="123"/>
      <c r="KW56" s="123"/>
      <c r="KX56" s="123"/>
      <c r="KY56" s="123"/>
      <c r="KZ56" s="123"/>
      <c r="LA56" s="123"/>
      <c r="LB56" s="123"/>
      <c r="LC56" s="123"/>
      <c r="LD56" s="123"/>
      <c r="LE56" s="123"/>
      <c r="LF56" s="123"/>
      <c r="LG56" s="123"/>
      <c r="LH56" s="123"/>
      <c r="LI56" s="123"/>
      <c r="LJ56" s="123"/>
      <c r="LK56" s="123"/>
      <c r="LL56" s="123"/>
      <c r="LM56" s="123"/>
      <c r="LN56" s="123"/>
      <c r="LO56" s="123"/>
      <c r="LP56" s="123"/>
      <c r="LQ56" s="123"/>
      <c r="LR56" s="123"/>
      <c r="LS56" s="123"/>
      <c r="LT56" s="123"/>
      <c r="LU56" s="123"/>
      <c r="LV56" s="123"/>
      <c r="LW56" s="123"/>
      <c r="LX56" s="123"/>
      <c r="LY56" s="123"/>
      <c r="LZ56" s="123"/>
      <c r="MA56" s="123"/>
      <c r="MB56" s="123"/>
      <c r="MC56" s="123"/>
      <c r="MD56" s="123"/>
      <c r="ME56" s="123"/>
      <c r="MF56" s="123"/>
      <c r="MG56" s="123"/>
      <c r="MH56" s="123"/>
      <c r="MI56" s="123"/>
      <c r="MJ56" s="123"/>
      <c r="MK56" s="123"/>
      <c r="ML56" s="123"/>
      <c r="MM56" s="123"/>
      <c r="MN56" s="123"/>
      <c r="MO56" s="123"/>
      <c r="MP56" s="123"/>
      <c r="MQ56" s="123"/>
      <c r="MR56" s="123"/>
      <c r="MS56" s="123"/>
      <c r="MT56" s="123"/>
      <c r="MU56" s="123"/>
      <c r="MV56" s="123"/>
      <c r="MW56" s="123"/>
      <c r="MX56" s="123"/>
      <c r="MY56" s="123"/>
      <c r="MZ56" s="123"/>
      <c r="NA56" s="123"/>
      <c r="NB56" s="123"/>
      <c r="NC56" s="123"/>
      <c r="ND56" s="123"/>
      <c r="NE56" s="123"/>
      <c r="NF56" s="123"/>
      <c r="NG56" s="123"/>
      <c r="NH56" s="123"/>
      <c r="NI56" s="123"/>
      <c r="NJ56" s="123"/>
      <c r="NK56" s="123"/>
      <c r="NU56" s="29"/>
      <c r="NY56" s="29"/>
      <c r="NZ56" s="152"/>
      <c r="OE56" s="155">
        <f t="shared" si="194"/>
        <v>0</v>
      </c>
      <c r="OF56" s="155">
        <f t="shared" si="195"/>
        <v>0</v>
      </c>
      <c r="OG56" s="155">
        <f t="shared" si="196"/>
        <v>0</v>
      </c>
      <c r="OH56" s="155">
        <f t="shared" si="165"/>
        <v>0</v>
      </c>
      <c r="OI56" s="155">
        <f t="shared" si="197"/>
        <v>0</v>
      </c>
      <c r="OJ56" s="67">
        <f t="shared" si="166"/>
        <v>0</v>
      </c>
      <c r="OK56" s="67">
        <f t="shared" si="167"/>
        <v>0</v>
      </c>
      <c r="OL56" s="67">
        <f t="shared" si="168"/>
        <v>0</v>
      </c>
      <c r="OM56" s="67">
        <f t="shared" si="169"/>
        <v>0</v>
      </c>
      <c r="OO56" s="155">
        <f t="shared" si="198"/>
        <v>0</v>
      </c>
      <c r="OP56" s="155">
        <f t="shared" si="199"/>
        <v>0</v>
      </c>
      <c r="OQ56" s="155">
        <f t="shared" si="170"/>
        <v>0</v>
      </c>
      <c r="OR56" s="155">
        <f t="shared" si="171"/>
        <v>0</v>
      </c>
      <c r="OS56" s="155">
        <f t="shared" si="172"/>
        <v>0</v>
      </c>
      <c r="OT56" s="67">
        <f t="shared" si="173"/>
        <v>0</v>
      </c>
      <c r="OU56" s="67">
        <f t="shared" si="174"/>
        <v>0</v>
      </c>
      <c r="OV56" s="67">
        <f t="shared" si="175"/>
        <v>0</v>
      </c>
      <c r="OW56" s="67">
        <f t="shared" si="176"/>
        <v>0</v>
      </c>
      <c r="OZ56" s="163">
        <f t="shared" si="200"/>
        <v>0</v>
      </c>
      <c r="PA56" s="166"/>
      <c r="PB56" s="166"/>
      <c r="PC56" s="166"/>
      <c r="PD56" s="210">
        <f t="shared" si="115"/>
        <v>0</v>
      </c>
      <c r="PE56" s="210"/>
      <c r="PF56" s="210">
        <f t="shared" si="116"/>
        <v>0</v>
      </c>
      <c r="PG56" s="210">
        <f t="shared" si="286"/>
        <v>0</v>
      </c>
      <c r="PH56" s="210">
        <f t="shared" si="286"/>
        <v>0</v>
      </c>
      <c r="PI56" s="210">
        <f t="shared" si="286"/>
        <v>0</v>
      </c>
      <c r="PJ56" s="210">
        <f t="shared" si="286"/>
        <v>0</v>
      </c>
      <c r="PK56" s="210">
        <f t="shared" si="286"/>
        <v>0</v>
      </c>
      <c r="PL56" s="210">
        <f t="shared" si="286"/>
        <v>0</v>
      </c>
      <c r="PO56" s="172">
        <f t="shared" si="177"/>
        <v>0</v>
      </c>
      <c r="PP56" s="172">
        <f t="shared" si="178"/>
        <v>0</v>
      </c>
      <c r="PQ56" s="172">
        <f t="shared" si="179"/>
        <v>0</v>
      </c>
    </row>
    <row r="57" spans="1:433" ht="16" x14ac:dyDescent="0.2">
      <c r="A57" s="19">
        <f>A55+1</f>
        <v>46</v>
      </c>
      <c r="B57" s="186" t="s">
        <v>144</v>
      </c>
      <c r="C57" s="186">
        <v>51</v>
      </c>
      <c r="D57" s="188">
        <v>1</v>
      </c>
      <c r="E57" s="188">
        <v>107</v>
      </c>
      <c r="F57" s="188">
        <v>1</v>
      </c>
      <c r="G57" s="188">
        <f>E57</f>
        <v>107</v>
      </c>
      <c r="H57" s="214">
        <f t="shared" si="202"/>
        <v>1</v>
      </c>
      <c r="I57" s="214">
        <f t="shared" si="203"/>
        <v>1</v>
      </c>
      <c r="J57" s="188">
        <v>1</v>
      </c>
      <c r="K57" s="188">
        <f t="shared" si="204"/>
        <v>107</v>
      </c>
      <c r="L57" s="214">
        <f t="shared" si="205"/>
        <v>1</v>
      </c>
      <c r="M57" s="214">
        <f t="shared" si="206"/>
        <v>1</v>
      </c>
      <c r="N57" s="188">
        <v>1</v>
      </c>
      <c r="O57" s="188">
        <f t="shared" si="207"/>
        <v>107</v>
      </c>
      <c r="P57" s="214">
        <f t="shared" si="208"/>
        <v>1</v>
      </c>
      <c r="Q57" s="214">
        <f t="shared" si="209"/>
        <v>1</v>
      </c>
      <c r="R57" s="188">
        <v>1</v>
      </c>
      <c r="S57" s="188">
        <f t="shared" si="210"/>
        <v>107</v>
      </c>
      <c r="T57" s="214">
        <f t="shared" si="211"/>
        <v>1</v>
      </c>
      <c r="U57" s="214">
        <f t="shared" si="212"/>
        <v>1</v>
      </c>
      <c r="V57" s="188">
        <v>1</v>
      </c>
      <c r="W57" s="188">
        <f t="shared" si="213"/>
        <v>107</v>
      </c>
      <c r="X57" s="214">
        <f t="shared" si="214"/>
        <v>1</v>
      </c>
      <c r="Y57" s="214">
        <f t="shared" si="215"/>
        <v>1</v>
      </c>
      <c r="Z57" s="216">
        <f>1879886000/1000000000</f>
        <v>1.8798859999999999</v>
      </c>
      <c r="AA57" s="188">
        <v>0</v>
      </c>
      <c r="AB57" s="189">
        <f t="shared" si="118"/>
        <v>0</v>
      </c>
      <c r="AC57" s="250">
        <f t="shared" si="119"/>
        <v>0</v>
      </c>
      <c r="AD57" s="250">
        <f t="shared" si="120"/>
        <v>0</v>
      </c>
      <c r="AE57" s="188"/>
      <c r="AF57" s="188">
        <f t="shared" si="121"/>
        <v>0</v>
      </c>
      <c r="AG57" s="188"/>
      <c r="AH57" s="188"/>
      <c r="AI57" s="188">
        <v>0</v>
      </c>
      <c r="AJ57" s="188">
        <f t="shared" si="181"/>
        <v>0</v>
      </c>
      <c r="AK57" s="188"/>
      <c r="AL57" s="188">
        <v>0</v>
      </c>
      <c r="AM57" s="188">
        <v>0</v>
      </c>
      <c r="AN57" s="217"/>
      <c r="AO57" s="195"/>
      <c r="AP57" s="195"/>
      <c r="AQ57" s="195"/>
      <c r="AR57" s="195"/>
      <c r="AS57" s="195"/>
      <c r="AT57" s="195"/>
      <c r="BB57" s="17">
        <f t="shared" si="123"/>
        <v>0</v>
      </c>
      <c r="BE57" s="17">
        <f t="shared" si="216"/>
        <v>0</v>
      </c>
      <c r="BF57" s="17">
        <f t="shared" si="217"/>
        <v>0</v>
      </c>
      <c r="BG57" s="17">
        <f t="shared" si="218"/>
        <v>0</v>
      </c>
      <c r="BH57" s="17">
        <f t="shared" si="219"/>
        <v>0</v>
      </c>
      <c r="BI57" s="17">
        <f t="shared" si="220"/>
        <v>0</v>
      </c>
      <c r="BJ57" s="17">
        <f t="shared" si="221"/>
        <v>0</v>
      </c>
      <c r="BK57" s="17">
        <f t="shared" si="124"/>
        <v>0</v>
      </c>
      <c r="BM57" s="128"/>
      <c r="BN57" s="147"/>
      <c r="BO57" s="288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B57" s="20"/>
      <c r="CD57" s="17">
        <f t="shared" si="125"/>
        <v>0</v>
      </c>
      <c r="CE57" s="17">
        <f t="shared" si="126"/>
        <v>0</v>
      </c>
      <c r="CF57" s="20">
        <f t="shared" si="182"/>
        <v>0</v>
      </c>
      <c r="CG57" s="20">
        <f t="shared" si="183"/>
        <v>0</v>
      </c>
      <c r="CH57" s="20">
        <f t="shared" si="184"/>
        <v>0</v>
      </c>
      <c r="CI57" s="20">
        <f t="shared" si="185"/>
        <v>0</v>
      </c>
      <c r="CJ57" s="20">
        <f t="shared" si="186"/>
        <v>0</v>
      </c>
      <c r="CK57" s="20">
        <f t="shared" si="187"/>
        <v>0</v>
      </c>
      <c r="CL57" s="20">
        <f t="shared" si="188"/>
        <v>0</v>
      </c>
      <c r="CM57" s="20">
        <f t="shared" si="189"/>
        <v>0</v>
      </c>
      <c r="CN57" s="20">
        <f t="shared" si="190"/>
        <v>0</v>
      </c>
      <c r="CO57" s="20">
        <f t="shared" si="191"/>
        <v>0</v>
      </c>
      <c r="CP57" s="20">
        <f t="shared" si="192"/>
        <v>0</v>
      </c>
      <c r="DV57" s="20">
        <f t="shared" si="222"/>
        <v>0</v>
      </c>
      <c r="DW57" s="20">
        <f t="shared" si="223"/>
        <v>0</v>
      </c>
      <c r="DX57" s="20">
        <f t="shared" si="224"/>
        <v>0</v>
      </c>
      <c r="DY57" s="20">
        <f t="shared" si="225"/>
        <v>0</v>
      </c>
      <c r="DZ57" s="20">
        <f t="shared" si="226"/>
        <v>0</v>
      </c>
      <c r="EA57" s="20">
        <f t="shared" si="227"/>
        <v>0</v>
      </c>
      <c r="EB57" s="20">
        <f t="shared" si="127"/>
        <v>0</v>
      </c>
      <c r="EG57" s="57">
        <f t="shared" si="128"/>
        <v>0</v>
      </c>
      <c r="EH57" s="57">
        <f t="shared" si="129"/>
        <v>0</v>
      </c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X57" s="169"/>
      <c r="FY57" s="17">
        <f t="shared" si="130"/>
        <v>0</v>
      </c>
      <c r="FZ57" s="17">
        <f t="shared" ref="FZ57:GB59" si="293">DI57+CE57</f>
        <v>0</v>
      </c>
      <c r="GA57" s="17">
        <f t="shared" si="293"/>
        <v>0</v>
      </c>
      <c r="GB57" s="17">
        <f t="shared" si="293"/>
        <v>0</v>
      </c>
      <c r="GC57" s="17">
        <f>DM57+CI57</f>
        <v>0</v>
      </c>
      <c r="GD57" s="17">
        <f>DO57+CK57</f>
        <v>0</v>
      </c>
      <c r="GE57" s="17">
        <f>DT57+CP57</f>
        <v>0</v>
      </c>
      <c r="GF57" s="67"/>
      <c r="GG57" s="17">
        <v>0</v>
      </c>
      <c r="GH57" s="17">
        <v>0</v>
      </c>
      <c r="GI57" s="67"/>
      <c r="GJ57" s="62">
        <f t="shared" si="131"/>
        <v>0</v>
      </c>
      <c r="GK57" s="62">
        <f t="shared" si="132"/>
        <v>0</v>
      </c>
      <c r="GO57" s="17">
        <f>D57-F57</f>
        <v>0</v>
      </c>
      <c r="GP57" s="17">
        <f>D57-J57</f>
        <v>0</v>
      </c>
      <c r="GQ57" s="17">
        <f>D57-N57</f>
        <v>0</v>
      </c>
      <c r="GR57" s="17">
        <f>D57-R57</f>
        <v>0</v>
      </c>
      <c r="GS57" s="17">
        <f>D57-V57</f>
        <v>0</v>
      </c>
      <c r="GT57" s="17">
        <f t="shared" si="133"/>
        <v>1</v>
      </c>
      <c r="GU57" s="101">
        <f t="shared" si="134"/>
        <v>43243</v>
      </c>
      <c r="GV57" s="17" t="str">
        <f t="shared" si="135"/>
        <v>SELESAI</v>
      </c>
      <c r="GW57" s="17">
        <f t="shared" si="136"/>
        <v>0</v>
      </c>
      <c r="GX57" s="66" t="str">
        <f t="shared" si="137"/>
        <v>SELESAI</v>
      </c>
      <c r="GY57" s="66">
        <f t="shared" si="138"/>
        <v>0</v>
      </c>
      <c r="GZ57" s="102" t="str">
        <f t="shared" si="139"/>
        <v>SELESAI</v>
      </c>
      <c r="HA57" s="83"/>
      <c r="HB57" s="83"/>
      <c r="HC57" s="17">
        <f>IF(BH57&gt;0,1,IF(BI57&gt;0,1,0))</f>
        <v>0</v>
      </c>
      <c r="HD57" s="17">
        <f>IF(CB57&gt;0,1,0)</f>
        <v>0</v>
      </c>
      <c r="HE57" s="17">
        <f t="shared" si="140"/>
        <v>0</v>
      </c>
      <c r="HF57" s="17">
        <f t="shared" si="141"/>
        <v>0</v>
      </c>
      <c r="HG57" s="17">
        <f t="shared" si="142"/>
        <v>0</v>
      </c>
      <c r="HH57" s="101" t="str">
        <f t="shared" si="47"/>
        <v>TIDAK KONSINYASI</v>
      </c>
      <c r="HI57" s="101" t="str">
        <f t="shared" si="143"/>
        <v>SELESAI</v>
      </c>
      <c r="HJ57" s="27"/>
      <c r="HK57" s="101">
        <f t="shared" si="48"/>
        <v>0</v>
      </c>
      <c r="HL57" s="83"/>
      <c r="HM57" s="83"/>
      <c r="HN57" s="83"/>
      <c r="HO57" s="83"/>
      <c r="HP57" s="102">
        <f t="shared" si="144"/>
        <v>0</v>
      </c>
      <c r="HQ57" s="66">
        <f t="shared" si="145"/>
        <v>0</v>
      </c>
      <c r="HR57" s="66">
        <f>IF(HQ57=1,E57,0)</f>
        <v>0</v>
      </c>
      <c r="HS57" s="102">
        <f t="shared" si="146"/>
        <v>0</v>
      </c>
      <c r="HT57" s="66">
        <f t="shared" si="147"/>
        <v>0</v>
      </c>
      <c r="HU57" s="66">
        <f>IF(HT57=1,E57,0)</f>
        <v>0</v>
      </c>
      <c r="HV57" s="102">
        <f t="shared" si="148"/>
        <v>0</v>
      </c>
      <c r="HW57" s="66">
        <f t="shared" si="51"/>
        <v>0</v>
      </c>
      <c r="HX57" s="66">
        <f>IF(HW57=1,E57,0)</f>
        <v>0</v>
      </c>
      <c r="HY57" s="102">
        <f t="shared" si="53"/>
        <v>0</v>
      </c>
      <c r="HZ57" s="66">
        <f t="shared" si="149"/>
        <v>0</v>
      </c>
      <c r="IA57" s="66">
        <f>IF(HZ57=1,E57,0)</f>
        <v>0</v>
      </c>
      <c r="IB57" s="102">
        <f t="shared" si="150"/>
        <v>0</v>
      </c>
      <c r="IC57" s="66">
        <f t="shared" si="55"/>
        <v>0</v>
      </c>
      <c r="ID57" s="66">
        <f>IF(IC57=1,E57,0)</f>
        <v>0</v>
      </c>
      <c r="IE57" s="102">
        <f t="shared" si="57"/>
        <v>0</v>
      </c>
      <c r="IF57" s="66">
        <f t="shared" si="58"/>
        <v>0</v>
      </c>
      <c r="IG57" s="66">
        <f>IF(IF57=1,E57,0)</f>
        <v>0</v>
      </c>
      <c r="IH57" s="102">
        <f t="shared" si="151"/>
        <v>0</v>
      </c>
      <c r="II57" s="66">
        <f t="shared" si="152"/>
        <v>0</v>
      </c>
      <c r="IJ57" s="66">
        <f>IF(II57=1,E57,0)</f>
        <v>0</v>
      </c>
      <c r="IK57" s="102">
        <f t="shared" si="61"/>
        <v>0</v>
      </c>
      <c r="IL57" s="66">
        <f t="shared" si="62"/>
        <v>0</v>
      </c>
      <c r="IM57" s="66">
        <f>IF(IL57=1,E57,0)</f>
        <v>0</v>
      </c>
      <c r="IN57" s="83"/>
      <c r="IO57" s="102">
        <f t="shared" si="64"/>
        <v>0</v>
      </c>
      <c r="IP57" s="66">
        <f>IF(BG57&gt;0,1,0)</f>
        <v>0</v>
      </c>
      <c r="IQ57" s="66">
        <f>IF(IP57=1,E57,0)</f>
        <v>0</v>
      </c>
      <c r="IR57" s="83"/>
      <c r="IS57" s="102"/>
      <c r="IT57" s="66">
        <f t="shared" ref="IT57:IU59" si="294">V57</f>
        <v>1</v>
      </c>
      <c r="IU57" s="66">
        <f t="shared" si="294"/>
        <v>107</v>
      </c>
      <c r="IV57" s="83"/>
      <c r="IW57" s="102"/>
      <c r="IX57" s="66">
        <f t="shared" ref="IX57:IY59" si="295">AA57</f>
        <v>0</v>
      </c>
      <c r="IY57" s="66">
        <f t="shared" si="295"/>
        <v>0</v>
      </c>
      <c r="IZ57" s="83"/>
      <c r="JA57" s="102"/>
      <c r="JB57" s="66">
        <f>AN57</f>
        <v>0</v>
      </c>
      <c r="JC57" s="66">
        <f>BB57</f>
        <v>0</v>
      </c>
      <c r="JD57" s="83"/>
      <c r="JE57" s="102"/>
      <c r="JF57" s="66">
        <f t="shared" si="153"/>
        <v>1</v>
      </c>
      <c r="JG57" s="66">
        <f t="shared" si="73"/>
        <v>107</v>
      </c>
      <c r="JH57" s="83"/>
      <c r="JI57" s="102"/>
      <c r="JJ57" s="66">
        <f t="shared" ref="JJ57:JK59" si="296">JF57-D57</f>
        <v>0</v>
      </c>
      <c r="JK57" s="66">
        <f t="shared" si="296"/>
        <v>0</v>
      </c>
      <c r="JM57" s="102">
        <f t="shared" si="154"/>
        <v>0</v>
      </c>
      <c r="JO57" s="29">
        <f t="shared" si="76"/>
        <v>0</v>
      </c>
      <c r="JP57" s="122">
        <f>BN57+CR57</f>
        <v>0</v>
      </c>
      <c r="JQ57" s="122">
        <f t="shared" ref="JQ57:KB59" si="297">IF(BO57+CS57=2,1,IF(BO57+CS57=1,1,0))</f>
        <v>0</v>
      </c>
      <c r="JR57" s="122">
        <f t="shared" si="297"/>
        <v>0</v>
      </c>
      <c r="JS57" s="122">
        <f t="shared" si="297"/>
        <v>0</v>
      </c>
      <c r="JT57" s="122">
        <f t="shared" si="297"/>
        <v>0</v>
      </c>
      <c r="JU57" s="122">
        <f t="shared" si="297"/>
        <v>0</v>
      </c>
      <c r="JV57" s="122">
        <f t="shared" si="297"/>
        <v>0</v>
      </c>
      <c r="JW57" s="122">
        <f t="shared" si="297"/>
        <v>0</v>
      </c>
      <c r="JX57" s="122">
        <f t="shared" si="297"/>
        <v>0</v>
      </c>
      <c r="JY57" s="122">
        <f t="shared" si="297"/>
        <v>0</v>
      </c>
      <c r="JZ57" s="122">
        <f t="shared" si="297"/>
        <v>0</v>
      </c>
      <c r="KA57" s="122">
        <f t="shared" si="297"/>
        <v>0</v>
      </c>
      <c r="KB57" s="122">
        <f t="shared" si="297"/>
        <v>0</v>
      </c>
      <c r="KD57" s="122">
        <f t="shared" si="155"/>
        <v>0</v>
      </c>
      <c r="KE57" s="122">
        <f t="shared" si="91"/>
        <v>0</v>
      </c>
      <c r="KF57" s="122">
        <f t="shared" ref="KF57:KR59" si="298">CD57+DH57</f>
        <v>0</v>
      </c>
      <c r="KG57" s="122">
        <f t="shared" si="298"/>
        <v>0</v>
      </c>
      <c r="KH57" s="122">
        <f t="shared" si="298"/>
        <v>0</v>
      </c>
      <c r="KI57" s="122">
        <f t="shared" si="298"/>
        <v>0</v>
      </c>
      <c r="KJ57" s="122">
        <f t="shared" si="298"/>
        <v>0</v>
      </c>
      <c r="KK57" s="122">
        <f t="shared" si="298"/>
        <v>0</v>
      </c>
      <c r="KL57" s="122">
        <f t="shared" si="298"/>
        <v>0</v>
      </c>
      <c r="KM57" s="122">
        <f t="shared" si="298"/>
        <v>0</v>
      </c>
      <c r="KN57" s="123">
        <f t="shared" si="298"/>
        <v>0</v>
      </c>
      <c r="KO57" s="123">
        <f t="shared" si="298"/>
        <v>0</v>
      </c>
      <c r="KP57" s="123">
        <f t="shared" si="298"/>
        <v>0</v>
      </c>
      <c r="KQ57" s="123">
        <f t="shared" si="298"/>
        <v>0</v>
      </c>
      <c r="KR57" s="123">
        <f t="shared" si="298"/>
        <v>0</v>
      </c>
      <c r="KT57">
        <f>AN57</f>
        <v>0</v>
      </c>
      <c r="KU57" s="123"/>
      <c r="KV57" s="123"/>
      <c r="KW57" s="123"/>
      <c r="KX57" s="123"/>
      <c r="KY57" s="123"/>
      <c r="KZ57" s="123"/>
      <c r="LA57" s="123"/>
      <c r="LB57" s="123"/>
      <c r="LC57" s="123"/>
      <c r="LD57" s="123"/>
      <c r="LE57" s="123"/>
      <c r="LF57" s="123"/>
      <c r="LG57" s="123"/>
      <c r="LH57" s="123"/>
      <c r="LI57" s="123"/>
      <c r="LJ57" s="123"/>
      <c r="LK57" s="123"/>
      <c r="LL57" s="123"/>
      <c r="LM57" s="123"/>
      <c r="LN57" s="123"/>
      <c r="LO57" s="123"/>
      <c r="LP57" s="123"/>
      <c r="LQ57" s="123"/>
      <c r="LR57" s="123"/>
      <c r="LS57" s="123"/>
      <c r="LT57" s="123"/>
      <c r="LU57" s="123"/>
      <c r="LV57" s="123"/>
      <c r="LW57" s="123"/>
      <c r="LX57" s="123"/>
      <c r="LY57" s="123"/>
      <c r="LZ57" s="123"/>
      <c r="MA57" s="123"/>
      <c r="MB57" s="123"/>
      <c r="MC57" s="123"/>
      <c r="MD57" s="123"/>
      <c r="ME57" s="123"/>
      <c r="MF57" s="123"/>
      <c r="MG57" s="123"/>
      <c r="MH57" s="123"/>
      <c r="MI57" s="123"/>
      <c r="MJ57" s="123"/>
      <c r="MK57" s="123"/>
      <c r="ML57" s="123"/>
      <c r="MM57" s="123"/>
      <c r="MN57" s="123"/>
      <c r="MO57" s="123"/>
      <c r="MP57" s="123"/>
      <c r="MQ57" s="123"/>
      <c r="MR57" s="123"/>
      <c r="MS57" s="123"/>
      <c r="MT57" s="123"/>
      <c r="MU57" s="123"/>
      <c r="MV57" s="123"/>
      <c r="MW57" s="123"/>
      <c r="MX57" s="123"/>
      <c r="MY57" s="123"/>
      <c r="MZ57" s="123"/>
      <c r="NA57" s="123"/>
      <c r="NB57" s="123"/>
      <c r="NC57" s="123"/>
      <c r="ND57" s="123"/>
      <c r="NE57" s="123"/>
      <c r="NF57" s="123"/>
      <c r="NG57" s="123"/>
      <c r="NH57" s="123"/>
      <c r="NI57" s="123"/>
      <c r="NJ57" s="123"/>
      <c r="NK57" s="123"/>
      <c r="NM57">
        <f t="shared" si="156"/>
        <v>0</v>
      </c>
      <c r="NN57">
        <f t="shared" si="157"/>
        <v>0</v>
      </c>
      <c r="NO57">
        <f t="shared" si="158"/>
        <v>0</v>
      </c>
      <c r="NP57">
        <f t="shared" si="159"/>
        <v>0</v>
      </c>
      <c r="NQ57">
        <f t="shared" si="160"/>
        <v>0</v>
      </c>
      <c r="NR57">
        <f t="shared" si="161"/>
        <v>0</v>
      </c>
      <c r="NS57">
        <f t="shared" si="162"/>
        <v>0</v>
      </c>
      <c r="NT57">
        <f t="shared" si="163"/>
        <v>0</v>
      </c>
      <c r="NU57" s="29">
        <f t="shared" si="164"/>
        <v>0</v>
      </c>
      <c r="NY57" s="29">
        <f>V57</f>
        <v>1</v>
      </c>
      <c r="NZ57" s="152">
        <v>7275000</v>
      </c>
      <c r="OE57" s="155">
        <f t="shared" si="194"/>
        <v>0</v>
      </c>
      <c r="OF57" s="155">
        <f t="shared" si="195"/>
        <v>0</v>
      </c>
      <c r="OG57" s="155">
        <f t="shared" si="196"/>
        <v>0</v>
      </c>
      <c r="OH57" s="155">
        <f t="shared" si="165"/>
        <v>0</v>
      </c>
      <c r="OI57" s="155">
        <f t="shared" si="197"/>
        <v>0</v>
      </c>
      <c r="OJ57" s="67">
        <f t="shared" si="166"/>
        <v>0</v>
      </c>
      <c r="OK57" s="67">
        <f t="shared" si="167"/>
        <v>0</v>
      </c>
      <c r="OL57" s="67">
        <f t="shared" si="168"/>
        <v>0</v>
      </c>
      <c r="OM57" s="67">
        <f t="shared" si="169"/>
        <v>0</v>
      </c>
      <c r="OO57" s="155">
        <f t="shared" si="198"/>
        <v>0</v>
      </c>
      <c r="OP57" s="155">
        <f t="shared" si="199"/>
        <v>0</v>
      </c>
      <c r="OQ57" s="155">
        <f t="shared" si="170"/>
        <v>0</v>
      </c>
      <c r="OR57" s="155">
        <f t="shared" si="171"/>
        <v>0</v>
      </c>
      <c r="OS57" s="155">
        <f t="shared" si="172"/>
        <v>0</v>
      </c>
      <c r="OT57" s="67">
        <f t="shared" si="173"/>
        <v>0</v>
      </c>
      <c r="OU57" s="67">
        <f t="shared" si="174"/>
        <v>0</v>
      </c>
      <c r="OV57" s="67">
        <f t="shared" si="175"/>
        <v>0</v>
      </c>
      <c r="OW57" s="67">
        <f t="shared" si="176"/>
        <v>0</v>
      </c>
      <c r="OZ57" s="163">
        <f t="shared" si="200"/>
        <v>0</v>
      </c>
      <c r="PA57" s="166"/>
      <c r="PB57" s="166"/>
      <c r="PC57" s="166"/>
      <c r="PD57" s="210">
        <f t="shared" si="115"/>
        <v>0</v>
      </c>
      <c r="PE57" s="210"/>
      <c r="PF57" s="210">
        <f t="shared" si="116"/>
        <v>0</v>
      </c>
      <c r="PG57" s="210">
        <f t="shared" si="286"/>
        <v>0</v>
      </c>
      <c r="PH57" s="210">
        <f t="shared" si="286"/>
        <v>0</v>
      </c>
      <c r="PI57" s="210">
        <f t="shared" si="286"/>
        <v>0</v>
      </c>
      <c r="PJ57" s="210">
        <f t="shared" si="286"/>
        <v>0</v>
      </c>
      <c r="PK57" s="210">
        <f t="shared" si="286"/>
        <v>0</v>
      </c>
      <c r="PL57" s="210">
        <f t="shared" si="286"/>
        <v>0</v>
      </c>
      <c r="PO57" s="172">
        <f t="shared" si="177"/>
        <v>0</v>
      </c>
      <c r="PP57" s="172">
        <f t="shared" si="178"/>
        <v>0</v>
      </c>
      <c r="PQ57" s="172">
        <f t="shared" si="179"/>
        <v>0</v>
      </c>
    </row>
    <row r="58" spans="1:433" ht="16" x14ac:dyDescent="0.2">
      <c r="A58" s="19">
        <f t="shared" si="180"/>
        <v>47</v>
      </c>
      <c r="B58" s="186" t="s">
        <v>203</v>
      </c>
      <c r="C58" s="186">
        <v>52</v>
      </c>
      <c r="D58" s="188">
        <v>1</v>
      </c>
      <c r="E58" s="188">
        <v>69</v>
      </c>
      <c r="F58" s="188">
        <v>1</v>
      </c>
      <c r="G58" s="188">
        <f>E58</f>
        <v>69</v>
      </c>
      <c r="H58" s="214">
        <f t="shared" si="202"/>
        <v>1</v>
      </c>
      <c r="I58" s="214">
        <f t="shared" si="203"/>
        <v>1</v>
      </c>
      <c r="J58" s="188">
        <v>1</v>
      </c>
      <c r="K58" s="188">
        <f t="shared" si="204"/>
        <v>69</v>
      </c>
      <c r="L58" s="214">
        <f t="shared" si="205"/>
        <v>1</v>
      </c>
      <c r="M58" s="214">
        <f t="shared" si="206"/>
        <v>1</v>
      </c>
      <c r="N58" s="188">
        <v>1</v>
      </c>
      <c r="O58" s="188">
        <f t="shared" si="207"/>
        <v>69</v>
      </c>
      <c r="P58" s="214">
        <f t="shared" si="208"/>
        <v>1</v>
      </c>
      <c r="Q58" s="214">
        <f t="shared" si="209"/>
        <v>1</v>
      </c>
      <c r="R58" s="188">
        <v>1</v>
      </c>
      <c r="S58" s="188">
        <f t="shared" si="210"/>
        <v>69</v>
      </c>
      <c r="T58" s="214">
        <f t="shared" si="211"/>
        <v>1</v>
      </c>
      <c r="U58" s="214">
        <f t="shared" si="212"/>
        <v>1</v>
      </c>
      <c r="V58" s="188">
        <v>1</v>
      </c>
      <c r="W58" s="188">
        <f t="shared" si="213"/>
        <v>69</v>
      </c>
      <c r="X58" s="214">
        <f t="shared" si="214"/>
        <v>1</v>
      </c>
      <c r="Y58" s="214">
        <f t="shared" si="215"/>
        <v>1</v>
      </c>
      <c r="Z58" s="216">
        <f>795076000/1000000000</f>
        <v>0.795076</v>
      </c>
      <c r="AA58" s="188">
        <v>0</v>
      </c>
      <c r="AB58" s="189">
        <f t="shared" si="118"/>
        <v>0</v>
      </c>
      <c r="AC58" s="250">
        <f t="shared" si="119"/>
        <v>0</v>
      </c>
      <c r="AD58" s="250">
        <f t="shared" si="120"/>
        <v>0</v>
      </c>
      <c r="AE58" s="188"/>
      <c r="AF58" s="188">
        <f t="shared" si="121"/>
        <v>0</v>
      </c>
      <c r="AG58" s="188"/>
      <c r="AH58" s="188"/>
      <c r="AI58" s="188">
        <v>0</v>
      </c>
      <c r="AJ58" s="188">
        <f t="shared" si="181"/>
        <v>0</v>
      </c>
      <c r="AK58" s="188"/>
      <c r="AL58" s="188">
        <v>0</v>
      </c>
      <c r="AM58" s="188">
        <v>0</v>
      </c>
      <c r="AN58" s="217"/>
      <c r="AO58" s="195"/>
      <c r="AP58" s="195"/>
      <c r="AQ58" s="195"/>
      <c r="AR58" s="195"/>
      <c r="AS58" s="195"/>
      <c r="AT58" s="195"/>
      <c r="BB58" s="17">
        <f t="shared" si="123"/>
        <v>0</v>
      </c>
      <c r="BE58" s="17">
        <f t="shared" si="216"/>
        <v>0</v>
      </c>
      <c r="BF58" s="17">
        <f t="shared" si="217"/>
        <v>0</v>
      </c>
      <c r="BG58" s="17">
        <f t="shared" si="218"/>
        <v>0</v>
      </c>
      <c r="BH58" s="17">
        <f t="shared" si="219"/>
        <v>0</v>
      </c>
      <c r="BI58" s="17">
        <f t="shared" si="220"/>
        <v>0</v>
      </c>
      <c r="BJ58" s="17">
        <f t="shared" si="221"/>
        <v>0</v>
      </c>
      <c r="BK58" s="17">
        <f t="shared" si="124"/>
        <v>0</v>
      </c>
      <c r="BM58" s="128"/>
      <c r="BN58" s="289">
        <v>45</v>
      </c>
      <c r="BO58">
        <v>1</v>
      </c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B58" s="20"/>
      <c r="CD58" s="17">
        <f t="shared" si="125"/>
        <v>45</v>
      </c>
      <c r="CE58" s="17">
        <f t="shared" si="126"/>
        <v>45</v>
      </c>
      <c r="CF58" s="20">
        <f t="shared" si="182"/>
        <v>0</v>
      </c>
      <c r="CG58" s="20">
        <f t="shared" si="183"/>
        <v>0</v>
      </c>
      <c r="CH58" s="20">
        <f t="shared" si="184"/>
        <v>0</v>
      </c>
      <c r="CI58" s="20">
        <f t="shared" si="185"/>
        <v>0</v>
      </c>
      <c r="CJ58" s="20">
        <f t="shared" si="186"/>
        <v>0</v>
      </c>
      <c r="CK58" s="20">
        <f t="shared" si="187"/>
        <v>0</v>
      </c>
      <c r="CL58" s="20">
        <f t="shared" si="188"/>
        <v>0</v>
      </c>
      <c r="CM58" s="20">
        <f t="shared" si="189"/>
        <v>0</v>
      </c>
      <c r="CN58" s="20">
        <f t="shared" si="190"/>
        <v>0</v>
      </c>
      <c r="CO58" s="20">
        <f t="shared" si="191"/>
        <v>0</v>
      </c>
      <c r="CP58" s="20">
        <f t="shared" si="192"/>
        <v>0</v>
      </c>
      <c r="DV58" s="20">
        <f t="shared" si="222"/>
        <v>0</v>
      </c>
      <c r="DW58" s="20">
        <f t="shared" si="223"/>
        <v>0</v>
      </c>
      <c r="DX58" s="20">
        <f t="shared" si="224"/>
        <v>0</v>
      </c>
      <c r="DY58" s="20">
        <f t="shared" si="225"/>
        <v>0</v>
      </c>
      <c r="DZ58" s="20">
        <f t="shared" si="226"/>
        <v>0</v>
      </c>
      <c r="EA58" s="20">
        <f t="shared" si="227"/>
        <v>0</v>
      </c>
      <c r="EB58" s="20">
        <f t="shared" si="127"/>
        <v>0</v>
      </c>
      <c r="EG58" s="57">
        <f t="shared" si="128"/>
        <v>0</v>
      </c>
      <c r="EH58" s="57">
        <f t="shared" si="129"/>
        <v>0</v>
      </c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X58" s="169">
        <v>1</v>
      </c>
      <c r="FY58" s="17">
        <f t="shared" si="130"/>
        <v>45</v>
      </c>
      <c r="FZ58" s="17">
        <f t="shared" si="293"/>
        <v>45</v>
      </c>
      <c r="GA58" s="17">
        <f t="shared" si="293"/>
        <v>0</v>
      </c>
      <c r="GB58" s="17">
        <f t="shared" si="293"/>
        <v>0</v>
      </c>
      <c r="GC58" s="17">
        <f>DM58+CI58</f>
        <v>0</v>
      </c>
      <c r="GD58" s="17">
        <f>DO58+CK58</f>
        <v>0</v>
      </c>
      <c r="GE58" s="17">
        <f>DT58+CP58</f>
        <v>0</v>
      </c>
      <c r="GF58" s="67"/>
      <c r="GG58" s="17">
        <v>0</v>
      </c>
      <c r="GH58" s="17">
        <v>0</v>
      </c>
      <c r="GI58" s="67"/>
      <c r="GJ58" s="62">
        <f t="shared" si="131"/>
        <v>0</v>
      </c>
      <c r="GK58" s="62">
        <f t="shared" si="132"/>
        <v>0</v>
      </c>
      <c r="GO58" s="17">
        <f>D58-F58</f>
        <v>0</v>
      </c>
      <c r="GP58" s="17">
        <f>D58-J58</f>
        <v>0</v>
      </c>
      <c r="GQ58" s="17">
        <f>D58-N58</f>
        <v>0</v>
      </c>
      <c r="GR58" s="17">
        <f>D58-R58</f>
        <v>0</v>
      </c>
      <c r="GS58" s="17">
        <f>D58-V58</f>
        <v>0</v>
      </c>
      <c r="GT58" s="17">
        <f t="shared" si="133"/>
        <v>1</v>
      </c>
      <c r="GU58" s="101">
        <f t="shared" si="134"/>
        <v>43243</v>
      </c>
      <c r="GV58" s="17" t="str">
        <f t="shared" si="135"/>
        <v>SELESAI</v>
      </c>
      <c r="GW58" s="17">
        <f t="shared" si="136"/>
        <v>0</v>
      </c>
      <c r="GX58" s="66" t="str">
        <f t="shared" si="137"/>
        <v>SELESAI</v>
      </c>
      <c r="GY58" s="66">
        <f t="shared" si="138"/>
        <v>0</v>
      </c>
      <c r="GZ58" s="102" t="str">
        <f t="shared" si="139"/>
        <v>SELESAI</v>
      </c>
      <c r="HA58" s="83"/>
      <c r="HB58" s="83"/>
      <c r="HC58" s="17">
        <f>IF(BH58&gt;0,1,IF(BI58&gt;0,1,0))</f>
        <v>0</v>
      </c>
      <c r="HD58" s="17">
        <f>IF(CB58&gt;0,1,0)</f>
        <v>0</v>
      </c>
      <c r="HE58" s="17">
        <f t="shared" si="140"/>
        <v>0</v>
      </c>
      <c r="HF58" s="17">
        <f t="shared" si="141"/>
        <v>0</v>
      </c>
      <c r="HG58" s="17">
        <f t="shared" si="142"/>
        <v>0</v>
      </c>
      <c r="HH58" s="101" t="str">
        <f t="shared" si="47"/>
        <v>TIDAK KONSINYASI</v>
      </c>
      <c r="HI58" s="101" t="str">
        <f t="shared" si="143"/>
        <v>SELESAI</v>
      </c>
      <c r="HJ58" s="27"/>
      <c r="HK58" s="101">
        <f t="shared" si="48"/>
        <v>0</v>
      </c>
      <c r="HL58" s="83"/>
      <c r="HM58" s="83"/>
      <c r="HN58" s="83"/>
      <c r="HO58" s="83"/>
      <c r="HP58" s="102">
        <f t="shared" si="144"/>
        <v>0</v>
      </c>
      <c r="HQ58" s="66">
        <f t="shared" si="145"/>
        <v>0</v>
      </c>
      <c r="HR58" s="66">
        <f>IF(HQ58=1,E58,0)</f>
        <v>0</v>
      </c>
      <c r="HS58" s="102">
        <f t="shared" si="146"/>
        <v>0</v>
      </c>
      <c r="HT58" s="66">
        <f t="shared" si="147"/>
        <v>0</v>
      </c>
      <c r="HU58" s="66">
        <f>IF(HT58=1,E58,0)</f>
        <v>0</v>
      </c>
      <c r="HV58" s="102">
        <f t="shared" si="148"/>
        <v>0</v>
      </c>
      <c r="HW58" s="66">
        <f t="shared" si="51"/>
        <v>0</v>
      </c>
      <c r="HX58" s="66">
        <f>IF(HW58=1,E58,0)</f>
        <v>0</v>
      </c>
      <c r="HY58" s="102">
        <f t="shared" si="53"/>
        <v>0</v>
      </c>
      <c r="HZ58" s="66">
        <f t="shared" si="149"/>
        <v>0</v>
      </c>
      <c r="IA58" s="66">
        <f>IF(HZ58=1,E58,0)</f>
        <v>0</v>
      </c>
      <c r="IB58" s="102">
        <f t="shared" si="150"/>
        <v>0</v>
      </c>
      <c r="IC58" s="66">
        <f t="shared" si="55"/>
        <v>0</v>
      </c>
      <c r="ID58" s="66">
        <f>IF(IC58=1,E58,0)</f>
        <v>0</v>
      </c>
      <c r="IE58" s="102">
        <f t="shared" si="57"/>
        <v>0</v>
      </c>
      <c r="IF58" s="66">
        <f t="shared" si="58"/>
        <v>0</v>
      </c>
      <c r="IG58" s="66">
        <f>IF(IF58=1,E58,0)</f>
        <v>0</v>
      </c>
      <c r="IH58" s="102">
        <f t="shared" si="151"/>
        <v>0</v>
      </c>
      <c r="II58" s="66">
        <f t="shared" si="152"/>
        <v>0</v>
      </c>
      <c r="IJ58" s="66">
        <f>IF(II58=1,E58,0)</f>
        <v>0</v>
      </c>
      <c r="IK58" s="102">
        <f t="shared" si="61"/>
        <v>0</v>
      </c>
      <c r="IL58" s="66">
        <f t="shared" si="62"/>
        <v>0</v>
      </c>
      <c r="IM58" s="66">
        <f>IF(IL58=1,E58,0)</f>
        <v>0</v>
      </c>
      <c r="IN58" s="83"/>
      <c r="IO58" s="102">
        <f t="shared" si="64"/>
        <v>0</v>
      </c>
      <c r="IP58" s="66">
        <f>IF(BG58&gt;0,1,0)</f>
        <v>0</v>
      </c>
      <c r="IQ58" s="66">
        <f>IF(IP58=1,E58,0)</f>
        <v>0</v>
      </c>
      <c r="IR58" s="83"/>
      <c r="IS58" s="102"/>
      <c r="IT58" s="66">
        <f t="shared" si="294"/>
        <v>1</v>
      </c>
      <c r="IU58" s="66">
        <f t="shared" si="294"/>
        <v>69</v>
      </c>
      <c r="IV58" s="83"/>
      <c r="IW58" s="102"/>
      <c r="IX58" s="66">
        <f t="shared" si="295"/>
        <v>0</v>
      </c>
      <c r="IY58" s="66">
        <f t="shared" si="295"/>
        <v>0</v>
      </c>
      <c r="IZ58" s="83"/>
      <c r="JA58" s="102"/>
      <c r="JB58" s="66">
        <f>AN58</f>
        <v>0</v>
      </c>
      <c r="JC58" s="66">
        <f>BB58</f>
        <v>0</v>
      </c>
      <c r="JD58" s="83"/>
      <c r="JE58" s="102"/>
      <c r="JF58" s="66">
        <f t="shared" si="153"/>
        <v>1</v>
      </c>
      <c r="JG58" s="66">
        <f t="shared" si="73"/>
        <v>69</v>
      </c>
      <c r="JH58" s="83"/>
      <c r="JI58" s="102"/>
      <c r="JJ58" s="66">
        <f t="shared" si="296"/>
        <v>0</v>
      </c>
      <c r="JK58" s="66">
        <f t="shared" si="296"/>
        <v>0</v>
      </c>
      <c r="JM58" s="102">
        <f t="shared" si="154"/>
        <v>0</v>
      </c>
      <c r="JO58" s="29">
        <f t="shared" si="76"/>
        <v>1</v>
      </c>
      <c r="JP58" s="122">
        <f>BN58+CR58</f>
        <v>45</v>
      </c>
      <c r="JQ58" s="122">
        <f t="shared" si="297"/>
        <v>1</v>
      </c>
      <c r="JR58" s="122">
        <f t="shared" si="297"/>
        <v>0</v>
      </c>
      <c r="JS58" s="122">
        <f t="shared" si="297"/>
        <v>0</v>
      </c>
      <c r="JT58" s="122">
        <f t="shared" si="297"/>
        <v>0</v>
      </c>
      <c r="JU58" s="122">
        <f t="shared" si="297"/>
        <v>0</v>
      </c>
      <c r="JV58" s="122">
        <f t="shared" si="297"/>
        <v>0</v>
      </c>
      <c r="JW58" s="122">
        <f t="shared" si="297"/>
        <v>0</v>
      </c>
      <c r="JX58" s="122">
        <f t="shared" si="297"/>
        <v>0</v>
      </c>
      <c r="JY58" s="122">
        <f t="shared" si="297"/>
        <v>0</v>
      </c>
      <c r="JZ58" s="122">
        <f t="shared" si="297"/>
        <v>0</v>
      </c>
      <c r="KA58" s="122">
        <f t="shared" si="297"/>
        <v>0</v>
      </c>
      <c r="KB58" s="122">
        <f t="shared" si="297"/>
        <v>0</v>
      </c>
      <c r="KD58" s="122">
        <f t="shared" si="155"/>
        <v>0</v>
      </c>
      <c r="KE58" s="122">
        <f t="shared" si="91"/>
        <v>0</v>
      </c>
      <c r="KF58" s="122">
        <f t="shared" si="298"/>
        <v>45</v>
      </c>
      <c r="KG58" s="122">
        <f t="shared" si="298"/>
        <v>45</v>
      </c>
      <c r="KH58" s="122">
        <f t="shared" si="298"/>
        <v>0</v>
      </c>
      <c r="KI58" s="122">
        <f t="shared" si="298"/>
        <v>0</v>
      </c>
      <c r="KJ58" s="122">
        <f t="shared" si="298"/>
        <v>0</v>
      </c>
      <c r="KK58" s="122">
        <f t="shared" si="298"/>
        <v>0</v>
      </c>
      <c r="KL58" s="122">
        <f t="shared" si="298"/>
        <v>0</v>
      </c>
      <c r="KM58" s="122">
        <f t="shared" si="298"/>
        <v>0</v>
      </c>
      <c r="KN58" s="123">
        <f t="shared" si="298"/>
        <v>0</v>
      </c>
      <c r="KO58" s="123">
        <f t="shared" si="298"/>
        <v>0</v>
      </c>
      <c r="KP58" s="123">
        <f t="shared" si="298"/>
        <v>0</v>
      </c>
      <c r="KQ58" s="123">
        <f t="shared" si="298"/>
        <v>0</v>
      </c>
      <c r="KR58" s="123">
        <f t="shared" si="298"/>
        <v>0</v>
      </c>
      <c r="KT58">
        <f>AN58</f>
        <v>0</v>
      </c>
      <c r="KU58" s="123"/>
      <c r="KV58" s="123"/>
      <c r="KW58" s="123"/>
      <c r="KX58" s="123"/>
      <c r="KY58" s="123"/>
      <c r="KZ58" s="123"/>
      <c r="LA58" s="123"/>
      <c r="LB58" s="123"/>
      <c r="LC58" s="123"/>
      <c r="LD58" s="123"/>
      <c r="LE58" s="123"/>
      <c r="LF58" s="123"/>
      <c r="LG58" s="123"/>
      <c r="LH58" s="123"/>
      <c r="LI58" s="123"/>
      <c r="LJ58" s="123"/>
      <c r="LK58" s="123"/>
      <c r="LL58" s="123"/>
      <c r="LM58" s="123"/>
      <c r="LN58" s="123"/>
      <c r="LO58" s="123"/>
      <c r="LP58" s="123"/>
      <c r="LQ58" s="123"/>
      <c r="LR58" s="123"/>
      <c r="LS58" s="123"/>
      <c r="LT58" s="123"/>
      <c r="LU58" s="123"/>
      <c r="LV58" s="123"/>
      <c r="LW58" s="123"/>
      <c r="LX58" s="123"/>
      <c r="LY58" s="123"/>
      <c r="LZ58" s="123"/>
      <c r="MA58" s="123"/>
      <c r="MB58" s="123"/>
      <c r="MC58" s="123"/>
      <c r="MD58" s="123"/>
      <c r="ME58" s="123"/>
      <c r="MF58" s="123"/>
      <c r="MG58" s="123"/>
      <c r="MH58" s="123"/>
      <c r="MI58" s="123"/>
      <c r="MJ58" s="123"/>
      <c r="MK58" s="123"/>
      <c r="ML58" s="123"/>
      <c r="MM58" s="123"/>
      <c r="MN58" s="123"/>
      <c r="MO58" s="123"/>
      <c r="MP58" s="123"/>
      <c r="MQ58" s="123"/>
      <c r="MR58" s="123"/>
      <c r="MS58" s="123"/>
      <c r="MT58" s="123"/>
      <c r="MU58" s="123"/>
      <c r="MV58" s="123"/>
      <c r="MW58" s="123"/>
      <c r="MX58" s="123"/>
      <c r="MY58" s="123"/>
      <c r="MZ58" s="123"/>
      <c r="NA58" s="123"/>
      <c r="NB58" s="123"/>
      <c r="NC58" s="123"/>
      <c r="ND58" s="123"/>
      <c r="NE58" s="123"/>
      <c r="NF58" s="123"/>
      <c r="NG58" s="123"/>
      <c r="NH58" s="123"/>
      <c r="NI58" s="123"/>
      <c r="NJ58" s="123"/>
      <c r="NK58" s="123"/>
      <c r="NM58">
        <f t="shared" si="156"/>
        <v>0</v>
      </c>
      <c r="NN58">
        <f t="shared" si="157"/>
        <v>0</v>
      </c>
      <c r="NO58">
        <f t="shared" si="158"/>
        <v>0</v>
      </c>
      <c r="NP58">
        <f t="shared" si="159"/>
        <v>0</v>
      </c>
      <c r="NQ58">
        <f t="shared" si="160"/>
        <v>0</v>
      </c>
      <c r="NR58">
        <f t="shared" si="161"/>
        <v>0</v>
      </c>
      <c r="NS58">
        <f t="shared" si="162"/>
        <v>0</v>
      </c>
      <c r="NT58">
        <f t="shared" si="163"/>
        <v>0</v>
      </c>
      <c r="NU58" s="29">
        <f t="shared" si="164"/>
        <v>0</v>
      </c>
      <c r="NY58" s="29">
        <f>V58</f>
        <v>1</v>
      </c>
      <c r="NZ58" s="152">
        <v>7275000</v>
      </c>
      <c r="OE58" s="155">
        <f t="shared" si="194"/>
        <v>0</v>
      </c>
      <c r="OF58" s="155">
        <f t="shared" si="195"/>
        <v>0</v>
      </c>
      <c r="OG58" s="155">
        <f t="shared" si="196"/>
        <v>0</v>
      </c>
      <c r="OH58" s="155">
        <f t="shared" si="165"/>
        <v>0</v>
      </c>
      <c r="OI58" s="155">
        <f t="shared" si="197"/>
        <v>0</v>
      </c>
      <c r="OJ58" s="67">
        <f t="shared" si="166"/>
        <v>0</v>
      </c>
      <c r="OK58" s="67">
        <f t="shared" si="167"/>
        <v>0</v>
      </c>
      <c r="OL58" s="67">
        <f t="shared" si="168"/>
        <v>0</v>
      </c>
      <c r="OM58" s="67">
        <f t="shared" si="169"/>
        <v>0</v>
      </c>
      <c r="OO58" s="155">
        <f t="shared" si="198"/>
        <v>0</v>
      </c>
      <c r="OP58" s="155">
        <f t="shared" si="199"/>
        <v>0</v>
      </c>
      <c r="OQ58" s="155">
        <f t="shared" si="170"/>
        <v>0</v>
      </c>
      <c r="OR58" s="155">
        <f t="shared" si="171"/>
        <v>0</v>
      </c>
      <c r="OS58" s="155">
        <f t="shared" si="172"/>
        <v>0</v>
      </c>
      <c r="OT58" s="67">
        <f t="shared" si="173"/>
        <v>0</v>
      </c>
      <c r="OU58" s="67">
        <f t="shared" si="174"/>
        <v>0</v>
      </c>
      <c r="OV58" s="67">
        <f t="shared" si="175"/>
        <v>0</v>
      </c>
      <c r="OW58" s="67">
        <f t="shared" si="176"/>
        <v>0</v>
      </c>
      <c r="OZ58" s="163">
        <f t="shared" si="200"/>
        <v>0</v>
      </c>
      <c r="PA58" s="166"/>
      <c r="PB58" s="166"/>
      <c r="PC58" s="166"/>
      <c r="PD58" s="210">
        <f t="shared" si="115"/>
        <v>0</v>
      </c>
      <c r="PE58" s="210"/>
      <c r="PF58" s="210">
        <f t="shared" si="116"/>
        <v>0</v>
      </c>
      <c r="PG58" s="210">
        <f t="shared" si="286"/>
        <v>0</v>
      </c>
      <c r="PH58" s="210">
        <f t="shared" si="286"/>
        <v>0</v>
      </c>
      <c r="PI58" s="210">
        <f t="shared" si="286"/>
        <v>0</v>
      </c>
      <c r="PJ58" s="210">
        <f t="shared" si="286"/>
        <v>0</v>
      </c>
      <c r="PK58" s="210">
        <f t="shared" si="286"/>
        <v>0</v>
      </c>
      <c r="PL58" s="210">
        <f t="shared" si="286"/>
        <v>0</v>
      </c>
      <c r="PO58" s="172">
        <f t="shared" si="177"/>
        <v>0</v>
      </c>
      <c r="PP58" s="172">
        <f t="shared" si="178"/>
        <v>0</v>
      </c>
      <c r="PQ58" s="172">
        <f t="shared" si="179"/>
        <v>0</v>
      </c>
    </row>
    <row r="59" spans="1:433" ht="16" x14ac:dyDescent="0.2">
      <c r="A59" s="19">
        <f>A58+1</f>
        <v>48</v>
      </c>
      <c r="B59" s="186" t="s">
        <v>291</v>
      </c>
      <c r="C59" s="186">
        <v>53</v>
      </c>
      <c r="D59" s="188">
        <v>1</v>
      </c>
      <c r="E59" s="188">
        <v>50</v>
      </c>
      <c r="F59" s="188">
        <v>1</v>
      </c>
      <c r="G59" s="188">
        <f>E59</f>
        <v>50</v>
      </c>
      <c r="H59" s="214">
        <f>F59/$D59</f>
        <v>1</v>
      </c>
      <c r="I59" s="214">
        <f>G59/$E59</f>
        <v>1</v>
      </c>
      <c r="J59" s="188">
        <v>1</v>
      </c>
      <c r="K59" s="188">
        <f t="shared" ref="K59" si="299">IF(J59=D59,E59,0)</f>
        <v>50</v>
      </c>
      <c r="L59" s="214">
        <f>J59/$D59</f>
        <v>1</v>
      </c>
      <c r="M59" s="214">
        <f>K59/$E59</f>
        <v>1</v>
      </c>
      <c r="N59" s="188">
        <v>1</v>
      </c>
      <c r="O59" s="188">
        <f t="shared" ref="O59" si="300">IF(N59=D59,E59,0)</f>
        <v>50</v>
      </c>
      <c r="P59" s="214">
        <f>N59/$D59</f>
        <v>1</v>
      </c>
      <c r="Q59" s="214">
        <f>O59/$E59</f>
        <v>1</v>
      </c>
      <c r="R59" s="188">
        <v>1</v>
      </c>
      <c r="S59" s="188">
        <f t="shared" ref="S59" si="301">IF(R59=D59,E59,0)</f>
        <v>50</v>
      </c>
      <c r="T59" s="214">
        <f>R59/$D59</f>
        <v>1</v>
      </c>
      <c r="U59" s="214">
        <f>S59/$E59</f>
        <v>1</v>
      </c>
      <c r="V59" s="188">
        <v>1</v>
      </c>
      <c r="W59" s="188">
        <f t="shared" ref="W59" si="302">IF(V59=D59,E59,0)</f>
        <v>50</v>
      </c>
      <c r="X59" s="214">
        <f>V59/$D59</f>
        <v>1</v>
      </c>
      <c r="Y59" s="214">
        <f>W59/$E59</f>
        <v>1</v>
      </c>
      <c r="Z59" s="216">
        <f>382282000/1000000000</f>
        <v>0.38228200000000001</v>
      </c>
      <c r="AA59" s="188">
        <v>0</v>
      </c>
      <c r="AB59" s="189">
        <f>IF(AA59=D59,E59,0)</f>
        <v>0</v>
      </c>
      <c r="AC59" s="250">
        <f>AA59/$D59</f>
        <v>0</v>
      </c>
      <c r="AD59" s="250">
        <f>AB59/$E59</f>
        <v>0</v>
      </c>
      <c r="AE59" s="188"/>
      <c r="AF59" s="188">
        <f>R59-V59</f>
        <v>0</v>
      </c>
      <c r="AG59" s="188"/>
      <c r="AH59" s="188"/>
      <c r="AI59" s="188">
        <v>0</v>
      </c>
      <c r="AJ59" s="188">
        <f t="shared" ref="AJ59" si="303">IF(AI59=D59,E59,0)</f>
        <v>0</v>
      </c>
      <c r="AK59" s="188"/>
      <c r="AL59" s="188">
        <v>0</v>
      </c>
      <c r="AM59" s="188">
        <v>0</v>
      </c>
      <c r="AN59" s="217"/>
      <c r="AO59" s="195"/>
      <c r="AP59" s="195"/>
      <c r="AQ59" s="195"/>
      <c r="AR59" s="195"/>
      <c r="AS59" s="195"/>
      <c r="AT59" s="195"/>
      <c r="BB59" s="17">
        <f>IF(AN59=1,G59,0)</f>
        <v>0</v>
      </c>
      <c r="BE59" s="17">
        <f>IF(AF59=1,S59,0)</f>
        <v>0</v>
      </c>
      <c r="BF59" s="17">
        <f>IF(AG59="A",S59,0)</f>
        <v>0</v>
      </c>
      <c r="BG59" s="17">
        <f>IF(AG59="B",S59,0)</f>
        <v>0</v>
      </c>
      <c r="BH59" s="17">
        <f>IF(AG59="C",S59,0)</f>
        <v>0</v>
      </c>
      <c r="BI59" s="17">
        <f>IF(AG59="D",S59,0)</f>
        <v>0</v>
      </c>
      <c r="BJ59" s="17">
        <f>IF(AG59="E",S59,0)</f>
        <v>0</v>
      </c>
      <c r="BK59" s="17">
        <f>SUM(BF59:BJ59)</f>
        <v>0</v>
      </c>
      <c r="BM59" s="128"/>
      <c r="BN59" s="147">
        <v>19</v>
      </c>
      <c r="BO59" s="288">
        <v>1</v>
      </c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B59" s="20"/>
      <c r="CD59" s="17">
        <f>BN59</f>
        <v>19</v>
      </c>
      <c r="CE59" s="17">
        <f t="shared" ref="CE59:CP59" si="304">IF(BO59=1,$CD59,0)</f>
        <v>19</v>
      </c>
      <c r="CF59" s="20">
        <f t="shared" si="304"/>
        <v>0</v>
      </c>
      <c r="CG59" s="20">
        <f t="shared" si="304"/>
        <v>0</v>
      </c>
      <c r="CH59" s="20">
        <f t="shared" si="304"/>
        <v>0</v>
      </c>
      <c r="CI59" s="20">
        <f t="shared" si="304"/>
        <v>0</v>
      </c>
      <c r="CJ59" s="20">
        <f t="shared" si="304"/>
        <v>0</v>
      </c>
      <c r="CK59" s="20">
        <f t="shared" si="304"/>
        <v>0</v>
      </c>
      <c r="CL59" s="20">
        <f t="shared" si="304"/>
        <v>0</v>
      </c>
      <c r="CM59" s="20">
        <f t="shared" si="304"/>
        <v>0</v>
      </c>
      <c r="CN59" s="20">
        <f t="shared" si="304"/>
        <v>0</v>
      </c>
      <c r="CO59" s="20">
        <f t="shared" si="304"/>
        <v>0</v>
      </c>
      <c r="CP59" s="20">
        <f t="shared" si="304"/>
        <v>0</v>
      </c>
      <c r="DV59" s="20">
        <f>IF(CB59=1,G59,0)</f>
        <v>0</v>
      </c>
      <c r="DW59" s="20">
        <f>IF(CC59="A",G59,0)</f>
        <v>0</v>
      </c>
      <c r="DX59" s="20">
        <f>IF(CC59="B",G59,0)</f>
        <v>0</v>
      </c>
      <c r="DY59" s="20">
        <f>IF(CC59="C",G59,0)</f>
        <v>0</v>
      </c>
      <c r="DZ59" s="20">
        <f>IF(CC59="D",G59,0)</f>
        <v>0</v>
      </c>
      <c r="EA59" s="20">
        <f>IF(CC59="E",G59,0)</f>
        <v>0</v>
      </c>
      <c r="EB59" s="20">
        <f>SUM(DW59:EA59)</f>
        <v>0</v>
      </c>
      <c r="EG59" s="57">
        <f>IF(AG59="C","C",IF(AG59="D","D",0))</f>
        <v>0</v>
      </c>
      <c r="EH59" s="57">
        <f>CC59</f>
        <v>0</v>
      </c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X59" s="169">
        <v>1</v>
      </c>
      <c r="FY59" s="17">
        <f>SUM(FZ59:GE59)</f>
        <v>19</v>
      </c>
      <c r="FZ59" s="17">
        <f t="shared" si="293"/>
        <v>19</v>
      </c>
      <c r="GA59" s="17">
        <f t="shared" si="293"/>
        <v>0</v>
      </c>
      <c r="GB59" s="17">
        <f t="shared" si="293"/>
        <v>0</v>
      </c>
      <c r="GC59" s="17">
        <f>DM59+CI59</f>
        <v>0</v>
      </c>
      <c r="GD59" s="17">
        <f>DO59+CK59</f>
        <v>0</v>
      </c>
      <c r="GE59" s="17">
        <f>DT59+CP59</f>
        <v>0</v>
      </c>
      <c r="GF59" s="67"/>
      <c r="GG59" s="17">
        <v>0</v>
      </c>
      <c r="GH59" s="17">
        <v>0</v>
      </c>
      <c r="GI59" s="67"/>
      <c r="GJ59" s="62">
        <f>FY59*GG59/1000000000</f>
        <v>0</v>
      </c>
      <c r="GK59" s="62">
        <f>FY59*GH59/1000000000</f>
        <v>0</v>
      </c>
      <c r="GO59" s="17">
        <f>D59-F59</f>
        <v>0</v>
      </c>
      <c r="GP59" s="17">
        <f>D59-J59</f>
        <v>0</v>
      </c>
      <c r="GQ59" s="17">
        <f>D59-N59</f>
        <v>0</v>
      </c>
      <c r="GR59" s="17">
        <f>D59-R59</f>
        <v>0</v>
      </c>
      <c r="GS59" s="17">
        <f>D59-V59</f>
        <v>0</v>
      </c>
      <c r="GT59" s="17">
        <f>IF(SUM(GO59:GS59)=0,1,0)</f>
        <v>1</v>
      </c>
      <c r="GU59" s="101">
        <f t="shared" si="134"/>
        <v>43243</v>
      </c>
      <c r="GV59" s="17" t="str">
        <f>IF(GO59&gt;0,$GO$6,IF(GP59&gt;0,$GP$6,IF(GQ59&gt;0,$GQ$6,IF(GR59&gt;0,$GR$6,IF(GS59&gt;0,$GS$6,IF(GT59&gt;0,$GT$6,0))))))</f>
        <v>SELESAI</v>
      </c>
      <c r="GW59" s="17">
        <f>IF(GV59=$GO$6,GO59,IF(GV59=$GP$6,GP59,IF(GV59=$GQ$6,GQ59,IF(GV59=$GR$6,GR59,IF(GV59=$GS$6,GS59,0)))))</f>
        <v>0</v>
      </c>
      <c r="GX59" s="66" t="str">
        <f>GV59</f>
        <v>SELESAI</v>
      </c>
      <c r="GY59" s="66">
        <f>IF(GX59="DNP",SUM($GY$4:$GY$8),IF(GX59="Survey KJPP",SUM($GY$5:$GY$8),IF(GX59="Hasil Valuasi",SUM($GY$6:$GY$8),IF(GX59="Musyawarah",SUM($GY$7:$GY$8),IF(GX59="UGR",$GY$8,0)))))</f>
        <v>0</v>
      </c>
      <c r="GZ59" s="102" t="str">
        <f>IF(GW59=0,"SELESAI",GU59+GY59)</f>
        <v>SELESAI</v>
      </c>
      <c r="HA59" s="83"/>
      <c r="HB59" s="83"/>
      <c r="HC59" s="17">
        <f>IF(BH59&gt;0,1,IF(BI59&gt;0,1,0))</f>
        <v>0</v>
      </c>
      <c r="HD59" s="17">
        <f>IF(CB59&gt;0,1,0)</f>
        <v>0</v>
      </c>
      <c r="HE59" s="17">
        <f>HC59+HD59</f>
        <v>0</v>
      </c>
      <c r="HF59" s="17">
        <f>FQ59</f>
        <v>0</v>
      </c>
      <c r="HG59" s="17">
        <f>HE59-HF59</f>
        <v>0</v>
      </c>
      <c r="HH59" s="101" t="str">
        <f>IF(HG59=1,GU59+$HH$8,"TIDAK KONSINYASI")</f>
        <v>TIDAK KONSINYASI</v>
      </c>
      <c r="HI59" s="101" t="str">
        <f>IF(GW59=0,"SELESAI",GZ59+$HI$8)</f>
        <v>SELESAI</v>
      </c>
      <c r="HJ59" s="27"/>
      <c r="HK59" s="101">
        <f>MAX(GZ59,HH59,HI59)</f>
        <v>0</v>
      </c>
      <c r="HL59" s="83"/>
      <c r="HM59" s="83"/>
      <c r="HN59" s="83"/>
      <c r="HO59" s="83"/>
      <c r="HP59" s="102">
        <f>IF(HQ59=1,GZ59,0)</f>
        <v>0</v>
      </c>
      <c r="HQ59" s="66">
        <f>IF(IX59=0,IF(HT59=0,IF(IP59=0,IF(GV59="UGR",GS59,0),0),0),0)</f>
        <v>0</v>
      </c>
      <c r="HR59" s="66">
        <f>IF(HQ59=1,E59,0)</f>
        <v>0</v>
      </c>
      <c r="HS59" s="102">
        <f>IF(HT59=1,HH59,0)</f>
        <v>0</v>
      </c>
      <c r="HT59" s="66">
        <f>HG59</f>
        <v>0</v>
      </c>
      <c r="HU59" s="66">
        <f>IF(HT59=1,E59,0)</f>
        <v>0</v>
      </c>
      <c r="HV59" s="102">
        <f>IF(HW59=1,GZ59,0)</f>
        <v>0</v>
      </c>
      <c r="HW59" s="66">
        <f>IF(JB59=0,IF(IX59=0,IF(HT59=0,IF(GV59="MUSYAWARAH",GR59,0),0),0),0)</f>
        <v>0</v>
      </c>
      <c r="HX59" s="66">
        <f>IF(HW59=1,E59,0)</f>
        <v>0</v>
      </c>
      <c r="HY59" s="102">
        <f>IF(HZ59=1,HV59+$HI$8,0)</f>
        <v>0</v>
      </c>
      <c r="HZ59" s="66">
        <f>HW59</f>
        <v>0</v>
      </c>
      <c r="IA59" s="66">
        <f>IF(HZ59=1,E59,0)</f>
        <v>0</v>
      </c>
      <c r="IB59" s="102">
        <f>IF(IC59=1,$GU$3+SUM($GY$6:$GY$8),0)</f>
        <v>0</v>
      </c>
      <c r="IC59" s="66">
        <f>IF(GV59="Hasil Valuasi",GQ59,0)</f>
        <v>0</v>
      </c>
      <c r="ID59" s="66">
        <f>IF(IC59=1,E59,0)</f>
        <v>0</v>
      </c>
      <c r="IE59" s="102">
        <f>IF(IF59=1,IB59+$HI$8,0)</f>
        <v>0</v>
      </c>
      <c r="IF59" s="66">
        <f>IC59</f>
        <v>0</v>
      </c>
      <c r="IG59" s="66">
        <f>IF(IF59=1,E59,0)</f>
        <v>0</v>
      </c>
      <c r="IH59" s="102">
        <f>IF(II59=1,$GU$3+SUM($GY$5:$GY$8),0)</f>
        <v>0</v>
      </c>
      <c r="II59" s="66">
        <f>IF(GV59="Survey KJPP",GP59,0)</f>
        <v>0</v>
      </c>
      <c r="IJ59" s="66">
        <f>IF(II59=1,E59,0)</f>
        <v>0</v>
      </c>
      <c r="IK59" s="102">
        <f>IF(IL59=1,IH59+$HI$8,0)</f>
        <v>0</v>
      </c>
      <c r="IL59" s="66">
        <f>II59</f>
        <v>0</v>
      </c>
      <c r="IM59" s="66">
        <f>IF(IL59=1,E59,0)</f>
        <v>0</v>
      </c>
      <c r="IN59" s="83"/>
      <c r="IO59" s="102">
        <f>IF(IP59=1,+$GU$3+$HH$8,0)</f>
        <v>0</v>
      </c>
      <c r="IP59" s="66">
        <f>IF(BG59&gt;0,1,0)</f>
        <v>0</v>
      </c>
      <c r="IQ59" s="66">
        <f>IF(IP59=1,E59,0)</f>
        <v>0</v>
      </c>
      <c r="IR59" s="83"/>
      <c r="IS59" s="102"/>
      <c r="IT59" s="66">
        <f t="shared" si="294"/>
        <v>1</v>
      </c>
      <c r="IU59" s="66">
        <f t="shared" si="294"/>
        <v>50</v>
      </c>
      <c r="IV59" s="83"/>
      <c r="IW59" s="102"/>
      <c r="IX59" s="66">
        <f t="shared" si="295"/>
        <v>0</v>
      </c>
      <c r="IY59" s="66">
        <f t="shared" si="295"/>
        <v>0</v>
      </c>
      <c r="IZ59" s="83"/>
      <c r="JA59" s="102"/>
      <c r="JB59" s="66">
        <f>AN59</f>
        <v>0</v>
      </c>
      <c r="JC59" s="66">
        <f>BB59</f>
        <v>0</v>
      </c>
      <c r="JD59" s="83"/>
      <c r="JE59" s="102"/>
      <c r="JF59" s="66">
        <f>IT59+HQ59+HT59+HZ59+IF59+IL59+IP59+IX59+JB59</f>
        <v>1</v>
      </c>
      <c r="JG59" s="66">
        <f>IU59+HR59+HU59+IA59+IG59+IM59+IQ59+IY59+JC59</f>
        <v>50</v>
      </c>
      <c r="JH59" s="83"/>
      <c r="JI59" s="102"/>
      <c r="JJ59" s="66">
        <f t="shared" si="296"/>
        <v>0</v>
      </c>
      <c r="JK59" s="66">
        <f t="shared" si="296"/>
        <v>0</v>
      </c>
      <c r="JM59" s="102">
        <f>MAX(IW59,IS59,IO59,IK59,IE59,HY59,HS59,HP59)</f>
        <v>0</v>
      </c>
      <c r="JO59" s="29">
        <f>SUM(JQ59:KB59)</f>
        <v>1</v>
      </c>
      <c r="JP59" s="122">
        <f>BN59+CR59</f>
        <v>19</v>
      </c>
      <c r="JQ59" s="122">
        <f t="shared" si="297"/>
        <v>1</v>
      </c>
      <c r="JR59" s="122">
        <f t="shared" si="297"/>
        <v>0</v>
      </c>
      <c r="JS59" s="122">
        <f t="shared" si="297"/>
        <v>0</v>
      </c>
      <c r="JT59" s="122">
        <f t="shared" si="297"/>
        <v>0</v>
      </c>
      <c r="JU59" s="122">
        <f t="shared" si="297"/>
        <v>0</v>
      </c>
      <c r="JV59" s="122">
        <f t="shared" si="297"/>
        <v>0</v>
      </c>
      <c r="JW59" s="122">
        <f t="shared" si="297"/>
        <v>0</v>
      </c>
      <c r="JX59" s="122">
        <f t="shared" si="297"/>
        <v>0</v>
      </c>
      <c r="JY59" s="122">
        <f t="shared" si="297"/>
        <v>0</v>
      </c>
      <c r="JZ59" s="122">
        <f t="shared" si="297"/>
        <v>0</v>
      </c>
      <c r="KA59" s="122">
        <f t="shared" si="297"/>
        <v>0</v>
      </c>
      <c r="KB59" s="122">
        <f t="shared" si="297"/>
        <v>0</v>
      </c>
      <c r="KD59" s="122">
        <f t="shared" si="155"/>
        <v>0</v>
      </c>
      <c r="KE59" s="122">
        <f t="shared" si="91"/>
        <v>0</v>
      </c>
      <c r="KF59" s="122">
        <f t="shared" si="298"/>
        <v>19</v>
      </c>
      <c r="KG59" s="122">
        <f t="shared" si="298"/>
        <v>19</v>
      </c>
      <c r="KH59" s="122">
        <f t="shared" si="298"/>
        <v>0</v>
      </c>
      <c r="KI59" s="122">
        <f t="shared" si="298"/>
        <v>0</v>
      </c>
      <c r="KJ59" s="122">
        <f t="shared" si="298"/>
        <v>0</v>
      </c>
      <c r="KK59" s="122">
        <f t="shared" si="298"/>
        <v>0</v>
      </c>
      <c r="KL59" s="122">
        <f t="shared" si="298"/>
        <v>0</v>
      </c>
      <c r="KM59" s="122">
        <f t="shared" si="298"/>
        <v>0</v>
      </c>
      <c r="KN59" s="123">
        <f t="shared" si="298"/>
        <v>0</v>
      </c>
      <c r="KO59" s="123">
        <f t="shared" si="298"/>
        <v>0</v>
      </c>
      <c r="KP59" s="123">
        <f t="shared" si="298"/>
        <v>0</v>
      </c>
      <c r="KQ59" s="123">
        <f t="shared" si="298"/>
        <v>0</v>
      </c>
      <c r="KR59" s="123">
        <f t="shared" si="298"/>
        <v>0</v>
      </c>
      <c r="KT59">
        <f>AN59</f>
        <v>0</v>
      </c>
      <c r="KU59" s="123"/>
      <c r="KV59" s="123"/>
      <c r="KW59" s="123"/>
      <c r="KX59" s="123"/>
      <c r="KY59" s="123"/>
      <c r="KZ59" s="123"/>
      <c r="LA59" s="123"/>
      <c r="LB59" s="123"/>
      <c r="LC59" s="123"/>
      <c r="LD59" s="123"/>
      <c r="LE59" s="123"/>
      <c r="LF59" s="123"/>
      <c r="LG59" s="123"/>
      <c r="LH59" s="123"/>
      <c r="LI59" s="123"/>
      <c r="LJ59" s="123"/>
      <c r="LK59" s="123"/>
      <c r="LL59" s="123"/>
      <c r="LM59" s="123"/>
      <c r="LN59" s="123"/>
      <c r="LO59" s="123"/>
      <c r="LP59" s="123"/>
      <c r="LQ59" s="123"/>
      <c r="LR59" s="123"/>
      <c r="LS59" s="123"/>
      <c r="LT59" s="123"/>
      <c r="LU59" s="123"/>
      <c r="LV59" s="123"/>
      <c r="LW59" s="123"/>
      <c r="LX59" s="123"/>
      <c r="LY59" s="123"/>
      <c r="LZ59" s="123"/>
      <c r="MA59" s="123"/>
      <c r="MB59" s="123"/>
      <c r="MC59" s="123"/>
      <c r="MD59" s="123"/>
      <c r="ME59" s="123"/>
      <c r="MF59" s="123"/>
      <c r="MG59" s="123"/>
      <c r="MH59" s="123"/>
      <c r="MI59" s="123"/>
      <c r="MJ59" s="123"/>
      <c r="MK59" s="123"/>
      <c r="ML59" s="123"/>
      <c r="MM59" s="123"/>
      <c r="MN59" s="123"/>
      <c r="MO59" s="123"/>
      <c r="MP59" s="123"/>
      <c r="MQ59" s="123"/>
      <c r="MR59" s="123"/>
      <c r="MS59" s="123"/>
      <c r="MT59" s="123"/>
      <c r="MU59" s="123"/>
      <c r="MV59" s="123"/>
      <c r="MW59" s="123"/>
      <c r="MX59" s="123"/>
      <c r="MY59" s="123"/>
      <c r="MZ59" s="123"/>
      <c r="NA59" s="123"/>
      <c r="NB59" s="123"/>
      <c r="NC59" s="123"/>
      <c r="ND59" s="123"/>
      <c r="NE59" s="123"/>
      <c r="NF59" s="123"/>
      <c r="NG59" s="123"/>
      <c r="NH59" s="123"/>
      <c r="NI59" s="123"/>
      <c r="NJ59" s="123"/>
      <c r="NK59" s="123"/>
      <c r="NM59">
        <f>IF(KS59=1,1,0)</f>
        <v>0</v>
      </c>
      <c r="NN59">
        <f>IF(KS59=2,1,0)</f>
        <v>0</v>
      </c>
      <c r="NO59">
        <f>IF(KS59=3,1,0)</f>
        <v>0</v>
      </c>
      <c r="NP59">
        <f>IF(KS59=4,1,0)</f>
        <v>0</v>
      </c>
      <c r="NQ59">
        <f>IF(KS59=5,1,0)</f>
        <v>0</v>
      </c>
      <c r="NR59">
        <f>IF(KS59=6,1,0)</f>
        <v>0</v>
      </c>
      <c r="NS59">
        <f>IF(KS59=7,1,0)</f>
        <v>0</v>
      </c>
      <c r="NT59">
        <f>SUM(NM59:NS59)</f>
        <v>0</v>
      </c>
      <c r="NU59" s="29">
        <f>NT59-KT59</f>
        <v>0</v>
      </c>
      <c r="NY59" s="29">
        <f>V59</f>
        <v>1</v>
      </c>
      <c r="NZ59" s="152">
        <v>7275000</v>
      </c>
      <c r="OE59" s="155">
        <f t="shared" si="194"/>
        <v>0</v>
      </c>
      <c r="OF59" s="155">
        <f t="shared" si="195"/>
        <v>0</v>
      </c>
      <c r="OG59" s="155">
        <f t="shared" si="196"/>
        <v>0</v>
      </c>
      <c r="OH59" s="155">
        <f t="shared" si="165"/>
        <v>0</v>
      </c>
      <c r="OI59" s="155">
        <f t="shared" si="197"/>
        <v>0</v>
      </c>
      <c r="OJ59" s="67">
        <f t="shared" si="166"/>
        <v>0</v>
      </c>
      <c r="OK59" s="67">
        <f t="shared" si="167"/>
        <v>0</v>
      </c>
      <c r="OL59" s="67">
        <f t="shared" si="168"/>
        <v>0</v>
      </c>
      <c r="OM59" s="67">
        <f t="shared" si="169"/>
        <v>0</v>
      </c>
      <c r="OO59" s="155">
        <f t="shared" si="198"/>
        <v>0</v>
      </c>
      <c r="OP59" s="155">
        <f t="shared" si="199"/>
        <v>0</v>
      </c>
      <c r="OQ59" s="155">
        <f t="shared" si="170"/>
        <v>0</v>
      </c>
      <c r="OR59" s="155">
        <f t="shared" si="171"/>
        <v>0</v>
      </c>
      <c r="OS59" s="155">
        <f t="shared" si="172"/>
        <v>0</v>
      </c>
      <c r="OT59" s="67">
        <f t="shared" si="173"/>
        <v>0</v>
      </c>
      <c r="OU59" s="67">
        <f t="shared" si="174"/>
        <v>0</v>
      </c>
      <c r="OV59" s="67">
        <f t="shared" si="175"/>
        <v>0</v>
      </c>
      <c r="OW59" s="67">
        <f t="shared" si="176"/>
        <v>0</v>
      </c>
      <c r="OZ59" s="163">
        <f t="shared" si="200"/>
        <v>0</v>
      </c>
      <c r="PA59" s="166"/>
      <c r="PB59" s="166"/>
      <c r="PC59" s="166"/>
      <c r="PD59" s="210">
        <f t="shared" si="115"/>
        <v>0</v>
      </c>
      <c r="PE59" s="210"/>
      <c r="PF59" s="210">
        <f t="shared" si="116"/>
        <v>0</v>
      </c>
      <c r="PG59" s="210">
        <f t="shared" si="286"/>
        <v>0</v>
      </c>
      <c r="PH59" s="210">
        <f t="shared" si="286"/>
        <v>0</v>
      </c>
      <c r="PI59" s="210">
        <f t="shared" si="286"/>
        <v>0</v>
      </c>
      <c r="PJ59" s="210">
        <f t="shared" si="286"/>
        <v>0</v>
      </c>
      <c r="PK59" s="210">
        <f t="shared" si="286"/>
        <v>0</v>
      </c>
      <c r="PL59" s="210">
        <f t="shared" si="286"/>
        <v>0</v>
      </c>
      <c r="PO59" s="172">
        <f t="shared" si="177"/>
        <v>0</v>
      </c>
      <c r="PP59" s="172">
        <f t="shared" si="178"/>
        <v>0</v>
      </c>
      <c r="PQ59" s="172">
        <f t="shared" si="179"/>
        <v>0</v>
      </c>
    </row>
    <row r="60" spans="1:433" ht="16" x14ac:dyDescent="0.2">
      <c r="A60" s="19"/>
      <c r="B60" s="237"/>
      <c r="C60" s="186"/>
      <c r="D60" s="188"/>
      <c r="E60" s="188"/>
      <c r="F60" s="188"/>
      <c r="G60" s="188"/>
      <c r="H60" s="214"/>
      <c r="I60" s="214"/>
      <c r="J60" s="188"/>
      <c r="K60" s="188"/>
      <c r="L60" s="214"/>
      <c r="M60" s="214"/>
      <c r="N60" s="188"/>
      <c r="O60" s="188"/>
      <c r="P60" s="214"/>
      <c r="Q60" s="214"/>
      <c r="R60" s="188"/>
      <c r="S60" s="188"/>
      <c r="T60" s="214"/>
      <c r="U60" s="214"/>
      <c r="V60" s="188"/>
      <c r="W60" s="188"/>
      <c r="X60" s="214"/>
      <c r="Y60" s="214"/>
      <c r="Z60" s="216"/>
      <c r="AA60" s="188"/>
      <c r="AB60" s="189"/>
      <c r="AC60" s="250"/>
      <c r="AD60" s="250"/>
      <c r="AE60" s="188"/>
      <c r="AF60" s="188"/>
      <c r="AG60" s="188"/>
      <c r="AH60" s="188"/>
      <c r="AI60" s="188"/>
      <c r="AJ60" s="188"/>
      <c r="AK60" s="188"/>
      <c r="AL60" s="188"/>
      <c r="AM60" s="188"/>
      <c r="AN60" s="217"/>
      <c r="AO60" s="195"/>
      <c r="AP60" s="195"/>
      <c r="AQ60" s="195"/>
      <c r="AR60" s="195"/>
      <c r="AS60" s="195"/>
      <c r="AT60" s="195"/>
      <c r="BB60" s="17"/>
      <c r="BE60" s="17"/>
      <c r="BF60" s="17"/>
      <c r="BG60" s="17"/>
      <c r="BH60" s="17"/>
      <c r="BI60" s="17"/>
      <c r="BJ60" s="17"/>
      <c r="BK60" s="17"/>
      <c r="BM60" s="128"/>
      <c r="BN60" s="147"/>
      <c r="BO60" s="127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B60" s="20"/>
      <c r="CD60" s="17"/>
      <c r="CE60" s="17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DV60" s="20"/>
      <c r="DW60" s="20"/>
      <c r="DX60" s="20"/>
      <c r="DY60" s="20"/>
      <c r="DZ60" s="20"/>
      <c r="EA60" s="20"/>
      <c r="EB60" s="20"/>
      <c r="EG60" s="57"/>
      <c r="EH60" s="5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X60" s="169"/>
      <c r="FY60" s="17"/>
      <c r="FZ60" s="17"/>
      <c r="GA60" s="17"/>
      <c r="GB60" s="17"/>
      <c r="GC60" s="17"/>
      <c r="GD60" s="17"/>
      <c r="GE60" s="17"/>
      <c r="GF60" s="67"/>
      <c r="GG60" s="17"/>
      <c r="GH60" s="17"/>
      <c r="GI60" s="67"/>
      <c r="GJ60" s="62"/>
      <c r="GK60" s="62"/>
      <c r="GL60" s="157"/>
      <c r="GO60" s="17"/>
      <c r="GP60" s="17"/>
      <c r="GQ60" s="17"/>
      <c r="GR60" s="17"/>
      <c r="GS60" s="17"/>
      <c r="GT60" s="17"/>
      <c r="GU60" s="101"/>
      <c r="GV60" s="17"/>
      <c r="GW60" s="17"/>
      <c r="GX60" s="66"/>
      <c r="GY60" s="66"/>
      <c r="GZ60" s="102"/>
      <c r="HA60" s="83"/>
      <c r="HB60" s="83"/>
      <c r="HC60" s="17"/>
      <c r="HD60" s="17"/>
      <c r="HE60" s="17"/>
      <c r="HF60" s="17"/>
      <c r="HG60" s="17"/>
      <c r="HH60" s="101"/>
      <c r="HI60" s="101"/>
      <c r="HJ60" s="27"/>
      <c r="HK60" s="101"/>
      <c r="HL60" s="83"/>
      <c r="HM60" s="83"/>
      <c r="HN60" s="83"/>
      <c r="HO60" s="83"/>
      <c r="HP60" s="102"/>
      <c r="HQ60" s="66"/>
      <c r="HR60" s="66"/>
      <c r="HS60" s="102"/>
      <c r="HT60" s="66"/>
      <c r="HU60" s="66"/>
      <c r="HV60" s="102"/>
      <c r="HW60" s="66"/>
      <c r="HX60" s="66"/>
      <c r="HY60" s="102"/>
      <c r="HZ60" s="66"/>
      <c r="IA60" s="66"/>
      <c r="IB60" s="102"/>
      <c r="IC60" s="66"/>
      <c r="ID60" s="66"/>
      <c r="IE60" s="102"/>
      <c r="IF60" s="66"/>
      <c r="IG60" s="66"/>
      <c r="IH60" s="102"/>
      <c r="II60" s="66"/>
      <c r="IJ60" s="66"/>
      <c r="IK60" s="102"/>
      <c r="IL60" s="66"/>
      <c r="IM60" s="66"/>
      <c r="IN60" s="83"/>
      <c r="IO60" s="102"/>
      <c r="IP60" s="66"/>
      <c r="IQ60" s="66"/>
      <c r="IR60" s="83"/>
      <c r="IS60" s="102"/>
      <c r="IT60" s="66"/>
      <c r="IU60" s="66"/>
      <c r="IV60" s="83"/>
      <c r="IW60" s="102"/>
      <c r="IX60" s="66"/>
      <c r="IY60" s="66"/>
      <c r="IZ60" s="83"/>
      <c r="JA60" s="102"/>
      <c r="JB60" s="66"/>
      <c r="JC60" s="66"/>
      <c r="JD60" s="83"/>
      <c r="JE60" s="102"/>
      <c r="JF60" s="66"/>
      <c r="JG60" s="66"/>
      <c r="JH60" s="83"/>
      <c r="JI60" s="102"/>
      <c r="JJ60" s="66"/>
      <c r="JK60" s="66"/>
      <c r="JM60" s="102"/>
      <c r="JO60" s="29"/>
      <c r="JP60" s="122"/>
      <c r="JQ60" s="122"/>
      <c r="JR60" s="122"/>
      <c r="JS60" s="122"/>
      <c r="JT60" s="122"/>
      <c r="JU60" s="122"/>
      <c r="JV60" s="122"/>
      <c r="JW60" s="122"/>
      <c r="JX60" s="122"/>
      <c r="JY60" s="122"/>
      <c r="JZ60" s="122"/>
      <c r="KA60" s="122"/>
      <c r="KB60" s="122"/>
      <c r="KD60" s="122">
        <f t="shared" si="155"/>
        <v>0</v>
      </c>
      <c r="KE60" s="122">
        <f t="shared" si="91"/>
        <v>0</v>
      </c>
      <c r="KF60" s="122"/>
      <c r="KG60" s="122"/>
      <c r="KH60" s="122"/>
      <c r="KI60" s="122"/>
      <c r="KJ60" s="122"/>
      <c r="KK60" s="122"/>
      <c r="KL60" s="122"/>
      <c r="KM60" s="122"/>
      <c r="KN60" s="123"/>
      <c r="KO60" s="123"/>
      <c r="KP60" s="123"/>
      <c r="KQ60" s="123"/>
      <c r="KR60" s="123"/>
      <c r="KU60" s="123"/>
      <c r="KV60" s="123"/>
      <c r="KW60" s="123"/>
      <c r="KX60" s="123"/>
      <c r="KY60" s="123"/>
      <c r="KZ60" s="123"/>
      <c r="LA60" s="123"/>
      <c r="LB60" s="123"/>
      <c r="LC60" s="123"/>
      <c r="LD60" s="123"/>
      <c r="LE60" s="123"/>
      <c r="LF60" s="123"/>
      <c r="LG60" s="123"/>
      <c r="LH60" s="123"/>
      <c r="LI60" s="123"/>
      <c r="LJ60" s="123"/>
      <c r="LK60" s="123"/>
      <c r="LL60" s="123"/>
      <c r="LM60" s="123"/>
      <c r="LN60" s="123"/>
      <c r="LO60" s="123"/>
      <c r="LP60" s="123"/>
      <c r="LQ60" s="123"/>
      <c r="LR60" s="123"/>
      <c r="LS60" s="123"/>
      <c r="LT60" s="123"/>
      <c r="LU60" s="123"/>
      <c r="LV60" s="123"/>
      <c r="LW60" s="123"/>
      <c r="LX60" s="123"/>
      <c r="LY60" s="123"/>
      <c r="LZ60" s="123"/>
      <c r="MA60" s="123"/>
      <c r="MB60" s="123"/>
      <c r="MC60" s="123"/>
      <c r="MD60" s="123"/>
      <c r="ME60" s="123"/>
      <c r="MF60" s="123"/>
      <c r="MG60" s="123"/>
      <c r="MH60" s="123"/>
      <c r="MI60" s="123"/>
      <c r="MJ60" s="123"/>
      <c r="MK60" s="123"/>
      <c r="ML60" s="123"/>
      <c r="MM60" s="123"/>
      <c r="MN60" s="123"/>
      <c r="MO60" s="123"/>
      <c r="MP60" s="123"/>
      <c r="MQ60" s="123"/>
      <c r="MR60" s="123"/>
      <c r="MS60" s="123"/>
      <c r="MT60" s="123"/>
      <c r="MU60" s="123"/>
      <c r="MV60" s="123"/>
      <c r="MW60" s="123"/>
      <c r="MX60" s="123"/>
      <c r="MY60" s="123"/>
      <c r="MZ60" s="123"/>
      <c r="NA60" s="123"/>
      <c r="NB60" s="123"/>
      <c r="NC60" s="123"/>
      <c r="ND60" s="123"/>
      <c r="NE60" s="123"/>
      <c r="NF60" s="123"/>
      <c r="NG60" s="123"/>
      <c r="NH60" s="123"/>
      <c r="NI60" s="123"/>
      <c r="NJ60" s="123"/>
      <c r="NK60" s="123"/>
      <c r="NU60" s="29"/>
      <c r="NY60" s="29"/>
      <c r="NZ60" s="152"/>
      <c r="OE60" s="155"/>
      <c r="OF60" s="155"/>
      <c r="OG60" s="155"/>
      <c r="OH60" s="155"/>
      <c r="OI60" s="155"/>
      <c r="OJ60" s="67"/>
      <c r="OK60" s="67"/>
      <c r="OL60" s="67"/>
      <c r="OM60" s="67"/>
      <c r="OO60" s="155"/>
      <c r="OP60" s="155"/>
      <c r="OQ60" s="155"/>
      <c r="OR60" s="155"/>
      <c r="OS60" s="155"/>
      <c r="OT60" s="67"/>
      <c r="OU60" s="67"/>
      <c r="OV60" s="67"/>
      <c r="OW60" s="67"/>
      <c r="OZ60" s="163">
        <f t="shared" si="200"/>
        <v>0</v>
      </c>
      <c r="PA60" s="166"/>
      <c r="PB60" s="166"/>
      <c r="PC60" s="166"/>
      <c r="PD60" s="210">
        <f t="shared" si="115"/>
        <v>0</v>
      </c>
      <c r="PE60" s="210"/>
      <c r="PF60" s="210">
        <f t="shared" si="116"/>
        <v>0</v>
      </c>
      <c r="PG60" s="210">
        <f t="shared" si="286"/>
        <v>0</v>
      </c>
      <c r="PH60" s="210">
        <f t="shared" si="286"/>
        <v>0</v>
      </c>
      <c r="PI60" s="210">
        <f t="shared" si="286"/>
        <v>0</v>
      </c>
      <c r="PJ60" s="210">
        <f t="shared" si="286"/>
        <v>0</v>
      </c>
      <c r="PK60" s="210">
        <f t="shared" si="286"/>
        <v>0</v>
      </c>
      <c r="PL60" s="210">
        <f t="shared" si="286"/>
        <v>0</v>
      </c>
      <c r="PO60" s="172">
        <f t="shared" si="177"/>
        <v>0</v>
      </c>
      <c r="PP60" s="172">
        <f t="shared" si="178"/>
        <v>0</v>
      </c>
      <c r="PQ60" s="172">
        <f t="shared" si="179"/>
        <v>0</v>
      </c>
    </row>
    <row r="61" spans="1:433" ht="16" x14ac:dyDescent="0.2">
      <c r="A61" s="19">
        <f>A59+1</f>
        <v>49</v>
      </c>
      <c r="B61" s="237" t="s">
        <v>610</v>
      </c>
      <c r="C61" s="186">
        <v>2</v>
      </c>
      <c r="D61" s="188">
        <v>1</v>
      </c>
      <c r="E61" s="188">
        <v>138</v>
      </c>
      <c r="F61" s="188">
        <v>1</v>
      </c>
      <c r="G61" s="188">
        <f t="shared" ref="G61:G67" si="305">E61</f>
        <v>138</v>
      </c>
      <c r="H61" s="214">
        <f t="shared" ref="H61:H69" si="306">F61/$D61</f>
        <v>1</v>
      </c>
      <c r="I61" s="214">
        <f t="shared" ref="I61:I69" si="307">G61/$E61</f>
        <v>1</v>
      </c>
      <c r="J61" s="188">
        <v>1</v>
      </c>
      <c r="K61" s="188">
        <f t="shared" ref="K61:K69" si="308">IF(J61=D61,E61,0)</f>
        <v>138</v>
      </c>
      <c r="L61" s="214">
        <f t="shared" ref="L61:L69" si="309">J61/$D61</f>
        <v>1</v>
      </c>
      <c r="M61" s="214">
        <f t="shared" ref="M61:M69" si="310">K61/$E61</f>
        <v>1</v>
      </c>
      <c r="N61" s="188">
        <v>1</v>
      </c>
      <c r="O61" s="188">
        <f t="shared" ref="O61:O69" si="311">IF(N61=D61,E61,0)</f>
        <v>138</v>
      </c>
      <c r="P61" s="214">
        <f t="shared" ref="P61:P69" si="312">N61/$D61</f>
        <v>1</v>
      </c>
      <c r="Q61" s="214">
        <f t="shared" ref="Q61:Q69" si="313">O61/$E61</f>
        <v>1</v>
      </c>
      <c r="R61" s="188"/>
      <c r="S61" s="188">
        <f t="shared" ref="S61:S69" si="314">IF(R61=D61,E61,0)</f>
        <v>0</v>
      </c>
      <c r="T61" s="214">
        <f t="shared" ref="T61:T69" si="315">R61/$D61</f>
        <v>0</v>
      </c>
      <c r="U61" s="214">
        <f t="shared" ref="U61:U69" si="316">S61/$E61</f>
        <v>0</v>
      </c>
      <c r="V61" s="188"/>
      <c r="W61" s="188">
        <f t="shared" ref="W61:W69" si="317">IF(V61=D61,E61,0)</f>
        <v>0</v>
      </c>
      <c r="X61" s="214">
        <f t="shared" ref="X61:X69" si="318">V61/$D61</f>
        <v>0</v>
      </c>
      <c r="Y61" s="214">
        <f t="shared" ref="Y61:Y69" si="319">W61/$E61</f>
        <v>0</v>
      </c>
      <c r="Z61" s="216"/>
      <c r="AA61" s="188">
        <v>0</v>
      </c>
      <c r="AB61" s="189">
        <f t="shared" ref="AB61:AB69" si="320">IF(AA61=D61,E61,0)</f>
        <v>0</v>
      </c>
      <c r="AC61" s="250">
        <f t="shared" ref="AC61:AC69" si="321">AA61/$D61</f>
        <v>0</v>
      </c>
      <c r="AD61" s="250">
        <f t="shared" ref="AD61:AD69" si="322">AB61/$E61</f>
        <v>0</v>
      </c>
      <c r="AE61" s="188"/>
      <c r="AF61" s="188">
        <f t="shared" ref="AF61:AF69" si="323">R61-V61</f>
        <v>0</v>
      </c>
      <c r="AG61" s="188"/>
      <c r="AH61" s="188"/>
      <c r="AI61" s="188">
        <v>0</v>
      </c>
      <c r="AJ61" s="188">
        <f t="shared" ref="AJ61:AJ69" si="324">IF(AI61=D61,E61,0)</f>
        <v>0</v>
      </c>
      <c r="AK61" s="188"/>
      <c r="AL61" s="188">
        <v>0</v>
      </c>
      <c r="AM61" s="188">
        <v>0</v>
      </c>
      <c r="AN61" s="217">
        <v>1</v>
      </c>
      <c r="AO61" s="195"/>
      <c r="AP61" s="195"/>
      <c r="AQ61" s="195"/>
      <c r="AR61" s="195"/>
      <c r="AS61" s="195"/>
      <c r="AT61" s="195"/>
      <c r="BB61" s="17">
        <f>IF(AN61=1,E61,0)</f>
        <v>138</v>
      </c>
      <c r="BE61" s="17">
        <f t="shared" ref="BE61:BE69" si="325">IF(AF61=1,S61,0)</f>
        <v>0</v>
      </c>
      <c r="BF61" s="17">
        <f t="shared" ref="BF61:BF69" si="326">IF(AG61="A",S61,0)</f>
        <v>0</v>
      </c>
      <c r="BG61" s="17">
        <f t="shared" ref="BG61:BG69" si="327">IF(AG61="B",S61,0)</f>
        <v>0</v>
      </c>
      <c r="BH61" s="17">
        <f t="shared" ref="BH61:BH69" si="328">IF(AG61="C",S61,0)</f>
        <v>0</v>
      </c>
      <c r="BI61" s="17">
        <f t="shared" ref="BI61:BI69" si="329">IF(AG61="D",S61,0)</f>
        <v>0</v>
      </c>
      <c r="BJ61" s="17">
        <f t="shared" ref="BJ61:BJ69" si="330">IF(AG61="E",S61,0)</f>
        <v>0</v>
      </c>
      <c r="BK61" s="17">
        <f t="shared" ref="BK61:BK69" si="331">SUM(BF61:BJ61)</f>
        <v>0</v>
      </c>
      <c r="BM61" s="128"/>
      <c r="BN61" s="147"/>
      <c r="BO61" s="127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B61" s="20"/>
      <c r="CD61" s="17">
        <f t="shared" ref="CD61:CD69" si="332">BN61</f>
        <v>0</v>
      </c>
      <c r="CE61" s="17">
        <f t="shared" ref="CE61:CE69" si="333">IF(BO61=1,$CD61,0)</f>
        <v>0</v>
      </c>
      <c r="CF61" s="20">
        <f t="shared" ref="CF61:CF69" si="334">IF(BP61=1,$CD61,0)</f>
        <v>0</v>
      </c>
      <c r="CG61" s="20">
        <f t="shared" ref="CG61:CG69" si="335">IF(BQ61=1,$CD61,0)</f>
        <v>0</v>
      </c>
      <c r="CH61" s="20">
        <f t="shared" ref="CH61:CH69" si="336">IF(BR61=1,$CD61,0)</f>
        <v>0</v>
      </c>
      <c r="CI61" s="20">
        <f t="shared" ref="CI61:CI69" si="337">IF(BS61=1,$CD61,0)</f>
        <v>0</v>
      </c>
      <c r="CJ61" s="20">
        <f t="shared" ref="CJ61:CJ69" si="338">IF(BT61=1,$CD61,0)</f>
        <v>0</v>
      </c>
      <c r="CK61" s="20">
        <f t="shared" ref="CK61:CK69" si="339">IF(BU61=1,$CD61,0)</f>
        <v>0</v>
      </c>
      <c r="CL61" s="20">
        <f t="shared" ref="CL61:CL69" si="340">IF(BV61=1,$CD61,0)</f>
        <v>0</v>
      </c>
      <c r="CM61" s="20">
        <f t="shared" ref="CM61:CM69" si="341">IF(BW61=1,$CD61,0)</f>
        <v>0</v>
      </c>
      <c r="CN61" s="20">
        <f t="shared" ref="CN61:CN69" si="342">IF(BX61=1,$CD61,0)</f>
        <v>0</v>
      </c>
      <c r="CO61" s="20">
        <f t="shared" ref="CO61:CO69" si="343">IF(BY61=1,$CD61,0)</f>
        <v>0</v>
      </c>
      <c r="CP61" s="20">
        <f t="shared" ref="CP61:CP69" si="344">IF(BZ61=1,$CD61,0)</f>
        <v>0</v>
      </c>
      <c r="DV61" s="20">
        <f t="shared" ref="DV61:DV69" si="345">IF(CB61=1,G61,0)</f>
        <v>0</v>
      </c>
      <c r="DW61" s="20">
        <f t="shared" ref="DW61:DW69" si="346">IF(CC61="A",G61,0)</f>
        <v>0</v>
      </c>
      <c r="DX61" s="20">
        <f t="shared" ref="DX61:DX69" si="347">IF(CC61="B",G61,0)</f>
        <v>0</v>
      </c>
      <c r="DY61" s="20">
        <f t="shared" ref="DY61:DY69" si="348">IF(CC61="C",G61,0)</f>
        <v>0</v>
      </c>
      <c r="DZ61" s="20">
        <f t="shared" ref="DZ61:DZ69" si="349">IF(CC61="D",G61,0)</f>
        <v>0</v>
      </c>
      <c r="EA61" s="20">
        <f t="shared" ref="EA61:EA69" si="350">IF(CC61="E",G61,0)</f>
        <v>0</v>
      </c>
      <c r="EB61" s="20">
        <f t="shared" ref="EB61:EB69" si="351">SUM(DW61:EA61)</f>
        <v>0</v>
      </c>
      <c r="EG61" s="57">
        <f t="shared" ref="EG61:EG69" si="352">IF(AG61="C","C",IF(AG61="D","D",0))</f>
        <v>0</v>
      </c>
      <c r="EH61" s="57">
        <f t="shared" ref="EH61:EH69" si="353">CC61</f>
        <v>0</v>
      </c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X61" s="169"/>
      <c r="FY61" s="17">
        <f t="shared" ref="FY61:FY69" si="354">SUM(FZ61:GE61)</f>
        <v>0</v>
      </c>
      <c r="FZ61" s="17">
        <f t="shared" ref="FZ61:GB69" si="355">DI61+CE61</f>
        <v>0</v>
      </c>
      <c r="GA61" s="17">
        <f t="shared" si="355"/>
        <v>0</v>
      </c>
      <c r="GB61" s="17">
        <f t="shared" si="355"/>
        <v>0</v>
      </c>
      <c r="GC61" s="17">
        <f>DM61+CI61</f>
        <v>0</v>
      </c>
      <c r="GD61" s="17">
        <f>DO61+CK61</f>
        <v>0</v>
      </c>
      <c r="GE61" s="17">
        <f>DT61+CP61</f>
        <v>0</v>
      </c>
      <c r="GF61" s="67"/>
      <c r="GG61" s="17">
        <v>0</v>
      </c>
      <c r="GH61" s="17">
        <v>0</v>
      </c>
      <c r="GI61" s="67"/>
      <c r="GJ61" s="62">
        <f t="shared" ref="GJ61:GJ69" si="356">FY61*GG61/1000000000</f>
        <v>0</v>
      </c>
      <c r="GK61" s="62">
        <f t="shared" ref="GK61:GK69" si="357">FY61*GH61/1000000000</f>
        <v>0</v>
      </c>
      <c r="GO61" s="17">
        <f>D61-F61</f>
        <v>0</v>
      </c>
      <c r="GP61" s="17">
        <f>D61-J61</f>
        <v>0</v>
      </c>
      <c r="GQ61" s="17">
        <f>D61-N61</f>
        <v>0</v>
      </c>
      <c r="GR61" s="17">
        <f>D61-R61</f>
        <v>1</v>
      </c>
      <c r="GS61" s="17">
        <f>D61-V61</f>
        <v>1</v>
      </c>
      <c r="GT61" s="17">
        <f t="shared" ref="GT61:GT69" si="358">IF(SUM(GO61:GS61)=0,1,0)</f>
        <v>0</v>
      </c>
      <c r="GU61" s="101">
        <f t="shared" si="134"/>
        <v>43243</v>
      </c>
      <c r="GV61" s="17" t="str">
        <f t="shared" ref="GV61:GV69" si="359">IF(GO61&gt;0,$GO$6,IF(GP61&gt;0,$GP$6,IF(GQ61&gt;0,$GQ$6,IF(GR61&gt;0,$GR$6,IF(GS61&gt;0,$GS$6,IF(GT61&gt;0,$GT$6,0))))))</f>
        <v>Musyawarah</v>
      </c>
      <c r="GW61" s="17">
        <f t="shared" ref="GW61:GW69" si="360">IF(GV61=$GO$6,GO61,IF(GV61=$GP$6,GP61,IF(GV61=$GQ$6,GQ61,IF(GV61=$GR$6,GR61,IF(GV61=$GS$6,GS61,0)))))</f>
        <v>1</v>
      </c>
      <c r="GX61" s="66" t="str">
        <f t="shared" ref="GX61:GX69" si="361">GV61</f>
        <v>Musyawarah</v>
      </c>
      <c r="GY61" s="66">
        <f t="shared" ref="GY61:GY69" si="362">IF(GX61="DNP",SUM($GY$4:$GY$8),IF(GX61="Survey KJPP",SUM($GY$5:$GY$8),IF(GX61="Hasil Valuasi",SUM($GY$6:$GY$8),IF(GX61="Musyawarah",SUM($GY$7:$GY$8),IF(GX61="UGR",$GY$8,0)))))</f>
        <v>24</v>
      </c>
      <c r="GZ61" s="102">
        <f t="shared" ref="GZ61:GZ69" si="363">IF(GW61=0,"SELESAI",GU61+GY61)</f>
        <v>43267</v>
      </c>
      <c r="HA61" s="83"/>
      <c r="HB61" s="83"/>
      <c r="HC61" s="17">
        <f>IF(BH61&gt;0,1,IF(BI61&gt;0,1,0))</f>
        <v>0</v>
      </c>
      <c r="HD61" s="17">
        <f>IF(CB61&gt;0,1,0)</f>
        <v>0</v>
      </c>
      <c r="HE61" s="17">
        <f t="shared" ref="HE61:HE69" si="364">HC61+HD61</f>
        <v>0</v>
      </c>
      <c r="HF61" s="17">
        <f t="shared" ref="HF61:HF69" si="365">FQ61</f>
        <v>0</v>
      </c>
      <c r="HG61" s="17">
        <f t="shared" ref="HG61:HG69" si="366">HE61-HF61</f>
        <v>0</v>
      </c>
      <c r="HH61" s="101" t="str">
        <f t="shared" ref="HH61:HH69" si="367">IF(HG61=1,GU61+$HH$8,"TIDAK KONSINYASI")</f>
        <v>TIDAK KONSINYASI</v>
      </c>
      <c r="HI61" s="101">
        <f t="shared" ref="HI61:HI69" si="368">IF(GW61=0,"SELESAI",GZ61+$HI$8)</f>
        <v>43312</v>
      </c>
      <c r="HJ61" s="27"/>
      <c r="HK61" s="101">
        <f t="shared" ref="HK61:HK69" si="369">MAX(GZ61,HH61,HI61)</f>
        <v>43312</v>
      </c>
      <c r="HL61" s="83"/>
      <c r="HM61" s="83"/>
      <c r="HN61" s="83"/>
      <c r="HO61" s="83"/>
      <c r="HP61" s="102">
        <f t="shared" ref="HP61:HP69" si="370">IF(HQ61=1,GZ61,0)</f>
        <v>0</v>
      </c>
      <c r="HQ61" s="66">
        <f t="shared" ref="HQ61:HQ69" si="371">IF(IX61=0,IF(HT61=0,IF(IP61=0,IF(GV61="UGR",GS61,0),0),0),0)</f>
        <v>0</v>
      </c>
      <c r="HR61" s="66">
        <f>IF(HQ61=1,E61,0)</f>
        <v>0</v>
      </c>
      <c r="HS61" s="102">
        <f t="shared" ref="HS61:HS69" si="372">IF(HT61=1,HH61,0)</f>
        <v>0</v>
      </c>
      <c r="HT61" s="66">
        <f t="shared" ref="HT61:HT69" si="373">HG61</f>
        <v>0</v>
      </c>
      <c r="HU61" s="66">
        <f>IF(HT61=1,E61,0)</f>
        <v>0</v>
      </c>
      <c r="HV61" s="102">
        <f t="shared" ref="HV61:HV69" si="374">IF(HW61=1,GZ61,0)</f>
        <v>0</v>
      </c>
      <c r="HW61" s="66">
        <f t="shared" ref="HW61:HW69" si="375">IF(JB61=0,IF(IX61=0,IF(HT61=0,IF(GV61="MUSYAWARAH",GR61,0),0),0),0)</f>
        <v>0</v>
      </c>
      <c r="HX61" s="66">
        <f>IF(HW61=1,E61,0)</f>
        <v>0</v>
      </c>
      <c r="HY61" s="102">
        <f t="shared" ref="HY61:HY69" si="376">IF(HZ61=1,HV61+$HI$8,0)</f>
        <v>0</v>
      </c>
      <c r="HZ61" s="66">
        <f t="shared" ref="HZ61:HZ69" si="377">HW61</f>
        <v>0</v>
      </c>
      <c r="IA61" s="66">
        <f>IF(HZ61=1,E61,0)</f>
        <v>0</v>
      </c>
      <c r="IB61" s="102">
        <f t="shared" ref="IB61:IB69" si="378">IF(IC61=1,$GU$3+SUM($GY$6:$GY$8),0)</f>
        <v>0</v>
      </c>
      <c r="IC61" s="66">
        <f t="shared" ref="IC61:IC69" si="379">IF(GV61="Hasil Valuasi",GQ61,0)</f>
        <v>0</v>
      </c>
      <c r="ID61" s="66">
        <f>IF(IC61=1,E61,0)</f>
        <v>0</v>
      </c>
      <c r="IE61" s="102">
        <f t="shared" ref="IE61:IE69" si="380">IF(IF61=1,IB61+$HI$8,0)</f>
        <v>0</v>
      </c>
      <c r="IF61" s="66">
        <f t="shared" ref="IF61:IF69" si="381">IC61</f>
        <v>0</v>
      </c>
      <c r="IG61" s="66">
        <f>IF(IF61=1,E61,0)</f>
        <v>0</v>
      </c>
      <c r="IH61" s="102">
        <f t="shared" ref="IH61:IH69" si="382">IF(II61=1,$GU$3+SUM($GY$5:$GY$8),0)</f>
        <v>0</v>
      </c>
      <c r="II61" s="66">
        <f t="shared" ref="II61:II69" si="383">IF(GV61="Survey KJPP",GP61,0)</f>
        <v>0</v>
      </c>
      <c r="IJ61" s="66">
        <f>IF(II61=1,E61,0)</f>
        <v>0</v>
      </c>
      <c r="IK61" s="102">
        <f t="shared" ref="IK61:IK69" si="384">IF(IL61=1,IH61+$HI$8,0)</f>
        <v>0</v>
      </c>
      <c r="IL61" s="66">
        <f t="shared" ref="IL61:IL69" si="385">II61</f>
        <v>0</v>
      </c>
      <c r="IM61" s="66">
        <f>IF(IL61=1,E61,0)</f>
        <v>0</v>
      </c>
      <c r="IN61" s="83"/>
      <c r="IO61" s="102">
        <f t="shared" ref="IO61:IO69" si="386">IF(IP61=1,+$GU$3+$HH$8,0)</f>
        <v>0</v>
      </c>
      <c r="IP61" s="66">
        <f>IF(BG61&gt;0,1,0)</f>
        <v>0</v>
      </c>
      <c r="IQ61" s="66">
        <f>IF(IP61=1,E61,0)</f>
        <v>0</v>
      </c>
      <c r="IR61" s="83"/>
      <c r="IS61" s="102"/>
      <c r="IT61" s="66">
        <f t="shared" ref="IT61:IU69" si="387">V61</f>
        <v>0</v>
      </c>
      <c r="IU61" s="66">
        <f t="shared" si="387"/>
        <v>0</v>
      </c>
      <c r="IV61" s="83"/>
      <c r="IW61" s="102"/>
      <c r="IX61" s="66">
        <f t="shared" ref="IX61:IY69" si="388">AA61</f>
        <v>0</v>
      </c>
      <c r="IY61" s="66">
        <f t="shared" si="388"/>
        <v>0</v>
      </c>
      <c r="IZ61" s="83"/>
      <c r="JA61" s="102"/>
      <c r="JB61" s="66">
        <f>AN61</f>
        <v>1</v>
      </c>
      <c r="JC61" s="66">
        <f>BB61</f>
        <v>138</v>
      </c>
      <c r="JD61" s="83"/>
      <c r="JE61" s="102"/>
      <c r="JF61" s="66">
        <f t="shared" ref="JF61:JF69" si="389">IT61+HQ61+HT61+HZ61+IF61+IL61+IP61+IX61+JB61</f>
        <v>1</v>
      </c>
      <c r="JG61" s="66">
        <f t="shared" ref="JG61:JG69" si="390">IU61+HR61+HU61+IA61+IG61+IM61+IQ61+IY61+JC61</f>
        <v>138</v>
      </c>
      <c r="JH61" s="83"/>
      <c r="JI61" s="102"/>
      <c r="JJ61" s="66">
        <f t="shared" ref="JJ61:JK69" si="391">JF61-D61</f>
        <v>0</v>
      </c>
      <c r="JK61" s="66">
        <f t="shared" si="391"/>
        <v>0</v>
      </c>
      <c r="JM61" s="102">
        <f t="shared" ref="JM61:JM69" si="392">MAX(IW61,IS61,IO61,IK61,IE61,HY61,HS61,HP61)</f>
        <v>0</v>
      </c>
      <c r="JO61" s="29">
        <f t="shared" ref="JO61:JO69" si="393">SUM(JQ61:KB61)</f>
        <v>0</v>
      </c>
      <c r="JP61" s="122">
        <f>BN61+CR61</f>
        <v>0</v>
      </c>
      <c r="JQ61" s="122">
        <f t="shared" ref="JQ61:KB69" si="394">IF(BO61+CS61=2,1,IF(BO61+CS61=1,1,0))</f>
        <v>0</v>
      </c>
      <c r="JR61" s="122">
        <f t="shared" si="394"/>
        <v>0</v>
      </c>
      <c r="JS61" s="122">
        <f t="shared" si="394"/>
        <v>0</v>
      </c>
      <c r="JT61" s="122">
        <f t="shared" si="394"/>
        <v>0</v>
      </c>
      <c r="JU61" s="122">
        <f t="shared" si="394"/>
        <v>0</v>
      </c>
      <c r="JV61" s="122">
        <f t="shared" si="394"/>
        <v>0</v>
      </c>
      <c r="JW61" s="122">
        <f t="shared" si="394"/>
        <v>0</v>
      </c>
      <c r="JX61" s="122">
        <f t="shared" si="394"/>
        <v>0</v>
      </c>
      <c r="JY61" s="122">
        <f t="shared" si="394"/>
        <v>0</v>
      </c>
      <c r="JZ61" s="122">
        <f t="shared" si="394"/>
        <v>0</v>
      </c>
      <c r="KA61" s="122">
        <f t="shared" si="394"/>
        <v>0</v>
      </c>
      <c r="KB61" s="122">
        <f t="shared" si="394"/>
        <v>0</v>
      </c>
      <c r="KD61" s="122">
        <f t="shared" si="155"/>
        <v>0</v>
      </c>
      <c r="KE61" s="122">
        <f t="shared" si="91"/>
        <v>0</v>
      </c>
      <c r="KF61" s="122">
        <f t="shared" ref="KF61:KR69" si="395">CD61+DH61</f>
        <v>0</v>
      </c>
      <c r="KG61" s="122">
        <f t="shared" si="395"/>
        <v>0</v>
      </c>
      <c r="KH61" s="122">
        <f t="shared" si="395"/>
        <v>0</v>
      </c>
      <c r="KI61" s="122">
        <f t="shared" si="395"/>
        <v>0</v>
      </c>
      <c r="KJ61" s="122">
        <f t="shared" si="395"/>
        <v>0</v>
      </c>
      <c r="KK61" s="122">
        <f t="shared" si="395"/>
        <v>0</v>
      </c>
      <c r="KL61" s="122">
        <f t="shared" si="395"/>
        <v>0</v>
      </c>
      <c r="KM61" s="122">
        <f t="shared" si="395"/>
        <v>0</v>
      </c>
      <c r="KN61" s="123">
        <f t="shared" si="395"/>
        <v>0</v>
      </c>
      <c r="KO61" s="123">
        <f t="shared" si="395"/>
        <v>0</v>
      </c>
      <c r="KP61" s="123">
        <f t="shared" si="395"/>
        <v>0</v>
      </c>
      <c r="KQ61" s="123">
        <f t="shared" si="395"/>
        <v>0</v>
      </c>
      <c r="KR61" s="123">
        <f t="shared" si="395"/>
        <v>0</v>
      </c>
      <c r="KS61">
        <v>7</v>
      </c>
      <c r="KT61">
        <f>AN61</f>
        <v>1</v>
      </c>
      <c r="KU61" s="123"/>
      <c r="KV61" s="123"/>
      <c r="KW61" s="123"/>
      <c r="KX61" s="123"/>
      <c r="KY61" s="123"/>
      <c r="KZ61" s="123"/>
      <c r="LA61" s="123"/>
      <c r="LB61" s="123"/>
      <c r="LC61" s="123"/>
      <c r="LD61" s="123"/>
      <c r="LE61" s="123"/>
      <c r="LF61" s="123"/>
      <c r="LG61" s="123"/>
      <c r="LH61" s="123"/>
      <c r="LI61" s="123"/>
      <c r="LJ61" s="123"/>
      <c r="LK61" s="123"/>
      <c r="LL61" s="123"/>
      <c r="LM61" s="123"/>
      <c r="LN61" s="123"/>
      <c r="LO61" s="123"/>
      <c r="LP61" s="123"/>
      <c r="LQ61" s="123"/>
      <c r="LR61" s="123"/>
      <c r="LS61" s="123"/>
      <c r="LT61" s="123"/>
      <c r="LU61" s="123"/>
      <c r="LV61" s="123"/>
      <c r="LW61" s="123"/>
      <c r="LX61" s="123"/>
      <c r="LY61" s="123"/>
      <c r="LZ61" s="123"/>
      <c r="MA61" s="123"/>
      <c r="MB61" s="123"/>
      <c r="MC61" s="123"/>
      <c r="MD61" s="123"/>
      <c r="ME61" s="123"/>
      <c r="MF61" s="123"/>
      <c r="MG61" s="123"/>
      <c r="MH61" s="123"/>
      <c r="MI61" s="123"/>
      <c r="MJ61" s="123"/>
      <c r="MK61" s="123"/>
      <c r="ML61" s="123"/>
      <c r="MM61" s="123"/>
      <c r="MN61" s="123"/>
      <c r="MO61" s="123"/>
      <c r="MP61" s="123"/>
      <c r="MQ61" s="123"/>
      <c r="MR61" s="123"/>
      <c r="MS61" s="123"/>
      <c r="MT61" s="123"/>
      <c r="MU61" s="123"/>
      <c r="MV61" s="123"/>
      <c r="MW61" s="123"/>
      <c r="MX61" s="123"/>
      <c r="MY61" s="123"/>
      <c r="MZ61" s="123"/>
      <c r="NA61" s="123"/>
      <c r="NB61" s="123"/>
      <c r="NC61" s="123"/>
      <c r="ND61" s="123"/>
      <c r="NE61" s="123"/>
      <c r="NF61" s="123"/>
      <c r="NG61" s="123"/>
      <c r="NH61" s="123"/>
      <c r="NI61" s="123"/>
      <c r="NJ61" s="123"/>
      <c r="NK61" s="123"/>
      <c r="NM61">
        <f t="shared" ref="NM61:NM69" si="396">IF(KS61=1,1,0)</f>
        <v>0</v>
      </c>
      <c r="NN61">
        <f t="shared" ref="NN61:NN69" si="397">IF(KS61=2,1,0)</f>
        <v>0</v>
      </c>
      <c r="NO61">
        <f t="shared" ref="NO61:NO69" si="398">IF(KS61=3,1,0)</f>
        <v>0</v>
      </c>
      <c r="NP61">
        <f t="shared" ref="NP61:NP69" si="399">IF(KS61=4,1,0)</f>
        <v>0</v>
      </c>
      <c r="NQ61">
        <f t="shared" ref="NQ61:NQ69" si="400">IF(KS61=5,1,0)</f>
        <v>0</v>
      </c>
      <c r="NR61">
        <f t="shared" ref="NR61:NR69" si="401">IF(KS61=6,1,0)</f>
        <v>0</v>
      </c>
      <c r="NS61">
        <f t="shared" ref="NS61:NS69" si="402">IF(KS61=7,1,0)</f>
        <v>1</v>
      </c>
      <c r="NT61">
        <f t="shared" ref="NT61:NT69" si="403">SUM(NM61:NS61)</f>
        <v>1</v>
      </c>
      <c r="NU61" s="29">
        <f t="shared" ref="NU61:NU69" si="404">NT61-KT61</f>
        <v>0</v>
      </c>
      <c r="NY61" s="29"/>
      <c r="NZ61" s="152"/>
      <c r="OE61" s="155">
        <f t="shared" ref="OE61:OE69" si="405">D61-J61</f>
        <v>0</v>
      </c>
      <c r="OF61" s="155">
        <f t="shared" ref="OF61:OF69" si="406">D61-N61</f>
        <v>0</v>
      </c>
      <c r="OG61" s="155">
        <f t="shared" ref="OG61:OG69" si="407">AN61</f>
        <v>1</v>
      </c>
      <c r="OH61" s="155">
        <f t="shared" ref="OH61:OH69" si="408">HE61</f>
        <v>0</v>
      </c>
      <c r="OI61" s="155">
        <f t="shared" ref="OI61:OI69" si="409">D61-R61</f>
        <v>1</v>
      </c>
      <c r="OJ61" s="67">
        <f t="shared" ref="OJ61:OJ69" si="410">IF(OG61=1,OF61,0)</f>
        <v>0</v>
      </c>
      <c r="OK61" s="67">
        <f t="shared" ref="OK61:OK69" si="411">IF(OH61=1,OF61,0)</f>
        <v>0</v>
      </c>
      <c r="OL61" s="67">
        <f t="shared" ref="OL61:OL69" si="412">IF((OG61+OH61)=0,OF61,0)</f>
        <v>0</v>
      </c>
      <c r="OM61" s="67">
        <f t="shared" ref="OM61:OM69" si="413">SUM(OJ61:OL61)</f>
        <v>0</v>
      </c>
      <c r="OO61" s="155">
        <f t="shared" ref="OO61:OO69" si="414">E61-K61</f>
        <v>0</v>
      </c>
      <c r="OP61" s="155">
        <f t="shared" ref="OP61:OP69" si="415">E61-O61</f>
        <v>0</v>
      </c>
      <c r="OQ61" s="155">
        <f t="shared" ref="OQ61:OQ69" si="416">OG61</f>
        <v>1</v>
      </c>
      <c r="OR61" s="155">
        <f t="shared" ref="OR61:OR69" si="417">OH61</f>
        <v>0</v>
      </c>
      <c r="OS61" s="155">
        <f t="shared" ref="OS61:OS69" si="418">OI61</f>
        <v>1</v>
      </c>
      <c r="OT61" s="67">
        <f t="shared" ref="OT61:OT69" si="419">IF(OQ61=1,OP61,0)</f>
        <v>0</v>
      </c>
      <c r="OU61" s="67">
        <f t="shared" ref="OU61:OU69" si="420">IF(OR61=1,OP61,0)</f>
        <v>0</v>
      </c>
      <c r="OV61" s="67">
        <f t="shared" ref="OV61:OV69" si="421">IF((OQ61+OR61)=0,OP61,0)</f>
        <v>0</v>
      </c>
      <c r="OW61" s="67">
        <f t="shared" ref="OW61:OW69" si="422">SUM(OT61:OV61)</f>
        <v>0</v>
      </c>
      <c r="OZ61" s="163">
        <f t="shared" si="200"/>
        <v>1</v>
      </c>
      <c r="PA61" s="166"/>
      <c r="PB61" s="166">
        <v>1</v>
      </c>
      <c r="PC61" s="166">
        <v>1</v>
      </c>
      <c r="PD61" s="210">
        <f t="shared" si="115"/>
        <v>0</v>
      </c>
      <c r="PE61" s="210"/>
      <c r="PF61" s="210">
        <f t="shared" si="116"/>
        <v>0</v>
      </c>
      <c r="PG61" s="210">
        <f t="shared" si="286"/>
        <v>0</v>
      </c>
      <c r="PH61" s="210">
        <f t="shared" si="286"/>
        <v>138</v>
      </c>
      <c r="PI61" s="210">
        <f t="shared" si="286"/>
        <v>138</v>
      </c>
      <c r="PJ61" s="210">
        <f t="shared" si="286"/>
        <v>0</v>
      </c>
      <c r="PK61" s="210">
        <f t="shared" si="286"/>
        <v>0</v>
      </c>
      <c r="PL61" s="210">
        <f t="shared" si="286"/>
        <v>0</v>
      </c>
      <c r="PO61" s="172">
        <f t="shared" si="177"/>
        <v>0</v>
      </c>
      <c r="PP61" s="172">
        <f t="shared" si="178"/>
        <v>0</v>
      </c>
      <c r="PQ61" s="172">
        <f t="shared" si="179"/>
        <v>0</v>
      </c>
    </row>
    <row r="62" spans="1:433" ht="16" x14ac:dyDescent="0.2">
      <c r="A62" s="19">
        <f t="shared" ref="A62:A69" si="423">A61+1</f>
        <v>50</v>
      </c>
      <c r="B62" s="237" t="s">
        <v>669</v>
      </c>
      <c r="C62" s="186">
        <v>4</v>
      </c>
      <c r="D62" s="188">
        <v>1</v>
      </c>
      <c r="E62" s="188">
        <v>675</v>
      </c>
      <c r="F62" s="188">
        <v>1</v>
      </c>
      <c r="G62" s="188">
        <f t="shared" si="305"/>
        <v>675</v>
      </c>
      <c r="H62" s="214">
        <f t="shared" si="306"/>
        <v>1</v>
      </c>
      <c r="I62" s="214">
        <f t="shared" si="307"/>
        <v>1</v>
      </c>
      <c r="J62" s="188">
        <v>1</v>
      </c>
      <c r="K62" s="188">
        <f t="shared" si="308"/>
        <v>675</v>
      </c>
      <c r="L62" s="214">
        <f t="shared" si="309"/>
        <v>1</v>
      </c>
      <c r="M62" s="214">
        <f t="shared" si="310"/>
        <v>1</v>
      </c>
      <c r="N62" s="188">
        <v>1</v>
      </c>
      <c r="O62" s="188">
        <f t="shared" si="311"/>
        <v>675</v>
      </c>
      <c r="P62" s="214">
        <f t="shared" si="312"/>
        <v>1</v>
      </c>
      <c r="Q62" s="214">
        <f t="shared" si="313"/>
        <v>1</v>
      </c>
      <c r="R62" s="188"/>
      <c r="S62" s="188">
        <f t="shared" si="314"/>
        <v>0</v>
      </c>
      <c r="T62" s="214">
        <f t="shared" si="315"/>
        <v>0</v>
      </c>
      <c r="U62" s="214">
        <f t="shared" si="316"/>
        <v>0</v>
      </c>
      <c r="V62" s="188"/>
      <c r="W62" s="188">
        <f t="shared" si="317"/>
        <v>0</v>
      </c>
      <c r="X62" s="214">
        <f t="shared" si="318"/>
        <v>0</v>
      </c>
      <c r="Y62" s="214">
        <f t="shared" si="319"/>
        <v>0</v>
      </c>
      <c r="Z62" s="216"/>
      <c r="AA62" s="188">
        <v>0</v>
      </c>
      <c r="AB62" s="189">
        <f t="shared" si="320"/>
        <v>0</v>
      </c>
      <c r="AC62" s="250">
        <f t="shared" si="321"/>
        <v>0</v>
      </c>
      <c r="AD62" s="250">
        <f t="shared" si="322"/>
        <v>0</v>
      </c>
      <c r="AE62" s="188"/>
      <c r="AF62" s="188">
        <f t="shared" si="323"/>
        <v>0</v>
      </c>
      <c r="AG62" s="188"/>
      <c r="AH62" s="188"/>
      <c r="AI62" s="188">
        <v>0</v>
      </c>
      <c r="AJ62" s="188">
        <f t="shared" si="324"/>
        <v>0</v>
      </c>
      <c r="AK62" s="188"/>
      <c r="AL62" s="188">
        <v>0</v>
      </c>
      <c r="AM62" s="188">
        <v>0</v>
      </c>
      <c r="AN62" s="217">
        <v>1</v>
      </c>
      <c r="AO62" s="195"/>
      <c r="AP62" s="195"/>
      <c r="AQ62" s="195"/>
      <c r="AR62" s="195"/>
      <c r="AS62" s="195"/>
      <c r="AT62" s="195"/>
      <c r="BB62" s="17">
        <f t="shared" ref="BB62:BB69" si="424">IF(AN62=1,E62,0)</f>
        <v>675</v>
      </c>
      <c r="BE62" s="17">
        <f t="shared" si="325"/>
        <v>0</v>
      </c>
      <c r="BF62" s="17">
        <f t="shared" si="326"/>
        <v>0</v>
      </c>
      <c r="BG62" s="17">
        <f t="shared" si="327"/>
        <v>0</v>
      </c>
      <c r="BH62" s="17">
        <f t="shared" si="328"/>
        <v>0</v>
      </c>
      <c r="BI62" s="17">
        <f t="shared" si="329"/>
        <v>0</v>
      </c>
      <c r="BJ62" s="17">
        <f t="shared" si="330"/>
        <v>0</v>
      </c>
      <c r="BK62" s="17">
        <f t="shared" si="331"/>
        <v>0</v>
      </c>
      <c r="BM62" s="128"/>
      <c r="BN62" s="147"/>
      <c r="BO62" s="127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B62" s="20"/>
      <c r="CD62" s="17">
        <f t="shared" si="332"/>
        <v>0</v>
      </c>
      <c r="CE62" s="17">
        <f t="shared" si="333"/>
        <v>0</v>
      </c>
      <c r="CF62" s="20">
        <f t="shared" si="334"/>
        <v>0</v>
      </c>
      <c r="CG62" s="20">
        <f t="shared" si="335"/>
        <v>0</v>
      </c>
      <c r="CH62" s="20">
        <f t="shared" si="336"/>
        <v>0</v>
      </c>
      <c r="CI62" s="20">
        <f t="shared" si="337"/>
        <v>0</v>
      </c>
      <c r="CJ62" s="20">
        <f t="shared" si="338"/>
        <v>0</v>
      </c>
      <c r="CK62" s="20">
        <f t="shared" si="339"/>
        <v>0</v>
      </c>
      <c r="CL62" s="20">
        <f t="shared" si="340"/>
        <v>0</v>
      </c>
      <c r="CM62" s="20">
        <f t="shared" si="341"/>
        <v>0</v>
      </c>
      <c r="CN62" s="20">
        <f t="shared" si="342"/>
        <v>0</v>
      </c>
      <c r="CO62" s="20">
        <f t="shared" si="343"/>
        <v>0</v>
      </c>
      <c r="CP62" s="20">
        <f t="shared" si="344"/>
        <v>0</v>
      </c>
      <c r="DV62" s="20">
        <f t="shared" si="345"/>
        <v>0</v>
      </c>
      <c r="DW62" s="20">
        <f t="shared" si="346"/>
        <v>0</v>
      </c>
      <c r="DX62" s="20">
        <f t="shared" si="347"/>
        <v>0</v>
      </c>
      <c r="DY62" s="20">
        <f t="shared" si="348"/>
        <v>0</v>
      </c>
      <c r="DZ62" s="20">
        <f t="shared" si="349"/>
        <v>0</v>
      </c>
      <c r="EA62" s="20">
        <f t="shared" si="350"/>
        <v>0</v>
      </c>
      <c r="EB62" s="20">
        <f t="shared" si="351"/>
        <v>0</v>
      </c>
      <c r="EG62" s="57">
        <f t="shared" si="352"/>
        <v>0</v>
      </c>
      <c r="EH62" s="57">
        <f t="shared" si="353"/>
        <v>0</v>
      </c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X62" s="169"/>
      <c r="FY62" s="17">
        <f t="shared" si="354"/>
        <v>0</v>
      </c>
      <c r="FZ62" s="17">
        <f t="shared" si="355"/>
        <v>0</v>
      </c>
      <c r="GA62" s="17">
        <f t="shared" si="355"/>
        <v>0</v>
      </c>
      <c r="GB62" s="17">
        <f t="shared" si="355"/>
        <v>0</v>
      </c>
      <c r="GC62" s="17">
        <f>DM62+CI62</f>
        <v>0</v>
      </c>
      <c r="GD62" s="17">
        <f>DO62+CK62</f>
        <v>0</v>
      </c>
      <c r="GE62" s="17">
        <f>DT62+CP62</f>
        <v>0</v>
      </c>
      <c r="GF62" s="67"/>
      <c r="GG62" s="17">
        <v>0</v>
      </c>
      <c r="GH62" s="17">
        <v>0</v>
      </c>
      <c r="GI62" s="67"/>
      <c r="GJ62" s="62">
        <f t="shared" si="356"/>
        <v>0</v>
      </c>
      <c r="GK62" s="62">
        <f t="shared" si="357"/>
        <v>0</v>
      </c>
      <c r="GO62" s="17">
        <f>D62-F62</f>
        <v>0</v>
      </c>
      <c r="GP62" s="17">
        <f>D62-J62</f>
        <v>0</v>
      </c>
      <c r="GQ62" s="17">
        <f>D62-N62</f>
        <v>0</v>
      </c>
      <c r="GR62" s="17">
        <f>D62-R62</f>
        <v>1</v>
      </c>
      <c r="GS62" s="17">
        <f>D62-V62</f>
        <v>1</v>
      </c>
      <c r="GT62" s="17">
        <f t="shared" si="358"/>
        <v>0</v>
      </c>
      <c r="GU62" s="101">
        <f t="shared" si="134"/>
        <v>43243</v>
      </c>
      <c r="GV62" s="17" t="str">
        <f t="shared" si="359"/>
        <v>Musyawarah</v>
      </c>
      <c r="GW62" s="17">
        <f t="shared" si="360"/>
        <v>1</v>
      </c>
      <c r="GX62" s="66" t="str">
        <f t="shared" si="361"/>
        <v>Musyawarah</v>
      </c>
      <c r="GY62" s="66">
        <f t="shared" si="362"/>
        <v>24</v>
      </c>
      <c r="GZ62" s="102">
        <f t="shared" si="363"/>
        <v>43267</v>
      </c>
      <c r="HA62" s="83"/>
      <c r="HB62" s="83"/>
      <c r="HC62" s="17">
        <f>IF(BH62&gt;0,1,IF(BI62&gt;0,1,0))</f>
        <v>0</v>
      </c>
      <c r="HD62" s="17">
        <f>IF(CB62&gt;0,1,0)</f>
        <v>0</v>
      </c>
      <c r="HE62" s="17">
        <f t="shared" si="364"/>
        <v>0</v>
      </c>
      <c r="HF62" s="17">
        <f t="shared" si="365"/>
        <v>0</v>
      </c>
      <c r="HG62" s="17">
        <f t="shared" si="366"/>
        <v>0</v>
      </c>
      <c r="HH62" s="101" t="str">
        <f t="shared" si="367"/>
        <v>TIDAK KONSINYASI</v>
      </c>
      <c r="HI62" s="101">
        <f t="shared" si="368"/>
        <v>43312</v>
      </c>
      <c r="HJ62" s="27"/>
      <c r="HK62" s="101">
        <f t="shared" si="369"/>
        <v>43312</v>
      </c>
      <c r="HL62" s="83"/>
      <c r="HM62" s="83"/>
      <c r="HN62" s="83"/>
      <c r="HO62" s="83"/>
      <c r="HP62" s="102">
        <f t="shared" si="370"/>
        <v>0</v>
      </c>
      <c r="HQ62" s="66">
        <f t="shared" si="371"/>
        <v>0</v>
      </c>
      <c r="HR62" s="66">
        <f>IF(HQ62=1,E62,0)</f>
        <v>0</v>
      </c>
      <c r="HS62" s="102">
        <f t="shared" si="372"/>
        <v>0</v>
      </c>
      <c r="HT62" s="66">
        <f t="shared" si="373"/>
        <v>0</v>
      </c>
      <c r="HU62" s="66">
        <f>IF(HT62=1,E62,0)</f>
        <v>0</v>
      </c>
      <c r="HV62" s="102">
        <f t="shared" si="374"/>
        <v>0</v>
      </c>
      <c r="HW62" s="66">
        <f t="shared" si="375"/>
        <v>0</v>
      </c>
      <c r="HX62" s="66">
        <f>IF(HW62=1,E62,0)</f>
        <v>0</v>
      </c>
      <c r="HY62" s="102">
        <f t="shared" si="376"/>
        <v>0</v>
      </c>
      <c r="HZ62" s="66">
        <f t="shared" si="377"/>
        <v>0</v>
      </c>
      <c r="IA62" s="66">
        <f>IF(HZ62=1,E62,0)</f>
        <v>0</v>
      </c>
      <c r="IB62" s="102">
        <f t="shared" si="378"/>
        <v>0</v>
      </c>
      <c r="IC62" s="66">
        <f t="shared" si="379"/>
        <v>0</v>
      </c>
      <c r="ID62" s="66">
        <f>IF(IC62=1,E62,0)</f>
        <v>0</v>
      </c>
      <c r="IE62" s="102">
        <f t="shared" si="380"/>
        <v>0</v>
      </c>
      <c r="IF62" s="66">
        <f t="shared" si="381"/>
        <v>0</v>
      </c>
      <c r="IG62" s="66">
        <f>IF(IF62=1,E62,0)</f>
        <v>0</v>
      </c>
      <c r="IH62" s="102">
        <f t="shared" si="382"/>
        <v>0</v>
      </c>
      <c r="II62" s="66">
        <f t="shared" si="383"/>
        <v>0</v>
      </c>
      <c r="IJ62" s="66">
        <f>IF(II62=1,E62,0)</f>
        <v>0</v>
      </c>
      <c r="IK62" s="102">
        <f t="shared" si="384"/>
        <v>0</v>
      </c>
      <c r="IL62" s="66">
        <f t="shared" si="385"/>
        <v>0</v>
      </c>
      <c r="IM62" s="66">
        <f>IF(IL62=1,E62,0)</f>
        <v>0</v>
      </c>
      <c r="IN62" s="83"/>
      <c r="IO62" s="102">
        <f t="shared" si="386"/>
        <v>0</v>
      </c>
      <c r="IP62" s="66">
        <f>IF(BG62&gt;0,1,0)</f>
        <v>0</v>
      </c>
      <c r="IQ62" s="66">
        <f>IF(IP62=1,E62,0)</f>
        <v>0</v>
      </c>
      <c r="IR62" s="83"/>
      <c r="IS62" s="102"/>
      <c r="IT62" s="66">
        <f t="shared" si="387"/>
        <v>0</v>
      </c>
      <c r="IU62" s="66">
        <f t="shared" si="387"/>
        <v>0</v>
      </c>
      <c r="IV62" s="83"/>
      <c r="IW62" s="102"/>
      <c r="IX62" s="66">
        <f t="shared" si="388"/>
        <v>0</v>
      </c>
      <c r="IY62" s="66">
        <f t="shared" si="388"/>
        <v>0</v>
      </c>
      <c r="IZ62" s="83"/>
      <c r="JA62" s="102"/>
      <c r="JB62" s="66">
        <f>AN62</f>
        <v>1</v>
      </c>
      <c r="JC62" s="66">
        <f>BB62</f>
        <v>675</v>
      </c>
      <c r="JD62" s="83"/>
      <c r="JE62" s="102"/>
      <c r="JF62" s="66">
        <f t="shared" si="389"/>
        <v>1</v>
      </c>
      <c r="JG62" s="66">
        <f t="shared" si="390"/>
        <v>675</v>
      </c>
      <c r="JH62" s="83"/>
      <c r="JI62" s="102"/>
      <c r="JJ62" s="66">
        <f t="shared" si="391"/>
        <v>0</v>
      </c>
      <c r="JK62" s="66">
        <f t="shared" si="391"/>
        <v>0</v>
      </c>
      <c r="JM62" s="102">
        <f t="shared" si="392"/>
        <v>0</v>
      </c>
      <c r="JO62" s="29">
        <f t="shared" si="393"/>
        <v>0</v>
      </c>
      <c r="JP62" s="122">
        <f>BN62+CR62</f>
        <v>0</v>
      </c>
      <c r="JQ62" s="122">
        <f t="shared" si="394"/>
        <v>0</v>
      </c>
      <c r="JR62" s="122">
        <f t="shared" si="394"/>
        <v>0</v>
      </c>
      <c r="JS62" s="122">
        <f t="shared" si="394"/>
        <v>0</v>
      </c>
      <c r="JT62" s="122">
        <f t="shared" si="394"/>
        <v>0</v>
      </c>
      <c r="JU62" s="122">
        <f t="shared" si="394"/>
        <v>0</v>
      </c>
      <c r="JV62" s="122">
        <f t="shared" si="394"/>
        <v>0</v>
      </c>
      <c r="JW62" s="122">
        <f t="shared" si="394"/>
        <v>0</v>
      </c>
      <c r="JX62" s="122">
        <f t="shared" si="394"/>
        <v>0</v>
      </c>
      <c r="JY62" s="122">
        <f t="shared" si="394"/>
        <v>0</v>
      </c>
      <c r="JZ62" s="122">
        <f t="shared" si="394"/>
        <v>0</v>
      </c>
      <c r="KA62" s="122">
        <f t="shared" si="394"/>
        <v>0</v>
      </c>
      <c r="KB62" s="122">
        <f t="shared" si="394"/>
        <v>0</v>
      </c>
      <c r="KD62" s="122">
        <f t="shared" si="155"/>
        <v>0</v>
      </c>
      <c r="KE62" s="122">
        <f t="shared" si="91"/>
        <v>0</v>
      </c>
      <c r="KF62" s="122">
        <f t="shared" si="395"/>
        <v>0</v>
      </c>
      <c r="KG62" s="122">
        <f t="shared" si="395"/>
        <v>0</v>
      </c>
      <c r="KH62" s="122">
        <f t="shared" si="395"/>
        <v>0</v>
      </c>
      <c r="KI62" s="122">
        <f t="shared" si="395"/>
        <v>0</v>
      </c>
      <c r="KJ62" s="122">
        <f t="shared" si="395"/>
        <v>0</v>
      </c>
      <c r="KK62" s="122">
        <f t="shared" si="395"/>
        <v>0</v>
      </c>
      <c r="KL62" s="122">
        <f t="shared" si="395"/>
        <v>0</v>
      </c>
      <c r="KM62" s="122">
        <f t="shared" si="395"/>
        <v>0</v>
      </c>
      <c r="KN62" s="123">
        <f t="shared" si="395"/>
        <v>0</v>
      </c>
      <c r="KO62" s="123">
        <f t="shared" si="395"/>
        <v>0</v>
      </c>
      <c r="KP62" s="123">
        <f t="shared" si="395"/>
        <v>0</v>
      </c>
      <c r="KQ62" s="123">
        <f t="shared" si="395"/>
        <v>0</v>
      </c>
      <c r="KR62" s="123">
        <f t="shared" si="395"/>
        <v>0</v>
      </c>
      <c r="KS62">
        <v>2</v>
      </c>
      <c r="KT62">
        <f>AN62</f>
        <v>1</v>
      </c>
      <c r="KU62" s="123"/>
      <c r="KV62" s="123"/>
      <c r="KW62" s="123"/>
      <c r="KX62" s="123"/>
      <c r="KY62" s="123"/>
      <c r="KZ62" s="123"/>
      <c r="LA62" s="123"/>
      <c r="LB62" s="123"/>
      <c r="LC62" s="123"/>
      <c r="LD62" s="123"/>
      <c r="LE62" s="123"/>
      <c r="LF62" s="123"/>
      <c r="LG62" s="123"/>
      <c r="LH62" s="123"/>
      <c r="LI62" s="123"/>
      <c r="LJ62" s="123"/>
      <c r="LK62" s="123"/>
      <c r="LL62" s="123"/>
      <c r="LM62" s="123">
        <v>1</v>
      </c>
      <c r="LN62" s="123">
        <v>1</v>
      </c>
      <c r="LO62" s="123"/>
      <c r="LP62" s="123"/>
      <c r="LQ62" s="123"/>
      <c r="LR62" s="123"/>
      <c r="LS62" s="123"/>
      <c r="LT62" s="123"/>
      <c r="LU62" s="123"/>
      <c r="LV62" s="123"/>
      <c r="LW62" s="123"/>
      <c r="LX62" s="123"/>
      <c r="LY62" s="123"/>
      <c r="LZ62" s="123"/>
      <c r="MA62" s="123"/>
      <c r="MB62" s="123"/>
      <c r="MC62" s="123"/>
      <c r="MD62" s="123"/>
      <c r="ME62" s="123"/>
      <c r="MF62" s="123"/>
      <c r="MG62" s="123"/>
      <c r="MH62" s="123"/>
      <c r="MI62" s="123"/>
      <c r="MJ62" s="123"/>
      <c r="MK62" s="123"/>
      <c r="ML62" s="123"/>
      <c r="MM62" s="123"/>
      <c r="MN62" s="123"/>
      <c r="MO62" s="123"/>
      <c r="MP62" s="123"/>
      <c r="MQ62" s="123"/>
      <c r="MR62" s="123"/>
      <c r="MS62" s="123"/>
      <c r="MT62" s="123"/>
      <c r="MU62" s="123"/>
      <c r="MV62" s="123"/>
      <c r="MW62" s="123"/>
      <c r="MX62" s="123"/>
      <c r="MY62" s="123"/>
      <c r="MZ62" s="123"/>
      <c r="NA62" s="123"/>
      <c r="NB62" s="123"/>
      <c r="NC62" s="123"/>
      <c r="ND62" s="123"/>
      <c r="NE62" s="123"/>
      <c r="NF62" s="123"/>
      <c r="NG62" s="123"/>
      <c r="NH62" s="123"/>
      <c r="NI62" s="123"/>
      <c r="NJ62" s="123"/>
      <c r="NK62" s="123"/>
      <c r="NM62">
        <f t="shared" si="396"/>
        <v>0</v>
      </c>
      <c r="NN62">
        <f t="shared" si="397"/>
        <v>1</v>
      </c>
      <c r="NO62">
        <f t="shared" si="398"/>
        <v>0</v>
      </c>
      <c r="NP62">
        <f t="shared" si="399"/>
        <v>0</v>
      </c>
      <c r="NQ62">
        <f t="shared" si="400"/>
        <v>0</v>
      </c>
      <c r="NR62">
        <f t="shared" si="401"/>
        <v>0</v>
      </c>
      <c r="NS62">
        <f t="shared" si="402"/>
        <v>0</v>
      </c>
      <c r="NT62">
        <f t="shared" si="403"/>
        <v>1</v>
      </c>
      <c r="NU62" s="29">
        <f t="shared" si="404"/>
        <v>0</v>
      </c>
      <c r="NY62" s="29"/>
      <c r="NZ62" s="152"/>
      <c r="OE62" s="155">
        <f t="shared" si="405"/>
        <v>0</v>
      </c>
      <c r="OF62" s="155">
        <f t="shared" si="406"/>
        <v>0</v>
      </c>
      <c r="OG62" s="155">
        <f t="shared" si="407"/>
        <v>1</v>
      </c>
      <c r="OH62" s="155">
        <f t="shared" si="408"/>
        <v>0</v>
      </c>
      <c r="OI62" s="155">
        <f t="shared" si="409"/>
        <v>1</v>
      </c>
      <c r="OJ62" s="67">
        <f t="shared" si="410"/>
        <v>0</v>
      </c>
      <c r="OK62" s="67">
        <f t="shared" si="411"/>
        <v>0</v>
      </c>
      <c r="OL62" s="67">
        <f t="shared" si="412"/>
        <v>0</v>
      </c>
      <c r="OM62" s="67">
        <f t="shared" si="413"/>
        <v>0</v>
      </c>
      <c r="OO62" s="155">
        <f t="shared" si="414"/>
        <v>0</v>
      </c>
      <c r="OP62" s="155">
        <f t="shared" si="415"/>
        <v>0</v>
      </c>
      <c r="OQ62" s="155">
        <f t="shared" si="416"/>
        <v>1</v>
      </c>
      <c r="OR62" s="155">
        <f t="shared" si="417"/>
        <v>0</v>
      </c>
      <c r="OS62" s="155">
        <f t="shared" si="418"/>
        <v>1</v>
      </c>
      <c r="OT62" s="67">
        <f t="shared" si="419"/>
        <v>0</v>
      </c>
      <c r="OU62" s="67">
        <f t="shared" si="420"/>
        <v>0</v>
      </c>
      <c r="OV62" s="67">
        <f t="shared" si="421"/>
        <v>0</v>
      </c>
      <c r="OW62" s="67">
        <f t="shared" si="422"/>
        <v>0</v>
      </c>
      <c r="OZ62" s="163">
        <f t="shared" si="200"/>
        <v>1</v>
      </c>
      <c r="PA62" s="166"/>
      <c r="PB62" s="166">
        <v>1</v>
      </c>
      <c r="PC62" s="166">
        <v>1</v>
      </c>
      <c r="PD62" s="210">
        <f t="shared" si="115"/>
        <v>0</v>
      </c>
      <c r="PE62" s="210"/>
      <c r="PF62" s="210">
        <f t="shared" si="116"/>
        <v>0</v>
      </c>
      <c r="PG62" s="210">
        <f t="shared" si="286"/>
        <v>0</v>
      </c>
      <c r="PH62" s="210">
        <f t="shared" si="286"/>
        <v>675</v>
      </c>
      <c r="PI62" s="210">
        <f t="shared" si="286"/>
        <v>675</v>
      </c>
      <c r="PJ62" s="210">
        <f t="shared" si="286"/>
        <v>0</v>
      </c>
      <c r="PK62" s="210">
        <f t="shared" si="286"/>
        <v>0</v>
      </c>
      <c r="PL62" s="210">
        <f t="shared" si="286"/>
        <v>0</v>
      </c>
      <c r="PO62" s="172">
        <f t="shared" si="177"/>
        <v>0</v>
      </c>
      <c r="PP62" s="172">
        <f t="shared" si="178"/>
        <v>0</v>
      </c>
      <c r="PQ62" s="172">
        <f t="shared" si="179"/>
        <v>0</v>
      </c>
    </row>
    <row r="63" spans="1:433" ht="16" x14ac:dyDescent="0.2">
      <c r="A63" s="19">
        <f t="shared" si="423"/>
        <v>51</v>
      </c>
      <c r="B63" s="237" t="s">
        <v>611</v>
      </c>
      <c r="C63" s="186">
        <v>5</v>
      </c>
      <c r="D63" s="188">
        <v>1</v>
      </c>
      <c r="E63" s="188">
        <v>162</v>
      </c>
      <c r="F63" s="188">
        <v>1</v>
      </c>
      <c r="G63" s="188">
        <f t="shared" si="305"/>
        <v>162</v>
      </c>
      <c r="H63" s="214">
        <f t="shared" si="306"/>
        <v>1</v>
      </c>
      <c r="I63" s="214">
        <f t="shared" si="307"/>
        <v>1</v>
      </c>
      <c r="J63" s="188">
        <v>1</v>
      </c>
      <c r="K63" s="188">
        <f t="shared" si="308"/>
        <v>162</v>
      </c>
      <c r="L63" s="214">
        <f t="shared" si="309"/>
        <v>1</v>
      </c>
      <c r="M63" s="214">
        <f t="shared" si="310"/>
        <v>1</v>
      </c>
      <c r="N63" s="188">
        <v>1</v>
      </c>
      <c r="O63" s="188">
        <f t="shared" si="311"/>
        <v>162</v>
      </c>
      <c r="P63" s="214">
        <f t="shared" si="312"/>
        <v>1</v>
      </c>
      <c r="Q63" s="214">
        <f t="shared" si="313"/>
        <v>1</v>
      </c>
      <c r="R63" s="188"/>
      <c r="S63" s="188">
        <f t="shared" si="314"/>
        <v>0</v>
      </c>
      <c r="T63" s="214">
        <f t="shared" si="315"/>
        <v>0</v>
      </c>
      <c r="U63" s="214">
        <f t="shared" si="316"/>
        <v>0</v>
      </c>
      <c r="V63" s="188"/>
      <c r="W63" s="188">
        <f t="shared" si="317"/>
        <v>0</v>
      </c>
      <c r="X63" s="214">
        <f t="shared" si="318"/>
        <v>0</v>
      </c>
      <c r="Y63" s="214">
        <f t="shared" si="319"/>
        <v>0</v>
      </c>
      <c r="Z63" s="216"/>
      <c r="AA63" s="188">
        <v>0</v>
      </c>
      <c r="AB63" s="189">
        <f t="shared" si="320"/>
        <v>0</v>
      </c>
      <c r="AC63" s="250">
        <f t="shared" si="321"/>
        <v>0</v>
      </c>
      <c r="AD63" s="250">
        <f t="shared" si="322"/>
        <v>0</v>
      </c>
      <c r="AE63" s="188"/>
      <c r="AF63" s="188">
        <f t="shared" si="323"/>
        <v>0</v>
      </c>
      <c r="AG63" s="188"/>
      <c r="AH63" s="188"/>
      <c r="AI63" s="188">
        <v>0</v>
      </c>
      <c r="AJ63" s="188">
        <f t="shared" si="324"/>
        <v>0</v>
      </c>
      <c r="AK63" s="188"/>
      <c r="AL63" s="188">
        <v>0</v>
      </c>
      <c r="AM63" s="188">
        <v>0</v>
      </c>
      <c r="AN63" s="217">
        <v>1</v>
      </c>
      <c r="AO63" s="195"/>
      <c r="AP63" s="195"/>
      <c r="AQ63" s="195"/>
      <c r="AR63" s="195"/>
      <c r="AS63" s="195"/>
      <c r="AT63" s="195"/>
      <c r="BB63" s="17">
        <f t="shared" si="424"/>
        <v>162</v>
      </c>
      <c r="BE63" s="17">
        <f t="shared" si="325"/>
        <v>0</v>
      </c>
      <c r="BF63" s="17">
        <f t="shared" si="326"/>
        <v>0</v>
      </c>
      <c r="BG63" s="17">
        <f t="shared" si="327"/>
        <v>0</v>
      </c>
      <c r="BH63" s="17">
        <f t="shared" si="328"/>
        <v>0</v>
      </c>
      <c r="BI63" s="17">
        <f t="shared" si="329"/>
        <v>0</v>
      </c>
      <c r="BJ63" s="17">
        <f t="shared" si="330"/>
        <v>0</v>
      </c>
      <c r="BK63" s="17">
        <f t="shared" si="331"/>
        <v>0</v>
      </c>
      <c r="BM63" s="128"/>
      <c r="BN63" s="147"/>
      <c r="BO63" s="127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B63" s="20"/>
      <c r="CD63" s="17">
        <f t="shared" si="332"/>
        <v>0</v>
      </c>
      <c r="CE63" s="17">
        <f t="shared" si="333"/>
        <v>0</v>
      </c>
      <c r="CF63" s="20">
        <f t="shared" si="334"/>
        <v>0</v>
      </c>
      <c r="CG63" s="20">
        <f t="shared" si="335"/>
        <v>0</v>
      </c>
      <c r="CH63" s="20">
        <f t="shared" si="336"/>
        <v>0</v>
      </c>
      <c r="CI63" s="20">
        <f t="shared" si="337"/>
        <v>0</v>
      </c>
      <c r="CJ63" s="20">
        <f t="shared" si="338"/>
        <v>0</v>
      </c>
      <c r="CK63" s="20">
        <f t="shared" si="339"/>
        <v>0</v>
      </c>
      <c r="CL63" s="20">
        <f t="shared" si="340"/>
        <v>0</v>
      </c>
      <c r="CM63" s="20">
        <f t="shared" si="341"/>
        <v>0</v>
      </c>
      <c r="CN63" s="20">
        <f t="shared" si="342"/>
        <v>0</v>
      </c>
      <c r="CO63" s="20">
        <f t="shared" si="343"/>
        <v>0</v>
      </c>
      <c r="CP63" s="20">
        <f t="shared" si="344"/>
        <v>0</v>
      </c>
      <c r="DV63" s="20">
        <f t="shared" si="345"/>
        <v>0</v>
      </c>
      <c r="DW63" s="20">
        <f t="shared" si="346"/>
        <v>0</v>
      </c>
      <c r="DX63" s="20">
        <f t="shared" si="347"/>
        <v>0</v>
      </c>
      <c r="DY63" s="20">
        <f t="shared" si="348"/>
        <v>0</v>
      </c>
      <c r="DZ63" s="20">
        <f t="shared" si="349"/>
        <v>0</v>
      </c>
      <c r="EA63" s="20">
        <f t="shared" si="350"/>
        <v>0</v>
      </c>
      <c r="EB63" s="20">
        <f t="shared" si="351"/>
        <v>0</v>
      </c>
      <c r="EG63" s="57">
        <f t="shared" si="352"/>
        <v>0</v>
      </c>
      <c r="EH63" s="57">
        <f t="shared" si="353"/>
        <v>0</v>
      </c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X63" s="169"/>
      <c r="FY63" s="17">
        <f t="shared" si="354"/>
        <v>0</v>
      </c>
      <c r="FZ63" s="17">
        <f t="shared" si="355"/>
        <v>0</v>
      </c>
      <c r="GA63" s="17">
        <f t="shared" si="355"/>
        <v>0</v>
      </c>
      <c r="GB63" s="17">
        <f t="shared" si="355"/>
        <v>0</v>
      </c>
      <c r="GC63" s="17">
        <f>DM63+CI63</f>
        <v>0</v>
      </c>
      <c r="GD63" s="17">
        <f>DO63+CK63</f>
        <v>0</v>
      </c>
      <c r="GE63" s="17">
        <f>DT63+CP63</f>
        <v>0</v>
      </c>
      <c r="GF63" s="67"/>
      <c r="GG63" s="17">
        <v>0</v>
      </c>
      <c r="GH63" s="17">
        <v>0</v>
      </c>
      <c r="GI63" s="67"/>
      <c r="GJ63" s="62">
        <f t="shared" si="356"/>
        <v>0</v>
      </c>
      <c r="GK63" s="62">
        <f t="shared" si="357"/>
        <v>0</v>
      </c>
      <c r="GO63" s="17">
        <f>D63-F63</f>
        <v>0</v>
      </c>
      <c r="GP63" s="17">
        <f>D63-J63</f>
        <v>0</v>
      </c>
      <c r="GQ63" s="17">
        <f>D63-N63</f>
        <v>0</v>
      </c>
      <c r="GR63" s="17">
        <f>D63-R63</f>
        <v>1</v>
      </c>
      <c r="GS63" s="17">
        <f>D63-V63</f>
        <v>1</v>
      </c>
      <c r="GT63" s="17">
        <f t="shared" si="358"/>
        <v>0</v>
      </c>
      <c r="GU63" s="101">
        <f t="shared" si="134"/>
        <v>43243</v>
      </c>
      <c r="GV63" s="17" t="str">
        <f t="shared" si="359"/>
        <v>Musyawarah</v>
      </c>
      <c r="GW63" s="17">
        <f t="shared" si="360"/>
        <v>1</v>
      </c>
      <c r="GX63" s="66" t="str">
        <f t="shared" si="361"/>
        <v>Musyawarah</v>
      </c>
      <c r="GY63" s="66">
        <f t="shared" si="362"/>
        <v>24</v>
      </c>
      <c r="GZ63" s="102">
        <f t="shared" si="363"/>
        <v>43267</v>
      </c>
      <c r="HA63" s="83"/>
      <c r="HB63" s="83"/>
      <c r="HC63" s="17">
        <f>IF(BH63&gt;0,1,IF(BI63&gt;0,1,0))</f>
        <v>0</v>
      </c>
      <c r="HD63" s="17">
        <f>IF(CB63&gt;0,1,0)</f>
        <v>0</v>
      </c>
      <c r="HE63" s="17">
        <f t="shared" si="364"/>
        <v>0</v>
      </c>
      <c r="HF63" s="17">
        <f t="shared" si="365"/>
        <v>0</v>
      </c>
      <c r="HG63" s="17">
        <f t="shared" si="366"/>
        <v>0</v>
      </c>
      <c r="HH63" s="101" t="str">
        <f t="shared" si="367"/>
        <v>TIDAK KONSINYASI</v>
      </c>
      <c r="HI63" s="101">
        <f t="shared" si="368"/>
        <v>43312</v>
      </c>
      <c r="HJ63" s="27"/>
      <c r="HK63" s="101">
        <f t="shared" si="369"/>
        <v>43312</v>
      </c>
      <c r="HL63" s="83"/>
      <c r="HM63" s="83"/>
      <c r="HN63" s="83"/>
      <c r="HO63" s="83"/>
      <c r="HP63" s="102">
        <f t="shared" si="370"/>
        <v>0</v>
      </c>
      <c r="HQ63" s="66">
        <f t="shared" si="371"/>
        <v>0</v>
      </c>
      <c r="HR63" s="66">
        <f>IF(HQ63=1,E63,0)</f>
        <v>0</v>
      </c>
      <c r="HS63" s="102">
        <f t="shared" si="372"/>
        <v>0</v>
      </c>
      <c r="HT63" s="66">
        <f t="shared" si="373"/>
        <v>0</v>
      </c>
      <c r="HU63" s="66">
        <f>IF(HT63=1,E63,0)</f>
        <v>0</v>
      </c>
      <c r="HV63" s="102">
        <f t="shared" si="374"/>
        <v>0</v>
      </c>
      <c r="HW63" s="66">
        <f t="shared" si="375"/>
        <v>0</v>
      </c>
      <c r="HX63" s="66">
        <f>IF(HW63=1,E63,0)</f>
        <v>0</v>
      </c>
      <c r="HY63" s="102">
        <f t="shared" si="376"/>
        <v>0</v>
      </c>
      <c r="HZ63" s="66">
        <f t="shared" si="377"/>
        <v>0</v>
      </c>
      <c r="IA63" s="66">
        <f>IF(HZ63=1,E63,0)</f>
        <v>0</v>
      </c>
      <c r="IB63" s="102">
        <f t="shared" si="378"/>
        <v>0</v>
      </c>
      <c r="IC63" s="66">
        <f t="shared" si="379"/>
        <v>0</v>
      </c>
      <c r="ID63" s="66">
        <f>IF(IC63=1,E63,0)</f>
        <v>0</v>
      </c>
      <c r="IE63" s="102">
        <f t="shared" si="380"/>
        <v>0</v>
      </c>
      <c r="IF63" s="66">
        <f t="shared" si="381"/>
        <v>0</v>
      </c>
      <c r="IG63" s="66">
        <f>IF(IF63=1,E63,0)</f>
        <v>0</v>
      </c>
      <c r="IH63" s="102">
        <f t="shared" si="382"/>
        <v>0</v>
      </c>
      <c r="II63" s="66">
        <f t="shared" si="383"/>
        <v>0</v>
      </c>
      <c r="IJ63" s="66">
        <f>IF(II63=1,E63,0)</f>
        <v>0</v>
      </c>
      <c r="IK63" s="102">
        <f t="shared" si="384"/>
        <v>0</v>
      </c>
      <c r="IL63" s="66">
        <f t="shared" si="385"/>
        <v>0</v>
      </c>
      <c r="IM63" s="66">
        <f>IF(IL63=1,E63,0)</f>
        <v>0</v>
      </c>
      <c r="IN63" s="83"/>
      <c r="IO63" s="102">
        <f t="shared" si="386"/>
        <v>0</v>
      </c>
      <c r="IP63" s="66">
        <f>IF(BG63&gt;0,1,0)</f>
        <v>0</v>
      </c>
      <c r="IQ63" s="66">
        <f>IF(IP63=1,E63,0)</f>
        <v>0</v>
      </c>
      <c r="IR63" s="83"/>
      <c r="IS63" s="102"/>
      <c r="IT63" s="66">
        <f t="shared" si="387"/>
        <v>0</v>
      </c>
      <c r="IU63" s="66">
        <f t="shared" si="387"/>
        <v>0</v>
      </c>
      <c r="IV63" s="83"/>
      <c r="IW63" s="102"/>
      <c r="IX63" s="66">
        <f t="shared" si="388"/>
        <v>0</v>
      </c>
      <c r="IY63" s="66">
        <f t="shared" si="388"/>
        <v>0</v>
      </c>
      <c r="IZ63" s="83"/>
      <c r="JA63" s="102"/>
      <c r="JB63" s="66">
        <f>AN63</f>
        <v>1</v>
      </c>
      <c r="JC63" s="66">
        <f>BB63</f>
        <v>162</v>
      </c>
      <c r="JD63" s="83"/>
      <c r="JE63" s="102"/>
      <c r="JF63" s="66">
        <f t="shared" si="389"/>
        <v>1</v>
      </c>
      <c r="JG63" s="66">
        <f t="shared" si="390"/>
        <v>162</v>
      </c>
      <c r="JH63" s="83"/>
      <c r="JI63" s="102"/>
      <c r="JJ63" s="66">
        <f t="shared" si="391"/>
        <v>0</v>
      </c>
      <c r="JK63" s="66">
        <f t="shared" si="391"/>
        <v>0</v>
      </c>
      <c r="JM63" s="102">
        <f t="shared" si="392"/>
        <v>0</v>
      </c>
      <c r="JO63" s="29">
        <f t="shared" si="393"/>
        <v>0</v>
      </c>
      <c r="JP63" s="122">
        <f>BN63+CR63</f>
        <v>0</v>
      </c>
      <c r="JQ63" s="122">
        <f t="shared" si="394"/>
        <v>0</v>
      </c>
      <c r="JR63" s="122">
        <f t="shared" si="394"/>
        <v>0</v>
      </c>
      <c r="JS63" s="122">
        <f t="shared" si="394"/>
        <v>0</v>
      </c>
      <c r="JT63" s="122">
        <f t="shared" si="394"/>
        <v>0</v>
      </c>
      <c r="JU63" s="122">
        <f t="shared" si="394"/>
        <v>0</v>
      </c>
      <c r="JV63" s="122">
        <f t="shared" si="394"/>
        <v>0</v>
      </c>
      <c r="JW63" s="122">
        <f t="shared" si="394"/>
        <v>0</v>
      </c>
      <c r="JX63" s="122">
        <f t="shared" si="394"/>
        <v>0</v>
      </c>
      <c r="JY63" s="122">
        <f t="shared" si="394"/>
        <v>0</v>
      </c>
      <c r="JZ63" s="122">
        <f t="shared" si="394"/>
        <v>0</v>
      </c>
      <c r="KA63" s="122">
        <f t="shared" si="394"/>
        <v>0</v>
      </c>
      <c r="KB63" s="122">
        <f t="shared" si="394"/>
        <v>0</v>
      </c>
      <c r="KD63" s="122">
        <f t="shared" si="155"/>
        <v>0</v>
      </c>
      <c r="KE63" s="122">
        <f t="shared" si="91"/>
        <v>0</v>
      </c>
      <c r="KF63" s="122">
        <f t="shared" si="395"/>
        <v>0</v>
      </c>
      <c r="KG63" s="122">
        <f t="shared" si="395"/>
        <v>0</v>
      </c>
      <c r="KH63" s="122">
        <f t="shared" si="395"/>
        <v>0</v>
      </c>
      <c r="KI63" s="122">
        <f t="shared" si="395"/>
        <v>0</v>
      </c>
      <c r="KJ63" s="122">
        <f t="shared" si="395"/>
        <v>0</v>
      </c>
      <c r="KK63" s="122">
        <f t="shared" si="395"/>
        <v>0</v>
      </c>
      <c r="KL63" s="122">
        <f t="shared" si="395"/>
        <v>0</v>
      </c>
      <c r="KM63" s="122">
        <f t="shared" si="395"/>
        <v>0</v>
      </c>
      <c r="KN63" s="123">
        <f t="shared" si="395"/>
        <v>0</v>
      </c>
      <c r="KO63" s="123">
        <f t="shared" si="395"/>
        <v>0</v>
      </c>
      <c r="KP63" s="123">
        <f t="shared" si="395"/>
        <v>0</v>
      </c>
      <c r="KQ63" s="123">
        <f t="shared" si="395"/>
        <v>0</v>
      </c>
      <c r="KR63" s="123">
        <f t="shared" si="395"/>
        <v>0</v>
      </c>
      <c r="KS63">
        <v>2</v>
      </c>
      <c r="KT63">
        <f>AN63</f>
        <v>1</v>
      </c>
      <c r="KU63" s="123"/>
      <c r="KV63" s="123"/>
      <c r="KW63" s="123"/>
      <c r="KX63" s="123"/>
      <c r="KY63" s="123"/>
      <c r="KZ63" s="123"/>
      <c r="LA63" s="123"/>
      <c r="LB63" s="123"/>
      <c r="LC63" s="123"/>
      <c r="LD63" s="123"/>
      <c r="LE63" s="123"/>
      <c r="LF63" s="123"/>
      <c r="LG63" s="123"/>
      <c r="LH63" s="123"/>
      <c r="LI63" s="123"/>
      <c r="LJ63" s="123"/>
      <c r="LK63" s="123"/>
      <c r="LL63" s="123"/>
      <c r="LM63" s="123">
        <v>1</v>
      </c>
      <c r="LN63" s="123">
        <v>1</v>
      </c>
      <c r="LO63" s="123"/>
      <c r="LP63" s="123"/>
      <c r="LQ63" s="123"/>
      <c r="LR63" s="123"/>
      <c r="LS63" s="123"/>
      <c r="LT63" s="123"/>
      <c r="LU63" s="123"/>
      <c r="LV63" s="123"/>
      <c r="LW63" s="123"/>
      <c r="LX63" s="123"/>
      <c r="LY63" s="123"/>
      <c r="LZ63" s="123"/>
      <c r="MA63" s="123"/>
      <c r="MB63" s="123"/>
      <c r="MC63" s="123"/>
      <c r="MD63" s="123"/>
      <c r="ME63" s="123"/>
      <c r="MF63" s="123"/>
      <c r="MG63" s="123"/>
      <c r="MH63" s="123"/>
      <c r="MI63" s="123"/>
      <c r="MJ63" s="123"/>
      <c r="MK63" s="123"/>
      <c r="ML63" s="123"/>
      <c r="MM63" s="123"/>
      <c r="MN63" s="123"/>
      <c r="MO63" s="123"/>
      <c r="MP63" s="123"/>
      <c r="MQ63" s="123"/>
      <c r="MR63" s="123"/>
      <c r="MS63" s="123"/>
      <c r="MT63" s="123"/>
      <c r="MU63" s="123"/>
      <c r="MV63" s="123"/>
      <c r="MW63" s="123"/>
      <c r="MX63" s="123"/>
      <c r="MY63" s="123"/>
      <c r="MZ63" s="123"/>
      <c r="NA63" s="123"/>
      <c r="NB63" s="123"/>
      <c r="NC63" s="123"/>
      <c r="ND63" s="123"/>
      <c r="NE63" s="123"/>
      <c r="NF63" s="123"/>
      <c r="NG63" s="123"/>
      <c r="NH63" s="123"/>
      <c r="NI63" s="123"/>
      <c r="NJ63" s="123"/>
      <c r="NK63" s="123"/>
      <c r="NM63">
        <f t="shared" si="396"/>
        <v>0</v>
      </c>
      <c r="NN63">
        <f t="shared" si="397"/>
        <v>1</v>
      </c>
      <c r="NO63">
        <f t="shared" si="398"/>
        <v>0</v>
      </c>
      <c r="NP63">
        <f t="shared" si="399"/>
        <v>0</v>
      </c>
      <c r="NQ63">
        <f t="shared" si="400"/>
        <v>0</v>
      </c>
      <c r="NR63">
        <f t="shared" si="401"/>
        <v>0</v>
      </c>
      <c r="NS63">
        <f t="shared" si="402"/>
        <v>0</v>
      </c>
      <c r="NT63">
        <f t="shared" si="403"/>
        <v>1</v>
      </c>
      <c r="NU63" s="29">
        <f t="shared" si="404"/>
        <v>0</v>
      </c>
      <c r="NY63" s="29"/>
      <c r="NZ63" s="152"/>
      <c r="OE63" s="155">
        <f t="shared" si="405"/>
        <v>0</v>
      </c>
      <c r="OF63" s="155">
        <f t="shared" si="406"/>
        <v>0</v>
      </c>
      <c r="OG63" s="155">
        <f t="shared" si="407"/>
        <v>1</v>
      </c>
      <c r="OH63" s="155">
        <f t="shared" si="408"/>
        <v>0</v>
      </c>
      <c r="OI63" s="155">
        <f t="shared" si="409"/>
        <v>1</v>
      </c>
      <c r="OJ63" s="67">
        <f t="shared" si="410"/>
        <v>0</v>
      </c>
      <c r="OK63" s="67">
        <f t="shared" si="411"/>
        <v>0</v>
      </c>
      <c r="OL63" s="67">
        <f t="shared" si="412"/>
        <v>0</v>
      </c>
      <c r="OM63" s="67">
        <f t="shared" si="413"/>
        <v>0</v>
      </c>
      <c r="OO63" s="155">
        <f t="shared" si="414"/>
        <v>0</v>
      </c>
      <c r="OP63" s="155">
        <f t="shared" si="415"/>
        <v>0</v>
      </c>
      <c r="OQ63" s="155">
        <f t="shared" si="416"/>
        <v>1</v>
      </c>
      <c r="OR63" s="155">
        <f t="shared" si="417"/>
        <v>0</v>
      </c>
      <c r="OS63" s="155">
        <f t="shared" si="418"/>
        <v>1</v>
      </c>
      <c r="OT63" s="67">
        <f t="shared" si="419"/>
        <v>0</v>
      </c>
      <c r="OU63" s="67">
        <f t="shared" si="420"/>
        <v>0</v>
      </c>
      <c r="OV63" s="67">
        <f t="shared" si="421"/>
        <v>0</v>
      </c>
      <c r="OW63" s="67">
        <f t="shared" si="422"/>
        <v>0</v>
      </c>
      <c r="OZ63" s="163">
        <f t="shared" si="200"/>
        <v>1</v>
      </c>
      <c r="PA63" s="166"/>
      <c r="PB63" s="166">
        <v>1</v>
      </c>
      <c r="PC63" s="166">
        <v>1</v>
      </c>
      <c r="PD63" s="210">
        <f t="shared" si="115"/>
        <v>0</v>
      </c>
      <c r="PE63" s="210"/>
      <c r="PF63" s="210">
        <f t="shared" si="116"/>
        <v>0</v>
      </c>
      <c r="PG63" s="210">
        <f t="shared" si="286"/>
        <v>0</v>
      </c>
      <c r="PH63" s="210">
        <f t="shared" si="286"/>
        <v>162</v>
      </c>
      <c r="PI63" s="210">
        <f t="shared" si="286"/>
        <v>162</v>
      </c>
      <c r="PJ63" s="210">
        <f t="shared" si="286"/>
        <v>0</v>
      </c>
      <c r="PK63" s="210">
        <f t="shared" si="286"/>
        <v>0</v>
      </c>
      <c r="PL63" s="210">
        <f t="shared" si="286"/>
        <v>0</v>
      </c>
      <c r="PO63" s="172">
        <f t="shared" si="177"/>
        <v>0</v>
      </c>
      <c r="PP63" s="172">
        <f t="shared" si="178"/>
        <v>0</v>
      </c>
      <c r="PQ63" s="172">
        <f t="shared" si="179"/>
        <v>0</v>
      </c>
    </row>
    <row r="64" spans="1:433" ht="16" x14ac:dyDescent="0.2">
      <c r="A64" s="19">
        <f t="shared" si="423"/>
        <v>52</v>
      </c>
      <c r="B64" s="237" t="s">
        <v>612</v>
      </c>
      <c r="C64" s="186">
        <v>6</v>
      </c>
      <c r="D64" s="188">
        <v>1</v>
      </c>
      <c r="E64" s="188">
        <v>37</v>
      </c>
      <c r="F64" s="188">
        <v>1</v>
      </c>
      <c r="G64" s="188">
        <f t="shared" si="305"/>
        <v>37</v>
      </c>
      <c r="H64" s="214">
        <f t="shared" si="306"/>
        <v>1</v>
      </c>
      <c r="I64" s="214">
        <f t="shared" si="307"/>
        <v>1</v>
      </c>
      <c r="J64" s="188">
        <v>1</v>
      </c>
      <c r="K64" s="188">
        <f t="shared" si="308"/>
        <v>37</v>
      </c>
      <c r="L64" s="214">
        <f t="shared" si="309"/>
        <v>1</v>
      </c>
      <c r="M64" s="214">
        <f t="shared" si="310"/>
        <v>1</v>
      </c>
      <c r="N64" s="188">
        <v>1</v>
      </c>
      <c r="O64" s="188">
        <f t="shared" si="311"/>
        <v>37</v>
      </c>
      <c r="P64" s="214">
        <f t="shared" si="312"/>
        <v>1</v>
      </c>
      <c r="Q64" s="214">
        <f t="shared" si="313"/>
        <v>1</v>
      </c>
      <c r="R64" s="188"/>
      <c r="S64" s="188">
        <f t="shared" si="314"/>
        <v>0</v>
      </c>
      <c r="T64" s="214">
        <f t="shared" si="315"/>
        <v>0</v>
      </c>
      <c r="U64" s="214">
        <f t="shared" si="316"/>
        <v>0</v>
      </c>
      <c r="V64" s="188"/>
      <c r="W64" s="188">
        <f t="shared" si="317"/>
        <v>0</v>
      </c>
      <c r="X64" s="214">
        <f t="shared" si="318"/>
        <v>0</v>
      </c>
      <c r="Y64" s="214">
        <f t="shared" si="319"/>
        <v>0</v>
      </c>
      <c r="Z64" s="216"/>
      <c r="AA64" s="188">
        <v>0</v>
      </c>
      <c r="AB64" s="189">
        <f t="shared" si="320"/>
        <v>0</v>
      </c>
      <c r="AC64" s="250">
        <f t="shared" si="321"/>
        <v>0</v>
      </c>
      <c r="AD64" s="250">
        <f t="shared" si="322"/>
        <v>0</v>
      </c>
      <c r="AE64" s="188"/>
      <c r="AF64" s="188">
        <f t="shared" si="323"/>
        <v>0</v>
      </c>
      <c r="AG64" s="188"/>
      <c r="AH64" s="188"/>
      <c r="AI64" s="188">
        <v>0</v>
      </c>
      <c r="AJ64" s="188">
        <f t="shared" si="324"/>
        <v>0</v>
      </c>
      <c r="AK64" s="188"/>
      <c r="AL64" s="188">
        <v>0</v>
      </c>
      <c r="AM64" s="188">
        <v>0</v>
      </c>
      <c r="AN64" s="217">
        <v>1</v>
      </c>
      <c r="AO64" s="195"/>
      <c r="AP64" s="195"/>
      <c r="AQ64" s="195"/>
      <c r="AR64" s="195"/>
      <c r="AS64" s="195"/>
      <c r="AT64" s="195"/>
      <c r="BB64" s="17">
        <f t="shared" si="424"/>
        <v>37</v>
      </c>
      <c r="BE64" s="17">
        <f t="shared" si="325"/>
        <v>0</v>
      </c>
      <c r="BF64" s="17">
        <f t="shared" si="326"/>
        <v>0</v>
      </c>
      <c r="BG64" s="17">
        <f t="shared" si="327"/>
        <v>0</v>
      </c>
      <c r="BH64" s="17">
        <f t="shared" si="328"/>
        <v>0</v>
      </c>
      <c r="BI64" s="17">
        <f t="shared" si="329"/>
        <v>0</v>
      </c>
      <c r="BJ64" s="17">
        <f t="shared" si="330"/>
        <v>0</v>
      </c>
      <c r="BK64" s="17">
        <f t="shared" si="331"/>
        <v>0</v>
      </c>
      <c r="BM64" s="128"/>
      <c r="BN64" s="147"/>
      <c r="BO64" s="127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B64" s="20"/>
      <c r="CD64" s="17">
        <f t="shared" si="332"/>
        <v>0</v>
      </c>
      <c r="CE64" s="17">
        <f t="shared" si="333"/>
        <v>0</v>
      </c>
      <c r="CF64" s="20">
        <f t="shared" si="334"/>
        <v>0</v>
      </c>
      <c r="CG64" s="20">
        <f t="shared" si="335"/>
        <v>0</v>
      </c>
      <c r="CH64" s="20">
        <f t="shared" si="336"/>
        <v>0</v>
      </c>
      <c r="CI64" s="20">
        <f t="shared" si="337"/>
        <v>0</v>
      </c>
      <c r="CJ64" s="20">
        <f t="shared" si="338"/>
        <v>0</v>
      </c>
      <c r="CK64" s="20">
        <f t="shared" si="339"/>
        <v>0</v>
      </c>
      <c r="CL64" s="20">
        <f t="shared" si="340"/>
        <v>0</v>
      </c>
      <c r="CM64" s="20">
        <f t="shared" si="341"/>
        <v>0</v>
      </c>
      <c r="CN64" s="20">
        <f t="shared" si="342"/>
        <v>0</v>
      </c>
      <c r="CO64" s="20">
        <f t="shared" si="343"/>
        <v>0</v>
      </c>
      <c r="CP64" s="20">
        <f t="shared" si="344"/>
        <v>0</v>
      </c>
      <c r="DV64" s="20">
        <f t="shared" si="345"/>
        <v>0</v>
      </c>
      <c r="DW64" s="20">
        <f t="shared" si="346"/>
        <v>0</v>
      </c>
      <c r="DX64" s="20">
        <f t="shared" si="347"/>
        <v>0</v>
      </c>
      <c r="DY64" s="20">
        <f t="shared" si="348"/>
        <v>0</v>
      </c>
      <c r="DZ64" s="20">
        <f t="shared" si="349"/>
        <v>0</v>
      </c>
      <c r="EA64" s="20">
        <f t="shared" si="350"/>
        <v>0</v>
      </c>
      <c r="EB64" s="20">
        <f t="shared" si="351"/>
        <v>0</v>
      </c>
      <c r="EG64" s="57">
        <f t="shared" si="352"/>
        <v>0</v>
      </c>
      <c r="EH64" s="57">
        <f t="shared" si="353"/>
        <v>0</v>
      </c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X64" s="169"/>
      <c r="FY64" s="17">
        <f t="shared" si="354"/>
        <v>0</v>
      </c>
      <c r="FZ64" s="17">
        <f t="shared" si="355"/>
        <v>0</v>
      </c>
      <c r="GA64" s="17">
        <f t="shared" si="355"/>
        <v>0</v>
      </c>
      <c r="GB64" s="17">
        <f t="shared" si="355"/>
        <v>0</v>
      </c>
      <c r="GC64" s="17">
        <f>DM64+CI64</f>
        <v>0</v>
      </c>
      <c r="GD64" s="17">
        <f>DO64+CK64</f>
        <v>0</v>
      </c>
      <c r="GE64" s="17">
        <f>DT64+CP64</f>
        <v>0</v>
      </c>
      <c r="GF64" s="67"/>
      <c r="GG64" s="17">
        <v>0</v>
      </c>
      <c r="GH64" s="17">
        <v>0</v>
      </c>
      <c r="GI64" s="67"/>
      <c r="GJ64" s="62">
        <f t="shared" si="356"/>
        <v>0</v>
      </c>
      <c r="GK64" s="62">
        <f t="shared" si="357"/>
        <v>0</v>
      </c>
      <c r="GO64" s="17">
        <f>D64-F64</f>
        <v>0</v>
      </c>
      <c r="GP64" s="17">
        <f>D64-J64</f>
        <v>0</v>
      </c>
      <c r="GQ64" s="17">
        <f>D64-N64</f>
        <v>0</v>
      </c>
      <c r="GR64" s="17">
        <f>D64-R64</f>
        <v>1</v>
      </c>
      <c r="GS64" s="17">
        <f>D64-V64</f>
        <v>1</v>
      </c>
      <c r="GT64" s="17">
        <f t="shared" si="358"/>
        <v>0</v>
      </c>
      <c r="GU64" s="101">
        <f t="shared" si="134"/>
        <v>43243</v>
      </c>
      <c r="GV64" s="17" t="str">
        <f t="shared" si="359"/>
        <v>Musyawarah</v>
      </c>
      <c r="GW64" s="17">
        <f t="shared" si="360"/>
        <v>1</v>
      </c>
      <c r="GX64" s="66" t="str">
        <f t="shared" si="361"/>
        <v>Musyawarah</v>
      </c>
      <c r="GY64" s="66">
        <f t="shared" si="362"/>
        <v>24</v>
      </c>
      <c r="GZ64" s="102">
        <f t="shared" si="363"/>
        <v>43267</v>
      </c>
      <c r="HA64" s="83"/>
      <c r="HB64" s="83"/>
      <c r="HC64" s="17">
        <f>IF(BH64&gt;0,1,IF(BI64&gt;0,1,0))</f>
        <v>0</v>
      </c>
      <c r="HD64" s="17">
        <f>IF(CB64&gt;0,1,0)</f>
        <v>0</v>
      </c>
      <c r="HE64" s="17">
        <f t="shared" si="364"/>
        <v>0</v>
      </c>
      <c r="HF64" s="17">
        <f t="shared" si="365"/>
        <v>0</v>
      </c>
      <c r="HG64" s="17">
        <f t="shared" si="366"/>
        <v>0</v>
      </c>
      <c r="HH64" s="101" t="str">
        <f t="shared" si="367"/>
        <v>TIDAK KONSINYASI</v>
      </c>
      <c r="HI64" s="101">
        <f t="shared" si="368"/>
        <v>43312</v>
      </c>
      <c r="HJ64" s="27"/>
      <c r="HK64" s="101">
        <f t="shared" si="369"/>
        <v>43312</v>
      </c>
      <c r="HL64" s="83"/>
      <c r="HM64" s="83"/>
      <c r="HN64" s="83"/>
      <c r="HO64" s="83"/>
      <c r="HP64" s="102">
        <f t="shared" si="370"/>
        <v>0</v>
      </c>
      <c r="HQ64" s="66">
        <f t="shared" si="371"/>
        <v>0</v>
      </c>
      <c r="HR64" s="66">
        <f>IF(HQ64=1,E64,0)</f>
        <v>0</v>
      </c>
      <c r="HS64" s="102">
        <f t="shared" si="372"/>
        <v>0</v>
      </c>
      <c r="HT64" s="66">
        <f t="shared" si="373"/>
        <v>0</v>
      </c>
      <c r="HU64" s="66">
        <f>IF(HT64=1,E64,0)</f>
        <v>0</v>
      </c>
      <c r="HV64" s="102">
        <f t="shared" si="374"/>
        <v>0</v>
      </c>
      <c r="HW64" s="66">
        <f t="shared" si="375"/>
        <v>0</v>
      </c>
      <c r="HX64" s="66">
        <f>IF(HW64=1,E64,0)</f>
        <v>0</v>
      </c>
      <c r="HY64" s="102">
        <f t="shared" si="376"/>
        <v>0</v>
      </c>
      <c r="HZ64" s="66">
        <f t="shared" si="377"/>
        <v>0</v>
      </c>
      <c r="IA64" s="66">
        <f>IF(HZ64=1,E64,0)</f>
        <v>0</v>
      </c>
      <c r="IB64" s="102">
        <f t="shared" si="378"/>
        <v>0</v>
      </c>
      <c r="IC64" s="66">
        <f t="shared" si="379"/>
        <v>0</v>
      </c>
      <c r="ID64" s="66">
        <f>IF(IC64=1,E64,0)</f>
        <v>0</v>
      </c>
      <c r="IE64" s="102">
        <f t="shared" si="380"/>
        <v>0</v>
      </c>
      <c r="IF64" s="66">
        <f t="shared" si="381"/>
        <v>0</v>
      </c>
      <c r="IG64" s="66">
        <f>IF(IF64=1,E64,0)</f>
        <v>0</v>
      </c>
      <c r="IH64" s="102">
        <f t="shared" si="382"/>
        <v>0</v>
      </c>
      <c r="II64" s="66">
        <f t="shared" si="383"/>
        <v>0</v>
      </c>
      <c r="IJ64" s="66">
        <f>IF(II64=1,E64,0)</f>
        <v>0</v>
      </c>
      <c r="IK64" s="102">
        <f t="shared" si="384"/>
        <v>0</v>
      </c>
      <c r="IL64" s="66">
        <f t="shared" si="385"/>
        <v>0</v>
      </c>
      <c r="IM64" s="66">
        <f>IF(IL64=1,E64,0)</f>
        <v>0</v>
      </c>
      <c r="IN64" s="83"/>
      <c r="IO64" s="102">
        <f t="shared" si="386"/>
        <v>0</v>
      </c>
      <c r="IP64" s="66">
        <f>IF(BG64&gt;0,1,0)</f>
        <v>0</v>
      </c>
      <c r="IQ64" s="66">
        <f>IF(IP64=1,E64,0)</f>
        <v>0</v>
      </c>
      <c r="IR64" s="83"/>
      <c r="IS64" s="102"/>
      <c r="IT64" s="66">
        <f t="shared" si="387"/>
        <v>0</v>
      </c>
      <c r="IU64" s="66">
        <f t="shared" si="387"/>
        <v>0</v>
      </c>
      <c r="IV64" s="83"/>
      <c r="IW64" s="102"/>
      <c r="IX64" s="66">
        <f t="shared" si="388"/>
        <v>0</v>
      </c>
      <c r="IY64" s="66">
        <f t="shared" si="388"/>
        <v>0</v>
      </c>
      <c r="IZ64" s="83"/>
      <c r="JA64" s="102"/>
      <c r="JB64" s="66">
        <f>AN64</f>
        <v>1</v>
      </c>
      <c r="JC64" s="66">
        <f>BB64</f>
        <v>37</v>
      </c>
      <c r="JD64" s="83"/>
      <c r="JE64" s="102"/>
      <c r="JF64" s="66">
        <f t="shared" si="389"/>
        <v>1</v>
      </c>
      <c r="JG64" s="66">
        <f t="shared" si="390"/>
        <v>37</v>
      </c>
      <c r="JH64" s="83"/>
      <c r="JI64" s="102"/>
      <c r="JJ64" s="66">
        <f t="shared" si="391"/>
        <v>0</v>
      </c>
      <c r="JK64" s="66">
        <f t="shared" si="391"/>
        <v>0</v>
      </c>
      <c r="JM64" s="102">
        <f t="shared" si="392"/>
        <v>0</v>
      </c>
      <c r="JO64" s="29">
        <f t="shared" si="393"/>
        <v>0</v>
      </c>
      <c r="JP64" s="122">
        <f>BN64+CR64</f>
        <v>0</v>
      </c>
      <c r="JQ64" s="122">
        <f t="shared" si="394"/>
        <v>0</v>
      </c>
      <c r="JR64" s="122">
        <f t="shared" si="394"/>
        <v>0</v>
      </c>
      <c r="JS64" s="122">
        <f t="shared" si="394"/>
        <v>0</v>
      </c>
      <c r="JT64" s="122">
        <f t="shared" si="394"/>
        <v>0</v>
      </c>
      <c r="JU64" s="122">
        <f t="shared" si="394"/>
        <v>0</v>
      </c>
      <c r="JV64" s="122">
        <f t="shared" si="394"/>
        <v>0</v>
      </c>
      <c r="JW64" s="122">
        <f t="shared" si="394"/>
        <v>0</v>
      </c>
      <c r="JX64" s="122">
        <f t="shared" si="394"/>
        <v>0</v>
      </c>
      <c r="JY64" s="122">
        <f t="shared" si="394"/>
        <v>0</v>
      </c>
      <c r="JZ64" s="122">
        <f t="shared" si="394"/>
        <v>0</v>
      </c>
      <c r="KA64" s="122">
        <f t="shared" si="394"/>
        <v>0</v>
      </c>
      <c r="KB64" s="122">
        <f t="shared" si="394"/>
        <v>0</v>
      </c>
      <c r="KD64" s="122">
        <f t="shared" si="155"/>
        <v>0</v>
      </c>
      <c r="KE64" s="122">
        <f t="shared" si="91"/>
        <v>0</v>
      </c>
      <c r="KF64" s="122">
        <f t="shared" si="395"/>
        <v>0</v>
      </c>
      <c r="KG64" s="122">
        <f t="shared" si="395"/>
        <v>0</v>
      </c>
      <c r="KH64" s="122">
        <f t="shared" si="395"/>
        <v>0</v>
      </c>
      <c r="KI64" s="122">
        <f t="shared" si="395"/>
        <v>0</v>
      </c>
      <c r="KJ64" s="122">
        <f t="shared" si="395"/>
        <v>0</v>
      </c>
      <c r="KK64" s="122">
        <f t="shared" si="395"/>
        <v>0</v>
      </c>
      <c r="KL64" s="122">
        <f t="shared" si="395"/>
        <v>0</v>
      </c>
      <c r="KM64" s="122">
        <f t="shared" si="395"/>
        <v>0</v>
      </c>
      <c r="KN64" s="123">
        <f t="shared" si="395"/>
        <v>0</v>
      </c>
      <c r="KO64" s="123">
        <f t="shared" si="395"/>
        <v>0</v>
      </c>
      <c r="KP64" s="123">
        <f t="shared" si="395"/>
        <v>0</v>
      </c>
      <c r="KQ64" s="123">
        <f t="shared" si="395"/>
        <v>0</v>
      </c>
      <c r="KR64" s="123">
        <f t="shared" si="395"/>
        <v>0</v>
      </c>
      <c r="KS64">
        <v>2</v>
      </c>
      <c r="KT64">
        <f>AN64</f>
        <v>1</v>
      </c>
      <c r="KU64" s="123"/>
      <c r="KV64" s="123"/>
      <c r="KW64" s="123"/>
      <c r="KX64" s="123"/>
      <c r="KY64" s="123"/>
      <c r="KZ64" s="123"/>
      <c r="LA64" s="123"/>
      <c r="LB64" s="123"/>
      <c r="LC64" s="123"/>
      <c r="LD64" s="123"/>
      <c r="LE64" s="123"/>
      <c r="LF64" s="123"/>
      <c r="LG64" s="123"/>
      <c r="LH64" s="123"/>
      <c r="LI64" s="123"/>
      <c r="LJ64" s="123"/>
      <c r="LK64" s="123"/>
      <c r="LL64" s="123"/>
      <c r="LM64" s="123">
        <v>1</v>
      </c>
      <c r="LN64" s="123">
        <v>1</v>
      </c>
      <c r="LO64" s="123"/>
      <c r="LP64" s="123"/>
      <c r="LQ64" s="123"/>
      <c r="LR64" s="123"/>
      <c r="LS64" s="123"/>
      <c r="LT64" s="123"/>
      <c r="LU64" s="123"/>
      <c r="LV64" s="123"/>
      <c r="LW64" s="123"/>
      <c r="LX64" s="123"/>
      <c r="LY64" s="123"/>
      <c r="LZ64" s="123"/>
      <c r="MA64" s="123"/>
      <c r="MB64" s="123"/>
      <c r="MC64" s="123"/>
      <c r="MD64" s="123"/>
      <c r="ME64" s="123"/>
      <c r="MF64" s="123"/>
      <c r="MG64" s="123"/>
      <c r="MH64" s="123"/>
      <c r="MI64" s="123"/>
      <c r="MJ64" s="123"/>
      <c r="MK64" s="123"/>
      <c r="ML64" s="123"/>
      <c r="MM64" s="123"/>
      <c r="MN64" s="123"/>
      <c r="MO64" s="123"/>
      <c r="MP64" s="123"/>
      <c r="MQ64" s="123"/>
      <c r="MR64" s="123"/>
      <c r="MS64" s="123"/>
      <c r="MT64" s="123"/>
      <c r="MU64" s="123"/>
      <c r="MV64" s="123"/>
      <c r="MW64" s="123"/>
      <c r="MX64" s="123"/>
      <c r="MY64" s="123"/>
      <c r="MZ64" s="123"/>
      <c r="NA64" s="123"/>
      <c r="NB64" s="123"/>
      <c r="NC64" s="123"/>
      <c r="ND64" s="123"/>
      <c r="NE64" s="123"/>
      <c r="NF64" s="123"/>
      <c r="NG64" s="123"/>
      <c r="NH64" s="123"/>
      <c r="NI64" s="123"/>
      <c r="NJ64" s="123"/>
      <c r="NK64" s="123"/>
      <c r="NM64">
        <f t="shared" si="396"/>
        <v>0</v>
      </c>
      <c r="NN64">
        <f t="shared" si="397"/>
        <v>1</v>
      </c>
      <c r="NO64">
        <f t="shared" si="398"/>
        <v>0</v>
      </c>
      <c r="NP64">
        <f t="shared" si="399"/>
        <v>0</v>
      </c>
      <c r="NQ64">
        <f t="shared" si="400"/>
        <v>0</v>
      </c>
      <c r="NR64">
        <f t="shared" si="401"/>
        <v>0</v>
      </c>
      <c r="NS64">
        <f t="shared" si="402"/>
        <v>0</v>
      </c>
      <c r="NT64">
        <f t="shared" si="403"/>
        <v>1</v>
      </c>
      <c r="NU64" s="29">
        <f t="shared" si="404"/>
        <v>0</v>
      </c>
      <c r="NY64" s="29"/>
      <c r="NZ64" s="152"/>
      <c r="OE64" s="155">
        <f t="shared" si="405"/>
        <v>0</v>
      </c>
      <c r="OF64" s="155">
        <f t="shared" si="406"/>
        <v>0</v>
      </c>
      <c r="OG64" s="155">
        <f t="shared" si="407"/>
        <v>1</v>
      </c>
      <c r="OH64" s="155">
        <f t="shared" si="408"/>
        <v>0</v>
      </c>
      <c r="OI64" s="155">
        <f t="shared" si="409"/>
        <v>1</v>
      </c>
      <c r="OJ64" s="67">
        <f t="shared" si="410"/>
        <v>0</v>
      </c>
      <c r="OK64" s="67">
        <f t="shared" si="411"/>
        <v>0</v>
      </c>
      <c r="OL64" s="67">
        <f t="shared" si="412"/>
        <v>0</v>
      </c>
      <c r="OM64" s="67">
        <f t="shared" si="413"/>
        <v>0</v>
      </c>
      <c r="OO64" s="155">
        <f t="shared" si="414"/>
        <v>0</v>
      </c>
      <c r="OP64" s="155">
        <f t="shared" si="415"/>
        <v>0</v>
      </c>
      <c r="OQ64" s="155">
        <f t="shared" si="416"/>
        <v>1</v>
      </c>
      <c r="OR64" s="155">
        <f t="shared" si="417"/>
        <v>0</v>
      </c>
      <c r="OS64" s="155">
        <f t="shared" si="418"/>
        <v>1</v>
      </c>
      <c r="OT64" s="67">
        <f t="shared" si="419"/>
        <v>0</v>
      </c>
      <c r="OU64" s="67">
        <f t="shared" si="420"/>
        <v>0</v>
      </c>
      <c r="OV64" s="67">
        <f t="shared" si="421"/>
        <v>0</v>
      </c>
      <c r="OW64" s="67">
        <f t="shared" si="422"/>
        <v>0</v>
      </c>
      <c r="OZ64" s="163">
        <f t="shared" si="200"/>
        <v>1</v>
      </c>
      <c r="PA64" s="171"/>
      <c r="PB64" s="166">
        <v>1</v>
      </c>
      <c r="PC64" s="166">
        <v>1</v>
      </c>
      <c r="PD64" s="210">
        <f t="shared" si="115"/>
        <v>0</v>
      </c>
      <c r="PE64" s="210"/>
      <c r="PF64" s="210">
        <f t="shared" si="116"/>
        <v>0</v>
      </c>
      <c r="PG64" s="210">
        <f t="shared" si="286"/>
        <v>0</v>
      </c>
      <c r="PH64" s="210">
        <f t="shared" si="286"/>
        <v>37</v>
      </c>
      <c r="PI64" s="210">
        <f t="shared" si="286"/>
        <v>37</v>
      </c>
      <c r="PJ64" s="210">
        <f t="shared" si="286"/>
        <v>0</v>
      </c>
      <c r="PK64" s="210">
        <f t="shared" si="286"/>
        <v>0</v>
      </c>
      <c r="PL64" s="210">
        <f t="shared" si="286"/>
        <v>0</v>
      </c>
      <c r="PO64" s="172">
        <f t="shared" si="177"/>
        <v>0</v>
      </c>
      <c r="PP64" s="172">
        <f t="shared" si="178"/>
        <v>0</v>
      </c>
      <c r="PQ64" s="172">
        <f t="shared" si="179"/>
        <v>0</v>
      </c>
    </row>
    <row r="65" spans="1:433" ht="16" x14ac:dyDescent="0.2">
      <c r="A65" s="19">
        <f t="shared" si="423"/>
        <v>53</v>
      </c>
      <c r="B65" s="237" t="s">
        <v>669</v>
      </c>
      <c r="C65" s="186">
        <v>8</v>
      </c>
      <c r="D65" s="188">
        <v>1</v>
      </c>
      <c r="E65" s="188">
        <v>7</v>
      </c>
      <c r="F65" s="188">
        <v>1</v>
      </c>
      <c r="G65" s="188">
        <f t="shared" si="305"/>
        <v>7</v>
      </c>
      <c r="H65" s="214">
        <f t="shared" ref="H65:H68" si="425">F65/$D65</f>
        <v>1</v>
      </c>
      <c r="I65" s="214">
        <f t="shared" ref="I65:I68" si="426">G65/$E65</f>
        <v>1</v>
      </c>
      <c r="J65" s="188">
        <v>1</v>
      </c>
      <c r="K65" s="188">
        <f t="shared" ref="K65:K68" si="427">IF(J65=D65,E65,0)</f>
        <v>7</v>
      </c>
      <c r="L65" s="214">
        <f t="shared" ref="L65:L68" si="428">J65/$D65</f>
        <v>1</v>
      </c>
      <c r="M65" s="214">
        <f t="shared" ref="M65:M68" si="429">K65/$E65</f>
        <v>1</v>
      </c>
      <c r="N65" s="188">
        <v>1</v>
      </c>
      <c r="O65" s="188">
        <f t="shared" ref="O65:O68" si="430">IF(N65=D65,E65,0)</f>
        <v>7</v>
      </c>
      <c r="P65" s="214">
        <f t="shared" ref="P65:P68" si="431">N65/$D65</f>
        <v>1</v>
      </c>
      <c r="Q65" s="214">
        <f t="shared" ref="Q65:Q68" si="432">O65/$E65</f>
        <v>1</v>
      </c>
      <c r="R65" s="188"/>
      <c r="S65" s="188">
        <f t="shared" ref="S65:S68" si="433">IF(R65=D65,E65,0)</f>
        <v>0</v>
      </c>
      <c r="T65" s="214">
        <f t="shared" ref="T65:T68" si="434">R65/$D65</f>
        <v>0</v>
      </c>
      <c r="U65" s="214">
        <f t="shared" ref="U65:U68" si="435">S65/$E65</f>
        <v>0</v>
      </c>
      <c r="V65" s="188"/>
      <c r="W65" s="188">
        <f t="shared" ref="W65:W68" si="436">IF(V65=D65,E65,0)</f>
        <v>0</v>
      </c>
      <c r="X65" s="214">
        <f t="shared" ref="X65:X68" si="437">V65/$D65</f>
        <v>0</v>
      </c>
      <c r="Y65" s="214">
        <f t="shared" ref="Y65:Y68" si="438">W65/$E65</f>
        <v>0</v>
      </c>
      <c r="Z65" s="216"/>
      <c r="AA65" s="188">
        <v>0</v>
      </c>
      <c r="AB65" s="189">
        <f t="shared" ref="AB65:AB68" si="439">IF(AA65=D65,E65,0)</f>
        <v>0</v>
      </c>
      <c r="AC65" s="250">
        <f t="shared" ref="AC65:AC68" si="440">AA65/$D65</f>
        <v>0</v>
      </c>
      <c r="AD65" s="250">
        <f t="shared" ref="AD65:AD68" si="441">AB65/$E65</f>
        <v>0</v>
      </c>
      <c r="AE65" s="188"/>
      <c r="AF65" s="188">
        <f t="shared" ref="AF65:AF68" si="442">R65-V65</f>
        <v>0</v>
      </c>
      <c r="AG65" s="188"/>
      <c r="AH65" s="188"/>
      <c r="AI65" s="188">
        <v>0</v>
      </c>
      <c r="AJ65" s="188">
        <f t="shared" ref="AJ65:AJ68" si="443">IF(AI65=D65,E65,0)</f>
        <v>0</v>
      </c>
      <c r="AK65" s="188"/>
      <c r="AL65" s="188">
        <v>0</v>
      </c>
      <c r="AM65" s="188">
        <v>0</v>
      </c>
      <c r="AN65" s="217">
        <v>1</v>
      </c>
      <c r="AO65" s="195"/>
      <c r="AP65" s="195"/>
      <c r="AQ65" s="195"/>
      <c r="AR65" s="195"/>
      <c r="AS65" s="195"/>
      <c r="AT65" s="195"/>
      <c r="BB65" s="17">
        <f t="shared" ref="BB65:BB68" si="444">IF(AN65=1,E65,0)</f>
        <v>7</v>
      </c>
      <c r="BE65" s="17">
        <f t="shared" ref="BE65:BE68" si="445">IF(AF65=1,S65,0)</f>
        <v>0</v>
      </c>
      <c r="BF65" s="17">
        <f t="shared" ref="BF65:BF68" si="446">IF(AG65="A",S65,0)</f>
        <v>0</v>
      </c>
      <c r="BG65" s="17">
        <f t="shared" ref="BG65:BG68" si="447">IF(AG65="B",S65,0)</f>
        <v>0</v>
      </c>
      <c r="BH65" s="17">
        <f t="shared" ref="BH65:BH68" si="448">IF(AG65="C",S65,0)</f>
        <v>0</v>
      </c>
      <c r="BI65" s="17">
        <f t="shared" ref="BI65:BI68" si="449">IF(AG65="D",S65,0)</f>
        <v>0</v>
      </c>
      <c r="BJ65" s="17">
        <f t="shared" ref="BJ65:BJ68" si="450">IF(AG65="E",S65,0)</f>
        <v>0</v>
      </c>
      <c r="BK65" s="17">
        <f t="shared" ref="BK65:BK68" si="451">SUM(BF65:BJ65)</f>
        <v>0</v>
      </c>
      <c r="BM65" s="128"/>
      <c r="BN65" s="147"/>
      <c r="BO65" s="127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B65" s="20"/>
      <c r="CD65" s="17">
        <f t="shared" ref="CD65:CD68" si="452">BN65</f>
        <v>0</v>
      </c>
      <c r="CE65" s="17">
        <f t="shared" ref="CE65:CE68" si="453">IF(BO65=1,$CD65,0)</f>
        <v>0</v>
      </c>
      <c r="CF65" s="20">
        <f t="shared" ref="CF65:CF68" si="454">IF(BP65=1,$CD65,0)</f>
        <v>0</v>
      </c>
      <c r="CG65" s="20">
        <f t="shared" ref="CG65:CG68" si="455">IF(BQ65=1,$CD65,0)</f>
        <v>0</v>
      </c>
      <c r="CH65" s="20">
        <f t="shared" ref="CH65:CH68" si="456">IF(BR65=1,$CD65,0)</f>
        <v>0</v>
      </c>
      <c r="CI65" s="20">
        <f t="shared" ref="CI65:CI68" si="457">IF(BS65=1,$CD65,0)</f>
        <v>0</v>
      </c>
      <c r="CJ65" s="20">
        <f t="shared" ref="CJ65:CJ68" si="458">IF(BT65=1,$CD65,0)</f>
        <v>0</v>
      </c>
      <c r="CK65" s="20">
        <f t="shared" ref="CK65:CK68" si="459">IF(BU65=1,$CD65,0)</f>
        <v>0</v>
      </c>
      <c r="CL65" s="20">
        <f t="shared" ref="CL65:CL68" si="460">IF(BV65=1,$CD65,0)</f>
        <v>0</v>
      </c>
      <c r="CM65" s="20">
        <f t="shared" ref="CM65:CM68" si="461">IF(BW65=1,$CD65,0)</f>
        <v>0</v>
      </c>
      <c r="CN65" s="20">
        <f t="shared" ref="CN65:CN68" si="462">IF(BX65=1,$CD65,0)</f>
        <v>0</v>
      </c>
      <c r="CO65" s="20">
        <f t="shared" ref="CO65:CO68" si="463">IF(BY65=1,$CD65,0)</f>
        <v>0</v>
      </c>
      <c r="CP65" s="20">
        <f t="shared" ref="CP65:CP68" si="464">IF(BZ65=1,$CD65,0)</f>
        <v>0</v>
      </c>
      <c r="DV65" s="20">
        <f t="shared" ref="DV65:DV68" si="465">IF(CB65=1,G65,0)</f>
        <v>0</v>
      </c>
      <c r="DW65" s="20">
        <f t="shared" ref="DW65:DW68" si="466">IF(CC65="A",G65,0)</f>
        <v>0</v>
      </c>
      <c r="DX65" s="20">
        <f t="shared" ref="DX65:DX68" si="467">IF(CC65="B",G65,0)</f>
        <v>0</v>
      </c>
      <c r="DY65" s="20">
        <f t="shared" ref="DY65:DY68" si="468">IF(CC65="C",G65,0)</f>
        <v>0</v>
      </c>
      <c r="DZ65" s="20">
        <f t="shared" ref="DZ65:DZ68" si="469">IF(CC65="D",G65,0)</f>
        <v>0</v>
      </c>
      <c r="EA65" s="20">
        <f t="shared" ref="EA65:EA68" si="470">IF(CC65="E",G65,0)</f>
        <v>0</v>
      </c>
      <c r="EB65" s="20">
        <f t="shared" ref="EB65:EB68" si="471">SUM(DW65:EA65)</f>
        <v>0</v>
      </c>
      <c r="EG65" s="57">
        <f t="shared" ref="EG65:EG68" si="472">IF(AG65="C","C",IF(AG65="D","D",0))</f>
        <v>0</v>
      </c>
      <c r="EH65" s="57">
        <f t="shared" ref="EH65:EH68" si="473">CC65</f>
        <v>0</v>
      </c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X65" s="169"/>
      <c r="FY65" s="17">
        <f t="shared" ref="FY65:FY68" si="474">SUM(FZ65:GE65)</f>
        <v>0</v>
      </c>
      <c r="FZ65" s="17">
        <f t="shared" ref="FZ65:FZ68" si="475">DI65+CE65</f>
        <v>0</v>
      </c>
      <c r="GA65" s="17">
        <f t="shared" ref="GA65:GA68" si="476">DJ65+CF65</f>
        <v>0</v>
      </c>
      <c r="GB65" s="17">
        <f t="shared" ref="GB65:GB68" si="477">DK65+CG65</f>
        <v>0</v>
      </c>
      <c r="GC65" s="17">
        <f t="shared" ref="GC65:GC68" si="478">DM65+CI65</f>
        <v>0</v>
      </c>
      <c r="GD65" s="17">
        <f t="shared" ref="GD65:GD68" si="479">DO65+CK65</f>
        <v>0</v>
      </c>
      <c r="GE65" s="17">
        <f t="shared" ref="GE65:GE68" si="480">DT65+CP65</f>
        <v>0</v>
      </c>
      <c r="GF65" s="67"/>
      <c r="GG65" s="17">
        <v>0</v>
      </c>
      <c r="GH65" s="17">
        <v>0</v>
      </c>
      <c r="GI65" s="67"/>
      <c r="GJ65" s="62">
        <f t="shared" ref="GJ65:GJ68" si="481">FY65*GG65/1000000000</f>
        <v>0</v>
      </c>
      <c r="GK65" s="62">
        <f t="shared" ref="GK65:GK68" si="482">FY65*GH65/1000000000</f>
        <v>0</v>
      </c>
      <c r="GO65" s="17">
        <f t="shared" ref="GO65:GO68" si="483">D65-F65</f>
        <v>0</v>
      </c>
      <c r="GP65" s="17">
        <f t="shared" ref="GP65:GP68" si="484">D65-J65</f>
        <v>0</v>
      </c>
      <c r="GQ65" s="17">
        <f t="shared" ref="GQ65:GQ68" si="485">D65-N65</f>
        <v>0</v>
      </c>
      <c r="GR65" s="17">
        <f t="shared" ref="GR65:GR68" si="486">D65-R65</f>
        <v>1</v>
      </c>
      <c r="GS65" s="17">
        <f t="shared" ref="GS65:GS68" si="487">D65-V65</f>
        <v>1</v>
      </c>
      <c r="GT65" s="17">
        <f t="shared" ref="GT65:GT68" si="488">IF(SUM(GO65:GS65)=0,1,0)</f>
        <v>0</v>
      </c>
      <c r="GU65" s="101">
        <f t="shared" si="134"/>
        <v>43243</v>
      </c>
      <c r="GV65" s="17" t="str">
        <f t="shared" ref="GV65:GV68" si="489">IF(GO65&gt;0,$GO$6,IF(GP65&gt;0,$GP$6,IF(GQ65&gt;0,$GQ$6,IF(GR65&gt;0,$GR$6,IF(GS65&gt;0,$GS$6,IF(GT65&gt;0,$GT$6,0))))))</f>
        <v>Musyawarah</v>
      </c>
      <c r="GW65" s="17">
        <f t="shared" ref="GW65:GW68" si="490">IF(GV65=$GO$6,GO65,IF(GV65=$GP$6,GP65,IF(GV65=$GQ$6,GQ65,IF(GV65=$GR$6,GR65,IF(GV65=$GS$6,GS65,0)))))</f>
        <v>1</v>
      </c>
      <c r="GX65" s="66" t="str">
        <f t="shared" ref="GX65:GX68" si="491">GV65</f>
        <v>Musyawarah</v>
      </c>
      <c r="GY65" s="66">
        <f t="shared" ref="GY65:GY68" si="492">IF(GX65="DNP",SUM($GY$4:$GY$8),IF(GX65="Survey KJPP",SUM($GY$5:$GY$8),IF(GX65="Hasil Valuasi",SUM($GY$6:$GY$8),IF(GX65="Musyawarah",SUM($GY$7:$GY$8),IF(GX65="UGR",$GY$8,0)))))</f>
        <v>24</v>
      </c>
      <c r="GZ65" s="102">
        <f t="shared" ref="GZ65:GZ68" si="493">IF(GW65=0,"SELESAI",GU65+GY65)</f>
        <v>43267</v>
      </c>
      <c r="HA65" s="83"/>
      <c r="HB65" s="83"/>
      <c r="HC65" s="17">
        <f t="shared" ref="HC65:HC68" si="494">IF(BH65&gt;0,1,IF(BI65&gt;0,1,0))</f>
        <v>0</v>
      </c>
      <c r="HD65" s="17">
        <f t="shared" ref="HD65:HD68" si="495">IF(CB65&gt;0,1,0)</f>
        <v>0</v>
      </c>
      <c r="HE65" s="17">
        <f t="shared" ref="HE65:HE68" si="496">HC65+HD65</f>
        <v>0</v>
      </c>
      <c r="HF65" s="17">
        <f t="shared" ref="HF65:HF68" si="497">FQ65</f>
        <v>0</v>
      </c>
      <c r="HG65" s="17">
        <f t="shared" ref="HG65:HG68" si="498">HE65-HF65</f>
        <v>0</v>
      </c>
      <c r="HH65" s="101" t="str">
        <f t="shared" ref="HH65:HH68" si="499">IF(HG65=1,GU65+$HH$8,"TIDAK KONSINYASI")</f>
        <v>TIDAK KONSINYASI</v>
      </c>
      <c r="HI65" s="101">
        <f t="shared" ref="HI65:HI68" si="500">IF(GW65=0,"SELESAI",GZ65+$HI$8)</f>
        <v>43312</v>
      </c>
      <c r="HJ65" s="27"/>
      <c r="HK65" s="101">
        <f t="shared" ref="HK65:HK68" si="501">MAX(GZ65,HH65,HI65)</f>
        <v>43312</v>
      </c>
      <c r="HL65" s="83"/>
      <c r="HM65" s="83"/>
      <c r="HN65" s="83"/>
      <c r="HO65" s="83"/>
      <c r="HP65" s="102">
        <f t="shared" ref="HP65:HP68" si="502">IF(HQ65=1,GZ65,0)</f>
        <v>0</v>
      </c>
      <c r="HQ65" s="66">
        <f t="shared" ref="HQ65:HQ68" si="503">IF(IX65=0,IF(HT65=0,IF(IP65=0,IF(GV65="UGR",GS65,0),0),0),0)</f>
        <v>0</v>
      </c>
      <c r="HR65" s="66">
        <f t="shared" ref="HR65:HR68" si="504">IF(HQ65=1,E65,0)</f>
        <v>0</v>
      </c>
      <c r="HS65" s="102">
        <f t="shared" ref="HS65:HS68" si="505">IF(HT65=1,HH65,0)</f>
        <v>0</v>
      </c>
      <c r="HT65" s="66">
        <f t="shared" ref="HT65:HT68" si="506">HG65</f>
        <v>0</v>
      </c>
      <c r="HU65" s="66">
        <f t="shared" ref="HU65:HU68" si="507">IF(HT65=1,E65,0)</f>
        <v>0</v>
      </c>
      <c r="HV65" s="102">
        <f t="shared" ref="HV65:HV68" si="508">IF(HW65=1,GZ65,0)</f>
        <v>0</v>
      </c>
      <c r="HW65" s="66">
        <f t="shared" ref="HW65:HW68" si="509">IF(JB65=0,IF(IX65=0,IF(HT65=0,IF(GV65="MUSYAWARAH",GR65,0),0),0),0)</f>
        <v>0</v>
      </c>
      <c r="HX65" s="66">
        <f t="shared" ref="HX65:HX68" si="510">IF(HW65=1,E65,0)</f>
        <v>0</v>
      </c>
      <c r="HY65" s="102">
        <f t="shared" ref="HY65:HY68" si="511">IF(HZ65=1,HV65+$HI$8,0)</f>
        <v>0</v>
      </c>
      <c r="HZ65" s="66">
        <f t="shared" ref="HZ65:HZ68" si="512">HW65</f>
        <v>0</v>
      </c>
      <c r="IA65" s="66">
        <f t="shared" ref="IA65:IA68" si="513">IF(HZ65=1,E65,0)</f>
        <v>0</v>
      </c>
      <c r="IB65" s="102">
        <f t="shared" ref="IB65:IB68" si="514">IF(IC65=1,$GU$3+SUM($GY$6:$GY$8),0)</f>
        <v>0</v>
      </c>
      <c r="IC65" s="66">
        <f t="shared" ref="IC65:IC68" si="515">IF(GV65="Hasil Valuasi",GQ65,0)</f>
        <v>0</v>
      </c>
      <c r="ID65" s="66">
        <f t="shared" ref="ID65:ID68" si="516">IF(IC65=1,E65,0)</f>
        <v>0</v>
      </c>
      <c r="IE65" s="102">
        <f t="shared" ref="IE65:IE68" si="517">IF(IF65=1,IB65+$HI$8,0)</f>
        <v>0</v>
      </c>
      <c r="IF65" s="66">
        <f t="shared" ref="IF65:IF68" si="518">IC65</f>
        <v>0</v>
      </c>
      <c r="IG65" s="66">
        <f t="shared" ref="IG65:IG68" si="519">IF(IF65=1,E65,0)</f>
        <v>0</v>
      </c>
      <c r="IH65" s="102">
        <f t="shared" ref="IH65:IH68" si="520">IF(II65=1,$GU$3+SUM($GY$5:$GY$8),0)</f>
        <v>0</v>
      </c>
      <c r="II65" s="66">
        <f t="shared" ref="II65:II68" si="521">IF(GV65="Survey KJPP",GP65,0)</f>
        <v>0</v>
      </c>
      <c r="IJ65" s="66">
        <f t="shared" ref="IJ65:IJ68" si="522">IF(II65=1,E65,0)</f>
        <v>0</v>
      </c>
      <c r="IK65" s="102">
        <f t="shared" ref="IK65:IK68" si="523">IF(IL65=1,IH65+$HI$8,0)</f>
        <v>0</v>
      </c>
      <c r="IL65" s="66">
        <f t="shared" ref="IL65:IL68" si="524">II65</f>
        <v>0</v>
      </c>
      <c r="IM65" s="66">
        <f t="shared" ref="IM65:IM68" si="525">IF(IL65=1,E65,0)</f>
        <v>0</v>
      </c>
      <c r="IN65" s="83"/>
      <c r="IO65" s="102">
        <f t="shared" ref="IO65:IO68" si="526">IF(IP65=1,+$GU$3+$HH$8,0)</f>
        <v>0</v>
      </c>
      <c r="IP65" s="66">
        <f t="shared" ref="IP65:IP68" si="527">IF(BG65&gt;0,1,0)</f>
        <v>0</v>
      </c>
      <c r="IQ65" s="66">
        <f t="shared" ref="IQ65:IQ68" si="528">IF(IP65=1,E65,0)</f>
        <v>0</v>
      </c>
      <c r="IR65" s="83"/>
      <c r="IS65" s="102"/>
      <c r="IT65" s="66">
        <f t="shared" ref="IT65:IT68" si="529">V65</f>
        <v>0</v>
      </c>
      <c r="IU65" s="66">
        <f t="shared" ref="IU65:IU68" si="530">W65</f>
        <v>0</v>
      </c>
      <c r="IV65" s="83"/>
      <c r="IW65" s="102"/>
      <c r="IX65" s="66">
        <f t="shared" ref="IX65:IX68" si="531">AA65</f>
        <v>0</v>
      </c>
      <c r="IY65" s="66">
        <f t="shared" ref="IY65:IY68" si="532">AB65</f>
        <v>0</v>
      </c>
      <c r="IZ65" s="83"/>
      <c r="JA65" s="102"/>
      <c r="JB65" s="66">
        <f t="shared" ref="JB65:JB68" si="533">AN65</f>
        <v>1</v>
      </c>
      <c r="JC65" s="66">
        <f t="shared" ref="JC65:JC68" si="534">BB65</f>
        <v>7</v>
      </c>
      <c r="JD65" s="83"/>
      <c r="JE65" s="102"/>
      <c r="JF65" s="66">
        <f t="shared" ref="JF65:JF68" si="535">IT65+HQ65+HT65+HZ65+IF65+IL65+IP65+IX65+JB65</f>
        <v>1</v>
      </c>
      <c r="JG65" s="66">
        <f t="shared" ref="JG65:JG68" si="536">IU65+HR65+HU65+IA65+IG65+IM65+IQ65+IY65+JC65</f>
        <v>7</v>
      </c>
      <c r="JH65" s="83"/>
      <c r="JI65" s="102"/>
      <c r="JJ65" s="66">
        <f t="shared" ref="JJ65:JJ68" si="537">JF65-D65</f>
        <v>0</v>
      </c>
      <c r="JK65" s="66">
        <f t="shared" ref="JK65:JK68" si="538">JG65-E65</f>
        <v>0</v>
      </c>
      <c r="JM65" s="102">
        <f t="shared" ref="JM65:JM68" si="539">MAX(IW65,IS65,IO65,IK65,IE65,HY65,HS65,HP65)</f>
        <v>0</v>
      </c>
      <c r="JO65" s="29">
        <f t="shared" ref="JO65:JO68" si="540">SUM(JQ65:KB65)</f>
        <v>0</v>
      </c>
      <c r="JP65" s="122">
        <f t="shared" ref="JP65:JP68" si="541">BN65+CR65</f>
        <v>0</v>
      </c>
      <c r="JQ65" s="122">
        <f t="shared" ref="JQ65:JQ68" si="542">IF(BO65+CS65=2,1,IF(BO65+CS65=1,1,0))</f>
        <v>0</v>
      </c>
      <c r="JR65" s="122">
        <f t="shared" ref="JR65:JR68" si="543">IF(BP65+CT65=2,1,IF(BP65+CT65=1,1,0))</f>
        <v>0</v>
      </c>
      <c r="JS65" s="122">
        <f t="shared" ref="JS65:JS68" si="544">IF(BQ65+CU65=2,1,IF(BQ65+CU65=1,1,0))</f>
        <v>0</v>
      </c>
      <c r="JT65" s="122">
        <f t="shared" ref="JT65:JT68" si="545">IF(BR65+CV65=2,1,IF(BR65+CV65=1,1,0))</f>
        <v>0</v>
      </c>
      <c r="JU65" s="122">
        <f t="shared" ref="JU65:JU68" si="546">IF(BS65+CW65=2,1,IF(BS65+CW65=1,1,0))</f>
        <v>0</v>
      </c>
      <c r="JV65" s="122">
        <f t="shared" ref="JV65:JV68" si="547">IF(BT65+CX65=2,1,IF(BT65+CX65=1,1,0))</f>
        <v>0</v>
      </c>
      <c r="JW65" s="122">
        <f t="shared" ref="JW65:JW68" si="548">IF(BU65+CY65=2,1,IF(BU65+CY65=1,1,0))</f>
        <v>0</v>
      </c>
      <c r="JX65" s="122">
        <f t="shared" ref="JX65:JX68" si="549">IF(BV65+CZ65=2,1,IF(BV65+CZ65=1,1,0))</f>
        <v>0</v>
      </c>
      <c r="JY65" s="122">
        <f t="shared" ref="JY65:JY68" si="550">IF(BW65+DA65=2,1,IF(BW65+DA65=1,1,0))</f>
        <v>0</v>
      </c>
      <c r="JZ65" s="122">
        <f t="shared" ref="JZ65:JZ68" si="551">IF(BX65+DB65=2,1,IF(BX65+DB65=1,1,0))</f>
        <v>0</v>
      </c>
      <c r="KA65" s="122">
        <f t="shared" ref="KA65:KA68" si="552">IF(BY65+DC65=2,1,IF(BY65+DC65=1,1,0))</f>
        <v>0</v>
      </c>
      <c r="KB65" s="122">
        <f t="shared" ref="KB65:KB68" si="553">IF(BZ65+DD65=2,1,IF(BZ65+DD65=1,1,0))</f>
        <v>0</v>
      </c>
      <c r="KD65" s="122">
        <f t="shared" ref="KD65:KD68" si="554">IF(IF(SUM(GA65:GE65)&gt;100,1,0)+IF(FX65=1,1,0)=2,1,0)</f>
        <v>0</v>
      </c>
      <c r="KE65" s="122">
        <f t="shared" ref="KE65:KE68" si="555">IF(KD65=1,KF65,0)</f>
        <v>0</v>
      </c>
      <c r="KF65" s="122">
        <f t="shared" ref="KF65:KF68" si="556">CD65+DH65</f>
        <v>0</v>
      </c>
      <c r="KG65" s="122">
        <f t="shared" ref="KG65:KG68" si="557">CE65+DI65</f>
        <v>0</v>
      </c>
      <c r="KH65" s="122">
        <f t="shared" ref="KH65:KH68" si="558">CF65+DJ65</f>
        <v>0</v>
      </c>
      <c r="KI65" s="122">
        <f t="shared" ref="KI65:KI68" si="559">CG65+DK65</f>
        <v>0</v>
      </c>
      <c r="KJ65" s="122">
        <f t="shared" ref="KJ65:KJ68" si="560">CH65+DL65</f>
        <v>0</v>
      </c>
      <c r="KK65" s="122">
        <f t="shared" ref="KK65:KK68" si="561">CI65+DM65</f>
        <v>0</v>
      </c>
      <c r="KL65" s="122">
        <f t="shared" ref="KL65:KL68" si="562">CJ65+DN65</f>
        <v>0</v>
      </c>
      <c r="KM65" s="122">
        <f t="shared" ref="KM65:KM68" si="563">CK65+DO65</f>
        <v>0</v>
      </c>
      <c r="KN65" s="123">
        <f t="shared" ref="KN65:KN68" si="564">CL65+DP65</f>
        <v>0</v>
      </c>
      <c r="KO65" s="123">
        <f t="shared" ref="KO65:KO68" si="565">CM65+DQ65</f>
        <v>0</v>
      </c>
      <c r="KP65" s="123">
        <f t="shared" ref="KP65:KP68" si="566">CN65+DR65</f>
        <v>0</v>
      </c>
      <c r="KQ65" s="123">
        <f t="shared" ref="KQ65:KQ68" si="567">CO65+DS65</f>
        <v>0</v>
      </c>
      <c r="KR65" s="123">
        <f t="shared" ref="KR65:KR68" si="568">CP65+DT65</f>
        <v>0</v>
      </c>
      <c r="KS65">
        <v>7</v>
      </c>
      <c r="KT65">
        <f t="shared" ref="KT65:KT68" si="569">AN65</f>
        <v>1</v>
      </c>
      <c r="KU65" s="123"/>
      <c r="KV65" s="123"/>
      <c r="KW65" s="123"/>
      <c r="KX65" s="123"/>
      <c r="KY65" s="123"/>
      <c r="KZ65" s="123"/>
      <c r="LA65" s="123"/>
      <c r="LB65" s="123"/>
      <c r="LC65" s="123"/>
      <c r="LD65" s="123"/>
      <c r="LE65" s="123"/>
      <c r="LF65" s="123"/>
      <c r="LG65" s="123"/>
      <c r="LH65" s="123"/>
      <c r="LI65" s="123"/>
      <c r="LJ65" s="123"/>
      <c r="LK65" s="123"/>
      <c r="LL65" s="123"/>
      <c r="LM65" s="123"/>
      <c r="LN65" s="123"/>
      <c r="LO65" s="123"/>
      <c r="LP65" s="123"/>
      <c r="LQ65" s="123"/>
      <c r="LR65" s="123"/>
      <c r="LS65" s="123"/>
      <c r="LT65" s="123"/>
      <c r="LU65" s="123"/>
      <c r="LV65" s="123"/>
      <c r="LW65" s="123"/>
      <c r="LX65" s="123"/>
      <c r="LY65" s="123"/>
      <c r="LZ65" s="123"/>
      <c r="MA65" s="123"/>
      <c r="MB65" s="123"/>
      <c r="MC65" s="123"/>
      <c r="MD65" s="123"/>
      <c r="ME65" s="123"/>
      <c r="MF65" s="123"/>
      <c r="MG65" s="123"/>
      <c r="MH65" s="123"/>
      <c r="MI65" s="123"/>
      <c r="MJ65" s="123"/>
      <c r="MK65" s="123"/>
      <c r="ML65" s="123"/>
      <c r="MM65" s="123"/>
      <c r="MN65" s="123"/>
      <c r="MO65" s="123"/>
      <c r="MP65" s="123"/>
      <c r="MQ65" s="123"/>
      <c r="MR65" s="123"/>
      <c r="MS65" s="123"/>
      <c r="MT65" s="123"/>
      <c r="MU65" s="123"/>
      <c r="MV65" s="123"/>
      <c r="MW65" s="123"/>
      <c r="MX65" s="123"/>
      <c r="MY65" s="123"/>
      <c r="MZ65" s="123"/>
      <c r="NA65" s="123"/>
      <c r="NB65" s="123"/>
      <c r="NC65" s="123"/>
      <c r="ND65" s="123"/>
      <c r="NE65" s="123"/>
      <c r="NF65" s="123"/>
      <c r="NG65" s="123"/>
      <c r="NH65" s="123"/>
      <c r="NI65" s="123"/>
      <c r="NJ65" s="123"/>
      <c r="NK65" s="123"/>
      <c r="NM65">
        <f t="shared" ref="NM65:NM68" si="570">IF(KS65=1,1,0)</f>
        <v>0</v>
      </c>
      <c r="NN65">
        <f t="shared" ref="NN65:NN68" si="571">IF(KS65=2,1,0)</f>
        <v>0</v>
      </c>
      <c r="NO65">
        <f t="shared" ref="NO65:NO68" si="572">IF(KS65=3,1,0)</f>
        <v>0</v>
      </c>
      <c r="NP65">
        <f t="shared" ref="NP65:NP68" si="573">IF(KS65=4,1,0)</f>
        <v>0</v>
      </c>
      <c r="NQ65">
        <f t="shared" ref="NQ65:NQ68" si="574">IF(KS65=5,1,0)</f>
        <v>0</v>
      </c>
      <c r="NR65">
        <f t="shared" ref="NR65:NR68" si="575">IF(KS65=6,1,0)</f>
        <v>0</v>
      </c>
      <c r="NS65">
        <f t="shared" ref="NS65:NS68" si="576">IF(KS65=7,1,0)</f>
        <v>1</v>
      </c>
      <c r="NT65">
        <f t="shared" ref="NT65:NT68" si="577">SUM(NM65:NS65)</f>
        <v>1</v>
      </c>
      <c r="NU65" s="29">
        <f t="shared" ref="NU65:NU68" si="578">NT65-KT65</f>
        <v>0</v>
      </c>
      <c r="NY65" s="29"/>
      <c r="NZ65" s="152"/>
      <c r="OE65" s="155">
        <f t="shared" si="405"/>
        <v>0</v>
      </c>
      <c r="OF65" s="155">
        <f t="shared" si="406"/>
        <v>0</v>
      </c>
      <c r="OG65" s="155">
        <f t="shared" si="407"/>
        <v>1</v>
      </c>
      <c r="OH65" s="155">
        <f t="shared" si="408"/>
        <v>0</v>
      </c>
      <c r="OI65" s="155">
        <f t="shared" si="409"/>
        <v>1</v>
      </c>
      <c r="OJ65" s="67">
        <f t="shared" si="410"/>
        <v>0</v>
      </c>
      <c r="OK65" s="67">
        <f t="shared" si="411"/>
        <v>0</v>
      </c>
      <c r="OL65" s="67">
        <f t="shared" si="412"/>
        <v>0</v>
      </c>
      <c r="OM65" s="67">
        <f t="shared" si="413"/>
        <v>0</v>
      </c>
      <c r="OO65" s="155">
        <f t="shared" si="414"/>
        <v>0</v>
      </c>
      <c r="OP65" s="155">
        <f t="shared" si="415"/>
        <v>0</v>
      </c>
      <c r="OQ65" s="155">
        <f t="shared" si="416"/>
        <v>1</v>
      </c>
      <c r="OR65" s="155">
        <f t="shared" si="417"/>
        <v>0</v>
      </c>
      <c r="OS65" s="155">
        <f t="shared" si="418"/>
        <v>1</v>
      </c>
      <c r="OT65" s="67">
        <f t="shared" si="419"/>
        <v>0</v>
      </c>
      <c r="OU65" s="67">
        <f t="shared" si="420"/>
        <v>0</v>
      </c>
      <c r="OV65" s="67">
        <f t="shared" si="421"/>
        <v>0</v>
      </c>
      <c r="OW65" s="67">
        <f t="shared" si="422"/>
        <v>0</v>
      </c>
      <c r="OZ65" s="163">
        <f t="shared" ref="OZ65:OZ68" si="579">AN65</f>
        <v>1</v>
      </c>
      <c r="PA65" s="166">
        <v>1</v>
      </c>
      <c r="PB65" s="166"/>
      <c r="PC65" s="166"/>
      <c r="PD65" s="210">
        <f t="shared" si="115"/>
        <v>0</v>
      </c>
      <c r="PE65" s="210"/>
      <c r="PF65" s="210">
        <f t="shared" si="116"/>
        <v>0</v>
      </c>
      <c r="PG65" s="210">
        <f t="shared" si="286"/>
        <v>7</v>
      </c>
      <c r="PH65" s="210">
        <f t="shared" si="286"/>
        <v>0</v>
      </c>
      <c r="PI65" s="210">
        <f t="shared" si="286"/>
        <v>0</v>
      </c>
      <c r="PJ65" s="210">
        <f t="shared" si="286"/>
        <v>0</v>
      </c>
      <c r="PK65" s="210">
        <f t="shared" si="286"/>
        <v>0</v>
      </c>
      <c r="PL65" s="210">
        <f t="shared" si="286"/>
        <v>0</v>
      </c>
      <c r="PO65" s="172">
        <f t="shared" ref="PO65:PO68" si="580">IF(FC65=1,AB65,0)</f>
        <v>0</v>
      </c>
      <c r="PP65" s="172">
        <f t="shared" ref="PP65:PP68" si="581">IF(FF65=1,AB65,0)</f>
        <v>0</v>
      </c>
      <c r="PQ65" s="172">
        <f t="shared" ref="PQ65:PQ68" si="582">AB65-(PO65+PP65)</f>
        <v>0</v>
      </c>
    </row>
    <row r="66" spans="1:433" ht="16" x14ac:dyDescent="0.2">
      <c r="A66" s="19">
        <f t="shared" si="423"/>
        <v>54</v>
      </c>
      <c r="B66" s="237" t="s">
        <v>679</v>
      </c>
      <c r="C66" s="186">
        <v>7</v>
      </c>
      <c r="D66" s="188">
        <v>1</v>
      </c>
      <c r="E66" s="188">
        <v>113</v>
      </c>
      <c r="F66" s="188">
        <v>1</v>
      </c>
      <c r="G66" s="188">
        <f t="shared" si="305"/>
        <v>113</v>
      </c>
      <c r="H66" s="214">
        <f t="shared" si="425"/>
        <v>1</v>
      </c>
      <c r="I66" s="214">
        <f t="shared" si="426"/>
        <v>1</v>
      </c>
      <c r="J66" s="188">
        <v>1</v>
      </c>
      <c r="K66" s="188">
        <f t="shared" si="427"/>
        <v>113</v>
      </c>
      <c r="L66" s="214">
        <f t="shared" si="428"/>
        <v>1</v>
      </c>
      <c r="M66" s="214">
        <f t="shared" si="429"/>
        <v>1</v>
      </c>
      <c r="N66" s="188">
        <v>1</v>
      </c>
      <c r="O66" s="188">
        <f t="shared" si="430"/>
        <v>113</v>
      </c>
      <c r="P66" s="214">
        <f t="shared" si="431"/>
        <v>1</v>
      </c>
      <c r="Q66" s="214">
        <f t="shared" si="432"/>
        <v>1</v>
      </c>
      <c r="R66" s="188"/>
      <c r="S66" s="188">
        <f t="shared" si="433"/>
        <v>0</v>
      </c>
      <c r="T66" s="214">
        <f t="shared" si="434"/>
        <v>0</v>
      </c>
      <c r="U66" s="214">
        <f t="shared" si="435"/>
        <v>0</v>
      </c>
      <c r="V66" s="188"/>
      <c r="W66" s="188">
        <f t="shared" si="436"/>
        <v>0</v>
      </c>
      <c r="X66" s="214">
        <f t="shared" si="437"/>
        <v>0</v>
      </c>
      <c r="Y66" s="214">
        <f t="shared" si="438"/>
        <v>0</v>
      </c>
      <c r="Z66" s="216"/>
      <c r="AA66" s="188">
        <v>0</v>
      </c>
      <c r="AB66" s="189">
        <f t="shared" si="439"/>
        <v>0</v>
      </c>
      <c r="AC66" s="250">
        <f t="shared" si="440"/>
        <v>0</v>
      </c>
      <c r="AD66" s="250">
        <f t="shared" si="441"/>
        <v>0</v>
      </c>
      <c r="AE66" s="188"/>
      <c r="AF66" s="188">
        <f t="shared" si="442"/>
        <v>0</v>
      </c>
      <c r="AG66" s="188"/>
      <c r="AH66" s="188"/>
      <c r="AI66" s="188">
        <v>0</v>
      </c>
      <c r="AJ66" s="188">
        <f t="shared" si="443"/>
        <v>0</v>
      </c>
      <c r="AK66" s="188"/>
      <c r="AL66" s="188">
        <v>0</v>
      </c>
      <c r="AM66" s="188">
        <v>0</v>
      </c>
      <c r="AN66" s="217">
        <v>1</v>
      </c>
      <c r="AO66" s="195"/>
      <c r="AP66" s="195"/>
      <c r="AQ66" s="195"/>
      <c r="AR66" s="195"/>
      <c r="AS66" s="195"/>
      <c r="AT66" s="195"/>
      <c r="BB66" s="17">
        <f t="shared" si="444"/>
        <v>113</v>
      </c>
      <c r="BE66" s="17">
        <f t="shared" si="445"/>
        <v>0</v>
      </c>
      <c r="BF66" s="17">
        <f t="shared" si="446"/>
        <v>0</v>
      </c>
      <c r="BG66" s="17">
        <f t="shared" si="447"/>
        <v>0</v>
      </c>
      <c r="BH66" s="17">
        <f t="shared" si="448"/>
        <v>0</v>
      </c>
      <c r="BI66" s="17">
        <f t="shared" si="449"/>
        <v>0</v>
      </c>
      <c r="BJ66" s="17">
        <f t="shared" si="450"/>
        <v>0</v>
      </c>
      <c r="BK66" s="17">
        <f t="shared" si="451"/>
        <v>0</v>
      </c>
      <c r="BM66" s="128"/>
      <c r="BN66" s="147"/>
      <c r="BO66" s="127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B66" s="20"/>
      <c r="CD66" s="17">
        <f t="shared" si="452"/>
        <v>0</v>
      </c>
      <c r="CE66" s="17">
        <f t="shared" si="453"/>
        <v>0</v>
      </c>
      <c r="CF66" s="20">
        <f t="shared" si="454"/>
        <v>0</v>
      </c>
      <c r="CG66" s="20">
        <f t="shared" si="455"/>
        <v>0</v>
      </c>
      <c r="CH66" s="20">
        <f t="shared" si="456"/>
        <v>0</v>
      </c>
      <c r="CI66" s="20">
        <f t="shared" si="457"/>
        <v>0</v>
      </c>
      <c r="CJ66" s="20">
        <f t="shared" si="458"/>
        <v>0</v>
      </c>
      <c r="CK66" s="20">
        <f t="shared" si="459"/>
        <v>0</v>
      </c>
      <c r="CL66" s="20">
        <f t="shared" si="460"/>
        <v>0</v>
      </c>
      <c r="CM66" s="20">
        <f t="shared" si="461"/>
        <v>0</v>
      </c>
      <c r="CN66" s="20">
        <f t="shared" si="462"/>
        <v>0</v>
      </c>
      <c r="CO66" s="20">
        <f t="shared" si="463"/>
        <v>0</v>
      </c>
      <c r="CP66" s="20">
        <f t="shared" si="464"/>
        <v>0</v>
      </c>
      <c r="DV66" s="20">
        <f t="shared" si="465"/>
        <v>0</v>
      </c>
      <c r="DW66" s="20">
        <f t="shared" si="466"/>
        <v>0</v>
      </c>
      <c r="DX66" s="20">
        <f t="shared" si="467"/>
        <v>0</v>
      </c>
      <c r="DY66" s="20">
        <f t="shared" si="468"/>
        <v>0</v>
      </c>
      <c r="DZ66" s="20">
        <f t="shared" si="469"/>
        <v>0</v>
      </c>
      <c r="EA66" s="20">
        <f t="shared" si="470"/>
        <v>0</v>
      </c>
      <c r="EB66" s="20">
        <f t="shared" si="471"/>
        <v>0</v>
      </c>
      <c r="EG66" s="57">
        <f t="shared" si="472"/>
        <v>0</v>
      </c>
      <c r="EH66" s="57">
        <f t="shared" si="473"/>
        <v>0</v>
      </c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X66" s="169"/>
      <c r="FY66" s="17">
        <f t="shared" si="474"/>
        <v>0</v>
      </c>
      <c r="FZ66" s="17">
        <f t="shared" si="475"/>
        <v>0</v>
      </c>
      <c r="GA66" s="17">
        <f t="shared" si="476"/>
        <v>0</v>
      </c>
      <c r="GB66" s="17">
        <f t="shared" si="477"/>
        <v>0</v>
      </c>
      <c r="GC66" s="17">
        <f t="shared" si="478"/>
        <v>0</v>
      </c>
      <c r="GD66" s="17">
        <f t="shared" si="479"/>
        <v>0</v>
      </c>
      <c r="GE66" s="17">
        <f t="shared" si="480"/>
        <v>0</v>
      </c>
      <c r="GF66" s="67"/>
      <c r="GG66" s="17">
        <v>0</v>
      </c>
      <c r="GH66" s="17">
        <v>0</v>
      </c>
      <c r="GI66" s="67"/>
      <c r="GJ66" s="62">
        <f t="shared" si="481"/>
        <v>0</v>
      </c>
      <c r="GK66" s="62">
        <f t="shared" si="482"/>
        <v>0</v>
      </c>
      <c r="GO66" s="17">
        <f t="shared" si="483"/>
        <v>0</v>
      </c>
      <c r="GP66" s="17">
        <f t="shared" si="484"/>
        <v>0</v>
      </c>
      <c r="GQ66" s="17">
        <f t="shared" si="485"/>
        <v>0</v>
      </c>
      <c r="GR66" s="17">
        <f t="shared" si="486"/>
        <v>1</v>
      </c>
      <c r="GS66" s="17">
        <f t="shared" si="487"/>
        <v>1</v>
      </c>
      <c r="GT66" s="17">
        <f t="shared" si="488"/>
        <v>0</v>
      </c>
      <c r="GU66" s="101">
        <f t="shared" si="134"/>
        <v>43243</v>
      </c>
      <c r="GV66" s="17" t="str">
        <f t="shared" si="489"/>
        <v>Musyawarah</v>
      </c>
      <c r="GW66" s="17">
        <f t="shared" si="490"/>
        <v>1</v>
      </c>
      <c r="GX66" s="66" t="str">
        <f t="shared" si="491"/>
        <v>Musyawarah</v>
      </c>
      <c r="GY66" s="66">
        <f t="shared" si="492"/>
        <v>24</v>
      </c>
      <c r="GZ66" s="102">
        <f t="shared" si="493"/>
        <v>43267</v>
      </c>
      <c r="HA66" s="83"/>
      <c r="HB66" s="83"/>
      <c r="HC66" s="17">
        <f t="shared" si="494"/>
        <v>0</v>
      </c>
      <c r="HD66" s="17">
        <f t="shared" si="495"/>
        <v>0</v>
      </c>
      <c r="HE66" s="17">
        <f t="shared" si="496"/>
        <v>0</v>
      </c>
      <c r="HF66" s="17">
        <f t="shared" si="497"/>
        <v>0</v>
      </c>
      <c r="HG66" s="17">
        <f t="shared" si="498"/>
        <v>0</v>
      </c>
      <c r="HH66" s="101" t="str">
        <f t="shared" si="499"/>
        <v>TIDAK KONSINYASI</v>
      </c>
      <c r="HI66" s="101">
        <f t="shared" si="500"/>
        <v>43312</v>
      </c>
      <c r="HJ66" s="27"/>
      <c r="HK66" s="101">
        <f t="shared" si="501"/>
        <v>43312</v>
      </c>
      <c r="HL66" s="83"/>
      <c r="HM66" s="83"/>
      <c r="HN66" s="83"/>
      <c r="HO66" s="83"/>
      <c r="HP66" s="102">
        <f t="shared" si="502"/>
        <v>0</v>
      </c>
      <c r="HQ66" s="66">
        <f t="shared" si="503"/>
        <v>0</v>
      </c>
      <c r="HR66" s="66">
        <f t="shared" si="504"/>
        <v>0</v>
      </c>
      <c r="HS66" s="102">
        <f t="shared" si="505"/>
        <v>0</v>
      </c>
      <c r="HT66" s="66">
        <f t="shared" si="506"/>
        <v>0</v>
      </c>
      <c r="HU66" s="66">
        <f t="shared" si="507"/>
        <v>0</v>
      </c>
      <c r="HV66" s="102">
        <f t="shared" si="508"/>
        <v>0</v>
      </c>
      <c r="HW66" s="66">
        <f t="shared" si="509"/>
        <v>0</v>
      </c>
      <c r="HX66" s="66">
        <f t="shared" si="510"/>
        <v>0</v>
      </c>
      <c r="HY66" s="102">
        <f t="shared" si="511"/>
        <v>0</v>
      </c>
      <c r="HZ66" s="66">
        <f t="shared" si="512"/>
        <v>0</v>
      </c>
      <c r="IA66" s="66">
        <f t="shared" si="513"/>
        <v>0</v>
      </c>
      <c r="IB66" s="102">
        <f t="shared" si="514"/>
        <v>0</v>
      </c>
      <c r="IC66" s="66">
        <f t="shared" si="515"/>
        <v>0</v>
      </c>
      <c r="ID66" s="66">
        <f t="shared" si="516"/>
        <v>0</v>
      </c>
      <c r="IE66" s="102">
        <f t="shared" si="517"/>
        <v>0</v>
      </c>
      <c r="IF66" s="66">
        <f t="shared" si="518"/>
        <v>0</v>
      </c>
      <c r="IG66" s="66">
        <f t="shared" si="519"/>
        <v>0</v>
      </c>
      <c r="IH66" s="102">
        <f t="shared" si="520"/>
        <v>0</v>
      </c>
      <c r="II66" s="66">
        <f t="shared" si="521"/>
        <v>0</v>
      </c>
      <c r="IJ66" s="66">
        <f t="shared" si="522"/>
        <v>0</v>
      </c>
      <c r="IK66" s="102">
        <f t="shared" si="523"/>
        <v>0</v>
      </c>
      <c r="IL66" s="66">
        <f t="shared" si="524"/>
        <v>0</v>
      </c>
      <c r="IM66" s="66">
        <f t="shared" si="525"/>
        <v>0</v>
      </c>
      <c r="IN66" s="83"/>
      <c r="IO66" s="102">
        <f t="shared" si="526"/>
        <v>0</v>
      </c>
      <c r="IP66" s="66">
        <f t="shared" si="527"/>
        <v>0</v>
      </c>
      <c r="IQ66" s="66">
        <f t="shared" si="528"/>
        <v>0</v>
      </c>
      <c r="IR66" s="83"/>
      <c r="IS66" s="102"/>
      <c r="IT66" s="66">
        <f t="shared" si="529"/>
        <v>0</v>
      </c>
      <c r="IU66" s="66">
        <f t="shared" si="530"/>
        <v>0</v>
      </c>
      <c r="IV66" s="83"/>
      <c r="IW66" s="102"/>
      <c r="IX66" s="66">
        <f t="shared" si="531"/>
        <v>0</v>
      </c>
      <c r="IY66" s="66">
        <f t="shared" si="532"/>
        <v>0</v>
      </c>
      <c r="IZ66" s="83"/>
      <c r="JA66" s="102"/>
      <c r="JB66" s="66">
        <f t="shared" si="533"/>
        <v>1</v>
      </c>
      <c r="JC66" s="66">
        <f t="shared" si="534"/>
        <v>113</v>
      </c>
      <c r="JD66" s="83"/>
      <c r="JE66" s="102"/>
      <c r="JF66" s="66">
        <f t="shared" si="535"/>
        <v>1</v>
      </c>
      <c r="JG66" s="66">
        <f t="shared" si="536"/>
        <v>113</v>
      </c>
      <c r="JH66" s="83"/>
      <c r="JI66" s="102"/>
      <c r="JJ66" s="66">
        <f t="shared" si="537"/>
        <v>0</v>
      </c>
      <c r="JK66" s="66">
        <f t="shared" si="538"/>
        <v>0</v>
      </c>
      <c r="JM66" s="102">
        <f t="shared" si="539"/>
        <v>0</v>
      </c>
      <c r="JO66" s="29">
        <f t="shared" si="540"/>
        <v>0</v>
      </c>
      <c r="JP66" s="122">
        <f t="shared" si="541"/>
        <v>0</v>
      </c>
      <c r="JQ66" s="122">
        <f t="shared" si="542"/>
        <v>0</v>
      </c>
      <c r="JR66" s="122">
        <f t="shared" si="543"/>
        <v>0</v>
      </c>
      <c r="JS66" s="122">
        <f t="shared" si="544"/>
        <v>0</v>
      </c>
      <c r="JT66" s="122">
        <f t="shared" si="545"/>
        <v>0</v>
      </c>
      <c r="JU66" s="122">
        <f t="shared" si="546"/>
        <v>0</v>
      </c>
      <c r="JV66" s="122">
        <f t="shared" si="547"/>
        <v>0</v>
      </c>
      <c r="JW66" s="122">
        <f t="shared" si="548"/>
        <v>0</v>
      </c>
      <c r="JX66" s="122">
        <f t="shared" si="549"/>
        <v>0</v>
      </c>
      <c r="JY66" s="122">
        <f t="shared" si="550"/>
        <v>0</v>
      </c>
      <c r="JZ66" s="122">
        <f t="shared" si="551"/>
        <v>0</v>
      </c>
      <c r="KA66" s="122">
        <f t="shared" si="552"/>
        <v>0</v>
      </c>
      <c r="KB66" s="122">
        <f t="shared" si="553"/>
        <v>0</v>
      </c>
      <c r="KD66" s="122">
        <f t="shared" si="554"/>
        <v>0</v>
      </c>
      <c r="KE66" s="122">
        <f t="shared" si="555"/>
        <v>0</v>
      </c>
      <c r="KF66" s="122">
        <f t="shared" si="556"/>
        <v>0</v>
      </c>
      <c r="KG66" s="122">
        <f t="shared" si="557"/>
        <v>0</v>
      </c>
      <c r="KH66" s="122">
        <f t="shared" si="558"/>
        <v>0</v>
      </c>
      <c r="KI66" s="122">
        <f t="shared" si="559"/>
        <v>0</v>
      </c>
      <c r="KJ66" s="122">
        <f t="shared" si="560"/>
        <v>0</v>
      </c>
      <c r="KK66" s="122">
        <f t="shared" si="561"/>
        <v>0</v>
      </c>
      <c r="KL66" s="122">
        <f t="shared" si="562"/>
        <v>0</v>
      </c>
      <c r="KM66" s="122">
        <f t="shared" si="563"/>
        <v>0</v>
      </c>
      <c r="KN66" s="123">
        <f t="shared" si="564"/>
        <v>0</v>
      </c>
      <c r="KO66" s="123">
        <f t="shared" si="565"/>
        <v>0</v>
      </c>
      <c r="KP66" s="123">
        <f t="shared" si="566"/>
        <v>0</v>
      </c>
      <c r="KQ66" s="123">
        <f t="shared" si="567"/>
        <v>0</v>
      </c>
      <c r="KR66" s="123">
        <f t="shared" si="568"/>
        <v>0</v>
      </c>
      <c r="KS66">
        <v>2</v>
      </c>
      <c r="KT66">
        <f t="shared" si="569"/>
        <v>1</v>
      </c>
      <c r="KU66" s="123"/>
      <c r="KV66" s="123"/>
      <c r="KW66" s="123"/>
      <c r="KX66" s="123"/>
      <c r="KY66" s="123"/>
      <c r="KZ66" s="123"/>
      <c r="LA66" s="123"/>
      <c r="LB66" s="123"/>
      <c r="LC66" s="123"/>
      <c r="LD66" s="123"/>
      <c r="LE66" s="123"/>
      <c r="LF66" s="123"/>
      <c r="LG66" s="123"/>
      <c r="LH66" s="123"/>
      <c r="LI66" s="123"/>
      <c r="LJ66" s="123"/>
      <c r="LK66" s="123"/>
      <c r="LL66" s="123"/>
      <c r="LM66" s="123"/>
      <c r="LN66" s="123"/>
      <c r="LO66" s="123"/>
      <c r="LP66" s="123"/>
      <c r="LQ66" s="123"/>
      <c r="LR66" s="123"/>
      <c r="LS66" s="123"/>
      <c r="LT66" s="123"/>
      <c r="LU66" s="123"/>
      <c r="LV66" s="123"/>
      <c r="LW66" s="123"/>
      <c r="LX66" s="123"/>
      <c r="LY66" s="123"/>
      <c r="LZ66" s="123"/>
      <c r="MA66" s="123"/>
      <c r="MB66" s="123"/>
      <c r="MC66" s="123"/>
      <c r="MD66" s="123"/>
      <c r="ME66" s="123"/>
      <c r="MF66" s="123"/>
      <c r="MG66" s="123"/>
      <c r="MH66" s="123"/>
      <c r="MI66" s="123"/>
      <c r="MJ66" s="123"/>
      <c r="MK66" s="123"/>
      <c r="ML66" s="123"/>
      <c r="MM66" s="123"/>
      <c r="MN66" s="123"/>
      <c r="MO66" s="123"/>
      <c r="MP66" s="123"/>
      <c r="MQ66" s="123"/>
      <c r="MR66" s="123"/>
      <c r="MS66" s="123"/>
      <c r="MT66" s="123"/>
      <c r="MU66" s="123"/>
      <c r="MV66" s="123"/>
      <c r="MW66" s="123"/>
      <c r="MX66" s="123"/>
      <c r="MY66" s="123"/>
      <c r="MZ66" s="123"/>
      <c r="NA66" s="123"/>
      <c r="NB66" s="123"/>
      <c r="NC66" s="123"/>
      <c r="ND66" s="123"/>
      <c r="NE66" s="123"/>
      <c r="NF66" s="123"/>
      <c r="NG66" s="123"/>
      <c r="NH66" s="123"/>
      <c r="NI66" s="123"/>
      <c r="NJ66" s="123"/>
      <c r="NK66" s="123"/>
      <c r="NM66">
        <f t="shared" si="570"/>
        <v>0</v>
      </c>
      <c r="NN66">
        <f t="shared" si="571"/>
        <v>1</v>
      </c>
      <c r="NO66">
        <f t="shared" si="572"/>
        <v>0</v>
      </c>
      <c r="NP66">
        <f t="shared" si="573"/>
        <v>0</v>
      </c>
      <c r="NQ66">
        <f t="shared" si="574"/>
        <v>0</v>
      </c>
      <c r="NR66">
        <f t="shared" si="575"/>
        <v>0</v>
      </c>
      <c r="NS66">
        <f t="shared" si="576"/>
        <v>0</v>
      </c>
      <c r="NT66">
        <f t="shared" si="577"/>
        <v>1</v>
      </c>
      <c r="NU66" s="29">
        <f t="shared" si="578"/>
        <v>0</v>
      </c>
      <c r="NY66" s="29"/>
      <c r="NZ66" s="152"/>
      <c r="OE66" s="155">
        <f t="shared" si="405"/>
        <v>0</v>
      </c>
      <c r="OF66" s="155">
        <f t="shared" si="406"/>
        <v>0</v>
      </c>
      <c r="OG66" s="155">
        <f t="shared" si="407"/>
        <v>1</v>
      </c>
      <c r="OH66" s="155">
        <f t="shared" si="408"/>
        <v>0</v>
      </c>
      <c r="OI66" s="155">
        <f t="shared" si="409"/>
        <v>1</v>
      </c>
      <c r="OJ66" s="67">
        <f t="shared" si="410"/>
        <v>0</v>
      </c>
      <c r="OK66" s="67">
        <f t="shared" si="411"/>
        <v>0</v>
      </c>
      <c r="OL66" s="67">
        <f t="shared" si="412"/>
        <v>0</v>
      </c>
      <c r="OM66" s="67">
        <f t="shared" si="413"/>
        <v>0</v>
      </c>
      <c r="OO66" s="155">
        <f t="shared" si="414"/>
        <v>0</v>
      </c>
      <c r="OP66" s="155">
        <f t="shared" si="415"/>
        <v>0</v>
      </c>
      <c r="OQ66" s="155">
        <f t="shared" si="416"/>
        <v>1</v>
      </c>
      <c r="OR66" s="155">
        <f t="shared" si="417"/>
        <v>0</v>
      </c>
      <c r="OS66" s="155">
        <f t="shared" si="418"/>
        <v>1</v>
      </c>
      <c r="OT66" s="67">
        <f t="shared" si="419"/>
        <v>0</v>
      </c>
      <c r="OU66" s="67">
        <f t="shared" si="420"/>
        <v>0</v>
      </c>
      <c r="OV66" s="67">
        <f t="shared" si="421"/>
        <v>0</v>
      </c>
      <c r="OW66" s="67">
        <f t="shared" si="422"/>
        <v>0</v>
      </c>
      <c r="OZ66" s="163">
        <f t="shared" si="579"/>
        <v>1</v>
      </c>
      <c r="PA66" s="166">
        <v>1</v>
      </c>
      <c r="PB66" s="166"/>
      <c r="PC66" s="166"/>
      <c r="PD66" s="210">
        <f t="shared" si="115"/>
        <v>0</v>
      </c>
      <c r="PE66" s="210"/>
      <c r="PF66" s="210">
        <f t="shared" si="116"/>
        <v>0</v>
      </c>
      <c r="PG66" s="210">
        <f t="shared" si="286"/>
        <v>113</v>
      </c>
      <c r="PH66" s="210">
        <f t="shared" si="286"/>
        <v>0</v>
      </c>
      <c r="PI66" s="210">
        <f t="shared" si="286"/>
        <v>0</v>
      </c>
      <c r="PJ66" s="210">
        <f t="shared" si="286"/>
        <v>0</v>
      </c>
      <c r="PK66" s="210">
        <f t="shared" si="286"/>
        <v>0</v>
      </c>
      <c r="PL66" s="210">
        <f t="shared" si="286"/>
        <v>0</v>
      </c>
      <c r="PO66" s="172">
        <f t="shared" si="580"/>
        <v>0</v>
      </c>
      <c r="PP66" s="172">
        <f t="shared" si="581"/>
        <v>0</v>
      </c>
      <c r="PQ66" s="172">
        <f t="shared" si="582"/>
        <v>0</v>
      </c>
    </row>
    <row r="67" spans="1:433" ht="16" x14ac:dyDescent="0.2">
      <c r="A67" s="19">
        <f t="shared" si="423"/>
        <v>55</v>
      </c>
      <c r="B67" s="237" t="s">
        <v>666</v>
      </c>
      <c r="C67" s="186">
        <v>1</v>
      </c>
      <c r="D67" s="188">
        <v>1</v>
      </c>
      <c r="E67" s="188">
        <v>148</v>
      </c>
      <c r="F67" s="188">
        <v>1</v>
      </c>
      <c r="G67" s="188">
        <f t="shared" si="305"/>
        <v>148</v>
      </c>
      <c r="H67" s="214">
        <f t="shared" si="425"/>
        <v>1</v>
      </c>
      <c r="I67" s="214">
        <f t="shared" si="426"/>
        <v>1</v>
      </c>
      <c r="J67" s="165">
        <v>1</v>
      </c>
      <c r="K67" s="188">
        <f t="shared" si="427"/>
        <v>148</v>
      </c>
      <c r="L67" s="214">
        <f t="shared" si="428"/>
        <v>1</v>
      </c>
      <c r="M67" s="214">
        <f t="shared" si="429"/>
        <v>1</v>
      </c>
      <c r="N67" s="165">
        <v>1</v>
      </c>
      <c r="O67" s="188">
        <f t="shared" si="430"/>
        <v>148</v>
      </c>
      <c r="P67" s="214">
        <f t="shared" si="431"/>
        <v>1</v>
      </c>
      <c r="Q67" s="214">
        <f t="shared" si="432"/>
        <v>1</v>
      </c>
      <c r="R67" s="188"/>
      <c r="S67" s="188">
        <f t="shared" si="433"/>
        <v>0</v>
      </c>
      <c r="T67" s="214">
        <f t="shared" si="434"/>
        <v>0</v>
      </c>
      <c r="U67" s="214">
        <f t="shared" si="435"/>
        <v>0</v>
      </c>
      <c r="V67" s="188"/>
      <c r="W67" s="188">
        <f t="shared" si="436"/>
        <v>0</v>
      </c>
      <c r="X67" s="214">
        <f t="shared" si="437"/>
        <v>0</v>
      </c>
      <c r="Y67" s="214">
        <f t="shared" si="438"/>
        <v>0</v>
      </c>
      <c r="Z67" s="216"/>
      <c r="AA67" s="188">
        <v>0</v>
      </c>
      <c r="AB67" s="189">
        <f t="shared" si="439"/>
        <v>0</v>
      </c>
      <c r="AC67" s="250">
        <f t="shared" si="440"/>
        <v>0</v>
      </c>
      <c r="AD67" s="250">
        <f t="shared" si="441"/>
        <v>0</v>
      </c>
      <c r="AE67" s="188"/>
      <c r="AF67" s="188">
        <f t="shared" si="442"/>
        <v>0</v>
      </c>
      <c r="AG67" s="188"/>
      <c r="AH67" s="188"/>
      <c r="AI67" s="188">
        <v>0</v>
      </c>
      <c r="AJ67" s="188">
        <f t="shared" si="443"/>
        <v>0</v>
      </c>
      <c r="AK67" s="188"/>
      <c r="AL67" s="188">
        <v>0</v>
      </c>
      <c r="AM67" s="188">
        <v>0</v>
      </c>
      <c r="AN67" s="217">
        <v>1</v>
      </c>
      <c r="AO67" s="195"/>
      <c r="AP67" s="195"/>
      <c r="AQ67" s="195"/>
      <c r="AR67" s="195"/>
      <c r="AS67" s="195"/>
      <c r="AT67" s="195"/>
      <c r="BB67" s="17">
        <f t="shared" si="444"/>
        <v>148</v>
      </c>
      <c r="BE67" s="17">
        <f t="shared" si="445"/>
        <v>0</v>
      </c>
      <c r="BF67" s="17">
        <f t="shared" si="446"/>
        <v>0</v>
      </c>
      <c r="BG67" s="17">
        <f t="shared" si="447"/>
        <v>0</v>
      </c>
      <c r="BH67" s="17">
        <f t="shared" si="448"/>
        <v>0</v>
      </c>
      <c r="BI67" s="17">
        <f t="shared" si="449"/>
        <v>0</v>
      </c>
      <c r="BJ67" s="17">
        <f t="shared" si="450"/>
        <v>0</v>
      </c>
      <c r="BK67" s="17">
        <f t="shared" si="451"/>
        <v>0</v>
      </c>
      <c r="BM67" s="128"/>
      <c r="BN67" s="147"/>
      <c r="BO67" s="127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B67" s="20"/>
      <c r="CD67" s="17">
        <f t="shared" si="452"/>
        <v>0</v>
      </c>
      <c r="CE67" s="17">
        <f t="shared" si="453"/>
        <v>0</v>
      </c>
      <c r="CF67" s="20">
        <f t="shared" si="454"/>
        <v>0</v>
      </c>
      <c r="CG67" s="20">
        <f t="shared" si="455"/>
        <v>0</v>
      </c>
      <c r="CH67" s="20">
        <f t="shared" si="456"/>
        <v>0</v>
      </c>
      <c r="CI67" s="20">
        <f t="shared" si="457"/>
        <v>0</v>
      </c>
      <c r="CJ67" s="20">
        <f t="shared" si="458"/>
        <v>0</v>
      </c>
      <c r="CK67" s="20">
        <f t="shared" si="459"/>
        <v>0</v>
      </c>
      <c r="CL67" s="20">
        <f t="shared" si="460"/>
        <v>0</v>
      </c>
      <c r="CM67" s="20">
        <f t="shared" si="461"/>
        <v>0</v>
      </c>
      <c r="CN67" s="20">
        <f t="shared" si="462"/>
        <v>0</v>
      </c>
      <c r="CO67" s="20">
        <f t="shared" si="463"/>
        <v>0</v>
      </c>
      <c r="CP67" s="20">
        <f t="shared" si="464"/>
        <v>0</v>
      </c>
      <c r="DV67" s="20">
        <f t="shared" si="465"/>
        <v>0</v>
      </c>
      <c r="DW67" s="20">
        <f t="shared" si="466"/>
        <v>0</v>
      </c>
      <c r="DX67" s="20">
        <f t="shared" si="467"/>
        <v>0</v>
      </c>
      <c r="DY67" s="20">
        <f t="shared" si="468"/>
        <v>0</v>
      </c>
      <c r="DZ67" s="20">
        <f t="shared" si="469"/>
        <v>0</v>
      </c>
      <c r="EA67" s="20">
        <f t="shared" si="470"/>
        <v>0</v>
      </c>
      <c r="EB67" s="20">
        <f t="shared" si="471"/>
        <v>0</v>
      </c>
      <c r="EG67" s="57">
        <f t="shared" si="472"/>
        <v>0</v>
      </c>
      <c r="EH67" s="57">
        <f t="shared" si="473"/>
        <v>0</v>
      </c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X67" s="169"/>
      <c r="FY67" s="17">
        <f t="shared" si="474"/>
        <v>0</v>
      </c>
      <c r="FZ67" s="17">
        <f t="shared" si="475"/>
        <v>0</v>
      </c>
      <c r="GA67" s="17">
        <f t="shared" si="476"/>
        <v>0</v>
      </c>
      <c r="GB67" s="17">
        <f t="shared" si="477"/>
        <v>0</v>
      </c>
      <c r="GC67" s="17">
        <f t="shared" si="478"/>
        <v>0</v>
      </c>
      <c r="GD67" s="17">
        <f t="shared" si="479"/>
        <v>0</v>
      </c>
      <c r="GE67" s="17">
        <f t="shared" si="480"/>
        <v>0</v>
      </c>
      <c r="GF67" s="67"/>
      <c r="GG67" s="17">
        <v>0</v>
      </c>
      <c r="GH67" s="17">
        <v>0</v>
      </c>
      <c r="GI67" s="67"/>
      <c r="GJ67" s="62">
        <f t="shared" si="481"/>
        <v>0</v>
      </c>
      <c r="GK67" s="62">
        <f t="shared" si="482"/>
        <v>0</v>
      </c>
      <c r="GO67" s="17">
        <f t="shared" si="483"/>
        <v>0</v>
      </c>
      <c r="GP67" s="17">
        <f t="shared" si="484"/>
        <v>0</v>
      </c>
      <c r="GQ67" s="17">
        <f t="shared" si="485"/>
        <v>0</v>
      </c>
      <c r="GR67" s="17">
        <f t="shared" si="486"/>
        <v>1</v>
      </c>
      <c r="GS67" s="17">
        <f t="shared" si="487"/>
        <v>1</v>
      </c>
      <c r="GT67" s="17">
        <f t="shared" si="488"/>
        <v>0</v>
      </c>
      <c r="GU67" s="101">
        <f t="shared" si="134"/>
        <v>43243</v>
      </c>
      <c r="GV67" s="17" t="str">
        <f t="shared" si="489"/>
        <v>Musyawarah</v>
      </c>
      <c r="GW67" s="17">
        <f t="shared" si="490"/>
        <v>1</v>
      </c>
      <c r="GX67" s="66" t="str">
        <f t="shared" si="491"/>
        <v>Musyawarah</v>
      </c>
      <c r="GY67" s="66">
        <f t="shared" si="492"/>
        <v>24</v>
      </c>
      <c r="GZ67" s="102">
        <f t="shared" si="493"/>
        <v>43267</v>
      </c>
      <c r="HA67" s="83"/>
      <c r="HB67" s="83"/>
      <c r="HC67" s="17">
        <f t="shared" si="494"/>
        <v>0</v>
      </c>
      <c r="HD67" s="17">
        <f t="shared" si="495"/>
        <v>0</v>
      </c>
      <c r="HE67" s="17">
        <f t="shared" si="496"/>
        <v>0</v>
      </c>
      <c r="HF67" s="17">
        <f t="shared" si="497"/>
        <v>0</v>
      </c>
      <c r="HG67" s="17">
        <f t="shared" si="498"/>
        <v>0</v>
      </c>
      <c r="HH67" s="101" t="str">
        <f t="shared" si="499"/>
        <v>TIDAK KONSINYASI</v>
      </c>
      <c r="HI67" s="101">
        <f t="shared" si="500"/>
        <v>43312</v>
      </c>
      <c r="HJ67" s="27"/>
      <c r="HK67" s="101">
        <f t="shared" si="501"/>
        <v>43312</v>
      </c>
      <c r="HL67" s="83"/>
      <c r="HM67" s="83"/>
      <c r="HN67" s="83"/>
      <c r="HO67" s="83"/>
      <c r="HP67" s="102">
        <f t="shared" si="502"/>
        <v>0</v>
      </c>
      <c r="HQ67" s="66">
        <f t="shared" si="503"/>
        <v>0</v>
      </c>
      <c r="HR67" s="66">
        <f t="shared" si="504"/>
        <v>0</v>
      </c>
      <c r="HS67" s="102">
        <f t="shared" si="505"/>
        <v>0</v>
      </c>
      <c r="HT67" s="66">
        <f t="shared" si="506"/>
        <v>0</v>
      </c>
      <c r="HU67" s="66">
        <f t="shared" si="507"/>
        <v>0</v>
      </c>
      <c r="HV67" s="102">
        <f t="shared" si="508"/>
        <v>0</v>
      </c>
      <c r="HW67" s="66">
        <f t="shared" si="509"/>
        <v>0</v>
      </c>
      <c r="HX67" s="66">
        <f t="shared" si="510"/>
        <v>0</v>
      </c>
      <c r="HY67" s="102">
        <f t="shared" si="511"/>
        <v>0</v>
      </c>
      <c r="HZ67" s="66">
        <f t="shared" si="512"/>
        <v>0</v>
      </c>
      <c r="IA67" s="66">
        <f t="shared" si="513"/>
        <v>0</v>
      </c>
      <c r="IB67" s="102">
        <f t="shared" si="514"/>
        <v>0</v>
      </c>
      <c r="IC67" s="66">
        <f t="shared" si="515"/>
        <v>0</v>
      </c>
      <c r="ID67" s="66">
        <f t="shared" si="516"/>
        <v>0</v>
      </c>
      <c r="IE67" s="102">
        <f t="shared" si="517"/>
        <v>0</v>
      </c>
      <c r="IF67" s="66">
        <f t="shared" si="518"/>
        <v>0</v>
      </c>
      <c r="IG67" s="66">
        <f t="shared" si="519"/>
        <v>0</v>
      </c>
      <c r="IH67" s="102">
        <f t="shared" si="520"/>
        <v>0</v>
      </c>
      <c r="II67" s="66">
        <f t="shared" si="521"/>
        <v>0</v>
      </c>
      <c r="IJ67" s="66">
        <f t="shared" si="522"/>
        <v>0</v>
      </c>
      <c r="IK67" s="102">
        <f t="shared" si="523"/>
        <v>0</v>
      </c>
      <c r="IL67" s="66">
        <f t="shared" si="524"/>
        <v>0</v>
      </c>
      <c r="IM67" s="66">
        <f t="shared" si="525"/>
        <v>0</v>
      </c>
      <c r="IN67" s="83"/>
      <c r="IO67" s="102">
        <f t="shared" si="526"/>
        <v>0</v>
      </c>
      <c r="IP67" s="66">
        <f t="shared" si="527"/>
        <v>0</v>
      </c>
      <c r="IQ67" s="66">
        <f t="shared" si="528"/>
        <v>0</v>
      </c>
      <c r="IR67" s="83"/>
      <c r="IS67" s="102"/>
      <c r="IT67" s="66">
        <f t="shared" si="529"/>
        <v>0</v>
      </c>
      <c r="IU67" s="66">
        <f t="shared" si="530"/>
        <v>0</v>
      </c>
      <c r="IV67" s="83"/>
      <c r="IW67" s="102"/>
      <c r="IX67" s="66">
        <f t="shared" si="531"/>
        <v>0</v>
      </c>
      <c r="IY67" s="66">
        <f t="shared" si="532"/>
        <v>0</v>
      </c>
      <c r="IZ67" s="83"/>
      <c r="JA67" s="102"/>
      <c r="JB67" s="66">
        <f t="shared" si="533"/>
        <v>1</v>
      </c>
      <c r="JC67" s="66">
        <f t="shared" si="534"/>
        <v>148</v>
      </c>
      <c r="JD67" s="83"/>
      <c r="JE67" s="102"/>
      <c r="JF67" s="66">
        <f t="shared" si="535"/>
        <v>1</v>
      </c>
      <c r="JG67" s="66">
        <f t="shared" si="536"/>
        <v>148</v>
      </c>
      <c r="JH67" s="83"/>
      <c r="JI67" s="102"/>
      <c r="JJ67" s="66">
        <f t="shared" si="537"/>
        <v>0</v>
      </c>
      <c r="JK67" s="66">
        <f t="shared" si="538"/>
        <v>0</v>
      </c>
      <c r="JM67" s="102">
        <f t="shared" si="539"/>
        <v>0</v>
      </c>
      <c r="JO67" s="29">
        <f t="shared" si="540"/>
        <v>0</v>
      </c>
      <c r="JP67" s="122">
        <f t="shared" si="541"/>
        <v>0</v>
      </c>
      <c r="JQ67" s="122">
        <f t="shared" si="542"/>
        <v>0</v>
      </c>
      <c r="JR67" s="122">
        <f t="shared" si="543"/>
        <v>0</v>
      </c>
      <c r="JS67" s="122">
        <f t="shared" si="544"/>
        <v>0</v>
      </c>
      <c r="JT67" s="122">
        <f t="shared" si="545"/>
        <v>0</v>
      </c>
      <c r="JU67" s="122">
        <f t="shared" si="546"/>
        <v>0</v>
      </c>
      <c r="JV67" s="122">
        <f t="shared" si="547"/>
        <v>0</v>
      </c>
      <c r="JW67" s="122">
        <f t="shared" si="548"/>
        <v>0</v>
      </c>
      <c r="JX67" s="122">
        <f t="shared" si="549"/>
        <v>0</v>
      </c>
      <c r="JY67" s="122">
        <f t="shared" si="550"/>
        <v>0</v>
      </c>
      <c r="JZ67" s="122">
        <f t="shared" si="551"/>
        <v>0</v>
      </c>
      <c r="KA67" s="122">
        <f t="shared" si="552"/>
        <v>0</v>
      </c>
      <c r="KB67" s="122">
        <f t="shared" si="553"/>
        <v>0</v>
      </c>
      <c r="KD67" s="122">
        <f t="shared" si="554"/>
        <v>0</v>
      </c>
      <c r="KE67" s="122">
        <f t="shared" si="555"/>
        <v>0</v>
      </c>
      <c r="KF67" s="122">
        <f t="shared" si="556"/>
        <v>0</v>
      </c>
      <c r="KG67" s="122">
        <f t="shared" si="557"/>
        <v>0</v>
      </c>
      <c r="KH67" s="122">
        <f t="shared" si="558"/>
        <v>0</v>
      </c>
      <c r="KI67" s="122">
        <f t="shared" si="559"/>
        <v>0</v>
      </c>
      <c r="KJ67" s="122">
        <f t="shared" si="560"/>
        <v>0</v>
      </c>
      <c r="KK67" s="122">
        <f t="shared" si="561"/>
        <v>0</v>
      </c>
      <c r="KL67" s="122">
        <f t="shared" si="562"/>
        <v>0</v>
      </c>
      <c r="KM67" s="122">
        <f t="shared" si="563"/>
        <v>0</v>
      </c>
      <c r="KN67" s="123">
        <f t="shared" si="564"/>
        <v>0</v>
      </c>
      <c r="KO67" s="123">
        <f t="shared" si="565"/>
        <v>0</v>
      </c>
      <c r="KP67" s="123">
        <f t="shared" si="566"/>
        <v>0</v>
      </c>
      <c r="KQ67" s="123">
        <f t="shared" si="567"/>
        <v>0</v>
      </c>
      <c r="KR67" s="123">
        <f t="shared" si="568"/>
        <v>0</v>
      </c>
      <c r="KS67">
        <v>2</v>
      </c>
      <c r="KT67">
        <f t="shared" si="569"/>
        <v>1</v>
      </c>
      <c r="KU67" s="123"/>
      <c r="KV67" s="123"/>
      <c r="KW67" s="123"/>
      <c r="KX67" s="123"/>
      <c r="KY67" s="123"/>
      <c r="KZ67" s="123"/>
      <c r="LA67" s="123"/>
      <c r="LB67" s="123"/>
      <c r="LC67" s="123"/>
      <c r="LD67" s="123"/>
      <c r="LE67" s="123"/>
      <c r="LF67" s="123"/>
      <c r="LG67" s="123"/>
      <c r="LH67" s="123"/>
      <c r="LI67" s="123"/>
      <c r="LJ67" s="123"/>
      <c r="LK67" s="123"/>
      <c r="LL67" s="123"/>
      <c r="LM67" s="123"/>
      <c r="LN67" s="123"/>
      <c r="LO67" s="123"/>
      <c r="LP67" s="123"/>
      <c r="LQ67" s="123"/>
      <c r="LR67" s="123"/>
      <c r="LS67" s="123"/>
      <c r="LT67" s="123"/>
      <c r="LU67" s="123"/>
      <c r="LV67" s="123"/>
      <c r="LW67" s="123"/>
      <c r="LX67" s="123"/>
      <c r="LY67" s="123"/>
      <c r="LZ67" s="123"/>
      <c r="MA67" s="123"/>
      <c r="MB67" s="123"/>
      <c r="MC67" s="123"/>
      <c r="MD67" s="123"/>
      <c r="ME67" s="123"/>
      <c r="MF67" s="123"/>
      <c r="MG67" s="123"/>
      <c r="MH67" s="123"/>
      <c r="MI67" s="123"/>
      <c r="MJ67" s="123"/>
      <c r="MK67" s="123"/>
      <c r="ML67" s="123"/>
      <c r="MM67" s="123"/>
      <c r="MN67" s="123"/>
      <c r="MO67" s="123"/>
      <c r="MP67" s="123"/>
      <c r="MQ67" s="123"/>
      <c r="MR67" s="123"/>
      <c r="MS67" s="123"/>
      <c r="MT67" s="123"/>
      <c r="MU67" s="123"/>
      <c r="MV67" s="123"/>
      <c r="MW67" s="123"/>
      <c r="MX67" s="123"/>
      <c r="MY67" s="123"/>
      <c r="MZ67" s="123"/>
      <c r="NA67" s="123"/>
      <c r="NB67" s="123"/>
      <c r="NC67" s="123"/>
      <c r="ND67" s="123"/>
      <c r="NE67" s="123"/>
      <c r="NF67" s="123"/>
      <c r="NG67" s="123"/>
      <c r="NH67" s="123"/>
      <c r="NI67" s="123"/>
      <c r="NJ67" s="123"/>
      <c r="NK67" s="123"/>
      <c r="NM67">
        <f t="shared" si="570"/>
        <v>0</v>
      </c>
      <c r="NN67">
        <f t="shared" si="571"/>
        <v>1</v>
      </c>
      <c r="NO67">
        <f t="shared" si="572"/>
        <v>0</v>
      </c>
      <c r="NP67">
        <f t="shared" si="573"/>
        <v>0</v>
      </c>
      <c r="NQ67">
        <f t="shared" si="574"/>
        <v>0</v>
      </c>
      <c r="NR67">
        <f t="shared" si="575"/>
        <v>0</v>
      </c>
      <c r="NS67">
        <f t="shared" si="576"/>
        <v>0</v>
      </c>
      <c r="NT67">
        <f t="shared" si="577"/>
        <v>1</v>
      </c>
      <c r="NU67" s="29">
        <f t="shared" si="578"/>
        <v>0</v>
      </c>
      <c r="NY67" s="29"/>
      <c r="NZ67" s="152"/>
      <c r="OE67" s="155">
        <f t="shared" si="405"/>
        <v>0</v>
      </c>
      <c r="OF67" s="155">
        <f t="shared" si="406"/>
        <v>0</v>
      </c>
      <c r="OG67" s="155">
        <f t="shared" si="407"/>
        <v>1</v>
      </c>
      <c r="OH67" s="155">
        <f t="shared" si="408"/>
        <v>0</v>
      </c>
      <c r="OI67" s="155">
        <f t="shared" si="409"/>
        <v>1</v>
      </c>
      <c r="OJ67" s="67">
        <f t="shared" si="410"/>
        <v>0</v>
      </c>
      <c r="OK67" s="67">
        <f t="shared" si="411"/>
        <v>0</v>
      </c>
      <c r="OL67" s="67">
        <f t="shared" si="412"/>
        <v>0</v>
      </c>
      <c r="OM67" s="67">
        <f t="shared" si="413"/>
        <v>0</v>
      </c>
      <c r="OO67" s="155">
        <f t="shared" si="414"/>
        <v>0</v>
      </c>
      <c r="OP67" s="155">
        <f t="shared" si="415"/>
        <v>0</v>
      </c>
      <c r="OQ67" s="155">
        <f t="shared" si="416"/>
        <v>1</v>
      </c>
      <c r="OR67" s="155">
        <f t="shared" si="417"/>
        <v>0</v>
      </c>
      <c r="OS67" s="155">
        <f t="shared" si="418"/>
        <v>1</v>
      </c>
      <c r="OT67" s="67">
        <f t="shared" si="419"/>
        <v>0</v>
      </c>
      <c r="OU67" s="67">
        <f t="shared" si="420"/>
        <v>0</v>
      </c>
      <c r="OV67" s="67">
        <f t="shared" si="421"/>
        <v>0</v>
      </c>
      <c r="OW67" s="67">
        <f t="shared" si="422"/>
        <v>0</v>
      </c>
      <c r="OZ67" s="163">
        <f t="shared" si="579"/>
        <v>1</v>
      </c>
      <c r="PA67" s="166">
        <v>1</v>
      </c>
      <c r="PB67" s="166"/>
      <c r="PC67" s="166"/>
      <c r="PD67" s="210">
        <f t="shared" si="115"/>
        <v>0</v>
      </c>
      <c r="PE67" s="210"/>
      <c r="PF67" s="210">
        <f t="shared" si="116"/>
        <v>0</v>
      </c>
      <c r="PG67" s="210">
        <f t="shared" si="286"/>
        <v>148</v>
      </c>
      <c r="PH67" s="210">
        <f t="shared" si="286"/>
        <v>0</v>
      </c>
      <c r="PI67" s="210">
        <f t="shared" si="286"/>
        <v>0</v>
      </c>
      <c r="PJ67" s="210">
        <f t="shared" si="286"/>
        <v>0</v>
      </c>
      <c r="PK67" s="210">
        <f t="shared" si="286"/>
        <v>0</v>
      </c>
      <c r="PL67" s="210">
        <f t="shared" si="286"/>
        <v>0</v>
      </c>
      <c r="PO67" s="172">
        <f t="shared" si="580"/>
        <v>0</v>
      </c>
      <c r="PP67" s="172">
        <f t="shared" si="581"/>
        <v>0</v>
      </c>
      <c r="PQ67" s="172">
        <f t="shared" si="582"/>
        <v>0</v>
      </c>
    </row>
    <row r="68" spans="1:433" ht="16" x14ac:dyDescent="0.2">
      <c r="A68" s="19">
        <f t="shared" si="423"/>
        <v>56</v>
      </c>
      <c r="B68" s="237" t="s">
        <v>669</v>
      </c>
      <c r="C68" s="186">
        <v>9</v>
      </c>
      <c r="D68" s="188">
        <v>1</v>
      </c>
      <c r="E68" s="188">
        <v>12</v>
      </c>
      <c r="F68" s="188">
        <v>1</v>
      </c>
      <c r="G68" s="188">
        <f>E68</f>
        <v>12</v>
      </c>
      <c r="H68" s="214">
        <f t="shared" si="425"/>
        <v>1</v>
      </c>
      <c r="I68" s="214">
        <f t="shared" si="426"/>
        <v>1</v>
      </c>
      <c r="J68" s="188">
        <v>1</v>
      </c>
      <c r="K68" s="188">
        <f t="shared" si="427"/>
        <v>12</v>
      </c>
      <c r="L68" s="214">
        <f t="shared" si="428"/>
        <v>1</v>
      </c>
      <c r="M68" s="214">
        <f t="shared" si="429"/>
        <v>1</v>
      </c>
      <c r="N68" s="188">
        <v>1</v>
      </c>
      <c r="O68" s="188">
        <f t="shared" si="430"/>
        <v>12</v>
      </c>
      <c r="P68" s="214">
        <f t="shared" si="431"/>
        <v>1</v>
      </c>
      <c r="Q68" s="214">
        <f t="shared" si="432"/>
        <v>1</v>
      </c>
      <c r="R68" s="188"/>
      <c r="S68" s="188">
        <f t="shared" si="433"/>
        <v>0</v>
      </c>
      <c r="T68" s="214">
        <f t="shared" si="434"/>
        <v>0</v>
      </c>
      <c r="U68" s="214">
        <f t="shared" si="435"/>
        <v>0</v>
      </c>
      <c r="V68" s="188"/>
      <c r="W68" s="188">
        <f t="shared" si="436"/>
        <v>0</v>
      </c>
      <c r="X68" s="214">
        <f t="shared" si="437"/>
        <v>0</v>
      </c>
      <c r="Y68" s="214">
        <f t="shared" si="438"/>
        <v>0</v>
      </c>
      <c r="Z68" s="216"/>
      <c r="AA68" s="188">
        <v>0</v>
      </c>
      <c r="AB68" s="189">
        <f t="shared" si="439"/>
        <v>0</v>
      </c>
      <c r="AC68" s="250">
        <f t="shared" si="440"/>
        <v>0</v>
      </c>
      <c r="AD68" s="250">
        <f t="shared" si="441"/>
        <v>0</v>
      </c>
      <c r="AE68" s="188"/>
      <c r="AF68" s="188">
        <f t="shared" si="442"/>
        <v>0</v>
      </c>
      <c r="AG68" s="188"/>
      <c r="AH68" s="188"/>
      <c r="AI68" s="188">
        <v>0</v>
      </c>
      <c r="AJ68" s="188">
        <f t="shared" si="443"/>
        <v>0</v>
      </c>
      <c r="AK68" s="188"/>
      <c r="AL68" s="188">
        <v>0</v>
      </c>
      <c r="AM68" s="188">
        <v>0</v>
      </c>
      <c r="AN68" s="217">
        <v>1</v>
      </c>
      <c r="AO68" s="195"/>
      <c r="AP68" s="195"/>
      <c r="AQ68" s="195"/>
      <c r="AR68" s="195"/>
      <c r="AS68" s="195"/>
      <c r="AT68" s="195"/>
      <c r="BB68" s="17">
        <f t="shared" si="444"/>
        <v>12</v>
      </c>
      <c r="BE68" s="17">
        <f t="shared" si="445"/>
        <v>0</v>
      </c>
      <c r="BF68" s="17">
        <f t="shared" si="446"/>
        <v>0</v>
      </c>
      <c r="BG68" s="17">
        <f t="shared" si="447"/>
        <v>0</v>
      </c>
      <c r="BH68" s="17">
        <f t="shared" si="448"/>
        <v>0</v>
      </c>
      <c r="BI68" s="17">
        <f t="shared" si="449"/>
        <v>0</v>
      </c>
      <c r="BJ68" s="17">
        <f t="shared" si="450"/>
        <v>0</v>
      </c>
      <c r="BK68" s="17">
        <f t="shared" si="451"/>
        <v>0</v>
      </c>
      <c r="BM68" s="128"/>
      <c r="BN68" s="147"/>
      <c r="BO68" s="127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B68" s="20"/>
      <c r="CD68" s="17">
        <f t="shared" si="452"/>
        <v>0</v>
      </c>
      <c r="CE68" s="17">
        <f t="shared" si="453"/>
        <v>0</v>
      </c>
      <c r="CF68" s="20">
        <f t="shared" si="454"/>
        <v>0</v>
      </c>
      <c r="CG68" s="20">
        <f t="shared" si="455"/>
        <v>0</v>
      </c>
      <c r="CH68" s="20">
        <f t="shared" si="456"/>
        <v>0</v>
      </c>
      <c r="CI68" s="20">
        <f t="shared" si="457"/>
        <v>0</v>
      </c>
      <c r="CJ68" s="20">
        <f t="shared" si="458"/>
        <v>0</v>
      </c>
      <c r="CK68" s="20">
        <f t="shared" si="459"/>
        <v>0</v>
      </c>
      <c r="CL68" s="20">
        <f t="shared" si="460"/>
        <v>0</v>
      </c>
      <c r="CM68" s="20">
        <f t="shared" si="461"/>
        <v>0</v>
      </c>
      <c r="CN68" s="20">
        <f t="shared" si="462"/>
        <v>0</v>
      </c>
      <c r="CO68" s="20">
        <f t="shared" si="463"/>
        <v>0</v>
      </c>
      <c r="CP68" s="20">
        <f t="shared" si="464"/>
        <v>0</v>
      </c>
      <c r="DV68" s="20">
        <f t="shared" si="465"/>
        <v>0</v>
      </c>
      <c r="DW68" s="20">
        <f t="shared" si="466"/>
        <v>0</v>
      </c>
      <c r="DX68" s="20">
        <f t="shared" si="467"/>
        <v>0</v>
      </c>
      <c r="DY68" s="20">
        <f t="shared" si="468"/>
        <v>0</v>
      </c>
      <c r="DZ68" s="20">
        <f t="shared" si="469"/>
        <v>0</v>
      </c>
      <c r="EA68" s="20">
        <f t="shared" si="470"/>
        <v>0</v>
      </c>
      <c r="EB68" s="20">
        <f t="shared" si="471"/>
        <v>0</v>
      </c>
      <c r="EG68" s="57">
        <f t="shared" si="472"/>
        <v>0</v>
      </c>
      <c r="EH68" s="57">
        <f t="shared" si="473"/>
        <v>0</v>
      </c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X68" s="169"/>
      <c r="FY68" s="17">
        <f t="shared" si="474"/>
        <v>0</v>
      </c>
      <c r="FZ68" s="17">
        <f t="shared" si="475"/>
        <v>0</v>
      </c>
      <c r="GA68" s="17">
        <f t="shared" si="476"/>
        <v>0</v>
      </c>
      <c r="GB68" s="17">
        <f t="shared" si="477"/>
        <v>0</v>
      </c>
      <c r="GC68" s="17">
        <f t="shared" si="478"/>
        <v>0</v>
      </c>
      <c r="GD68" s="17">
        <f t="shared" si="479"/>
        <v>0</v>
      </c>
      <c r="GE68" s="17">
        <f t="shared" si="480"/>
        <v>0</v>
      </c>
      <c r="GF68" s="67"/>
      <c r="GG68" s="17">
        <v>0</v>
      </c>
      <c r="GH68" s="17">
        <v>0</v>
      </c>
      <c r="GI68" s="67"/>
      <c r="GJ68" s="62">
        <f t="shared" si="481"/>
        <v>0</v>
      </c>
      <c r="GK68" s="62">
        <f t="shared" si="482"/>
        <v>0</v>
      </c>
      <c r="GO68" s="17">
        <f t="shared" si="483"/>
        <v>0</v>
      </c>
      <c r="GP68" s="17">
        <f t="shared" si="484"/>
        <v>0</v>
      </c>
      <c r="GQ68" s="17">
        <f t="shared" si="485"/>
        <v>0</v>
      </c>
      <c r="GR68" s="17">
        <f t="shared" si="486"/>
        <v>1</v>
      </c>
      <c r="GS68" s="17">
        <f t="shared" si="487"/>
        <v>1</v>
      </c>
      <c r="GT68" s="17">
        <f t="shared" si="488"/>
        <v>0</v>
      </c>
      <c r="GU68" s="101">
        <f t="shared" si="134"/>
        <v>43243</v>
      </c>
      <c r="GV68" s="17" t="str">
        <f t="shared" si="489"/>
        <v>Musyawarah</v>
      </c>
      <c r="GW68" s="17">
        <f t="shared" si="490"/>
        <v>1</v>
      </c>
      <c r="GX68" s="66" t="str">
        <f t="shared" si="491"/>
        <v>Musyawarah</v>
      </c>
      <c r="GY68" s="66">
        <f t="shared" si="492"/>
        <v>24</v>
      </c>
      <c r="GZ68" s="102">
        <f t="shared" si="493"/>
        <v>43267</v>
      </c>
      <c r="HA68" s="83"/>
      <c r="HB68" s="83"/>
      <c r="HC68" s="17">
        <f t="shared" si="494"/>
        <v>0</v>
      </c>
      <c r="HD68" s="17">
        <f t="shared" si="495"/>
        <v>0</v>
      </c>
      <c r="HE68" s="17">
        <f t="shared" si="496"/>
        <v>0</v>
      </c>
      <c r="HF68" s="17">
        <f t="shared" si="497"/>
        <v>0</v>
      </c>
      <c r="HG68" s="17">
        <f t="shared" si="498"/>
        <v>0</v>
      </c>
      <c r="HH68" s="101" t="str">
        <f t="shared" si="499"/>
        <v>TIDAK KONSINYASI</v>
      </c>
      <c r="HI68" s="101">
        <f t="shared" si="500"/>
        <v>43312</v>
      </c>
      <c r="HJ68" s="27"/>
      <c r="HK68" s="101">
        <f t="shared" si="501"/>
        <v>43312</v>
      </c>
      <c r="HL68" s="83"/>
      <c r="HM68" s="83"/>
      <c r="HN68" s="83"/>
      <c r="HO68" s="83"/>
      <c r="HP68" s="102">
        <f t="shared" si="502"/>
        <v>0</v>
      </c>
      <c r="HQ68" s="66">
        <f t="shared" si="503"/>
        <v>0</v>
      </c>
      <c r="HR68" s="66">
        <f t="shared" si="504"/>
        <v>0</v>
      </c>
      <c r="HS68" s="102">
        <f t="shared" si="505"/>
        <v>0</v>
      </c>
      <c r="HT68" s="66">
        <f t="shared" si="506"/>
        <v>0</v>
      </c>
      <c r="HU68" s="66">
        <f t="shared" si="507"/>
        <v>0</v>
      </c>
      <c r="HV68" s="102">
        <f t="shared" si="508"/>
        <v>0</v>
      </c>
      <c r="HW68" s="66">
        <f t="shared" si="509"/>
        <v>0</v>
      </c>
      <c r="HX68" s="66">
        <f t="shared" si="510"/>
        <v>0</v>
      </c>
      <c r="HY68" s="102">
        <f t="shared" si="511"/>
        <v>0</v>
      </c>
      <c r="HZ68" s="66">
        <f t="shared" si="512"/>
        <v>0</v>
      </c>
      <c r="IA68" s="66">
        <f t="shared" si="513"/>
        <v>0</v>
      </c>
      <c r="IB68" s="102">
        <f t="shared" si="514"/>
        <v>0</v>
      </c>
      <c r="IC68" s="66">
        <f t="shared" si="515"/>
        <v>0</v>
      </c>
      <c r="ID68" s="66">
        <f t="shared" si="516"/>
        <v>0</v>
      </c>
      <c r="IE68" s="102">
        <f t="shared" si="517"/>
        <v>0</v>
      </c>
      <c r="IF68" s="66">
        <f t="shared" si="518"/>
        <v>0</v>
      </c>
      <c r="IG68" s="66">
        <f t="shared" si="519"/>
        <v>0</v>
      </c>
      <c r="IH68" s="102">
        <f t="shared" si="520"/>
        <v>0</v>
      </c>
      <c r="II68" s="66">
        <f t="shared" si="521"/>
        <v>0</v>
      </c>
      <c r="IJ68" s="66">
        <f t="shared" si="522"/>
        <v>0</v>
      </c>
      <c r="IK68" s="102">
        <f t="shared" si="523"/>
        <v>0</v>
      </c>
      <c r="IL68" s="66">
        <f t="shared" si="524"/>
        <v>0</v>
      </c>
      <c r="IM68" s="66">
        <f t="shared" si="525"/>
        <v>0</v>
      </c>
      <c r="IN68" s="83"/>
      <c r="IO68" s="102">
        <f t="shared" si="526"/>
        <v>0</v>
      </c>
      <c r="IP68" s="66">
        <f t="shared" si="527"/>
        <v>0</v>
      </c>
      <c r="IQ68" s="66">
        <f t="shared" si="528"/>
        <v>0</v>
      </c>
      <c r="IR68" s="83"/>
      <c r="IS68" s="102"/>
      <c r="IT68" s="66">
        <f t="shared" si="529"/>
        <v>0</v>
      </c>
      <c r="IU68" s="66">
        <f t="shared" si="530"/>
        <v>0</v>
      </c>
      <c r="IV68" s="83"/>
      <c r="IW68" s="102"/>
      <c r="IX68" s="66">
        <f t="shared" si="531"/>
        <v>0</v>
      </c>
      <c r="IY68" s="66">
        <f t="shared" si="532"/>
        <v>0</v>
      </c>
      <c r="IZ68" s="83"/>
      <c r="JA68" s="102"/>
      <c r="JB68" s="66">
        <f t="shared" si="533"/>
        <v>1</v>
      </c>
      <c r="JC68" s="66">
        <f t="shared" si="534"/>
        <v>12</v>
      </c>
      <c r="JD68" s="83"/>
      <c r="JE68" s="102"/>
      <c r="JF68" s="66">
        <f t="shared" si="535"/>
        <v>1</v>
      </c>
      <c r="JG68" s="66">
        <f t="shared" si="536"/>
        <v>12</v>
      </c>
      <c r="JH68" s="83"/>
      <c r="JI68" s="102"/>
      <c r="JJ68" s="66">
        <f t="shared" si="537"/>
        <v>0</v>
      </c>
      <c r="JK68" s="66">
        <f t="shared" si="538"/>
        <v>0</v>
      </c>
      <c r="JM68" s="102">
        <f t="shared" si="539"/>
        <v>0</v>
      </c>
      <c r="JO68" s="29">
        <f t="shared" si="540"/>
        <v>0</v>
      </c>
      <c r="JP68" s="122">
        <f t="shared" si="541"/>
        <v>0</v>
      </c>
      <c r="JQ68" s="122">
        <f t="shared" si="542"/>
        <v>0</v>
      </c>
      <c r="JR68" s="122">
        <f t="shared" si="543"/>
        <v>0</v>
      </c>
      <c r="JS68" s="122">
        <f t="shared" si="544"/>
        <v>0</v>
      </c>
      <c r="JT68" s="122">
        <f t="shared" si="545"/>
        <v>0</v>
      </c>
      <c r="JU68" s="122">
        <f t="shared" si="546"/>
        <v>0</v>
      </c>
      <c r="JV68" s="122">
        <f t="shared" si="547"/>
        <v>0</v>
      </c>
      <c r="JW68" s="122">
        <f t="shared" si="548"/>
        <v>0</v>
      </c>
      <c r="JX68" s="122">
        <f t="shared" si="549"/>
        <v>0</v>
      </c>
      <c r="JY68" s="122">
        <f t="shared" si="550"/>
        <v>0</v>
      </c>
      <c r="JZ68" s="122">
        <f t="shared" si="551"/>
        <v>0</v>
      </c>
      <c r="KA68" s="122">
        <f t="shared" si="552"/>
        <v>0</v>
      </c>
      <c r="KB68" s="122">
        <f t="shared" si="553"/>
        <v>0</v>
      </c>
      <c r="KD68" s="122">
        <f t="shared" si="554"/>
        <v>0</v>
      </c>
      <c r="KE68" s="122">
        <f t="shared" si="555"/>
        <v>0</v>
      </c>
      <c r="KF68" s="122">
        <f t="shared" si="556"/>
        <v>0</v>
      </c>
      <c r="KG68" s="122">
        <f t="shared" si="557"/>
        <v>0</v>
      </c>
      <c r="KH68" s="122">
        <f t="shared" si="558"/>
        <v>0</v>
      </c>
      <c r="KI68" s="122">
        <f t="shared" si="559"/>
        <v>0</v>
      </c>
      <c r="KJ68" s="122">
        <f t="shared" si="560"/>
        <v>0</v>
      </c>
      <c r="KK68" s="122">
        <f t="shared" si="561"/>
        <v>0</v>
      </c>
      <c r="KL68" s="122">
        <f t="shared" si="562"/>
        <v>0</v>
      </c>
      <c r="KM68" s="122">
        <f t="shared" si="563"/>
        <v>0</v>
      </c>
      <c r="KN68" s="123">
        <f t="shared" si="564"/>
        <v>0</v>
      </c>
      <c r="KO68" s="123">
        <f t="shared" si="565"/>
        <v>0</v>
      </c>
      <c r="KP68" s="123">
        <f t="shared" si="566"/>
        <v>0</v>
      </c>
      <c r="KQ68" s="123">
        <f t="shared" si="567"/>
        <v>0</v>
      </c>
      <c r="KR68" s="123">
        <f t="shared" si="568"/>
        <v>0</v>
      </c>
      <c r="KS68" s="109">
        <v>2</v>
      </c>
      <c r="KT68">
        <f t="shared" si="569"/>
        <v>1</v>
      </c>
      <c r="KU68" s="123"/>
      <c r="KV68" s="123"/>
      <c r="KW68" s="123"/>
      <c r="KX68" s="123"/>
      <c r="KY68" s="123"/>
      <c r="KZ68" s="123"/>
      <c r="LA68" s="123"/>
      <c r="LB68" s="123"/>
      <c r="LC68" s="123"/>
      <c r="LD68" s="123"/>
      <c r="LE68" s="123"/>
      <c r="LF68" s="123"/>
      <c r="LG68" s="123"/>
      <c r="LH68" s="123"/>
      <c r="LI68" s="123"/>
      <c r="LJ68" s="123"/>
      <c r="LK68" s="123"/>
      <c r="LL68" s="123"/>
      <c r="LM68" s="123"/>
      <c r="LN68" s="123"/>
      <c r="LO68" s="123"/>
      <c r="LP68" s="123"/>
      <c r="LQ68" s="123"/>
      <c r="LR68" s="123"/>
      <c r="LS68" s="123"/>
      <c r="LT68" s="123"/>
      <c r="LU68" s="123"/>
      <c r="LV68" s="123"/>
      <c r="LW68" s="123"/>
      <c r="LX68" s="123"/>
      <c r="LY68" s="123"/>
      <c r="LZ68" s="123"/>
      <c r="MA68" s="123"/>
      <c r="MB68" s="123"/>
      <c r="MC68" s="123"/>
      <c r="MD68" s="123"/>
      <c r="ME68" s="123"/>
      <c r="MF68" s="123"/>
      <c r="MG68" s="123"/>
      <c r="MH68" s="123"/>
      <c r="MI68" s="123"/>
      <c r="MJ68" s="123"/>
      <c r="MK68" s="123"/>
      <c r="ML68" s="123"/>
      <c r="MM68" s="123"/>
      <c r="MN68" s="123"/>
      <c r="MO68" s="123"/>
      <c r="MP68" s="123"/>
      <c r="MQ68" s="123"/>
      <c r="MR68" s="123"/>
      <c r="MS68" s="123"/>
      <c r="MT68" s="123"/>
      <c r="MU68" s="123"/>
      <c r="MV68" s="123"/>
      <c r="MW68" s="123"/>
      <c r="MX68" s="123"/>
      <c r="MY68" s="123"/>
      <c r="MZ68" s="123"/>
      <c r="NA68" s="123"/>
      <c r="NB68" s="123"/>
      <c r="NC68" s="123"/>
      <c r="ND68" s="123"/>
      <c r="NE68" s="123"/>
      <c r="NF68" s="123"/>
      <c r="NG68" s="123"/>
      <c r="NH68" s="123"/>
      <c r="NI68" s="123"/>
      <c r="NJ68" s="123"/>
      <c r="NK68" s="123"/>
      <c r="NM68">
        <f t="shared" si="570"/>
        <v>0</v>
      </c>
      <c r="NN68">
        <f t="shared" si="571"/>
        <v>1</v>
      </c>
      <c r="NO68">
        <f t="shared" si="572"/>
        <v>0</v>
      </c>
      <c r="NP68">
        <f t="shared" si="573"/>
        <v>0</v>
      </c>
      <c r="NQ68">
        <f t="shared" si="574"/>
        <v>0</v>
      </c>
      <c r="NR68">
        <f t="shared" si="575"/>
        <v>0</v>
      </c>
      <c r="NS68">
        <f t="shared" si="576"/>
        <v>0</v>
      </c>
      <c r="NT68">
        <f t="shared" si="577"/>
        <v>1</v>
      </c>
      <c r="NU68" s="29">
        <f t="shared" si="578"/>
        <v>0</v>
      </c>
      <c r="NY68" s="29"/>
      <c r="NZ68" s="152"/>
      <c r="OE68" s="155">
        <f t="shared" si="405"/>
        <v>0</v>
      </c>
      <c r="OF68" s="155">
        <f t="shared" si="406"/>
        <v>0</v>
      </c>
      <c r="OG68" s="155">
        <f t="shared" si="407"/>
        <v>1</v>
      </c>
      <c r="OH68" s="155">
        <f t="shared" si="408"/>
        <v>0</v>
      </c>
      <c r="OI68" s="155">
        <f t="shared" si="409"/>
        <v>1</v>
      </c>
      <c r="OJ68" s="67">
        <f t="shared" si="410"/>
        <v>0</v>
      </c>
      <c r="OK68" s="67">
        <f t="shared" si="411"/>
        <v>0</v>
      </c>
      <c r="OL68" s="67">
        <f t="shared" si="412"/>
        <v>0</v>
      </c>
      <c r="OM68" s="67">
        <f t="shared" si="413"/>
        <v>0</v>
      </c>
      <c r="OO68" s="155">
        <f t="shared" si="414"/>
        <v>0</v>
      </c>
      <c r="OP68" s="155">
        <f t="shared" si="415"/>
        <v>0</v>
      </c>
      <c r="OQ68" s="155">
        <f t="shared" si="416"/>
        <v>1</v>
      </c>
      <c r="OR68" s="155">
        <f t="shared" si="417"/>
        <v>0</v>
      </c>
      <c r="OS68" s="155">
        <f t="shared" si="418"/>
        <v>1</v>
      </c>
      <c r="OT68" s="67">
        <f t="shared" si="419"/>
        <v>0</v>
      </c>
      <c r="OU68" s="67">
        <f t="shared" si="420"/>
        <v>0</v>
      </c>
      <c r="OV68" s="67">
        <f t="shared" si="421"/>
        <v>0</v>
      </c>
      <c r="OW68" s="67">
        <f t="shared" si="422"/>
        <v>0</v>
      </c>
      <c r="OZ68" s="163">
        <f t="shared" si="579"/>
        <v>1</v>
      </c>
      <c r="PA68" s="166">
        <v>1</v>
      </c>
      <c r="PB68" s="166"/>
      <c r="PC68" s="166"/>
      <c r="PD68" s="210">
        <f t="shared" si="115"/>
        <v>0</v>
      </c>
      <c r="PE68" s="210"/>
      <c r="PF68" s="210">
        <f t="shared" si="116"/>
        <v>0</v>
      </c>
      <c r="PG68" s="210">
        <f t="shared" si="286"/>
        <v>12</v>
      </c>
      <c r="PH68" s="210">
        <f t="shared" si="286"/>
        <v>0</v>
      </c>
      <c r="PI68" s="210">
        <f t="shared" si="286"/>
        <v>0</v>
      </c>
      <c r="PJ68" s="210">
        <f t="shared" si="286"/>
        <v>0</v>
      </c>
      <c r="PK68" s="210">
        <f t="shared" si="286"/>
        <v>0</v>
      </c>
      <c r="PL68" s="210">
        <f t="shared" si="286"/>
        <v>0</v>
      </c>
      <c r="PO68" s="172">
        <f t="shared" si="580"/>
        <v>0</v>
      </c>
      <c r="PP68" s="172">
        <f t="shared" si="581"/>
        <v>0</v>
      </c>
      <c r="PQ68" s="172">
        <f t="shared" si="582"/>
        <v>0</v>
      </c>
    </row>
    <row r="69" spans="1:433" ht="16" x14ac:dyDescent="0.2">
      <c r="A69" s="19">
        <f t="shared" si="423"/>
        <v>57</v>
      </c>
      <c r="B69" s="237" t="s">
        <v>670</v>
      </c>
      <c r="C69" s="186">
        <v>1</v>
      </c>
      <c r="D69" s="188">
        <v>1</v>
      </c>
      <c r="E69" s="188">
        <v>467</v>
      </c>
      <c r="F69" s="188">
        <v>1</v>
      </c>
      <c r="G69" s="188">
        <f>E69</f>
        <v>467</v>
      </c>
      <c r="H69" s="214">
        <f t="shared" si="306"/>
        <v>1</v>
      </c>
      <c r="I69" s="214">
        <f t="shared" si="307"/>
        <v>1</v>
      </c>
      <c r="J69" s="188">
        <v>1</v>
      </c>
      <c r="K69" s="188">
        <f t="shared" si="308"/>
        <v>467</v>
      </c>
      <c r="L69" s="214">
        <f t="shared" si="309"/>
        <v>1</v>
      </c>
      <c r="M69" s="214">
        <f t="shared" si="310"/>
        <v>1</v>
      </c>
      <c r="N69" s="188">
        <v>1</v>
      </c>
      <c r="O69" s="188">
        <f t="shared" si="311"/>
        <v>467</v>
      </c>
      <c r="P69" s="214">
        <f t="shared" si="312"/>
        <v>1</v>
      </c>
      <c r="Q69" s="214">
        <f t="shared" si="313"/>
        <v>1</v>
      </c>
      <c r="R69" s="188"/>
      <c r="S69" s="188">
        <f t="shared" si="314"/>
        <v>0</v>
      </c>
      <c r="T69" s="214">
        <f t="shared" si="315"/>
        <v>0</v>
      </c>
      <c r="U69" s="214">
        <f t="shared" si="316"/>
        <v>0</v>
      </c>
      <c r="V69" s="188"/>
      <c r="W69" s="188">
        <f t="shared" si="317"/>
        <v>0</v>
      </c>
      <c r="X69" s="214">
        <f t="shared" si="318"/>
        <v>0</v>
      </c>
      <c r="Y69" s="214">
        <f t="shared" si="319"/>
        <v>0</v>
      </c>
      <c r="Z69" s="216"/>
      <c r="AA69" s="188">
        <v>0</v>
      </c>
      <c r="AB69" s="189">
        <f t="shared" si="320"/>
        <v>0</v>
      </c>
      <c r="AC69" s="250">
        <f t="shared" si="321"/>
        <v>0</v>
      </c>
      <c r="AD69" s="250">
        <f t="shared" si="322"/>
        <v>0</v>
      </c>
      <c r="AE69" s="188"/>
      <c r="AF69" s="188">
        <f t="shared" si="323"/>
        <v>0</v>
      </c>
      <c r="AG69" s="188"/>
      <c r="AH69" s="188"/>
      <c r="AI69" s="188">
        <v>0</v>
      </c>
      <c r="AJ69" s="188">
        <f t="shared" si="324"/>
        <v>0</v>
      </c>
      <c r="AK69" s="188"/>
      <c r="AL69" s="188">
        <v>0</v>
      </c>
      <c r="AM69" s="188">
        <v>0</v>
      </c>
      <c r="AN69" s="217">
        <v>1</v>
      </c>
      <c r="AO69" s="195"/>
      <c r="AP69" s="195"/>
      <c r="AQ69" s="195"/>
      <c r="AR69" s="195"/>
      <c r="AS69" s="195"/>
      <c r="AT69" s="195"/>
      <c r="BB69" s="17">
        <f t="shared" si="424"/>
        <v>467</v>
      </c>
      <c r="BE69" s="17">
        <f t="shared" si="325"/>
        <v>0</v>
      </c>
      <c r="BF69" s="17">
        <f t="shared" si="326"/>
        <v>0</v>
      </c>
      <c r="BG69" s="17">
        <f t="shared" si="327"/>
        <v>0</v>
      </c>
      <c r="BH69" s="17">
        <f t="shared" si="328"/>
        <v>0</v>
      </c>
      <c r="BI69" s="17">
        <f t="shared" si="329"/>
        <v>0</v>
      </c>
      <c r="BJ69" s="17">
        <f t="shared" si="330"/>
        <v>0</v>
      </c>
      <c r="BK69" s="17">
        <f t="shared" si="331"/>
        <v>0</v>
      </c>
      <c r="BM69" s="128"/>
      <c r="BN69" s="147"/>
      <c r="BO69" s="127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B69" s="20"/>
      <c r="CD69" s="17">
        <f t="shared" si="332"/>
        <v>0</v>
      </c>
      <c r="CE69" s="17">
        <f t="shared" si="333"/>
        <v>0</v>
      </c>
      <c r="CF69" s="20">
        <f t="shared" si="334"/>
        <v>0</v>
      </c>
      <c r="CG69" s="20">
        <f t="shared" si="335"/>
        <v>0</v>
      </c>
      <c r="CH69" s="20">
        <f t="shared" si="336"/>
        <v>0</v>
      </c>
      <c r="CI69" s="20">
        <f t="shared" si="337"/>
        <v>0</v>
      </c>
      <c r="CJ69" s="20">
        <f t="shared" si="338"/>
        <v>0</v>
      </c>
      <c r="CK69" s="20">
        <f t="shared" si="339"/>
        <v>0</v>
      </c>
      <c r="CL69" s="20">
        <f t="shared" si="340"/>
        <v>0</v>
      </c>
      <c r="CM69" s="20">
        <f t="shared" si="341"/>
        <v>0</v>
      </c>
      <c r="CN69" s="20">
        <f t="shared" si="342"/>
        <v>0</v>
      </c>
      <c r="CO69" s="20">
        <f t="shared" si="343"/>
        <v>0</v>
      </c>
      <c r="CP69" s="20">
        <f t="shared" si="344"/>
        <v>0</v>
      </c>
      <c r="DV69" s="20">
        <f t="shared" si="345"/>
        <v>0</v>
      </c>
      <c r="DW69" s="20">
        <f t="shared" si="346"/>
        <v>0</v>
      </c>
      <c r="DX69" s="20">
        <f t="shared" si="347"/>
        <v>0</v>
      </c>
      <c r="DY69" s="20">
        <f t="shared" si="348"/>
        <v>0</v>
      </c>
      <c r="DZ69" s="20">
        <f t="shared" si="349"/>
        <v>0</v>
      </c>
      <c r="EA69" s="20">
        <f t="shared" si="350"/>
        <v>0</v>
      </c>
      <c r="EB69" s="20">
        <f t="shared" si="351"/>
        <v>0</v>
      </c>
      <c r="EG69" s="57">
        <f t="shared" si="352"/>
        <v>0</v>
      </c>
      <c r="EH69" s="57">
        <f t="shared" si="353"/>
        <v>0</v>
      </c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X69" s="169"/>
      <c r="FY69" s="17">
        <f t="shared" si="354"/>
        <v>0</v>
      </c>
      <c r="FZ69" s="17">
        <f t="shared" si="355"/>
        <v>0</v>
      </c>
      <c r="GA69" s="17">
        <f t="shared" si="355"/>
        <v>0</v>
      </c>
      <c r="GB69" s="17">
        <f t="shared" si="355"/>
        <v>0</v>
      </c>
      <c r="GC69" s="17">
        <f>DM69+CI69</f>
        <v>0</v>
      </c>
      <c r="GD69" s="17">
        <f>DO69+CK69</f>
        <v>0</v>
      </c>
      <c r="GE69" s="17">
        <f>DT69+CP69</f>
        <v>0</v>
      </c>
      <c r="GF69" s="67"/>
      <c r="GG69" s="17">
        <v>0</v>
      </c>
      <c r="GH69" s="17">
        <v>0</v>
      </c>
      <c r="GI69" s="67"/>
      <c r="GJ69" s="62">
        <f t="shared" si="356"/>
        <v>0</v>
      </c>
      <c r="GK69" s="62">
        <f t="shared" si="357"/>
        <v>0</v>
      </c>
      <c r="GO69" s="17">
        <f>D69-F69</f>
        <v>0</v>
      </c>
      <c r="GP69" s="17">
        <f>D69-J69</f>
        <v>0</v>
      </c>
      <c r="GQ69" s="17">
        <f>D69-N69</f>
        <v>0</v>
      </c>
      <c r="GR69" s="17">
        <f>D69-R69</f>
        <v>1</v>
      </c>
      <c r="GS69" s="17">
        <f>D69-V69</f>
        <v>1</v>
      </c>
      <c r="GT69" s="17">
        <f t="shared" si="358"/>
        <v>0</v>
      </c>
      <c r="GU69" s="101">
        <f t="shared" si="134"/>
        <v>43243</v>
      </c>
      <c r="GV69" s="17" t="str">
        <f t="shared" si="359"/>
        <v>Musyawarah</v>
      </c>
      <c r="GW69" s="17">
        <f t="shared" si="360"/>
        <v>1</v>
      </c>
      <c r="GX69" s="66" t="str">
        <f t="shared" si="361"/>
        <v>Musyawarah</v>
      </c>
      <c r="GY69" s="66">
        <f t="shared" si="362"/>
        <v>24</v>
      </c>
      <c r="GZ69" s="102">
        <f t="shared" si="363"/>
        <v>43267</v>
      </c>
      <c r="HA69" s="83"/>
      <c r="HB69" s="83"/>
      <c r="HC69" s="17">
        <f>IF(BH69&gt;0,1,IF(BI69&gt;0,1,0))</f>
        <v>0</v>
      </c>
      <c r="HD69" s="17">
        <f>IF(CB69&gt;0,1,0)</f>
        <v>0</v>
      </c>
      <c r="HE69" s="17">
        <f t="shared" si="364"/>
        <v>0</v>
      </c>
      <c r="HF69" s="17">
        <f t="shared" si="365"/>
        <v>0</v>
      </c>
      <c r="HG69" s="17">
        <f t="shared" si="366"/>
        <v>0</v>
      </c>
      <c r="HH69" s="101" t="str">
        <f t="shared" si="367"/>
        <v>TIDAK KONSINYASI</v>
      </c>
      <c r="HI69" s="101">
        <f t="shared" si="368"/>
        <v>43312</v>
      </c>
      <c r="HJ69" s="27"/>
      <c r="HK69" s="101">
        <f t="shared" si="369"/>
        <v>43312</v>
      </c>
      <c r="HL69" s="83"/>
      <c r="HM69" s="83"/>
      <c r="HN69" s="83"/>
      <c r="HO69" s="83"/>
      <c r="HP69" s="102">
        <f t="shared" si="370"/>
        <v>0</v>
      </c>
      <c r="HQ69" s="66">
        <f t="shared" si="371"/>
        <v>0</v>
      </c>
      <c r="HR69" s="66">
        <f>IF(HQ69=1,E69,0)</f>
        <v>0</v>
      </c>
      <c r="HS69" s="102">
        <f t="shared" si="372"/>
        <v>0</v>
      </c>
      <c r="HT69" s="66">
        <f t="shared" si="373"/>
        <v>0</v>
      </c>
      <c r="HU69" s="66">
        <f>IF(HT69=1,E69,0)</f>
        <v>0</v>
      </c>
      <c r="HV69" s="102">
        <f t="shared" si="374"/>
        <v>0</v>
      </c>
      <c r="HW69" s="66">
        <f t="shared" si="375"/>
        <v>0</v>
      </c>
      <c r="HX69" s="66">
        <f>IF(HW69=1,E69,0)</f>
        <v>0</v>
      </c>
      <c r="HY69" s="102">
        <f t="shared" si="376"/>
        <v>0</v>
      </c>
      <c r="HZ69" s="66">
        <f t="shared" si="377"/>
        <v>0</v>
      </c>
      <c r="IA69" s="66">
        <f>IF(HZ69=1,E69,0)</f>
        <v>0</v>
      </c>
      <c r="IB69" s="102">
        <f t="shared" si="378"/>
        <v>0</v>
      </c>
      <c r="IC69" s="66">
        <f t="shared" si="379"/>
        <v>0</v>
      </c>
      <c r="ID69" s="66">
        <f>IF(IC69=1,E69,0)</f>
        <v>0</v>
      </c>
      <c r="IE69" s="102">
        <f t="shared" si="380"/>
        <v>0</v>
      </c>
      <c r="IF69" s="66">
        <f t="shared" si="381"/>
        <v>0</v>
      </c>
      <c r="IG69" s="66">
        <f>IF(IF69=1,E69,0)</f>
        <v>0</v>
      </c>
      <c r="IH69" s="102">
        <f t="shared" si="382"/>
        <v>0</v>
      </c>
      <c r="II69" s="66">
        <f t="shared" si="383"/>
        <v>0</v>
      </c>
      <c r="IJ69" s="66">
        <f>IF(II69=1,E69,0)</f>
        <v>0</v>
      </c>
      <c r="IK69" s="102">
        <f t="shared" si="384"/>
        <v>0</v>
      </c>
      <c r="IL69" s="66">
        <f t="shared" si="385"/>
        <v>0</v>
      </c>
      <c r="IM69" s="66">
        <f>IF(IL69=1,E69,0)</f>
        <v>0</v>
      </c>
      <c r="IN69" s="83"/>
      <c r="IO69" s="102">
        <f t="shared" si="386"/>
        <v>0</v>
      </c>
      <c r="IP69" s="66">
        <f>IF(BG69&gt;0,1,0)</f>
        <v>0</v>
      </c>
      <c r="IQ69" s="66">
        <f>IF(IP69=1,E69,0)</f>
        <v>0</v>
      </c>
      <c r="IR69" s="83"/>
      <c r="IS69" s="102"/>
      <c r="IT69" s="66">
        <f t="shared" si="387"/>
        <v>0</v>
      </c>
      <c r="IU69" s="66">
        <f t="shared" si="387"/>
        <v>0</v>
      </c>
      <c r="IV69" s="83"/>
      <c r="IW69" s="102"/>
      <c r="IX69" s="66">
        <f t="shared" si="388"/>
        <v>0</v>
      </c>
      <c r="IY69" s="66">
        <f t="shared" si="388"/>
        <v>0</v>
      </c>
      <c r="IZ69" s="83"/>
      <c r="JA69" s="102"/>
      <c r="JB69" s="66">
        <f>AN69</f>
        <v>1</v>
      </c>
      <c r="JC69" s="66">
        <f>BB69</f>
        <v>467</v>
      </c>
      <c r="JD69" s="83"/>
      <c r="JE69" s="102"/>
      <c r="JF69" s="66">
        <f t="shared" si="389"/>
        <v>1</v>
      </c>
      <c r="JG69" s="66">
        <f t="shared" si="390"/>
        <v>467</v>
      </c>
      <c r="JH69" s="83"/>
      <c r="JI69" s="102"/>
      <c r="JJ69" s="66">
        <f t="shared" si="391"/>
        <v>0</v>
      </c>
      <c r="JK69" s="66">
        <f t="shared" si="391"/>
        <v>0</v>
      </c>
      <c r="JM69" s="102">
        <f t="shared" si="392"/>
        <v>0</v>
      </c>
      <c r="JO69" s="29">
        <f t="shared" si="393"/>
        <v>0</v>
      </c>
      <c r="JP69" s="122">
        <f>BN69+CR69</f>
        <v>0</v>
      </c>
      <c r="JQ69" s="122">
        <f t="shared" si="394"/>
        <v>0</v>
      </c>
      <c r="JR69" s="122">
        <f t="shared" si="394"/>
        <v>0</v>
      </c>
      <c r="JS69" s="122">
        <f t="shared" si="394"/>
        <v>0</v>
      </c>
      <c r="JT69" s="122">
        <f t="shared" si="394"/>
        <v>0</v>
      </c>
      <c r="JU69" s="122">
        <f t="shared" si="394"/>
        <v>0</v>
      </c>
      <c r="JV69" s="122">
        <f t="shared" si="394"/>
        <v>0</v>
      </c>
      <c r="JW69" s="122">
        <f t="shared" si="394"/>
        <v>0</v>
      </c>
      <c r="JX69" s="122">
        <f t="shared" si="394"/>
        <v>0</v>
      </c>
      <c r="JY69" s="122">
        <f t="shared" si="394"/>
        <v>0</v>
      </c>
      <c r="JZ69" s="122">
        <f t="shared" si="394"/>
        <v>0</v>
      </c>
      <c r="KA69" s="122">
        <f t="shared" si="394"/>
        <v>0</v>
      </c>
      <c r="KB69" s="122">
        <f t="shared" si="394"/>
        <v>0</v>
      </c>
      <c r="KD69" s="122">
        <f t="shared" si="155"/>
        <v>0</v>
      </c>
      <c r="KE69" s="122">
        <f t="shared" si="91"/>
        <v>0</v>
      </c>
      <c r="KF69" s="122">
        <f t="shared" si="395"/>
        <v>0</v>
      </c>
      <c r="KG69" s="122">
        <f t="shared" si="395"/>
        <v>0</v>
      </c>
      <c r="KH69" s="122">
        <f t="shared" si="395"/>
        <v>0</v>
      </c>
      <c r="KI69" s="122">
        <f t="shared" si="395"/>
        <v>0</v>
      </c>
      <c r="KJ69" s="122">
        <f t="shared" si="395"/>
        <v>0</v>
      </c>
      <c r="KK69" s="122">
        <f t="shared" si="395"/>
        <v>0</v>
      </c>
      <c r="KL69" s="122">
        <f t="shared" si="395"/>
        <v>0</v>
      </c>
      <c r="KM69" s="122">
        <f t="shared" si="395"/>
        <v>0</v>
      </c>
      <c r="KN69" s="123">
        <f t="shared" si="395"/>
        <v>0</v>
      </c>
      <c r="KO69" s="123">
        <f t="shared" si="395"/>
        <v>0</v>
      </c>
      <c r="KP69" s="123">
        <f t="shared" si="395"/>
        <v>0</v>
      </c>
      <c r="KQ69" s="123">
        <f t="shared" si="395"/>
        <v>0</v>
      </c>
      <c r="KR69" s="123">
        <f t="shared" si="395"/>
        <v>0</v>
      </c>
      <c r="KS69">
        <v>2</v>
      </c>
      <c r="KT69">
        <f>AN69</f>
        <v>1</v>
      </c>
      <c r="KU69" s="123"/>
      <c r="KV69" s="123"/>
      <c r="KW69" s="123"/>
      <c r="KX69" s="123"/>
      <c r="KY69" s="123"/>
      <c r="KZ69" s="123"/>
      <c r="LA69" s="123"/>
      <c r="LB69" s="123"/>
      <c r="LC69" s="123"/>
      <c r="LD69" s="123"/>
      <c r="LE69" s="123"/>
      <c r="LF69" s="123"/>
      <c r="LG69" s="123"/>
      <c r="LH69" s="123"/>
      <c r="LI69" s="123"/>
      <c r="LJ69" s="123"/>
      <c r="LK69" s="123"/>
      <c r="LL69" s="123"/>
      <c r="LM69" s="123"/>
      <c r="LN69" s="123"/>
      <c r="LO69" s="123"/>
      <c r="LP69" s="123"/>
      <c r="LQ69" s="123"/>
      <c r="LR69" s="123"/>
      <c r="LS69" s="123"/>
      <c r="LT69" s="123"/>
      <c r="LU69" s="123"/>
      <c r="LV69" s="123"/>
      <c r="LW69" s="123"/>
      <c r="LX69" s="123"/>
      <c r="LY69" s="123"/>
      <c r="LZ69" s="123"/>
      <c r="MA69" s="123"/>
      <c r="MB69" s="123"/>
      <c r="MC69" s="123"/>
      <c r="MD69" s="123"/>
      <c r="ME69" s="123"/>
      <c r="MF69" s="123"/>
      <c r="MG69" s="123"/>
      <c r="MH69" s="123"/>
      <c r="MI69" s="123"/>
      <c r="MJ69" s="123"/>
      <c r="MK69" s="123"/>
      <c r="ML69" s="123"/>
      <c r="MM69" s="123"/>
      <c r="MN69" s="123"/>
      <c r="MO69" s="123"/>
      <c r="MP69" s="123"/>
      <c r="MQ69" s="123"/>
      <c r="MR69" s="123"/>
      <c r="MS69" s="123"/>
      <c r="MT69" s="123"/>
      <c r="MU69" s="123"/>
      <c r="MV69" s="123"/>
      <c r="MW69" s="123"/>
      <c r="MX69" s="123"/>
      <c r="MY69" s="123"/>
      <c r="MZ69" s="123"/>
      <c r="NA69" s="123"/>
      <c r="NB69" s="123"/>
      <c r="NC69" s="123"/>
      <c r="ND69" s="123"/>
      <c r="NE69" s="123"/>
      <c r="NF69" s="123"/>
      <c r="NG69" s="123"/>
      <c r="NH69" s="123"/>
      <c r="NI69" s="123"/>
      <c r="NJ69" s="123"/>
      <c r="NK69" s="123"/>
      <c r="NM69">
        <f t="shared" si="396"/>
        <v>0</v>
      </c>
      <c r="NN69">
        <f t="shared" si="397"/>
        <v>1</v>
      </c>
      <c r="NO69">
        <f t="shared" si="398"/>
        <v>0</v>
      </c>
      <c r="NP69">
        <f t="shared" si="399"/>
        <v>0</v>
      </c>
      <c r="NQ69">
        <f t="shared" si="400"/>
        <v>0</v>
      </c>
      <c r="NR69">
        <f t="shared" si="401"/>
        <v>0</v>
      </c>
      <c r="NS69">
        <f t="shared" si="402"/>
        <v>0</v>
      </c>
      <c r="NT69">
        <f t="shared" si="403"/>
        <v>1</v>
      </c>
      <c r="NU69" s="29">
        <f t="shared" si="404"/>
        <v>0</v>
      </c>
      <c r="NY69" s="29"/>
      <c r="NZ69" s="152"/>
      <c r="OE69" s="155">
        <f t="shared" si="405"/>
        <v>0</v>
      </c>
      <c r="OF69" s="155">
        <f t="shared" si="406"/>
        <v>0</v>
      </c>
      <c r="OG69" s="155">
        <f t="shared" si="407"/>
        <v>1</v>
      </c>
      <c r="OH69" s="155">
        <f t="shared" si="408"/>
        <v>0</v>
      </c>
      <c r="OI69" s="155">
        <f t="shared" si="409"/>
        <v>1</v>
      </c>
      <c r="OJ69" s="67">
        <f t="shared" si="410"/>
        <v>0</v>
      </c>
      <c r="OK69" s="67">
        <f t="shared" si="411"/>
        <v>0</v>
      </c>
      <c r="OL69" s="67">
        <f t="shared" si="412"/>
        <v>0</v>
      </c>
      <c r="OM69" s="67">
        <f t="shared" si="413"/>
        <v>0</v>
      </c>
      <c r="OO69" s="155">
        <f t="shared" si="414"/>
        <v>0</v>
      </c>
      <c r="OP69" s="155">
        <f t="shared" si="415"/>
        <v>0</v>
      </c>
      <c r="OQ69" s="155">
        <f t="shared" si="416"/>
        <v>1</v>
      </c>
      <c r="OR69" s="155">
        <f t="shared" si="417"/>
        <v>0</v>
      </c>
      <c r="OS69" s="155">
        <f t="shared" si="418"/>
        <v>1</v>
      </c>
      <c r="OT69" s="67">
        <f t="shared" si="419"/>
        <v>0</v>
      </c>
      <c r="OU69" s="67">
        <f t="shared" si="420"/>
        <v>0</v>
      </c>
      <c r="OV69" s="67">
        <f t="shared" si="421"/>
        <v>0</v>
      </c>
      <c r="OW69" s="67">
        <f t="shared" si="422"/>
        <v>0</v>
      </c>
      <c r="OZ69" s="163">
        <f t="shared" si="200"/>
        <v>1</v>
      </c>
      <c r="PA69" s="166">
        <v>1</v>
      </c>
      <c r="PB69" s="166"/>
      <c r="PC69" s="166"/>
      <c r="PD69" s="210">
        <f t="shared" si="115"/>
        <v>0</v>
      </c>
      <c r="PE69" s="210"/>
      <c r="PF69" s="210">
        <f t="shared" si="116"/>
        <v>0</v>
      </c>
      <c r="PG69" s="210">
        <f t="shared" si="286"/>
        <v>467</v>
      </c>
      <c r="PH69" s="210">
        <f t="shared" si="286"/>
        <v>0</v>
      </c>
      <c r="PI69" s="210">
        <f t="shared" si="286"/>
        <v>0</v>
      </c>
      <c r="PJ69" s="210">
        <f t="shared" si="286"/>
        <v>0</v>
      </c>
      <c r="PK69" s="210">
        <f t="shared" si="286"/>
        <v>0</v>
      </c>
      <c r="PL69" s="210">
        <f t="shared" si="286"/>
        <v>0</v>
      </c>
      <c r="PO69" s="172">
        <f t="shared" si="177"/>
        <v>0</v>
      </c>
      <c r="PP69" s="172">
        <f t="shared" si="178"/>
        <v>0</v>
      </c>
      <c r="PQ69" s="172">
        <f t="shared" si="179"/>
        <v>0</v>
      </c>
    </row>
    <row r="70" spans="1:433" ht="16" x14ac:dyDescent="0.2">
      <c r="A70" s="21"/>
      <c r="B70" s="22" t="s">
        <v>18</v>
      </c>
      <c r="C70" s="22"/>
      <c r="D70" s="23">
        <f>SUM(D9:D69)</f>
        <v>57</v>
      </c>
      <c r="E70" s="23">
        <f>SUM(E9:E69)</f>
        <v>6793</v>
      </c>
      <c r="F70" s="23">
        <f>SUM(F9:F69)</f>
        <v>57</v>
      </c>
      <c r="G70" s="23">
        <f>SUM(G9:G69)</f>
        <v>6793</v>
      </c>
      <c r="H70" s="24">
        <f t="shared" ref="H70" si="583">F70/$D70</f>
        <v>1</v>
      </c>
      <c r="I70" s="24">
        <f t="shared" ref="I70" si="584">G70/$E70</f>
        <v>1</v>
      </c>
      <c r="J70" s="23">
        <f>SUM(J9:J69)</f>
        <v>57</v>
      </c>
      <c r="K70" s="23">
        <f>SUM(K9:K69)</f>
        <v>6793</v>
      </c>
      <c r="L70" s="24">
        <f t="shared" si="205"/>
        <v>1</v>
      </c>
      <c r="M70" s="24">
        <f t="shared" si="206"/>
        <v>1</v>
      </c>
      <c r="N70" s="23">
        <f>SUM(N9:N69)</f>
        <v>57</v>
      </c>
      <c r="O70" s="23">
        <f>SUM(O9:O69)</f>
        <v>6793</v>
      </c>
      <c r="P70" s="24">
        <f t="shared" si="208"/>
        <v>1</v>
      </c>
      <c r="Q70" s="24">
        <f t="shared" si="209"/>
        <v>1</v>
      </c>
      <c r="R70" s="23">
        <f>SUM(R9:R69)</f>
        <v>46</v>
      </c>
      <c r="S70" s="23">
        <f>SUM(S9:S69)</f>
        <v>3846</v>
      </c>
      <c r="T70" s="24">
        <f t="shared" ref="T70" si="585">R70/$D70</f>
        <v>0.80701754385964908</v>
      </c>
      <c r="U70" s="24">
        <f t="shared" ref="U70" si="586">S70/$E70</f>
        <v>0.56617105844251436</v>
      </c>
      <c r="V70" s="23">
        <f>SUM(V9:V69)</f>
        <v>42</v>
      </c>
      <c r="W70" s="23">
        <f>SUM(W9:W69)</f>
        <v>3618</v>
      </c>
      <c r="X70" s="24">
        <f t="shared" ref="X70" si="587">V70/$D70</f>
        <v>0.73684210526315785</v>
      </c>
      <c r="Y70" s="24">
        <f t="shared" ref="Y70" si="588">W70/$E70</f>
        <v>0.53260709553952601</v>
      </c>
      <c r="Z70" s="39">
        <f>SUM(Z9:Z69)</f>
        <v>37.009547999999995</v>
      </c>
      <c r="AA70" s="23">
        <f>SUM(AA9:AA69)</f>
        <v>4</v>
      </c>
      <c r="AB70" s="23">
        <f>SUM(AB9:AB69)</f>
        <v>228</v>
      </c>
      <c r="AC70" s="24">
        <f t="shared" ref="AC70" si="589">AA70/$D70</f>
        <v>7.0175438596491224E-2</v>
      </c>
      <c r="AD70" s="24">
        <f t="shared" ref="AD70" si="590">AB70/$E70</f>
        <v>3.3563962902988367E-2</v>
      </c>
      <c r="AE70" s="39">
        <f>SUM(AE9:AE69)</f>
        <v>2.557407</v>
      </c>
      <c r="AF70" s="23">
        <f>SUM(AF9:AF69)</f>
        <v>4</v>
      </c>
      <c r="AG70" s="23"/>
      <c r="AH70" s="23"/>
      <c r="AI70" s="23">
        <f>SUM(AI9:AI69)</f>
        <v>0</v>
      </c>
      <c r="AJ70" s="23">
        <f>SUM(AJ9:AJ69)</f>
        <v>0</v>
      </c>
      <c r="AK70" s="23"/>
      <c r="AL70" s="23">
        <f>SUM(AL9:AL69)</f>
        <v>0</v>
      </c>
      <c r="AM70" s="23">
        <f>SUM(AM9:AM69)</f>
        <v>0</v>
      </c>
      <c r="AN70" s="23">
        <f>SUM(AN9:AN69)</f>
        <v>11</v>
      </c>
      <c r="BB70" s="23">
        <f>SUM(BB9:BB69)</f>
        <v>2947</v>
      </c>
      <c r="BE70" s="23">
        <f t="shared" ref="BE70:BK70" si="591">SUM(BE9:BE69)</f>
        <v>228</v>
      </c>
      <c r="BF70" s="23">
        <f t="shared" si="591"/>
        <v>0</v>
      </c>
      <c r="BG70" s="23">
        <f t="shared" si="591"/>
        <v>0</v>
      </c>
      <c r="BH70" s="23">
        <f t="shared" si="591"/>
        <v>228</v>
      </c>
      <c r="BI70" s="23">
        <f t="shared" si="591"/>
        <v>0</v>
      </c>
      <c r="BJ70" s="23">
        <f t="shared" si="591"/>
        <v>0</v>
      </c>
      <c r="BK70" s="23">
        <f t="shared" si="591"/>
        <v>228</v>
      </c>
      <c r="BN70" s="23">
        <f t="shared" ref="BN70:BZ70" si="592">SUM(BN9:BN69)</f>
        <v>1471</v>
      </c>
      <c r="BO70" s="23">
        <f t="shared" si="592"/>
        <v>35</v>
      </c>
      <c r="BP70" s="23">
        <f t="shared" si="592"/>
        <v>0</v>
      </c>
      <c r="BQ70" s="23">
        <f t="shared" si="592"/>
        <v>0</v>
      </c>
      <c r="BR70" s="23">
        <f t="shared" si="592"/>
        <v>0</v>
      </c>
      <c r="BS70" s="23">
        <f t="shared" si="592"/>
        <v>0</v>
      </c>
      <c r="BT70" s="23">
        <f t="shared" si="592"/>
        <v>0</v>
      </c>
      <c r="BU70" s="23">
        <f t="shared" si="592"/>
        <v>0</v>
      </c>
      <c r="BV70" s="23">
        <f t="shared" si="592"/>
        <v>0</v>
      </c>
      <c r="BW70" s="23">
        <f t="shared" si="592"/>
        <v>0</v>
      </c>
      <c r="BX70" s="23">
        <f t="shared" si="592"/>
        <v>0</v>
      </c>
      <c r="BY70" s="23">
        <f t="shared" si="592"/>
        <v>0</v>
      </c>
      <c r="BZ70" s="23">
        <f t="shared" si="592"/>
        <v>0</v>
      </c>
      <c r="CB70" s="23">
        <f>SUM(CB9:CB69)</f>
        <v>0</v>
      </c>
      <c r="CD70" s="23">
        <f t="shared" ref="CD70:CP70" si="593">SUM(CD9:CD69)</f>
        <v>1471</v>
      </c>
      <c r="CE70" s="23">
        <f t="shared" si="593"/>
        <v>1471</v>
      </c>
      <c r="CF70" s="23">
        <f t="shared" si="593"/>
        <v>0</v>
      </c>
      <c r="CG70" s="23">
        <f t="shared" si="593"/>
        <v>0</v>
      </c>
      <c r="CH70" s="23">
        <f t="shared" si="593"/>
        <v>0</v>
      </c>
      <c r="CI70" s="23">
        <f t="shared" si="593"/>
        <v>0</v>
      </c>
      <c r="CJ70" s="23">
        <f t="shared" si="593"/>
        <v>0</v>
      </c>
      <c r="CK70" s="23">
        <f t="shared" si="593"/>
        <v>0</v>
      </c>
      <c r="CL70" s="23">
        <f t="shared" si="593"/>
        <v>0</v>
      </c>
      <c r="CM70" s="23">
        <f t="shared" si="593"/>
        <v>0</v>
      </c>
      <c r="CN70" s="23">
        <f t="shared" si="593"/>
        <v>0</v>
      </c>
      <c r="CO70" s="23">
        <f t="shared" si="593"/>
        <v>0</v>
      </c>
      <c r="CP70" s="23">
        <f t="shared" si="593"/>
        <v>0</v>
      </c>
      <c r="DV70" s="23">
        <f t="shared" ref="DV70:EB70" si="594">SUM(DV9:DV69)</f>
        <v>0</v>
      </c>
      <c r="DW70" s="23">
        <f t="shared" si="594"/>
        <v>0</v>
      </c>
      <c r="DX70" s="23">
        <f t="shared" si="594"/>
        <v>0</v>
      </c>
      <c r="DY70" s="23">
        <f t="shared" si="594"/>
        <v>0</v>
      </c>
      <c r="DZ70" s="23">
        <f t="shared" si="594"/>
        <v>0</v>
      </c>
      <c r="EA70" s="23">
        <f t="shared" si="594"/>
        <v>0</v>
      </c>
      <c r="EB70" s="23">
        <f t="shared" si="594"/>
        <v>0</v>
      </c>
      <c r="EG70" s="58">
        <f>COUNTIF(EG9:EG69,"&gt;&lt;0")</f>
        <v>4</v>
      </c>
      <c r="EH70" s="58">
        <f>COUNTIF(EH9:EH69,"&gt;&lt;0")</f>
        <v>0</v>
      </c>
      <c r="EI70" s="23">
        <f t="shared" ref="EI70:FF70" si="595">SUM(EI9:EI69)</f>
        <v>4</v>
      </c>
      <c r="EJ70" s="23">
        <f t="shared" si="595"/>
        <v>4</v>
      </c>
      <c r="EK70" s="23">
        <f t="shared" si="595"/>
        <v>0</v>
      </c>
      <c r="EL70" s="23">
        <f t="shared" si="595"/>
        <v>0</v>
      </c>
      <c r="EM70" s="23">
        <f t="shared" si="595"/>
        <v>0</v>
      </c>
      <c r="EN70" s="23">
        <f t="shared" si="595"/>
        <v>0</v>
      </c>
      <c r="EO70" s="23">
        <f t="shared" si="595"/>
        <v>0</v>
      </c>
      <c r="EP70" s="23">
        <f t="shared" si="595"/>
        <v>0</v>
      </c>
      <c r="EQ70" s="23">
        <f t="shared" si="595"/>
        <v>4</v>
      </c>
      <c r="ER70" s="23">
        <f t="shared" si="595"/>
        <v>4</v>
      </c>
      <c r="ES70" s="23">
        <f t="shared" si="595"/>
        <v>4</v>
      </c>
      <c r="ET70" s="23">
        <f t="shared" si="595"/>
        <v>0</v>
      </c>
      <c r="EU70" s="23">
        <f t="shared" si="595"/>
        <v>0</v>
      </c>
      <c r="EV70" s="23">
        <f t="shared" si="595"/>
        <v>4</v>
      </c>
      <c r="EW70" s="23">
        <f t="shared" si="595"/>
        <v>0</v>
      </c>
      <c r="EX70" s="23">
        <f t="shared" si="595"/>
        <v>0</v>
      </c>
      <c r="EY70" s="23">
        <f t="shared" si="595"/>
        <v>0</v>
      </c>
      <c r="EZ70" s="23">
        <f t="shared" si="595"/>
        <v>4</v>
      </c>
      <c r="FA70" s="23">
        <f t="shared" si="595"/>
        <v>4</v>
      </c>
      <c r="FB70" s="23">
        <f t="shared" si="595"/>
        <v>0</v>
      </c>
      <c r="FC70" s="23">
        <f t="shared" si="595"/>
        <v>4</v>
      </c>
      <c r="FD70" s="23">
        <f t="shared" si="595"/>
        <v>0</v>
      </c>
      <c r="FE70" s="23">
        <f t="shared" si="595"/>
        <v>0</v>
      </c>
      <c r="FF70" s="23">
        <f t="shared" si="595"/>
        <v>0</v>
      </c>
      <c r="FH70" s="23">
        <f t="shared" ref="FH70:FV70" si="596">SUM(FH9:FH69)</f>
        <v>0</v>
      </c>
      <c r="FI70" s="23">
        <f t="shared" si="596"/>
        <v>0</v>
      </c>
      <c r="FJ70" s="23">
        <f t="shared" si="596"/>
        <v>0</v>
      </c>
      <c r="FK70" s="23">
        <f t="shared" si="596"/>
        <v>0</v>
      </c>
      <c r="FL70" s="23">
        <f t="shared" si="596"/>
        <v>0</v>
      </c>
      <c r="FM70" s="23">
        <f t="shared" si="596"/>
        <v>0</v>
      </c>
      <c r="FN70" s="23">
        <f t="shared" si="596"/>
        <v>0</v>
      </c>
      <c r="FO70" s="23">
        <f t="shared" si="596"/>
        <v>0</v>
      </c>
      <c r="FP70" s="23">
        <f t="shared" si="596"/>
        <v>0</v>
      </c>
      <c r="FQ70" s="23">
        <f t="shared" si="596"/>
        <v>0</v>
      </c>
      <c r="FR70" s="23">
        <f t="shared" si="596"/>
        <v>0</v>
      </c>
      <c r="FS70" s="23">
        <f t="shared" si="596"/>
        <v>0</v>
      </c>
      <c r="FT70" s="23">
        <f t="shared" si="596"/>
        <v>0</v>
      </c>
      <c r="FU70" s="23">
        <f t="shared" si="596"/>
        <v>0</v>
      </c>
      <c r="FV70" s="23">
        <f t="shared" si="596"/>
        <v>0</v>
      </c>
      <c r="FX70" s="23">
        <f t="shared" ref="FX70:GE70" si="597">SUM(FX9:FX69)</f>
        <v>35</v>
      </c>
      <c r="FY70" s="23">
        <f t="shared" si="597"/>
        <v>1471</v>
      </c>
      <c r="FZ70" s="23">
        <f t="shared" si="597"/>
        <v>1471</v>
      </c>
      <c r="GA70" s="23">
        <f t="shared" si="597"/>
        <v>0</v>
      </c>
      <c r="GB70" s="23">
        <f t="shared" si="597"/>
        <v>0</v>
      </c>
      <c r="GC70" s="23">
        <f t="shared" si="597"/>
        <v>0</v>
      </c>
      <c r="GD70" s="23">
        <f t="shared" si="597"/>
        <v>0</v>
      </c>
      <c r="GE70" s="23">
        <f t="shared" si="597"/>
        <v>0</v>
      </c>
      <c r="GG70" s="23">
        <f>SUM(GG9:GG69)</f>
        <v>0</v>
      </c>
      <c r="GH70" s="23">
        <f>SUM(GH9:GH69)</f>
        <v>0</v>
      </c>
      <c r="GJ70" s="39">
        <f>SUM(GJ9:GJ69)</f>
        <v>0</v>
      </c>
      <c r="GK70" s="39">
        <f>SUM(GK9:GK69)</f>
        <v>0</v>
      </c>
      <c r="GO70" s="103">
        <f t="shared" ref="GO70:GT70" si="598">SUM(GO9:GO69)</f>
        <v>0</v>
      </c>
      <c r="GP70" s="103">
        <f t="shared" si="598"/>
        <v>0</v>
      </c>
      <c r="GQ70" s="103">
        <f t="shared" si="598"/>
        <v>0</v>
      </c>
      <c r="GR70" s="103">
        <f t="shared" si="598"/>
        <v>11</v>
      </c>
      <c r="GS70" s="103">
        <f t="shared" si="598"/>
        <v>15</v>
      </c>
      <c r="GT70" s="103">
        <f t="shared" si="598"/>
        <v>42</v>
      </c>
      <c r="GU70" s="103">
        <f>COUNTA(GU9:GU69)</f>
        <v>57</v>
      </c>
      <c r="GV70" s="103">
        <f>COUNTA(GV9:GV69)</f>
        <v>57</v>
      </c>
      <c r="GW70" s="103">
        <f>SUM(GW9:GW69)</f>
        <v>15</v>
      </c>
      <c r="GX70" s="103">
        <f>COUNTA(GX9:GX69)</f>
        <v>57</v>
      </c>
      <c r="GY70" s="103"/>
      <c r="GZ70" s="103">
        <f>COUNTA(GZ9:GZ69)</f>
        <v>57</v>
      </c>
      <c r="HA70" s="83"/>
      <c r="HB70" s="83"/>
      <c r="HC70" s="103">
        <f>SUM(HC9:HC69)</f>
        <v>4</v>
      </c>
      <c r="HD70" s="103">
        <f>SUM(HD9:HD69)</f>
        <v>0</v>
      </c>
      <c r="HE70" s="103">
        <f>SUM(HE9:HE69)</f>
        <v>4</v>
      </c>
      <c r="HF70" s="103">
        <f>SUM(HF9:HF69)</f>
        <v>0</v>
      </c>
      <c r="HG70" s="103">
        <f>SUM(HG9:HG69)</f>
        <v>4</v>
      </c>
      <c r="HH70" s="103">
        <f>COUNTA(HH9:HH69)</f>
        <v>57</v>
      </c>
      <c r="HI70" s="103">
        <f>COUNTA(HI9:HI69)</f>
        <v>57</v>
      </c>
      <c r="HJ70" s="83"/>
      <c r="HK70" s="103">
        <f>COUNTA(HK9:HK69)</f>
        <v>57</v>
      </c>
      <c r="HL70" s="83"/>
      <c r="HM70" s="83"/>
      <c r="HN70" s="83"/>
      <c r="HO70" s="83"/>
      <c r="HP70" s="104">
        <f>HP72</f>
        <v>43257</v>
      </c>
      <c r="HQ70" s="103">
        <f>SUM(HQ9:HQ69)</f>
        <v>0</v>
      </c>
      <c r="HR70" s="103">
        <f>SUM(HR9:HR69)</f>
        <v>0</v>
      </c>
      <c r="HS70" s="104">
        <f>HS72</f>
        <v>43288</v>
      </c>
      <c r="HT70" s="103">
        <f>SUM(HT9:HT69)</f>
        <v>4</v>
      </c>
      <c r="HU70" s="103">
        <f>SUM(HU9:HU69)</f>
        <v>228</v>
      </c>
      <c r="HV70" s="104">
        <f>HV72</f>
        <v>43267</v>
      </c>
      <c r="HW70" s="103">
        <f>SUM(HW9:HW69)</f>
        <v>0</v>
      </c>
      <c r="HX70" s="103">
        <f>SUM(HX9:HX69)</f>
        <v>0</v>
      </c>
      <c r="HY70" s="104">
        <f>HY72</f>
        <v>43312</v>
      </c>
      <c r="HZ70" s="103">
        <f>SUM(HZ9:HZ69)</f>
        <v>0</v>
      </c>
      <c r="IA70" s="103">
        <f>SUM(IA9:IA69)</f>
        <v>0</v>
      </c>
      <c r="IB70" s="104">
        <f>IB72</f>
        <v>43277</v>
      </c>
      <c r="IC70" s="103">
        <f>SUM(IC9:IC69)</f>
        <v>0</v>
      </c>
      <c r="ID70" s="103">
        <f>SUM(ID9:ID69)</f>
        <v>0</v>
      </c>
      <c r="IE70" s="104">
        <f>IE72</f>
        <v>43322</v>
      </c>
      <c r="IF70" s="103">
        <f>SUM(IF9:IF69)</f>
        <v>0</v>
      </c>
      <c r="IG70" s="103">
        <f>SUM(IG9:IG69)</f>
        <v>0</v>
      </c>
      <c r="IH70" s="104">
        <f>IH72</f>
        <v>43297</v>
      </c>
      <c r="II70" s="103">
        <f>SUM(II9:II69)</f>
        <v>0</v>
      </c>
      <c r="IJ70" s="103">
        <f>SUM(IJ9:IJ69)</f>
        <v>0</v>
      </c>
      <c r="IK70" s="104">
        <f>IK72</f>
        <v>43342</v>
      </c>
      <c r="IL70" s="103">
        <f>SUM(IL9:IL69)</f>
        <v>0</v>
      </c>
      <c r="IM70" s="103">
        <f>SUM(IM9:IM69)</f>
        <v>0</v>
      </c>
      <c r="IN70" s="83"/>
      <c r="IO70" s="104">
        <f>IO72</f>
        <v>43288</v>
      </c>
      <c r="IP70" s="103">
        <f>SUM(IP9:IP69)</f>
        <v>0</v>
      </c>
      <c r="IQ70" s="103">
        <f>SUM(IQ9:IQ69)</f>
        <v>0</v>
      </c>
      <c r="IR70" s="83"/>
      <c r="IS70" s="104">
        <f>$D$3</f>
        <v>44201</v>
      </c>
      <c r="IT70" s="103">
        <f>SUM(IT9:IT69)</f>
        <v>42</v>
      </c>
      <c r="IU70" s="103">
        <f>SUM(IU9:IU69)</f>
        <v>3618</v>
      </c>
      <c r="IV70" s="83"/>
      <c r="IW70" s="104">
        <f>$D$3</f>
        <v>44201</v>
      </c>
      <c r="IX70" s="103">
        <f>SUM(IX9:IX69)</f>
        <v>4</v>
      </c>
      <c r="IY70" s="103">
        <f>SUM(IY9:IY69)</f>
        <v>228</v>
      </c>
      <c r="IZ70" s="83"/>
      <c r="JA70" s="103"/>
      <c r="JB70" s="103">
        <f>SUM(JB9:JB69)</f>
        <v>11</v>
      </c>
      <c r="JC70" s="103">
        <f>SUM(JC9:JC69)</f>
        <v>2947</v>
      </c>
      <c r="JD70" s="83"/>
      <c r="JE70" s="103"/>
      <c r="JF70" s="103">
        <f>SUM(JF9:JF69)</f>
        <v>61</v>
      </c>
      <c r="JG70" s="103">
        <f>SUM(JG9:JG69)</f>
        <v>7021</v>
      </c>
      <c r="JH70" s="83"/>
      <c r="JI70" s="103"/>
      <c r="JJ70" s="103">
        <f>SUM(JJ9:JJ69)</f>
        <v>4</v>
      </c>
      <c r="JK70" s="103">
        <f>SUM(JK9:JK69)</f>
        <v>228</v>
      </c>
      <c r="JM70" s="104">
        <f>MAX(JM9:JM69)</f>
        <v>43288</v>
      </c>
      <c r="JO70" s="29">
        <f>MAX(JO9:JO69)</f>
        <v>1</v>
      </c>
      <c r="JP70" s="125">
        <f t="shared" ref="JP70:KB70" si="599">SUM(JP9:JP69)</f>
        <v>1471</v>
      </c>
      <c r="JQ70" s="125">
        <f t="shared" si="599"/>
        <v>35</v>
      </c>
      <c r="JR70" s="125">
        <f t="shared" si="599"/>
        <v>0</v>
      </c>
      <c r="JS70" s="125">
        <f t="shared" si="599"/>
        <v>0</v>
      </c>
      <c r="JT70" s="125">
        <f t="shared" si="599"/>
        <v>0</v>
      </c>
      <c r="JU70" s="125">
        <f t="shared" si="599"/>
        <v>0</v>
      </c>
      <c r="JV70" s="125">
        <f t="shared" si="599"/>
        <v>0</v>
      </c>
      <c r="JW70" s="125">
        <f t="shared" si="599"/>
        <v>0</v>
      </c>
      <c r="JX70" s="125">
        <f t="shared" si="599"/>
        <v>0</v>
      </c>
      <c r="JY70" s="125">
        <f t="shared" si="599"/>
        <v>0</v>
      </c>
      <c r="JZ70" s="125">
        <f t="shared" si="599"/>
        <v>0</v>
      </c>
      <c r="KA70" s="125">
        <f t="shared" si="599"/>
        <v>0</v>
      </c>
      <c r="KB70" s="125">
        <f t="shared" si="599"/>
        <v>0</v>
      </c>
      <c r="KD70" s="125">
        <f t="shared" ref="KD70:KR70" si="600">SUM(KD9:KD69)</f>
        <v>0</v>
      </c>
      <c r="KE70" s="125">
        <f t="shared" si="600"/>
        <v>0</v>
      </c>
      <c r="KF70" s="125">
        <f t="shared" si="600"/>
        <v>1471</v>
      </c>
      <c r="KG70" s="125">
        <f t="shared" si="600"/>
        <v>1471</v>
      </c>
      <c r="KH70" s="125">
        <f t="shared" si="600"/>
        <v>0</v>
      </c>
      <c r="KI70" s="125">
        <f t="shared" si="600"/>
        <v>0</v>
      </c>
      <c r="KJ70" s="125">
        <f t="shared" si="600"/>
        <v>0</v>
      </c>
      <c r="KK70" s="125">
        <f t="shared" si="600"/>
        <v>0</v>
      </c>
      <c r="KL70" s="125">
        <f t="shared" si="600"/>
        <v>0</v>
      </c>
      <c r="KM70" s="125">
        <f t="shared" si="600"/>
        <v>0</v>
      </c>
      <c r="KN70" s="125">
        <f t="shared" si="600"/>
        <v>0</v>
      </c>
      <c r="KO70" s="125">
        <f t="shared" si="600"/>
        <v>0</v>
      </c>
      <c r="KP70" s="125">
        <f t="shared" si="600"/>
        <v>0</v>
      </c>
      <c r="KQ70" s="125">
        <f t="shared" si="600"/>
        <v>0</v>
      </c>
      <c r="KR70" s="125">
        <f t="shared" si="600"/>
        <v>0</v>
      </c>
      <c r="KT70" s="125">
        <f t="shared" ref="KT70:LY70" si="601">SUM(KT9:KT69)</f>
        <v>11</v>
      </c>
      <c r="KU70" s="125">
        <f t="shared" si="601"/>
        <v>0</v>
      </c>
      <c r="KV70" s="125">
        <f t="shared" si="601"/>
        <v>0</v>
      </c>
      <c r="KW70" s="125">
        <f t="shared" si="601"/>
        <v>0</v>
      </c>
      <c r="KX70" s="125">
        <f t="shared" si="601"/>
        <v>0</v>
      </c>
      <c r="KY70" s="125">
        <f t="shared" si="601"/>
        <v>0</v>
      </c>
      <c r="KZ70" s="125">
        <f t="shared" si="601"/>
        <v>0</v>
      </c>
      <c r="LA70" s="125">
        <f t="shared" si="601"/>
        <v>0</v>
      </c>
      <c r="LB70" s="125">
        <f t="shared" si="601"/>
        <v>0</v>
      </c>
      <c r="LC70" s="125">
        <f t="shared" si="601"/>
        <v>0</v>
      </c>
      <c r="LD70" s="125">
        <f t="shared" si="601"/>
        <v>0</v>
      </c>
      <c r="LE70" s="125">
        <f t="shared" si="601"/>
        <v>0</v>
      </c>
      <c r="LF70" s="125">
        <f t="shared" si="601"/>
        <v>0</v>
      </c>
      <c r="LG70" s="125">
        <f t="shared" si="601"/>
        <v>0</v>
      </c>
      <c r="LH70" s="125">
        <f t="shared" si="601"/>
        <v>0</v>
      </c>
      <c r="LI70" s="125">
        <f t="shared" si="601"/>
        <v>0</v>
      </c>
      <c r="LJ70" s="125">
        <f t="shared" si="601"/>
        <v>0</v>
      </c>
      <c r="LK70" s="125">
        <f t="shared" si="601"/>
        <v>0</v>
      </c>
      <c r="LL70" s="125">
        <f t="shared" si="601"/>
        <v>0</v>
      </c>
      <c r="LM70" s="125">
        <f t="shared" si="601"/>
        <v>4</v>
      </c>
      <c r="LN70" s="125">
        <f t="shared" si="601"/>
        <v>4</v>
      </c>
      <c r="LO70" s="125">
        <f t="shared" si="601"/>
        <v>0</v>
      </c>
      <c r="LP70" s="125">
        <f t="shared" si="601"/>
        <v>0</v>
      </c>
      <c r="LQ70" s="125">
        <f t="shared" si="601"/>
        <v>0</v>
      </c>
      <c r="LR70" s="125">
        <f t="shared" si="601"/>
        <v>0</v>
      </c>
      <c r="LS70" s="125">
        <f t="shared" si="601"/>
        <v>0</v>
      </c>
      <c r="LT70" s="125">
        <f t="shared" si="601"/>
        <v>0</v>
      </c>
      <c r="LU70" s="125">
        <f t="shared" si="601"/>
        <v>0</v>
      </c>
      <c r="LV70" s="125">
        <f t="shared" si="601"/>
        <v>0</v>
      </c>
      <c r="LW70" s="125">
        <f t="shared" si="601"/>
        <v>0</v>
      </c>
      <c r="LX70" s="125">
        <f t="shared" si="601"/>
        <v>0</v>
      </c>
      <c r="LY70" s="125">
        <f t="shared" si="601"/>
        <v>0</v>
      </c>
      <c r="LZ70" s="125">
        <f t="shared" ref="LZ70:MX70" si="602">SUM(LZ9:LZ69)</f>
        <v>0</v>
      </c>
      <c r="MA70" s="125">
        <f t="shared" si="602"/>
        <v>0</v>
      </c>
      <c r="MB70" s="125">
        <f t="shared" si="602"/>
        <v>0</v>
      </c>
      <c r="MC70" s="125">
        <f t="shared" si="602"/>
        <v>0</v>
      </c>
      <c r="MD70" s="125">
        <f t="shared" si="602"/>
        <v>0</v>
      </c>
      <c r="ME70" s="125">
        <f t="shared" si="602"/>
        <v>0</v>
      </c>
      <c r="MF70" s="125">
        <f t="shared" si="602"/>
        <v>0</v>
      </c>
      <c r="MG70" s="125">
        <f t="shared" si="602"/>
        <v>0</v>
      </c>
      <c r="MH70" s="125">
        <f t="shared" si="602"/>
        <v>0</v>
      </c>
      <c r="MI70" s="125">
        <f t="shared" si="602"/>
        <v>0</v>
      </c>
      <c r="MJ70" s="125">
        <f t="shared" si="602"/>
        <v>0</v>
      </c>
      <c r="MK70" s="125">
        <f t="shared" si="602"/>
        <v>0</v>
      </c>
      <c r="ML70" s="125">
        <f t="shared" si="602"/>
        <v>0</v>
      </c>
      <c r="MM70" s="125">
        <f t="shared" si="602"/>
        <v>0</v>
      </c>
      <c r="MN70" s="125">
        <f t="shared" si="602"/>
        <v>0</v>
      </c>
      <c r="MO70" s="125">
        <f t="shared" si="602"/>
        <v>0</v>
      </c>
      <c r="MP70" s="125">
        <f t="shared" si="602"/>
        <v>0</v>
      </c>
      <c r="MQ70" s="125">
        <f t="shared" si="602"/>
        <v>0</v>
      </c>
      <c r="MR70" s="125">
        <f t="shared" si="602"/>
        <v>0</v>
      </c>
      <c r="MS70" s="125">
        <f t="shared" si="602"/>
        <v>0</v>
      </c>
      <c r="MT70" s="125">
        <f t="shared" si="602"/>
        <v>0</v>
      </c>
      <c r="MU70" s="125">
        <f t="shared" si="602"/>
        <v>0</v>
      </c>
      <c r="MV70" s="125">
        <f t="shared" si="602"/>
        <v>0</v>
      </c>
      <c r="MW70" s="125">
        <f t="shared" si="602"/>
        <v>0</v>
      </c>
      <c r="MX70" s="125">
        <f t="shared" si="602"/>
        <v>1</v>
      </c>
      <c r="MY70" s="125"/>
      <c r="MZ70" s="125"/>
      <c r="NA70" s="125"/>
      <c r="NB70" s="125">
        <f t="shared" ref="NB70:NK70" si="603">SUM(NB9:NB69)</f>
        <v>0</v>
      </c>
      <c r="NC70" s="125">
        <f t="shared" si="603"/>
        <v>0</v>
      </c>
      <c r="ND70" s="125">
        <f t="shared" si="603"/>
        <v>0</v>
      </c>
      <c r="NE70" s="125">
        <f t="shared" si="603"/>
        <v>0</v>
      </c>
      <c r="NF70" s="125">
        <f t="shared" si="603"/>
        <v>0</v>
      </c>
      <c r="NG70" s="125">
        <f t="shared" si="603"/>
        <v>0</v>
      </c>
      <c r="NH70" s="125">
        <f t="shared" si="603"/>
        <v>0</v>
      </c>
      <c r="NI70" s="125">
        <f t="shared" si="603"/>
        <v>0</v>
      </c>
      <c r="NJ70" s="125">
        <f t="shared" si="603"/>
        <v>0</v>
      </c>
      <c r="NK70" s="125">
        <f t="shared" si="603"/>
        <v>0</v>
      </c>
      <c r="NM70" s="125">
        <f t="shared" ref="NM70:NU70" si="604">SUM(NM9:NM69)</f>
        <v>0</v>
      </c>
      <c r="NN70" s="125">
        <f t="shared" si="604"/>
        <v>7</v>
      </c>
      <c r="NO70" s="125">
        <f t="shared" si="604"/>
        <v>0</v>
      </c>
      <c r="NP70" s="125">
        <f t="shared" si="604"/>
        <v>0</v>
      </c>
      <c r="NQ70" s="125">
        <f t="shared" si="604"/>
        <v>0</v>
      </c>
      <c r="NR70" s="125">
        <f t="shared" si="604"/>
        <v>0</v>
      </c>
      <c r="NS70" s="125">
        <f t="shared" si="604"/>
        <v>4</v>
      </c>
      <c r="NT70" s="125">
        <f t="shared" si="604"/>
        <v>11</v>
      </c>
      <c r="NU70" s="125">
        <f t="shared" si="604"/>
        <v>0</v>
      </c>
      <c r="NZ70" s="153">
        <f>MAX(NZ9:NZ69)</f>
        <v>7500000</v>
      </c>
      <c r="OA70" s="153">
        <f>MIN(NZ9:NZ69)</f>
        <v>7125000</v>
      </c>
      <c r="OB70" s="153">
        <f>AVERAGE(NZ9:NZ69)</f>
        <v>7299847.8260869561</v>
      </c>
      <c r="OE70" s="125">
        <f t="shared" ref="OE70:OM70" si="605">SUM(OE9:OE69)</f>
        <v>0</v>
      </c>
      <c r="OF70" s="125">
        <f t="shared" si="605"/>
        <v>0</v>
      </c>
      <c r="OG70" s="125">
        <f t="shared" si="605"/>
        <v>11</v>
      </c>
      <c r="OH70" s="125">
        <f t="shared" si="605"/>
        <v>4</v>
      </c>
      <c r="OI70" s="125">
        <f t="shared" si="605"/>
        <v>11</v>
      </c>
      <c r="OJ70" s="125">
        <f t="shared" si="605"/>
        <v>0</v>
      </c>
      <c r="OK70" s="125">
        <f t="shared" si="605"/>
        <v>0</v>
      </c>
      <c r="OL70" s="125">
        <f t="shared" si="605"/>
        <v>0</v>
      </c>
      <c r="OM70" s="125">
        <f t="shared" si="605"/>
        <v>0</v>
      </c>
      <c r="OO70" s="125">
        <f t="shared" ref="OO70:OW70" si="606">SUM(OO9:OO69)</f>
        <v>0</v>
      </c>
      <c r="OP70" s="125">
        <f t="shared" si="606"/>
        <v>0</v>
      </c>
      <c r="OQ70" s="125">
        <f t="shared" si="606"/>
        <v>11</v>
      </c>
      <c r="OR70" s="125">
        <f t="shared" si="606"/>
        <v>4</v>
      </c>
      <c r="OS70" s="125">
        <f t="shared" si="606"/>
        <v>11</v>
      </c>
      <c r="OT70" s="125">
        <f t="shared" si="606"/>
        <v>0</v>
      </c>
      <c r="OU70" s="125">
        <f t="shared" si="606"/>
        <v>0</v>
      </c>
      <c r="OV70" s="125">
        <f t="shared" si="606"/>
        <v>0</v>
      </c>
      <c r="OW70" s="125">
        <f t="shared" si="606"/>
        <v>0</v>
      </c>
      <c r="OZ70" s="163">
        <f t="shared" si="200"/>
        <v>11</v>
      </c>
      <c r="PA70" s="125">
        <f t="shared" ref="PA70:PL70" si="607">SUM(PA9:PA69)</f>
        <v>5</v>
      </c>
      <c r="PB70" s="125">
        <f t="shared" si="607"/>
        <v>6</v>
      </c>
      <c r="PC70" s="125">
        <f t="shared" si="607"/>
        <v>6</v>
      </c>
      <c r="PD70" s="125">
        <f t="shared" si="607"/>
        <v>0</v>
      </c>
      <c r="PE70" s="125">
        <f t="shared" si="607"/>
        <v>0</v>
      </c>
      <c r="PF70" s="125">
        <f t="shared" si="607"/>
        <v>0</v>
      </c>
      <c r="PG70" s="125">
        <f t="shared" si="607"/>
        <v>747</v>
      </c>
      <c r="PH70" s="125">
        <f t="shared" si="607"/>
        <v>2200</v>
      </c>
      <c r="PI70" s="125">
        <f t="shared" si="607"/>
        <v>2200</v>
      </c>
      <c r="PJ70" s="125">
        <f t="shared" si="607"/>
        <v>0</v>
      </c>
      <c r="PK70" s="125">
        <f t="shared" si="607"/>
        <v>0</v>
      </c>
      <c r="PL70" s="125">
        <f t="shared" si="607"/>
        <v>0</v>
      </c>
      <c r="PO70" s="125">
        <f>SUM(PO9:PO69)</f>
        <v>228</v>
      </c>
      <c r="PP70" s="125">
        <f>SUM(PP9:PP69)</f>
        <v>0</v>
      </c>
      <c r="PQ70" s="125">
        <f>SUM(PQ9:PQ69)</f>
        <v>0</v>
      </c>
    </row>
    <row r="71" spans="1:433" ht="16" x14ac:dyDescent="0.2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6"/>
      <c r="AG71" s="27"/>
      <c r="GO71" s="83"/>
      <c r="GP71" s="83"/>
      <c r="GQ71" s="83"/>
      <c r="GR71" s="83"/>
      <c r="GS71" s="83"/>
      <c r="GT71" s="83"/>
      <c r="GU71" s="83"/>
      <c r="GV71" s="83"/>
      <c r="GW71" s="83"/>
      <c r="GX71" s="83"/>
      <c r="GY71" s="83"/>
      <c r="GZ71" s="83"/>
      <c r="HA71" s="83"/>
      <c r="HB71" s="83"/>
      <c r="HC71" s="83"/>
      <c r="HD71" s="83"/>
      <c r="HE71" s="83"/>
      <c r="HF71" s="83"/>
      <c r="HG71" s="83"/>
      <c r="HH71" s="83"/>
      <c r="HI71" s="83"/>
      <c r="HJ71" s="83"/>
      <c r="HK71" s="83"/>
      <c r="HL71" s="83"/>
      <c r="HM71" s="83"/>
      <c r="HN71" s="83"/>
      <c r="HO71" s="83"/>
      <c r="HP71" s="83"/>
      <c r="HQ71" s="83"/>
      <c r="HR71" s="83"/>
      <c r="HS71" s="83"/>
      <c r="HT71" s="83"/>
      <c r="HU71" s="83"/>
      <c r="HV71" s="83"/>
      <c r="HW71" s="83"/>
      <c r="HX71" s="83"/>
      <c r="HY71" s="105"/>
      <c r="HZ71" s="83"/>
      <c r="IA71" s="83"/>
      <c r="IB71" s="83"/>
      <c r="IC71" s="83"/>
      <c r="ID71" s="83"/>
      <c r="IE71" s="83"/>
      <c r="IF71" s="83"/>
      <c r="IG71" s="83"/>
      <c r="IH71" s="83"/>
      <c r="II71" s="83"/>
      <c r="IJ71" s="83"/>
      <c r="IK71" s="83"/>
      <c r="IL71" s="83"/>
      <c r="IM71" s="83"/>
      <c r="IN71" s="83"/>
      <c r="IO71" s="83"/>
      <c r="IP71" s="83"/>
      <c r="IQ71" s="83"/>
      <c r="IR71" s="83"/>
      <c r="IS71" s="83"/>
      <c r="IT71" s="83"/>
      <c r="IU71" s="83"/>
      <c r="IV71" s="83"/>
      <c r="IW71" s="83"/>
      <c r="IX71" s="83"/>
      <c r="IY71" s="83"/>
      <c r="IZ71" s="83"/>
      <c r="JA71" s="83"/>
      <c r="JB71" s="83"/>
      <c r="JC71" s="83"/>
      <c r="JD71" s="83"/>
      <c r="JE71" s="83"/>
      <c r="JF71" s="83"/>
      <c r="JG71" s="83"/>
      <c r="JH71" s="83"/>
      <c r="JI71" s="83"/>
      <c r="JJ71" s="83"/>
      <c r="JK71" s="83"/>
      <c r="JP71" s="124">
        <f>SUM(JQ70:KB70)</f>
        <v>35</v>
      </c>
      <c r="KF71" s="124">
        <f>SUM(KG70:KR70)</f>
        <v>1471</v>
      </c>
      <c r="NZ71" t="s">
        <v>593</v>
      </c>
      <c r="OA71" t="s">
        <v>594</v>
      </c>
      <c r="OB71" t="s">
        <v>595</v>
      </c>
    </row>
    <row r="72" spans="1:433" ht="16" x14ac:dyDescent="0.2">
      <c r="D72" s="29"/>
      <c r="E72" s="29"/>
      <c r="F72" s="29"/>
      <c r="G72" s="29"/>
      <c r="H72" s="29"/>
      <c r="I72" s="29"/>
      <c r="J72" s="29"/>
      <c r="K72" s="29"/>
      <c r="L72" s="29"/>
      <c r="M72" s="29"/>
      <c r="R72" s="29"/>
      <c r="S72" s="29"/>
      <c r="T72" s="29"/>
      <c r="U72" s="29"/>
      <c r="V72" s="29"/>
      <c r="W72" s="29"/>
      <c r="X72" s="29"/>
      <c r="Y72" t="s">
        <v>18</v>
      </c>
      <c r="Z72" t="s">
        <v>294</v>
      </c>
      <c r="AG72" s="29">
        <f>COUNTIF(AG9:AG69,"A")</f>
        <v>0</v>
      </c>
      <c r="BW72" t="s">
        <v>344</v>
      </c>
      <c r="CC72" s="29">
        <f>COUNTIF(CC9:CC69,"A")</f>
        <v>0</v>
      </c>
      <c r="GO72" s="106">
        <f>GO70</f>
        <v>0</v>
      </c>
      <c r="GP72" s="106">
        <f>GP70-GO70</f>
        <v>0</v>
      </c>
      <c r="GQ72" s="106">
        <f>GQ70-GP70</f>
        <v>0</v>
      </c>
      <c r="GR72" s="106">
        <f>GR70-GQ70</f>
        <v>11</v>
      </c>
      <c r="GS72" s="106">
        <f>GS70-GR70</f>
        <v>4</v>
      </c>
      <c r="GT72" s="106">
        <f>GT70</f>
        <v>42</v>
      </c>
      <c r="GU72" s="83"/>
      <c r="GV72" s="83"/>
      <c r="GW72" s="83"/>
      <c r="GX72" s="83"/>
      <c r="GY72" s="107" t="s">
        <v>464</v>
      </c>
      <c r="GZ72" s="105">
        <f>MAX(GZ9:GZ69)</f>
        <v>43267</v>
      </c>
      <c r="HA72" s="83"/>
      <c r="HB72" s="83"/>
      <c r="HC72" s="83"/>
      <c r="HD72" s="83"/>
      <c r="HE72" s="83"/>
      <c r="HF72" s="83"/>
      <c r="HG72" s="83"/>
      <c r="HH72" s="105">
        <f>MAX(HH9:HH69)</f>
        <v>43288</v>
      </c>
      <c r="HI72" s="83"/>
      <c r="HJ72" s="83"/>
      <c r="HK72" s="83"/>
      <c r="HL72" s="83"/>
      <c r="HM72" s="83"/>
      <c r="HN72" s="83"/>
      <c r="HO72" s="83"/>
      <c r="HP72" s="102">
        <f>+$GU$3+$GY$8</f>
        <v>43257</v>
      </c>
      <c r="HQ72" s="106">
        <f>HQ70</f>
        <v>0</v>
      </c>
      <c r="HR72" s="106">
        <f>HR70</f>
        <v>0</v>
      </c>
      <c r="HS72" s="102">
        <f>+$GU$3+$HH$8</f>
        <v>43288</v>
      </c>
      <c r="HT72" s="106">
        <f>HT70</f>
        <v>4</v>
      </c>
      <c r="HU72" s="106">
        <f>HU70</f>
        <v>228</v>
      </c>
      <c r="HV72" s="102">
        <f>+$GU$3+SUM($GY$7:$GY$8)</f>
        <v>43267</v>
      </c>
      <c r="HW72" s="106">
        <f>HW70</f>
        <v>0</v>
      </c>
      <c r="HX72" s="106">
        <f>HX70</f>
        <v>0</v>
      </c>
      <c r="HY72" s="102">
        <f>+$GU$3+SUM($GY$7:$GY$8)+$HI$8</f>
        <v>43312</v>
      </c>
      <c r="HZ72" s="106">
        <f>HZ70</f>
        <v>0</v>
      </c>
      <c r="IA72" s="106">
        <f>IA70</f>
        <v>0</v>
      </c>
      <c r="IB72" s="102">
        <f>+$GU$3+SUM($GY$6:$GY$8)</f>
        <v>43277</v>
      </c>
      <c r="IC72" s="106">
        <f>IC70</f>
        <v>0</v>
      </c>
      <c r="ID72" s="106">
        <f>ID70</f>
        <v>0</v>
      </c>
      <c r="IE72" s="102">
        <f>+$GU$3+SUM($GY$6:$GY$8)+$HI$8</f>
        <v>43322</v>
      </c>
      <c r="IF72" s="106">
        <f>IF70</f>
        <v>0</v>
      </c>
      <c r="IG72" s="106">
        <f>IG70</f>
        <v>0</v>
      </c>
      <c r="IH72" s="102">
        <f>+$GU$3+SUM($GY$5:$GY$8)</f>
        <v>43297</v>
      </c>
      <c r="II72" s="106">
        <f>II70</f>
        <v>0</v>
      </c>
      <c r="IJ72" s="106">
        <f>IJ70</f>
        <v>0</v>
      </c>
      <c r="IK72" s="102">
        <f>+$GU$3+SUM($GY$5:$GY$8)+$HI$8</f>
        <v>43342</v>
      </c>
      <c r="IL72" s="106">
        <f>IL70</f>
        <v>0</v>
      </c>
      <c r="IM72" s="106">
        <f>IM70</f>
        <v>0</v>
      </c>
      <c r="IN72" s="83"/>
      <c r="IO72" s="102">
        <f>+$GU$3+$HH$8</f>
        <v>43288</v>
      </c>
      <c r="IP72" s="106">
        <f>IP70</f>
        <v>0</v>
      </c>
      <c r="IQ72" s="106">
        <f>IQ70</f>
        <v>0</v>
      </c>
      <c r="IR72" s="83"/>
      <c r="IS72" s="102"/>
      <c r="IT72" s="106">
        <f>IT70</f>
        <v>42</v>
      </c>
      <c r="IU72" s="106">
        <f>IU70</f>
        <v>3618</v>
      </c>
      <c r="IV72" s="83"/>
      <c r="IW72" s="102"/>
      <c r="IX72" s="106">
        <f>IX70</f>
        <v>4</v>
      </c>
      <c r="IY72" s="106">
        <f>IY70</f>
        <v>228</v>
      </c>
      <c r="IZ72" s="83"/>
      <c r="JA72" s="102"/>
      <c r="JB72" s="106">
        <f>JB70</f>
        <v>11</v>
      </c>
      <c r="JC72" s="106">
        <f>JC70</f>
        <v>2947</v>
      </c>
      <c r="JD72" s="83"/>
      <c r="JE72" s="102"/>
      <c r="JF72" s="106">
        <f>JF70</f>
        <v>61</v>
      </c>
      <c r="JG72" s="106">
        <f>JG70</f>
        <v>7021</v>
      </c>
      <c r="JH72" s="83"/>
      <c r="JI72" s="102"/>
      <c r="JJ72" s="66">
        <f>JJ70</f>
        <v>4</v>
      </c>
      <c r="JK72" s="66">
        <f>JK70</f>
        <v>228</v>
      </c>
    </row>
    <row r="73" spans="1:433" x14ac:dyDescent="0.2">
      <c r="F73" s="29"/>
      <c r="G73" s="29"/>
      <c r="Y73" t="s">
        <v>18</v>
      </c>
      <c r="Z73" t="s">
        <v>295</v>
      </c>
      <c r="AG73" s="29">
        <f>COUNTIF(AG9:AG69,"b")</f>
        <v>0</v>
      </c>
      <c r="BW73" t="s">
        <v>345</v>
      </c>
      <c r="CC73" s="29">
        <f>COUNTIF(CC9:CC69,"b")</f>
        <v>0</v>
      </c>
      <c r="GO73" s="83"/>
      <c r="GP73" s="83"/>
      <c r="GQ73" s="83"/>
      <c r="GR73" s="83"/>
      <c r="GS73" s="83"/>
      <c r="GT73" s="106">
        <f>SUM(GO72:GT72)</f>
        <v>57</v>
      </c>
      <c r="GU73" s="83"/>
      <c r="GV73" s="83"/>
      <c r="GW73" s="83"/>
      <c r="GX73" s="83"/>
      <c r="GY73" s="107" t="s">
        <v>465</v>
      </c>
      <c r="GZ73" s="105">
        <f>MIN(GZ9:GZ69)</f>
        <v>43257</v>
      </c>
      <c r="HA73" s="83"/>
      <c r="HB73" s="83"/>
      <c r="HC73" s="83"/>
      <c r="HD73" s="83"/>
      <c r="HE73" s="83"/>
      <c r="HF73" s="83"/>
      <c r="HG73" s="83"/>
      <c r="HH73" s="105">
        <f>MIN(HH9:HH69)</f>
        <v>43288</v>
      </c>
      <c r="HI73" s="83"/>
      <c r="HJ73" s="83"/>
      <c r="HK73" s="83"/>
      <c r="HL73" s="83"/>
      <c r="HM73" s="83"/>
      <c r="HN73" s="83"/>
      <c r="HO73" s="83"/>
      <c r="HP73" s="83"/>
      <c r="HQ73" s="83"/>
      <c r="HR73" s="83"/>
      <c r="HS73" s="83"/>
      <c r="HT73" s="83"/>
      <c r="HU73" s="83"/>
      <c r="HV73" s="83"/>
      <c r="HW73" s="83"/>
      <c r="HX73" s="83"/>
      <c r="HY73" s="83"/>
      <c r="HZ73" s="83"/>
      <c r="IA73" s="83"/>
      <c r="IB73" s="83"/>
      <c r="IC73" s="83"/>
      <c r="ID73" s="83"/>
      <c r="IE73" s="83"/>
      <c r="IF73" s="83"/>
      <c r="IG73" s="83"/>
      <c r="IH73" s="83"/>
      <c r="II73" s="83"/>
      <c r="IJ73" s="83"/>
      <c r="IK73" s="83"/>
      <c r="IL73" s="83"/>
      <c r="IM73" s="83"/>
      <c r="IN73" s="83"/>
      <c r="IO73" s="83"/>
      <c r="IP73" s="83"/>
      <c r="IQ73" s="83"/>
      <c r="IR73" s="83"/>
      <c r="IS73" s="83"/>
      <c r="IT73" s="83"/>
      <c r="IU73" s="83"/>
      <c r="IV73" s="83"/>
      <c r="IW73" s="83"/>
      <c r="IX73" s="83"/>
      <c r="IY73" s="83"/>
      <c r="IZ73" s="83"/>
      <c r="JA73" s="83"/>
      <c r="JB73" s="83"/>
      <c r="JC73" s="83"/>
      <c r="JD73" s="83"/>
      <c r="JE73" s="83"/>
      <c r="JF73" s="83"/>
      <c r="JG73" s="83"/>
      <c r="JH73" s="83"/>
      <c r="JI73" s="83"/>
      <c r="JJ73" s="83"/>
      <c r="JK73" s="83"/>
    </row>
    <row r="74" spans="1:433" x14ac:dyDescent="0.2">
      <c r="Y74" t="s">
        <v>18</v>
      </c>
      <c r="Z74" t="s">
        <v>296</v>
      </c>
      <c r="AG74" s="29">
        <f>COUNTIF(AG9:AG69,"c")</f>
        <v>4</v>
      </c>
      <c r="BW74" t="s">
        <v>346</v>
      </c>
      <c r="CC74" s="29">
        <f>COUNTIF(CC9:CC69,"c")</f>
        <v>0</v>
      </c>
      <c r="GO74" s="83"/>
      <c r="GP74" s="83"/>
      <c r="GQ74" s="83"/>
      <c r="GR74" s="83"/>
      <c r="GS74" s="83"/>
      <c r="GT74" s="83"/>
      <c r="GU74" s="83"/>
      <c r="GV74" s="83"/>
      <c r="GW74" s="83"/>
      <c r="GX74" s="83"/>
      <c r="GY74" s="83"/>
      <c r="GZ74" s="83"/>
      <c r="HA74" s="83"/>
      <c r="HB74" s="83"/>
      <c r="HC74" s="83"/>
      <c r="HD74" s="83"/>
      <c r="HE74" s="83"/>
      <c r="HF74" s="83"/>
      <c r="HG74" s="83"/>
      <c r="HH74" s="83"/>
      <c r="HI74" s="83"/>
      <c r="HJ74" s="83"/>
      <c r="HK74" s="83"/>
      <c r="HL74" s="83"/>
      <c r="HM74" s="83"/>
      <c r="HN74" s="83"/>
      <c r="HO74" s="83"/>
      <c r="HP74" s="83"/>
      <c r="HQ74" s="83"/>
      <c r="HR74" s="83"/>
      <c r="HS74" s="83"/>
      <c r="HT74" s="83"/>
      <c r="HU74" s="83"/>
      <c r="HV74" s="83"/>
      <c r="HW74" s="83"/>
      <c r="HX74" s="83"/>
      <c r="HY74" s="83"/>
      <c r="HZ74" s="83"/>
      <c r="IA74" s="83"/>
      <c r="IB74" s="83"/>
      <c r="IC74" s="83"/>
      <c r="ID74" s="83"/>
      <c r="IE74" s="83"/>
      <c r="IF74" s="83"/>
      <c r="IG74" s="83"/>
      <c r="IH74" s="83"/>
      <c r="II74" s="83"/>
      <c r="IJ74" s="83"/>
      <c r="IK74" s="83"/>
      <c r="IL74" s="83"/>
      <c r="IM74" s="83"/>
      <c r="IN74" s="83"/>
      <c r="IO74" s="83"/>
      <c r="IP74" s="83"/>
      <c r="IQ74" s="83"/>
      <c r="IR74" s="83"/>
      <c r="IS74" s="83"/>
      <c r="IT74" s="83"/>
      <c r="IU74" s="83"/>
      <c r="IV74" s="83"/>
      <c r="IW74" s="83"/>
      <c r="IX74" s="83"/>
      <c r="IY74" s="83"/>
      <c r="IZ74" s="83"/>
      <c r="JA74" s="83"/>
      <c r="JB74" s="83"/>
      <c r="JC74" s="83"/>
      <c r="JD74" s="83"/>
      <c r="JE74" s="83"/>
      <c r="JF74" s="83"/>
      <c r="JG74" s="83"/>
      <c r="JH74" s="83"/>
      <c r="JI74" s="83"/>
      <c r="JJ74" s="83"/>
      <c r="JK74" s="83"/>
    </row>
    <row r="75" spans="1:433" x14ac:dyDescent="0.2">
      <c r="Y75" t="s">
        <v>18</v>
      </c>
      <c r="Z75" t="s">
        <v>297</v>
      </c>
      <c r="AG75" s="29">
        <f>COUNTIF(AG9:AG69,"D")</f>
        <v>0</v>
      </c>
      <c r="BW75" t="s">
        <v>347</v>
      </c>
      <c r="CC75" s="29">
        <f>COUNTIF(CC9:CC69,"D")</f>
        <v>0</v>
      </c>
      <c r="GO75" s="83"/>
      <c r="GP75" s="83"/>
      <c r="GQ75" s="83"/>
      <c r="GR75" s="83"/>
      <c r="GS75" s="83"/>
      <c r="GT75" s="83"/>
      <c r="GU75" s="83"/>
      <c r="GV75" s="83"/>
      <c r="GW75" s="83"/>
      <c r="GX75" s="107" t="s">
        <v>434</v>
      </c>
      <c r="GY75" s="105">
        <f>$GU$3+SUM($GY$4:$GY$8)</f>
        <v>43317</v>
      </c>
      <c r="GZ75" s="83">
        <f t="shared" ref="GZ75:GZ80" si="608">COUNTIF($GZ$9:$GZ$69,GY75)</f>
        <v>0</v>
      </c>
      <c r="HA75" s="83"/>
      <c r="HB75" s="83"/>
      <c r="HC75" s="83"/>
      <c r="HD75" s="83"/>
      <c r="HE75" s="83"/>
      <c r="HF75" s="107"/>
      <c r="HG75" s="105"/>
      <c r="HH75" s="83"/>
      <c r="HI75" s="83">
        <f t="shared" ref="HI75:HI80" si="609">COUNTIF($HI$9:$HI$69,HK75)</f>
        <v>0</v>
      </c>
      <c r="HJ75" s="83"/>
      <c r="HK75" s="105">
        <f>GY75+$HI$8</f>
        <v>43362</v>
      </c>
      <c r="HL75" s="83"/>
      <c r="HM75" s="83"/>
      <c r="HN75" s="83"/>
      <c r="HO75" s="83"/>
      <c r="HP75" s="83"/>
      <c r="HQ75" s="83"/>
      <c r="HR75" s="83"/>
      <c r="HS75" s="83"/>
      <c r="HT75" s="83"/>
      <c r="HU75" s="83"/>
      <c r="HV75" s="83"/>
      <c r="HW75" s="83"/>
      <c r="HX75" s="83"/>
      <c r="HY75" s="83"/>
      <c r="HZ75" s="83"/>
      <c r="IA75" s="83"/>
      <c r="IB75" s="83"/>
      <c r="IC75" s="83"/>
      <c r="ID75" s="83"/>
      <c r="IE75" s="83"/>
      <c r="IF75" s="83"/>
      <c r="IG75" s="83"/>
      <c r="IH75" s="83"/>
      <c r="II75" s="83"/>
      <c r="IJ75" s="83"/>
      <c r="IK75" s="83"/>
      <c r="IL75" s="83"/>
      <c r="IM75" s="83"/>
      <c r="IN75" s="83"/>
      <c r="IO75" s="83"/>
      <c r="IP75" s="83"/>
      <c r="IQ75" s="83"/>
      <c r="IR75" s="83"/>
      <c r="IS75" s="83"/>
      <c r="IT75" s="83"/>
      <c r="IU75" s="83"/>
      <c r="IV75" s="83"/>
      <c r="IW75" s="83"/>
      <c r="IX75" s="83"/>
      <c r="IY75" s="83"/>
      <c r="IZ75" s="83"/>
      <c r="JA75" s="83"/>
      <c r="JB75" s="83"/>
      <c r="JC75" s="83"/>
      <c r="JD75" s="83"/>
      <c r="JE75" s="83"/>
      <c r="JF75" s="83"/>
      <c r="JG75" s="83"/>
      <c r="JH75" s="83"/>
      <c r="JI75" s="83"/>
      <c r="JJ75" s="83"/>
      <c r="JK75" s="83"/>
    </row>
    <row r="76" spans="1:433" x14ac:dyDescent="0.2">
      <c r="AG76" s="29"/>
      <c r="BW76" t="s">
        <v>348</v>
      </c>
      <c r="CC76" s="29">
        <f>COUNTIF(CC9:CC69,"E")</f>
        <v>0</v>
      </c>
      <c r="GO76" s="83"/>
      <c r="GP76" s="83"/>
      <c r="GQ76" s="83"/>
      <c r="GR76" s="83"/>
      <c r="GS76" s="83"/>
      <c r="GT76" s="83"/>
      <c r="GU76" s="83"/>
      <c r="GV76" s="83"/>
      <c r="GW76" s="83"/>
      <c r="GX76" s="83" t="s">
        <v>440</v>
      </c>
      <c r="GY76" s="105">
        <f>+$GU$3+SUM($GY$5:$GY$8)</f>
        <v>43297</v>
      </c>
      <c r="GZ76" s="83">
        <f t="shared" si="608"/>
        <v>0</v>
      </c>
      <c r="HA76" s="83"/>
      <c r="HB76" s="83"/>
      <c r="HC76" s="83"/>
      <c r="HD76" s="83"/>
      <c r="HE76" s="83"/>
      <c r="HF76" s="83"/>
      <c r="HG76" s="105"/>
      <c r="HH76" s="83"/>
      <c r="HI76" s="83">
        <f t="shared" si="609"/>
        <v>0</v>
      </c>
      <c r="HJ76" s="83"/>
      <c r="HK76" s="105">
        <f t="shared" ref="HK76:HK79" si="610">GY76+$HI$8</f>
        <v>43342</v>
      </c>
      <c r="HL76" s="83"/>
      <c r="HM76" s="83"/>
      <c r="HN76" s="83"/>
      <c r="HO76" s="83"/>
      <c r="HP76" s="83"/>
      <c r="HQ76" s="83"/>
      <c r="HR76" s="83"/>
      <c r="HS76" s="83"/>
      <c r="HT76" s="83"/>
      <c r="HU76" s="83"/>
      <c r="HV76" s="83"/>
      <c r="HW76" s="83"/>
      <c r="HX76" s="83"/>
      <c r="HY76" s="83"/>
      <c r="HZ76" s="83"/>
      <c r="IA76" s="83"/>
      <c r="IB76" s="83"/>
      <c r="IC76" s="83"/>
      <c r="ID76" s="83"/>
      <c r="IE76" s="83"/>
      <c r="IF76" s="83"/>
      <c r="IG76" s="83"/>
      <c r="IH76" s="83"/>
      <c r="II76" s="83"/>
      <c r="IJ76" s="83"/>
      <c r="IK76" s="83"/>
      <c r="IL76" s="83"/>
      <c r="IM76" s="83"/>
      <c r="IN76" s="83"/>
      <c r="IO76" s="83"/>
      <c r="IP76" s="83"/>
      <c r="IQ76" s="83"/>
      <c r="IR76" s="83"/>
      <c r="IS76" s="83"/>
      <c r="IT76" s="83"/>
      <c r="IU76" s="83"/>
      <c r="IV76" s="83"/>
      <c r="IW76" s="83"/>
      <c r="IX76" s="83"/>
      <c r="IY76" s="83"/>
      <c r="IZ76" s="83"/>
      <c r="JA76" s="83"/>
      <c r="JB76" s="83"/>
      <c r="JC76" s="83"/>
      <c r="JD76" s="83"/>
      <c r="JE76" s="83"/>
      <c r="JF76" s="83"/>
      <c r="JG76" s="83"/>
      <c r="JH76" s="83"/>
      <c r="JI76" s="83"/>
      <c r="JJ76" s="83"/>
      <c r="JK76" s="83"/>
    </row>
    <row r="77" spans="1:433" x14ac:dyDescent="0.2">
      <c r="Y77" t="s">
        <v>18</v>
      </c>
      <c r="Z77" t="s">
        <v>299</v>
      </c>
      <c r="AG77" s="29">
        <f>SUM(AG72:AG76)</f>
        <v>4</v>
      </c>
      <c r="BW77" t="s">
        <v>299</v>
      </c>
      <c r="CC77" s="29">
        <f>SUM(CC72:CC76)</f>
        <v>0</v>
      </c>
      <c r="GO77" s="83"/>
      <c r="GP77" s="83"/>
      <c r="GQ77" s="83"/>
      <c r="GR77" s="83"/>
      <c r="GS77" s="83"/>
      <c r="GT77" s="83"/>
      <c r="GU77" s="83"/>
      <c r="GV77" s="83"/>
      <c r="GW77" s="83"/>
      <c r="GX77" s="83" t="s">
        <v>7</v>
      </c>
      <c r="GY77" s="105">
        <f>$GU$3+SUM($GY$6:$GY$8)</f>
        <v>43277</v>
      </c>
      <c r="GZ77" s="83">
        <f t="shared" si="608"/>
        <v>0</v>
      </c>
      <c r="HA77" s="83"/>
      <c r="HB77" s="83"/>
      <c r="HC77" s="83"/>
      <c r="HD77" s="83"/>
      <c r="HE77" s="83"/>
      <c r="HF77" s="83"/>
      <c r="HG77" s="105"/>
      <c r="HH77" s="83"/>
      <c r="HI77" s="83">
        <f t="shared" si="609"/>
        <v>0</v>
      </c>
      <c r="HJ77" s="83"/>
      <c r="HK77" s="105">
        <f t="shared" si="610"/>
        <v>43322</v>
      </c>
      <c r="HL77" s="83"/>
      <c r="HM77" s="83"/>
      <c r="HN77" s="83"/>
      <c r="HO77" s="83"/>
      <c r="HP77" s="83"/>
      <c r="HQ77" s="83"/>
      <c r="HR77" s="83"/>
      <c r="HS77" s="83"/>
      <c r="HT77" s="83"/>
      <c r="HU77" s="83"/>
      <c r="HV77" s="83"/>
      <c r="HW77" s="83"/>
      <c r="HX77" s="83"/>
      <c r="HY77" s="83"/>
      <c r="HZ77" s="83"/>
      <c r="IA77" s="83"/>
      <c r="IB77" s="83"/>
      <c r="IC77" s="83"/>
      <c r="ID77" s="83"/>
      <c r="IE77" s="83"/>
      <c r="IF77" s="83"/>
      <c r="IG77" s="83"/>
      <c r="IH77" s="83"/>
      <c r="II77" s="83"/>
      <c r="IJ77" s="83"/>
      <c r="IK77" s="83"/>
      <c r="IL77" s="83"/>
      <c r="IM77" s="83"/>
      <c r="IN77" s="83"/>
      <c r="IO77" s="83"/>
      <c r="IP77" s="83"/>
      <c r="IQ77" s="83"/>
      <c r="IR77" s="83"/>
      <c r="IS77" s="83"/>
      <c r="IT77" s="83"/>
      <c r="IU77" s="83"/>
      <c r="IV77" s="83"/>
      <c r="IW77" s="83"/>
      <c r="IX77" s="83"/>
      <c r="IY77" s="83"/>
      <c r="IZ77" s="83"/>
      <c r="JA77" s="83"/>
      <c r="JB77" s="83"/>
      <c r="JC77" s="83"/>
      <c r="JD77" s="83"/>
      <c r="JE77" s="83"/>
      <c r="JF77" s="83"/>
      <c r="JG77" s="83"/>
      <c r="JH77" s="83"/>
      <c r="JI77" s="83"/>
      <c r="JJ77" s="83"/>
      <c r="JK77" s="83"/>
    </row>
    <row r="78" spans="1:433" x14ac:dyDescent="0.2">
      <c r="GO78" s="83"/>
      <c r="GP78" s="83"/>
      <c r="GQ78" s="83"/>
      <c r="GR78" s="83"/>
      <c r="GS78" s="83"/>
      <c r="GT78" s="83"/>
      <c r="GU78" s="83"/>
      <c r="GV78" s="83"/>
      <c r="GW78" s="83"/>
      <c r="GX78" s="83" t="s">
        <v>265</v>
      </c>
      <c r="GY78" s="105">
        <f>$GU$3+SUM($GY$7:$GY$8)</f>
        <v>43267</v>
      </c>
      <c r="GZ78" s="83">
        <f t="shared" si="608"/>
        <v>11</v>
      </c>
      <c r="HA78" s="83"/>
      <c r="HB78" s="83"/>
      <c r="HC78" s="83"/>
      <c r="HD78" s="83"/>
      <c r="HE78" s="83"/>
      <c r="HF78" s="83"/>
      <c r="HG78" s="105"/>
      <c r="HH78" s="83"/>
      <c r="HI78" s="83">
        <f t="shared" si="609"/>
        <v>11</v>
      </c>
      <c r="HJ78" s="83"/>
      <c r="HK78" s="105">
        <f t="shared" si="610"/>
        <v>43312</v>
      </c>
      <c r="HL78" s="83"/>
      <c r="HM78" s="83"/>
      <c r="HN78" s="83"/>
      <c r="HO78" s="83"/>
      <c r="HP78" s="83"/>
      <c r="HQ78" s="83"/>
      <c r="HR78" s="83"/>
      <c r="HS78" s="83"/>
      <c r="HT78" s="83"/>
      <c r="HU78" s="83"/>
      <c r="HV78" s="83"/>
      <c r="HW78" s="83"/>
      <c r="HX78" s="83"/>
      <c r="HY78" s="83"/>
      <c r="HZ78" s="83"/>
      <c r="IA78" s="83"/>
      <c r="IB78" s="83"/>
      <c r="IC78" s="83"/>
      <c r="ID78" s="83"/>
      <c r="IE78" s="83"/>
      <c r="IF78" s="83"/>
      <c r="IG78" s="83"/>
      <c r="IH78" s="83"/>
      <c r="II78" s="83"/>
      <c r="IJ78" s="83"/>
      <c r="IK78" s="83"/>
      <c r="IL78" s="83"/>
      <c r="IM78" s="83"/>
      <c r="IN78" s="83"/>
      <c r="IO78" s="83"/>
      <c r="IP78" s="83"/>
      <c r="IQ78" s="83"/>
      <c r="IR78" s="83"/>
      <c r="IS78" s="83"/>
      <c r="IT78" s="83"/>
      <c r="IU78" s="83"/>
      <c r="IV78" s="83"/>
      <c r="IW78" s="83"/>
      <c r="IX78" s="83"/>
      <c r="IY78" s="83"/>
      <c r="IZ78" s="83"/>
      <c r="JA78" s="83"/>
      <c r="JB78" s="83"/>
      <c r="JC78" s="83"/>
      <c r="JD78" s="83"/>
      <c r="JE78" s="83"/>
      <c r="JF78" s="83"/>
      <c r="JG78" s="83"/>
      <c r="JH78" s="83"/>
      <c r="JI78" s="83"/>
      <c r="JJ78" s="83"/>
      <c r="JK78" s="83"/>
    </row>
    <row r="79" spans="1:433" x14ac:dyDescent="0.2">
      <c r="GO79" s="83"/>
      <c r="GP79" s="83"/>
      <c r="GQ79" s="83"/>
      <c r="GR79" s="83"/>
      <c r="GS79" s="83"/>
      <c r="GT79" s="83"/>
      <c r="GU79" s="83"/>
      <c r="GV79" s="83"/>
      <c r="GW79" s="83"/>
      <c r="GX79" s="83" t="s">
        <v>447</v>
      </c>
      <c r="GY79" s="105">
        <f>$GU$3+$GY$8</f>
        <v>43257</v>
      </c>
      <c r="GZ79" s="83">
        <f t="shared" si="608"/>
        <v>4</v>
      </c>
      <c r="HA79" s="83"/>
      <c r="HB79" s="83"/>
      <c r="HC79" s="83"/>
      <c r="HD79" s="105">
        <f>$GU$3+$HH$8</f>
        <v>43288</v>
      </c>
      <c r="HE79" s="83"/>
      <c r="HF79" s="83"/>
      <c r="HG79" s="83"/>
      <c r="HH79" s="83">
        <f>COUNTIF($HH$9:$HH$69,HD79)</f>
        <v>4</v>
      </c>
      <c r="HI79" s="83">
        <f t="shared" si="609"/>
        <v>4</v>
      </c>
      <c r="HJ79" s="83"/>
      <c r="HK79" s="105">
        <f t="shared" si="610"/>
        <v>43302</v>
      </c>
      <c r="HL79" s="83"/>
      <c r="HM79" s="83"/>
      <c r="HN79" s="83"/>
      <c r="HO79" s="83"/>
      <c r="HP79" s="83"/>
      <c r="HQ79" s="83"/>
      <c r="HR79" s="83"/>
      <c r="HS79" s="83"/>
      <c r="HT79" s="83"/>
      <c r="HU79" s="83"/>
      <c r="HV79" s="83"/>
      <c r="HW79" s="83"/>
      <c r="HX79" s="83"/>
      <c r="HY79" s="83"/>
      <c r="HZ79" s="83"/>
      <c r="IA79" s="83"/>
      <c r="IB79" s="83"/>
      <c r="IC79" s="83"/>
      <c r="ID79" s="83"/>
      <c r="IE79" s="83"/>
      <c r="IF79" s="83"/>
      <c r="IG79" s="83"/>
      <c r="IH79" s="83"/>
      <c r="II79" s="83"/>
      <c r="IJ79" s="83"/>
      <c r="IK79" s="83"/>
      <c r="IL79" s="83"/>
      <c r="IM79" s="83"/>
      <c r="IN79" s="83"/>
      <c r="IO79" s="83"/>
      <c r="IP79" s="83"/>
      <c r="IQ79" s="83"/>
      <c r="IR79" s="83"/>
      <c r="IS79" s="83"/>
      <c r="IT79" s="83"/>
      <c r="IU79" s="83"/>
      <c r="IV79" s="83"/>
      <c r="IW79" s="83"/>
      <c r="IX79" s="83"/>
      <c r="IY79" s="83"/>
      <c r="IZ79" s="83"/>
      <c r="JA79" s="83"/>
      <c r="JB79" s="83"/>
      <c r="JC79" s="83"/>
      <c r="JD79" s="83"/>
      <c r="JE79" s="83"/>
      <c r="JF79" s="83"/>
      <c r="JG79" s="83"/>
      <c r="JH79" s="83"/>
      <c r="JI79" s="83"/>
      <c r="JJ79" s="83"/>
      <c r="JK79" s="83"/>
    </row>
    <row r="80" spans="1:433" x14ac:dyDescent="0.2">
      <c r="GO80" s="83"/>
      <c r="GP80" s="83"/>
      <c r="GQ80" s="83"/>
      <c r="GR80" s="83"/>
      <c r="GS80" s="83"/>
      <c r="GT80" s="83"/>
      <c r="GU80" s="83"/>
      <c r="GV80" s="83"/>
      <c r="GW80" s="83"/>
      <c r="GX80" s="107" t="s">
        <v>448</v>
      </c>
      <c r="GY80" s="107" t="s">
        <v>448</v>
      </c>
      <c r="GZ80" s="83">
        <f t="shared" si="608"/>
        <v>42</v>
      </c>
      <c r="HA80" s="83"/>
      <c r="HB80" s="83"/>
      <c r="HC80" s="83"/>
      <c r="HD80" s="107" t="s">
        <v>466</v>
      </c>
      <c r="HE80" s="83"/>
      <c r="HF80" s="83"/>
      <c r="HG80" s="83"/>
      <c r="HH80" s="83">
        <f>COUNTIF($HH$9:$HH$69,HD80)</f>
        <v>53</v>
      </c>
      <c r="HI80" s="83">
        <f t="shared" si="609"/>
        <v>42</v>
      </c>
      <c r="HJ80" s="83"/>
      <c r="HK80" s="108" t="s">
        <v>448</v>
      </c>
      <c r="HL80" s="83"/>
      <c r="HM80" s="83"/>
      <c r="HN80" s="83"/>
      <c r="HO80" s="83"/>
      <c r="HP80" s="83"/>
      <c r="HQ80" s="83"/>
      <c r="HR80" s="83"/>
      <c r="HS80" s="83"/>
      <c r="HT80" s="83"/>
      <c r="HU80" s="83"/>
      <c r="HV80" s="83"/>
      <c r="HW80" s="83"/>
      <c r="HX80" s="83"/>
      <c r="HY80" s="83"/>
      <c r="HZ80" s="83"/>
      <c r="IA80" s="83"/>
      <c r="IB80" s="83"/>
      <c r="IC80" s="83"/>
      <c r="ID80" s="83"/>
      <c r="IE80" s="83"/>
      <c r="IF80" s="83"/>
      <c r="IG80" s="83"/>
      <c r="IH80" s="83"/>
      <c r="II80" s="83"/>
      <c r="IJ80" s="83"/>
      <c r="IK80" s="83"/>
      <c r="IL80" s="83"/>
      <c r="IM80" s="83"/>
      <c r="IN80" s="83"/>
      <c r="IO80" s="83"/>
      <c r="IP80" s="83"/>
      <c r="IQ80" s="83"/>
      <c r="IR80" s="83"/>
      <c r="IS80" s="83"/>
      <c r="IT80" s="83"/>
      <c r="IU80" s="83"/>
      <c r="IV80" s="83"/>
      <c r="IW80" s="83"/>
      <c r="IX80" s="83"/>
      <c r="IY80" s="83"/>
      <c r="IZ80" s="83"/>
      <c r="JA80" s="83"/>
      <c r="JB80" s="83"/>
      <c r="JC80" s="83"/>
      <c r="JD80" s="83"/>
      <c r="JE80" s="83"/>
      <c r="JF80" s="83"/>
      <c r="JG80" s="83"/>
      <c r="JH80" s="83"/>
      <c r="JI80" s="83"/>
      <c r="JJ80" s="83"/>
      <c r="JK80" s="83"/>
    </row>
    <row r="81" spans="197:271" x14ac:dyDescent="0.2"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>
        <f>SUM(GZ75:GZ80)</f>
        <v>57</v>
      </c>
      <c r="HA81" s="83"/>
      <c r="HB81" s="83"/>
      <c r="HC81" s="83"/>
      <c r="HD81" s="83"/>
      <c r="HE81" s="83"/>
      <c r="HF81" s="83"/>
      <c r="HG81" s="83"/>
      <c r="HH81" s="83">
        <f>SUM(HH75:HH80)</f>
        <v>57</v>
      </c>
      <c r="HI81" s="83">
        <f>SUM(HI75:HI80)</f>
        <v>57</v>
      </c>
      <c r="HJ81" s="83"/>
      <c r="HK81" s="105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</row>
    <row r="111" spans="40:40" ht="16" x14ac:dyDescent="0.2">
      <c r="AN111" s="37">
        <f>SUM(AN9:AN110)</f>
        <v>22</v>
      </c>
    </row>
  </sheetData>
  <sortState xmlns:xlrd2="http://schemas.microsoft.com/office/spreadsheetml/2017/richdata2" ref="B9:AG58">
    <sortCondition ref="C9:C58"/>
  </sortState>
  <mergeCells count="322">
    <mergeCell ref="PO1:PQ1"/>
    <mergeCell ref="PO2:PO7"/>
    <mergeCell ref="PP2:PP7"/>
    <mergeCell ref="PQ2:PQ7"/>
    <mergeCell ref="KD4:KD8"/>
    <mergeCell ref="KE4:KE8"/>
    <mergeCell ref="NZ4:NZ8"/>
    <mergeCell ref="KP7:KP8"/>
    <mergeCell ref="KQ7:KQ8"/>
    <mergeCell ref="KR7:KR8"/>
    <mergeCell ref="KU5:KU7"/>
    <mergeCell ref="KV5:KV7"/>
    <mergeCell ref="KW5:KW8"/>
    <mergeCell ref="KX5:KX8"/>
    <mergeCell ref="KY5:KY8"/>
    <mergeCell ref="KZ5:LA7"/>
    <mergeCell ref="LB5:LC7"/>
    <mergeCell ref="LD5:LE7"/>
    <mergeCell ref="LF5:LL5"/>
    <mergeCell ref="LF6:LF8"/>
    <mergeCell ref="LG6:LG8"/>
    <mergeCell ref="LH6:LH8"/>
    <mergeCell ref="LI6:LI8"/>
    <mergeCell ref="LJ6:LJ8"/>
    <mergeCell ref="JX7:JX8"/>
    <mergeCell ref="JZ7:JZ8"/>
    <mergeCell ref="KA7:KA8"/>
    <mergeCell ref="KB7:KB8"/>
    <mergeCell ref="KH7:KH8"/>
    <mergeCell ref="KI7:KJ7"/>
    <mergeCell ref="KK7:KL7"/>
    <mergeCell ref="KM7:KM8"/>
    <mergeCell ref="KN7:KN8"/>
    <mergeCell ref="JQ3:KB3"/>
    <mergeCell ref="KG3:KR3"/>
    <mergeCell ref="JP4:JP8"/>
    <mergeCell ref="JQ4:JQ8"/>
    <mergeCell ref="JR4:KB4"/>
    <mergeCell ref="KF4:KF8"/>
    <mergeCell ref="KG4:KG8"/>
    <mergeCell ref="KH4:KR4"/>
    <mergeCell ref="JR5:JX5"/>
    <mergeCell ref="JY5:KB5"/>
    <mergeCell ref="KH5:KN5"/>
    <mergeCell ref="KO5:KR5"/>
    <mergeCell ref="JR6:JV6"/>
    <mergeCell ref="JW6:JX6"/>
    <mergeCell ref="JY6:JY8"/>
    <mergeCell ref="JZ6:KB6"/>
    <mergeCell ref="KH6:KL6"/>
    <mergeCell ref="KM6:KN6"/>
    <mergeCell ref="KO6:KO8"/>
    <mergeCell ref="KP6:KR6"/>
    <mergeCell ref="JR7:JR8"/>
    <mergeCell ref="JS7:JT7"/>
    <mergeCell ref="JU7:JV7"/>
    <mergeCell ref="JW7:JW8"/>
    <mergeCell ref="JE6:JG7"/>
    <mergeCell ref="JI6:JK7"/>
    <mergeCell ref="GV7:GV8"/>
    <mergeCell ref="GW7:GW8"/>
    <mergeCell ref="HV7:HX7"/>
    <mergeCell ref="HY7:IA7"/>
    <mergeCell ref="IB7:ID7"/>
    <mergeCell ref="IE7:IG7"/>
    <mergeCell ref="IH7:IJ7"/>
    <mergeCell ref="IK7:IM7"/>
    <mergeCell ref="HP6:HR7"/>
    <mergeCell ref="HS6:HU7"/>
    <mergeCell ref="HV6:IA6"/>
    <mergeCell ref="IB6:IG6"/>
    <mergeCell ref="IH6:IM6"/>
    <mergeCell ref="IO6:IQ7"/>
    <mergeCell ref="IS6:IU7"/>
    <mergeCell ref="IW6:IY7"/>
    <mergeCell ref="JA6:JC7"/>
    <mergeCell ref="D3:E3"/>
    <mergeCell ref="GX3:GY3"/>
    <mergeCell ref="GO4:GT5"/>
    <mergeCell ref="GV4:GW6"/>
    <mergeCell ref="GZ4:GZ8"/>
    <mergeCell ref="HC4:HI4"/>
    <mergeCell ref="HK4:HK8"/>
    <mergeCell ref="HC5:HC8"/>
    <mergeCell ref="HD5:HD8"/>
    <mergeCell ref="HE5:HE8"/>
    <mergeCell ref="HF5:HF8"/>
    <mergeCell ref="HG5:HG8"/>
    <mergeCell ref="HH5:HH7"/>
    <mergeCell ref="HI5:HI7"/>
    <mergeCell ref="GO6:GO8"/>
    <mergeCell ref="GP6:GP8"/>
    <mergeCell ref="GQ6:GQ8"/>
    <mergeCell ref="GR6:GR8"/>
    <mergeCell ref="GS6:GS8"/>
    <mergeCell ref="GT6:GT8"/>
    <mergeCell ref="GA4:GA8"/>
    <mergeCell ref="GB4:GB8"/>
    <mergeCell ref="GC4:GC8"/>
    <mergeCell ref="GK4:GK8"/>
    <mergeCell ref="BO3:BZ3"/>
    <mergeCell ref="CE3:CP3"/>
    <mergeCell ref="BN4:BN8"/>
    <mergeCell ref="BO4:BO8"/>
    <mergeCell ref="BP4:BZ4"/>
    <mergeCell ref="CB4:CB8"/>
    <mergeCell ref="CD4:CD8"/>
    <mergeCell ref="CE4:CE8"/>
    <mergeCell ref="CF4:CP4"/>
    <mergeCell ref="BP5:BV5"/>
    <mergeCell ref="BW5:BZ5"/>
    <mergeCell ref="CF5:CL5"/>
    <mergeCell ref="CM5:CP5"/>
    <mergeCell ref="BP6:BT6"/>
    <mergeCell ref="BU6:BV6"/>
    <mergeCell ref="CK7:CK8"/>
    <mergeCell ref="CL7:CL8"/>
    <mergeCell ref="CN7:CN8"/>
    <mergeCell ref="CO7:CO8"/>
    <mergeCell ref="CP7:CP8"/>
    <mergeCell ref="CN6:CP6"/>
    <mergeCell ref="BX7:BX8"/>
    <mergeCell ref="BY7:BY8"/>
    <mergeCell ref="BZ7:BZ8"/>
    <mergeCell ref="F5:I7"/>
    <mergeCell ref="J5:Q5"/>
    <mergeCell ref="R5:U7"/>
    <mergeCell ref="V5:Z7"/>
    <mergeCell ref="F4:AE4"/>
    <mergeCell ref="AA5:AE7"/>
    <mergeCell ref="D7:E7"/>
    <mergeCell ref="BE4:BK5"/>
    <mergeCell ref="BE6:BE8"/>
    <mergeCell ref="BF6:BF8"/>
    <mergeCell ref="BG6:BG8"/>
    <mergeCell ref="BH6:BH8"/>
    <mergeCell ref="BI6:BI8"/>
    <mergeCell ref="BJ6:BJ8"/>
    <mergeCell ref="BK6:BK8"/>
    <mergeCell ref="CF7:CF8"/>
    <mergeCell ref="CG7:CH7"/>
    <mergeCell ref="CI7:CJ7"/>
    <mergeCell ref="A4:A8"/>
    <mergeCell ref="B4:B8"/>
    <mergeCell ref="C4:C8"/>
    <mergeCell ref="D4:E6"/>
    <mergeCell ref="AN4:AN8"/>
    <mergeCell ref="AI4:AK4"/>
    <mergeCell ref="AI5:AK7"/>
    <mergeCell ref="AF6:AF8"/>
    <mergeCell ref="BB4:BB8"/>
    <mergeCell ref="AG6:AG8"/>
    <mergeCell ref="AF4:AH5"/>
    <mergeCell ref="AH6:AH8"/>
    <mergeCell ref="AL4:AM5"/>
    <mergeCell ref="AL6:AL8"/>
    <mergeCell ref="AM6:AM8"/>
    <mergeCell ref="N6:Q7"/>
    <mergeCell ref="J6:M7"/>
    <mergeCell ref="BP7:BP8"/>
    <mergeCell ref="BQ7:BR7"/>
    <mergeCell ref="BS7:BT7"/>
    <mergeCell ref="BU7:BU8"/>
    <mergeCell ref="BV7:BV8"/>
    <mergeCell ref="BX6:BZ6"/>
    <mergeCell ref="CF6:CJ6"/>
    <mergeCell ref="CK6:CL6"/>
    <mergeCell ref="CM6:CM8"/>
    <mergeCell ref="BW6:BW8"/>
    <mergeCell ref="EI2:EI7"/>
    <mergeCell ref="FL2:FL7"/>
    <mergeCell ref="FM2:FM7"/>
    <mergeCell ref="FK2:FK7"/>
    <mergeCell ref="EJ2:EJ7"/>
    <mergeCell ref="EK2:EP2"/>
    <mergeCell ref="EQ2:EQ7"/>
    <mergeCell ref="ER2:ER7"/>
    <mergeCell ref="ES2:ES7"/>
    <mergeCell ref="ET2:ET7"/>
    <mergeCell ref="EU2:EU7"/>
    <mergeCell ref="EV2:EV7"/>
    <mergeCell ref="EW2:EY2"/>
    <mergeCell ref="EZ2:EZ7"/>
    <mergeCell ref="FA2:FA7"/>
    <mergeCell ref="FB2:FB7"/>
    <mergeCell ref="FD2:FD7"/>
    <mergeCell ref="FE2:FE7"/>
    <mergeCell ref="EK3:EK7"/>
    <mergeCell ref="EL3:EL7"/>
    <mergeCell ref="EM3:EM7"/>
    <mergeCell ref="DV4:EB5"/>
    <mergeCell ref="DV6:DV8"/>
    <mergeCell ref="DW6:DW8"/>
    <mergeCell ref="DX6:DX8"/>
    <mergeCell ref="DY6:DY8"/>
    <mergeCell ref="DZ6:DZ8"/>
    <mergeCell ref="EA6:EA8"/>
    <mergeCell ref="EB6:EB8"/>
    <mergeCell ref="EH2:EH8"/>
    <mergeCell ref="EG2:EG8"/>
    <mergeCell ref="GG4:GG8"/>
    <mergeCell ref="GH4:GH8"/>
    <mergeCell ref="GJ4:GJ8"/>
    <mergeCell ref="FT2:FT7"/>
    <mergeCell ref="FU2:FU7"/>
    <mergeCell ref="FO2:FO7"/>
    <mergeCell ref="FP2:FP7"/>
    <mergeCell ref="FQ2:FQ7"/>
    <mergeCell ref="FR2:FR7"/>
    <mergeCell ref="FS2:FS7"/>
    <mergeCell ref="FY4:FY8"/>
    <mergeCell ref="FZ4:FZ8"/>
    <mergeCell ref="FV2:FV7"/>
    <mergeCell ref="EN3:EN7"/>
    <mergeCell ref="EO3:EO7"/>
    <mergeCell ref="EP3:EP7"/>
    <mergeCell ref="EW3:EW7"/>
    <mergeCell ref="EX3:EX7"/>
    <mergeCell ref="EY3:EY7"/>
    <mergeCell ref="FN2:FN7"/>
    <mergeCell ref="GD4:GD8"/>
    <mergeCell ref="GE4:GE8"/>
    <mergeCell ref="FH2:FH7"/>
    <mergeCell ref="FI2:FI7"/>
    <mergeCell ref="FJ2:FJ7"/>
    <mergeCell ref="FC2:FC7"/>
    <mergeCell ref="FF2:FF7"/>
    <mergeCell ref="LK6:LK8"/>
    <mergeCell ref="LL6:LL8"/>
    <mergeCell ref="NJ5:NJ8"/>
    <mergeCell ref="MC6:MC8"/>
    <mergeCell ref="MD6:MD8"/>
    <mergeCell ref="ME6:ME8"/>
    <mergeCell ref="MF6:MF8"/>
    <mergeCell ref="MG6:MG8"/>
    <mergeCell ref="MH6:MH8"/>
    <mergeCell ref="MI6:MI8"/>
    <mergeCell ref="MJ6:MJ8"/>
    <mergeCell ref="MK6:MK8"/>
    <mergeCell ref="ML6:ML8"/>
    <mergeCell ref="MM6:MM8"/>
    <mergeCell ref="MN6:MN8"/>
    <mergeCell ref="MO6:MO8"/>
    <mergeCell ref="MP6:MP8"/>
    <mergeCell ref="MQ6:MQ8"/>
    <mergeCell ref="LX6:LX8"/>
    <mergeCell ref="LY6:LY8"/>
    <mergeCell ref="LZ6:LZ8"/>
    <mergeCell ref="MA6:MA8"/>
    <mergeCell ref="MB6:MB8"/>
    <mergeCell ref="LM5:LS5"/>
    <mergeCell ref="LT5:LZ5"/>
    <mergeCell ref="MA5:MJ5"/>
    <mergeCell ref="MK5:MO5"/>
    <mergeCell ref="LO6:LO8"/>
    <mergeCell ref="LP6:LP8"/>
    <mergeCell ref="LQ6:LQ8"/>
    <mergeCell ref="LR6:LR8"/>
    <mergeCell ref="LS6:LS8"/>
    <mergeCell ref="LT6:LT8"/>
    <mergeCell ref="LU6:LU8"/>
    <mergeCell ref="LV6:LV8"/>
    <mergeCell ref="LW6:LW8"/>
    <mergeCell ref="LM6:LM8"/>
    <mergeCell ref="LN6:LN8"/>
    <mergeCell ref="NM7:NT7"/>
    <mergeCell ref="ND7:ND8"/>
    <mergeCell ref="NE7:NE8"/>
    <mergeCell ref="NF7:NF8"/>
    <mergeCell ref="NG7:NG8"/>
    <mergeCell ref="NH7:NH8"/>
    <mergeCell ref="NI7:NI8"/>
    <mergeCell ref="MR6:MR8"/>
    <mergeCell ref="MS6:MS8"/>
    <mergeCell ref="MT6:MT8"/>
    <mergeCell ref="MU6:MU8"/>
    <mergeCell ref="MV6:MV8"/>
    <mergeCell ref="MW6:MW8"/>
    <mergeCell ref="MX6:MX8"/>
    <mergeCell ref="NB6:NB8"/>
    <mergeCell ref="NC7:NC8"/>
    <mergeCell ref="MY6:MY8"/>
    <mergeCell ref="MZ6:MZ8"/>
    <mergeCell ref="NA6:NA8"/>
    <mergeCell ref="NK5:NK8"/>
    <mergeCell ref="MP5:MW5"/>
    <mergeCell ref="MX5:NB5"/>
    <mergeCell ref="NC5:NE6"/>
    <mergeCell ref="NF5:NI6"/>
    <mergeCell ref="OE5:OE8"/>
    <mergeCell ref="OF5:OF8"/>
    <mergeCell ref="OG5:OG8"/>
    <mergeCell ref="OH5:OH8"/>
    <mergeCell ref="OI5:OI8"/>
    <mergeCell ref="OJ5:OJ8"/>
    <mergeCell ref="OK5:OK8"/>
    <mergeCell ref="OL5:OL8"/>
    <mergeCell ref="OM5:OM8"/>
    <mergeCell ref="OO5:OO8"/>
    <mergeCell ref="OP5:OP8"/>
    <mergeCell ref="OQ5:OQ8"/>
    <mergeCell ref="OR5:OR8"/>
    <mergeCell ref="OS5:OS8"/>
    <mergeCell ref="OT5:OT8"/>
    <mergeCell ref="OU5:OU8"/>
    <mergeCell ref="OV5:OV8"/>
    <mergeCell ref="OW5:OW8"/>
    <mergeCell ref="PA7:PA8"/>
    <mergeCell ref="PB7:PB8"/>
    <mergeCell ref="PC7:PC8"/>
    <mergeCell ref="PG7:PG8"/>
    <mergeCell ref="PH7:PH8"/>
    <mergeCell ref="PI7:PI8"/>
    <mergeCell ref="PA5:PL5"/>
    <mergeCell ref="PA6:PF6"/>
    <mergeCell ref="PG6:PL6"/>
    <mergeCell ref="PD7:PD8"/>
    <mergeCell ref="PE7:PE8"/>
    <mergeCell ref="PF7:PF8"/>
    <mergeCell ref="PJ7:PJ8"/>
    <mergeCell ref="PK7:PK8"/>
    <mergeCell ref="PL7:PL8"/>
  </mergeCells>
  <conditionalFormatting sqref="FY9:GE59">
    <cfRule type="cellIs" dxfId="23" priority="27" operator="greaterThan">
      <formula>0</formula>
    </cfRule>
  </conditionalFormatting>
  <conditionalFormatting sqref="JJ9:JK59">
    <cfRule type="cellIs" dxfId="22" priority="23" operator="notEqual">
      <formula>0</formula>
    </cfRule>
  </conditionalFormatting>
  <conditionalFormatting sqref="JJ72:JK72">
    <cfRule type="cellIs" dxfId="21" priority="22" operator="notEqual">
      <formula>0</formula>
    </cfRule>
  </conditionalFormatting>
  <conditionalFormatting sqref="KT9:KT59">
    <cfRule type="cellIs" dxfId="20" priority="21" operator="notEqual">
      <formula>0</formula>
    </cfRule>
  </conditionalFormatting>
  <conditionalFormatting sqref="FY60:GE64 FY69:GE69">
    <cfRule type="cellIs" dxfId="19" priority="20" operator="greaterThan">
      <formula>0</formula>
    </cfRule>
  </conditionalFormatting>
  <conditionalFormatting sqref="JJ60:JK64 JJ69:JK69">
    <cfRule type="cellIs" dxfId="18" priority="19" operator="notEqual">
      <formula>0</formula>
    </cfRule>
  </conditionalFormatting>
  <conditionalFormatting sqref="KT60:KT64 KT69">
    <cfRule type="cellIs" dxfId="17" priority="18" operator="notEqual">
      <formula>0</formula>
    </cfRule>
  </conditionalFormatting>
  <conditionalFormatting sqref="PA9:PC64 PA69:PC69">
    <cfRule type="cellIs" dxfId="16" priority="17" operator="equal">
      <formula>0</formula>
    </cfRule>
  </conditionalFormatting>
  <conditionalFormatting sqref="PA9:PC64 PA69:PC69">
    <cfRule type="cellIs" dxfId="15" priority="16" operator="equal">
      <formula>0</formula>
    </cfRule>
  </conditionalFormatting>
  <conditionalFormatting sqref="PA9:PC64 PA69:PC69">
    <cfRule type="cellIs" dxfId="14" priority="15" operator="equal">
      <formula>0</formula>
    </cfRule>
  </conditionalFormatting>
  <conditionalFormatting sqref="PC9:PC64 PC69">
    <cfRule type="cellIs" dxfId="13" priority="14" operator="equal">
      <formula>0</formula>
    </cfRule>
  </conditionalFormatting>
  <conditionalFormatting sqref="OZ9:OZ64 OZ69:OZ70">
    <cfRule type="cellIs" dxfId="12" priority="13" operator="notEqual">
      <formula>0</formula>
    </cfRule>
  </conditionalFormatting>
  <conditionalFormatting sqref="FY65:GE68">
    <cfRule type="cellIs" dxfId="11" priority="12" operator="greaterThan">
      <formula>0</formula>
    </cfRule>
  </conditionalFormatting>
  <conditionalFormatting sqref="JJ65:JK68">
    <cfRule type="cellIs" dxfId="10" priority="11" operator="notEqual">
      <formula>0</formula>
    </cfRule>
  </conditionalFormatting>
  <conditionalFormatting sqref="KT65:KT68">
    <cfRule type="cellIs" dxfId="9" priority="10" operator="notEqual">
      <formula>0</formula>
    </cfRule>
  </conditionalFormatting>
  <conditionalFormatting sqref="PA65:PC68">
    <cfRule type="cellIs" dxfId="8" priority="9" operator="equal">
      <formula>0</formula>
    </cfRule>
  </conditionalFormatting>
  <conditionalFormatting sqref="PA65:PC68">
    <cfRule type="cellIs" dxfId="7" priority="8" operator="equal">
      <formula>0</formula>
    </cfRule>
  </conditionalFormatting>
  <conditionalFormatting sqref="PA65:PC68">
    <cfRule type="cellIs" dxfId="6" priority="7" operator="equal">
      <formula>0</formula>
    </cfRule>
  </conditionalFormatting>
  <conditionalFormatting sqref="PC65:PC68">
    <cfRule type="cellIs" dxfId="5" priority="6" operator="equal">
      <formula>0</formula>
    </cfRule>
  </conditionalFormatting>
  <conditionalFormatting sqref="OZ65:OZ68">
    <cfRule type="cellIs" dxfId="4" priority="5" operator="notEqual">
      <formula>0</formula>
    </cfRule>
  </conditionalFormatting>
  <conditionalFormatting sqref="PD9:PF69">
    <cfRule type="cellIs" dxfId="3" priority="4" operator="equal">
      <formula>0</formula>
    </cfRule>
  </conditionalFormatting>
  <conditionalFormatting sqref="PD9:PF69">
    <cfRule type="cellIs" dxfId="2" priority="3" operator="equal">
      <formula>0</formula>
    </cfRule>
  </conditionalFormatting>
  <conditionalFormatting sqref="PD9:PF69">
    <cfRule type="cellIs" dxfId="1" priority="2" operator="equal">
      <formula>0</formula>
    </cfRule>
  </conditionalFormatting>
  <conditionalFormatting sqref="PD9:PF69">
    <cfRule type="cellIs" dxfId="0" priority="1" operator="equal">
      <formula>0</formula>
    </cfRule>
  </conditionalFormatting>
  <pageMargins left="0.7" right="0.7" top="0.75" bottom="0.75" header="0.3" footer="0.3"/>
  <pageSetup paperSize="162" scale="35" fitToHeight="0" orientation="landscape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Jaticempaka</vt:lpstr>
      <vt:lpstr>Jatibening Baru</vt:lpstr>
      <vt:lpstr>Jatibening</vt:lpstr>
      <vt:lpstr>Jakamulya </vt:lpstr>
      <vt:lpstr>Jakasetia</vt:lpstr>
      <vt:lpstr>Pekayonjaya</vt:lpstr>
      <vt:lpstr>Margajaya</vt:lpstr>
      <vt:lpstr>Sepanjang Jaya</vt:lpstr>
      <vt:lpstr>Pengasinan</vt:lpstr>
      <vt:lpstr>Pengasinan!Print_Area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Ali Akbar Husaini</cp:lastModifiedBy>
  <cp:lastPrinted>2018-04-18T05:38:04Z</cp:lastPrinted>
  <dcterms:created xsi:type="dcterms:W3CDTF">2018-03-09T03:21:05Z</dcterms:created>
  <dcterms:modified xsi:type="dcterms:W3CDTF">2021-08-23T06:21:39Z</dcterms:modified>
</cp:coreProperties>
</file>